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Nitesh\AM - Inventory replenishment\AM_Replenishment\data\input\Blinkit\Input\"/>
    </mc:Choice>
  </mc:AlternateContent>
  <xr:revisionPtr revIDLastSave="328" documentId="13_ncr:1_{94328EF0-1E84-4B0C-9A69-F071D450DF84}" xr6:coauthVersionLast="47" xr6:coauthVersionMax="47" xr10:uidLastSave="{9DAEE4C9-061A-45BC-B2A6-633F048FB564}"/>
  <bookViews>
    <workbookView xWindow="-108" yWindow="-108" windowWidth="23256" windowHeight="12456" firstSheet="4" activeTab="16" xr2:uid="{00000000-000D-0000-FFFF-FFFF00000000}"/>
  </bookViews>
  <sheets>
    <sheet name="Master Sheet" sheetId="1" r:id="rId1"/>
    <sheet name="Margin Calculation" sheetId="2" r:id="rId2"/>
    <sheet name="Amazon Live Products" sheetId="3" r:id="rId3"/>
    <sheet name="Website" sheetId="4" r:id="rId4"/>
    <sheet name="B2B" sheetId="5" r:id="rId5"/>
    <sheet name="CRED" sheetId="6" r:id="rId6"/>
    <sheet name="Myntra" sheetId="7" r:id="rId7"/>
    <sheet name="HYPD" sheetId="8" r:id="rId8"/>
    <sheet name="Vijay Sales" sheetId="9" r:id="rId9"/>
    <sheet name="Pop UPI" sheetId="10" r:id="rId10"/>
    <sheet name="Snapmint" sheetId="11" r:id="rId11"/>
    <sheet name="Sangeetha" sheetId="12" r:id="rId12"/>
    <sheet name="BIW" sheetId="13" r:id="rId13"/>
    <sheet name="Vantage Circle" sheetId="14" r:id="rId14"/>
    <sheet name="Enertia" sheetId="15" r:id="rId15"/>
    <sheet name="Shree" sheetId="16" r:id="rId16"/>
    <sheet name="Blinkit" sheetId="17" r:id="rId17"/>
    <sheet name="Sheet28" sheetId="18" r:id="rId18"/>
    <sheet name="Coin Rush" sheetId="19" r:id="rId19"/>
    <sheet name="Spares" sheetId="20" r:id="rId20"/>
    <sheet name="Gifting" sheetId="21" r:id="rId21"/>
    <sheet name="Master Pricing Sheet" sheetId="22" r:id="rId22"/>
    <sheet name="Sheet6" sheetId="23" r:id="rId23"/>
    <sheet name="Sheet23" sheetId="24" r:id="rId24"/>
    <sheet name="Sheet25" sheetId="25" r:id="rId25"/>
    <sheet name="Flipkart" sheetId="26" state="hidden" r:id="rId26"/>
    <sheet name="Chair Changes" sheetId="27" state="hidden" r:id="rId27"/>
    <sheet name="Falcon Series Listing Content" sheetId="28" state="hidden" r:id="rId28"/>
    <sheet name="Listing and Packaging Images St" sheetId="29" state="hidden" r:id="rId29"/>
  </sheets>
  <externalReferences>
    <externalReference r:id="rId30"/>
    <externalReference r:id="rId31"/>
    <externalReference r:id="rId32"/>
  </externalReferences>
  <definedNames>
    <definedName name="_xlnm._FilterDatabase" localSheetId="12" hidden="1">BIW!$A$1:$T$90</definedName>
    <definedName name="_xlnm._FilterDatabase" localSheetId="16" hidden="1">Blinkit!$A$1:$AK$110</definedName>
    <definedName name="_xlnm._FilterDatabase" localSheetId="14" hidden="1">Enertia!$A$1:$Q$112</definedName>
    <definedName name="_xlnm._FilterDatabase" localSheetId="20" hidden="1">Gifting!$A$2:$X$999</definedName>
    <definedName name="_xlnm._FilterDatabase" localSheetId="21" hidden="1">'Master Pricing Sheet'!$A$2:$R$104</definedName>
    <definedName name="_xlnm._FilterDatabase" localSheetId="6" hidden="1">Myntra!$A$1:$AB$153</definedName>
    <definedName name="_xlnm._FilterDatabase" localSheetId="15" hidden="1">Shree!$A$1:$Q$111</definedName>
    <definedName name="_xlnm._FilterDatabase" localSheetId="10" hidden="1">Snapmint!$A$1:$Z$973</definedName>
    <definedName name="_xlnm._FilterDatabase" localSheetId="8" hidden="1">'Vijay Sales'!$A$1:$U$92</definedName>
    <definedName name="_xlnm._FilterDatabase" localSheetId="3" hidden="1">Website!$A$1:$T$113</definedName>
    <definedName name="Z_B05DD660_9795_474F_8218_1FC933FBFDAA_.wvu.FilterData" localSheetId="1" hidden="1">'Margin Calculation'!$A$1:$BC$178</definedName>
  </definedNames>
  <calcPr calcId="191029"/>
  <customWorkbookViews>
    <customWorkbookView name="Filter 1" guid="{B05DD660-9795-474F-8218-1FC933FBFDA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4" roundtripDataChecksum="fiHlTUrX/AFBVC/yKqxyBgxjrTciOhIJ9PKVamlurWM="/>
    </ext>
  </extLst>
</workbook>
</file>

<file path=xl/calcChain.xml><?xml version="1.0" encoding="utf-8"?>
<calcChain xmlns="http://schemas.openxmlformats.org/spreadsheetml/2006/main">
  <c r="Q102" i="17" l="1"/>
  <c r="Q60" i="17"/>
  <c r="AJ3" i="17" l="1"/>
  <c r="AJ4" i="17"/>
  <c r="AJ14" i="17"/>
  <c r="AJ16" i="17"/>
  <c r="AJ18" i="17"/>
  <c r="AJ20" i="17"/>
  <c r="AJ27" i="17"/>
  <c r="AJ29" i="17"/>
  <c r="AJ30" i="17"/>
  <c r="AJ31" i="17"/>
  <c r="AJ33" i="17"/>
  <c r="AJ36" i="17"/>
  <c r="AJ39" i="17"/>
  <c r="AJ41" i="17"/>
  <c r="AJ45" i="17"/>
  <c r="AJ48" i="17"/>
  <c r="AJ51" i="17"/>
  <c r="AJ54" i="17"/>
  <c r="AJ60" i="17"/>
  <c r="AJ64" i="17"/>
  <c r="AJ70" i="17"/>
  <c r="AJ72" i="17"/>
  <c r="AJ73" i="17"/>
  <c r="AJ74" i="17"/>
  <c r="AJ80" i="17"/>
  <c r="AJ85" i="17"/>
  <c r="AJ91" i="17"/>
  <c r="AJ95" i="17"/>
  <c r="AJ96" i="17"/>
  <c r="AJ97" i="17"/>
  <c r="AJ98" i="17"/>
  <c r="AJ99" i="17"/>
  <c r="AJ101" i="17"/>
  <c r="AK101" i="17"/>
  <c r="AK99" i="17"/>
  <c r="AK98" i="17"/>
  <c r="AK97" i="17"/>
  <c r="AK95" i="17"/>
  <c r="AK91" i="17"/>
  <c r="AK85" i="17"/>
  <c r="AK80" i="17"/>
  <c r="AK74" i="17"/>
  <c r="AK72" i="17"/>
  <c r="AK60" i="17"/>
  <c r="AK54" i="17"/>
  <c r="AK51" i="17"/>
  <c r="AK48" i="17"/>
  <c r="AK45" i="17"/>
  <c r="AK41" i="17"/>
  <c r="AK36" i="17"/>
  <c r="AK33" i="17"/>
  <c r="AK29" i="17"/>
  <c r="AK27" i="17"/>
  <c r="AK20" i="17"/>
  <c r="AK18" i="17"/>
  <c r="AK16" i="17"/>
  <c r="AK14" i="17"/>
  <c r="AK4" i="17"/>
  <c r="AK3" i="17"/>
  <c r="AK103" i="17"/>
  <c r="AK96" i="17"/>
  <c r="AK70" i="17"/>
  <c r="AK64" i="17"/>
  <c r="AK39" i="17"/>
  <c r="AK31" i="17"/>
  <c r="AK30" i="17"/>
  <c r="O2" i="17" l="1"/>
  <c r="O3" i="17"/>
  <c r="P3" i="17"/>
  <c r="Q3" i="17"/>
  <c r="S3" i="17"/>
  <c r="V3" i="17"/>
  <c r="X3" i="17"/>
  <c r="Y3" i="17"/>
  <c r="Z3" i="17"/>
  <c r="O4" i="17"/>
  <c r="P4" i="17"/>
  <c r="Q4" i="17" a="1"/>
  <c r="Q4" i="17" s="1"/>
  <c r="S4" i="17"/>
  <c r="V4" i="17"/>
  <c r="X4" i="17"/>
  <c r="Y4" i="17"/>
  <c r="Z4" i="17"/>
  <c r="O5" i="17"/>
  <c r="O6" i="17"/>
  <c r="O7" i="17"/>
  <c r="P7" i="17"/>
  <c r="S7" i="17"/>
  <c r="V7" i="17"/>
  <c r="X7" i="17"/>
  <c r="Y7" i="17"/>
  <c r="Z7" i="17"/>
  <c r="O8" i="17"/>
  <c r="O9" i="17"/>
  <c r="O10" i="17"/>
  <c r="O11" i="17"/>
  <c r="O12" i="17"/>
  <c r="O13" i="17"/>
  <c r="P13" i="17"/>
  <c r="Q13" i="17"/>
  <c r="S13" i="17"/>
  <c r="V13" i="17"/>
  <c r="X13" i="17"/>
  <c r="Y13" i="17"/>
  <c r="Z13" i="17"/>
  <c r="O14" i="17"/>
  <c r="P14" i="17"/>
  <c r="Q14" i="17"/>
  <c r="S14" i="17"/>
  <c r="V14" i="17"/>
  <c r="X14" i="17"/>
  <c r="Y14" i="17"/>
  <c r="Z14" i="17"/>
  <c r="O15" i="17"/>
  <c r="P15" i="17"/>
  <c r="Q15" i="17"/>
  <c r="S15" i="17"/>
  <c r="V15" i="17"/>
  <c r="X15" i="17"/>
  <c r="Y15" i="17"/>
  <c r="Z15" i="17"/>
  <c r="O16" i="17"/>
  <c r="P16" i="17"/>
  <c r="S16" i="17"/>
  <c r="V16" i="17"/>
  <c r="X16" i="17"/>
  <c r="Y16" i="17"/>
  <c r="Z16" i="17"/>
  <c r="O17" i="17"/>
  <c r="P17" i="17"/>
  <c r="Q17" i="17"/>
  <c r="S17" i="17"/>
  <c r="V17" i="17"/>
  <c r="X17" i="17"/>
  <c r="Y17" i="17"/>
  <c r="Z17" i="17"/>
  <c r="O18" i="17"/>
  <c r="P18" i="17"/>
  <c r="Q18" i="17"/>
  <c r="S18" i="17"/>
  <c r="V18" i="17"/>
  <c r="X18" i="17"/>
  <c r="Y18" i="17"/>
  <c r="Z18" i="17"/>
  <c r="O19" i="17"/>
  <c r="P19" i="17"/>
  <c r="Q19" i="17"/>
  <c r="S19" i="17"/>
  <c r="V19" i="17"/>
  <c r="X19" i="17"/>
  <c r="Y19" i="17"/>
  <c r="Z19" i="17"/>
  <c r="O20" i="17"/>
  <c r="P20" i="17"/>
  <c r="Q20" i="17"/>
  <c r="S20" i="17"/>
  <c r="V20" i="17"/>
  <c r="X20" i="17"/>
  <c r="Y20" i="17"/>
  <c r="Z20" i="17"/>
  <c r="O21" i="17"/>
  <c r="P21" i="17"/>
  <c r="Q21" i="17"/>
  <c r="S21" i="17"/>
  <c r="V21" i="17"/>
  <c r="X21" i="17"/>
  <c r="Y21" i="17"/>
  <c r="Z21" i="17"/>
  <c r="O22" i="17"/>
  <c r="P22" i="17"/>
  <c r="Q22" i="17"/>
  <c r="S22" i="17"/>
  <c r="V22" i="17"/>
  <c r="X22" i="17"/>
  <c r="Y22" i="17"/>
  <c r="Z22" i="17"/>
  <c r="O23" i="17"/>
  <c r="P23" i="17"/>
  <c r="Q23" i="17"/>
  <c r="S23" i="17"/>
  <c r="V23" i="17"/>
  <c r="X23" i="17"/>
  <c r="Y23" i="17"/>
  <c r="Z23" i="17"/>
  <c r="O24" i="17"/>
  <c r="P24" i="17"/>
  <c r="Q24" i="17"/>
  <c r="S24" i="17"/>
  <c r="V24" i="17"/>
  <c r="X24" i="17"/>
  <c r="Y24" i="17"/>
  <c r="Z24" i="17"/>
  <c r="O25" i="17"/>
  <c r="P25" i="17"/>
  <c r="Q25" i="17"/>
  <c r="S25" i="17"/>
  <c r="V25" i="17"/>
  <c r="X25" i="17"/>
  <c r="Y25" i="17"/>
  <c r="Z25" i="17"/>
  <c r="O26" i="17"/>
  <c r="O27" i="17"/>
  <c r="P27" i="17"/>
  <c r="Q27" i="17"/>
  <c r="S27" i="17"/>
  <c r="V27" i="17"/>
  <c r="X27" i="17"/>
  <c r="Y27" i="17"/>
  <c r="Z27" i="17"/>
  <c r="O28" i="17"/>
  <c r="P28" i="17"/>
  <c r="Q28" i="17"/>
  <c r="S28" i="17"/>
  <c r="V28" i="17"/>
  <c r="X28" i="17"/>
  <c r="Y28" i="17"/>
  <c r="Z28" i="17"/>
  <c r="O29" i="17"/>
  <c r="P29" i="17"/>
  <c r="Q29" i="17"/>
  <c r="S29" i="17"/>
  <c r="V29" i="17"/>
  <c r="X29" i="17"/>
  <c r="Y29" i="17"/>
  <c r="Z29" i="17"/>
  <c r="P30" i="17"/>
  <c r="Q30" i="17"/>
  <c r="S30" i="17"/>
  <c r="V30" i="17"/>
  <c r="X30" i="17"/>
  <c r="Y30" i="17"/>
  <c r="Z30" i="17"/>
  <c r="P31" i="17"/>
  <c r="S31" i="17"/>
  <c r="V31" i="17"/>
  <c r="X31" i="17"/>
  <c r="Y31" i="17"/>
  <c r="Z31" i="17"/>
  <c r="P32" i="17"/>
  <c r="Q32" i="17" a="1"/>
  <c r="Q32" i="17" s="1"/>
  <c r="S32" i="17"/>
  <c r="V32" i="17"/>
  <c r="X32" i="17"/>
  <c r="Y32" i="17"/>
  <c r="Z32" i="17"/>
  <c r="O33" i="17"/>
  <c r="P33" i="17"/>
  <c r="Q33" i="17"/>
  <c r="S33" i="17"/>
  <c r="V33" i="17"/>
  <c r="X33" i="17"/>
  <c r="Y33" i="17"/>
  <c r="Z33" i="17"/>
  <c r="O34" i="17"/>
  <c r="O35" i="17"/>
  <c r="P35" i="17"/>
  <c r="Q35" i="17"/>
  <c r="S35" i="17"/>
  <c r="V35" i="17"/>
  <c r="X35" i="17"/>
  <c r="Y35" i="17"/>
  <c r="Z35" i="17"/>
  <c r="P36" i="17"/>
  <c r="Q36" i="17"/>
  <c r="S36" i="17"/>
  <c r="V36" i="17"/>
  <c r="X36" i="17"/>
  <c r="Y36" i="17"/>
  <c r="Z36" i="17"/>
  <c r="O37" i="17"/>
  <c r="O38" i="17"/>
  <c r="P38" i="17"/>
  <c r="Q38" i="17"/>
  <c r="S38" i="17"/>
  <c r="V38" i="17"/>
  <c r="X38" i="17"/>
  <c r="Y38" i="17"/>
  <c r="Z38" i="17"/>
  <c r="P39" i="17"/>
  <c r="Q39" i="17"/>
  <c r="S39" i="17"/>
  <c r="V39" i="17"/>
  <c r="X39" i="17"/>
  <c r="Y39" i="17"/>
  <c r="Z39" i="17"/>
  <c r="O40" i="17"/>
  <c r="P40" i="17"/>
  <c r="Q40" i="17"/>
  <c r="S40" i="17"/>
  <c r="V40" i="17"/>
  <c r="X40" i="17"/>
  <c r="Y40" i="17"/>
  <c r="Z40" i="17"/>
  <c r="O41" i="17"/>
  <c r="P41" i="17"/>
  <c r="Q41" i="17"/>
  <c r="S41" i="17"/>
  <c r="V41" i="17"/>
  <c r="X41" i="17"/>
  <c r="Y41" i="17"/>
  <c r="Z41" i="17"/>
  <c r="O42" i="17"/>
  <c r="P42" i="17"/>
  <c r="Q42" i="17"/>
  <c r="S42" i="17"/>
  <c r="V42" i="17"/>
  <c r="X42" i="17"/>
  <c r="Y42" i="17"/>
  <c r="Z42" i="17"/>
  <c r="O43" i="17"/>
  <c r="P43" i="17"/>
  <c r="Q43" i="17"/>
  <c r="S43" i="17"/>
  <c r="V43" i="17"/>
  <c r="X43" i="17"/>
  <c r="Y43" i="17"/>
  <c r="Z43" i="17"/>
  <c r="O44" i="17"/>
  <c r="O45" i="17"/>
  <c r="P45" i="17"/>
  <c r="Q45" i="17" a="1"/>
  <c r="Q45" i="17" s="1"/>
  <c r="S45" i="17"/>
  <c r="V45" i="17"/>
  <c r="X45" i="17"/>
  <c r="Y45" i="17"/>
  <c r="Z45" i="17"/>
  <c r="O46" i="17"/>
  <c r="O47" i="17"/>
  <c r="P47" i="17"/>
  <c r="Q47" i="17"/>
  <c r="S47" i="17"/>
  <c r="V47" i="17"/>
  <c r="X47" i="17"/>
  <c r="Y47" i="17"/>
  <c r="Z47" i="17"/>
  <c r="O48" i="17"/>
  <c r="P48" i="17"/>
  <c r="Q48" i="17"/>
  <c r="S48" i="17"/>
  <c r="V48" i="17"/>
  <c r="X48" i="17"/>
  <c r="Y48" i="17"/>
  <c r="Z48" i="17"/>
  <c r="O49" i="17"/>
  <c r="O50" i="17"/>
  <c r="O51" i="17"/>
  <c r="P51" i="17"/>
  <c r="Q51" i="17"/>
  <c r="S51" i="17"/>
  <c r="V51" i="17"/>
  <c r="X51" i="17"/>
  <c r="Y51" i="17"/>
  <c r="Z51" i="17"/>
  <c r="O52" i="17"/>
  <c r="O53" i="17"/>
  <c r="P53" i="17"/>
  <c r="Q53" i="17"/>
  <c r="S53" i="17"/>
  <c r="V53" i="17"/>
  <c r="X53" i="17"/>
  <c r="Y53" i="17"/>
  <c r="Z53" i="17"/>
  <c r="O54" i="17"/>
  <c r="P54" i="17"/>
  <c r="Q54" i="17"/>
  <c r="S54" i="17"/>
  <c r="V54" i="17"/>
  <c r="X54" i="17"/>
  <c r="Y54" i="17"/>
  <c r="Z54" i="17"/>
  <c r="O55" i="17"/>
  <c r="P55" i="17"/>
  <c r="Q55" i="17"/>
  <c r="S55" i="17"/>
  <c r="V55" i="17"/>
  <c r="X55" i="17"/>
  <c r="Y55" i="17"/>
  <c r="Z55" i="17"/>
  <c r="O56" i="17"/>
  <c r="O57" i="17"/>
  <c r="P57" i="17"/>
  <c r="Q57" i="17"/>
  <c r="S57" i="17"/>
  <c r="V57" i="17"/>
  <c r="X57" i="17"/>
  <c r="Y57" i="17"/>
  <c r="Z57" i="17"/>
  <c r="O58" i="17"/>
  <c r="O59" i="17"/>
  <c r="O60" i="17"/>
  <c r="P60" i="17"/>
  <c r="S60" i="17"/>
  <c r="V60" i="17"/>
  <c r="X60" i="17"/>
  <c r="Y60" i="17"/>
  <c r="Z60" i="17"/>
  <c r="O61" i="17"/>
  <c r="O62" i="17"/>
  <c r="P62" i="17"/>
  <c r="Q62" i="17"/>
  <c r="S62" i="17"/>
  <c r="V62" i="17"/>
  <c r="X62" i="17"/>
  <c r="Y62" i="17"/>
  <c r="Z62" i="17"/>
  <c r="P63" i="17"/>
  <c r="Q63" i="17"/>
  <c r="S63" i="17"/>
  <c r="V63" i="17"/>
  <c r="X63" i="17"/>
  <c r="Y63" i="17"/>
  <c r="Z63" i="17"/>
  <c r="P64" i="17"/>
  <c r="Q64" i="17"/>
  <c r="S64" i="17"/>
  <c r="V64" i="17"/>
  <c r="X64" i="17"/>
  <c r="Y64" i="17"/>
  <c r="Z64" i="17"/>
  <c r="O65" i="17"/>
  <c r="P65" i="17"/>
  <c r="Q65" i="17"/>
  <c r="S65" i="17"/>
  <c r="V65" i="17"/>
  <c r="X65" i="17"/>
  <c r="Y65" i="17"/>
  <c r="Z65" i="17"/>
  <c r="O66" i="17"/>
  <c r="P66" i="17"/>
  <c r="Q66" i="17"/>
  <c r="S66" i="17"/>
  <c r="V66" i="17"/>
  <c r="X66" i="17"/>
  <c r="Y66" i="17"/>
  <c r="Z66" i="17"/>
  <c r="O67" i="17"/>
  <c r="P67" i="17"/>
  <c r="Q67" i="17"/>
  <c r="S67" i="17"/>
  <c r="V67" i="17"/>
  <c r="X67" i="17"/>
  <c r="Y67" i="17"/>
  <c r="Z67" i="17"/>
  <c r="O68" i="17"/>
  <c r="P68" i="17"/>
  <c r="Q68" i="17"/>
  <c r="S68" i="17"/>
  <c r="V68" i="17"/>
  <c r="X68" i="17"/>
  <c r="Y68" i="17"/>
  <c r="Z68" i="17"/>
  <c r="O69" i="17"/>
  <c r="P69" i="17"/>
  <c r="Q69" i="17"/>
  <c r="S69" i="17"/>
  <c r="V69" i="17"/>
  <c r="X69" i="17"/>
  <c r="Y69" i="17"/>
  <c r="Z69" i="17"/>
  <c r="P70" i="17"/>
  <c r="Q70" i="17"/>
  <c r="S70" i="17"/>
  <c r="V70" i="17"/>
  <c r="X70" i="17"/>
  <c r="Y70" i="17"/>
  <c r="Z70" i="17"/>
  <c r="O71" i="17"/>
  <c r="P71" i="17"/>
  <c r="Q71" i="17"/>
  <c r="S71" i="17"/>
  <c r="V71" i="17"/>
  <c r="X71" i="17"/>
  <c r="Y71" i="17"/>
  <c r="Z71" i="17"/>
  <c r="O72" i="17"/>
  <c r="P72" i="17"/>
  <c r="Q72" i="17"/>
  <c r="S72" i="17"/>
  <c r="V72" i="17"/>
  <c r="X72" i="17"/>
  <c r="Y72" i="17"/>
  <c r="Z72" i="17"/>
  <c r="O73" i="17"/>
  <c r="P73" i="17"/>
  <c r="Q73" i="17"/>
  <c r="S73" i="17"/>
  <c r="V73" i="17"/>
  <c r="X73" i="17"/>
  <c r="Y73" i="17"/>
  <c r="Z73" i="17"/>
  <c r="O74" i="17"/>
  <c r="P74" i="17"/>
  <c r="Q74" i="17"/>
  <c r="S74" i="17"/>
  <c r="V74" i="17"/>
  <c r="X74" i="17"/>
  <c r="Y74" i="17"/>
  <c r="Z74" i="17"/>
  <c r="O75" i="17"/>
  <c r="P75" i="17"/>
  <c r="Q75" i="17"/>
  <c r="S75" i="17"/>
  <c r="V75" i="17"/>
  <c r="X75" i="17"/>
  <c r="Y75" i="17"/>
  <c r="Z75" i="17"/>
  <c r="O76" i="17"/>
  <c r="P77" i="17"/>
  <c r="Q77" i="17"/>
  <c r="S77" i="17"/>
  <c r="V77" i="17"/>
  <c r="X77" i="17"/>
  <c r="Y77" i="17"/>
  <c r="Z77" i="17"/>
  <c r="O78" i="17"/>
  <c r="O79" i="17"/>
  <c r="P79" i="17"/>
  <c r="Q79" i="17"/>
  <c r="S79" i="17"/>
  <c r="V79" i="17"/>
  <c r="X79" i="17"/>
  <c r="Y79" i="17"/>
  <c r="Z79" i="17"/>
  <c r="O80" i="17"/>
  <c r="P80" i="17"/>
  <c r="Q80" i="17" a="1"/>
  <c r="Q80" i="17" s="1"/>
  <c r="S80" i="17"/>
  <c r="V80" i="17"/>
  <c r="X80" i="17"/>
  <c r="Y80" i="17"/>
  <c r="Z80" i="17"/>
  <c r="O81" i="17"/>
  <c r="P82" i="17"/>
  <c r="S82" i="17"/>
  <c r="V82" i="17"/>
  <c r="X82" i="17"/>
  <c r="Y82" i="17"/>
  <c r="Z82" i="17"/>
  <c r="O83" i="17"/>
  <c r="O84" i="17"/>
  <c r="P84" i="17"/>
  <c r="Q84" i="17"/>
  <c r="S84" i="17"/>
  <c r="V84" i="17"/>
  <c r="X84" i="17"/>
  <c r="Y84" i="17"/>
  <c r="Z84" i="17"/>
  <c r="O85" i="17"/>
  <c r="P85" i="17"/>
  <c r="S85" i="17"/>
  <c r="V85" i="17"/>
  <c r="X85" i="17"/>
  <c r="Y85" i="17"/>
  <c r="Z85" i="17"/>
  <c r="O86" i="17"/>
  <c r="O87" i="17"/>
  <c r="O88" i="17"/>
  <c r="O89" i="17"/>
  <c r="P89" i="17"/>
  <c r="Q89" i="17"/>
  <c r="S89" i="17"/>
  <c r="V89" i="17"/>
  <c r="X89" i="17"/>
  <c r="Y89" i="17"/>
  <c r="Z89" i="17"/>
  <c r="O90" i="17"/>
  <c r="O91" i="17"/>
  <c r="P91" i="17"/>
  <c r="Q91" i="17"/>
  <c r="S91" i="17"/>
  <c r="V91" i="17"/>
  <c r="X91" i="17"/>
  <c r="Y91" i="17"/>
  <c r="Z91" i="17"/>
  <c r="O92" i="17"/>
  <c r="P93" i="17"/>
  <c r="Q93" i="17"/>
  <c r="S93" i="17"/>
  <c r="V93" i="17"/>
  <c r="X93" i="17"/>
  <c r="Y93" i="17"/>
  <c r="Z93" i="17"/>
  <c r="P94" i="17"/>
  <c r="Q94" i="17"/>
  <c r="S94" i="17"/>
  <c r="V94" i="17"/>
  <c r="X94" i="17"/>
  <c r="Y94" i="17"/>
  <c r="Z94" i="17"/>
  <c r="O95" i="17"/>
  <c r="P95" i="17"/>
  <c r="Q95" i="17"/>
  <c r="S95" i="17"/>
  <c r="V95" i="17"/>
  <c r="X95" i="17"/>
  <c r="Y95" i="17"/>
  <c r="Z95" i="17"/>
  <c r="P96" i="17"/>
  <c r="Q96" i="17"/>
  <c r="S96" i="17"/>
  <c r="V96" i="17"/>
  <c r="X96" i="17"/>
  <c r="Y96" i="17"/>
  <c r="Z96" i="17"/>
  <c r="O97" i="17"/>
  <c r="P97" i="17"/>
  <c r="Q97" i="17"/>
  <c r="S97" i="17"/>
  <c r="V97" i="17"/>
  <c r="X97" i="17"/>
  <c r="Y97" i="17"/>
  <c r="Z97" i="17"/>
  <c r="O98" i="17"/>
  <c r="P98" i="17"/>
  <c r="Q98" i="17"/>
  <c r="S98" i="17"/>
  <c r="V98" i="17"/>
  <c r="X98" i="17"/>
  <c r="Y98" i="17"/>
  <c r="Z98" i="17"/>
  <c r="O99" i="17"/>
  <c r="P99" i="17"/>
  <c r="Q99" i="17"/>
  <c r="S99" i="17"/>
  <c r="V99" i="17"/>
  <c r="X99" i="17"/>
  <c r="Y99" i="17"/>
  <c r="Z99" i="17"/>
  <c r="P100" i="17"/>
  <c r="Q100" i="17"/>
  <c r="S100" i="17"/>
  <c r="V100" i="17"/>
  <c r="X100" i="17"/>
  <c r="Y100" i="17"/>
  <c r="Z100" i="17"/>
  <c r="O101" i="17"/>
  <c r="P101" i="17"/>
  <c r="Q101" i="17"/>
  <c r="S101" i="17"/>
  <c r="V101" i="17"/>
  <c r="X101" i="17"/>
  <c r="Y101" i="17"/>
  <c r="Z101" i="17"/>
  <c r="P102" i="17"/>
  <c r="S102" i="17"/>
  <c r="V102" i="17"/>
  <c r="X102" i="17"/>
  <c r="Y102" i="17"/>
  <c r="Z102" i="17"/>
  <c r="P103" i="17"/>
  <c r="Q103" i="17"/>
  <c r="S103" i="17"/>
  <c r="V103" i="17"/>
  <c r="X103" i="17"/>
  <c r="Y103" i="17"/>
  <c r="Z103" i="17"/>
  <c r="P104" i="17"/>
  <c r="Q104" i="17"/>
  <c r="S104" i="17"/>
  <c r="V104" i="17"/>
  <c r="X104" i="17"/>
  <c r="Y104" i="17"/>
  <c r="Z104" i="17"/>
  <c r="P105" i="17"/>
  <c r="Q105" i="17"/>
  <c r="S105" i="17"/>
  <c r="V105" i="17"/>
  <c r="X105" i="17"/>
  <c r="Y105" i="17"/>
  <c r="Z105" i="17"/>
  <c r="P106" i="17"/>
  <c r="Q106" i="17"/>
  <c r="S106" i="17"/>
  <c r="V106" i="17"/>
  <c r="X106" i="17"/>
  <c r="Y106" i="17"/>
  <c r="Z106" i="17"/>
  <c r="P107" i="17"/>
  <c r="Q107" i="17"/>
  <c r="S107" i="17"/>
  <c r="V107" i="17"/>
  <c r="X107" i="17"/>
  <c r="Y107" i="17"/>
  <c r="Z107" i="17"/>
  <c r="P108" i="17"/>
  <c r="Q108" i="17"/>
  <c r="S108" i="17"/>
  <c r="V108" i="17"/>
  <c r="X108" i="17"/>
  <c r="Y108" i="17"/>
  <c r="Z108" i="17"/>
  <c r="P109" i="17"/>
  <c r="Q109" i="17"/>
  <c r="S109" i="17"/>
  <c r="V109" i="17"/>
  <c r="X109" i="17"/>
  <c r="Y109" i="17"/>
  <c r="Z109" i="17"/>
  <c r="V110" i="17"/>
  <c r="Y110" i="17"/>
  <c r="AA55" i="17" l="1"/>
  <c r="AA7" i="17"/>
  <c r="AA84" i="17"/>
  <c r="AA13" i="17"/>
  <c r="AA85" i="17"/>
  <c r="AA45" i="17"/>
  <c r="AA27" i="17"/>
  <c r="AA25" i="17"/>
  <c r="AA14" i="17"/>
  <c r="AA95" i="17"/>
  <c r="AA31" i="17"/>
  <c r="AA20" i="17"/>
  <c r="AA96" i="17"/>
  <c r="AA47" i="17"/>
  <c r="AA110" i="17"/>
  <c r="AA108" i="17"/>
  <c r="AA63" i="17"/>
  <c r="AA60" i="17"/>
  <c r="AA40" i="17"/>
  <c r="AA68" i="17"/>
  <c r="AA67" i="17"/>
  <c r="AA66" i="17"/>
  <c r="AA65" i="17"/>
  <c r="AA77" i="17"/>
  <c r="AA75" i="17"/>
  <c r="AA74" i="17"/>
  <c r="AA102" i="17"/>
  <c r="AA99" i="17"/>
  <c r="AA98" i="17"/>
  <c r="AA97" i="17"/>
  <c r="AA93" i="17"/>
  <c r="AA91" i="17"/>
  <c r="AA57" i="17"/>
  <c r="AA51" i="17"/>
  <c r="AA43" i="17"/>
  <c r="AA42" i="17"/>
  <c r="AA41" i="17"/>
  <c r="AA38" i="17"/>
  <c r="AA35" i="17"/>
  <c r="AA32" i="17"/>
  <c r="AA103" i="17"/>
  <c r="AA94" i="17"/>
  <c r="AA62" i="17"/>
  <c r="AA39" i="17"/>
  <c r="AA36" i="17"/>
  <c r="AA33" i="17"/>
  <c r="AA15" i="17"/>
  <c r="AA54" i="17"/>
  <c r="AA53" i="17"/>
  <c r="AA16" i="17"/>
  <c r="AA3" i="17"/>
  <c r="AA104" i="17"/>
  <c r="AA82" i="17"/>
  <c r="AA105" i="17"/>
  <c r="AA79" i="17"/>
  <c r="AA69" i="17"/>
  <c r="AA106" i="17"/>
  <c r="AA80" i="17"/>
  <c r="AA70" i="17"/>
  <c r="AA23" i="17"/>
  <c r="AA4" i="17"/>
  <c r="AA109" i="17"/>
  <c r="AA101" i="17"/>
  <c r="AA89" i="17"/>
  <c r="AA73" i="17"/>
  <c r="AA72" i="17"/>
  <c r="AA71" i="17"/>
  <c r="AA107" i="17"/>
  <c r="AA100" i="17"/>
  <c r="AA48" i="17"/>
  <c r="AA30" i="17"/>
  <c r="AA29" i="17"/>
  <c r="AA28" i="17"/>
  <c r="AA17" i="17"/>
  <c r="AA64" i="17"/>
  <c r="AA24" i="17"/>
  <c r="AA22" i="17"/>
  <c r="AA21" i="17"/>
  <c r="AA19" i="17"/>
  <c r="AA18" i="17"/>
  <c r="AB32" i="17" l="1"/>
  <c r="AC32" i="17" s="1"/>
  <c r="AB110" i="17"/>
  <c r="AC110" i="17" s="1"/>
  <c r="H91" i="21" l="1"/>
  <c r="O91" i="21" s="1"/>
  <c r="H13" i="21"/>
  <c r="I13" i="21" s="1"/>
  <c r="H3" i="21"/>
  <c r="G25" i="20"/>
  <c r="G24" i="20"/>
  <c r="G23" i="20"/>
  <c r="G22" i="20"/>
  <c r="G21" i="20"/>
  <c r="G20" i="20"/>
  <c r="G19" i="20"/>
  <c r="G18" i="20"/>
  <c r="I17" i="20"/>
  <c r="G17" i="20"/>
  <c r="G16" i="20"/>
  <c r="I15" i="20"/>
  <c r="G15" i="20"/>
  <c r="I14" i="20"/>
  <c r="G14" i="20"/>
  <c r="G13" i="20"/>
  <c r="I12" i="20"/>
  <c r="G12" i="20"/>
  <c r="G11" i="20"/>
  <c r="G10" i="20"/>
  <c r="G9" i="20"/>
  <c r="I8" i="20"/>
  <c r="G8" i="20"/>
  <c r="I7" i="20"/>
  <c r="G7" i="20"/>
  <c r="I6" i="20"/>
  <c r="G6" i="20"/>
  <c r="I5" i="20"/>
  <c r="G5" i="20"/>
  <c r="I4" i="20"/>
  <c r="G4" i="20"/>
  <c r="G3" i="20"/>
  <c r="A3" i="20"/>
  <c r="A4" i="20" s="1"/>
  <c r="A5" i="20" s="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G2" i="20"/>
  <c r="AB82" i="19"/>
  <c r="X82" i="19"/>
  <c r="W82" i="19"/>
  <c r="V82" i="19"/>
  <c r="U82" i="19"/>
  <c r="AB81" i="19"/>
  <c r="X81" i="19"/>
  <c r="W81" i="19"/>
  <c r="V81" i="19"/>
  <c r="U81" i="19"/>
  <c r="Y81" i="19" s="1"/>
  <c r="Z81" i="19" s="1"/>
  <c r="AB80" i="19"/>
  <c r="X80" i="19"/>
  <c r="W80" i="19"/>
  <c r="V80" i="19"/>
  <c r="U80" i="19"/>
  <c r="AB79" i="19"/>
  <c r="X79" i="19"/>
  <c r="W79" i="19"/>
  <c r="V79" i="19"/>
  <c r="U79" i="19"/>
  <c r="AB78" i="19"/>
  <c r="AA78" i="19" s="1"/>
  <c r="P78" i="19"/>
  <c r="Q78" i="19" s="1"/>
  <c r="AC77" i="19"/>
  <c r="AB77" i="19"/>
  <c r="AA77" i="19"/>
  <c r="V77" i="19" s="1"/>
  <c r="X77" i="19"/>
  <c r="W77" i="19"/>
  <c r="AC76" i="19"/>
  <c r="AB76" i="19"/>
  <c r="AA76" i="19" s="1"/>
  <c r="P76" i="19"/>
  <c r="Q76" i="19" s="1"/>
  <c r="R76" i="19" s="1"/>
  <c r="S76" i="19" s="1"/>
  <c r="W76" i="19" s="1"/>
  <c r="AC75" i="19"/>
  <c r="AB75" i="19"/>
  <c r="AA75" i="19" s="1"/>
  <c r="V75" i="19" s="1"/>
  <c r="P75" i="19"/>
  <c r="AC74" i="19"/>
  <c r="AB74" i="19"/>
  <c r="AA74" i="19"/>
  <c r="V74" i="19"/>
  <c r="U74" i="19"/>
  <c r="P74" i="19"/>
  <c r="AC73" i="19"/>
  <c r="AB73" i="19"/>
  <c r="AA73" i="19" s="1"/>
  <c r="V73" i="19" s="1"/>
  <c r="N73" i="19"/>
  <c r="M73" i="19"/>
  <c r="P73" i="19" s="1"/>
  <c r="Q73" i="19" s="1"/>
  <c r="AC72" i="19"/>
  <c r="AB72" i="19"/>
  <c r="AA72" i="19" s="1"/>
  <c r="P72" i="19"/>
  <c r="Q72" i="19" s="1"/>
  <c r="AB71" i="19"/>
  <c r="AA71" i="19" s="1"/>
  <c r="P71" i="19"/>
  <c r="Q71" i="19" s="1"/>
  <c r="AC70" i="19"/>
  <c r="AB70" i="19"/>
  <c r="AA70" i="19"/>
  <c r="R70" i="19"/>
  <c r="S70" i="19" s="1"/>
  <c r="X70" i="19" s="1"/>
  <c r="Q70" i="19"/>
  <c r="P70" i="19"/>
  <c r="AC69" i="19"/>
  <c r="AB69" i="19"/>
  <c r="AA69" i="19" s="1"/>
  <c r="P69" i="19"/>
  <c r="Q69" i="19" s="1"/>
  <c r="M69" i="19"/>
  <c r="AC68" i="19"/>
  <c r="AB68" i="19"/>
  <c r="AA68" i="19" s="1"/>
  <c r="P68" i="19"/>
  <c r="Q68" i="19" s="1"/>
  <c r="R68" i="19" s="1"/>
  <c r="AC67" i="19"/>
  <c r="AB67" i="19"/>
  <c r="AA67" i="19" s="1"/>
  <c r="Q67" i="19"/>
  <c r="R67" i="19" s="1"/>
  <c r="S67" i="19" s="1"/>
  <c r="X67" i="19" s="1"/>
  <c r="P67" i="19"/>
  <c r="AC66" i="19"/>
  <c r="AB66" i="19"/>
  <c r="AA66" i="19" s="1"/>
  <c r="U66" i="19" s="1"/>
  <c r="P66" i="19"/>
  <c r="Q66" i="19" s="1"/>
  <c r="AC65" i="19"/>
  <c r="AB65" i="19"/>
  <c r="AA65" i="19" s="1"/>
  <c r="Q65" i="19"/>
  <c r="P65" i="19"/>
  <c r="AC64" i="19"/>
  <c r="AB64" i="19"/>
  <c r="AA64" i="19"/>
  <c r="V64" i="19"/>
  <c r="P64" i="19"/>
  <c r="AC63" i="19"/>
  <c r="AB63" i="19"/>
  <c r="AA63" i="19" s="1"/>
  <c r="P63" i="19"/>
  <c r="Q63" i="19" s="1"/>
  <c r="R63" i="19" s="1"/>
  <c r="S63" i="19" s="1"/>
  <c r="X63" i="19" s="1"/>
  <c r="AB62" i="19"/>
  <c r="AA62" i="19" s="1"/>
  <c r="X62" i="19"/>
  <c r="W62" i="19"/>
  <c r="AC61" i="19"/>
  <c r="AB61" i="19"/>
  <c r="AA61" i="19" s="1"/>
  <c r="U61" i="19" s="1"/>
  <c r="P61" i="19"/>
  <c r="AC60" i="19"/>
  <c r="AB60" i="19"/>
  <c r="AA60" i="19" s="1"/>
  <c r="V60" i="19"/>
  <c r="U60" i="19"/>
  <c r="P60" i="19"/>
  <c r="Q60" i="19" s="1"/>
  <c r="AC59" i="19"/>
  <c r="AB59" i="19"/>
  <c r="AA59" i="19" s="1"/>
  <c r="P59" i="19"/>
  <c r="Q59" i="19" s="1"/>
  <c r="AC58" i="19"/>
  <c r="AB58" i="19"/>
  <c r="AA58" i="19" s="1"/>
  <c r="P58" i="19"/>
  <c r="Q58" i="19" s="1"/>
  <c r="R58" i="19" s="1"/>
  <c r="S58" i="19" s="1"/>
  <c r="AC57" i="19"/>
  <c r="AB57" i="19"/>
  <c r="AA57" i="19" s="1"/>
  <c r="X57" i="19"/>
  <c r="R57" i="19"/>
  <c r="S57" i="19" s="1"/>
  <c r="W57" i="19" s="1"/>
  <c r="P57" i="19"/>
  <c r="Q57" i="19" s="1"/>
  <c r="AC56" i="19"/>
  <c r="AB56" i="19"/>
  <c r="AA56" i="19" s="1"/>
  <c r="V56" i="19"/>
  <c r="U56" i="19"/>
  <c r="P56" i="19"/>
  <c r="Q56" i="19" s="1"/>
  <c r="AC55" i="19"/>
  <c r="AB55" i="19"/>
  <c r="AA55" i="19"/>
  <c r="U55" i="19" s="1"/>
  <c r="V55" i="19"/>
  <c r="N55" i="19"/>
  <c r="M55" i="19"/>
  <c r="P55" i="19" s="1"/>
  <c r="AC54" i="19"/>
  <c r="AB54" i="19"/>
  <c r="AA54" i="19" s="1"/>
  <c r="U54" i="19" s="1"/>
  <c r="P54" i="19"/>
  <c r="AC53" i="19"/>
  <c r="AB53" i="19"/>
  <c r="AA53" i="19"/>
  <c r="U53" i="19" s="1"/>
  <c r="Q53" i="19"/>
  <c r="R53" i="19" s="1"/>
  <c r="P53" i="19"/>
  <c r="AC52" i="19"/>
  <c r="AB52" i="19"/>
  <c r="AA52" i="19"/>
  <c r="V52" i="19" s="1"/>
  <c r="R52" i="19"/>
  <c r="S52" i="19" s="1"/>
  <c r="W52" i="19" s="1"/>
  <c r="P52" i="19"/>
  <c r="Q52" i="19" s="1"/>
  <c r="N52" i="19"/>
  <c r="M52" i="19"/>
  <c r="AC51" i="19"/>
  <c r="AB51" i="19"/>
  <c r="AA51" i="19"/>
  <c r="U51" i="19" s="1"/>
  <c r="V51" i="19"/>
  <c r="Q51" i="19"/>
  <c r="R51" i="19" s="1"/>
  <c r="P51" i="19"/>
  <c r="AC50" i="19"/>
  <c r="AB50" i="19"/>
  <c r="AA50" i="19"/>
  <c r="V50" i="19"/>
  <c r="Q50" i="19"/>
  <c r="N50" i="19"/>
  <c r="M50" i="19"/>
  <c r="P50" i="19" s="1"/>
  <c r="R50" i="19" s="1"/>
  <c r="S50" i="19" s="1"/>
  <c r="W50" i="19" s="1"/>
  <c r="AC49" i="19"/>
  <c r="AB49" i="19"/>
  <c r="AA49" i="19"/>
  <c r="U49" i="19" s="1"/>
  <c r="N49" i="19"/>
  <c r="M49" i="19"/>
  <c r="P49" i="19" s="1"/>
  <c r="AC48" i="19"/>
  <c r="AB48" i="19"/>
  <c r="AA48" i="19" s="1"/>
  <c r="V48" i="19"/>
  <c r="P48" i="19"/>
  <c r="Q48" i="19" s="1"/>
  <c r="N48" i="19"/>
  <c r="M48" i="19"/>
  <c r="AC47" i="19"/>
  <c r="AB47" i="19"/>
  <c r="AA47" i="19" s="1"/>
  <c r="V47" i="19" s="1"/>
  <c r="N47" i="19"/>
  <c r="M47" i="19"/>
  <c r="P47" i="19" s="1"/>
  <c r="AC46" i="19"/>
  <c r="AB46" i="19"/>
  <c r="AA46" i="19" s="1"/>
  <c r="V46" i="19" s="1"/>
  <c r="X46" i="19"/>
  <c r="W46" i="19"/>
  <c r="AC45" i="19"/>
  <c r="AB45" i="19"/>
  <c r="AA45" i="19"/>
  <c r="V45" i="19" s="1"/>
  <c r="R45" i="19"/>
  <c r="S45" i="19" s="1"/>
  <c r="X45" i="19" s="1"/>
  <c r="P45" i="19"/>
  <c r="Q45" i="19" s="1"/>
  <c r="AC44" i="19"/>
  <c r="AB44" i="19"/>
  <c r="AA44" i="19" s="1"/>
  <c r="V44" i="19" s="1"/>
  <c r="P44" i="19"/>
  <c r="Q44" i="19" s="1"/>
  <c r="AC43" i="19"/>
  <c r="AB43" i="19"/>
  <c r="AA43" i="19" s="1"/>
  <c r="V43" i="19" s="1"/>
  <c r="N43" i="19"/>
  <c r="M43" i="19"/>
  <c r="P43" i="19" s="1"/>
  <c r="AC42" i="19"/>
  <c r="AB42" i="19"/>
  <c r="AA42" i="19" s="1"/>
  <c r="V42" i="19"/>
  <c r="P42" i="19"/>
  <c r="Q42" i="19" s="1"/>
  <c r="AC41" i="19"/>
  <c r="AB41" i="19"/>
  <c r="AA41" i="19" s="1"/>
  <c r="V41" i="19" s="1"/>
  <c r="P41" i="19"/>
  <c r="Q41" i="19" s="1"/>
  <c r="AC40" i="19"/>
  <c r="AB40" i="19"/>
  <c r="AA40" i="19" s="1"/>
  <c r="V40" i="19" s="1"/>
  <c r="P40" i="19"/>
  <c r="Q40" i="19" s="1"/>
  <c r="R40" i="19" s="1"/>
  <c r="S40" i="19" s="1"/>
  <c r="AC39" i="19"/>
  <c r="AB39" i="19"/>
  <c r="AA39" i="19"/>
  <c r="V39" i="19" s="1"/>
  <c r="P39" i="19"/>
  <c r="AC38" i="19"/>
  <c r="AB38" i="19"/>
  <c r="AA38" i="19" s="1"/>
  <c r="V38" i="19"/>
  <c r="Q38" i="19"/>
  <c r="P38" i="19"/>
  <c r="AB37" i="19"/>
  <c r="AA37" i="19" s="1"/>
  <c r="X37" i="19"/>
  <c r="W37" i="19"/>
  <c r="V37" i="19"/>
  <c r="AC36" i="19"/>
  <c r="AB36" i="19"/>
  <c r="AA36" i="19" s="1"/>
  <c r="P36" i="19"/>
  <c r="Q36" i="19" s="1"/>
  <c r="AC35" i="19"/>
  <c r="AB35" i="19"/>
  <c r="V35" i="19"/>
  <c r="U35" i="19"/>
  <c r="P35" i="19"/>
  <c r="Q35" i="19" s="1"/>
  <c r="AC34" i="19"/>
  <c r="AB34" i="19"/>
  <c r="AA34" i="19" s="1"/>
  <c r="P34" i="19"/>
  <c r="Q34" i="19" s="1"/>
  <c r="R34" i="19" s="1"/>
  <c r="S34" i="19" s="1"/>
  <c r="W34" i="19" s="1"/>
  <c r="AC33" i="19"/>
  <c r="AB33" i="19"/>
  <c r="AA33" i="19"/>
  <c r="V33" i="19" s="1"/>
  <c r="P33" i="19"/>
  <c r="Q33" i="19" s="1"/>
  <c r="AB32" i="19"/>
  <c r="AA32" i="19"/>
  <c r="V32" i="19" s="1"/>
  <c r="P32" i="19"/>
  <c r="Q32" i="19" s="1"/>
  <c r="AC31" i="19"/>
  <c r="AB31" i="19"/>
  <c r="AA31" i="19" s="1"/>
  <c r="Q31" i="19"/>
  <c r="P31" i="19"/>
  <c r="AC30" i="19"/>
  <c r="AB30" i="19"/>
  <c r="AA30" i="19"/>
  <c r="V30" i="19" s="1"/>
  <c r="R30" i="19"/>
  <c r="S30" i="19" s="1"/>
  <c r="X30" i="19" s="1"/>
  <c r="P30" i="19"/>
  <c r="Q30" i="19" s="1"/>
  <c r="AC29" i="19"/>
  <c r="AB29" i="19"/>
  <c r="AA29" i="19" s="1"/>
  <c r="P29" i="19"/>
  <c r="Q29" i="19" s="1"/>
  <c r="R29" i="19" s="1"/>
  <c r="S29" i="19" s="1"/>
  <c r="AC28" i="19"/>
  <c r="AB28" i="19"/>
  <c r="AA28" i="19" s="1"/>
  <c r="V28" i="19" s="1"/>
  <c r="P28" i="19"/>
  <c r="Q28" i="19" s="1"/>
  <c r="AB27" i="19"/>
  <c r="AA27" i="19" s="1"/>
  <c r="P27" i="19"/>
  <c r="Q27" i="19" s="1"/>
  <c r="AB26" i="19"/>
  <c r="X26" i="19"/>
  <c r="W26" i="19"/>
  <c r="V26" i="19"/>
  <c r="U26" i="19"/>
  <c r="AC25" i="19"/>
  <c r="AB25" i="19"/>
  <c r="AA25" i="19" s="1"/>
  <c r="P25" i="19"/>
  <c r="Q25" i="19" s="1"/>
  <c r="AC24" i="19"/>
  <c r="AB24" i="19"/>
  <c r="V24" i="19"/>
  <c r="U24" i="19"/>
  <c r="P24" i="19"/>
  <c r="Q24" i="19" s="1"/>
  <c r="N24" i="19"/>
  <c r="M24" i="19"/>
  <c r="AC23" i="19"/>
  <c r="AB23" i="19"/>
  <c r="V23" i="19"/>
  <c r="U23" i="19"/>
  <c r="P23" i="19"/>
  <c r="N23" i="19"/>
  <c r="M23" i="19"/>
  <c r="AC22" i="19"/>
  <c r="AB22" i="19"/>
  <c r="V22" i="19"/>
  <c r="U22" i="19"/>
  <c r="N22" i="19"/>
  <c r="M22" i="19"/>
  <c r="P22" i="19" s="1"/>
  <c r="Q22" i="19" s="1"/>
  <c r="AC21" i="19"/>
  <c r="AB21" i="19"/>
  <c r="AA21" i="19" s="1"/>
  <c r="P21" i="19"/>
  <c r="Q21" i="19" s="1"/>
  <c r="R21" i="19" s="1"/>
  <c r="S21" i="19" s="1"/>
  <c r="AC20" i="19"/>
  <c r="AB20" i="19"/>
  <c r="AA20" i="19"/>
  <c r="V20" i="19" s="1"/>
  <c r="P20" i="19"/>
  <c r="Q20" i="19" s="1"/>
  <c r="AC19" i="19"/>
  <c r="AB19" i="19"/>
  <c r="AA19" i="19" s="1"/>
  <c r="X19" i="19"/>
  <c r="W19" i="19"/>
  <c r="AB18" i="19"/>
  <c r="AA18" i="19" s="1"/>
  <c r="V18" i="19"/>
  <c r="P18" i="19"/>
  <c r="AC17" i="19"/>
  <c r="AB17" i="19"/>
  <c r="AA17" i="19" s="1"/>
  <c r="P17" i="19"/>
  <c r="AC16" i="19"/>
  <c r="AB16" i="19"/>
  <c r="AA16" i="19"/>
  <c r="V16" i="19" s="1"/>
  <c r="R16" i="19"/>
  <c r="S16" i="19" s="1"/>
  <c r="Q16" i="19"/>
  <c r="P16" i="19"/>
  <c r="AC15" i="19"/>
  <c r="AB15" i="19"/>
  <c r="AA15" i="19" s="1"/>
  <c r="P15" i="19"/>
  <c r="Q15" i="19" s="1"/>
  <c r="AC14" i="19"/>
  <c r="AB14" i="19"/>
  <c r="AA14" i="19" s="1"/>
  <c r="V14" i="19" s="1"/>
  <c r="P14" i="19"/>
  <c r="AC13" i="19"/>
  <c r="AB13" i="19"/>
  <c r="AA13" i="19"/>
  <c r="U13" i="19" s="1"/>
  <c r="X13" i="19"/>
  <c r="W13" i="19"/>
  <c r="V13" i="19"/>
  <c r="AC12" i="19"/>
  <c r="AB12" i="19"/>
  <c r="AA12" i="19" s="1"/>
  <c r="V12" i="19" s="1"/>
  <c r="P12" i="19"/>
  <c r="N12" i="19"/>
  <c r="M12" i="19"/>
  <c r="AB11" i="19"/>
  <c r="AA11" i="19" s="1"/>
  <c r="V11" i="19" s="1"/>
  <c r="P11" i="19"/>
  <c r="Q11" i="19" s="1"/>
  <c r="AC10" i="19"/>
  <c r="AB10" i="19"/>
  <c r="AA10" i="19" s="1"/>
  <c r="P10" i="19"/>
  <c r="Q10" i="19" s="1"/>
  <c r="R10" i="19" s="1"/>
  <c r="AC9" i="19"/>
  <c r="AB9" i="19"/>
  <c r="AA9" i="19" s="1"/>
  <c r="N9" i="19"/>
  <c r="M9" i="19"/>
  <c r="P9" i="19" s="1"/>
  <c r="AC8" i="19"/>
  <c r="AB8" i="19"/>
  <c r="AA8" i="19" s="1"/>
  <c r="P8" i="19"/>
  <c r="Q8" i="19" s="1"/>
  <c r="R8" i="19" s="1"/>
  <c r="AC7" i="19"/>
  <c r="AB7" i="19"/>
  <c r="AA7" i="19" s="1"/>
  <c r="N7" i="19"/>
  <c r="M7" i="19"/>
  <c r="P7" i="19" s="1"/>
  <c r="AC6" i="19"/>
  <c r="AB6" i="19"/>
  <c r="V6" i="19"/>
  <c r="U6" i="19"/>
  <c r="Q6" i="19"/>
  <c r="R6" i="19" s="1"/>
  <c r="P6" i="19"/>
  <c r="AC5" i="19"/>
  <c r="AB5" i="19"/>
  <c r="V5" i="19"/>
  <c r="U5" i="19"/>
  <c r="P5" i="19"/>
  <c r="Q5" i="19" s="1"/>
  <c r="R5" i="19" s="1"/>
  <c r="AC4" i="19"/>
  <c r="AB4" i="19"/>
  <c r="AA4" i="19"/>
  <c r="R4" i="19"/>
  <c r="S4" i="19" s="1"/>
  <c r="X4" i="19" s="1"/>
  <c r="P4" i="19"/>
  <c r="Q4" i="19" s="1"/>
  <c r="AC3" i="19"/>
  <c r="AB3" i="19"/>
  <c r="AA3" i="19" s="1"/>
  <c r="P3" i="19"/>
  <c r="AC2" i="19"/>
  <c r="AB2" i="19"/>
  <c r="AA2" i="19"/>
  <c r="V2" i="19" s="1"/>
  <c r="W2" i="19"/>
  <c r="S2" i="19"/>
  <c r="X2" i="19" s="1"/>
  <c r="P2" i="19"/>
  <c r="Q2" i="19" s="1"/>
  <c r="Q111" i="16"/>
  <c r="Q110" i="16"/>
  <c r="N110" i="16" s="1"/>
  <c r="I110" i="16"/>
  <c r="Q109" i="16"/>
  <c r="Q108" i="16"/>
  <c r="Q107" i="16"/>
  <c r="N107" i="16"/>
  <c r="G107" i="16"/>
  <c r="Q106" i="16"/>
  <c r="N106" i="16" s="1"/>
  <c r="I106" i="16"/>
  <c r="Q105" i="16"/>
  <c r="Q104" i="16"/>
  <c r="I104" i="16"/>
  <c r="Q103" i="16"/>
  <c r="Q102" i="16"/>
  <c r="N102" i="16" s="1"/>
  <c r="I102" i="16"/>
  <c r="Q101" i="16"/>
  <c r="Q100" i="16"/>
  <c r="I100" i="16" s="1"/>
  <c r="Q99" i="16"/>
  <c r="N99" i="16" s="1"/>
  <c r="Q98" i="16"/>
  <c r="N98" i="16" s="1"/>
  <c r="K98" i="16"/>
  <c r="I98" i="16"/>
  <c r="Q97" i="16"/>
  <c r="N97" i="16" s="1"/>
  <c r="Q96" i="16"/>
  <c r="Q95" i="16"/>
  <c r="J95" i="16" s="1"/>
  <c r="N95" i="16"/>
  <c r="L95" i="16"/>
  <c r="Q94" i="16"/>
  <c r="N94" i="16" s="1"/>
  <c r="I94" i="16"/>
  <c r="Q93" i="16"/>
  <c r="K93" i="16" s="1"/>
  <c r="N93" i="16"/>
  <c r="L93" i="16"/>
  <c r="Q92" i="16"/>
  <c r="Q91" i="16"/>
  <c r="I91" i="16" s="1"/>
  <c r="L91" i="16"/>
  <c r="J91" i="16"/>
  <c r="Q90" i="16"/>
  <c r="N90" i="16" s="1"/>
  <c r="Q89" i="16"/>
  <c r="J89" i="16" s="1"/>
  <c r="L89" i="16"/>
  <c r="K89" i="16"/>
  <c r="Q88" i="16"/>
  <c r="I88" i="16" s="1"/>
  <c r="Q87" i="16"/>
  <c r="I87" i="16" s="1"/>
  <c r="L87" i="16"/>
  <c r="J87" i="16"/>
  <c r="Q86" i="16"/>
  <c r="N86" i="16" s="1"/>
  <c r="Q85" i="16"/>
  <c r="J85" i="16" s="1"/>
  <c r="L85" i="16"/>
  <c r="K85" i="16"/>
  <c r="Q84" i="16"/>
  <c r="I84" i="16" s="1"/>
  <c r="Q83" i="16"/>
  <c r="I83" i="16" s="1"/>
  <c r="L83" i="16"/>
  <c r="J83" i="16"/>
  <c r="Q82" i="16"/>
  <c r="N82" i="16" s="1"/>
  <c r="Q81" i="16"/>
  <c r="J81" i="16" s="1"/>
  <c r="L81" i="16"/>
  <c r="K81" i="16"/>
  <c r="H81" i="16"/>
  <c r="G81" i="16"/>
  <c r="Q80" i="16"/>
  <c r="I80" i="16" s="1"/>
  <c r="Q79" i="16"/>
  <c r="N79" i="16"/>
  <c r="Q78" i="16"/>
  <c r="K78" i="16"/>
  <c r="I78" i="16"/>
  <c r="Q77" i="16"/>
  <c r="N77" i="16" s="1"/>
  <c r="Q76" i="16"/>
  <c r="K76" i="16" s="1"/>
  <c r="I76" i="16"/>
  <c r="Q75" i="16"/>
  <c r="Q74" i="16"/>
  <c r="I74" i="16" s="1"/>
  <c r="Q73" i="16"/>
  <c r="N73" i="16" s="1"/>
  <c r="Q72" i="16"/>
  <c r="I72" i="16" s="1"/>
  <c r="Q71" i="16"/>
  <c r="N71" i="16" s="1"/>
  <c r="Q70" i="16"/>
  <c r="K70" i="16"/>
  <c r="I70" i="16"/>
  <c r="Q69" i="16"/>
  <c r="N69" i="16" s="1"/>
  <c r="Q68" i="16"/>
  <c r="K68" i="16" s="1"/>
  <c r="I68" i="16"/>
  <c r="Q67" i="16"/>
  <c r="Q66" i="16"/>
  <c r="I66" i="16" s="1"/>
  <c r="Q65" i="16"/>
  <c r="Q64" i="16"/>
  <c r="I64" i="16" s="1"/>
  <c r="Q63" i="16"/>
  <c r="N63" i="16"/>
  <c r="Q62" i="16"/>
  <c r="I62" i="16" s="1"/>
  <c r="K62" i="16"/>
  <c r="Q61" i="16"/>
  <c r="N61" i="16"/>
  <c r="Q60" i="16"/>
  <c r="K60" i="16" s="1"/>
  <c r="I60" i="16"/>
  <c r="Q59" i="16"/>
  <c r="Q58" i="16"/>
  <c r="I58" i="16" s="1"/>
  <c r="Q57" i="16"/>
  <c r="N57" i="16"/>
  <c r="Q56" i="16"/>
  <c r="I56" i="16" s="1"/>
  <c r="Q55" i="16"/>
  <c r="Q54" i="16"/>
  <c r="I54" i="16" s="1"/>
  <c r="K54" i="16"/>
  <c r="Q53" i="16"/>
  <c r="N53" i="16" s="1"/>
  <c r="Q52" i="16"/>
  <c r="K52" i="16" s="1"/>
  <c r="I52" i="16"/>
  <c r="H52" i="16"/>
  <c r="G52" i="16"/>
  <c r="Q51" i="16"/>
  <c r="N51" i="16" s="1"/>
  <c r="L51" i="16"/>
  <c r="J51" i="16"/>
  <c r="I51" i="16"/>
  <c r="Q50" i="16"/>
  <c r="L50" i="16"/>
  <c r="Q49" i="16"/>
  <c r="N49" i="16" s="1"/>
  <c r="L49" i="16"/>
  <c r="K49" i="16"/>
  <c r="I49" i="16"/>
  <c r="Q48" i="16"/>
  <c r="Q47" i="16"/>
  <c r="N47" i="16" s="1"/>
  <c r="L47" i="16"/>
  <c r="J47" i="16"/>
  <c r="Q46" i="16"/>
  <c r="L46" i="16"/>
  <c r="K46" i="16"/>
  <c r="Q45" i="16"/>
  <c r="N45" i="16"/>
  <c r="L45" i="16"/>
  <c r="K45" i="16"/>
  <c r="J45" i="16"/>
  <c r="I45" i="16"/>
  <c r="Q44" i="16"/>
  <c r="L44" i="16" s="1"/>
  <c r="Q43" i="16"/>
  <c r="L43" i="16"/>
  <c r="Q42" i="16"/>
  <c r="L42" i="16"/>
  <c r="Q41" i="16"/>
  <c r="L41" i="16"/>
  <c r="K41" i="16"/>
  <c r="Q40" i="16"/>
  <c r="L40" i="16" s="1"/>
  <c r="K40" i="16"/>
  <c r="I40" i="16"/>
  <c r="Q39" i="16"/>
  <c r="Q38" i="16"/>
  <c r="L38" i="16" s="1"/>
  <c r="K38" i="16"/>
  <c r="I38" i="16"/>
  <c r="Q37" i="16"/>
  <c r="N37" i="16"/>
  <c r="L37" i="16"/>
  <c r="K37" i="16"/>
  <c r="J37" i="16"/>
  <c r="I37" i="16"/>
  <c r="Q36" i="16"/>
  <c r="N36" i="16"/>
  <c r="Q35" i="16"/>
  <c r="J35" i="16" s="1"/>
  <c r="Q34" i="16"/>
  <c r="L34" i="16" s="1"/>
  <c r="Q33" i="16"/>
  <c r="K33" i="16" s="1"/>
  <c r="N33" i="16"/>
  <c r="L33" i="16"/>
  <c r="Q32" i="16"/>
  <c r="L32" i="16" s="1"/>
  <c r="K32" i="16"/>
  <c r="Q31" i="16"/>
  <c r="Q30" i="16"/>
  <c r="L30" i="16"/>
  <c r="K30" i="16"/>
  <c r="Q29" i="16"/>
  <c r="L29" i="16"/>
  <c r="K29" i="16"/>
  <c r="Q28" i="16"/>
  <c r="L28" i="16" s="1"/>
  <c r="N28" i="16"/>
  <c r="K28" i="16"/>
  <c r="I28" i="16"/>
  <c r="Q27" i="16"/>
  <c r="N27" i="16" s="1"/>
  <c r="Q26" i="16"/>
  <c r="L26" i="16"/>
  <c r="I26" i="16"/>
  <c r="Q25" i="16"/>
  <c r="K25" i="16" s="1"/>
  <c r="N25" i="16"/>
  <c r="L25" i="16"/>
  <c r="Q24" i="16"/>
  <c r="L24" i="16" s="1"/>
  <c r="N24" i="16"/>
  <c r="J24" i="16"/>
  <c r="I24" i="16"/>
  <c r="Q23" i="16"/>
  <c r="N23" i="16"/>
  <c r="L23" i="16"/>
  <c r="J23" i="16"/>
  <c r="I23" i="16"/>
  <c r="Q22" i="16"/>
  <c r="I22" i="16" s="1"/>
  <c r="L22" i="16"/>
  <c r="K22" i="16"/>
  <c r="Q21" i="16"/>
  <c r="N21" i="16"/>
  <c r="L21" i="16"/>
  <c r="K21" i="16"/>
  <c r="J21" i="16"/>
  <c r="I21" i="16"/>
  <c r="Q20" i="16"/>
  <c r="K20" i="16" s="1"/>
  <c r="Q19" i="16"/>
  <c r="L19" i="16"/>
  <c r="Q18" i="16"/>
  <c r="L18" i="16" s="1"/>
  <c r="Q17" i="16"/>
  <c r="I17" i="16" s="1"/>
  <c r="N17" i="16"/>
  <c r="L17" i="16"/>
  <c r="K17" i="16"/>
  <c r="J17" i="16"/>
  <c r="Q16" i="16"/>
  <c r="L16" i="16" s="1"/>
  <c r="K16" i="16"/>
  <c r="J16" i="16"/>
  <c r="Q15" i="16"/>
  <c r="J15" i="16" s="1"/>
  <c r="Q14" i="16"/>
  <c r="Q13" i="16"/>
  <c r="N13" i="16" s="1"/>
  <c r="L13" i="16"/>
  <c r="K13" i="16"/>
  <c r="J13" i="16"/>
  <c r="I13" i="16"/>
  <c r="Q12" i="16"/>
  <c r="L12" i="16" s="1"/>
  <c r="N12" i="16"/>
  <c r="K12" i="16"/>
  <c r="I12" i="16"/>
  <c r="Q11" i="16"/>
  <c r="N11" i="16" s="1"/>
  <c r="Q10" i="16"/>
  <c r="L10" i="16"/>
  <c r="I10" i="16"/>
  <c r="Q9" i="16"/>
  <c r="I9" i="16" s="1"/>
  <c r="N9" i="16"/>
  <c r="K9" i="16"/>
  <c r="J9" i="16"/>
  <c r="Q8" i="16"/>
  <c r="L8" i="16" s="1"/>
  <c r="N8" i="16"/>
  <c r="K8" i="16"/>
  <c r="J8" i="16"/>
  <c r="I8" i="16"/>
  <c r="Q7" i="16"/>
  <c r="N7" i="16"/>
  <c r="Q6" i="16"/>
  <c r="K6" i="16" s="1"/>
  <c r="L6" i="16"/>
  <c r="I6" i="16"/>
  <c r="Q5" i="16"/>
  <c r="I5" i="16" s="1"/>
  <c r="Q4" i="16"/>
  <c r="Q3" i="16"/>
  <c r="L3" i="16"/>
  <c r="Q2" i="16"/>
  <c r="L2" i="16" s="1"/>
  <c r="K2" i="16"/>
  <c r="I2" i="16"/>
  <c r="Q112" i="15"/>
  <c r="L112" i="15" s="1"/>
  <c r="N112" i="15"/>
  <c r="J112" i="15"/>
  <c r="I112" i="15"/>
  <c r="Q111" i="15"/>
  <c r="I111" i="15" s="1"/>
  <c r="Q110" i="15"/>
  <c r="N110" i="15"/>
  <c r="L110" i="15"/>
  <c r="K110" i="15"/>
  <c r="J110" i="15"/>
  <c r="I110" i="15"/>
  <c r="Q109" i="15"/>
  <c r="L109" i="15" s="1"/>
  <c r="Q108" i="15"/>
  <c r="L108" i="15" s="1"/>
  <c r="N108" i="15"/>
  <c r="J108" i="15"/>
  <c r="I108" i="15"/>
  <c r="G108" i="15"/>
  <c r="Q107" i="15"/>
  <c r="I107" i="15" s="1"/>
  <c r="Q106" i="15"/>
  <c r="K106" i="15" s="1"/>
  <c r="N106" i="15"/>
  <c r="L106" i="15"/>
  <c r="J106" i="15"/>
  <c r="I106" i="15"/>
  <c r="Q105" i="15"/>
  <c r="L105" i="15" s="1"/>
  <c r="Q104" i="15"/>
  <c r="L104" i="15" s="1"/>
  <c r="N104" i="15"/>
  <c r="J104" i="15"/>
  <c r="I104" i="15"/>
  <c r="Q103" i="15"/>
  <c r="I103" i="15" s="1"/>
  <c r="Q102" i="15"/>
  <c r="J102" i="15" s="1"/>
  <c r="N102" i="15"/>
  <c r="L102" i="15"/>
  <c r="I102" i="15"/>
  <c r="Q101" i="15"/>
  <c r="Q100" i="15"/>
  <c r="N100" i="15" s="1"/>
  <c r="L100" i="15"/>
  <c r="I100" i="15"/>
  <c r="Q99" i="15"/>
  <c r="I99" i="15" s="1"/>
  <c r="Q98" i="15"/>
  <c r="N98" i="15" s="1"/>
  <c r="I98" i="15"/>
  <c r="Q97" i="15"/>
  <c r="L97" i="15" s="1"/>
  <c r="K97" i="15"/>
  <c r="I97" i="15"/>
  <c r="Q96" i="15"/>
  <c r="N96" i="15" s="1"/>
  <c r="I96" i="15"/>
  <c r="Q95" i="15"/>
  <c r="I95" i="15" s="1"/>
  <c r="Q94" i="15"/>
  <c r="Q93" i="15"/>
  <c r="L93" i="15" s="1"/>
  <c r="K93" i="15"/>
  <c r="Q92" i="15"/>
  <c r="N92" i="15" s="1"/>
  <c r="Q91" i="15"/>
  <c r="Q90" i="15"/>
  <c r="I90" i="15" s="1"/>
  <c r="N90" i="15"/>
  <c r="L90" i="15"/>
  <c r="J90" i="15"/>
  <c r="Q89" i="15"/>
  <c r="L89" i="15" s="1"/>
  <c r="I89" i="15"/>
  <c r="Q88" i="15"/>
  <c r="J88" i="15" s="1"/>
  <c r="N88" i="15"/>
  <c r="L88" i="15"/>
  <c r="K88" i="15"/>
  <c r="Q87" i="15"/>
  <c r="Q86" i="15"/>
  <c r="L86" i="15" s="1"/>
  <c r="J86" i="15"/>
  <c r="Q85" i="15"/>
  <c r="L85" i="15" s="1"/>
  <c r="K85" i="15"/>
  <c r="I85" i="15"/>
  <c r="Q84" i="15"/>
  <c r="J84" i="15"/>
  <c r="Q83" i="15"/>
  <c r="Q82" i="15"/>
  <c r="N82" i="15" s="1"/>
  <c r="L82" i="15"/>
  <c r="I82" i="15"/>
  <c r="H82" i="15"/>
  <c r="G82" i="15"/>
  <c r="Q81" i="15"/>
  <c r="L81" i="15" s="1"/>
  <c r="K81" i="15"/>
  <c r="Q80" i="15"/>
  <c r="L80" i="15" s="1"/>
  <c r="Q79" i="15"/>
  <c r="I79" i="15"/>
  <c r="Q78" i="15"/>
  <c r="N78" i="15"/>
  <c r="L78" i="15"/>
  <c r="J78" i="15"/>
  <c r="I78" i="15"/>
  <c r="Q77" i="15"/>
  <c r="L77" i="15" s="1"/>
  <c r="Q76" i="15"/>
  <c r="N76" i="15"/>
  <c r="L76" i="15"/>
  <c r="K76" i="15"/>
  <c r="J76" i="15"/>
  <c r="I76" i="15"/>
  <c r="Q75" i="15"/>
  <c r="I75" i="15"/>
  <c r="Q74" i="15"/>
  <c r="L74" i="15" s="1"/>
  <c r="N74" i="15"/>
  <c r="J74" i="15"/>
  <c r="I74" i="15"/>
  <c r="Q73" i="15"/>
  <c r="L73" i="15" s="1"/>
  <c r="Q72" i="15"/>
  <c r="L72" i="15" s="1"/>
  <c r="N72" i="15"/>
  <c r="K72" i="15"/>
  <c r="J72" i="15"/>
  <c r="I72" i="15"/>
  <c r="Q71" i="15"/>
  <c r="Q70" i="15"/>
  <c r="N70" i="15" s="1"/>
  <c r="L70" i="15"/>
  <c r="I70" i="15"/>
  <c r="Q69" i="15"/>
  <c r="Q68" i="15"/>
  <c r="N68" i="15" s="1"/>
  <c r="L68" i="15"/>
  <c r="J68" i="15"/>
  <c r="I68" i="15"/>
  <c r="Q67" i="15"/>
  <c r="Q66" i="15"/>
  <c r="I66" i="15" s="1"/>
  <c r="N66" i="15"/>
  <c r="L66" i="15"/>
  <c r="J66" i="15"/>
  <c r="Q65" i="15"/>
  <c r="Q64" i="15"/>
  <c r="J64" i="15" s="1"/>
  <c r="N64" i="15"/>
  <c r="L64" i="15"/>
  <c r="K64" i="15"/>
  <c r="I64" i="15"/>
  <c r="Q63" i="15"/>
  <c r="I63" i="15" s="1"/>
  <c r="Q62" i="15"/>
  <c r="L62" i="15" s="1"/>
  <c r="N62" i="15"/>
  <c r="J62" i="15"/>
  <c r="Q61" i="15"/>
  <c r="I61" i="15"/>
  <c r="Q60" i="15"/>
  <c r="N60" i="15" s="1"/>
  <c r="J60" i="15"/>
  <c r="Q59" i="15"/>
  <c r="I59" i="15"/>
  <c r="Q58" i="15"/>
  <c r="N58" i="15" s="1"/>
  <c r="I58" i="15"/>
  <c r="Q57" i="15"/>
  <c r="K57" i="15"/>
  <c r="I57" i="15"/>
  <c r="Q56" i="15"/>
  <c r="N56" i="15" s="1"/>
  <c r="J56" i="15"/>
  <c r="Q55" i="15"/>
  <c r="Q54" i="15"/>
  <c r="N54" i="15" s="1"/>
  <c r="J54" i="15"/>
  <c r="Q53" i="15"/>
  <c r="I53" i="15"/>
  <c r="H53" i="15"/>
  <c r="G53" i="15"/>
  <c r="Q52" i="15"/>
  <c r="N52" i="15" s="1"/>
  <c r="L52" i="15"/>
  <c r="I52" i="15"/>
  <c r="Q51" i="15"/>
  <c r="Q50" i="15"/>
  <c r="N50" i="15" s="1"/>
  <c r="L50" i="15"/>
  <c r="J50" i="15"/>
  <c r="I50" i="15"/>
  <c r="Q49" i="15"/>
  <c r="N49" i="15" s="1"/>
  <c r="I49" i="15"/>
  <c r="Q48" i="15"/>
  <c r="I48" i="15"/>
  <c r="Q47" i="15"/>
  <c r="I47" i="15"/>
  <c r="Q46" i="15"/>
  <c r="N46" i="15" s="1"/>
  <c r="K46" i="15"/>
  <c r="I46" i="15"/>
  <c r="Q45" i="15"/>
  <c r="N45" i="15" s="1"/>
  <c r="I45" i="15"/>
  <c r="Q44" i="15"/>
  <c r="Q43" i="15"/>
  <c r="N43" i="15"/>
  <c r="L43" i="15"/>
  <c r="Q42" i="15"/>
  <c r="I42" i="15"/>
  <c r="Q41" i="15"/>
  <c r="N41" i="15"/>
  <c r="Q40" i="15"/>
  <c r="I40" i="15" s="1"/>
  <c r="Q39" i="15"/>
  <c r="N39" i="15"/>
  <c r="L39" i="15"/>
  <c r="K39" i="15"/>
  <c r="J39" i="15"/>
  <c r="I39" i="15"/>
  <c r="Q38" i="15"/>
  <c r="N38" i="15" s="1"/>
  <c r="K38" i="15"/>
  <c r="I38" i="15"/>
  <c r="Q37" i="15"/>
  <c r="L37" i="15" s="1"/>
  <c r="N37" i="15"/>
  <c r="Q36" i="15"/>
  <c r="I36" i="15" s="1"/>
  <c r="Q35" i="15"/>
  <c r="L35" i="15"/>
  <c r="K35" i="15"/>
  <c r="J35" i="15"/>
  <c r="Q34" i="15"/>
  <c r="N34" i="15" s="1"/>
  <c r="I34" i="15"/>
  <c r="Q33" i="15"/>
  <c r="I33" i="15" s="1"/>
  <c r="N33" i="15"/>
  <c r="L33" i="15"/>
  <c r="J33" i="15"/>
  <c r="Q32" i="15"/>
  <c r="Q31" i="15"/>
  <c r="L31" i="15" s="1"/>
  <c r="N31" i="15"/>
  <c r="K31" i="15"/>
  <c r="J31" i="15"/>
  <c r="I31" i="15"/>
  <c r="Q30" i="15"/>
  <c r="N30" i="15" s="1"/>
  <c r="K30" i="15"/>
  <c r="I30" i="15"/>
  <c r="Q29" i="15"/>
  <c r="N29" i="15" s="1"/>
  <c r="L29" i="15"/>
  <c r="J29" i="15"/>
  <c r="Q28" i="15"/>
  <c r="I28" i="15" s="1"/>
  <c r="Q27" i="15"/>
  <c r="L27" i="15" s="1"/>
  <c r="N27" i="15"/>
  <c r="K27" i="15"/>
  <c r="J27" i="15"/>
  <c r="I27" i="15"/>
  <c r="Q26" i="15"/>
  <c r="N26" i="15" s="1"/>
  <c r="I26" i="15"/>
  <c r="Q25" i="15"/>
  <c r="Q24" i="15"/>
  <c r="I24" i="15" s="1"/>
  <c r="Q23" i="15"/>
  <c r="K23" i="15" s="1"/>
  <c r="N23" i="15"/>
  <c r="L23" i="15"/>
  <c r="J23" i="15"/>
  <c r="I23" i="15"/>
  <c r="Q22" i="15"/>
  <c r="Q21" i="15"/>
  <c r="L21" i="15" s="1"/>
  <c r="N21" i="15"/>
  <c r="J21" i="15"/>
  <c r="I21" i="15"/>
  <c r="Q20" i="15"/>
  <c r="I20" i="15" s="1"/>
  <c r="Q19" i="15"/>
  <c r="N19" i="15" s="1"/>
  <c r="K19" i="15"/>
  <c r="I19" i="15"/>
  <c r="Q18" i="15"/>
  <c r="N18" i="15" s="1"/>
  <c r="K18" i="15"/>
  <c r="I18" i="15"/>
  <c r="Q17" i="15"/>
  <c r="J17" i="15" s="1"/>
  <c r="N17" i="15"/>
  <c r="L17" i="15"/>
  <c r="I17" i="15"/>
  <c r="Q16" i="15"/>
  <c r="Q15" i="15"/>
  <c r="N15" i="15"/>
  <c r="J15" i="15"/>
  <c r="Q14" i="15"/>
  <c r="I14" i="15" s="1"/>
  <c r="Q13" i="15"/>
  <c r="L13" i="15" s="1"/>
  <c r="N13" i="15"/>
  <c r="Q12" i="15"/>
  <c r="K12" i="15" s="1"/>
  <c r="I12" i="15"/>
  <c r="Q11" i="15"/>
  <c r="K11" i="15" s="1"/>
  <c r="N11" i="15"/>
  <c r="L11" i="15"/>
  <c r="I11" i="15"/>
  <c r="Q10" i="15"/>
  <c r="K10" i="15"/>
  <c r="I10" i="15"/>
  <c r="Q9" i="15"/>
  <c r="L9" i="15" s="1"/>
  <c r="N9" i="15"/>
  <c r="J9" i="15"/>
  <c r="Q8" i="15"/>
  <c r="I8" i="15" s="1"/>
  <c r="Q7" i="15"/>
  <c r="J7" i="15" s="1"/>
  <c r="N7" i="15"/>
  <c r="L7" i="15"/>
  <c r="K7" i="15"/>
  <c r="I7" i="15"/>
  <c r="Q6" i="15"/>
  <c r="I6" i="15" s="1"/>
  <c r="Q5" i="15"/>
  <c r="I5" i="15" s="1"/>
  <c r="N5" i="15"/>
  <c r="J5" i="15"/>
  <c r="Q4" i="15"/>
  <c r="I4" i="15" s="1"/>
  <c r="K4" i="15"/>
  <c r="Q3" i="15"/>
  <c r="J3" i="15" s="1"/>
  <c r="N3" i="15"/>
  <c r="K3" i="15"/>
  <c r="Q2" i="15"/>
  <c r="K2" i="15" s="1"/>
  <c r="I2" i="15"/>
  <c r="S90" i="13"/>
  <c r="S89" i="13"/>
  <c r="S88" i="13"/>
  <c r="S87" i="13"/>
  <c r="V86" i="13"/>
  <c r="W86" i="13" s="1"/>
  <c r="T86" i="13"/>
  <c r="V85" i="13"/>
  <c r="W85" i="13" s="1"/>
  <c r="T85" i="13"/>
  <c r="S85" i="13"/>
  <c r="U85" i="13" s="1"/>
  <c r="V84" i="13"/>
  <c r="W84" i="13" s="1"/>
  <c r="U84" i="13"/>
  <c r="T84" i="13"/>
  <c r="S84" i="13"/>
  <c r="V83" i="13"/>
  <c r="W83" i="13" s="1"/>
  <c r="T83" i="13"/>
  <c r="S83" i="13"/>
  <c r="V82" i="13"/>
  <c r="W82" i="13" s="1"/>
  <c r="T82" i="13"/>
  <c r="S82" i="13"/>
  <c r="V81" i="13"/>
  <c r="W81" i="13" s="1"/>
  <c r="T81" i="13"/>
  <c r="S81" i="13"/>
  <c r="V80" i="13"/>
  <c r="W80" i="13" s="1"/>
  <c r="U80" i="13"/>
  <c r="R80" i="13" s="1"/>
  <c r="T80" i="13"/>
  <c r="S80" i="13"/>
  <c r="W79" i="13"/>
  <c r="V79" i="13"/>
  <c r="T79" i="13"/>
  <c r="S79" i="13"/>
  <c r="V78" i="13"/>
  <c r="W78" i="13" s="1"/>
  <c r="T78" i="13"/>
  <c r="S78" i="13"/>
  <c r="U78" i="13" s="1"/>
  <c r="R78" i="13" s="1"/>
  <c r="V77" i="13"/>
  <c r="W77" i="13" s="1"/>
  <c r="T77" i="13"/>
  <c r="V76" i="13"/>
  <c r="W76" i="13" s="1"/>
  <c r="T76" i="13"/>
  <c r="V75" i="13"/>
  <c r="W75" i="13" s="1"/>
  <c r="T75" i="13"/>
  <c r="V74" i="13"/>
  <c r="W74" i="13" s="1"/>
  <c r="T74" i="13"/>
  <c r="S74" i="13"/>
  <c r="U74" i="13" s="1"/>
  <c r="R74" i="13"/>
  <c r="I74" i="13" s="1"/>
  <c r="V73" i="13"/>
  <c r="W73" i="13" s="1"/>
  <c r="T73" i="13"/>
  <c r="S73" i="13"/>
  <c r="V72" i="13"/>
  <c r="W72" i="13" s="1"/>
  <c r="T72" i="13"/>
  <c r="S72" i="13"/>
  <c r="U72" i="13" s="1"/>
  <c r="R72" i="13" s="1"/>
  <c r="V71" i="13"/>
  <c r="W71" i="13" s="1"/>
  <c r="T71" i="13"/>
  <c r="S71" i="13"/>
  <c r="V70" i="13"/>
  <c r="W70" i="13" s="1"/>
  <c r="T70" i="13"/>
  <c r="V69" i="13"/>
  <c r="W69" i="13" s="1"/>
  <c r="S69" i="13"/>
  <c r="W68" i="13"/>
  <c r="V68" i="13"/>
  <c r="S68" i="13"/>
  <c r="U68" i="13" s="1"/>
  <c r="R68" i="13" s="1"/>
  <c r="V67" i="13"/>
  <c r="W67" i="13" s="1"/>
  <c r="T67" i="13"/>
  <c r="S67" i="13"/>
  <c r="V66" i="13"/>
  <c r="W66" i="13" s="1"/>
  <c r="T66" i="13"/>
  <c r="S66" i="13"/>
  <c r="U66" i="13" s="1"/>
  <c r="R66" i="13" s="1"/>
  <c r="K66" i="13" s="1"/>
  <c r="V65" i="13"/>
  <c r="W65" i="13" s="1"/>
  <c r="T65" i="13"/>
  <c r="S65" i="13"/>
  <c r="V64" i="13"/>
  <c r="W64" i="13" s="1"/>
  <c r="T64" i="13"/>
  <c r="S64" i="13"/>
  <c r="U64" i="13" s="1"/>
  <c r="R64" i="13" s="1"/>
  <c r="W63" i="13"/>
  <c r="V63" i="13"/>
  <c r="T63" i="13"/>
  <c r="S63" i="13"/>
  <c r="V62" i="13"/>
  <c r="W62" i="13" s="1"/>
  <c r="T62" i="13"/>
  <c r="V61" i="13"/>
  <c r="W61" i="13" s="1"/>
  <c r="T61" i="13"/>
  <c r="S61" i="13"/>
  <c r="V60" i="13"/>
  <c r="W60" i="13" s="1"/>
  <c r="T60" i="13"/>
  <c r="S60" i="13"/>
  <c r="U60" i="13" s="1"/>
  <c r="R60" i="13"/>
  <c r="I60" i="13"/>
  <c r="V59" i="13"/>
  <c r="W59" i="13" s="1"/>
  <c r="T59" i="13"/>
  <c r="S59" i="13"/>
  <c r="V58" i="13"/>
  <c r="W58" i="13" s="1"/>
  <c r="T58" i="13"/>
  <c r="V57" i="13"/>
  <c r="W57" i="13" s="1"/>
  <c r="T57" i="13"/>
  <c r="V56" i="13"/>
  <c r="W56" i="13" s="1"/>
  <c r="T56" i="13"/>
  <c r="S56" i="13"/>
  <c r="U56" i="13" s="1"/>
  <c r="R56" i="13" s="1"/>
  <c r="K56" i="13" s="1"/>
  <c r="V55" i="13"/>
  <c r="W55" i="13" s="1"/>
  <c r="T55" i="13"/>
  <c r="S55" i="13"/>
  <c r="U55" i="13" s="1"/>
  <c r="V54" i="13"/>
  <c r="W54" i="13" s="1"/>
  <c r="V53" i="13"/>
  <c r="W53" i="13" s="1"/>
  <c r="U53" i="13"/>
  <c r="R53" i="13" s="1"/>
  <c r="I53" i="13" s="1"/>
  <c r="T53" i="13"/>
  <c r="S53" i="13"/>
  <c r="V52" i="13"/>
  <c r="W52" i="13" s="1"/>
  <c r="T52" i="13"/>
  <c r="V51" i="13"/>
  <c r="W51" i="13" s="1"/>
  <c r="T51" i="13"/>
  <c r="V50" i="13"/>
  <c r="W50" i="13" s="1"/>
  <c r="T50" i="13"/>
  <c r="V49" i="13"/>
  <c r="W49" i="13" s="1"/>
  <c r="T49" i="13"/>
  <c r="V48" i="13"/>
  <c r="W48" i="13" s="1"/>
  <c r="T48" i="13"/>
  <c r="S48" i="13"/>
  <c r="U48" i="13" s="1"/>
  <c r="V47" i="13"/>
  <c r="W47" i="13" s="1"/>
  <c r="T47" i="13"/>
  <c r="S47" i="13"/>
  <c r="H47" i="13"/>
  <c r="G47" i="13"/>
  <c r="V46" i="13"/>
  <c r="W46" i="13" s="1"/>
  <c r="U46" i="13"/>
  <c r="T46" i="13"/>
  <c r="S46" i="13"/>
  <c r="V45" i="13"/>
  <c r="W45" i="13" s="1"/>
  <c r="T45" i="13"/>
  <c r="V44" i="13"/>
  <c r="W44" i="13" s="1"/>
  <c r="U44" i="13"/>
  <c r="T44" i="13"/>
  <c r="R44" i="13"/>
  <c r="I44" i="13" s="1"/>
  <c r="V43" i="13"/>
  <c r="W43" i="13" s="1"/>
  <c r="T43" i="13"/>
  <c r="S43" i="13"/>
  <c r="U43" i="13" s="1"/>
  <c r="V42" i="13"/>
  <c r="W42" i="13" s="1"/>
  <c r="T42" i="13"/>
  <c r="V41" i="13"/>
  <c r="W41" i="13" s="1"/>
  <c r="T41" i="13"/>
  <c r="S41" i="13"/>
  <c r="U41" i="13" s="1"/>
  <c r="V40" i="13"/>
  <c r="W40" i="13" s="1"/>
  <c r="T40" i="13"/>
  <c r="V39" i="13"/>
  <c r="W39" i="13" s="1"/>
  <c r="U39" i="13"/>
  <c r="T39" i="13"/>
  <c r="S39" i="13"/>
  <c r="R39" i="13"/>
  <c r="V38" i="13"/>
  <c r="W38" i="13" s="1"/>
  <c r="T38" i="13"/>
  <c r="S38" i="13"/>
  <c r="V37" i="13"/>
  <c r="W37" i="13" s="1"/>
  <c r="T37" i="13"/>
  <c r="S37" i="13"/>
  <c r="V36" i="13"/>
  <c r="W36" i="13" s="1"/>
  <c r="T36" i="13"/>
  <c r="S36" i="13"/>
  <c r="V35" i="13"/>
  <c r="W35" i="13" s="1"/>
  <c r="U35" i="13"/>
  <c r="R35" i="13" s="1"/>
  <c r="I35" i="13" s="1"/>
  <c r="T35" i="13"/>
  <c r="S35" i="13"/>
  <c r="V34" i="13"/>
  <c r="W34" i="13" s="1"/>
  <c r="T34" i="13"/>
  <c r="S34" i="13"/>
  <c r="U34" i="13" s="1"/>
  <c r="V33" i="13"/>
  <c r="W33" i="13" s="1"/>
  <c r="T33" i="13"/>
  <c r="V32" i="13"/>
  <c r="W32" i="13" s="1"/>
  <c r="T32" i="13"/>
  <c r="V31" i="13"/>
  <c r="W31" i="13" s="1"/>
  <c r="U31" i="13"/>
  <c r="R31" i="13" s="1"/>
  <c r="T31" i="13"/>
  <c r="V30" i="13"/>
  <c r="W30" i="13" s="1"/>
  <c r="U30" i="13"/>
  <c r="T30" i="13"/>
  <c r="S30" i="13"/>
  <c r="R30" i="13"/>
  <c r="I30" i="13" s="1"/>
  <c r="V29" i="13"/>
  <c r="W29" i="13" s="1"/>
  <c r="T29" i="13"/>
  <c r="V28" i="13"/>
  <c r="W28" i="13" s="1"/>
  <c r="T28" i="13"/>
  <c r="V27" i="13"/>
  <c r="W27" i="13" s="1"/>
  <c r="S27" i="13"/>
  <c r="U27" i="13" s="1"/>
  <c r="R27" i="13" s="1"/>
  <c r="I27" i="13" s="1"/>
  <c r="V26" i="13"/>
  <c r="W26" i="13" s="1"/>
  <c r="T26" i="13"/>
  <c r="V25" i="13"/>
  <c r="W25" i="13" s="1"/>
  <c r="T25" i="13"/>
  <c r="S25" i="13"/>
  <c r="U25" i="13" s="1"/>
  <c r="R25" i="13" s="1"/>
  <c r="K25" i="13" s="1"/>
  <c r="V24" i="13"/>
  <c r="W24" i="13" s="1"/>
  <c r="T24" i="13"/>
  <c r="S24" i="13"/>
  <c r="V23" i="13"/>
  <c r="W23" i="13" s="1"/>
  <c r="T23" i="13"/>
  <c r="S23" i="13"/>
  <c r="U23" i="13" s="1"/>
  <c r="R23" i="13" s="1"/>
  <c r="W22" i="13"/>
  <c r="V22" i="13"/>
  <c r="T22" i="13"/>
  <c r="S22" i="13"/>
  <c r="V21" i="13"/>
  <c r="W21" i="13" s="1"/>
  <c r="U21" i="13"/>
  <c r="R21" i="13" s="1"/>
  <c r="J21" i="13" s="1"/>
  <c r="T21" i="13"/>
  <c r="L21" i="13"/>
  <c r="V20" i="13"/>
  <c r="W20" i="13" s="1"/>
  <c r="T20" i="13"/>
  <c r="S20" i="13"/>
  <c r="U20" i="13" s="1"/>
  <c r="R20" i="13" s="1"/>
  <c r="I20" i="13" s="1"/>
  <c r="V19" i="13"/>
  <c r="W19" i="13" s="1"/>
  <c r="U19" i="13"/>
  <c r="T19" i="13"/>
  <c r="S19" i="13"/>
  <c r="V18" i="13"/>
  <c r="W18" i="13" s="1"/>
  <c r="T18" i="13"/>
  <c r="S18" i="13"/>
  <c r="U18" i="13" s="1"/>
  <c r="R18" i="13"/>
  <c r="I18" i="13"/>
  <c r="W17" i="13"/>
  <c r="V17" i="13"/>
  <c r="T17" i="13"/>
  <c r="V16" i="13"/>
  <c r="W16" i="13" s="1"/>
  <c r="T16" i="13"/>
  <c r="S16" i="13"/>
  <c r="U16" i="13" s="1"/>
  <c r="R16" i="13" s="1"/>
  <c r="I16" i="13"/>
  <c r="V15" i="13"/>
  <c r="W15" i="13" s="1"/>
  <c r="T15" i="13"/>
  <c r="S15" i="13"/>
  <c r="U15" i="13" s="1"/>
  <c r="V14" i="13"/>
  <c r="W14" i="13" s="1"/>
  <c r="T14" i="13"/>
  <c r="S14" i="13"/>
  <c r="U14" i="13" s="1"/>
  <c r="R14" i="13" s="1"/>
  <c r="V13" i="13"/>
  <c r="W13" i="13" s="1"/>
  <c r="T13" i="13"/>
  <c r="V12" i="13"/>
  <c r="W12" i="13" s="1"/>
  <c r="T12" i="13"/>
  <c r="S12" i="13"/>
  <c r="U12" i="13" s="1"/>
  <c r="R12" i="13" s="1"/>
  <c r="W11" i="13"/>
  <c r="V11" i="13"/>
  <c r="T11" i="13"/>
  <c r="S11" i="13"/>
  <c r="V10" i="13"/>
  <c r="W10" i="13" s="1"/>
  <c r="T10" i="13"/>
  <c r="S10" i="13"/>
  <c r="V9" i="13"/>
  <c r="W9" i="13" s="1"/>
  <c r="T9" i="13"/>
  <c r="S9" i="13"/>
  <c r="V8" i="13"/>
  <c r="W8" i="13" s="1"/>
  <c r="T8" i="13"/>
  <c r="V7" i="13"/>
  <c r="W7" i="13" s="1"/>
  <c r="T7" i="13"/>
  <c r="V6" i="13"/>
  <c r="W6" i="13" s="1"/>
  <c r="T6" i="13"/>
  <c r="V5" i="13"/>
  <c r="W5" i="13" s="1"/>
  <c r="T5" i="13"/>
  <c r="V4" i="13"/>
  <c r="W4" i="13" s="1"/>
  <c r="T4" i="13"/>
  <c r="S4" i="13"/>
  <c r="U4" i="13" s="1"/>
  <c r="R4" i="13" s="1"/>
  <c r="K4" i="13" s="1"/>
  <c r="I4" i="13"/>
  <c r="V3" i="13"/>
  <c r="W3" i="13" s="1"/>
  <c r="T3" i="13"/>
  <c r="S3" i="13"/>
  <c r="U3" i="13" s="1"/>
  <c r="A3" i="13"/>
  <c r="A4" i="13" s="1"/>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V2" i="13"/>
  <c r="W2" i="13" s="1"/>
  <c r="T2" i="13"/>
  <c r="S2" i="13"/>
  <c r="U2" i="13" s="1"/>
  <c r="R2" i="13" s="1"/>
  <c r="S87" i="12"/>
  <c r="Q87" i="12"/>
  <c r="T86" i="12"/>
  <c r="S86" i="12"/>
  <c r="Q86" i="12"/>
  <c r="J86" i="12" s="1"/>
  <c r="N86" i="12"/>
  <c r="L86" i="12"/>
  <c r="K86" i="12"/>
  <c r="D86" i="12"/>
  <c r="T85" i="12"/>
  <c r="S85" i="12"/>
  <c r="Q85" i="12"/>
  <c r="N85" i="12"/>
  <c r="L85" i="12"/>
  <c r="J85" i="12"/>
  <c r="D85" i="12"/>
  <c r="T84" i="12"/>
  <c r="S84" i="12"/>
  <c r="Q84" i="12"/>
  <c r="N84" i="12"/>
  <c r="L84" i="12"/>
  <c r="K84" i="12"/>
  <c r="J84" i="12"/>
  <c r="D84" i="12"/>
  <c r="T83" i="12"/>
  <c r="S83" i="12"/>
  <c r="Q83" i="12"/>
  <c r="N83" i="12"/>
  <c r="L83" i="12"/>
  <c r="J83" i="12"/>
  <c r="D83" i="12"/>
  <c r="T82" i="12"/>
  <c r="S82" i="12"/>
  <c r="Q82" i="12"/>
  <c r="N82" i="12"/>
  <c r="L82" i="12"/>
  <c r="K82" i="12"/>
  <c r="J82" i="12"/>
  <c r="D82" i="12"/>
  <c r="T81" i="12"/>
  <c r="S81" i="12"/>
  <c r="Q81" i="12"/>
  <c r="N81" i="12"/>
  <c r="L81" i="12"/>
  <c r="J81" i="12"/>
  <c r="D81" i="12"/>
  <c r="T80" i="12"/>
  <c r="S80" i="12"/>
  <c r="Q80" i="12"/>
  <c r="D80" i="12"/>
  <c r="T79" i="12"/>
  <c r="S79" i="12"/>
  <c r="Q79" i="12"/>
  <c r="D79" i="12"/>
  <c r="T78" i="12"/>
  <c r="S78" i="12"/>
  <c r="Q78" i="12"/>
  <c r="L78" i="12" s="1"/>
  <c r="N78" i="12"/>
  <c r="K78" i="12"/>
  <c r="J78" i="12"/>
  <c r="D78" i="12"/>
  <c r="T77" i="12"/>
  <c r="S77" i="12"/>
  <c r="Q77" i="12"/>
  <c r="L77" i="12" s="1"/>
  <c r="N77" i="12"/>
  <c r="J77" i="12"/>
  <c r="D77" i="12"/>
  <c r="T76" i="12"/>
  <c r="S76" i="12"/>
  <c r="Q76" i="12"/>
  <c r="L76" i="12"/>
  <c r="D76" i="12"/>
  <c r="T75" i="12"/>
  <c r="S75" i="12"/>
  <c r="Q75" i="12"/>
  <c r="L75" i="12"/>
  <c r="D75" i="12"/>
  <c r="T74" i="12"/>
  <c r="S74" i="12"/>
  <c r="Q74" i="12"/>
  <c r="L74" i="12" s="1"/>
  <c r="N74" i="12"/>
  <c r="K74" i="12"/>
  <c r="D74" i="12"/>
  <c r="T73" i="12"/>
  <c r="S73" i="12"/>
  <c r="Q73" i="12"/>
  <c r="L73" i="12" s="1"/>
  <c r="N73" i="12"/>
  <c r="J73" i="12"/>
  <c r="D73" i="12"/>
  <c r="T72" i="12"/>
  <c r="S72" i="12"/>
  <c r="Q72" i="12"/>
  <c r="K72" i="12" s="1"/>
  <c r="N72" i="12"/>
  <c r="L72" i="12"/>
  <c r="J72" i="12"/>
  <c r="D72" i="12"/>
  <c r="T71" i="12"/>
  <c r="S71" i="12"/>
  <c r="Q71" i="12"/>
  <c r="J71" i="12" s="1"/>
  <c r="N71" i="12"/>
  <c r="L71" i="12"/>
  <c r="D71" i="12"/>
  <c r="T70" i="12"/>
  <c r="S70" i="12"/>
  <c r="Q70" i="12"/>
  <c r="J70" i="12" s="1"/>
  <c r="N70" i="12"/>
  <c r="L70" i="12"/>
  <c r="K70" i="12"/>
  <c r="D70" i="12"/>
  <c r="T69" i="12"/>
  <c r="S69" i="12"/>
  <c r="Q69" i="12"/>
  <c r="N69" i="12"/>
  <c r="L69" i="12"/>
  <c r="J69" i="12"/>
  <c r="D69" i="12"/>
  <c r="T68" i="12"/>
  <c r="Q68" i="12"/>
  <c r="K68" i="12"/>
  <c r="D68" i="12"/>
  <c r="T67" i="12"/>
  <c r="S67" i="12"/>
  <c r="Q67" i="12"/>
  <c r="K67" i="12" s="1"/>
  <c r="D67" i="12"/>
  <c r="T66" i="12"/>
  <c r="S66" i="12"/>
  <c r="Q66" i="12"/>
  <c r="K66" i="12"/>
  <c r="D66" i="12"/>
  <c r="T65" i="12"/>
  <c r="S65" i="12"/>
  <c r="Q65" i="12"/>
  <c r="K65" i="12" s="1"/>
  <c r="D65" i="12"/>
  <c r="T64" i="12"/>
  <c r="S64" i="12"/>
  <c r="Q64" i="12"/>
  <c r="D64" i="12"/>
  <c r="T63" i="12"/>
  <c r="S63" i="12"/>
  <c r="Q63" i="12"/>
  <c r="D63" i="12"/>
  <c r="T62" i="12"/>
  <c r="S62" i="12"/>
  <c r="Q62" i="12"/>
  <c r="D62" i="12"/>
  <c r="T61" i="12"/>
  <c r="S61" i="12"/>
  <c r="Q61" i="12"/>
  <c r="D61" i="12"/>
  <c r="T60" i="12"/>
  <c r="S60" i="12"/>
  <c r="Q60" i="12"/>
  <c r="D60" i="12"/>
  <c r="T59" i="12"/>
  <c r="S59" i="12"/>
  <c r="Q59" i="12"/>
  <c r="D59" i="12"/>
  <c r="T58" i="12"/>
  <c r="S58" i="12"/>
  <c r="Q58" i="12"/>
  <c r="D58" i="12"/>
  <c r="T57" i="12"/>
  <c r="S57" i="12"/>
  <c r="Q57" i="12"/>
  <c r="D57" i="12"/>
  <c r="T56" i="12"/>
  <c r="S56" i="12"/>
  <c r="Q56" i="12"/>
  <c r="D56" i="12"/>
  <c r="T55" i="12"/>
  <c r="S55" i="12"/>
  <c r="Q55" i="12"/>
  <c r="D55" i="12"/>
  <c r="T54" i="12"/>
  <c r="Q54" i="12"/>
  <c r="J54" i="12" s="1"/>
  <c r="N54" i="12"/>
  <c r="L54" i="12"/>
  <c r="D54" i="12"/>
  <c r="T53" i="12"/>
  <c r="S53" i="12"/>
  <c r="Q53" i="12"/>
  <c r="J53" i="12" s="1"/>
  <c r="N53" i="12"/>
  <c r="L53" i="12"/>
  <c r="K53" i="12"/>
  <c r="D53" i="12"/>
  <c r="T52" i="12"/>
  <c r="S52" i="12"/>
  <c r="Q52" i="12"/>
  <c r="N52" i="12"/>
  <c r="L52" i="12"/>
  <c r="J52" i="12"/>
  <c r="D52" i="12"/>
  <c r="T51" i="12"/>
  <c r="S51" i="12"/>
  <c r="Q51" i="12"/>
  <c r="N51" i="12"/>
  <c r="L51" i="12"/>
  <c r="K51" i="12"/>
  <c r="J51" i="12"/>
  <c r="D51" i="12"/>
  <c r="T50" i="12"/>
  <c r="S50" i="12"/>
  <c r="Q50" i="12"/>
  <c r="N50" i="12"/>
  <c r="L50" i="12"/>
  <c r="J50" i="12"/>
  <c r="D50" i="12"/>
  <c r="T49" i="12"/>
  <c r="S49" i="12"/>
  <c r="Q49" i="12"/>
  <c r="N49" i="12"/>
  <c r="L49" i="12"/>
  <c r="K49" i="12"/>
  <c r="J49" i="12"/>
  <c r="D49" i="12"/>
  <c r="T48" i="12"/>
  <c r="S48" i="12"/>
  <c r="Q48" i="12"/>
  <c r="N48" i="12"/>
  <c r="L48" i="12"/>
  <c r="J48" i="12"/>
  <c r="D48" i="12"/>
  <c r="T47" i="12"/>
  <c r="S47" i="12"/>
  <c r="Q47" i="12"/>
  <c r="H47" i="12"/>
  <c r="G47" i="12"/>
  <c r="D47" i="12"/>
  <c r="T46" i="12"/>
  <c r="S46" i="12"/>
  <c r="Q46" i="12"/>
  <c r="N46" i="12"/>
  <c r="L46" i="12"/>
  <c r="J46" i="12"/>
  <c r="D46" i="12"/>
  <c r="T45" i="12"/>
  <c r="S45" i="12"/>
  <c r="Q45" i="12"/>
  <c r="N45" i="12"/>
  <c r="L45" i="12"/>
  <c r="K45" i="12"/>
  <c r="J45" i="12"/>
  <c r="D45" i="12"/>
  <c r="T44" i="12"/>
  <c r="S44" i="12"/>
  <c r="Q44" i="12"/>
  <c r="N44" i="12"/>
  <c r="L44" i="12"/>
  <c r="J44" i="12"/>
  <c r="D44" i="12"/>
  <c r="T43" i="12"/>
  <c r="S43" i="12"/>
  <c r="Q43" i="12"/>
  <c r="D43" i="12"/>
  <c r="T42" i="12"/>
  <c r="S42" i="12"/>
  <c r="Q42" i="12"/>
  <c r="D42" i="12"/>
  <c r="T41" i="12"/>
  <c r="S41" i="12"/>
  <c r="Q41" i="12"/>
  <c r="L41" i="12" s="1"/>
  <c r="N41" i="12"/>
  <c r="K41" i="12"/>
  <c r="J41" i="12"/>
  <c r="D41" i="12"/>
  <c r="T40" i="12"/>
  <c r="S40" i="12"/>
  <c r="Q40" i="12"/>
  <c r="L40" i="12" s="1"/>
  <c r="N40" i="12"/>
  <c r="J40" i="12"/>
  <c r="D40" i="12"/>
  <c r="T39" i="12"/>
  <c r="S39" i="12"/>
  <c r="Q39" i="12"/>
  <c r="L39" i="12"/>
  <c r="D39" i="12"/>
  <c r="T38" i="12"/>
  <c r="S38" i="12"/>
  <c r="Q38" i="12"/>
  <c r="D38" i="12"/>
  <c r="T37" i="12"/>
  <c r="S37" i="12"/>
  <c r="Q37" i="12"/>
  <c r="L37" i="12" s="1"/>
  <c r="N37" i="12"/>
  <c r="K37" i="12"/>
  <c r="D37" i="12"/>
  <c r="T36" i="12"/>
  <c r="S36" i="12"/>
  <c r="Q36" i="12"/>
  <c r="L36" i="12" s="1"/>
  <c r="N36" i="12"/>
  <c r="J36" i="12"/>
  <c r="D36" i="12"/>
  <c r="T35" i="12"/>
  <c r="S35" i="12"/>
  <c r="Q35" i="12"/>
  <c r="K35" i="12" s="1"/>
  <c r="N35" i="12"/>
  <c r="L35" i="12"/>
  <c r="J35" i="12"/>
  <c r="D35" i="12"/>
  <c r="T34" i="12"/>
  <c r="S34" i="12"/>
  <c r="Q34" i="12"/>
  <c r="J34" i="12" s="1"/>
  <c r="N34" i="12"/>
  <c r="L34" i="12"/>
  <c r="D34" i="12"/>
  <c r="T33" i="12"/>
  <c r="S33" i="12"/>
  <c r="Q33" i="12"/>
  <c r="J33" i="12" s="1"/>
  <c r="N33" i="12"/>
  <c r="L33" i="12"/>
  <c r="K33" i="12"/>
  <c r="D33" i="12"/>
  <c r="T32" i="12"/>
  <c r="S32" i="12"/>
  <c r="Q32" i="12"/>
  <c r="N32" i="12"/>
  <c r="L32" i="12"/>
  <c r="J32" i="12"/>
  <c r="D32" i="12"/>
  <c r="T31" i="12"/>
  <c r="S31" i="12"/>
  <c r="Q31" i="12"/>
  <c r="N31" i="12"/>
  <c r="L31" i="12"/>
  <c r="K31" i="12"/>
  <c r="J31" i="12"/>
  <c r="D31" i="12"/>
  <c r="T30" i="12"/>
  <c r="S30" i="12"/>
  <c r="Q30" i="12"/>
  <c r="N30" i="12"/>
  <c r="L30" i="12"/>
  <c r="J30" i="12"/>
  <c r="D30" i="12"/>
  <c r="T29" i="12"/>
  <c r="S29" i="12"/>
  <c r="Q29" i="12"/>
  <c r="N29" i="12"/>
  <c r="L29" i="12"/>
  <c r="K29" i="12"/>
  <c r="J29" i="12"/>
  <c r="D29" i="12"/>
  <c r="T28" i="12"/>
  <c r="S28" i="12"/>
  <c r="Q28" i="12"/>
  <c r="N28" i="12"/>
  <c r="L28" i="12"/>
  <c r="J28" i="12"/>
  <c r="D28" i="12"/>
  <c r="T27" i="12"/>
  <c r="S27" i="12"/>
  <c r="Q27" i="12"/>
  <c r="D27" i="12"/>
  <c r="T26" i="12"/>
  <c r="S26" i="12"/>
  <c r="Q26" i="12"/>
  <c r="D26" i="12"/>
  <c r="T25" i="12"/>
  <c r="S25" i="12"/>
  <c r="Q25" i="12"/>
  <c r="L25" i="12" s="1"/>
  <c r="N25" i="12"/>
  <c r="K25" i="12"/>
  <c r="J25" i="12"/>
  <c r="D25" i="12"/>
  <c r="V24" i="12"/>
  <c r="T24" i="12"/>
  <c r="S24" i="12"/>
  <c r="Q24" i="12"/>
  <c r="D24" i="12"/>
  <c r="T23" i="12"/>
  <c r="S23" i="12"/>
  <c r="Q23" i="12"/>
  <c r="D23" i="12"/>
  <c r="S22" i="12"/>
  <c r="Q22" i="12"/>
  <c r="L22" i="12" s="1"/>
  <c r="N22" i="12"/>
  <c r="J22" i="12"/>
  <c r="D22" i="12"/>
  <c r="A22" i="12"/>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S21" i="12"/>
  <c r="Q21" i="12"/>
  <c r="D21" i="12"/>
  <c r="S20" i="12"/>
  <c r="Q20" i="12"/>
  <c r="K20" i="12"/>
  <c r="D20" i="12"/>
  <c r="T19" i="12"/>
  <c r="S19" i="12"/>
  <c r="Q19" i="12"/>
  <c r="K19" i="12" s="1"/>
  <c r="D19" i="12"/>
  <c r="T18" i="12"/>
  <c r="S18" i="12"/>
  <c r="Q18" i="12"/>
  <c r="K18" i="12"/>
  <c r="D18" i="12"/>
  <c r="T17" i="12"/>
  <c r="S17" i="12"/>
  <c r="Q17" i="12"/>
  <c r="K17" i="12" s="1"/>
  <c r="D17" i="12"/>
  <c r="T16" i="12"/>
  <c r="S16" i="12"/>
  <c r="Q16" i="12"/>
  <c r="K16" i="12"/>
  <c r="D16" i="12"/>
  <c r="T15" i="12"/>
  <c r="S15" i="12"/>
  <c r="Q15" i="12"/>
  <c r="K15" i="12"/>
  <c r="D15" i="12"/>
  <c r="T14" i="12"/>
  <c r="S14" i="12"/>
  <c r="Q14" i="12"/>
  <c r="K14" i="12"/>
  <c r="D14" i="12"/>
  <c r="T13" i="12"/>
  <c r="S13" i="12"/>
  <c r="Q13" i="12"/>
  <c r="K13" i="12"/>
  <c r="D13" i="12"/>
  <c r="T12" i="12"/>
  <c r="S12" i="12"/>
  <c r="Q12" i="12"/>
  <c r="K12" i="12"/>
  <c r="D12" i="12"/>
  <c r="T11" i="12"/>
  <c r="S11" i="12"/>
  <c r="Q11" i="12"/>
  <c r="K11" i="12" s="1"/>
  <c r="D11" i="12"/>
  <c r="T10" i="12"/>
  <c r="S10" i="12"/>
  <c r="Q10" i="12"/>
  <c r="D10" i="12"/>
  <c r="T9" i="12"/>
  <c r="S9" i="12"/>
  <c r="Q9" i="12"/>
  <c r="D9" i="12"/>
  <c r="T8" i="12"/>
  <c r="S8" i="12"/>
  <c r="Q8" i="12"/>
  <c r="D8" i="12"/>
  <c r="T7" i="12"/>
  <c r="S7" i="12"/>
  <c r="Q7" i="12"/>
  <c r="D7" i="12"/>
  <c r="T6" i="12"/>
  <c r="S6" i="12"/>
  <c r="Q6" i="12"/>
  <c r="D6" i="12"/>
  <c r="T5" i="12"/>
  <c r="S5" i="12"/>
  <c r="Q5" i="12"/>
  <c r="D5" i="12"/>
  <c r="T4" i="12"/>
  <c r="S4" i="12"/>
  <c r="Q4" i="12"/>
  <c r="D4" i="12"/>
  <c r="A4" i="12"/>
  <c r="A5" i="12" s="1"/>
  <c r="A6" i="12" s="1"/>
  <c r="A7" i="12" s="1"/>
  <c r="A8" i="12" s="1"/>
  <c r="A9" i="12" s="1"/>
  <c r="A10" i="12" s="1"/>
  <c r="A11" i="12" s="1"/>
  <c r="A12" i="12" s="1"/>
  <c r="A13" i="12" s="1"/>
  <c r="A14" i="12" s="1"/>
  <c r="A15" i="12" s="1"/>
  <c r="A16" i="12" s="1"/>
  <c r="A17" i="12" s="1"/>
  <c r="A18" i="12" s="1"/>
  <c r="A19" i="12" s="1"/>
  <c r="A20" i="12" s="1"/>
  <c r="T3" i="12"/>
  <c r="S3" i="12"/>
  <c r="Q3" i="12"/>
  <c r="D3" i="12"/>
  <c r="A3" i="12"/>
  <c r="T2" i="12"/>
  <c r="S2" i="12"/>
  <c r="Q2" i="12"/>
  <c r="D2" i="12"/>
  <c r="V104" i="11"/>
  <c r="Q104" i="11" s="1"/>
  <c r="S104" i="11"/>
  <c r="M104" i="11"/>
  <c r="K104" i="11"/>
  <c r="I104" i="11"/>
  <c r="V103" i="11"/>
  <c r="I103" i="11" s="1"/>
  <c r="L103" i="11"/>
  <c r="V102" i="11"/>
  <c r="K102" i="11" s="1"/>
  <c r="V101" i="11"/>
  <c r="V100" i="11"/>
  <c r="S100" i="11"/>
  <c r="Q100" i="11"/>
  <c r="M100" i="11"/>
  <c r="K100" i="11"/>
  <c r="I100" i="11"/>
  <c r="W99" i="11"/>
  <c r="V99" i="11" s="1"/>
  <c r="M99" i="11" s="1"/>
  <c r="S99" i="11"/>
  <c r="K99" i="11"/>
  <c r="W98" i="11"/>
  <c r="S98" i="11"/>
  <c r="Q98" i="11"/>
  <c r="P98" i="11"/>
  <c r="M98" i="11"/>
  <c r="L98" i="11"/>
  <c r="K98" i="11"/>
  <c r="I98" i="11"/>
  <c r="W97" i="11"/>
  <c r="S97" i="11"/>
  <c r="Q97" i="11"/>
  <c r="P97" i="11"/>
  <c r="M97" i="11"/>
  <c r="L97" i="11"/>
  <c r="K97" i="11"/>
  <c r="I97" i="11"/>
  <c r="W96" i="11"/>
  <c r="V96" i="11"/>
  <c r="I96" i="11" s="1"/>
  <c r="P96" i="11"/>
  <c r="L96" i="11"/>
  <c r="W95" i="11"/>
  <c r="S95" i="11"/>
  <c r="Q95" i="11"/>
  <c r="P95" i="11"/>
  <c r="M95" i="11"/>
  <c r="L95" i="11"/>
  <c r="K95" i="11"/>
  <c r="I95" i="11"/>
  <c r="W94" i="11"/>
  <c r="S94" i="11"/>
  <c r="Q94" i="11"/>
  <c r="P94" i="11"/>
  <c r="M94" i="11"/>
  <c r="L94" i="11"/>
  <c r="K94" i="11"/>
  <c r="I94" i="11"/>
  <c r="W93" i="11"/>
  <c r="V93" i="11" s="1"/>
  <c r="S93" i="11"/>
  <c r="M93" i="11"/>
  <c r="K93" i="11"/>
  <c r="W92" i="11"/>
  <c r="V92" i="11"/>
  <c r="W91" i="11"/>
  <c r="S91" i="11"/>
  <c r="Q91" i="11"/>
  <c r="P91" i="11"/>
  <c r="M91" i="11"/>
  <c r="L91" i="11"/>
  <c r="K91" i="11"/>
  <c r="I91" i="11"/>
  <c r="R91" i="11" s="1"/>
  <c r="T91" i="11" s="1"/>
  <c r="U91" i="11" s="1"/>
  <c r="W90" i="11"/>
  <c r="V90" i="11" s="1"/>
  <c r="Q90" i="11" s="1"/>
  <c r="S90" i="11"/>
  <c r="M90" i="11"/>
  <c r="K90" i="11"/>
  <c r="W89" i="11"/>
  <c r="S89" i="11"/>
  <c r="Q89" i="11"/>
  <c r="P89" i="11"/>
  <c r="M89" i="11"/>
  <c r="L89" i="11"/>
  <c r="K89" i="11"/>
  <c r="I89" i="11"/>
  <c r="W88" i="11"/>
  <c r="S88" i="11"/>
  <c r="Q88" i="11"/>
  <c r="P88" i="11"/>
  <c r="M88" i="11"/>
  <c r="L88" i="11"/>
  <c r="K88" i="11"/>
  <c r="I88" i="11"/>
  <c r="W87" i="11"/>
  <c r="V87" i="11"/>
  <c r="P87" i="11"/>
  <c r="W86" i="11"/>
  <c r="V86" i="11" s="1"/>
  <c r="M86" i="11" s="1"/>
  <c r="W85" i="11"/>
  <c r="V85" i="11" s="1"/>
  <c r="P85" i="11" s="1"/>
  <c r="W84" i="11"/>
  <c r="S84" i="11"/>
  <c r="Q84" i="11"/>
  <c r="P84" i="11"/>
  <c r="M84" i="11"/>
  <c r="L84" i="11"/>
  <c r="K84" i="11"/>
  <c r="I84" i="11"/>
  <c r="W83" i="11"/>
  <c r="S83" i="11"/>
  <c r="Q83" i="11"/>
  <c r="P83" i="11"/>
  <c r="M83" i="11"/>
  <c r="L83" i="11"/>
  <c r="K83" i="11"/>
  <c r="I83" i="11"/>
  <c r="W82" i="11"/>
  <c r="V82" i="11" s="1"/>
  <c r="K82" i="11" s="1"/>
  <c r="S82" i="11"/>
  <c r="Q82" i="11"/>
  <c r="M82" i="11"/>
  <c r="W81" i="11"/>
  <c r="V81" i="11" s="1"/>
  <c r="W80" i="11"/>
  <c r="V80" i="11" s="1"/>
  <c r="M80" i="11" s="1"/>
  <c r="S80" i="11"/>
  <c r="Q80" i="11"/>
  <c r="K80" i="11"/>
  <c r="W79" i="11"/>
  <c r="V79" i="11"/>
  <c r="L79" i="11" s="1"/>
  <c r="I79" i="11"/>
  <c r="W78" i="11"/>
  <c r="V78" i="11" s="1"/>
  <c r="Q78" i="11" s="1"/>
  <c r="S78" i="11"/>
  <c r="M78" i="11"/>
  <c r="W77" i="11"/>
  <c r="S77" i="11"/>
  <c r="Q77" i="11"/>
  <c r="P77" i="11"/>
  <c r="M77" i="11"/>
  <c r="L77" i="11"/>
  <c r="K77" i="11"/>
  <c r="I77" i="11"/>
  <c r="W76" i="11"/>
  <c r="V76" i="11" s="1"/>
  <c r="I76" i="11" s="1"/>
  <c r="W75" i="11"/>
  <c r="S75" i="11"/>
  <c r="Q75" i="11"/>
  <c r="P75" i="11"/>
  <c r="M75" i="11"/>
  <c r="L75" i="11"/>
  <c r="K75" i="11"/>
  <c r="I75" i="11"/>
  <c r="W74" i="11"/>
  <c r="V74" i="11" s="1"/>
  <c r="M74" i="11" s="1"/>
  <c r="W73" i="11"/>
  <c r="V73" i="11"/>
  <c r="P73" i="11" s="1"/>
  <c r="W72" i="11"/>
  <c r="V72" i="11" s="1"/>
  <c r="M72" i="11" s="1"/>
  <c r="W71" i="11"/>
  <c r="V71" i="11"/>
  <c r="P71" i="11" s="1"/>
  <c r="W70" i="11"/>
  <c r="V70" i="11" s="1"/>
  <c r="M70" i="11" s="1"/>
  <c r="W69" i="11"/>
  <c r="V69" i="11"/>
  <c r="P69" i="11" s="1"/>
  <c r="W68" i="11"/>
  <c r="S68" i="11"/>
  <c r="Q68" i="11"/>
  <c r="P68" i="11"/>
  <c r="M68" i="11"/>
  <c r="L68" i="11"/>
  <c r="K68" i="11"/>
  <c r="I68" i="11"/>
  <c r="W67" i="11"/>
  <c r="S67" i="11"/>
  <c r="Q67" i="11"/>
  <c r="P67" i="11"/>
  <c r="M67" i="11"/>
  <c r="L67" i="11"/>
  <c r="K67" i="11"/>
  <c r="I67" i="11"/>
  <c r="W66" i="11"/>
  <c r="V66" i="11" s="1"/>
  <c r="M66" i="11" s="1"/>
  <c r="S66" i="11"/>
  <c r="Q66" i="11"/>
  <c r="K66" i="11"/>
  <c r="W65" i="11"/>
  <c r="V65" i="11"/>
  <c r="L65" i="11" s="1"/>
  <c r="I65" i="11"/>
  <c r="W64" i="11"/>
  <c r="S64" i="11"/>
  <c r="Q64" i="11"/>
  <c r="P64" i="11"/>
  <c r="M64" i="11"/>
  <c r="L64" i="11"/>
  <c r="K64" i="11"/>
  <c r="I64" i="11"/>
  <c r="N64" i="11" s="1"/>
  <c r="O64" i="11" s="1"/>
  <c r="W63" i="11"/>
  <c r="S63" i="11"/>
  <c r="Q63" i="11"/>
  <c r="P63" i="11"/>
  <c r="M63" i="11"/>
  <c r="L63" i="11"/>
  <c r="K63" i="11"/>
  <c r="I63" i="11"/>
  <c r="N63" i="11" s="1"/>
  <c r="O63" i="11" s="1"/>
  <c r="W62" i="11"/>
  <c r="S62" i="11"/>
  <c r="Q62" i="11"/>
  <c r="P62" i="11"/>
  <c r="M62" i="11"/>
  <c r="L62" i="11"/>
  <c r="K62" i="11"/>
  <c r="I62" i="11"/>
  <c r="N62" i="11" s="1"/>
  <c r="O62" i="11" s="1"/>
  <c r="W61" i="11"/>
  <c r="S61" i="11"/>
  <c r="Q61" i="11"/>
  <c r="P61" i="11"/>
  <c r="M61" i="11"/>
  <c r="L61" i="11"/>
  <c r="K61" i="11"/>
  <c r="I61" i="11"/>
  <c r="W60" i="11"/>
  <c r="V60" i="11" s="1"/>
  <c r="Q60" i="11" s="1"/>
  <c r="W59" i="11"/>
  <c r="S59" i="11"/>
  <c r="Q59" i="11"/>
  <c r="P59" i="11"/>
  <c r="M59" i="11"/>
  <c r="L59" i="11"/>
  <c r="K59" i="11"/>
  <c r="I59" i="11"/>
  <c r="W58" i="11"/>
  <c r="V58" i="11"/>
  <c r="I58" i="11" s="1"/>
  <c r="P58" i="11"/>
  <c r="L58" i="11"/>
  <c r="V57" i="11"/>
  <c r="P57" i="11" s="1"/>
  <c r="F57" i="11"/>
  <c r="E57" i="11"/>
  <c r="V56" i="11"/>
  <c r="L56" i="11"/>
  <c r="I56" i="11"/>
  <c r="F56" i="11"/>
  <c r="E56" i="11"/>
  <c r="V55" i="11"/>
  <c r="P55" i="11"/>
  <c r="F55" i="11"/>
  <c r="E55" i="11"/>
  <c r="V54" i="11"/>
  <c r="I54" i="11" s="1"/>
  <c r="L54" i="11"/>
  <c r="F54" i="11"/>
  <c r="E54" i="11"/>
  <c r="V53" i="11"/>
  <c r="P53" i="11" s="1"/>
  <c r="F53" i="11"/>
  <c r="E53" i="11"/>
  <c r="V52" i="11"/>
  <c r="L52" i="11" s="1"/>
  <c r="I52" i="11"/>
  <c r="F52" i="11"/>
  <c r="E52" i="11"/>
  <c r="V51" i="11"/>
  <c r="P51" i="11"/>
  <c r="F51" i="11"/>
  <c r="E51" i="11"/>
  <c r="V50" i="11"/>
  <c r="L50" i="11"/>
  <c r="I50" i="11"/>
  <c r="F50" i="11"/>
  <c r="E50" i="11"/>
  <c r="V49" i="11"/>
  <c r="P49" i="11"/>
  <c r="F49" i="11"/>
  <c r="E49" i="11"/>
  <c r="V48" i="11"/>
  <c r="L48" i="11" s="1"/>
  <c r="F48" i="11"/>
  <c r="E48" i="11"/>
  <c r="V47" i="11"/>
  <c r="P47" i="11"/>
  <c r="F47" i="11"/>
  <c r="E47" i="11"/>
  <c r="V46" i="11"/>
  <c r="L46" i="11"/>
  <c r="I46" i="11"/>
  <c r="F46" i="11"/>
  <c r="E46" i="11"/>
  <c r="V45" i="11"/>
  <c r="P45" i="11" s="1"/>
  <c r="F45" i="11"/>
  <c r="E45" i="11"/>
  <c r="V44" i="11"/>
  <c r="I44" i="11" s="1"/>
  <c r="L44" i="11"/>
  <c r="F44" i="11"/>
  <c r="E44" i="11"/>
  <c r="V43" i="11"/>
  <c r="P43" i="11" s="1"/>
  <c r="F43" i="11"/>
  <c r="E43" i="11"/>
  <c r="V42" i="11"/>
  <c r="L42" i="11" s="1"/>
  <c r="F42" i="11"/>
  <c r="E42" i="11"/>
  <c r="V41" i="11"/>
  <c r="P41" i="11"/>
  <c r="L41" i="11"/>
  <c r="F41" i="11"/>
  <c r="E41" i="11"/>
  <c r="V40" i="11"/>
  <c r="P40" i="11" s="1"/>
  <c r="I40" i="11"/>
  <c r="F40" i="11"/>
  <c r="E40" i="11"/>
  <c r="V39" i="11"/>
  <c r="L39" i="11"/>
  <c r="F39" i="11"/>
  <c r="E39" i="11"/>
  <c r="V38" i="11"/>
  <c r="I38" i="11" s="1"/>
  <c r="P38" i="11"/>
  <c r="L38" i="11"/>
  <c r="F38" i="11"/>
  <c r="E38" i="11"/>
  <c r="V37" i="11"/>
  <c r="P37" i="11" s="1"/>
  <c r="F37" i="11"/>
  <c r="E37" i="11"/>
  <c r="V36" i="11"/>
  <c r="L36" i="11" s="1"/>
  <c r="F36" i="11"/>
  <c r="E36" i="11"/>
  <c r="V35" i="11"/>
  <c r="P35" i="11" s="1"/>
  <c r="K35" i="11"/>
  <c r="F35" i="11"/>
  <c r="E35" i="11"/>
  <c r="V34" i="11"/>
  <c r="L34" i="11" s="1"/>
  <c r="Q34" i="11"/>
  <c r="M34" i="11"/>
  <c r="F34" i="11"/>
  <c r="E34" i="11"/>
  <c r="V33" i="11"/>
  <c r="K33" i="11" s="1"/>
  <c r="P33" i="11"/>
  <c r="F33" i="11"/>
  <c r="E33" i="11"/>
  <c r="V32" i="11"/>
  <c r="S32" i="11"/>
  <c r="Q32" i="11"/>
  <c r="P32" i="11"/>
  <c r="M32" i="11"/>
  <c r="L32" i="11"/>
  <c r="K32" i="11"/>
  <c r="I32" i="11"/>
  <c r="F32" i="11"/>
  <c r="E32" i="11"/>
  <c r="V31" i="11"/>
  <c r="K31" i="11" s="1"/>
  <c r="Q31" i="11"/>
  <c r="F31" i="11"/>
  <c r="E31" i="11"/>
  <c r="V30" i="11"/>
  <c r="Q30" i="11" s="1"/>
  <c r="S30" i="11"/>
  <c r="P30" i="11"/>
  <c r="I30" i="11"/>
  <c r="F30" i="11"/>
  <c r="E30" i="11"/>
  <c r="S29" i="11"/>
  <c r="Q29" i="11"/>
  <c r="P29" i="11"/>
  <c r="M29" i="11"/>
  <c r="L29" i="11"/>
  <c r="K29" i="11"/>
  <c r="I29" i="11"/>
  <c r="F29" i="11"/>
  <c r="E29" i="11"/>
  <c r="V28" i="11"/>
  <c r="L28" i="11" s="1"/>
  <c r="F28" i="11"/>
  <c r="E28" i="11"/>
  <c r="V27" i="11"/>
  <c r="I27" i="11" s="1"/>
  <c r="F27" i="11"/>
  <c r="E27" i="11"/>
  <c r="V26" i="11"/>
  <c r="L26" i="11" s="1"/>
  <c r="I26" i="11"/>
  <c r="F26" i="11"/>
  <c r="E26" i="11"/>
  <c r="V25" i="11"/>
  <c r="I25" i="11" s="1"/>
  <c r="F25" i="11"/>
  <c r="E25" i="11"/>
  <c r="V24" i="11"/>
  <c r="Q24" i="11" s="1"/>
  <c r="L24" i="11"/>
  <c r="F24" i="11"/>
  <c r="E24" i="11"/>
  <c r="V23" i="11"/>
  <c r="I23" i="11" s="1"/>
  <c r="F23" i="11"/>
  <c r="E23" i="11"/>
  <c r="V22" i="11"/>
  <c r="P22" i="11"/>
  <c r="L22" i="11"/>
  <c r="F22" i="11"/>
  <c r="E22" i="11"/>
  <c r="V21" i="11"/>
  <c r="I21" i="11" s="1"/>
  <c r="F21" i="11"/>
  <c r="E21" i="11"/>
  <c r="V20" i="11"/>
  <c r="F20" i="11"/>
  <c r="E20" i="11"/>
  <c r="V19" i="11"/>
  <c r="I19" i="11" s="1"/>
  <c r="F19" i="11"/>
  <c r="E19" i="11"/>
  <c r="V18" i="11"/>
  <c r="F18" i="11"/>
  <c r="E18" i="11"/>
  <c r="V17" i="11"/>
  <c r="P17" i="11" s="1"/>
  <c r="F17" i="11"/>
  <c r="E17" i="11"/>
  <c r="V16" i="11"/>
  <c r="P16" i="11" s="1"/>
  <c r="F16" i="11"/>
  <c r="E16" i="11"/>
  <c r="V15" i="11"/>
  <c r="P15" i="11" s="1"/>
  <c r="F15" i="11"/>
  <c r="E15" i="11"/>
  <c r="V14" i="11"/>
  <c r="I14" i="11" s="1"/>
  <c r="P14" i="11"/>
  <c r="F14" i="11"/>
  <c r="E14" i="11"/>
  <c r="S13" i="11"/>
  <c r="Q13" i="11"/>
  <c r="P13" i="11"/>
  <c r="M13" i="11"/>
  <c r="L13" i="11"/>
  <c r="K13" i="11"/>
  <c r="I13" i="11"/>
  <c r="N13" i="11" s="1"/>
  <c r="O13" i="11" s="1"/>
  <c r="F13" i="11"/>
  <c r="E13" i="11"/>
  <c r="S12" i="11"/>
  <c r="Q12" i="11"/>
  <c r="P12" i="11"/>
  <c r="M12" i="11"/>
  <c r="L12" i="11"/>
  <c r="K12" i="11"/>
  <c r="I12" i="11"/>
  <c r="F12" i="11"/>
  <c r="E12" i="11"/>
  <c r="V11" i="11"/>
  <c r="I11" i="11" s="1"/>
  <c r="F11" i="11"/>
  <c r="E11" i="11"/>
  <c r="V10" i="11"/>
  <c r="L10" i="11" s="1"/>
  <c r="S10" i="11"/>
  <c r="P10" i="11"/>
  <c r="K10" i="11"/>
  <c r="F10" i="11"/>
  <c r="E10" i="11"/>
  <c r="V9" i="11"/>
  <c r="I9" i="11" s="1"/>
  <c r="F9" i="11"/>
  <c r="E9" i="11"/>
  <c r="V8" i="11"/>
  <c r="L8" i="11" s="1"/>
  <c r="F8" i="11"/>
  <c r="E8" i="11"/>
  <c r="S7" i="11"/>
  <c r="Q7" i="11"/>
  <c r="P7" i="11"/>
  <c r="M7" i="11"/>
  <c r="L7" i="11"/>
  <c r="K7" i="11"/>
  <c r="I7" i="11"/>
  <c r="N7" i="11" s="1"/>
  <c r="O7" i="11" s="1"/>
  <c r="F7" i="11"/>
  <c r="E7" i="11"/>
  <c r="V6" i="11"/>
  <c r="Q6" i="11" s="1"/>
  <c r="S6" i="11"/>
  <c r="L6" i="11"/>
  <c r="K6" i="11"/>
  <c r="I6" i="11"/>
  <c r="F6" i="11"/>
  <c r="E6" i="11"/>
  <c r="V5" i="11"/>
  <c r="S5" i="11" s="1"/>
  <c r="I5" i="11"/>
  <c r="F5" i="11"/>
  <c r="E5" i="11"/>
  <c r="V4" i="11"/>
  <c r="Q4" i="11" s="1"/>
  <c r="S4" i="11"/>
  <c r="P4" i="11"/>
  <c r="L4" i="11"/>
  <c r="K4" i="11"/>
  <c r="I4" i="11"/>
  <c r="F4" i="11"/>
  <c r="E4" i="11"/>
  <c r="V3" i="11"/>
  <c r="S3" i="11" s="1"/>
  <c r="I3" i="11"/>
  <c r="F3" i="11"/>
  <c r="E3" i="11"/>
  <c r="A3" i="1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V2" i="11"/>
  <c r="Q2" i="11" s="1"/>
  <c r="K2" i="11"/>
  <c r="F2" i="11"/>
  <c r="E2" i="11"/>
  <c r="U88" i="10"/>
  <c r="Z88" i="10" s="1"/>
  <c r="Q88" i="10" s="1"/>
  <c r="F88" i="10"/>
  <c r="U87" i="10"/>
  <c r="X87" i="10" s="1"/>
  <c r="F87" i="10"/>
  <c r="Y86" i="10"/>
  <c r="S86" i="10" s="1"/>
  <c r="X86" i="10"/>
  <c r="U86" i="10"/>
  <c r="Z86" i="10" s="1"/>
  <c r="T86" i="10"/>
  <c r="F86" i="10"/>
  <c r="U85" i="10"/>
  <c r="X85" i="10" s="1"/>
  <c r="F85" i="10"/>
  <c r="Y84" i="10"/>
  <c r="S84" i="10" s="1"/>
  <c r="U84" i="10"/>
  <c r="Z84" i="10" s="1"/>
  <c r="I84" i="10"/>
  <c r="F84" i="10"/>
  <c r="Z83" i="10"/>
  <c r="V83" i="10"/>
  <c r="U83" i="10"/>
  <c r="Y83" i="10" s="1"/>
  <c r="S83" i="10" s="1"/>
  <c r="F83" i="10"/>
  <c r="V82" i="10"/>
  <c r="F82" i="10"/>
  <c r="V81" i="10"/>
  <c r="U81" i="10"/>
  <c r="Z81" i="10" s="1"/>
  <c r="F81" i="10"/>
  <c r="V80" i="10"/>
  <c r="U80" i="10"/>
  <c r="Y80" i="10" s="1"/>
  <c r="S80" i="10" s="1"/>
  <c r="F80" i="10"/>
  <c r="V79" i="10"/>
  <c r="U79" i="10"/>
  <c r="Y79" i="10" s="1"/>
  <c r="S79" i="10" s="1"/>
  <c r="F79" i="10"/>
  <c r="V78" i="10"/>
  <c r="U78" i="10"/>
  <c r="Z78" i="10" s="1"/>
  <c r="F78" i="10"/>
  <c r="V77" i="10"/>
  <c r="F77" i="10"/>
  <c r="V76" i="10"/>
  <c r="F76" i="10"/>
  <c r="V75" i="10"/>
  <c r="F75" i="10"/>
  <c r="Z74" i="10"/>
  <c r="V74" i="10"/>
  <c r="U74" i="10"/>
  <c r="Q74" i="10" s="1"/>
  <c r="F74" i="10"/>
  <c r="V73" i="10"/>
  <c r="U73" i="10"/>
  <c r="Z73" i="10" s="1"/>
  <c r="F73" i="10"/>
  <c r="X72" i="10"/>
  <c r="V72" i="10"/>
  <c r="U72" i="10"/>
  <c r="Y72" i="10" s="1"/>
  <c r="S72" i="10" s="1"/>
  <c r="T72" i="10"/>
  <c r="W72" i="10" s="1"/>
  <c r="F72" i="10"/>
  <c r="Z71" i="10"/>
  <c r="V71" i="10"/>
  <c r="U71" i="10"/>
  <c r="Y71" i="10" s="1"/>
  <c r="S71" i="10" s="1"/>
  <c r="F71" i="10"/>
  <c r="V70" i="10"/>
  <c r="F70" i="10"/>
  <c r="V69" i="10"/>
  <c r="U69" i="10"/>
  <c r="Z69" i="10" s="1"/>
  <c r="Q69" i="10" s="1"/>
  <c r="F69" i="10"/>
  <c r="X68" i="10"/>
  <c r="T68" i="10" s="1"/>
  <c r="W68" i="10" s="1"/>
  <c r="U68" i="10"/>
  <c r="Z68" i="10" s="1"/>
  <c r="Q68" i="10" s="1"/>
  <c r="K68" i="10"/>
  <c r="F68" i="10"/>
  <c r="V67" i="10"/>
  <c r="U67" i="10"/>
  <c r="Y67" i="10" s="1"/>
  <c r="S67" i="10" s="1"/>
  <c r="F67" i="10"/>
  <c r="V66" i="10"/>
  <c r="U66" i="10"/>
  <c r="Z66" i="10" s="1"/>
  <c r="F66" i="10"/>
  <c r="V65" i="10"/>
  <c r="U65" i="10"/>
  <c r="Y65" i="10" s="1"/>
  <c r="F65" i="10"/>
  <c r="V64" i="10"/>
  <c r="U64" i="10"/>
  <c r="Y64" i="10" s="1"/>
  <c r="S64" i="10" s="1"/>
  <c r="F64" i="10"/>
  <c r="V63" i="10"/>
  <c r="U63" i="10"/>
  <c r="F63" i="10"/>
  <c r="V62" i="10"/>
  <c r="F62" i="10"/>
  <c r="Y61" i="10"/>
  <c r="V61" i="10"/>
  <c r="U61" i="10"/>
  <c r="X61" i="10" s="1"/>
  <c r="T61" i="10" s="1"/>
  <c r="F61" i="10"/>
  <c r="Z60" i="10"/>
  <c r="X60" i="10"/>
  <c r="T60" i="10" s="1"/>
  <c r="W60" i="10" s="1"/>
  <c r="V60" i="10"/>
  <c r="U60" i="10"/>
  <c r="Y60" i="10" s="1"/>
  <c r="S60" i="10"/>
  <c r="F60" i="10"/>
  <c r="V59" i="10"/>
  <c r="U59" i="10"/>
  <c r="Y59" i="10" s="1"/>
  <c r="S59" i="10" s="1"/>
  <c r="F59" i="10"/>
  <c r="V58" i="10"/>
  <c r="F58" i="10"/>
  <c r="V57" i="10"/>
  <c r="F57" i="10"/>
  <c r="V56" i="10"/>
  <c r="U56" i="10"/>
  <c r="Y56" i="10" s="1"/>
  <c r="S56" i="10" s="1"/>
  <c r="F56" i="10"/>
  <c r="V55" i="10"/>
  <c r="U55" i="10"/>
  <c r="F55" i="10"/>
  <c r="F54" i="10"/>
  <c r="Z53" i="10"/>
  <c r="Q53" i="10" s="1"/>
  <c r="V53" i="10"/>
  <c r="U53" i="10"/>
  <c r="Y53" i="10" s="1"/>
  <c r="S53" i="10" s="1"/>
  <c r="F53" i="10"/>
  <c r="V52" i="10"/>
  <c r="F52" i="10"/>
  <c r="V51" i="10"/>
  <c r="F51" i="10"/>
  <c r="V50" i="10"/>
  <c r="F50" i="10"/>
  <c r="V49" i="10"/>
  <c r="F49" i="10"/>
  <c r="V48" i="10"/>
  <c r="U48" i="10"/>
  <c r="F48" i="10"/>
  <c r="Y47" i="10"/>
  <c r="V47" i="10"/>
  <c r="U47" i="10"/>
  <c r="X47" i="10" s="1"/>
  <c r="J47" i="10"/>
  <c r="I47" i="10"/>
  <c r="F47" i="10"/>
  <c r="Z46" i="10"/>
  <c r="V46" i="10"/>
  <c r="U46" i="10"/>
  <c r="Y46" i="10" s="1"/>
  <c r="S46" i="10" s="1"/>
  <c r="N46" i="10"/>
  <c r="M46" i="10"/>
  <c r="L46" i="10"/>
  <c r="K46" i="10"/>
  <c r="F46" i="10"/>
  <c r="V45" i="10"/>
  <c r="F45" i="10"/>
  <c r="V44" i="10"/>
  <c r="U44" i="10"/>
  <c r="F44" i="10"/>
  <c r="Z43" i="10"/>
  <c r="V43" i="10"/>
  <c r="U43" i="10"/>
  <c r="Y43" i="10" s="1"/>
  <c r="S43" i="10" s="1"/>
  <c r="F43" i="10"/>
  <c r="V42" i="10"/>
  <c r="F42" i="10"/>
  <c r="V41" i="10"/>
  <c r="U41" i="10"/>
  <c r="F41" i="10"/>
  <c r="V40" i="10"/>
  <c r="F40" i="10"/>
  <c r="X39" i="10"/>
  <c r="T39" i="10" s="1"/>
  <c r="W39" i="10" s="1"/>
  <c r="V39" i="10"/>
  <c r="U39" i="10"/>
  <c r="Y39" i="10" s="1"/>
  <c r="S39" i="10"/>
  <c r="F39" i="10"/>
  <c r="V38" i="10"/>
  <c r="U38" i="10"/>
  <c r="Y38" i="10" s="1"/>
  <c r="S38" i="10" s="1"/>
  <c r="F38" i="10"/>
  <c r="Y37" i="10"/>
  <c r="V37" i="10"/>
  <c r="U37" i="10"/>
  <c r="F37" i="10"/>
  <c r="V36" i="10"/>
  <c r="U36" i="10"/>
  <c r="F36" i="10"/>
  <c r="Z35" i="10"/>
  <c r="X35" i="10"/>
  <c r="V35" i="10"/>
  <c r="U35" i="10"/>
  <c r="Y35" i="10" s="1"/>
  <c r="S35" i="10" s="1"/>
  <c r="Q35" i="10"/>
  <c r="M35" i="10"/>
  <c r="F35" i="10"/>
  <c r="V34" i="10"/>
  <c r="U34" i="10"/>
  <c r="Y34" i="10" s="1"/>
  <c r="S34" i="10"/>
  <c r="F34" i="10"/>
  <c r="V33" i="10"/>
  <c r="F33" i="10"/>
  <c r="V32" i="10"/>
  <c r="F32" i="10"/>
  <c r="V31" i="10"/>
  <c r="U31" i="10"/>
  <c r="Y31" i="10" s="1"/>
  <c r="S31" i="10" s="1"/>
  <c r="N31" i="10"/>
  <c r="M31" i="10"/>
  <c r="L31" i="10"/>
  <c r="K31" i="10"/>
  <c r="F31" i="10"/>
  <c r="V30" i="10"/>
  <c r="U30" i="10"/>
  <c r="F30" i="10"/>
  <c r="Y29" i="10"/>
  <c r="X29" i="10"/>
  <c r="V29" i="10"/>
  <c r="U29" i="10"/>
  <c r="T29" i="10" s="1"/>
  <c r="F29" i="10"/>
  <c r="V28" i="10"/>
  <c r="F28" i="10"/>
  <c r="V27" i="10"/>
  <c r="N27" i="10"/>
  <c r="M27" i="10"/>
  <c r="L27" i="10"/>
  <c r="K27" i="10"/>
  <c r="F27" i="10"/>
  <c r="Y26" i="10"/>
  <c r="X26" i="10"/>
  <c r="T26" i="10" s="1"/>
  <c r="W26" i="10" s="1"/>
  <c r="U26" i="10"/>
  <c r="Z26" i="10" s="1"/>
  <c r="N26" i="10"/>
  <c r="M26" i="10"/>
  <c r="L26" i="10"/>
  <c r="K26" i="10"/>
  <c r="F26" i="10"/>
  <c r="V25" i="10"/>
  <c r="F25" i="10"/>
  <c r="V24" i="10"/>
  <c r="U24" i="10"/>
  <c r="N24" i="10"/>
  <c r="M24" i="10"/>
  <c r="L24" i="10"/>
  <c r="K24" i="10"/>
  <c r="F24" i="10"/>
  <c r="V23" i="10"/>
  <c r="U23" i="10"/>
  <c r="F23" i="10"/>
  <c r="Z22" i="10"/>
  <c r="Y22" i="10"/>
  <c r="V22" i="10"/>
  <c r="U22" i="10"/>
  <c r="Q22" i="10" s="1"/>
  <c r="M22" i="10" s="1"/>
  <c r="F22" i="10"/>
  <c r="A22" i="10"/>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V21" i="10"/>
  <c r="U21" i="10"/>
  <c r="F21" i="10"/>
  <c r="V20" i="10"/>
  <c r="U20" i="10"/>
  <c r="F20" i="10"/>
  <c r="V19" i="10"/>
  <c r="U19" i="10"/>
  <c r="F19" i="10"/>
  <c r="V18" i="10"/>
  <c r="U18" i="10"/>
  <c r="Y18" i="10" s="1"/>
  <c r="F18" i="10"/>
  <c r="V17" i="10"/>
  <c r="F17" i="10"/>
  <c r="Z16" i="10"/>
  <c r="X16" i="10"/>
  <c r="V16" i="10"/>
  <c r="U16" i="10"/>
  <c r="Y16" i="10" s="1"/>
  <c r="S16" i="10" s="1"/>
  <c r="T16" i="10"/>
  <c r="Q16" i="10"/>
  <c r="N16" i="10"/>
  <c r="F16" i="10"/>
  <c r="V15" i="10"/>
  <c r="U15" i="10"/>
  <c r="X15" i="10" s="1"/>
  <c r="F15" i="10"/>
  <c r="V14" i="10"/>
  <c r="U14" i="10"/>
  <c r="Y14" i="10" s="1"/>
  <c r="N14" i="10"/>
  <c r="M14" i="10"/>
  <c r="L14" i="10"/>
  <c r="K14" i="10"/>
  <c r="F14" i="10"/>
  <c r="V13" i="10"/>
  <c r="F13" i="10"/>
  <c r="Z12" i="10"/>
  <c r="V12" i="10"/>
  <c r="U12" i="10"/>
  <c r="F12" i="10"/>
  <c r="V11" i="10"/>
  <c r="U11" i="10"/>
  <c r="F11" i="10"/>
  <c r="V10" i="10"/>
  <c r="U10" i="10"/>
  <c r="Z10" i="10" s="1"/>
  <c r="N10" i="10"/>
  <c r="M10" i="10"/>
  <c r="L10" i="10"/>
  <c r="K10" i="10"/>
  <c r="F10" i="10"/>
  <c r="V9" i="10"/>
  <c r="U9" i="10"/>
  <c r="X9" i="10" s="1"/>
  <c r="N9" i="10"/>
  <c r="M9" i="10"/>
  <c r="L9" i="10"/>
  <c r="K9" i="10"/>
  <c r="F9" i="10"/>
  <c r="V8" i="10"/>
  <c r="F8" i="10"/>
  <c r="V7" i="10"/>
  <c r="F7" i="10"/>
  <c r="V6" i="10"/>
  <c r="F6" i="10"/>
  <c r="V5" i="10"/>
  <c r="F5" i="10"/>
  <c r="V4" i="10"/>
  <c r="U4" i="10"/>
  <c r="Z4" i="10" s="1"/>
  <c r="F4" i="10"/>
  <c r="X3" i="10"/>
  <c r="W3" i="10"/>
  <c r="V3" i="10"/>
  <c r="U3" i="10"/>
  <c r="Y3" i="10" s="1"/>
  <c r="S3" i="10" s="1"/>
  <c r="T3" i="10"/>
  <c r="F3" i="10"/>
  <c r="A3" i="10"/>
  <c r="A4" i="10" s="1"/>
  <c r="A5" i="10" s="1"/>
  <c r="A6" i="10" s="1"/>
  <c r="A7" i="10" s="1"/>
  <c r="A8" i="10" s="1"/>
  <c r="A9" i="10" s="1"/>
  <c r="A10" i="10" s="1"/>
  <c r="A11" i="10" s="1"/>
  <c r="A12" i="10" s="1"/>
  <c r="A13" i="10" s="1"/>
  <c r="A14" i="10" s="1"/>
  <c r="A15" i="10" s="1"/>
  <c r="A16" i="10" s="1"/>
  <c r="A17" i="10" s="1"/>
  <c r="A18" i="10" s="1"/>
  <c r="A19" i="10" s="1"/>
  <c r="A20" i="10" s="1"/>
  <c r="V2" i="10"/>
  <c r="U2" i="10"/>
  <c r="F2" i="10"/>
  <c r="T92" i="9"/>
  <c r="Q92" i="9"/>
  <c r="M92" i="9" s="1"/>
  <c r="T91" i="9"/>
  <c r="Q91" i="9"/>
  <c r="M91" i="9"/>
  <c r="L91" i="9"/>
  <c r="K91" i="9"/>
  <c r="J91" i="9"/>
  <c r="T90" i="9"/>
  <c r="Q90" i="9"/>
  <c r="L90" i="9" s="1"/>
  <c r="M90" i="9"/>
  <c r="T89" i="9"/>
  <c r="Q89" i="9"/>
  <c r="T88" i="9"/>
  <c r="Q88" i="9"/>
  <c r="M88" i="9"/>
  <c r="K88" i="9"/>
  <c r="G88" i="9"/>
  <c r="T87" i="9"/>
  <c r="Q87" i="9"/>
  <c r="M87" i="9"/>
  <c r="L87" i="9"/>
  <c r="K87" i="9"/>
  <c r="J87" i="9"/>
  <c r="T86" i="9"/>
  <c r="Q86" i="9"/>
  <c r="L86" i="9" s="1"/>
  <c r="M86" i="9"/>
  <c r="J86" i="9"/>
  <c r="T85" i="9"/>
  <c r="Q85" i="9"/>
  <c r="M85" i="9" s="1"/>
  <c r="T84" i="9"/>
  <c r="Q84" i="9"/>
  <c r="L84" i="9" s="1"/>
  <c r="T83" i="9"/>
  <c r="Q83" i="9"/>
  <c r="M83" i="9" s="1"/>
  <c r="T82" i="9"/>
  <c r="Q82" i="9"/>
  <c r="L82" i="9" s="1"/>
  <c r="M82" i="9"/>
  <c r="J82" i="9"/>
  <c r="T81" i="9"/>
  <c r="Q81" i="9"/>
  <c r="M81" i="9" s="1"/>
  <c r="T80" i="9"/>
  <c r="Q80" i="9"/>
  <c r="J80" i="9" s="1"/>
  <c r="M80" i="9"/>
  <c r="L80" i="9"/>
  <c r="K80" i="9"/>
  <c r="T79" i="9"/>
  <c r="Q79" i="9"/>
  <c r="J79" i="9" s="1"/>
  <c r="L79" i="9"/>
  <c r="T78" i="9"/>
  <c r="Q78" i="9"/>
  <c r="L78" i="9" s="1"/>
  <c r="J78" i="9"/>
  <c r="T77" i="9"/>
  <c r="Q77" i="9"/>
  <c r="M77" i="9" s="1"/>
  <c r="T76" i="9"/>
  <c r="Q76" i="9"/>
  <c r="J76" i="9" s="1"/>
  <c r="M76" i="9"/>
  <c r="L76" i="9"/>
  <c r="K76" i="9"/>
  <c r="T75" i="9"/>
  <c r="Q75" i="9"/>
  <c r="L75" i="9"/>
  <c r="J75" i="9"/>
  <c r="T74" i="9"/>
  <c r="Q74" i="9"/>
  <c r="J74" i="9" s="1"/>
  <c r="T73" i="9"/>
  <c r="Q73" i="9"/>
  <c r="T72" i="9"/>
  <c r="Q72" i="9"/>
  <c r="L72" i="9" s="1"/>
  <c r="M72" i="9"/>
  <c r="T71" i="9"/>
  <c r="Q71" i="9"/>
  <c r="M71" i="9"/>
  <c r="L71" i="9"/>
  <c r="K71" i="9"/>
  <c r="J71" i="9"/>
  <c r="T70" i="9"/>
  <c r="Q70" i="9"/>
  <c r="L70" i="9" s="1"/>
  <c r="M70" i="9"/>
  <c r="T69" i="9"/>
  <c r="Q69" i="9"/>
  <c r="M69" i="9"/>
  <c r="T68" i="9"/>
  <c r="Q68" i="9"/>
  <c r="L68" i="9"/>
  <c r="T67" i="9"/>
  <c r="M67" i="9"/>
  <c r="L67" i="9"/>
  <c r="K67" i="9"/>
  <c r="J67" i="9"/>
  <c r="T66" i="9"/>
  <c r="S66" i="9"/>
  <c r="M66" i="9"/>
  <c r="L66" i="9"/>
  <c r="K66" i="9"/>
  <c r="J66" i="9"/>
  <c r="T65" i="9"/>
  <c r="Q65" i="9"/>
  <c r="L65" i="9" s="1"/>
  <c r="T64" i="9"/>
  <c r="Q64" i="9"/>
  <c r="M64" i="9"/>
  <c r="L64" i="9"/>
  <c r="K64" i="9"/>
  <c r="J64" i="9"/>
  <c r="T63" i="9"/>
  <c r="Q63" i="9"/>
  <c r="L63" i="9" s="1"/>
  <c r="M63" i="9"/>
  <c r="J63" i="9"/>
  <c r="T62" i="9"/>
  <c r="Q62" i="9"/>
  <c r="M62" i="9" s="1"/>
  <c r="T61" i="9"/>
  <c r="Q61" i="9"/>
  <c r="J61" i="9" s="1"/>
  <c r="M61" i="9"/>
  <c r="K61" i="9"/>
  <c r="T60" i="9"/>
  <c r="Q60" i="9"/>
  <c r="K60" i="9" s="1"/>
  <c r="T59" i="9"/>
  <c r="Q59" i="9"/>
  <c r="J59" i="9" s="1"/>
  <c r="T58" i="9"/>
  <c r="S58" i="9"/>
  <c r="M58" i="9"/>
  <c r="L58" i="9"/>
  <c r="K58" i="9"/>
  <c r="J58" i="9"/>
  <c r="T57" i="9"/>
  <c r="S57" i="9"/>
  <c r="M57" i="9"/>
  <c r="L57" i="9"/>
  <c r="K57" i="9"/>
  <c r="J57" i="9"/>
  <c r="T56" i="9"/>
  <c r="S56" i="9"/>
  <c r="M56" i="9"/>
  <c r="L56" i="9"/>
  <c r="K56" i="9"/>
  <c r="J56" i="9"/>
  <c r="T55" i="9"/>
  <c r="Q55" i="9"/>
  <c r="J55" i="9" s="1"/>
  <c r="T54" i="9"/>
  <c r="Q54" i="9"/>
  <c r="T53" i="9"/>
  <c r="Q53" i="9"/>
  <c r="L53" i="9"/>
  <c r="T52" i="9"/>
  <c r="Q52" i="9"/>
  <c r="M52" i="9"/>
  <c r="L52" i="9"/>
  <c r="K52" i="9"/>
  <c r="J52" i="9"/>
  <c r="T51" i="9"/>
  <c r="Q51" i="9"/>
  <c r="L51" i="9" s="1"/>
  <c r="M51" i="9"/>
  <c r="J51" i="9"/>
  <c r="T50" i="9"/>
  <c r="Q50" i="9"/>
  <c r="M50" i="9"/>
  <c r="T49" i="9"/>
  <c r="Q49" i="9"/>
  <c r="L49" i="9"/>
  <c r="T48" i="9"/>
  <c r="Q48" i="9"/>
  <c r="K48" i="9" s="1"/>
  <c r="M48" i="9"/>
  <c r="T47" i="9"/>
  <c r="Q47" i="9"/>
  <c r="L47" i="9" s="1"/>
  <c r="M47" i="9"/>
  <c r="J47" i="9"/>
  <c r="T46" i="9"/>
  <c r="Q46" i="9"/>
  <c r="M46" i="9" s="1"/>
  <c r="T45" i="9"/>
  <c r="Q45" i="9"/>
  <c r="J45" i="9" s="1"/>
  <c r="M45" i="9"/>
  <c r="L45" i="9"/>
  <c r="K45" i="9"/>
  <c r="T44" i="9"/>
  <c r="Q44" i="9"/>
  <c r="L44" i="9" s="1"/>
  <c r="T43" i="9"/>
  <c r="Q43" i="9"/>
  <c r="L43" i="9" s="1"/>
  <c r="J43" i="9"/>
  <c r="T42" i="9"/>
  <c r="Q42" i="9"/>
  <c r="M42" i="9" s="1"/>
  <c r="T41" i="9"/>
  <c r="Q41" i="9"/>
  <c r="J41" i="9" s="1"/>
  <c r="M41" i="9"/>
  <c r="L41" i="9"/>
  <c r="K41" i="9"/>
  <c r="T40" i="9"/>
  <c r="S40" i="9"/>
  <c r="M40" i="9"/>
  <c r="L40" i="9"/>
  <c r="K40" i="9"/>
  <c r="J40" i="9"/>
  <c r="T39" i="9"/>
  <c r="Q39" i="9"/>
  <c r="J39" i="9"/>
  <c r="T38" i="9"/>
  <c r="S38" i="9"/>
  <c r="M38" i="9"/>
  <c r="L38" i="9"/>
  <c r="K38" i="9"/>
  <c r="J38" i="9"/>
  <c r="T37" i="9"/>
  <c r="Q37" i="9"/>
  <c r="L37" i="9"/>
  <c r="T36" i="9"/>
  <c r="Q36" i="9"/>
  <c r="M36" i="9"/>
  <c r="K36" i="9"/>
  <c r="T35" i="9"/>
  <c r="Q35" i="9"/>
  <c r="L35" i="9" s="1"/>
  <c r="M35" i="9"/>
  <c r="J35" i="9"/>
  <c r="T34" i="9"/>
  <c r="S34" i="9"/>
  <c r="M34" i="9"/>
  <c r="L34" i="9"/>
  <c r="K34" i="9"/>
  <c r="J34" i="9"/>
  <c r="T33" i="9"/>
  <c r="Q33" i="9"/>
  <c r="M33" i="9" s="1"/>
  <c r="T32" i="9"/>
  <c r="Q32" i="9"/>
  <c r="M32" i="9" s="1"/>
  <c r="L32" i="9"/>
  <c r="K32" i="9"/>
  <c r="J32" i="9"/>
  <c r="T31" i="9"/>
  <c r="Q31" i="9"/>
  <c r="K31" i="9" s="1"/>
  <c r="T30" i="9"/>
  <c r="Q30" i="9"/>
  <c r="M30" i="9"/>
  <c r="T29" i="9"/>
  <c r="Q29" i="9"/>
  <c r="L29" i="9"/>
  <c r="T28" i="9"/>
  <c r="Q28" i="9"/>
  <c r="K28" i="9" s="1"/>
  <c r="M28" i="9"/>
  <c r="T27" i="9"/>
  <c r="Q27" i="9"/>
  <c r="K27" i="9"/>
  <c r="J27" i="9"/>
  <c r="T26" i="9"/>
  <c r="Q26" i="9"/>
  <c r="T25" i="9"/>
  <c r="Q25" i="9"/>
  <c r="J25" i="9" s="1"/>
  <c r="M25" i="9"/>
  <c r="L25" i="9"/>
  <c r="T24" i="9"/>
  <c r="S24" i="9"/>
  <c r="M24" i="9"/>
  <c r="L24" i="9"/>
  <c r="K24" i="9"/>
  <c r="J24" i="9"/>
  <c r="T23" i="9"/>
  <c r="Q23" i="9"/>
  <c r="L23" i="9" s="1"/>
  <c r="M23" i="9"/>
  <c r="K23" i="9"/>
  <c r="J23" i="9"/>
  <c r="T22" i="9"/>
  <c r="Q22" i="9"/>
  <c r="M22" i="9" s="1"/>
  <c r="T21" i="9"/>
  <c r="Q21" i="9"/>
  <c r="J21" i="9" s="1"/>
  <c r="M21" i="9"/>
  <c r="L21" i="9"/>
  <c r="T20" i="9"/>
  <c r="S20" i="9"/>
  <c r="M20" i="9"/>
  <c r="L20" i="9"/>
  <c r="K20" i="9"/>
  <c r="J20" i="9"/>
  <c r="T19" i="9"/>
  <c r="Q19" i="9"/>
  <c r="M19" i="9" s="1"/>
  <c r="T18" i="9"/>
  <c r="Q18" i="9"/>
  <c r="M18" i="9" s="1"/>
  <c r="T17" i="9"/>
  <c r="Q17" i="9"/>
  <c r="J17" i="9" s="1"/>
  <c r="M17" i="9"/>
  <c r="L17" i="9"/>
  <c r="T16" i="9"/>
  <c r="Q16" i="9"/>
  <c r="L16" i="9" s="1"/>
  <c r="J16" i="9"/>
  <c r="T15" i="9"/>
  <c r="S15" i="9"/>
  <c r="M15" i="9"/>
  <c r="L15" i="9"/>
  <c r="K15" i="9"/>
  <c r="J15" i="9"/>
  <c r="T14" i="9"/>
  <c r="Q14" i="9"/>
  <c r="M14" i="9" s="1"/>
  <c r="T13" i="9"/>
  <c r="Q13" i="9"/>
  <c r="L13" i="9"/>
  <c r="T12" i="9"/>
  <c r="Q12" i="9"/>
  <c r="M12" i="9" s="1"/>
  <c r="T11" i="9"/>
  <c r="S11" i="9"/>
  <c r="M11" i="9"/>
  <c r="L11" i="9"/>
  <c r="K11" i="9"/>
  <c r="J11" i="9"/>
  <c r="T10" i="9"/>
  <c r="Q10" i="9"/>
  <c r="M10" i="9" s="1"/>
  <c r="T9" i="9"/>
  <c r="Q9" i="9"/>
  <c r="T8" i="9"/>
  <c r="Q8" i="9"/>
  <c r="K8" i="9" s="1"/>
  <c r="T7" i="9"/>
  <c r="Q7" i="9"/>
  <c r="J7" i="9"/>
  <c r="T6" i="9"/>
  <c r="Q6" i="9"/>
  <c r="M6" i="9"/>
  <c r="T5" i="9"/>
  <c r="Q5" i="9"/>
  <c r="L5" i="9"/>
  <c r="T4" i="9"/>
  <c r="Q4" i="9"/>
  <c r="L4" i="9" s="1"/>
  <c r="T3" i="9"/>
  <c r="S3" i="9"/>
  <c r="Q3" i="9" s="1"/>
  <c r="K3" i="9" s="1"/>
  <c r="T2" i="9"/>
  <c r="Q2" i="9"/>
  <c r="L2" i="9" s="1"/>
  <c r="M2" i="9"/>
  <c r="J2" i="9"/>
  <c r="S97" i="8"/>
  <c r="S96" i="8"/>
  <c r="S95" i="8"/>
  <c r="S94" i="8"/>
  <c r="V93" i="8"/>
  <c r="T93" i="8"/>
  <c r="S93" i="8"/>
  <c r="I93" i="8"/>
  <c r="H93" i="8"/>
  <c r="C92" i="8"/>
  <c r="V92" i="8" s="1"/>
  <c r="S91" i="8"/>
  <c r="C91" i="8"/>
  <c r="V91" i="8" s="1"/>
  <c r="S90" i="8"/>
  <c r="I90" i="8"/>
  <c r="H90" i="8"/>
  <c r="C90" i="8"/>
  <c r="V90" i="8" s="1"/>
  <c r="S89" i="8"/>
  <c r="I89" i="8"/>
  <c r="H89" i="8"/>
  <c r="C89" i="8"/>
  <c r="V89" i="8" s="1"/>
  <c r="C88" i="8"/>
  <c r="V88" i="8" s="1"/>
  <c r="S87" i="8"/>
  <c r="T87" i="8" s="1"/>
  <c r="R87" i="8" s="1"/>
  <c r="C87" i="8"/>
  <c r="S86" i="8"/>
  <c r="C86" i="8"/>
  <c r="V86" i="8" s="1"/>
  <c r="V85" i="8"/>
  <c r="S85" i="8"/>
  <c r="T85" i="8" s="1"/>
  <c r="R85" i="8" s="1"/>
  <c r="C85" i="8"/>
  <c r="S84" i="8"/>
  <c r="C84" i="8"/>
  <c r="V83" i="8"/>
  <c r="N83" i="8"/>
  <c r="M83" i="8"/>
  <c r="K83" i="8"/>
  <c r="J83" i="8"/>
  <c r="C83" i="8"/>
  <c r="N82" i="8"/>
  <c r="M82" i="8"/>
  <c r="K82" i="8"/>
  <c r="J82" i="8"/>
  <c r="C82" i="8"/>
  <c r="V82" i="8" s="1"/>
  <c r="N81" i="8"/>
  <c r="M81" i="8"/>
  <c r="K81" i="8"/>
  <c r="J81" i="8"/>
  <c r="C81" i="8"/>
  <c r="V81" i="8" s="1"/>
  <c r="T80" i="8"/>
  <c r="S80" i="8"/>
  <c r="C80" i="8"/>
  <c r="V80" i="8" s="1"/>
  <c r="S79" i="8"/>
  <c r="T79" i="8" s="1"/>
  <c r="R79" i="8" s="1"/>
  <c r="C79" i="8"/>
  <c r="V79" i="8" s="1"/>
  <c r="S78" i="8"/>
  <c r="I78" i="8"/>
  <c r="H78" i="8"/>
  <c r="C78" i="8"/>
  <c r="V77" i="8"/>
  <c r="T77" i="8"/>
  <c r="S77" i="8"/>
  <c r="R77" i="8"/>
  <c r="M77" i="8" s="1"/>
  <c r="C77" i="8"/>
  <c r="S76" i="8"/>
  <c r="C76" i="8"/>
  <c r="V76" i="8" s="1"/>
  <c r="C75" i="8"/>
  <c r="V74" i="8"/>
  <c r="S74" i="8"/>
  <c r="T74" i="8" s="1"/>
  <c r="R74" i="8" s="1"/>
  <c r="C74" i="8"/>
  <c r="S73" i="8"/>
  <c r="I73" i="8"/>
  <c r="H73" i="8"/>
  <c r="C73" i="8"/>
  <c r="V72" i="8"/>
  <c r="S72" i="8"/>
  <c r="C72" i="8"/>
  <c r="S71" i="8"/>
  <c r="C71" i="8"/>
  <c r="V71" i="8" s="1"/>
  <c r="S70" i="8"/>
  <c r="T70" i="8" s="1"/>
  <c r="C70" i="8"/>
  <c r="S69" i="8"/>
  <c r="T69" i="8" s="1"/>
  <c r="R69" i="8"/>
  <c r="N69" i="8"/>
  <c r="C69" i="8"/>
  <c r="V69" i="8" s="1"/>
  <c r="S68" i="8"/>
  <c r="C68" i="8"/>
  <c r="T67" i="8"/>
  <c r="R67" i="8" s="1"/>
  <c r="S67" i="8"/>
  <c r="C67" i="8"/>
  <c r="V67" i="8" s="1"/>
  <c r="S66" i="8"/>
  <c r="T66" i="8" s="1"/>
  <c r="R66" i="8" s="1"/>
  <c r="C66" i="8"/>
  <c r="T65" i="8"/>
  <c r="S65" i="8"/>
  <c r="C65" i="8"/>
  <c r="V65" i="8" s="1"/>
  <c r="V64" i="8"/>
  <c r="C64" i="8"/>
  <c r="T63" i="8"/>
  <c r="S63" i="8"/>
  <c r="N63" i="8"/>
  <c r="M63" i="8"/>
  <c r="K63" i="8"/>
  <c r="J63" i="8"/>
  <c r="C63" i="8"/>
  <c r="V63" i="8" s="1"/>
  <c r="T62" i="8"/>
  <c r="R62" i="8" s="1"/>
  <c r="S62" i="8"/>
  <c r="C62" i="8"/>
  <c r="V62" i="8" s="1"/>
  <c r="S61" i="8"/>
  <c r="T61" i="8" s="1"/>
  <c r="R61" i="8" s="1"/>
  <c r="C61" i="8"/>
  <c r="C60" i="8"/>
  <c r="V60" i="8" s="1"/>
  <c r="C59" i="8"/>
  <c r="V59" i="8" s="1"/>
  <c r="S58" i="8"/>
  <c r="C58" i="8"/>
  <c r="V58" i="8" s="1"/>
  <c r="T57" i="8"/>
  <c r="R57" i="8" s="1"/>
  <c r="S57" i="8"/>
  <c r="C57" i="8"/>
  <c r="C56" i="8"/>
  <c r="V56" i="8" s="1"/>
  <c r="V55" i="8"/>
  <c r="T55" i="8"/>
  <c r="S55" i="8"/>
  <c r="R55" i="8"/>
  <c r="C55" i="8"/>
  <c r="C54" i="8"/>
  <c r="V54" i="8" s="1"/>
  <c r="V53" i="8"/>
  <c r="C53" i="8"/>
  <c r="C52" i="8"/>
  <c r="V52" i="8" s="1"/>
  <c r="V51" i="8"/>
  <c r="C51" i="8"/>
  <c r="S50" i="8"/>
  <c r="C50" i="8"/>
  <c r="S49" i="8"/>
  <c r="I49" i="8"/>
  <c r="H49" i="8"/>
  <c r="C49" i="8"/>
  <c r="V49" i="8" s="1"/>
  <c r="V48" i="8"/>
  <c r="S48" i="8"/>
  <c r="T48" i="8" s="1"/>
  <c r="R48" i="8"/>
  <c r="C48" i="8"/>
  <c r="C47" i="8"/>
  <c r="V47" i="8" s="1"/>
  <c r="S46" i="8"/>
  <c r="T46" i="8" s="1"/>
  <c r="N46" i="8"/>
  <c r="M46" i="8"/>
  <c r="K46" i="8"/>
  <c r="J46" i="8"/>
  <c r="C46" i="8"/>
  <c r="V46" i="8" s="1"/>
  <c r="S45" i="8"/>
  <c r="T45" i="8" s="1"/>
  <c r="N45" i="8"/>
  <c r="M45" i="8"/>
  <c r="K45" i="8"/>
  <c r="J45" i="8"/>
  <c r="C45" i="8"/>
  <c r="V45" i="8" s="1"/>
  <c r="C44" i="8"/>
  <c r="V44" i="8" s="1"/>
  <c r="S43" i="8"/>
  <c r="T43" i="8" s="1"/>
  <c r="R43" i="8" s="1"/>
  <c r="C43" i="8"/>
  <c r="V43" i="8" s="1"/>
  <c r="C42" i="8"/>
  <c r="V42" i="8" s="1"/>
  <c r="S41" i="8"/>
  <c r="T41" i="8" s="1"/>
  <c r="N41" i="8"/>
  <c r="M41" i="8"/>
  <c r="K41" i="8"/>
  <c r="J41" i="8"/>
  <c r="C41" i="8"/>
  <c r="V41" i="8" s="1"/>
  <c r="S40" i="8"/>
  <c r="C40" i="8"/>
  <c r="S39" i="8"/>
  <c r="C39" i="8"/>
  <c r="S38" i="8"/>
  <c r="C38" i="8"/>
  <c r="S37" i="8"/>
  <c r="T37" i="8" s="1"/>
  <c r="N37" i="8"/>
  <c r="M37" i="8"/>
  <c r="K37" i="8"/>
  <c r="J37" i="8"/>
  <c r="C37" i="8"/>
  <c r="V37" i="8" s="1"/>
  <c r="S36" i="8"/>
  <c r="T36" i="8" s="1"/>
  <c r="N36" i="8"/>
  <c r="M36" i="8"/>
  <c r="K36" i="8"/>
  <c r="J36" i="8"/>
  <c r="C36" i="8"/>
  <c r="V36" i="8" s="1"/>
  <c r="C35" i="8"/>
  <c r="V35" i="8" s="1"/>
  <c r="C34" i="8"/>
  <c r="V34" i="8" s="1"/>
  <c r="T33" i="8"/>
  <c r="S33" i="8"/>
  <c r="N33" i="8"/>
  <c r="M33" i="8"/>
  <c r="K33" i="8"/>
  <c r="J33" i="8"/>
  <c r="C33" i="8"/>
  <c r="V33" i="8" s="1"/>
  <c r="V32" i="8"/>
  <c r="T32" i="8"/>
  <c r="R32" i="8" s="1"/>
  <c r="S32" i="8"/>
  <c r="C32" i="8"/>
  <c r="S31" i="8"/>
  <c r="C31" i="8"/>
  <c r="V31" i="8" s="1"/>
  <c r="V30" i="8"/>
  <c r="C30" i="8"/>
  <c r="N29" i="8"/>
  <c r="M29" i="8"/>
  <c r="K29" i="8"/>
  <c r="J29" i="8"/>
  <c r="C29" i="8"/>
  <c r="V29" i="8" s="1"/>
  <c r="S28" i="8"/>
  <c r="T28" i="8" s="1"/>
  <c r="N28" i="8"/>
  <c r="M28" i="8"/>
  <c r="K28" i="8"/>
  <c r="J28" i="8"/>
  <c r="C28" i="8"/>
  <c r="V28" i="8" s="1"/>
  <c r="V27" i="8"/>
  <c r="N27" i="8"/>
  <c r="M27" i="8"/>
  <c r="K27" i="8"/>
  <c r="J27" i="8"/>
  <c r="C27" i="8"/>
  <c r="T26" i="8"/>
  <c r="S26" i="8"/>
  <c r="R26" i="8"/>
  <c r="C26" i="8"/>
  <c r="C25" i="8"/>
  <c r="V25" i="8" s="1"/>
  <c r="T24" i="8"/>
  <c r="R24" i="8" s="1"/>
  <c r="S24" i="8"/>
  <c r="C24" i="8"/>
  <c r="V24" i="8" s="1"/>
  <c r="S23" i="8"/>
  <c r="T23" i="8" s="1"/>
  <c r="N23" i="8"/>
  <c r="M23" i="8"/>
  <c r="K23" i="8"/>
  <c r="J23" i="8"/>
  <c r="C23" i="8"/>
  <c r="V23" i="8" s="1"/>
  <c r="T22" i="8"/>
  <c r="S22" i="8"/>
  <c r="N22" i="8"/>
  <c r="M22" i="8"/>
  <c r="K22" i="8"/>
  <c r="J22" i="8"/>
  <c r="C22" i="8"/>
  <c r="V22" i="8" s="1"/>
  <c r="V21" i="8"/>
  <c r="T21" i="8"/>
  <c r="S21" i="8"/>
  <c r="N21" i="8"/>
  <c r="M21" i="8"/>
  <c r="K21" i="8"/>
  <c r="J21" i="8"/>
  <c r="C21" i="8"/>
  <c r="S20" i="8"/>
  <c r="T20" i="8" s="1"/>
  <c r="N20" i="8"/>
  <c r="M20" i="8"/>
  <c r="K20" i="8"/>
  <c r="J20" i="8"/>
  <c r="C20" i="8"/>
  <c r="V20" i="8" s="1"/>
  <c r="S19" i="8"/>
  <c r="T19" i="8" s="1"/>
  <c r="N19" i="8"/>
  <c r="M19" i="8"/>
  <c r="K19" i="8"/>
  <c r="J19" i="8"/>
  <c r="C19" i="8"/>
  <c r="V19" i="8" s="1"/>
  <c r="C18" i="8"/>
  <c r="V18" i="8" s="1"/>
  <c r="S17" i="8"/>
  <c r="T17" i="8" s="1"/>
  <c r="N17" i="8"/>
  <c r="M17" i="8"/>
  <c r="K17" i="8"/>
  <c r="J17" i="8"/>
  <c r="C17" i="8"/>
  <c r="V17" i="8" s="1"/>
  <c r="S16" i="8"/>
  <c r="T16" i="8" s="1"/>
  <c r="N16" i="8"/>
  <c r="M16" i="8"/>
  <c r="K16" i="8"/>
  <c r="J16" i="8"/>
  <c r="C16" i="8"/>
  <c r="V16" i="8" s="1"/>
  <c r="S15" i="8"/>
  <c r="T15" i="8" s="1"/>
  <c r="N15" i="8"/>
  <c r="M15" i="8"/>
  <c r="J15" i="8"/>
  <c r="C15" i="8"/>
  <c r="V15" i="8" s="1"/>
  <c r="C14" i="8"/>
  <c r="V13" i="8"/>
  <c r="S13" i="8"/>
  <c r="C13" i="8"/>
  <c r="S12" i="8"/>
  <c r="I12" i="8"/>
  <c r="H12" i="8"/>
  <c r="C12" i="8"/>
  <c r="V12" i="8" s="1"/>
  <c r="T11" i="8"/>
  <c r="R11" i="8" s="1"/>
  <c r="S11" i="8"/>
  <c r="M11" i="8"/>
  <c r="C11" i="8"/>
  <c r="V11" i="8" s="1"/>
  <c r="S10" i="8"/>
  <c r="C10" i="8"/>
  <c r="V10" i="8" s="1"/>
  <c r="V9" i="8"/>
  <c r="N9" i="8"/>
  <c r="M9" i="8"/>
  <c r="K9" i="8"/>
  <c r="J9" i="8"/>
  <c r="C9" i="8"/>
  <c r="V8" i="8"/>
  <c r="S8" i="8"/>
  <c r="T8" i="8" s="1"/>
  <c r="R8" i="8"/>
  <c r="C8" i="8"/>
  <c r="N7" i="8"/>
  <c r="M7" i="8"/>
  <c r="K7" i="8"/>
  <c r="J7" i="8"/>
  <c r="C7" i="8"/>
  <c r="V7" i="8" s="1"/>
  <c r="N6" i="8"/>
  <c r="M6" i="8"/>
  <c r="K6" i="8"/>
  <c r="J6" i="8"/>
  <c r="C6" i="8"/>
  <c r="V6" i="8" s="1"/>
  <c r="N5" i="8"/>
  <c r="M5" i="8"/>
  <c r="K5" i="8"/>
  <c r="J5" i="8"/>
  <c r="C5" i="8"/>
  <c r="V5" i="8" s="1"/>
  <c r="S4" i="8"/>
  <c r="T4" i="8" s="1"/>
  <c r="N4" i="8"/>
  <c r="M4" i="8"/>
  <c r="K4" i="8"/>
  <c r="J4" i="8"/>
  <c r="C4" i="8"/>
  <c r="V4" i="8" s="1"/>
  <c r="T3" i="8"/>
  <c r="S3" i="8"/>
  <c r="N3" i="8"/>
  <c r="M3" i="8"/>
  <c r="K3" i="8"/>
  <c r="J3" i="8"/>
  <c r="C3" i="8"/>
  <c r="V3" i="8" s="1"/>
  <c r="T2" i="8"/>
  <c r="S2" i="8"/>
  <c r="R2" i="8"/>
  <c r="I2" i="8"/>
  <c r="H2" i="8"/>
  <c r="C2" i="8"/>
  <c r="V2" i="8" s="1"/>
  <c r="Z91" i="7"/>
  <c r="Y91" i="7" s="1"/>
  <c r="X91" i="7" s="1"/>
  <c r="L91" i="7" s="1"/>
  <c r="H91" i="7"/>
  <c r="Z90" i="7"/>
  <c r="Y90" i="7" s="1"/>
  <c r="X90" i="7" s="1"/>
  <c r="Z89" i="7"/>
  <c r="Y89" i="7"/>
  <c r="X89" i="7" s="1"/>
  <c r="Z88" i="7"/>
  <c r="Y88" i="7" s="1"/>
  <c r="X88" i="7" s="1"/>
  <c r="L88" i="7" s="1"/>
  <c r="Z84" i="7"/>
  <c r="Y84" i="7" s="1"/>
  <c r="X84" i="7" s="1"/>
  <c r="Z83" i="7"/>
  <c r="Y83" i="7"/>
  <c r="X83" i="7"/>
  <c r="Z81" i="7"/>
  <c r="Y81" i="7" s="1"/>
  <c r="X81" i="7" s="1"/>
  <c r="Z80" i="7"/>
  <c r="Y80" i="7" s="1"/>
  <c r="X80" i="7" s="1"/>
  <c r="L80" i="7" s="1"/>
  <c r="Z78" i="7"/>
  <c r="Y78" i="7"/>
  <c r="X78" i="7" s="1"/>
  <c r="Z70" i="7"/>
  <c r="Y70" i="7"/>
  <c r="X70" i="7" s="1"/>
  <c r="U70" i="7" s="1"/>
  <c r="I70" i="7"/>
  <c r="H70" i="7"/>
  <c r="Z67" i="7"/>
  <c r="Y67" i="7" s="1"/>
  <c r="X67" i="7"/>
  <c r="Z65" i="7"/>
  <c r="Y65" i="7" s="1"/>
  <c r="X65" i="7"/>
  <c r="Z63" i="7"/>
  <c r="Y63" i="7"/>
  <c r="X63" i="7" s="1"/>
  <c r="Z61" i="7"/>
  <c r="Y61" i="7" s="1"/>
  <c r="X61" i="7" s="1"/>
  <c r="L61" i="7" s="1"/>
  <c r="Z59" i="7"/>
  <c r="Y59" i="7"/>
  <c r="X59" i="7"/>
  <c r="Z58" i="7"/>
  <c r="Y58" i="7"/>
  <c r="X58" i="7" s="1"/>
  <c r="L58" i="7" s="1"/>
  <c r="Z55" i="7"/>
  <c r="Y55" i="7" s="1"/>
  <c r="X55" i="7" s="1"/>
  <c r="Z50" i="7"/>
  <c r="Y50" i="7" s="1"/>
  <c r="X50" i="7" s="1"/>
  <c r="Z49" i="7"/>
  <c r="Y49" i="7" s="1"/>
  <c r="X49" i="7" s="1"/>
  <c r="Z48" i="7"/>
  <c r="Y48" i="7" s="1"/>
  <c r="X48" i="7" s="1"/>
  <c r="M48" i="7" s="1"/>
  <c r="U47" i="7"/>
  <c r="O47" i="7"/>
  <c r="N47" i="7"/>
  <c r="M47" i="7"/>
  <c r="L47" i="7"/>
  <c r="K47" i="7"/>
  <c r="J47" i="7"/>
  <c r="G47" i="7"/>
  <c r="Z46" i="7"/>
  <c r="Y46" i="7" s="1"/>
  <c r="U46" i="7"/>
  <c r="O46" i="7"/>
  <c r="N46" i="7"/>
  <c r="M46" i="7"/>
  <c r="L46" i="7"/>
  <c r="K46" i="7"/>
  <c r="J46" i="7"/>
  <c r="G46" i="7"/>
  <c r="U45" i="7"/>
  <c r="P45" i="7"/>
  <c r="Q45" i="7" s="1"/>
  <c r="O45" i="7"/>
  <c r="N45" i="7"/>
  <c r="M45" i="7"/>
  <c r="L45" i="7"/>
  <c r="K45" i="7"/>
  <c r="J45" i="7"/>
  <c r="G45" i="7"/>
  <c r="F45" i="7"/>
  <c r="D45" i="7"/>
  <c r="AA45" i="7" s="1"/>
  <c r="Z44" i="7"/>
  <c r="X44" i="7" s="1"/>
  <c r="O44" i="7" s="1"/>
  <c r="Y44" i="7"/>
  <c r="M44" i="7"/>
  <c r="G44" i="7"/>
  <c r="F44" i="7"/>
  <c r="D44" i="7"/>
  <c r="AA44" i="7" s="1"/>
  <c r="Z43" i="7"/>
  <c r="Y43" i="7"/>
  <c r="U43" i="7"/>
  <c r="O43" i="7"/>
  <c r="N43" i="7"/>
  <c r="M43" i="7"/>
  <c r="L43" i="7"/>
  <c r="K43" i="7"/>
  <c r="P43" i="7" s="1"/>
  <c r="Q43" i="7" s="1"/>
  <c r="J43" i="7"/>
  <c r="G43" i="7"/>
  <c r="F43" i="7"/>
  <c r="D43" i="7"/>
  <c r="AA43" i="7" s="1"/>
  <c r="Z42" i="7"/>
  <c r="Y42" i="7" s="1"/>
  <c r="U42" i="7"/>
  <c r="O42" i="7"/>
  <c r="N42" i="7"/>
  <c r="M42" i="7"/>
  <c r="L42" i="7"/>
  <c r="K42" i="7"/>
  <c r="J42" i="7"/>
  <c r="G42" i="7"/>
  <c r="F42" i="7"/>
  <c r="D42" i="7"/>
  <c r="AA42" i="7" s="1"/>
  <c r="AA41" i="7"/>
  <c r="Z41" i="7"/>
  <c r="Y41" i="7"/>
  <c r="U41" i="7"/>
  <c r="P41" i="7"/>
  <c r="Q41" i="7" s="1"/>
  <c r="O41" i="7"/>
  <c r="N41" i="7"/>
  <c r="M41" i="7"/>
  <c r="L41" i="7"/>
  <c r="K41" i="7"/>
  <c r="J41" i="7"/>
  <c r="G41" i="7"/>
  <c r="F41" i="7"/>
  <c r="D41" i="7"/>
  <c r="Z40" i="7"/>
  <c r="Y40" i="7"/>
  <c r="U40" i="7"/>
  <c r="O40" i="7"/>
  <c r="N40" i="7"/>
  <c r="M40" i="7"/>
  <c r="L40" i="7"/>
  <c r="K40" i="7"/>
  <c r="P40" i="7" s="1"/>
  <c r="Q40" i="7" s="1"/>
  <c r="J40" i="7"/>
  <c r="G40" i="7"/>
  <c r="F40" i="7"/>
  <c r="D40" i="7"/>
  <c r="AA40" i="7" s="1"/>
  <c r="Z39" i="7"/>
  <c r="Y39" i="7" s="1"/>
  <c r="U39" i="7"/>
  <c r="O39" i="7"/>
  <c r="N39" i="7"/>
  <c r="M39" i="7"/>
  <c r="L39" i="7"/>
  <c r="K39" i="7"/>
  <c r="J39" i="7"/>
  <c r="G39" i="7"/>
  <c r="F39" i="7"/>
  <c r="D39" i="7"/>
  <c r="AA39" i="7" s="1"/>
  <c r="Z38" i="7"/>
  <c r="Y38" i="7" s="1"/>
  <c r="X38" i="7"/>
  <c r="N38" i="7" s="1"/>
  <c r="J38" i="7"/>
  <c r="G38" i="7"/>
  <c r="F38" i="7"/>
  <c r="D38" i="7"/>
  <c r="AA38" i="7" s="1"/>
  <c r="AA37" i="7"/>
  <c r="Z37" i="7"/>
  <c r="Y37" i="7" s="1"/>
  <c r="X37" i="7"/>
  <c r="G37" i="7"/>
  <c r="F37" i="7"/>
  <c r="D37" i="7"/>
  <c r="Z36" i="7"/>
  <c r="G36" i="7"/>
  <c r="F36" i="7"/>
  <c r="D36" i="7"/>
  <c r="AA36" i="7" s="1"/>
  <c r="Z35" i="7"/>
  <c r="Y35" i="7" s="1"/>
  <c r="U35" i="7"/>
  <c r="O35" i="7"/>
  <c r="N35" i="7"/>
  <c r="M35" i="7"/>
  <c r="L35" i="7"/>
  <c r="K35" i="7"/>
  <c r="P35" i="7" s="1"/>
  <c r="Q35" i="7" s="1"/>
  <c r="J35" i="7"/>
  <c r="G35" i="7"/>
  <c r="F35" i="7"/>
  <c r="D35" i="7"/>
  <c r="AA35" i="7" s="1"/>
  <c r="Z34" i="7"/>
  <c r="Y34" i="7"/>
  <c r="U34" i="7"/>
  <c r="O34" i="7"/>
  <c r="N34" i="7"/>
  <c r="M34" i="7"/>
  <c r="L34" i="7"/>
  <c r="K34" i="7"/>
  <c r="J34" i="7"/>
  <c r="G34" i="7"/>
  <c r="F34" i="7"/>
  <c r="D34" i="7"/>
  <c r="AA34" i="7" s="1"/>
  <c r="Z33" i="7"/>
  <c r="Y33" i="7" s="1"/>
  <c r="U33" i="7"/>
  <c r="O33" i="7"/>
  <c r="N33" i="7"/>
  <c r="M33" i="7"/>
  <c r="L33" i="7"/>
  <c r="K33" i="7"/>
  <c r="P33" i="7" s="1"/>
  <c r="Q33" i="7" s="1"/>
  <c r="J33" i="7"/>
  <c r="G33" i="7"/>
  <c r="F33" i="7"/>
  <c r="D33" i="7"/>
  <c r="AA33" i="7" s="1"/>
  <c r="Z32" i="7"/>
  <c r="Y32" i="7" s="1"/>
  <c r="U32" i="7"/>
  <c r="O32" i="7"/>
  <c r="N32" i="7"/>
  <c r="M32" i="7"/>
  <c r="L32" i="7"/>
  <c r="K32" i="7"/>
  <c r="J32" i="7"/>
  <c r="G32" i="7"/>
  <c r="F32" i="7"/>
  <c r="D32" i="7"/>
  <c r="AA32" i="7" s="1"/>
  <c r="Z31" i="7"/>
  <c r="Y31" i="7" s="1"/>
  <c r="U31" i="7"/>
  <c r="O31" i="7"/>
  <c r="N31" i="7"/>
  <c r="M31" i="7"/>
  <c r="L31" i="7"/>
  <c r="K31" i="7"/>
  <c r="J31" i="7"/>
  <c r="G31" i="7"/>
  <c r="F31" i="7"/>
  <c r="D31" i="7"/>
  <c r="AA31" i="7" s="1"/>
  <c r="Z30" i="7"/>
  <c r="Y30" i="7"/>
  <c r="U30" i="7"/>
  <c r="O30" i="7"/>
  <c r="N30" i="7"/>
  <c r="M30" i="7"/>
  <c r="L30" i="7"/>
  <c r="K30" i="7"/>
  <c r="J30" i="7"/>
  <c r="G30" i="7"/>
  <c r="F30" i="7"/>
  <c r="D30" i="7"/>
  <c r="AA30" i="7" s="1"/>
  <c r="Z29" i="7"/>
  <c r="Y29" i="7"/>
  <c r="U29" i="7"/>
  <c r="O29" i="7"/>
  <c r="N29" i="7"/>
  <c r="M29" i="7"/>
  <c r="L29" i="7"/>
  <c r="K29" i="7"/>
  <c r="J29" i="7"/>
  <c r="G29" i="7"/>
  <c r="F29" i="7"/>
  <c r="D29" i="7"/>
  <c r="AA29" i="7" s="1"/>
  <c r="Z28" i="7"/>
  <c r="Y28" i="7" s="1"/>
  <c r="U28" i="7"/>
  <c r="O28" i="7"/>
  <c r="N28" i="7"/>
  <c r="M28" i="7"/>
  <c r="L28" i="7"/>
  <c r="K28" i="7"/>
  <c r="J28" i="7"/>
  <c r="G28" i="7"/>
  <c r="F28" i="7"/>
  <c r="D28" i="7"/>
  <c r="AA28" i="7" s="1"/>
  <c r="Z27" i="7"/>
  <c r="Y27" i="7" s="1"/>
  <c r="U27" i="7"/>
  <c r="O27" i="7"/>
  <c r="N27" i="7"/>
  <c r="M27" i="7"/>
  <c r="L27" i="7"/>
  <c r="K27" i="7"/>
  <c r="J27" i="7"/>
  <c r="G27" i="7"/>
  <c r="F27" i="7"/>
  <c r="D27" i="7"/>
  <c r="AA27" i="7" s="1"/>
  <c r="Z26" i="7"/>
  <c r="Y26" i="7"/>
  <c r="U26" i="7"/>
  <c r="O26" i="7"/>
  <c r="N26" i="7"/>
  <c r="M26" i="7"/>
  <c r="L26" i="7"/>
  <c r="K26" i="7"/>
  <c r="J26" i="7"/>
  <c r="G26" i="7"/>
  <c r="F26" i="7"/>
  <c r="D26" i="7"/>
  <c r="AA26" i="7" s="1"/>
  <c r="Z25" i="7"/>
  <c r="G25" i="7"/>
  <c r="F25" i="7"/>
  <c r="D25" i="7"/>
  <c r="AA25" i="7" s="1"/>
  <c r="Z24" i="7"/>
  <c r="Y24" i="7"/>
  <c r="U24" i="7"/>
  <c r="O24" i="7"/>
  <c r="N24" i="7"/>
  <c r="M24" i="7"/>
  <c r="L24" i="7"/>
  <c r="K24" i="7"/>
  <c r="J24" i="7"/>
  <c r="G24" i="7"/>
  <c r="F24" i="7"/>
  <c r="D24" i="7"/>
  <c r="AA24" i="7" s="1"/>
  <c r="Z23" i="7"/>
  <c r="Y23" i="7" s="1"/>
  <c r="U23" i="7"/>
  <c r="O23" i="7"/>
  <c r="N23" i="7"/>
  <c r="M23" i="7"/>
  <c r="L23" i="7"/>
  <c r="K23" i="7"/>
  <c r="J23" i="7"/>
  <c r="G23" i="7"/>
  <c r="F23" i="7"/>
  <c r="D23" i="7"/>
  <c r="AA23" i="7" s="1"/>
  <c r="Z22" i="7"/>
  <c r="Y22" i="7" s="1"/>
  <c r="U22" i="7"/>
  <c r="O22" i="7"/>
  <c r="N22" i="7"/>
  <c r="M22" i="7"/>
  <c r="L22" i="7"/>
  <c r="K22" i="7"/>
  <c r="J22" i="7"/>
  <c r="G22" i="7"/>
  <c r="F22" i="7"/>
  <c r="D22" i="7"/>
  <c r="AA22" i="7" s="1"/>
  <c r="Z21" i="7"/>
  <c r="Y21" i="7"/>
  <c r="U21" i="7"/>
  <c r="O21" i="7"/>
  <c r="N21" i="7"/>
  <c r="M21" i="7"/>
  <c r="L21" i="7"/>
  <c r="K21" i="7"/>
  <c r="J21" i="7"/>
  <c r="G21" i="7"/>
  <c r="F21" i="7"/>
  <c r="D21" i="7"/>
  <c r="AA21" i="7" s="1"/>
  <c r="U20" i="7"/>
  <c r="O20" i="7"/>
  <c r="N20" i="7"/>
  <c r="M20" i="7"/>
  <c r="P20" i="7" s="1"/>
  <c r="Q20" i="7" s="1"/>
  <c r="L20" i="7"/>
  <c r="K20" i="7"/>
  <c r="J20" i="7"/>
  <c r="G20" i="7"/>
  <c r="F20" i="7"/>
  <c r="D20" i="7"/>
  <c r="AA20" i="7" s="1"/>
  <c r="AA19" i="7"/>
  <c r="Z19" i="7"/>
  <c r="Y19" i="7" s="1"/>
  <c r="U19" i="7"/>
  <c r="O19" i="7"/>
  <c r="N19" i="7"/>
  <c r="M19" i="7"/>
  <c r="L19" i="7"/>
  <c r="K19" i="7"/>
  <c r="J19" i="7"/>
  <c r="G19" i="7"/>
  <c r="F19" i="7"/>
  <c r="D19" i="7"/>
  <c r="Z18" i="7"/>
  <c r="Y18" i="7" s="1"/>
  <c r="U18" i="7"/>
  <c r="O18" i="7"/>
  <c r="N18" i="7"/>
  <c r="M18" i="7"/>
  <c r="L18" i="7"/>
  <c r="K18" i="7"/>
  <c r="J18" i="7"/>
  <c r="G18" i="7"/>
  <c r="F18" i="7"/>
  <c r="D18" i="7"/>
  <c r="AA18" i="7" s="1"/>
  <c r="U17" i="7"/>
  <c r="O17" i="7"/>
  <c r="N17" i="7"/>
  <c r="M17" i="7"/>
  <c r="P17" i="7" s="1"/>
  <c r="Q17" i="7" s="1"/>
  <c r="L17" i="7"/>
  <c r="K17" i="7"/>
  <c r="J17" i="7"/>
  <c r="G17" i="7"/>
  <c r="F17" i="7"/>
  <c r="D17" i="7"/>
  <c r="AA17" i="7" s="1"/>
  <c r="U16" i="7"/>
  <c r="O16" i="7"/>
  <c r="N16" i="7"/>
  <c r="M16" i="7"/>
  <c r="L16" i="7"/>
  <c r="K16" i="7"/>
  <c r="J16" i="7"/>
  <c r="G16" i="7"/>
  <c r="F16" i="7"/>
  <c r="D16" i="7"/>
  <c r="AA16" i="7" s="1"/>
  <c r="Z15" i="7"/>
  <c r="Y15" i="7"/>
  <c r="U15" i="7"/>
  <c r="O15" i="7"/>
  <c r="N15" i="7"/>
  <c r="M15" i="7"/>
  <c r="L15" i="7"/>
  <c r="K15" i="7"/>
  <c r="J15" i="7"/>
  <c r="G15" i="7"/>
  <c r="F15" i="7"/>
  <c r="D15" i="7"/>
  <c r="AA15" i="7" s="1"/>
  <c r="Z14" i="7"/>
  <c r="Y14" i="7" s="1"/>
  <c r="U14" i="7"/>
  <c r="O14" i="7"/>
  <c r="N14" i="7"/>
  <c r="M14" i="7"/>
  <c r="L14" i="7"/>
  <c r="K14" i="7"/>
  <c r="J14" i="7"/>
  <c r="G14" i="7"/>
  <c r="F14" i="7"/>
  <c r="D14" i="7"/>
  <c r="Z13" i="7"/>
  <c r="Y13" i="7" s="1"/>
  <c r="U13" i="7"/>
  <c r="O13" i="7"/>
  <c r="N13" i="7"/>
  <c r="M13" i="7"/>
  <c r="L13" i="7"/>
  <c r="K13" i="7"/>
  <c r="J13" i="7"/>
  <c r="G13" i="7"/>
  <c r="F13" i="7"/>
  <c r="D13" i="7"/>
  <c r="Z12" i="7"/>
  <c r="Y12" i="7" s="1"/>
  <c r="U12" i="7"/>
  <c r="O12" i="7"/>
  <c r="N12" i="7"/>
  <c r="M12" i="7"/>
  <c r="L12" i="7"/>
  <c r="K12" i="7"/>
  <c r="J12" i="7"/>
  <c r="G12" i="7"/>
  <c r="F12" i="7"/>
  <c r="D12" i="7"/>
  <c r="AA12" i="7" s="1"/>
  <c r="Z11" i="7"/>
  <c r="Y11" i="7"/>
  <c r="U11" i="7"/>
  <c r="O11" i="7"/>
  <c r="N11" i="7"/>
  <c r="M11" i="7"/>
  <c r="L11" i="7"/>
  <c r="K11" i="7"/>
  <c r="J11" i="7"/>
  <c r="G11" i="7"/>
  <c r="F11" i="7"/>
  <c r="D11" i="7"/>
  <c r="AA11" i="7" s="1"/>
  <c r="AA10" i="7"/>
  <c r="Z10" i="7"/>
  <c r="Y10" i="7" s="1"/>
  <c r="U10" i="7"/>
  <c r="O10" i="7"/>
  <c r="N10" i="7"/>
  <c r="M10" i="7"/>
  <c r="L10" i="7"/>
  <c r="K10" i="7"/>
  <c r="J10" i="7"/>
  <c r="G10" i="7"/>
  <c r="F10" i="7"/>
  <c r="D10" i="7"/>
  <c r="Z9" i="7"/>
  <c r="X9" i="7" s="1"/>
  <c r="J9" i="7" s="1"/>
  <c r="Y9" i="7"/>
  <c r="G9" i="7"/>
  <c r="F9" i="7"/>
  <c r="D9" i="7"/>
  <c r="AA9" i="7" s="1"/>
  <c r="Z8" i="7"/>
  <c r="Y8" i="7" s="1"/>
  <c r="U8" i="7"/>
  <c r="O8" i="7"/>
  <c r="N8" i="7"/>
  <c r="M8" i="7"/>
  <c r="L8" i="7"/>
  <c r="K8" i="7"/>
  <c r="J8" i="7"/>
  <c r="G8" i="7"/>
  <c r="F8" i="7"/>
  <c r="D8" i="7"/>
  <c r="AA8" i="7" s="1"/>
  <c r="Z7" i="7"/>
  <c r="Y7" i="7" s="1"/>
  <c r="U7" i="7"/>
  <c r="O7" i="7"/>
  <c r="N7" i="7"/>
  <c r="M7" i="7"/>
  <c r="L7" i="7"/>
  <c r="K7" i="7"/>
  <c r="P7" i="7" s="1"/>
  <c r="Q7" i="7" s="1"/>
  <c r="J7" i="7"/>
  <c r="G7" i="7"/>
  <c r="F7" i="7"/>
  <c r="D7" i="7"/>
  <c r="AA7" i="7" s="1"/>
  <c r="Z6" i="7"/>
  <c r="Y6" i="7"/>
  <c r="U6" i="7"/>
  <c r="O6" i="7"/>
  <c r="N6" i="7"/>
  <c r="M6" i="7"/>
  <c r="L6" i="7"/>
  <c r="K6" i="7"/>
  <c r="J6" i="7"/>
  <c r="G6" i="7"/>
  <c r="F6" i="7"/>
  <c r="D6" i="7"/>
  <c r="AA6" i="7" s="1"/>
  <c r="Z5" i="7"/>
  <c r="Y5" i="7" s="1"/>
  <c r="U5" i="7"/>
  <c r="O5" i="7"/>
  <c r="N5" i="7"/>
  <c r="M5" i="7"/>
  <c r="L5" i="7"/>
  <c r="K5" i="7"/>
  <c r="J5" i="7"/>
  <c r="G5" i="7"/>
  <c r="F5" i="7"/>
  <c r="D5" i="7"/>
  <c r="AA5" i="7" s="1"/>
  <c r="Z4" i="7"/>
  <c r="Y4" i="7" s="1"/>
  <c r="U4" i="7"/>
  <c r="O4" i="7"/>
  <c r="N4" i="7"/>
  <c r="M4" i="7"/>
  <c r="L4" i="7"/>
  <c r="K4" i="7"/>
  <c r="J4" i="7"/>
  <c r="G4" i="7"/>
  <c r="F4" i="7"/>
  <c r="D4" i="7"/>
  <c r="AA4" i="7" s="1"/>
  <c r="Z3" i="7"/>
  <c r="Y3" i="7" s="1"/>
  <c r="U3" i="7"/>
  <c r="O3" i="7"/>
  <c r="N3" i="7"/>
  <c r="M3" i="7"/>
  <c r="L3" i="7"/>
  <c r="K3" i="7"/>
  <c r="P3" i="7" s="1"/>
  <c r="Q3" i="7" s="1"/>
  <c r="J3" i="7"/>
  <c r="G3" i="7"/>
  <c r="F3" i="7"/>
  <c r="D3" i="7"/>
  <c r="AA3" i="7" s="1"/>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Z2" i="7"/>
  <c r="Y2" i="7"/>
  <c r="U2" i="7"/>
  <c r="O2" i="7"/>
  <c r="N2" i="7"/>
  <c r="M2" i="7"/>
  <c r="L2" i="7"/>
  <c r="K2" i="7"/>
  <c r="J2" i="7"/>
  <c r="G2" i="7"/>
  <c r="F2" i="7"/>
  <c r="D2" i="7"/>
  <c r="AA2" i="7" s="1"/>
  <c r="S92" i="6"/>
  <c r="X92" i="6" s="1"/>
  <c r="O92" i="6"/>
  <c r="N92" i="6"/>
  <c r="M92" i="6"/>
  <c r="L92" i="6"/>
  <c r="K92" i="6"/>
  <c r="J92" i="6"/>
  <c r="D92" i="6"/>
  <c r="S91" i="6"/>
  <c r="O91" i="6"/>
  <c r="N91" i="6"/>
  <c r="M91" i="6"/>
  <c r="L91" i="6"/>
  <c r="K91" i="6"/>
  <c r="J91" i="6"/>
  <c r="D91" i="6"/>
  <c r="S90" i="6"/>
  <c r="T90" i="6" s="1"/>
  <c r="O90" i="6"/>
  <c r="N90" i="6"/>
  <c r="M90" i="6"/>
  <c r="L90" i="6"/>
  <c r="K90" i="6"/>
  <c r="J90" i="6"/>
  <c r="D90" i="6"/>
  <c r="V89" i="6"/>
  <c r="S89" i="6"/>
  <c r="Y89" i="6" s="1"/>
  <c r="D89" i="6"/>
  <c r="S88" i="6"/>
  <c r="D88" i="6"/>
  <c r="D87" i="6"/>
  <c r="S86" i="6"/>
  <c r="D86" i="6"/>
  <c r="V85" i="6"/>
  <c r="S85" i="6"/>
  <c r="Y85" i="6" s="1"/>
  <c r="D85" i="6"/>
  <c r="D84" i="6"/>
  <c r="V83" i="6"/>
  <c r="S83" i="6"/>
  <c r="Y83" i="6" s="1"/>
  <c r="D83" i="6"/>
  <c r="S82" i="6"/>
  <c r="D82" i="6"/>
  <c r="D81" i="6"/>
  <c r="D80" i="6"/>
  <c r="D79" i="6"/>
  <c r="S78" i="6"/>
  <c r="V78" i="6" s="1"/>
  <c r="D78" i="6"/>
  <c r="V77" i="6"/>
  <c r="S77" i="6"/>
  <c r="Y77" i="6" s="1"/>
  <c r="D77" i="6"/>
  <c r="S76" i="6"/>
  <c r="V76" i="6" s="1"/>
  <c r="D76" i="6"/>
  <c r="V75" i="6"/>
  <c r="S75" i="6"/>
  <c r="Y75" i="6" s="1"/>
  <c r="D75" i="6"/>
  <c r="D74" i="6"/>
  <c r="S73" i="6"/>
  <c r="D73" i="6"/>
  <c r="S72" i="6"/>
  <c r="V72" i="6" s="1"/>
  <c r="D72" i="6"/>
  <c r="S71" i="6"/>
  <c r="Y71" i="6" s="1"/>
  <c r="D71" i="6"/>
  <c r="S70" i="6"/>
  <c r="V70" i="6" s="1"/>
  <c r="D70" i="6"/>
  <c r="S69" i="6"/>
  <c r="D69" i="6"/>
  <c r="S68" i="6"/>
  <c r="V68" i="6" s="1"/>
  <c r="D68" i="6"/>
  <c r="V67" i="6"/>
  <c r="S67" i="6"/>
  <c r="Y67" i="6" s="1"/>
  <c r="D67" i="6"/>
  <c r="S66" i="6"/>
  <c r="V66" i="6" s="1"/>
  <c r="D66" i="6"/>
  <c r="D65" i="6"/>
  <c r="Y64" i="6"/>
  <c r="S64" i="6"/>
  <c r="V64" i="6" s="1"/>
  <c r="D64" i="6"/>
  <c r="S63" i="6"/>
  <c r="D63" i="6"/>
  <c r="Y62" i="6"/>
  <c r="S62" i="6"/>
  <c r="V62" i="6" s="1"/>
  <c r="D62" i="6"/>
  <c r="S61" i="6"/>
  <c r="Y61" i="6" s="1"/>
  <c r="D61" i="6"/>
  <c r="D60" i="6"/>
  <c r="D59" i="6"/>
  <c r="S58" i="6"/>
  <c r="D58" i="6"/>
  <c r="S57" i="6"/>
  <c r="D57" i="6"/>
  <c r="D56" i="6"/>
  <c r="S55" i="6"/>
  <c r="Y55" i="6" s="1"/>
  <c r="D55" i="6"/>
  <c r="D54" i="6"/>
  <c r="D53" i="6"/>
  <c r="D52" i="6"/>
  <c r="D51" i="6"/>
  <c r="S50" i="6"/>
  <c r="V50" i="6" s="1"/>
  <c r="D50" i="6"/>
  <c r="V49" i="6"/>
  <c r="S49" i="6"/>
  <c r="Y49" i="6" s="1"/>
  <c r="D49" i="6"/>
  <c r="S48" i="6"/>
  <c r="V48" i="6" s="1"/>
  <c r="D48" i="6"/>
  <c r="D47" i="6"/>
  <c r="S46" i="6"/>
  <c r="V46" i="6" s="1"/>
  <c r="D46" i="6"/>
  <c r="S45" i="6"/>
  <c r="D45" i="6"/>
  <c r="D44" i="6"/>
  <c r="S43" i="6"/>
  <c r="D43" i="6"/>
  <c r="D42" i="6"/>
  <c r="S41" i="6"/>
  <c r="D41" i="6"/>
  <c r="Y40" i="6"/>
  <c r="S40" i="6"/>
  <c r="D40" i="6"/>
  <c r="V39" i="6"/>
  <c r="S39" i="6"/>
  <c r="Y39" i="6" s="1"/>
  <c r="D39" i="6"/>
  <c r="X38" i="6"/>
  <c r="S38" i="6"/>
  <c r="V38" i="6" s="1"/>
  <c r="D38" i="6"/>
  <c r="S37" i="6"/>
  <c r="Y37" i="6" s="1"/>
  <c r="D37" i="6"/>
  <c r="Y36" i="6"/>
  <c r="S36" i="6"/>
  <c r="D36" i="6"/>
  <c r="D35" i="6"/>
  <c r="D34" i="6"/>
  <c r="V33" i="6"/>
  <c r="S33" i="6"/>
  <c r="Y33" i="6" s="1"/>
  <c r="G33" i="6"/>
  <c r="D33" i="6"/>
  <c r="H33" i="6" s="1"/>
  <c r="S32" i="6"/>
  <c r="X32" i="6" s="1"/>
  <c r="D32" i="6"/>
  <c r="S31" i="6"/>
  <c r="D31" i="6"/>
  <c r="S30" i="6"/>
  <c r="D30" i="6"/>
  <c r="V29" i="6"/>
  <c r="S29" i="6"/>
  <c r="Y29" i="6" s="1"/>
  <c r="D29" i="6"/>
  <c r="O28" i="6"/>
  <c r="N28" i="6"/>
  <c r="M28" i="6"/>
  <c r="L28" i="6"/>
  <c r="K28" i="6"/>
  <c r="J28" i="6"/>
  <c r="D28" i="6"/>
  <c r="D27" i="6"/>
  <c r="S26" i="6"/>
  <c r="X26" i="6" s="1"/>
  <c r="D26" i="6"/>
  <c r="V25" i="6"/>
  <c r="S25" i="6"/>
  <c r="X25" i="6" s="1"/>
  <c r="D25" i="6"/>
  <c r="D24" i="6"/>
  <c r="V23" i="6"/>
  <c r="S23" i="6"/>
  <c r="X23" i="6" s="1"/>
  <c r="D23" i="6"/>
  <c r="D22" i="6"/>
  <c r="S21" i="6"/>
  <c r="D21" i="6"/>
  <c r="S20" i="6"/>
  <c r="V20" i="6" s="1"/>
  <c r="D20" i="6"/>
  <c r="S19" i="6"/>
  <c r="D19" i="6"/>
  <c r="S18" i="6"/>
  <c r="X18" i="6" s="1"/>
  <c r="D18" i="6"/>
  <c r="S17" i="6"/>
  <c r="Y17" i="6" s="1"/>
  <c r="D17" i="6"/>
  <c r="S16" i="6"/>
  <c r="V16" i="6" s="1"/>
  <c r="D16" i="6"/>
  <c r="S15" i="6"/>
  <c r="D15" i="6"/>
  <c r="V14" i="6"/>
  <c r="S14" i="6"/>
  <c r="D14" i="6"/>
  <c r="S13" i="6"/>
  <c r="D13" i="6"/>
  <c r="O12" i="6"/>
  <c r="N12" i="6"/>
  <c r="M12" i="6"/>
  <c r="L12" i="6"/>
  <c r="K12" i="6"/>
  <c r="J12" i="6"/>
  <c r="D12" i="6"/>
  <c r="X11" i="6"/>
  <c r="S11" i="6"/>
  <c r="V11" i="6" s="1"/>
  <c r="D11" i="6"/>
  <c r="X10" i="6"/>
  <c r="S10" i="6"/>
  <c r="Y10" i="6" s="1"/>
  <c r="O10" i="6"/>
  <c r="N10" i="6"/>
  <c r="M10" i="6"/>
  <c r="L10" i="6"/>
  <c r="K10" i="6"/>
  <c r="J10" i="6"/>
  <c r="D10" i="6"/>
  <c r="S9" i="6"/>
  <c r="O9" i="6"/>
  <c r="N9" i="6"/>
  <c r="M9" i="6"/>
  <c r="L9" i="6"/>
  <c r="K9" i="6"/>
  <c r="J9" i="6"/>
  <c r="D9" i="6"/>
  <c r="D8" i="6"/>
  <c r="S7" i="6"/>
  <c r="D7" i="6"/>
  <c r="D6" i="6"/>
  <c r="D5" i="6"/>
  <c r="D4" i="6"/>
  <c r="V3" i="6"/>
  <c r="S3" i="6"/>
  <c r="Y3" i="6" s="1"/>
  <c r="D3" i="6"/>
  <c r="S2" i="6"/>
  <c r="V2" i="6" s="1"/>
  <c r="D2" i="6"/>
  <c r="T113" i="4"/>
  <c r="S113" i="4" s="1"/>
  <c r="T112" i="4"/>
  <c r="S112" i="4" s="1"/>
  <c r="N112" i="4" s="1"/>
  <c r="P112" i="4"/>
  <c r="M112" i="4"/>
  <c r="L112" i="4"/>
  <c r="T111" i="4"/>
  <c r="S111" i="4"/>
  <c r="T110" i="4"/>
  <c r="S110" i="4"/>
  <c r="N110" i="4" s="1"/>
  <c r="T109" i="4"/>
  <c r="S109" i="4"/>
  <c r="T108" i="4"/>
  <c r="S108" i="4" s="1"/>
  <c r="L108" i="4"/>
  <c r="I108" i="4"/>
  <c r="T107" i="4"/>
  <c r="S107" i="4" s="1"/>
  <c r="T106" i="4"/>
  <c r="S106" i="4"/>
  <c r="T105" i="4"/>
  <c r="S105" i="4" s="1"/>
  <c r="T104" i="4"/>
  <c r="S104" i="4" s="1"/>
  <c r="N104" i="4" s="1"/>
  <c r="M104" i="4"/>
  <c r="L104" i="4"/>
  <c r="T103" i="4"/>
  <c r="S103" i="4"/>
  <c r="P103" i="4" s="1"/>
  <c r="T102" i="4"/>
  <c r="S102" i="4"/>
  <c r="N102" i="4" s="1"/>
  <c r="T101" i="4"/>
  <c r="S101" i="4" s="1"/>
  <c r="T100" i="4"/>
  <c r="S100" i="4" s="1"/>
  <c r="T99" i="4"/>
  <c r="S99" i="4"/>
  <c r="L99" i="4" s="1"/>
  <c r="T98" i="4"/>
  <c r="S98" i="4" s="1"/>
  <c r="N98" i="4" s="1"/>
  <c r="T97" i="4"/>
  <c r="S97" i="4"/>
  <c r="T96" i="4"/>
  <c r="S96" i="4" s="1"/>
  <c r="N96" i="4" s="1"/>
  <c r="L96" i="4"/>
  <c r="T95" i="4"/>
  <c r="S95" i="4" s="1"/>
  <c r="T94" i="4"/>
  <c r="S94" i="4"/>
  <c r="T93" i="4"/>
  <c r="S93" i="4" s="1"/>
  <c r="N93" i="4" s="1"/>
  <c r="T92" i="4"/>
  <c r="S92" i="4" s="1"/>
  <c r="P92" i="4"/>
  <c r="T91" i="4"/>
  <c r="S91" i="4" s="1"/>
  <c r="T90" i="4"/>
  <c r="S90" i="4" s="1"/>
  <c r="P90" i="4" s="1"/>
  <c r="T89" i="4"/>
  <c r="S89" i="4"/>
  <c r="T88" i="4"/>
  <c r="S88" i="4" s="1"/>
  <c r="M88" i="4"/>
  <c r="T87" i="4"/>
  <c r="S87" i="4" s="1"/>
  <c r="M87" i="4" s="1"/>
  <c r="T86" i="4"/>
  <c r="S86" i="4"/>
  <c r="N86" i="4" s="1"/>
  <c r="T85" i="4"/>
  <c r="S85" i="4"/>
  <c r="N85" i="4" s="1"/>
  <c r="T84" i="4"/>
  <c r="S84" i="4" s="1"/>
  <c r="T83" i="4"/>
  <c r="S83" i="4" s="1"/>
  <c r="P83" i="4" s="1"/>
  <c r="T82" i="4"/>
  <c r="S82" i="4" s="1"/>
  <c r="P82" i="4" s="1"/>
  <c r="T81" i="4"/>
  <c r="S81" i="4" s="1"/>
  <c r="M81" i="4" s="1"/>
  <c r="T80" i="4"/>
  <c r="S80" i="4" s="1"/>
  <c r="T79" i="4"/>
  <c r="S79" i="4" s="1"/>
  <c r="M79" i="4"/>
  <c r="T78" i="4"/>
  <c r="S78" i="4" s="1"/>
  <c r="N78" i="4" s="1"/>
  <c r="T77" i="4"/>
  <c r="S77" i="4"/>
  <c r="N77" i="4" s="1"/>
  <c r="T76" i="4"/>
  <c r="S76" i="4" s="1"/>
  <c r="N76" i="4" s="1"/>
  <c r="T75" i="4"/>
  <c r="S75" i="4" s="1"/>
  <c r="P75" i="4"/>
  <c r="T74" i="4"/>
  <c r="S74" i="4" s="1"/>
  <c r="P74" i="4" s="1"/>
  <c r="T73" i="4"/>
  <c r="S73" i="4" s="1"/>
  <c r="M73" i="4" s="1"/>
  <c r="T72" i="4"/>
  <c r="S72" i="4" s="1"/>
  <c r="T71" i="4"/>
  <c r="S71" i="4" s="1"/>
  <c r="M71" i="4" s="1"/>
  <c r="T70" i="4"/>
  <c r="S70" i="4" s="1"/>
  <c r="N70" i="4" s="1"/>
  <c r="T69" i="4"/>
  <c r="S69" i="4"/>
  <c r="N69" i="4" s="1"/>
  <c r="T68" i="4"/>
  <c r="S68" i="4" s="1"/>
  <c r="N68" i="4"/>
  <c r="T67" i="4"/>
  <c r="S67" i="4" s="1"/>
  <c r="P67" i="4" s="1"/>
  <c r="T66" i="4"/>
  <c r="S66" i="4" s="1"/>
  <c r="P66" i="4" s="1"/>
  <c r="T65" i="4"/>
  <c r="S65" i="4"/>
  <c r="T64" i="4"/>
  <c r="S64" i="4" s="1"/>
  <c r="P64" i="4" s="1"/>
  <c r="M64" i="4"/>
  <c r="L64" i="4"/>
  <c r="T63" i="4"/>
  <c r="S63" i="4" s="1"/>
  <c r="M63" i="4"/>
  <c r="T62" i="4"/>
  <c r="S62" i="4"/>
  <c r="N62" i="4" s="1"/>
  <c r="T61" i="4"/>
  <c r="S61" i="4"/>
  <c r="N61" i="4" s="1"/>
  <c r="T60" i="4"/>
  <c r="S60" i="4" s="1"/>
  <c r="M60" i="4" s="1"/>
  <c r="N60" i="4"/>
  <c r="T59" i="4"/>
  <c r="S59" i="4" s="1"/>
  <c r="P59" i="4"/>
  <c r="T58" i="4"/>
  <c r="S58" i="4" s="1"/>
  <c r="P58" i="4" s="1"/>
  <c r="T57" i="4"/>
  <c r="S57" i="4" s="1"/>
  <c r="T56" i="4"/>
  <c r="S56" i="4" s="1"/>
  <c r="T55" i="4"/>
  <c r="S55" i="4"/>
  <c r="M55" i="4" s="1"/>
  <c r="T54" i="4"/>
  <c r="S54" i="4" s="1"/>
  <c r="N54" i="4" s="1"/>
  <c r="T53" i="4"/>
  <c r="S53" i="4"/>
  <c r="N53" i="4" s="1"/>
  <c r="T52" i="4"/>
  <c r="S52" i="4" s="1"/>
  <c r="M52" i="4" s="1"/>
  <c r="P52" i="4"/>
  <c r="T51" i="4"/>
  <c r="S51" i="4" s="1"/>
  <c r="P51" i="4" s="1"/>
  <c r="T50" i="4"/>
  <c r="S50" i="4" s="1"/>
  <c r="P50" i="4" s="1"/>
  <c r="T49" i="4"/>
  <c r="S49" i="4" s="1"/>
  <c r="T48" i="4"/>
  <c r="S48" i="4" s="1"/>
  <c r="T47" i="4"/>
  <c r="S47" i="4"/>
  <c r="M47" i="4" s="1"/>
  <c r="T46" i="4"/>
  <c r="S46" i="4" s="1"/>
  <c r="N46" i="4" s="1"/>
  <c r="T45" i="4"/>
  <c r="S45" i="4" s="1"/>
  <c r="N45" i="4" s="1"/>
  <c r="T44" i="4"/>
  <c r="S44" i="4" s="1"/>
  <c r="M44" i="4" s="1"/>
  <c r="P44" i="4"/>
  <c r="N44" i="4"/>
  <c r="T43" i="4"/>
  <c r="S43" i="4" s="1"/>
  <c r="P43" i="4" s="1"/>
  <c r="T42" i="4"/>
  <c r="S42" i="4" s="1"/>
  <c r="P42" i="4" s="1"/>
  <c r="T41" i="4"/>
  <c r="S41" i="4" s="1"/>
  <c r="T40" i="4"/>
  <c r="S40" i="4" s="1"/>
  <c r="P40" i="4" s="1"/>
  <c r="N40" i="4"/>
  <c r="T39" i="4"/>
  <c r="S39" i="4" s="1"/>
  <c r="M39" i="4" s="1"/>
  <c r="T38" i="4"/>
  <c r="S38" i="4" s="1"/>
  <c r="N38" i="4" s="1"/>
  <c r="T37" i="4"/>
  <c r="S37" i="4"/>
  <c r="N37" i="4" s="1"/>
  <c r="T36" i="4"/>
  <c r="S36" i="4" s="1"/>
  <c r="N36" i="4" s="1"/>
  <c r="T35" i="4"/>
  <c r="S35" i="4" s="1"/>
  <c r="P35" i="4" s="1"/>
  <c r="T34" i="4"/>
  <c r="S34" i="4" s="1"/>
  <c r="P34" i="4" s="1"/>
  <c r="T33" i="4"/>
  <c r="S33" i="4"/>
  <c r="T32" i="4"/>
  <c r="S32" i="4" s="1"/>
  <c r="P32" i="4" s="1"/>
  <c r="M32" i="4"/>
  <c r="T31" i="4"/>
  <c r="S31" i="4"/>
  <c r="M31" i="4"/>
  <c r="T30" i="4"/>
  <c r="S30" i="4"/>
  <c r="N30" i="4" s="1"/>
  <c r="T29" i="4"/>
  <c r="S29" i="4"/>
  <c r="N29" i="4" s="1"/>
  <c r="T28" i="4"/>
  <c r="S28" i="4" s="1"/>
  <c r="N28" i="4"/>
  <c r="T27" i="4"/>
  <c r="S27" i="4" s="1"/>
  <c r="P27" i="4" s="1"/>
  <c r="T26" i="4"/>
  <c r="S26" i="4" s="1"/>
  <c r="P26" i="4" s="1"/>
  <c r="T25" i="4"/>
  <c r="S25" i="4" s="1"/>
  <c r="T24" i="4"/>
  <c r="S24" i="4" s="1"/>
  <c r="P24" i="4" s="1"/>
  <c r="N24" i="4"/>
  <c r="M24" i="4"/>
  <c r="L24" i="4"/>
  <c r="T23" i="4"/>
  <c r="S23" i="4" s="1"/>
  <c r="M23" i="4" s="1"/>
  <c r="T22" i="4"/>
  <c r="S22" i="4" s="1"/>
  <c r="N22" i="4" s="1"/>
  <c r="T21" i="4"/>
  <c r="S21" i="4" s="1"/>
  <c r="N21" i="4" s="1"/>
  <c r="T20" i="4"/>
  <c r="S20" i="4" s="1"/>
  <c r="M20" i="4" s="1"/>
  <c r="P20" i="4"/>
  <c r="T19" i="4"/>
  <c r="S19" i="4" s="1"/>
  <c r="P19" i="4" s="1"/>
  <c r="T18" i="4"/>
  <c r="S18" i="4" s="1"/>
  <c r="P18" i="4" s="1"/>
  <c r="T17" i="4"/>
  <c r="P17" i="4"/>
  <c r="N17" i="4"/>
  <c r="M17" i="4"/>
  <c r="L17" i="4"/>
  <c r="T16" i="4"/>
  <c r="S16" i="4"/>
  <c r="T15" i="4"/>
  <c r="S15" i="4" s="1"/>
  <c r="T14" i="4"/>
  <c r="S14" i="4" s="1"/>
  <c r="N14" i="4" s="1"/>
  <c r="T13" i="4"/>
  <c r="S13" i="4" s="1"/>
  <c r="N13" i="4"/>
  <c r="T12" i="4"/>
  <c r="S12" i="4" s="1"/>
  <c r="T11" i="4"/>
  <c r="S11" i="4" s="1"/>
  <c r="T10" i="4"/>
  <c r="S10" i="4"/>
  <c r="T9" i="4"/>
  <c r="S9" i="4" s="1"/>
  <c r="M9" i="4" s="1"/>
  <c r="P9" i="4"/>
  <c r="T8" i="4"/>
  <c r="S8" i="4"/>
  <c r="T7" i="4"/>
  <c r="S7" i="4" s="1"/>
  <c r="T6" i="4"/>
  <c r="S6" i="4" s="1"/>
  <c r="N6" i="4" s="1"/>
  <c r="T5" i="4"/>
  <c r="S5" i="4" s="1"/>
  <c r="N5" i="4" s="1"/>
  <c r="T4" i="4"/>
  <c r="S4" i="4" s="1"/>
  <c r="T3" i="4"/>
  <c r="S3" i="4" s="1"/>
  <c r="T2" i="4"/>
  <c r="S2" i="4" s="1"/>
  <c r="M2" i="4" s="1"/>
  <c r="AF95" i="3"/>
  <c r="Z95" i="3" s="1"/>
  <c r="M95" i="3"/>
  <c r="AB94" i="3"/>
  <c r="AA94" i="3"/>
  <c r="Z94" i="3"/>
  <c r="Y94" i="3"/>
  <c r="X94" i="3"/>
  <c r="W94" i="3"/>
  <c r="V94" i="3"/>
  <c r="R94" i="3"/>
  <c r="M94" i="3"/>
  <c r="L94" i="3"/>
  <c r="N94" i="3" s="1"/>
  <c r="AB93" i="3"/>
  <c r="AA93" i="3"/>
  <c r="Z93" i="3"/>
  <c r="Y93" i="3"/>
  <c r="X93" i="3"/>
  <c r="W93" i="3"/>
  <c r="V93" i="3"/>
  <c r="M93" i="3"/>
  <c r="AB92" i="3"/>
  <c r="AA92" i="3"/>
  <c r="Z92" i="3"/>
  <c r="Y92" i="3"/>
  <c r="X92" i="3"/>
  <c r="W92" i="3"/>
  <c r="V92" i="3"/>
  <c r="R92" i="3"/>
  <c r="M92" i="3"/>
  <c r="L92" i="3"/>
  <c r="N92" i="3" s="1"/>
  <c r="AB91" i="3"/>
  <c r="AA91" i="3"/>
  <c r="Z91" i="3"/>
  <c r="Y91" i="3"/>
  <c r="X91" i="3"/>
  <c r="W91" i="3"/>
  <c r="V91" i="3"/>
  <c r="M91" i="3"/>
  <c r="L91" i="3"/>
  <c r="N91" i="3" s="1"/>
  <c r="AF90" i="3"/>
  <c r="W90" i="3"/>
  <c r="M90" i="3"/>
  <c r="L90" i="3"/>
  <c r="AB89" i="3"/>
  <c r="AA89" i="3"/>
  <c r="Z89" i="3"/>
  <c r="AJ89" i="3" s="1"/>
  <c r="AK89" i="3" s="1"/>
  <c r="Y89" i="3"/>
  <c r="X89" i="3"/>
  <c r="W89" i="3"/>
  <c r="V89" i="3"/>
  <c r="R89" i="3"/>
  <c r="M89" i="3"/>
  <c r="L89" i="3"/>
  <c r="N89" i="3" s="1"/>
  <c r="AB88" i="3"/>
  <c r="AA88" i="3"/>
  <c r="Z88" i="3"/>
  <c r="Y88" i="3"/>
  <c r="X88" i="3"/>
  <c r="W88" i="3"/>
  <c r="V88" i="3"/>
  <c r="M88" i="3"/>
  <c r="L88" i="3"/>
  <c r="N88" i="3" s="1"/>
  <c r="AF87" i="3"/>
  <c r="AA87" i="3" s="1"/>
  <c r="M87" i="3"/>
  <c r="L87" i="3"/>
  <c r="N87" i="3" s="1"/>
  <c r="AB86" i="3"/>
  <c r="AA86" i="3"/>
  <c r="Z86" i="3"/>
  <c r="Y86" i="3"/>
  <c r="X86" i="3"/>
  <c r="W86" i="3"/>
  <c r="V86" i="3"/>
  <c r="N86" i="3"/>
  <c r="M86" i="3"/>
  <c r="L86" i="3"/>
  <c r="AB85" i="3"/>
  <c r="AA85" i="3"/>
  <c r="Z85" i="3"/>
  <c r="Y85" i="3"/>
  <c r="X85" i="3"/>
  <c r="W85" i="3"/>
  <c r="V85" i="3"/>
  <c r="N85" i="3"/>
  <c r="M85" i="3"/>
  <c r="L85" i="3"/>
  <c r="AB84" i="3"/>
  <c r="AA84" i="3"/>
  <c r="Z84" i="3"/>
  <c r="Y84" i="3"/>
  <c r="X84" i="3"/>
  <c r="W84" i="3"/>
  <c r="V84" i="3"/>
  <c r="M84" i="3"/>
  <c r="L84" i="3"/>
  <c r="AB83" i="3"/>
  <c r="AA83" i="3"/>
  <c r="Z83" i="3"/>
  <c r="Y83" i="3"/>
  <c r="X83" i="3"/>
  <c r="W83" i="3"/>
  <c r="V83" i="3"/>
  <c r="M83" i="3"/>
  <c r="L83" i="3"/>
  <c r="N83" i="3" s="1"/>
  <c r="AF82" i="3"/>
  <c r="AB82" i="3"/>
  <c r="AA82" i="3"/>
  <c r="Z82" i="3"/>
  <c r="X82" i="3"/>
  <c r="W82" i="3"/>
  <c r="V82" i="3"/>
  <c r="M82" i="3"/>
  <c r="L82" i="3"/>
  <c r="N82" i="3" s="1"/>
  <c r="AF81" i="3"/>
  <c r="M81" i="3"/>
  <c r="L81" i="3"/>
  <c r="N81" i="3" s="1"/>
  <c r="AF80" i="3"/>
  <c r="V80" i="3" s="1"/>
  <c r="M80" i="3"/>
  <c r="L80" i="3"/>
  <c r="AB79" i="3"/>
  <c r="AA79" i="3"/>
  <c r="Z79" i="3"/>
  <c r="Y79" i="3"/>
  <c r="X79" i="3"/>
  <c r="W79" i="3"/>
  <c r="V79" i="3"/>
  <c r="R79" i="3"/>
  <c r="M79" i="3"/>
  <c r="L79" i="3"/>
  <c r="N79" i="3" s="1"/>
  <c r="AB78" i="3"/>
  <c r="AA78" i="3"/>
  <c r="Z78" i="3"/>
  <c r="Y78" i="3"/>
  <c r="X78" i="3"/>
  <c r="W78" i="3"/>
  <c r="V78" i="3"/>
  <c r="N78" i="3"/>
  <c r="M78" i="3"/>
  <c r="L78" i="3"/>
  <c r="AB77" i="3"/>
  <c r="AA77" i="3"/>
  <c r="Z77" i="3"/>
  <c r="Y77" i="3"/>
  <c r="X77" i="3"/>
  <c r="W77" i="3"/>
  <c r="V77" i="3"/>
  <c r="M77" i="3"/>
  <c r="L77" i="3"/>
  <c r="N77" i="3" s="1"/>
  <c r="P77" i="3" s="1"/>
  <c r="AB76" i="3"/>
  <c r="AA76" i="3"/>
  <c r="Z76" i="3"/>
  <c r="Y76" i="3"/>
  <c r="X76" i="3"/>
  <c r="W76" i="3"/>
  <c r="V76" i="3"/>
  <c r="M76" i="3"/>
  <c r="L76" i="3"/>
  <c r="N76" i="3" s="1"/>
  <c r="AB75" i="3"/>
  <c r="AA75" i="3"/>
  <c r="Z75" i="3"/>
  <c r="Y75" i="3"/>
  <c r="X75" i="3"/>
  <c r="W75" i="3"/>
  <c r="V75" i="3"/>
  <c r="M75" i="3"/>
  <c r="L75" i="3"/>
  <c r="AF74" i="3"/>
  <c r="X74" i="3" s="1"/>
  <c r="M74" i="3"/>
  <c r="L74" i="3"/>
  <c r="N74" i="3" s="1"/>
  <c r="AB73" i="3"/>
  <c r="AA73" i="3"/>
  <c r="Z73" i="3"/>
  <c r="Y73" i="3"/>
  <c r="X73" i="3"/>
  <c r="W73" i="3"/>
  <c r="V73" i="3"/>
  <c r="M73" i="3"/>
  <c r="L73" i="3"/>
  <c r="N73" i="3" s="1"/>
  <c r="AB72" i="3"/>
  <c r="AA72" i="3"/>
  <c r="Z72" i="3"/>
  <c r="Y72" i="3"/>
  <c r="X72" i="3"/>
  <c r="W72" i="3"/>
  <c r="V72" i="3"/>
  <c r="R72" i="3"/>
  <c r="O72" i="3"/>
  <c r="M72" i="3"/>
  <c r="L72" i="3"/>
  <c r="AB71" i="3"/>
  <c r="AA71" i="3"/>
  <c r="Z71" i="3"/>
  <c r="Y71" i="3"/>
  <c r="X71" i="3"/>
  <c r="W71" i="3"/>
  <c r="V71" i="3"/>
  <c r="M71" i="3"/>
  <c r="L71" i="3"/>
  <c r="N71" i="3" s="1"/>
  <c r="AB70" i="3"/>
  <c r="AA70" i="3"/>
  <c r="Z70" i="3"/>
  <c r="Y70" i="3"/>
  <c r="X70" i="3"/>
  <c r="W70" i="3"/>
  <c r="V70" i="3"/>
  <c r="M70" i="3"/>
  <c r="L70" i="3"/>
  <c r="N70" i="3" s="1"/>
  <c r="AB69" i="3"/>
  <c r="AA69" i="3"/>
  <c r="Z69" i="3"/>
  <c r="Y69" i="3"/>
  <c r="X69" i="3"/>
  <c r="W69" i="3"/>
  <c r="V69" i="3"/>
  <c r="M69" i="3"/>
  <c r="L69" i="3"/>
  <c r="AB68" i="3"/>
  <c r="AA68" i="3"/>
  <c r="Z68" i="3"/>
  <c r="Y68" i="3"/>
  <c r="X68" i="3"/>
  <c r="W68" i="3"/>
  <c r="V68" i="3"/>
  <c r="N68" i="3"/>
  <c r="M68" i="3"/>
  <c r="L68" i="3"/>
  <c r="AB67" i="3"/>
  <c r="AA67" i="3"/>
  <c r="Z67" i="3"/>
  <c r="Y67" i="3"/>
  <c r="X67" i="3"/>
  <c r="W67" i="3"/>
  <c r="V67" i="3"/>
  <c r="M67" i="3"/>
  <c r="L67" i="3"/>
  <c r="N67" i="3" s="1"/>
  <c r="AB66" i="3"/>
  <c r="AA66" i="3"/>
  <c r="Z66" i="3"/>
  <c r="Y66" i="3"/>
  <c r="X66" i="3"/>
  <c r="W66" i="3"/>
  <c r="V66" i="3"/>
  <c r="M66" i="3"/>
  <c r="L66" i="3"/>
  <c r="N66" i="3" s="1"/>
  <c r="AB65" i="3"/>
  <c r="AA65" i="3"/>
  <c r="Z65" i="3"/>
  <c r="Y65" i="3"/>
  <c r="X65" i="3"/>
  <c r="W65" i="3"/>
  <c r="V65" i="3"/>
  <c r="M65" i="3"/>
  <c r="L65" i="3"/>
  <c r="AB64" i="3"/>
  <c r="AA64" i="3"/>
  <c r="Z64" i="3"/>
  <c r="Y64" i="3"/>
  <c r="X64" i="3"/>
  <c r="W64" i="3"/>
  <c r="V64" i="3"/>
  <c r="M64" i="3"/>
  <c r="L64" i="3"/>
  <c r="N64" i="3" s="1"/>
  <c r="AF63" i="3"/>
  <c r="Y63" i="3" s="1"/>
  <c r="AB63" i="3"/>
  <c r="Z63" i="3"/>
  <c r="V63" i="3"/>
  <c r="R63" i="3"/>
  <c r="M63" i="3"/>
  <c r="L63" i="3"/>
  <c r="N63" i="3" s="1"/>
  <c r="AB62" i="3"/>
  <c r="AA62" i="3"/>
  <c r="Z62" i="3"/>
  <c r="Y62" i="3"/>
  <c r="X62" i="3"/>
  <c r="W62" i="3"/>
  <c r="V62" i="3"/>
  <c r="M62" i="3"/>
  <c r="L62" i="3"/>
  <c r="N62" i="3" s="1"/>
  <c r="AB61" i="3"/>
  <c r="AA61" i="3"/>
  <c r="Z61" i="3"/>
  <c r="Y61" i="3"/>
  <c r="X61" i="3"/>
  <c r="W61" i="3"/>
  <c r="V61" i="3"/>
  <c r="M61" i="3"/>
  <c r="L61" i="3"/>
  <c r="N61" i="3" s="1"/>
  <c r="AB60" i="3"/>
  <c r="AA60" i="3"/>
  <c r="Z60" i="3"/>
  <c r="Y60" i="3"/>
  <c r="X60" i="3"/>
  <c r="W60" i="3"/>
  <c r="V60" i="3"/>
  <c r="M60" i="3"/>
  <c r="L60" i="3"/>
  <c r="AF59" i="3"/>
  <c r="Z59" i="3" s="1"/>
  <c r="AB59" i="3"/>
  <c r="V59" i="3"/>
  <c r="M59" i="3"/>
  <c r="L59" i="3"/>
  <c r="AF58" i="3"/>
  <c r="Z58" i="3" s="1"/>
  <c r="AB58" i="3"/>
  <c r="X58" i="3"/>
  <c r="M58" i="3"/>
  <c r="L58" i="3"/>
  <c r="AB57" i="3"/>
  <c r="AA57" i="3"/>
  <c r="Z57" i="3"/>
  <c r="Y57" i="3"/>
  <c r="X57" i="3"/>
  <c r="W57" i="3"/>
  <c r="V57" i="3"/>
  <c r="M57" i="3"/>
  <c r="L57" i="3"/>
  <c r="N57" i="3" s="1"/>
  <c r="AB56" i="3"/>
  <c r="AA56" i="3"/>
  <c r="Z56" i="3"/>
  <c r="Y56" i="3"/>
  <c r="X56" i="3"/>
  <c r="W56" i="3"/>
  <c r="V56" i="3"/>
  <c r="N56" i="3"/>
  <c r="M56" i="3"/>
  <c r="L56" i="3"/>
  <c r="AF55" i="3"/>
  <c r="AB55" i="3" s="1"/>
  <c r="M55" i="3"/>
  <c r="L55" i="3"/>
  <c r="N55" i="3" s="1"/>
  <c r="AB54" i="3"/>
  <c r="AA54" i="3"/>
  <c r="Z54" i="3"/>
  <c r="Y54" i="3"/>
  <c r="X54" i="3"/>
  <c r="W54" i="3"/>
  <c r="V54" i="3"/>
  <c r="M54" i="3"/>
  <c r="L54" i="3"/>
  <c r="N54" i="3" s="1"/>
  <c r="AF53" i="3"/>
  <c r="Y53" i="3" s="1"/>
  <c r="AB53" i="3"/>
  <c r="X53" i="3"/>
  <c r="M53" i="3"/>
  <c r="L53" i="3"/>
  <c r="N53" i="3" s="1"/>
  <c r="AF52" i="3"/>
  <c r="Y52" i="3" s="1"/>
  <c r="AA52" i="3"/>
  <c r="W52" i="3"/>
  <c r="M52" i="3"/>
  <c r="L52" i="3"/>
  <c r="N52" i="3" s="1"/>
  <c r="AF51" i="3"/>
  <c r="AB51" i="3" s="1"/>
  <c r="X51" i="3"/>
  <c r="M51" i="3"/>
  <c r="L51" i="3"/>
  <c r="N51" i="3" s="1"/>
  <c r="AF50" i="3"/>
  <c r="W50" i="3"/>
  <c r="M50" i="3"/>
  <c r="L50" i="3"/>
  <c r="N50" i="3" s="1"/>
  <c r="AB49" i="3"/>
  <c r="AA49" i="3"/>
  <c r="Z49" i="3"/>
  <c r="Y49" i="3"/>
  <c r="X49" i="3"/>
  <c r="W49" i="3"/>
  <c r="V49" i="3"/>
  <c r="M49" i="3"/>
  <c r="L49" i="3"/>
  <c r="AB48" i="3"/>
  <c r="AA48" i="3"/>
  <c r="Z48" i="3"/>
  <c r="Y48" i="3"/>
  <c r="X48" i="3"/>
  <c r="W48" i="3"/>
  <c r="V48" i="3"/>
  <c r="R48" i="3"/>
  <c r="O48" i="3"/>
  <c r="M48" i="3"/>
  <c r="L48" i="3"/>
  <c r="N48" i="3" s="1"/>
  <c r="AB47" i="3"/>
  <c r="AA47" i="3"/>
  <c r="Z47" i="3"/>
  <c r="Y47" i="3"/>
  <c r="X47" i="3"/>
  <c r="W47" i="3"/>
  <c r="V47" i="3"/>
  <c r="M47" i="3"/>
  <c r="L47" i="3"/>
  <c r="N47" i="3" s="1"/>
  <c r="AF46" i="3"/>
  <c r="N46" i="3"/>
  <c r="M46" i="3"/>
  <c r="L46" i="3"/>
  <c r="AB45" i="3"/>
  <c r="AA45" i="3"/>
  <c r="Z45" i="3"/>
  <c r="Y45" i="3"/>
  <c r="X45" i="3"/>
  <c r="W45" i="3"/>
  <c r="V45" i="3"/>
  <c r="M45" i="3"/>
  <c r="L45" i="3"/>
  <c r="N45" i="3" s="1"/>
  <c r="AB44" i="3"/>
  <c r="AA44" i="3"/>
  <c r="Z44" i="3"/>
  <c r="Y44" i="3"/>
  <c r="X44" i="3"/>
  <c r="W44" i="3"/>
  <c r="V44" i="3"/>
  <c r="M44" i="3"/>
  <c r="L44" i="3"/>
  <c r="AF43" i="3"/>
  <c r="Z43" i="3"/>
  <c r="V43" i="3"/>
  <c r="M43" i="3"/>
  <c r="L43" i="3"/>
  <c r="AB42" i="3"/>
  <c r="AA42" i="3"/>
  <c r="Z42" i="3"/>
  <c r="Y42" i="3"/>
  <c r="X42" i="3"/>
  <c r="W42" i="3"/>
  <c r="V42" i="3"/>
  <c r="M42" i="3"/>
  <c r="L42" i="3"/>
  <c r="N42" i="3" s="1"/>
  <c r="AF41" i="3"/>
  <c r="Y41" i="3" s="1"/>
  <c r="AB41" i="3"/>
  <c r="Z41" i="3"/>
  <c r="W41" i="3"/>
  <c r="V41" i="3"/>
  <c r="M41" i="3"/>
  <c r="L41" i="3"/>
  <c r="N41" i="3" s="1"/>
  <c r="AB40" i="3"/>
  <c r="AA40" i="3"/>
  <c r="Z40" i="3"/>
  <c r="Y40" i="3"/>
  <c r="X40" i="3"/>
  <c r="W40" i="3"/>
  <c r="V40" i="3"/>
  <c r="N40" i="3"/>
  <c r="M40" i="3"/>
  <c r="L40" i="3"/>
  <c r="AB39" i="3"/>
  <c r="AA39" i="3"/>
  <c r="Z39" i="3"/>
  <c r="Y39" i="3"/>
  <c r="X39" i="3"/>
  <c r="W39" i="3"/>
  <c r="V39" i="3"/>
  <c r="M39" i="3"/>
  <c r="L39" i="3"/>
  <c r="N39" i="3" s="1"/>
  <c r="AB38" i="3"/>
  <c r="AA38" i="3"/>
  <c r="Z38" i="3"/>
  <c r="Y38" i="3"/>
  <c r="X38" i="3"/>
  <c r="W38" i="3"/>
  <c r="V38" i="3"/>
  <c r="M38" i="3"/>
  <c r="L38" i="3"/>
  <c r="AB37" i="3"/>
  <c r="AA37" i="3"/>
  <c r="Z37" i="3"/>
  <c r="Y37" i="3"/>
  <c r="X37" i="3"/>
  <c r="W37" i="3"/>
  <c r="V37" i="3"/>
  <c r="M37" i="3"/>
  <c r="L37" i="3"/>
  <c r="N37" i="3" s="1"/>
  <c r="AB36" i="3"/>
  <c r="AA36" i="3"/>
  <c r="Z36" i="3"/>
  <c r="Y36" i="3"/>
  <c r="X36" i="3"/>
  <c r="W36" i="3"/>
  <c r="V36" i="3"/>
  <c r="N36" i="3"/>
  <c r="M36" i="3"/>
  <c r="L36" i="3"/>
  <c r="AB35" i="3"/>
  <c r="AA35" i="3"/>
  <c r="Z35" i="3"/>
  <c r="Y35" i="3"/>
  <c r="X35" i="3"/>
  <c r="W35" i="3"/>
  <c r="V35" i="3"/>
  <c r="M35" i="3"/>
  <c r="L35" i="3"/>
  <c r="N35" i="3" s="1"/>
  <c r="AF34" i="3"/>
  <c r="AA34" i="3" s="1"/>
  <c r="Y34" i="3"/>
  <c r="W34" i="3"/>
  <c r="M34" i="3"/>
  <c r="L34" i="3"/>
  <c r="N34" i="3" s="1"/>
  <c r="AF33" i="3"/>
  <c r="AA33" i="3" s="1"/>
  <c r="Y33" i="3"/>
  <c r="W33" i="3"/>
  <c r="M33" i="3"/>
  <c r="L33" i="3"/>
  <c r="N33" i="3" s="1"/>
  <c r="AB32" i="3"/>
  <c r="AA32" i="3"/>
  <c r="Z32" i="3"/>
  <c r="Y32" i="3"/>
  <c r="X32" i="3"/>
  <c r="W32" i="3"/>
  <c r="V32" i="3"/>
  <c r="M32" i="3"/>
  <c r="L32" i="3"/>
  <c r="AB31" i="3"/>
  <c r="AA31" i="3"/>
  <c r="Z31" i="3"/>
  <c r="Y31" i="3"/>
  <c r="X31" i="3"/>
  <c r="W31" i="3"/>
  <c r="V31" i="3"/>
  <c r="M31" i="3"/>
  <c r="L31" i="3"/>
  <c r="N31" i="3" s="1"/>
  <c r="AB30" i="3"/>
  <c r="AA30" i="3"/>
  <c r="Z30" i="3"/>
  <c r="Y30" i="3"/>
  <c r="X30" i="3"/>
  <c r="W30" i="3"/>
  <c r="V30" i="3"/>
  <c r="N30" i="3"/>
  <c r="M30" i="3"/>
  <c r="L30" i="3"/>
  <c r="AF29" i="3"/>
  <c r="N29" i="3"/>
  <c r="M29" i="3"/>
  <c r="L29" i="3"/>
  <c r="AF28" i="3"/>
  <c r="X28" i="3" s="1"/>
  <c r="AB28" i="3"/>
  <c r="N28" i="3"/>
  <c r="M28" i="3"/>
  <c r="L28" i="3"/>
  <c r="AB27" i="3"/>
  <c r="AA27" i="3"/>
  <c r="Z27" i="3"/>
  <c r="Y27" i="3"/>
  <c r="X27" i="3"/>
  <c r="W27" i="3"/>
  <c r="V27" i="3"/>
  <c r="M27" i="3"/>
  <c r="L27" i="3"/>
  <c r="N27" i="3" s="1"/>
  <c r="AF26" i="3"/>
  <c r="W26" i="3" s="1"/>
  <c r="AA26" i="3"/>
  <c r="X26" i="3"/>
  <c r="M26" i="3"/>
  <c r="L26" i="3"/>
  <c r="N26" i="3" s="1"/>
  <c r="AB25" i="3"/>
  <c r="AA25" i="3"/>
  <c r="Z25" i="3"/>
  <c r="Y25" i="3"/>
  <c r="X25" i="3"/>
  <c r="W25" i="3"/>
  <c r="V25" i="3"/>
  <c r="M25" i="3"/>
  <c r="L25" i="3"/>
  <c r="AF24" i="3"/>
  <c r="Z24" i="3"/>
  <c r="M24" i="3"/>
  <c r="L24" i="3"/>
  <c r="AB23" i="3"/>
  <c r="AA23" i="3"/>
  <c r="Z23" i="3"/>
  <c r="Y23" i="3"/>
  <c r="X23" i="3"/>
  <c r="W23" i="3"/>
  <c r="V23" i="3"/>
  <c r="M23" i="3"/>
  <c r="L23" i="3"/>
  <c r="N23" i="3" s="1"/>
  <c r="AB22" i="3"/>
  <c r="AA22" i="3"/>
  <c r="Z22" i="3"/>
  <c r="Y22" i="3"/>
  <c r="X22" i="3"/>
  <c r="W22" i="3"/>
  <c r="V22" i="3"/>
  <c r="M22" i="3"/>
  <c r="L22" i="3"/>
  <c r="N22" i="3" s="1"/>
  <c r="AB21" i="3"/>
  <c r="AA21" i="3"/>
  <c r="Z21" i="3"/>
  <c r="Y21" i="3"/>
  <c r="X21" i="3"/>
  <c r="W21" i="3"/>
  <c r="V21" i="3"/>
  <c r="M21" i="3"/>
  <c r="AB20" i="3"/>
  <c r="AA20" i="3"/>
  <c r="Z20" i="3"/>
  <c r="Y20" i="3"/>
  <c r="X20" i="3"/>
  <c r="W20" i="3"/>
  <c r="V20" i="3"/>
  <c r="M20" i="3"/>
  <c r="L20" i="3"/>
  <c r="N20" i="3" s="1"/>
  <c r="AB19" i="3"/>
  <c r="AA19" i="3"/>
  <c r="Z19" i="3"/>
  <c r="Y19" i="3"/>
  <c r="X19" i="3"/>
  <c r="W19" i="3"/>
  <c r="V19" i="3"/>
  <c r="M19" i="3"/>
  <c r="L19" i="3"/>
  <c r="N19" i="3" s="1"/>
  <c r="AB18" i="3"/>
  <c r="AA18" i="3"/>
  <c r="Z18" i="3"/>
  <c r="Y18" i="3"/>
  <c r="X18" i="3"/>
  <c r="W18" i="3"/>
  <c r="V18" i="3"/>
  <c r="M18" i="3"/>
  <c r="L18" i="3"/>
  <c r="N18" i="3" s="1"/>
  <c r="AB17" i="3"/>
  <c r="AA17" i="3"/>
  <c r="Z17" i="3"/>
  <c r="Y17" i="3"/>
  <c r="X17" i="3"/>
  <c r="W17" i="3"/>
  <c r="V17" i="3"/>
  <c r="M17" i="3"/>
  <c r="L17" i="3"/>
  <c r="N17" i="3" s="1"/>
  <c r="AF16" i="3"/>
  <c r="AB16" i="3"/>
  <c r="AA16" i="3"/>
  <c r="Z16" i="3"/>
  <c r="Y16" i="3"/>
  <c r="X16" i="3"/>
  <c r="W16" i="3"/>
  <c r="V16" i="3"/>
  <c r="M16" i="3"/>
  <c r="L16" i="3"/>
  <c r="N16" i="3" s="1"/>
  <c r="AB15" i="3"/>
  <c r="AA15" i="3"/>
  <c r="Z15" i="3"/>
  <c r="Y15" i="3"/>
  <c r="X15" i="3"/>
  <c r="W15" i="3"/>
  <c r="V15" i="3"/>
  <c r="N15" i="3"/>
  <c r="M15" i="3"/>
  <c r="L15" i="3"/>
  <c r="AB14" i="3"/>
  <c r="AA14" i="3"/>
  <c r="Z14" i="3"/>
  <c r="Y14" i="3"/>
  <c r="X14" i="3"/>
  <c r="W14" i="3"/>
  <c r="V14" i="3"/>
  <c r="M14" i="3"/>
  <c r="L14" i="3"/>
  <c r="N14" i="3" s="1"/>
  <c r="AB13" i="3"/>
  <c r="AA13" i="3"/>
  <c r="Z13" i="3"/>
  <c r="Y13" i="3"/>
  <c r="X13" i="3"/>
  <c r="W13" i="3"/>
  <c r="V13" i="3"/>
  <c r="M13" i="3"/>
  <c r="L13" i="3"/>
  <c r="N13" i="3" s="1"/>
  <c r="AF12" i="3"/>
  <c r="AB12" i="3"/>
  <c r="X12" i="3"/>
  <c r="M12" i="3"/>
  <c r="L12" i="3"/>
  <c r="N12" i="3" s="1"/>
  <c r="AB11" i="3"/>
  <c r="AA11" i="3"/>
  <c r="Z11" i="3"/>
  <c r="Y11" i="3"/>
  <c r="X11" i="3"/>
  <c r="W11" i="3"/>
  <c r="V11" i="3"/>
  <c r="M11" i="3"/>
  <c r="L11" i="3"/>
  <c r="N11" i="3" s="1"/>
  <c r="AB10" i="3"/>
  <c r="AA10" i="3"/>
  <c r="Z10" i="3"/>
  <c r="Y10" i="3"/>
  <c r="X10" i="3"/>
  <c r="W10" i="3"/>
  <c r="V10" i="3"/>
  <c r="N10" i="3"/>
  <c r="M10" i="3"/>
  <c r="L10" i="3"/>
  <c r="AB9" i="3"/>
  <c r="AA9" i="3"/>
  <c r="Z9" i="3"/>
  <c r="Y9" i="3"/>
  <c r="X9" i="3"/>
  <c r="W9" i="3"/>
  <c r="V9" i="3"/>
  <c r="M9" i="3"/>
  <c r="L9" i="3"/>
  <c r="N9" i="3" s="1"/>
  <c r="AF8" i="3"/>
  <c r="W8" i="3" s="1"/>
  <c r="AB8" i="3"/>
  <c r="AA8" i="3"/>
  <c r="Y8" i="3"/>
  <c r="X8" i="3"/>
  <c r="M8" i="3"/>
  <c r="L8" i="3"/>
  <c r="N8" i="3" s="1"/>
  <c r="AB7" i="3"/>
  <c r="AA7" i="3"/>
  <c r="Z7" i="3"/>
  <c r="Y7" i="3"/>
  <c r="X7" i="3"/>
  <c r="W7" i="3"/>
  <c r="V7" i="3"/>
  <c r="M7" i="3"/>
  <c r="L7" i="3"/>
  <c r="N7" i="3" s="1"/>
  <c r="AF6" i="3"/>
  <c r="X6" i="3" s="1"/>
  <c r="AB6" i="3"/>
  <c r="M6" i="3"/>
  <c r="L6" i="3"/>
  <c r="AF5" i="3"/>
  <c r="X5" i="3" s="1"/>
  <c r="AB5" i="3"/>
  <c r="Z5" i="3"/>
  <c r="Y5" i="3"/>
  <c r="W5" i="3"/>
  <c r="M5" i="3"/>
  <c r="L5" i="3"/>
  <c r="AF4" i="3"/>
  <c r="Z4" i="3" s="1"/>
  <c r="M4" i="3"/>
  <c r="L4" i="3"/>
  <c r="AB3" i="3"/>
  <c r="AA3" i="3"/>
  <c r="Z3" i="3"/>
  <c r="Y3" i="3"/>
  <c r="X3" i="3"/>
  <c r="W3" i="3"/>
  <c r="V3" i="3"/>
  <c r="M3" i="3"/>
  <c r="L3" i="3"/>
  <c r="AB2" i="3"/>
  <c r="AA2" i="3"/>
  <c r="Z2" i="3"/>
  <c r="Y2" i="3"/>
  <c r="X2" i="3"/>
  <c r="W2" i="3"/>
  <c r="V2" i="3"/>
  <c r="M2" i="3"/>
  <c r="L2" i="3"/>
  <c r="AI183" i="2"/>
  <c r="AH183" i="2"/>
  <c r="AG183" i="2"/>
  <c r="AF183" i="2"/>
  <c r="AE183" i="2"/>
  <c r="AA183" i="2"/>
  <c r="AD183" i="2" s="1"/>
  <c r="X183" i="2"/>
  <c r="W183" i="2"/>
  <c r="AI182" i="2"/>
  <c r="AH182" i="2"/>
  <c r="AG182" i="2"/>
  <c r="AF182" i="2"/>
  <c r="AE182" i="2"/>
  <c r="AA182" i="2"/>
  <c r="AD182" i="2" s="1"/>
  <c r="W182" i="2"/>
  <c r="AI181" i="2"/>
  <c r="AH181" i="2"/>
  <c r="AG181" i="2"/>
  <c r="AF181" i="2"/>
  <c r="AE181" i="2"/>
  <c r="AD181" i="2"/>
  <c r="AA181" i="2"/>
  <c r="X181" i="2"/>
  <c r="Y181" i="2" s="1"/>
  <c r="AV181" i="2" s="1"/>
  <c r="AW181" i="2" s="1"/>
  <c r="W181" i="2"/>
  <c r="AI180" i="2"/>
  <c r="AH180" i="2"/>
  <c r="AG180" i="2"/>
  <c r="AF180" i="2"/>
  <c r="AE180" i="2"/>
  <c r="AA180" i="2"/>
  <c r="AD180" i="2" s="1"/>
  <c r="Y180" i="2"/>
  <c r="W180" i="2"/>
  <c r="X180" i="2" s="1"/>
  <c r="AI179" i="2"/>
  <c r="AH179" i="2"/>
  <c r="AG179" i="2"/>
  <c r="AF179" i="2"/>
  <c r="AE179" i="2"/>
  <c r="AD179" i="2"/>
  <c r="AA179" i="2"/>
  <c r="W179" i="2"/>
  <c r="X179" i="2" s="1"/>
  <c r="AI178" i="2"/>
  <c r="AH178" i="2"/>
  <c r="AG178" i="2"/>
  <c r="AF178" i="2"/>
  <c r="AE178" i="2"/>
  <c r="AA178" i="2"/>
  <c r="AD178" i="2" s="1"/>
  <c r="W178" i="2"/>
  <c r="AI177" i="2"/>
  <c r="AH177" i="2"/>
  <c r="AG177" i="2"/>
  <c r="AF177" i="2"/>
  <c r="AE177" i="2"/>
  <c r="AD177" i="2"/>
  <c r="AA177" i="2"/>
  <c r="X177" i="2"/>
  <c r="Y177" i="2" s="1"/>
  <c r="W177" i="2"/>
  <c r="AI176" i="2"/>
  <c r="AH176" i="2"/>
  <c r="AG176" i="2"/>
  <c r="AF176" i="2"/>
  <c r="AE176" i="2"/>
  <c r="AA176" i="2"/>
  <c r="AD176" i="2" s="1"/>
  <c r="W176" i="2"/>
  <c r="X176" i="2" s="1"/>
  <c r="Y176" i="2" s="1"/>
  <c r="AI175" i="2"/>
  <c r="AH175" i="2"/>
  <c r="AG175" i="2"/>
  <c r="AF175" i="2"/>
  <c r="AE175" i="2"/>
  <c r="AD175" i="2"/>
  <c r="AA175" i="2"/>
  <c r="R95" i="3" s="1"/>
  <c r="U175" i="2"/>
  <c r="L95" i="3" s="1"/>
  <c r="N95" i="3" s="1"/>
  <c r="AI174" i="2"/>
  <c r="AH174" i="2"/>
  <c r="AG174" i="2"/>
  <c r="AF174" i="2"/>
  <c r="AE174" i="2"/>
  <c r="AD174" i="2"/>
  <c r="W174" i="2"/>
  <c r="AI173" i="2"/>
  <c r="AH173" i="2"/>
  <c r="AG173" i="2"/>
  <c r="AF173" i="2"/>
  <c r="AE173" i="2"/>
  <c r="AA173" i="2"/>
  <c r="U173" i="2"/>
  <c r="AI172" i="2"/>
  <c r="AH172" i="2"/>
  <c r="AG172" i="2"/>
  <c r="AF172" i="2"/>
  <c r="AE172" i="2"/>
  <c r="AD172" i="2"/>
  <c r="W172" i="2"/>
  <c r="AI171" i="2"/>
  <c r="AH171" i="2"/>
  <c r="AG171" i="2"/>
  <c r="AF171" i="2"/>
  <c r="AE171" i="2"/>
  <c r="AA171" i="2"/>
  <c r="W171" i="2"/>
  <c r="AZ170" i="2"/>
  <c r="AK170" i="2"/>
  <c r="AI170" i="2"/>
  <c r="AV170" i="2" s="1"/>
  <c r="AW170" i="2" s="1"/>
  <c r="AH170" i="2"/>
  <c r="AG170" i="2"/>
  <c r="AF170" i="2"/>
  <c r="AE170" i="2"/>
  <c r="AA170" i="2"/>
  <c r="AD170" i="2" s="1"/>
  <c r="Z170" i="2"/>
  <c r="X170" i="2"/>
  <c r="O89" i="3" s="1"/>
  <c r="W170" i="2"/>
  <c r="AI169" i="2"/>
  <c r="AF169" i="2"/>
  <c r="AE169" i="2"/>
  <c r="AA169" i="2"/>
  <c r="R88" i="3" s="1"/>
  <c r="W169" i="2"/>
  <c r="AI168" i="2"/>
  <c r="AH168" i="2"/>
  <c r="AG168" i="2"/>
  <c r="AF168" i="2"/>
  <c r="AE168" i="2"/>
  <c r="AD168" i="2"/>
  <c r="AA168" i="2"/>
  <c r="W168" i="2"/>
  <c r="AI167" i="2"/>
  <c r="AH167" i="2"/>
  <c r="AG167" i="2"/>
  <c r="AF167" i="2"/>
  <c r="AE167" i="2"/>
  <c r="AA167" i="2"/>
  <c r="W167" i="2"/>
  <c r="AI166" i="2"/>
  <c r="AH166" i="2"/>
  <c r="AG166" i="2"/>
  <c r="AF166" i="2"/>
  <c r="AE166" i="2"/>
  <c r="AD166" i="2"/>
  <c r="AA166" i="2"/>
  <c r="R86" i="3" s="1"/>
  <c r="W166" i="2"/>
  <c r="X166" i="2" s="1"/>
  <c r="O86" i="3" s="1"/>
  <c r="T166" i="2"/>
  <c r="S166" i="2"/>
  <c r="AI165" i="2"/>
  <c r="AH165" i="2"/>
  <c r="AG165" i="2"/>
  <c r="AF165" i="2"/>
  <c r="AE165" i="2"/>
  <c r="AA165" i="2"/>
  <c r="W165" i="2"/>
  <c r="AI164" i="2"/>
  <c r="AH164" i="2"/>
  <c r="AG164" i="2"/>
  <c r="AF164" i="2"/>
  <c r="AE164" i="2"/>
  <c r="AA164" i="2"/>
  <c r="AD164" i="2" s="1"/>
  <c r="X164" i="2"/>
  <c r="Y164" i="2" s="1"/>
  <c r="W164" i="2"/>
  <c r="AI163" i="2"/>
  <c r="AH163" i="2"/>
  <c r="AG163" i="2"/>
  <c r="AF163" i="2"/>
  <c r="AE163" i="2"/>
  <c r="AA163" i="2"/>
  <c r="AD163" i="2" s="1"/>
  <c r="W163" i="2"/>
  <c r="X163" i="2" s="1"/>
  <c r="Y163" i="2" s="1"/>
  <c r="AI162" i="2"/>
  <c r="AH162" i="2"/>
  <c r="AG162" i="2"/>
  <c r="AF162" i="2"/>
  <c r="AE162" i="2"/>
  <c r="AA162" i="2"/>
  <c r="AD162" i="2" s="1"/>
  <c r="X162" i="2"/>
  <c r="W162" i="2"/>
  <c r="AI161" i="2"/>
  <c r="AH161" i="2"/>
  <c r="AG161" i="2"/>
  <c r="AF161" i="2"/>
  <c r="AE161" i="2"/>
  <c r="AA161" i="2"/>
  <c r="AD161" i="2" s="1"/>
  <c r="W161" i="2"/>
  <c r="AI160" i="2"/>
  <c r="AG160" i="2"/>
  <c r="AE160" i="2"/>
  <c r="AD160" i="2"/>
  <c r="AA160" i="2"/>
  <c r="R90" i="3" s="1"/>
  <c r="W160" i="2"/>
  <c r="AI159" i="2"/>
  <c r="AH159" i="2"/>
  <c r="AG159" i="2"/>
  <c r="AF159" i="2"/>
  <c r="AE159" i="2"/>
  <c r="AA159" i="2"/>
  <c r="T159" i="2"/>
  <c r="S159" i="2"/>
  <c r="W159" i="2" s="1"/>
  <c r="AI158" i="2"/>
  <c r="AH158" i="2"/>
  <c r="AG158" i="2"/>
  <c r="AF158" i="2"/>
  <c r="AE158" i="2"/>
  <c r="AA158" i="2"/>
  <c r="R83" i="3" s="1"/>
  <c r="X158" i="2"/>
  <c r="O83" i="3" s="1"/>
  <c r="P83" i="3" s="1"/>
  <c r="W158" i="2"/>
  <c r="T158" i="2"/>
  <c r="S158" i="2"/>
  <c r="AI157" i="2"/>
  <c r="AH157" i="2"/>
  <c r="AG157" i="2"/>
  <c r="AF157" i="2"/>
  <c r="AE157" i="2"/>
  <c r="AA157" i="2"/>
  <c r="AD157" i="2" s="1"/>
  <c r="Y157" i="2"/>
  <c r="T157" i="2"/>
  <c r="S157" i="2"/>
  <c r="W157" i="2" s="1"/>
  <c r="X157" i="2" s="1"/>
  <c r="AI156" i="2"/>
  <c r="AH156" i="2"/>
  <c r="AG156" i="2"/>
  <c r="AF156" i="2"/>
  <c r="AE156" i="2"/>
  <c r="AD156" i="2"/>
  <c r="AA156" i="2"/>
  <c r="R82" i="3" s="1"/>
  <c r="T156" i="2"/>
  <c r="S156" i="2"/>
  <c r="W156" i="2" s="1"/>
  <c r="AI155" i="2"/>
  <c r="AH155" i="2"/>
  <c r="AG155" i="2"/>
  <c r="AF155" i="2"/>
  <c r="AE155" i="2"/>
  <c r="AA155" i="2"/>
  <c r="W155" i="2"/>
  <c r="T155" i="2"/>
  <c r="S155" i="2"/>
  <c r="AI154" i="2"/>
  <c r="AH154" i="2"/>
  <c r="AG154" i="2"/>
  <c r="AF154" i="2"/>
  <c r="AE154" i="2"/>
  <c r="AD154" i="2"/>
  <c r="AA154" i="2"/>
  <c r="R80" i="3" s="1"/>
  <c r="W154" i="2"/>
  <c r="T154" i="2"/>
  <c r="S154" i="2"/>
  <c r="AI153" i="2"/>
  <c r="AH153" i="2"/>
  <c r="AG153" i="2"/>
  <c r="AF153" i="2"/>
  <c r="AE153" i="2"/>
  <c r="AA153" i="2"/>
  <c r="AD153" i="2" s="1"/>
  <c r="W153" i="2"/>
  <c r="X153" i="2" s="1"/>
  <c r="Y153" i="2" s="1"/>
  <c r="AI152" i="2"/>
  <c r="AG152" i="2"/>
  <c r="AE152" i="2"/>
  <c r="AD152" i="2"/>
  <c r="AA152" i="2"/>
  <c r="W152" i="2"/>
  <c r="X152" i="2" s="1"/>
  <c r="O79" i="3" s="1"/>
  <c r="AI151" i="2"/>
  <c r="AG151" i="2"/>
  <c r="AE151" i="2"/>
  <c r="AA151" i="2"/>
  <c r="W151" i="2"/>
  <c r="AI150" i="2"/>
  <c r="AH150" i="2"/>
  <c r="AF150" i="2"/>
  <c r="AE150" i="2"/>
  <c r="AA150" i="2"/>
  <c r="R77" i="3" s="1"/>
  <c r="W150" i="2"/>
  <c r="X150" i="2" s="1"/>
  <c r="O77" i="3" s="1"/>
  <c r="AI149" i="2"/>
  <c r="AH149" i="2"/>
  <c r="AG149" i="2"/>
  <c r="AF149" i="2"/>
  <c r="AE149" i="2"/>
  <c r="AD149" i="2"/>
  <c r="AA149" i="2"/>
  <c r="R76" i="3" s="1"/>
  <c r="X149" i="2"/>
  <c r="O76" i="3" s="1"/>
  <c r="W149" i="2"/>
  <c r="AI148" i="2"/>
  <c r="AG148" i="2"/>
  <c r="AF148" i="2"/>
  <c r="AE148" i="2"/>
  <c r="AD148" i="2"/>
  <c r="AA148" i="2"/>
  <c r="R75" i="3" s="1"/>
  <c r="X148" i="2"/>
  <c r="W148" i="2"/>
  <c r="AI147" i="2"/>
  <c r="AH147" i="2"/>
  <c r="AG147" i="2"/>
  <c r="AF147" i="2"/>
  <c r="AE147" i="2"/>
  <c r="AA147" i="2"/>
  <c r="R74" i="3" s="1"/>
  <c r="W147" i="2"/>
  <c r="X147" i="2" s="1"/>
  <c r="O74" i="3" s="1"/>
  <c r="AI146" i="2"/>
  <c r="AH146" i="2"/>
  <c r="AG146" i="2"/>
  <c r="AF146" i="2"/>
  <c r="AE146" i="2"/>
  <c r="AD146" i="2"/>
  <c r="AA146" i="2"/>
  <c r="R73" i="3" s="1"/>
  <c r="X146" i="2"/>
  <c r="O73" i="3" s="1"/>
  <c r="W146" i="2"/>
  <c r="AI145" i="2"/>
  <c r="AH145" i="2"/>
  <c r="AG145" i="2"/>
  <c r="AF145" i="2"/>
  <c r="AE145" i="2"/>
  <c r="AA145" i="2"/>
  <c r="AD145" i="2" s="1"/>
  <c r="W145" i="2"/>
  <c r="AV144" i="2"/>
  <c r="AW144" i="2" s="1"/>
  <c r="AI144" i="2"/>
  <c r="AH144" i="2"/>
  <c r="AG144" i="2"/>
  <c r="AF144" i="2"/>
  <c r="AE144" i="2"/>
  <c r="AD144" i="2"/>
  <c r="AA144" i="2"/>
  <c r="Z144" i="2"/>
  <c r="J82" i="4" s="1"/>
  <c r="X144" i="2"/>
  <c r="Y144" i="2" s="1"/>
  <c r="W144" i="2"/>
  <c r="AI143" i="2"/>
  <c r="AG143" i="2"/>
  <c r="AE143" i="2"/>
  <c r="AA143" i="2"/>
  <c r="W143" i="2"/>
  <c r="AI142" i="2"/>
  <c r="AH142" i="2"/>
  <c r="AG142" i="2"/>
  <c r="AF142" i="2"/>
  <c r="AE142" i="2"/>
  <c r="AD142" i="2"/>
  <c r="AA142" i="2"/>
  <c r="X142" i="2"/>
  <c r="Y142" i="2" s="1"/>
  <c r="AV142" i="2" s="1"/>
  <c r="AW142" i="2" s="1"/>
  <c r="W142" i="2"/>
  <c r="AI141" i="2"/>
  <c r="AH141" i="2"/>
  <c r="AG141" i="2"/>
  <c r="AF141" i="2"/>
  <c r="AE141" i="2"/>
  <c r="AA141" i="2"/>
  <c r="AD141" i="2" s="1"/>
  <c r="W141" i="2"/>
  <c r="X141" i="2" s="1"/>
  <c r="Y141" i="2" s="1"/>
  <c r="AI140" i="2"/>
  <c r="AH140" i="2"/>
  <c r="AG140" i="2"/>
  <c r="AF140" i="2"/>
  <c r="AE140" i="2"/>
  <c r="AD140" i="2"/>
  <c r="AA140" i="2"/>
  <c r="X140" i="2"/>
  <c r="W140" i="2"/>
  <c r="AI139" i="2"/>
  <c r="AH139" i="2"/>
  <c r="AG139" i="2"/>
  <c r="AF139" i="2"/>
  <c r="AE139" i="2"/>
  <c r="AA139" i="2"/>
  <c r="W139" i="2"/>
  <c r="AI138" i="2"/>
  <c r="AH138" i="2"/>
  <c r="AG138" i="2"/>
  <c r="AF138" i="2"/>
  <c r="AE138" i="2"/>
  <c r="AD138" i="2"/>
  <c r="AA138" i="2"/>
  <c r="R69" i="3" s="1"/>
  <c r="X138" i="2"/>
  <c r="W138" i="2"/>
  <c r="AI137" i="2"/>
  <c r="AH137" i="2"/>
  <c r="AG137" i="2"/>
  <c r="AF137" i="2"/>
  <c r="AE137" i="2"/>
  <c r="AA137" i="2"/>
  <c r="Y137" i="2"/>
  <c r="W137" i="2"/>
  <c r="X137" i="2" s="1"/>
  <c r="O68" i="3" s="1"/>
  <c r="AI136" i="2"/>
  <c r="AH136" i="2"/>
  <c r="AG136" i="2"/>
  <c r="AF136" i="2"/>
  <c r="AE136" i="2"/>
  <c r="AD136" i="2"/>
  <c r="AA136" i="2"/>
  <c r="R67" i="3" s="1"/>
  <c r="W136" i="2"/>
  <c r="AI135" i="2"/>
  <c r="AH135" i="2"/>
  <c r="AG135" i="2"/>
  <c r="AF135" i="2"/>
  <c r="AE135" i="2"/>
  <c r="AA135" i="2"/>
  <c r="AD135" i="2" s="1"/>
  <c r="W135" i="2"/>
  <c r="AI134" i="2"/>
  <c r="AH134" i="2"/>
  <c r="AG134" i="2"/>
  <c r="AF134" i="2"/>
  <c r="AE134" i="2"/>
  <c r="AD134" i="2"/>
  <c r="AA134" i="2"/>
  <c r="R66" i="3" s="1"/>
  <c r="W134" i="2"/>
  <c r="X134" i="2" s="1"/>
  <c r="O66" i="3" s="1"/>
  <c r="P66" i="3" s="1"/>
  <c r="AI133" i="2"/>
  <c r="AH133" i="2"/>
  <c r="AG133" i="2"/>
  <c r="AF133" i="2"/>
  <c r="AE133" i="2"/>
  <c r="AA133" i="2"/>
  <c r="R65" i="3" s="1"/>
  <c r="W133" i="2"/>
  <c r="X133" i="2" s="1"/>
  <c r="Y133" i="2" s="1"/>
  <c r="AI132" i="2"/>
  <c r="AH132" i="2"/>
  <c r="AG132" i="2"/>
  <c r="AF132" i="2"/>
  <c r="AE132" i="2"/>
  <c r="AD132" i="2"/>
  <c r="AA132" i="2"/>
  <c r="X132" i="2"/>
  <c r="W132" i="2"/>
  <c r="AI131" i="2"/>
  <c r="AH131" i="2"/>
  <c r="AG131" i="2"/>
  <c r="AF131" i="2"/>
  <c r="AE131" i="2"/>
  <c r="AA131" i="2"/>
  <c r="AD131" i="2" s="1"/>
  <c r="W131" i="2"/>
  <c r="AI130" i="2"/>
  <c r="AH130" i="2"/>
  <c r="AG130" i="2"/>
  <c r="AF130" i="2"/>
  <c r="AE130" i="2"/>
  <c r="AD130" i="2"/>
  <c r="AA130" i="2"/>
  <c r="X130" i="2"/>
  <c r="O63" i="3" s="1"/>
  <c r="W130" i="2"/>
  <c r="AI129" i="2"/>
  <c r="AH129" i="2"/>
  <c r="AG129" i="2"/>
  <c r="AF129" i="2"/>
  <c r="AE129" i="2"/>
  <c r="AA129" i="2"/>
  <c r="AD129" i="2" s="1"/>
  <c r="Y129" i="2"/>
  <c r="W129" i="2"/>
  <c r="X129" i="2" s="1"/>
  <c r="AI128" i="2"/>
  <c r="AH128" i="2"/>
  <c r="AG128" i="2"/>
  <c r="AF128" i="2"/>
  <c r="AE128" i="2"/>
  <c r="AA128" i="2"/>
  <c r="X128" i="2"/>
  <c r="O62" i="3" s="1"/>
  <c r="W128" i="2"/>
  <c r="AI127" i="2"/>
  <c r="AH127" i="2"/>
  <c r="AG127" i="2"/>
  <c r="AF127" i="2"/>
  <c r="AE127" i="2"/>
  <c r="AA127" i="2"/>
  <c r="W127" i="2"/>
  <c r="AI126" i="2"/>
  <c r="AH126" i="2"/>
  <c r="AG126" i="2"/>
  <c r="AF126" i="2"/>
  <c r="AE126" i="2"/>
  <c r="AA126" i="2"/>
  <c r="X126" i="2"/>
  <c r="W126" i="2"/>
  <c r="AI125" i="2"/>
  <c r="AH125" i="2"/>
  <c r="AG125" i="2"/>
  <c r="AF125" i="2"/>
  <c r="AE125" i="2"/>
  <c r="AA125" i="2"/>
  <c r="AD125" i="2" s="1"/>
  <c r="W125" i="2"/>
  <c r="X125" i="2" s="1"/>
  <c r="Y125" i="2" s="1"/>
  <c r="AI124" i="2"/>
  <c r="AH124" i="2"/>
  <c r="AG124" i="2"/>
  <c r="AF124" i="2"/>
  <c r="AE124" i="2"/>
  <c r="AA124" i="2"/>
  <c r="R59" i="3" s="1"/>
  <c r="W124" i="2"/>
  <c r="AI123" i="2"/>
  <c r="AH123" i="2"/>
  <c r="AG123" i="2"/>
  <c r="AF123" i="2"/>
  <c r="AE123" i="2"/>
  <c r="AA123" i="2"/>
  <c r="W123" i="2"/>
  <c r="AI122" i="2"/>
  <c r="AH122" i="2"/>
  <c r="AG122" i="2"/>
  <c r="AF122" i="2"/>
  <c r="AE122" i="2"/>
  <c r="AA122" i="2"/>
  <c r="AD122" i="2" s="1"/>
  <c r="W122" i="2"/>
  <c r="X122" i="2" s="1"/>
  <c r="O57" i="3" s="1"/>
  <c r="AI121" i="2"/>
  <c r="AH121" i="2"/>
  <c r="AG121" i="2"/>
  <c r="AF121" i="2"/>
  <c r="AE121" i="2"/>
  <c r="AA121" i="2"/>
  <c r="R56" i="3" s="1"/>
  <c r="W121" i="2"/>
  <c r="X121" i="2" s="1"/>
  <c r="O56" i="3" s="1"/>
  <c r="AI120" i="2"/>
  <c r="AH120" i="2"/>
  <c r="AG120" i="2"/>
  <c r="AF120" i="2"/>
  <c r="AE120" i="2"/>
  <c r="AD120" i="2"/>
  <c r="AA120" i="2"/>
  <c r="R55" i="3" s="1"/>
  <c r="W120" i="2"/>
  <c r="X120" i="2" s="1"/>
  <c r="O55" i="3" s="1"/>
  <c r="AI119" i="2"/>
  <c r="AH119" i="2"/>
  <c r="AG119" i="2"/>
  <c r="AF119" i="2"/>
  <c r="AE119" i="2"/>
  <c r="AA119" i="2"/>
  <c r="W119" i="2"/>
  <c r="AI118" i="2"/>
  <c r="AH118" i="2"/>
  <c r="AG118" i="2"/>
  <c r="AF118" i="2"/>
  <c r="AE118" i="2"/>
  <c r="AD118" i="2"/>
  <c r="AA118" i="2"/>
  <c r="R53" i="3" s="1"/>
  <c r="W118" i="2"/>
  <c r="X118" i="2" s="1"/>
  <c r="O53" i="3" s="1"/>
  <c r="AI117" i="2"/>
  <c r="AH117" i="2"/>
  <c r="AG117" i="2"/>
  <c r="AF117" i="2"/>
  <c r="AE117" i="2"/>
  <c r="AA117" i="2"/>
  <c r="R52" i="3" s="1"/>
  <c r="W117" i="2"/>
  <c r="X117" i="2" s="1"/>
  <c r="O52" i="3" s="1"/>
  <c r="P52" i="3" s="1"/>
  <c r="AI116" i="2"/>
  <c r="AH116" i="2"/>
  <c r="AG116" i="2"/>
  <c r="AF116" i="2"/>
  <c r="AE116" i="2"/>
  <c r="AA116" i="2"/>
  <c r="R51" i="3" s="1"/>
  <c r="W116" i="2"/>
  <c r="AI115" i="2"/>
  <c r="AH115" i="2"/>
  <c r="AG115" i="2"/>
  <c r="AF115" i="2"/>
  <c r="AE115" i="2"/>
  <c r="AA115" i="2"/>
  <c r="W115" i="2"/>
  <c r="AI114" i="2"/>
  <c r="AH114" i="2"/>
  <c r="AG114" i="2"/>
  <c r="AF114" i="2"/>
  <c r="AE114" i="2"/>
  <c r="AD114" i="2"/>
  <c r="AA114" i="2"/>
  <c r="R49" i="3" s="1"/>
  <c r="X114" i="2"/>
  <c r="Y114" i="2" s="1"/>
  <c r="AV114" i="2" s="1"/>
  <c r="AW114" i="2" s="1"/>
  <c r="W114" i="2"/>
  <c r="AI113" i="2"/>
  <c r="AH113" i="2"/>
  <c r="AG113" i="2"/>
  <c r="AF113" i="2"/>
  <c r="AE113" i="2"/>
  <c r="AA113" i="2"/>
  <c r="AD113" i="2" s="1"/>
  <c r="Y113" i="2"/>
  <c r="W113" i="2"/>
  <c r="X113" i="2" s="1"/>
  <c r="AI112" i="2"/>
  <c r="AH112" i="2"/>
  <c r="AG112" i="2"/>
  <c r="AF112" i="2"/>
  <c r="AE112" i="2"/>
  <c r="AA112" i="2"/>
  <c r="R47" i="3" s="1"/>
  <c r="W112" i="2"/>
  <c r="AI111" i="2"/>
  <c r="AH111" i="2"/>
  <c r="AG111" i="2"/>
  <c r="AF111" i="2"/>
  <c r="AE111" i="2"/>
  <c r="AA111" i="2"/>
  <c r="W111" i="2"/>
  <c r="BA110" i="2"/>
  <c r="AI110" i="2"/>
  <c r="AH110" i="2"/>
  <c r="AG110" i="2"/>
  <c r="AF110" i="2"/>
  <c r="AE110" i="2"/>
  <c r="AA110" i="2"/>
  <c r="W110" i="2"/>
  <c r="BA109" i="2"/>
  <c r="AI109" i="2"/>
  <c r="AH109" i="2"/>
  <c r="AG109" i="2"/>
  <c r="AF109" i="2"/>
  <c r="AE109" i="2"/>
  <c r="AA109" i="2"/>
  <c r="W109" i="2"/>
  <c r="BA108" i="2"/>
  <c r="AI108" i="2"/>
  <c r="AH108" i="2"/>
  <c r="AG108" i="2"/>
  <c r="AF108" i="2"/>
  <c r="AE108" i="2"/>
  <c r="AA108" i="2"/>
  <c r="W108" i="2"/>
  <c r="BA107" i="2"/>
  <c r="AI107" i="2"/>
  <c r="AH107" i="2"/>
  <c r="AG107" i="2"/>
  <c r="AF107" i="2"/>
  <c r="AE107" i="2"/>
  <c r="AA107" i="2"/>
  <c r="AD107" i="2" s="1"/>
  <c r="W107" i="2"/>
  <c r="BA106" i="2"/>
  <c r="AI106" i="2"/>
  <c r="AH106" i="2"/>
  <c r="AG106" i="2"/>
  <c r="AF106" i="2"/>
  <c r="AE106" i="2"/>
  <c r="AA106" i="2"/>
  <c r="AD106" i="2" s="1"/>
  <c r="W106" i="2"/>
  <c r="BA105" i="2"/>
  <c r="AI105" i="2"/>
  <c r="AH105" i="2"/>
  <c r="AG105" i="2"/>
  <c r="AF105" i="2"/>
  <c r="AE105" i="2"/>
  <c r="AA105" i="2"/>
  <c r="W105" i="2"/>
  <c r="S105" i="2"/>
  <c r="BA104" i="2"/>
  <c r="AI104" i="2"/>
  <c r="AH104" i="2"/>
  <c r="AG104" i="2"/>
  <c r="AF104" i="2"/>
  <c r="AE104" i="2"/>
  <c r="AA104" i="2"/>
  <c r="R39" i="3" s="1"/>
  <c r="W104" i="2"/>
  <c r="S104" i="2"/>
  <c r="BA103" i="2"/>
  <c r="AI103" i="2"/>
  <c r="AH103" i="2"/>
  <c r="AG103" i="2"/>
  <c r="AF103" i="2"/>
  <c r="AE103" i="2"/>
  <c r="AA103" i="2"/>
  <c r="R38" i="3" s="1"/>
  <c r="W103" i="2"/>
  <c r="X103" i="2" s="1"/>
  <c r="O38" i="3" s="1"/>
  <c r="BA102" i="2"/>
  <c r="AI102" i="2"/>
  <c r="AH102" i="2"/>
  <c r="AG102" i="2"/>
  <c r="AF102" i="2"/>
  <c r="AE102" i="2"/>
  <c r="AA102" i="2"/>
  <c r="W102" i="2"/>
  <c r="X102" i="2" s="1"/>
  <c r="O37" i="3" s="1"/>
  <c r="BA101" i="2"/>
  <c r="AI101" i="2"/>
  <c r="AH101" i="2"/>
  <c r="AG101" i="2"/>
  <c r="AF101" i="2"/>
  <c r="AE101" i="2"/>
  <c r="AA101" i="2"/>
  <c r="R36" i="3" s="1"/>
  <c r="W101" i="2"/>
  <c r="X101" i="2" s="1"/>
  <c r="O36" i="3" s="1"/>
  <c r="BA100" i="2"/>
  <c r="AI100" i="2"/>
  <c r="AH100" i="2"/>
  <c r="AG100" i="2"/>
  <c r="AF100" i="2"/>
  <c r="AE100" i="2"/>
  <c r="AA100" i="2"/>
  <c r="R35" i="3" s="1"/>
  <c r="W100" i="2"/>
  <c r="X100" i="2" s="1"/>
  <c r="O35" i="3" s="1"/>
  <c r="P35" i="3" s="1"/>
  <c r="AI99" i="2"/>
  <c r="AH99" i="2"/>
  <c r="AF99" i="2"/>
  <c r="AE99" i="2"/>
  <c r="AA99" i="2"/>
  <c r="AD99" i="2" s="1"/>
  <c r="U99" i="2"/>
  <c r="BA99" i="2" s="1"/>
  <c r="AI98" i="2"/>
  <c r="AH98" i="2"/>
  <c r="AF98" i="2"/>
  <c r="AE98" i="2"/>
  <c r="AD98" i="2"/>
  <c r="AA98" i="2"/>
  <c r="U98" i="2"/>
  <c r="BA98" i="2" s="1"/>
  <c r="BA97" i="2"/>
  <c r="AI97" i="2"/>
  <c r="AE97" i="2"/>
  <c r="AA97" i="2"/>
  <c r="W97" i="2"/>
  <c r="X97" i="2" s="1"/>
  <c r="O34" i="3" s="1"/>
  <c r="BA96" i="2"/>
  <c r="AI96" i="2"/>
  <c r="AG96" i="2"/>
  <c r="AE96" i="2"/>
  <c r="AA96" i="2"/>
  <c r="X96" i="2"/>
  <c r="O33" i="3" s="1"/>
  <c r="P33" i="3" s="1"/>
  <c r="W96" i="2"/>
  <c r="T96" i="2"/>
  <c r="S96" i="2"/>
  <c r="BA95" i="2"/>
  <c r="AI95" i="2"/>
  <c r="AE95" i="2"/>
  <c r="AA95" i="2"/>
  <c r="AD95" i="2" s="1"/>
  <c r="W95" i="2"/>
  <c r="BA94" i="2"/>
  <c r="AI94" i="2"/>
  <c r="AH94" i="2"/>
  <c r="AF94" i="2"/>
  <c r="AE94" i="2"/>
  <c r="AA94" i="2"/>
  <c r="AD94" i="2" s="1"/>
  <c r="W94" i="2"/>
  <c r="X94" i="2" s="1"/>
  <c r="Y94" i="2" s="1"/>
  <c r="BA93" i="2"/>
  <c r="AI93" i="2"/>
  <c r="AH93" i="2"/>
  <c r="AG93" i="2"/>
  <c r="AF93" i="2"/>
  <c r="AE93" i="2"/>
  <c r="AA93" i="2"/>
  <c r="R32" i="3" s="1"/>
  <c r="W93" i="2"/>
  <c r="X93" i="2" s="1"/>
  <c r="BA92" i="2"/>
  <c r="AI92" i="2"/>
  <c r="AH92" i="2"/>
  <c r="AG92" i="2"/>
  <c r="AF92" i="2"/>
  <c r="AE92" i="2"/>
  <c r="AD92" i="2"/>
  <c r="AA92" i="2"/>
  <c r="W92" i="2"/>
  <c r="X92" i="2" s="1"/>
  <c r="Y92" i="2" s="1"/>
  <c r="AV92" i="2" s="1"/>
  <c r="AW92" i="2" s="1"/>
  <c r="BA91" i="2"/>
  <c r="AI91" i="2"/>
  <c r="AH91" i="2"/>
  <c r="AG91" i="2"/>
  <c r="AF91" i="2"/>
  <c r="AE91" i="2"/>
  <c r="AA91" i="2"/>
  <c r="W91" i="2"/>
  <c r="X91" i="2" s="1"/>
  <c r="O22" i="3" s="1"/>
  <c r="BA90" i="2"/>
  <c r="AI90" i="2"/>
  <c r="AH90" i="2"/>
  <c r="AG90" i="2"/>
  <c r="AF90" i="2"/>
  <c r="AE90" i="2"/>
  <c r="AA90" i="2"/>
  <c r="R31" i="3" s="1"/>
  <c r="W90" i="2"/>
  <c r="X90" i="2" s="1"/>
  <c r="O31" i="3" s="1"/>
  <c r="BA89" i="2"/>
  <c r="AI89" i="2"/>
  <c r="AE89" i="2"/>
  <c r="AA89" i="2"/>
  <c r="W89" i="2"/>
  <c r="BA88" i="2"/>
  <c r="AI88" i="2"/>
  <c r="AE88" i="2"/>
  <c r="AA88" i="2"/>
  <c r="R29" i="3" s="1"/>
  <c r="W88" i="2"/>
  <c r="BA87" i="2"/>
  <c r="AI87" i="2"/>
  <c r="AH87" i="2"/>
  <c r="AG87" i="2"/>
  <c r="AF87" i="2"/>
  <c r="AE87" i="2"/>
  <c r="AA87" i="2"/>
  <c r="W87" i="2"/>
  <c r="BA86" i="2"/>
  <c r="AI86" i="2"/>
  <c r="AH86" i="2"/>
  <c r="AG86" i="2"/>
  <c r="AF86" i="2"/>
  <c r="AE86" i="2"/>
  <c r="AA86" i="2"/>
  <c r="AD86" i="2" s="1"/>
  <c r="W86" i="2"/>
  <c r="BA85" i="2"/>
  <c r="AI85" i="2"/>
  <c r="AH85" i="2"/>
  <c r="AG85" i="2"/>
  <c r="AF85" i="2"/>
  <c r="AE85" i="2"/>
  <c r="AA85" i="2"/>
  <c r="R27" i="3" s="1"/>
  <c r="W85" i="2"/>
  <c r="AI84" i="2"/>
  <c r="AH84" i="2"/>
  <c r="AG84" i="2"/>
  <c r="AF84" i="2"/>
  <c r="AE84" i="2"/>
  <c r="AD84" i="2"/>
  <c r="AA84" i="2"/>
  <c r="R21" i="3" s="1"/>
  <c r="U84" i="2"/>
  <c r="BA83" i="2"/>
  <c r="AI83" i="2"/>
  <c r="AH83" i="2"/>
  <c r="AG83" i="2"/>
  <c r="AF83" i="2"/>
  <c r="AE83" i="2"/>
  <c r="AA83" i="2"/>
  <c r="R26" i="3" s="1"/>
  <c r="W83" i="2"/>
  <c r="X83" i="2" s="1"/>
  <c r="O26" i="3" s="1"/>
  <c r="P26" i="3" s="1"/>
  <c r="BA82" i="2"/>
  <c r="AI82" i="2"/>
  <c r="AH82" i="2"/>
  <c r="AG82" i="2"/>
  <c r="AF82" i="2"/>
  <c r="AE82" i="2"/>
  <c r="AA82" i="2"/>
  <c r="R25" i="3" s="1"/>
  <c r="Y82" i="2"/>
  <c r="W82" i="2"/>
  <c r="X82" i="2" s="1"/>
  <c r="O25" i="3" s="1"/>
  <c r="BA81" i="2"/>
  <c r="AI81" i="2"/>
  <c r="AG81" i="2"/>
  <c r="AD81" i="2"/>
  <c r="AA81" i="2"/>
  <c r="R24" i="3" s="1"/>
  <c r="X81" i="2"/>
  <c r="Y81" i="2" s="1"/>
  <c r="AZ81" i="2" s="1"/>
  <c r="W81" i="2"/>
  <c r="BA80" i="2"/>
  <c r="AI80" i="2"/>
  <c r="AH80" i="2"/>
  <c r="AG80" i="2"/>
  <c r="AF80" i="2"/>
  <c r="AE80" i="2"/>
  <c r="AD80" i="2"/>
  <c r="AA80" i="2"/>
  <c r="R23" i="3" s="1"/>
  <c r="X80" i="2"/>
  <c r="O23" i="3" s="1"/>
  <c r="W80" i="2"/>
  <c r="BA79" i="2"/>
  <c r="AI79" i="2"/>
  <c r="AG79" i="2"/>
  <c r="AF79" i="2"/>
  <c r="AE79" i="2"/>
  <c r="AA79" i="2"/>
  <c r="R20" i="3" s="1"/>
  <c r="W79" i="2"/>
  <c r="X79" i="2" s="1"/>
  <c r="Y79" i="2" s="1"/>
  <c r="BA78" i="2"/>
  <c r="AI78" i="2"/>
  <c r="AG78" i="2"/>
  <c r="AF78" i="2"/>
  <c r="AE78" i="2"/>
  <c r="AD78" i="2"/>
  <c r="AA78" i="2"/>
  <c r="R19" i="3" s="1"/>
  <c r="X78" i="2"/>
  <c r="O19" i="3" s="1"/>
  <c r="W78" i="2"/>
  <c r="BA77" i="2"/>
  <c r="AI77" i="2"/>
  <c r="AH77" i="2"/>
  <c r="AG77" i="2"/>
  <c r="AF77" i="2"/>
  <c r="AE77" i="2"/>
  <c r="AD77" i="2"/>
  <c r="AA77" i="2"/>
  <c r="W77" i="2"/>
  <c r="X77" i="2" s="1"/>
  <c r="BA76" i="2"/>
  <c r="AI76" i="2"/>
  <c r="AH76" i="2"/>
  <c r="AG76" i="2"/>
  <c r="AF76" i="2"/>
  <c r="AE76" i="2"/>
  <c r="AA76" i="2"/>
  <c r="AD76" i="2" s="1"/>
  <c r="X76" i="2"/>
  <c r="W76" i="2"/>
  <c r="BA75" i="2"/>
  <c r="AI75" i="2"/>
  <c r="AH75" i="2"/>
  <c r="AG75" i="2"/>
  <c r="AF75" i="2"/>
  <c r="AE75" i="2"/>
  <c r="AD75" i="2"/>
  <c r="AA75" i="2"/>
  <c r="X75" i="2"/>
  <c r="W75" i="2"/>
  <c r="BA74" i="2"/>
  <c r="AI74" i="2"/>
  <c r="AH74" i="2"/>
  <c r="AG74" i="2"/>
  <c r="AF74" i="2"/>
  <c r="AE74" i="2"/>
  <c r="AD74" i="2"/>
  <c r="AA74" i="2"/>
  <c r="X74" i="2"/>
  <c r="W74" i="2"/>
  <c r="BA73" i="2"/>
  <c r="AI73" i="2"/>
  <c r="AH73" i="2"/>
  <c r="AG73" i="2"/>
  <c r="AF73" i="2"/>
  <c r="AE73" i="2"/>
  <c r="AD73" i="2"/>
  <c r="AA73" i="2"/>
  <c r="R18" i="3" s="1"/>
  <c r="W73" i="2"/>
  <c r="X73" i="2" s="1"/>
  <c r="O18" i="3" s="1"/>
  <c r="BA72" i="2"/>
  <c r="AI72" i="2"/>
  <c r="AH72" i="2"/>
  <c r="AG72" i="2"/>
  <c r="AF72" i="2"/>
  <c r="AE72" i="2"/>
  <c r="AA72" i="2"/>
  <c r="R17" i="3" s="1"/>
  <c r="X72" i="2"/>
  <c r="O17" i="3" s="1"/>
  <c r="W72" i="2"/>
  <c r="BA71" i="2"/>
  <c r="AI71" i="2"/>
  <c r="AH71" i="2"/>
  <c r="AG71" i="2"/>
  <c r="AF71" i="2"/>
  <c r="AE71" i="2"/>
  <c r="AD71" i="2"/>
  <c r="AA71" i="2"/>
  <c r="X71" i="2"/>
  <c r="W71" i="2"/>
  <c r="BA70" i="2"/>
  <c r="AI70" i="2"/>
  <c r="AH70" i="2"/>
  <c r="AG70" i="2"/>
  <c r="AF70" i="2"/>
  <c r="AE70" i="2"/>
  <c r="AD70" i="2"/>
  <c r="AA70" i="2"/>
  <c r="R16" i="3" s="1"/>
  <c r="X70" i="2"/>
  <c r="O16" i="3" s="1"/>
  <c r="W70" i="2"/>
  <c r="BA69" i="2"/>
  <c r="AI69" i="2"/>
  <c r="AH69" i="2"/>
  <c r="AF69" i="2"/>
  <c r="AE69" i="2"/>
  <c r="AA69" i="2"/>
  <c r="W69" i="2"/>
  <c r="BA68" i="2"/>
  <c r="AI68" i="2"/>
  <c r="AH68" i="2"/>
  <c r="AF68" i="2"/>
  <c r="AE68" i="2"/>
  <c r="AD68" i="2"/>
  <c r="AA68" i="2"/>
  <c r="R14" i="3" s="1"/>
  <c r="X68" i="2"/>
  <c r="O14" i="3" s="1"/>
  <c r="W68" i="2"/>
  <c r="BA67" i="2"/>
  <c r="AI67" i="2"/>
  <c r="AH67" i="2"/>
  <c r="AF67" i="2"/>
  <c r="AE67" i="2"/>
  <c r="AA67" i="2"/>
  <c r="R13" i="3" s="1"/>
  <c r="W67" i="2"/>
  <c r="X67" i="2" s="1"/>
  <c r="O13" i="3" s="1"/>
  <c r="BA66" i="2"/>
  <c r="AI66" i="2"/>
  <c r="AH66" i="2"/>
  <c r="AG66" i="2"/>
  <c r="AF66" i="2"/>
  <c r="AE66" i="2"/>
  <c r="AA66" i="2"/>
  <c r="AD66" i="2" s="1"/>
  <c r="W66" i="2"/>
  <c r="X66" i="2" s="1"/>
  <c r="Y66" i="2" s="1"/>
  <c r="BA65" i="2"/>
  <c r="AI65" i="2"/>
  <c r="AH65" i="2"/>
  <c r="AG65" i="2"/>
  <c r="AF65" i="2"/>
  <c r="AE65" i="2"/>
  <c r="AA65" i="2"/>
  <c r="R12" i="3" s="1"/>
  <c r="W65" i="2"/>
  <c r="X65" i="2" s="1"/>
  <c r="O12" i="3" s="1"/>
  <c r="BA64" i="2"/>
  <c r="AI64" i="2"/>
  <c r="AH64" i="2"/>
  <c r="AG64" i="2"/>
  <c r="AF64" i="2"/>
  <c r="AE64" i="2"/>
  <c r="AA64" i="2"/>
  <c r="R11" i="3" s="1"/>
  <c r="Y64" i="2"/>
  <c r="W64" i="2"/>
  <c r="X64" i="2" s="1"/>
  <c r="O11" i="3" s="1"/>
  <c r="P11" i="3" s="1"/>
  <c r="BA63" i="2"/>
  <c r="AI63" i="2"/>
  <c r="AH63" i="2"/>
  <c r="AF63" i="2"/>
  <c r="AE63" i="2"/>
  <c r="AA63" i="2"/>
  <c r="AD63" i="2" s="1"/>
  <c r="W63" i="2"/>
  <c r="BA62" i="2"/>
  <c r="AI62" i="2"/>
  <c r="AE62" i="2"/>
  <c r="AA62" i="2"/>
  <c r="AD62" i="2" s="1"/>
  <c r="W62" i="2"/>
  <c r="BA61" i="2"/>
  <c r="AI61" i="2"/>
  <c r="AE61" i="2"/>
  <c r="AA61" i="2"/>
  <c r="AD61" i="2" s="1"/>
  <c r="W61" i="2"/>
  <c r="X61" i="2" s="1"/>
  <c r="Y61" i="2" s="1"/>
  <c r="BA60" i="2"/>
  <c r="AI60" i="2"/>
  <c r="AH60" i="2"/>
  <c r="AF60" i="2"/>
  <c r="AE60" i="2"/>
  <c r="AA60" i="2"/>
  <c r="AD60" i="2" s="1"/>
  <c r="W60" i="2"/>
  <c r="X60" i="2" s="1"/>
  <c r="Y60" i="2" s="1"/>
  <c r="BA59" i="2"/>
  <c r="AI59" i="2"/>
  <c r="AH59" i="2"/>
  <c r="AF59" i="2"/>
  <c r="AE59" i="2"/>
  <c r="AA59" i="2"/>
  <c r="AD59" i="2" s="1"/>
  <c r="W59" i="2"/>
  <c r="X59" i="2" s="1"/>
  <c r="BA58" i="2"/>
  <c r="AI58" i="2"/>
  <c r="AH58" i="2"/>
  <c r="AF58" i="2"/>
  <c r="AE58" i="2"/>
  <c r="AA58" i="2"/>
  <c r="AD58" i="2" s="1"/>
  <c r="W58" i="2"/>
  <c r="BA57" i="2"/>
  <c r="AK57" i="2"/>
  <c r="AJ57" i="2"/>
  <c r="AI57" i="2"/>
  <c r="AH57" i="2"/>
  <c r="AF57" i="2"/>
  <c r="AE57" i="2"/>
  <c r="AA57" i="2"/>
  <c r="AD57" i="2" s="1"/>
  <c r="U57" i="2"/>
  <c r="W57" i="2" s="1"/>
  <c r="X57" i="2" s="1"/>
  <c r="Y57" i="2" s="1"/>
  <c r="AK56" i="2"/>
  <c r="AJ56" i="2"/>
  <c r="AI56" i="2"/>
  <c r="AH56" i="2"/>
  <c r="AF56" i="2"/>
  <c r="AE56" i="2"/>
  <c r="AA56" i="2"/>
  <c r="AD56" i="2" s="1"/>
  <c r="U56" i="2"/>
  <c r="BA56" i="2" s="1"/>
  <c r="AK55" i="2"/>
  <c r="AJ55" i="2"/>
  <c r="AI55" i="2"/>
  <c r="AH55" i="2"/>
  <c r="AF55" i="2"/>
  <c r="AE55" i="2"/>
  <c r="AD55" i="2"/>
  <c r="AA55" i="2"/>
  <c r="U55" i="2"/>
  <c r="BA55" i="2" s="1"/>
  <c r="BA54" i="2"/>
  <c r="AK54" i="2"/>
  <c r="AJ54" i="2"/>
  <c r="AI54" i="2"/>
  <c r="AH54" i="2"/>
  <c r="AF54" i="2"/>
  <c r="AE54" i="2"/>
  <c r="AA54" i="2"/>
  <c r="AD54" i="2" s="1"/>
  <c r="W54" i="2"/>
  <c r="X54" i="2" s="1"/>
  <c r="Y54" i="2" s="1"/>
  <c r="AY54" i="2" s="1"/>
  <c r="AK53" i="2"/>
  <c r="AJ53" i="2"/>
  <c r="AI53" i="2"/>
  <c r="AH53" i="2"/>
  <c r="AF53" i="2"/>
  <c r="AE53" i="2"/>
  <c r="AA53" i="2"/>
  <c r="AD53" i="2" s="1"/>
  <c r="U53" i="2"/>
  <c r="BA53" i="2" s="1"/>
  <c r="AK52" i="2"/>
  <c r="AJ52" i="2"/>
  <c r="AI52" i="2"/>
  <c r="AH52" i="2"/>
  <c r="AF52" i="2"/>
  <c r="AE52" i="2"/>
  <c r="AD52" i="2"/>
  <c r="AA52" i="2"/>
  <c r="W52" i="2"/>
  <c r="U52" i="2"/>
  <c r="BA52" i="2" s="1"/>
  <c r="BA51" i="2"/>
  <c r="AK51" i="2"/>
  <c r="AJ51" i="2"/>
  <c r="AI51" i="2"/>
  <c r="AH51" i="2"/>
  <c r="AF51" i="2"/>
  <c r="AE51" i="2"/>
  <c r="AA51" i="2"/>
  <c r="AD51" i="2" s="1"/>
  <c r="W51" i="2"/>
  <c r="X51" i="2" s="1"/>
  <c r="Y51" i="2" s="1"/>
  <c r="AK50" i="2"/>
  <c r="AJ50" i="2"/>
  <c r="AI50" i="2"/>
  <c r="AH50" i="2"/>
  <c r="AF50" i="2"/>
  <c r="AE50" i="2"/>
  <c r="AA50" i="2"/>
  <c r="AD50" i="2" s="1"/>
  <c r="U50" i="2"/>
  <c r="BA50" i="2" s="1"/>
  <c r="AK49" i="2"/>
  <c r="AJ49" i="2"/>
  <c r="AI49" i="2"/>
  <c r="AH49" i="2"/>
  <c r="AF49" i="2"/>
  <c r="AE49" i="2"/>
  <c r="AA49" i="2"/>
  <c r="AD49" i="2" s="1"/>
  <c r="U49" i="2"/>
  <c r="BA49" i="2" s="1"/>
  <c r="AK48" i="2"/>
  <c r="AJ48" i="2"/>
  <c r="AI48" i="2"/>
  <c r="AH48" i="2"/>
  <c r="AF48" i="2"/>
  <c r="AE48" i="2"/>
  <c r="AA48" i="2"/>
  <c r="AD48" i="2" s="1"/>
  <c r="U48" i="2"/>
  <c r="BA47" i="2"/>
  <c r="AK47" i="2"/>
  <c r="AJ47" i="2"/>
  <c r="AI47" i="2"/>
  <c r="AH47" i="2"/>
  <c r="AF47" i="2"/>
  <c r="AE47" i="2"/>
  <c r="AD47" i="2"/>
  <c r="AA47" i="2"/>
  <c r="W47" i="2"/>
  <c r="X47" i="2" s="1"/>
  <c r="Y47" i="2" s="1"/>
  <c r="U47" i="2"/>
  <c r="AK46" i="2"/>
  <c r="AJ46" i="2"/>
  <c r="AI46" i="2"/>
  <c r="AH46" i="2"/>
  <c r="AF46" i="2"/>
  <c r="AE46" i="2"/>
  <c r="AA46" i="2"/>
  <c r="AD46" i="2" s="1"/>
  <c r="U46" i="2"/>
  <c r="BA46" i="2" s="1"/>
  <c r="BA45" i="2"/>
  <c r="AI45" i="2"/>
  <c r="AH45" i="2"/>
  <c r="AF45" i="2"/>
  <c r="AE45" i="2"/>
  <c r="AD45" i="2"/>
  <c r="AA45" i="2"/>
  <c r="W45" i="2"/>
  <c r="X45" i="2" s="1"/>
  <c r="BA44" i="2"/>
  <c r="AI44" i="2"/>
  <c r="AH44" i="2"/>
  <c r="AF44" i="2"/>
  <c r="AE44" i="2"/>
  <c r="AA44" i="2"/>
  <c r="W44" i="2"/>
  <c r="BA43" i="2"/>
  <c r="AI43" i="2"/>
  <c r="AH43" i="2"/>
  <c r="AF43" i="2"/>
  <c r="AE43" i="2"/>
  <c r="AD43" i="2"/>
  <c r="AA43" i="2"/>
  <c r="R9" i="3" s="1"/>
  <c r="W43" i="2"/>
  <c r="X43" i="2" s="1"/>
  <c r="O9" i="3" s="1"/>
  <c r="BA42" i="2"/>
  <c r="AI42" i="2"/>
  <c r="AH42" i="2"/>
  <c r="AG42" i="2"/>
  <c r="AF42" i="2"/>
  <c r="AE42" i="2"/>
  <c r="AA42" i="2"/>
  <c r="R8" i="3" s="1"/>
  <c r="T42" i="2"/>
  <c r="S42" i="2"/>
  <c r="W42" i="2" s="1"/>
  <c r="BA41" i="2"/>
  <c r="AI41" i="2"/>
  <c r="AH41" i="2"/>
  <c r="AG41" i="2"/>
  <c r="AF41" i="2"/>
  <c r="AE41" i="2"/>
  <c r="AD41" i="2"/>
  <c r="AA41" i="2"/>
  <c r="X41" i="2"/>
  <c r="W41" i="2"/>
  <c r="T41" i="2"/>
  <c r="S41" i="2"/>
  <c r="BA40" i="2"/>
  <c r="AI40" i="2"/>
  <c r="AG40" i="2"/>
  <c r="AE40" i="2"/>
  <c r="AD40" i="2"/>
  <c r="AA40" i="2"/>
  <c r="R7" i="3" s="1"/>
  <c r="X40" i="2"/>
  <c r="O7" i="3" s="1"/>
  <c r="W40" i="2"/>
  <c r="T40" i="2"/>
  <c r="S40" i="2"/>
  <c r="BA39" i="2"/>
  <c r="AI39" i="2"/>
  <c r="AH39" i="2"/>
  <c r="AG39" i="2"/>
  <c r="AF39" i="2"/>
  <c r="AE39" i="2"/>
  <c r="AA39" i="2"/>
  <c r="AD39" i="2" s="1"/>
  <c r="T39" i="2"/>
  <c r="S39" i="2"/>
  <c r="W39" i="2" s="1"/>
  <c r="BA38" i="2"/>
  <c r="AI38" i="2"/>
  <c r="AH38" i="2"/>
  <c r="AG38" i="2"/>
  <c r="AF38" i="2"/>
  <c r="AE38" i="2"/>
  <c r="AA38" i="2"/>
  <c r="AD38" i="2" s="1"/>
  <c r="W38" i="2"/>
  <c r="X38" i="2" s="1"/>
  <c r="T38" i="2"/>
  <c r="S38" i="2"/>
  <c r="BA37" i="2"/>
  <c r="AI37" i="2"/>
  <c r="AH37" i="2"/>
  <c r="AG37" i="2"/>
  <c r="AF37" i="2"/>
  <c r="AE37" i="2"/>
  <c r="AD37" i="2"/>
  <c r="AA37" i="2"/>
  <c r="T37" i="2"/>
  <c r="S37" i="2"/>
  <c r="W37" i="2" s="1"/>
  <c r="BA36" i="2"/>
  <c r="AI36" i="2"/>
  <c r="AH36" i="2"/>
  <c r="AG36" i="2"/>
  <c r="AF36" i="2"/>
  <c r="AE36" i="2"/>
  <c r="AA36" i="2"/>
  <c r="AD36" i="2" s="1"/>
  <c r="W36" i="2"/>
  <c r="X36" i="2" s="1"/>
  <c r="T36" i="2"/>
  <c r="S36" i="2"/>
  <c r="BA35" i="2"/>
  <c r="AI35" i="2"/>
  <c r="AH35" i="2"/>
  <c r="AG35" i="2"/>
  <c r="AF35" i="2"/>
  <c r="AE35" i="2"/>
  <c r="AA35" i="2"/>
  <c r="AD35" i="2" s="1"/>
  <c r="T35" i="2"/>
  <c r="S35" i="2"/>
  <c r="W35" i="2" s="1"/>
  <c r="BA34" i="2"/>
  <c r="AI34" i="2"/>
  <c r="AH34" i="2"/>
  <c r="AG34" i="2"/>
  <c r="AF34" i="2"/>
  <c r="AE34" i="2"/>
  <c r="AD34" i="2"/>
  <c r="AA34" i="2"/>
  <c r="T34" i="2"/>
  <c r="S34" i="2"/>
  <c r="W34" i="2" s="1"/>
  <c r="BA33" i="2"/>
  <c r="AI33" i="2"/>
  <c r="AH33" i="2"/>
  <c r="AG33" i="2"/>
  <c r="AF33" i="2"/>
  <c r="AE33" i="2"/>
  <c r="AA33" i="2"/>
  <c r="AD33" i="2" s="1"/>
  <c r="T33" i="2"/>
  <c r="S33" i="2"/>
  <c r="W33" i="2" s="1"/>
  <c r="BA32" i="2"/>
  <c r="AI32" i="2"/>
  <c r="AH32" i="2"/>
  <c r="AG32" i="2"/>
  <c r="AF32" i="2"/>
  <c r="AE32" i="2"/>
  <c r="AA32" i="2"/>
  <c r="AD32" i="2" s="1"/>
  <c r="T32" i="2"/>
  <c r="S32" i="2"/>
  <c r="W32" i="2" s="1"/>
  <c r="BA31" i="2"/>
  <c r="AI31" i="2"/>
  <c r="AH31" i="2"/>
  <c r="AG31" i="2"/>
  <c r="AF31" i="2"/>
  <c r="AE31" i="2"/>
  <c r="AA31" i="2"/>
  <c r="AD31" i="2" s="1"/>
  <c r="T31" i="2"/>
  <c r="S31" i="2"/>
  <c r="W31" i="2" s="1"/>
  <c r="BA30" i="2"/>
  <c r="AI30" i="2"/>
  <c r="AE30" i="2"/>
  <c r="AA30" i="2"/>
  <c r="T30" i="2"/>
  <c r="S30" i="2"/>
  <c r="W30" i="2" s="1"/>
  <c r="BA29" i="2"/>
  <c r="AI29" i="2"/>
  <c r="AH29" i="2"/>
  <c r="AG29" i="2"/>
  <c r="AF29" i="2"/>
  <c r="AE29" i="2"/>
  <c r="AA29" i="2"/>
  <c r="R5" i="3" s="1"/>
  <c r="T29" i="2"/>
  <c r="S29" i="2"/>
  <c r="W29" i="2" s="1"/>
  <c r="X29" i="2" s="1"/>
  <c r="O5" i="3" s="1"/>
  <c r="P5" i="3" s="1"/>
  <c r="BA28" i="2"/>
  <c r="AI28" i="2"/>
  <c r="AH28" i="2"/>
  <c r="AG28" i="2"/>
  <c r="AF28" i="2"/>
  <c r="AE28" i="2"/>
  <c r="AA28" i="2"/>
  <c r="W28" i="2"/>
  <c r="T28" i="2"/>
  <c r="S28" i="2"/>
  <c r="BA27" i="2"/>
  <c r="AI27" i="2"/>
  <c r="AH27" i="2"/>
  <c r="AG27" i="2"/>
  <c r="AF27" i="2"/>
  <c r="AE27" i="2"/>
  <c r="AA27" i="2"/>
  <c r="R3" i="3" s="1"/>
  <c r="T27" i="2"/>
  <c r="S27" i="2"/>
  <c r="W27" i="2" s="1"/>
  <c r="X27" i="2" s="1"/>
  <c r="O3" i="3" s="1"/>
  <c r="BA26" i="2"/>
  <c r="AI26" i="2"/>
  <c r="AH26" i="2"/>
  <c r="AG26" i="2"/>
  <c r="AF26" i="2"/>
  <c r="AE26" i="2"/>
  <c r="AA26" i="2"/>
  <c r="W26" i="2"/>
  <c r="T26" i="2"/>
  <c r="S26" i="2"/>
  <c r="BA25" i="2"/>
  <c r="AI25" i="2"/>
  <c r="AH25" i="2"/>
  <c r="AG25" i="2"/>
  <c r="AF25" i="2"/>
  <c r="AE25" i="2"/>
  <c r="AA25" i="2"/>
  <c r="AD25" i="2" s="1"/>
  <c r="T25" i="2"/>
  <c r="S25" i="2"/>
  <c r="W25" i="2" s="1"/>
  <c r="X25" i="2" s="1"/>
  <c r="BA24" i="2"/>
  <c r="AI24" i="2"/>
  <c r="AH24" i="2"/>
  <c r="AG24" i="2"/>
  <c r="AF24" i="2"/>
  <c r="AE24" i="2"/>
  <c r="AA24" i="2"/>
  <c r="AD24" i="2" s="1"/>
  <c r="T24" i="2"/>
  <c r="S24" i="2"/>
  <c r="W24" i="2" s="1"/>
  <c r="BA23" i="2"/>
  <c r="AI23" i="2"/>
  <c r="AH23" i="2"/>
  <c r="AG23" i="2"/>
  <c r="AF23" i="2"/>
  <c r="AE23" i="2"/>
  <c r="AA23" i="2"/>
  <c r="AD23" i="2" s="1"/>
  <c r="T23" i="2"/>
  <c r="S23" i="2"/>
  <c r="W23" i="2" s="1"/>
  <c r="X23" i="2" s="1"/>
  <c r="BA22" i="2"/>
  <c r="AI22" i="2"/>
  <c r="AH22" i="2"/>
  <c r="AG22" i="2"/>
  <c r="AF22" i="2"/>
  <c r="AE22" i="2"/>
  <c r="AA22" i="2"/>
  <c r="AD22" i="2" s="1"/>
  <c r="W22" i="2"/>
  <c r="T22" i="2"/>
  <c r="S22" i="2"/>
  <c r="BA21" i="2"/>
  <c r="AI21" i="2"/>
  <c r="AH21" i="2"/>
  <c r="AG21" i="2"/>
  <c r="AF21" i="2"/>
  <c r="AE21" i="2"/>
  <c r="AA21" i="2"/>
  <c r="AD21" i="2" s="1"/>
  <c r="T21" i="2"/>
  <c r="S21" i="2"/>
  <c r="W21" i="2" s="1"/>
  <c r="X21" i="2" s="1"/>
  <c r="BA20" i="2"/>
  <c r="AI20" i="2"/>
  <c r="AH20" i="2"/>
  <c r="AG20" i="2"/>
  <c r="AF20" i="2"/>
  <c r="AE20" i="2"/>
  <c r="AA20" i="2"/>
  <c r="AD20" i="2" s="1"/>
  <c r="T20" i="2"/>
  <c r="S20" i="2"/>
  <c r="W20" i="2" s="1"/>
  <c r="BA19" i="2"/>
  <c r="AI19" i="2"/>
  <c r="AH19" i="2"/>
  <c r="AG19" i="2"/>
  <c r="AF19" i="2"/>
  <c r="AE19" i="2"/>
  <c r="AA19" i="2"/>
  <c r="AD19" i="2" s="1"/>
  <c r="T19" i="2"/>
  <c r="S19" i="2"/>
  <c r="W19" i="2" s="1"/>
  <c r="X19" i="2" s="1"/>
  <c r="BA18" i="2"/>
  <c r="AI18" i="2"/>
  <c r="AH18" i="2"/>
  <c r="AG18" i="2"/>
  <c r="AF18" i="2"/>
  <c r="AE18" i="2"/>
  <c r="AA18" i="2"/>
  <c r="AD18" i="2" s="1"/>
  <c r="T18" i="2"/>
  <c r="S18" i="2"/>
  <c r="W18" i="2" s="1"/>
  <c r="BA17" i="2"/>
  <c r="AI17" i="2"/>
  <c r="AH17" i="2"/>
  <c r="AG17" i="2"/>
  <c r="AF17" i="2"/>
  <c r="AE17" i="2"/>
  <c r="AA17" i="2"/>
  <c r="AD17" i="2" s="1"/>
  <c r="T17" i="2"/>
  <c r="S17" i="2"/>
  <c r="W17" i="2" s="1"/>
  <c r="X17" i="2" s="1"/>
  <c r="BA16" i="2"/>
  <c r="AI16" i="2"/>
  <c r="AH16" i="2"/>
  <c r="AG16" i="2"/>
  <c r="AF16" i="2"/>
  <c r="AE16" i="2"/>
  <c r="AA16" i="2"/>
  <c r="AD16" i="2" s="1"/>
  <c r="W16" i="2"/>
  <c r="T16" i="2"/>
  <c r="S16" i="2"/>
  <c r="BA15" i="2"/>
  <c r="AI15" i="2"/>
  <c r="AH15" i="2"/>
  <c r="AG15" i="2"/>
  <c r="AF15" i="2"/>
  <c r="AE15" i="2"/>
  <c r="AA15" i="2"/>
  <c r="AD15" i="2" s="1"/>
  <c r="T15" i="2"/>
  <c r="S15" i="2"/>
  <c r="W15" i="2" s="1"/>
  <c r="X15" i="2" s="1"/>
  <c r="BA14" i="2"/>
  <c r="AI14" i="2"/>
  <c r="AH14" i="2"/>
  <c r="AG14" i="2"/>
  <c r="AF14" i="2"/>
  <c r="AE14" i="2"/>
  <c r="AA14" i="2"/>
  <c r="AD14" i="2" s="1"/>
  <c r="T14" i="2"/>
  <c r="S14" i="2"/>
  <c r="W14" i="2" s="1"/>
  <c r="BA13" i="2"/>
  <c r="AI13" i="2"/>
  <c r="AH13" i="2"/>
  <c r="AG13" i="2"/>
  <c r="AF13" i="2"/>
  <c r="AE13" i="2"/>
  <c r="AA13" i="2"/>
  <c r="AD13" i="2" s="1"/>
  <c r="T13" i="2"/>
  <c r="S13" i="2"/>
  <c r="W13" i="2" s="1"/>
  <c r="X13" i="2" s="1"/>
  <c r="BA12" i="2"/>
  <c r="AI12" i="2"/>
  <c r="AH12" i="2"/>
  <c r="AG12" i="2"/>
  <c r="AF12" i="2"/>
  <c r="AE12" i="2"/>
  <c r="AA12" i="2"/>
  <c r="AD12" i="2" s="1"/>
  <c r="W12" i="2"/>
  <c r="T12" i="2"/>
  <c r="S12" i="2"/>
  <c r="BA11" i="2"/>
  <c r="AI11" i="2"/>
  <c r="AH11" i="2"/>
  <c r="AG11" i="2"/>
  <c r="AF11" i="2"/>
  <c r="AE11" i="2"/>
  <c r="AA11" i="2"/>
  <c r="AD11" i="2" s="1"/>
  <c r="T11" i="2"/>
  <c r="S11" i="2"/>
  <c r="W11" i="2" s="1"/>
  <c r="X11" i="2" s="1"/>
  <c r="BA10" i="2"/>
  <c r="AI10" i="2"/>
  <c r="AH10" i="2"/>
  <c r="AG10" i="2"/>
  <c r="AF10" i="2"/>
  <c r="AE10" i="2"/>
  <c r="AA10" i="2"/>
  <c r="AD10" i="2" s="1"/>
  <c r="W10" i="2"/>
  <c r="T10" i="2"/>
  <c r="S10" i="2"/>
  <c r="BA9" i="2"/>
  <c r="AI9" i="2"/>
  <c r="AH9" i="2"/>
  <c r="AG9" i="2"/>
  <c r="AF9" i="2"/>
  <c r="AE9" i="2"/>
  <c r="AA9" i="2"/>
  <c r="AD9" i="2" s="1"/>
  <c r="T9" i="2"/>
  <c r="S9" i="2"/>
  <c r="W9" i="2" s="1"/>
  <c r="X9" i="2" s="1"/>
  <c r="BA8" i="2"/>
  <c r="AI8" i="2"/>
  <c r="AH8" i="2"/>
  <c r="AG8" i="2"/>
  <c r="AF8" i="2"/>
  <c r="AE8" i="2"/>
  <c r="AA8" i="2"/>
  <c r="AD8" i="2" s="1"/>
  <c r="T8" i="2"/>
  <c r="S8" i="2"/>
  <c r="W8" i="2" s="1"/>
  <c r="BA7" i="2"/>
  <c r="AI7" i="2"/>
  <c r="AH7" i="2"/>
  <c r="AG7" i="2"/>
  <c r="AF7" i="2"/>
  <c r="AE7" i="2"/>
  <c r="AA7" i="2"/>
  <c r="AD7" i="2" s="1"/>
  <c r="T7" i="2"/>
  <c r="S7" i="2"/>
  <c r="W7" i="2" s="1"/>
  <c r="X7" i="2" s="1"/>
  <c r="BA6" i="2"/>
  <c r="AI6" i="2"/>
  <c r="AH6" i="2"/>
  <c r="AG6" i="2"/>
  <c r="AF6" i="2"/>
  <c r="AE6" i="2"/>
  <c r="AA6" i="2"/>
  <c r="AD6" i="2" s="1"/>
  <c r="W6" i="2"/>
  <c r="T6" i="2"/>
  <c r="S6" i="2"/>
  <c r="BA5" i="2"/>
  <c r="AI5" i="2"/>
  <c r="AH5" i="2"/>
  <c r="AG5" i="2"/>
  <c r="AF5" i="2"/>
  <c r="AE5" i="2"/>
  <c r="AA5" i="2"/>
  <c r="AD5" i="2" s="1"/>
  <c r="T5" i="2"/>
  <c r="S5" i="2"/>
  <c r="W5" i="2" s="1"/>
  <c r="X5" i="2" s="1"/>
  <c r="BA4" i="2"/>
  <c r="AI4" i="2"/>
  <c r="AH4" i="2"/>
  <c r="AG4" i="2"/>
  <c r="AF4" i="2"/>
  <c r="AE4" i="2"/>
  <c r="AA4" i="2"/>
  <c r="AD4" i="2" s="1"/>
  <c r="T4" i="2"/>
  <c r="S4" i="2"/>
  <c r="W4" i="2" s="1"/>
  <c r="BA3" i="2"/>
  <c r="AI3" i="2"/>
  <c r="AH3" i="2"/>
  <c r="AG3" i="2"/>
  <c r="AF3" i="2"/>
  <c r="AE3" i="2"/>
  <c r="AA3" i="2"/>
  <c r="AD3" i="2" s="1"/>
  <c r="T3" i="2"/>
  <c r="S3" i="2"/>
  <c r="W3" i="2" s="1"/>
  <c r="X3" i="2" s="1"/>
  <c r="BA2" i="2"/>
  <c r="AI2" i="2"/>
  <c r="AH2" i="2"/>
  <c r="AG2" i="2"/>
  <c r="AF2" i="2"/>
  <c r="AE2" i="2"/>
  <c r="AA2" i="2"/>
  <c r="AD2" i="2" s="1"/>
  <c r="T2" i="2"/>
  <c r="S2" i="2"/>
  <c r="W2" i="2" s="1"/>
  <c r="V24" i="1"/>
  <c r="V23" i="1"/>
  <c r="V22" i="1"/>
  <c r="V21" i="1"/>
  <c r="V20" i="1"/>
  <c r="V19" i="1"/>
  <c r="V18" i="1"/>
  <c r="V17" i="1"/>
  <c r="V16" i="1"/>
  <c r="V15" i="1"/>
  <c r="V14" i="1"/>
  <c r="V13" i="1"/>
  <c r="V12" i="1"/>
  <c r="V11" i="1"/>
  <c r="V10" i="1"/>
  <c r="V9" i="1"/>
  <c r="O9" i="1"/>
  <c r="V8" i="1"/>
  <c r="O8" i="1"/>
  <c r="V7" i="1"/>
  <c r="O7" i="1"/>
  <c r="V6" i="1"/>
  <c r="O6" i="1"/>
  <c r="V5" i="1"/>
  <c r="O5" i="1"/>
  <c r="V4" i="1"/>
  <c r="O4" i="1"/>
  <c r="V3" i="1"/>
  <c r="O3" i="1"/>
  <c r="V2" i="1"/>
  <c r="O2" i="1"/>
  <c r="AG1" i="1"/>
  <c r="AF1" i="1"/>
  <c r="AE1" i="1"/>
  <c r="AD1" i="1"/>
  <c r="AC1" i="1"/>
  <c r="AB1" i="1"/>
  <c r="AB96" i="17" l="1"/>
  <c r="AB64" i="17"/>
  <c r="AC64" i="17" s="1"/>
  <c r="AB31" i="17"/>
  <c r="AC31" i="17" s="1"/>
  <c r="AB30" i="17"/>
  <c r="X34" i="2"/>
  <c r="Y34" i="2" s="1"/>
  <c r="Y93" i="2"/>
  <c r="Z93" i="2" s="1"/>
  <c r="O32" i="3"/>
  <c r="X32" i="2"/>
  <c r="Y32" i="2" s="1"/>
  <c r="Y41" i="2"/>
  <c r="AD88" i="2"/>
  <c r="Y96" i="2"/>
  <c r="AD104" i="2"/>
  <c r="X112" i="2"/>
  <c r="O47" i="3" s="1"/>
  <c r="X174" i="2"/>
  <c r="O94" i="3" s="1"/>
  <c r="Y174" i="2"/>
  <c r="O49" i="3"/>
  <c r="N15" i="4"/>
  <c r="L15" i="4"/>
  <c r="P15" i="4"/>
  <c r="T9" i="6"/>
  <c r="V9" i="6"/>
  <c r="X9" i="6"/>
  <c r="X21" i="6"/>
  <c r="Y21" i="6"/>
  <c r="V21" i="6"/>
  <c r="T21" i="6"/>
  <c r="U21" i="6" s="1"/>
  <c r="O49" i="7"/>
  <c r="M49" i="7"/>
  <c r="BA84" i="2"/>
  <c r="L21" i="3"/>
  <c r="N21" i="3" s="1"/>
  <c r="R34" i="3"/>
  <c r="AD97" i="2"/>
  <c r="Y116" i="2"/>
  <c r="AY116" i="2" s="1"/>
  <c r="W173" i="2"/>
  <c r="X173" i="2" s="1"/>
  <c r="W80" i="3"/>
  <c r="Z80" i="3"/>
  <c r="AB80" i="3"/>
  <c r="AA80" i="3"/>
  <c r="L93" i="3"/>
  <c r="N10" i="4"/>
  <c r="M10" i="4"/>
  <c r="P56" i="4"/>
  <c r="N56" i="4"/>
  <c r="M56" i="4"/>
  <c r="L56" i="4"/>
  <c r="M65" i="4"/>
  <c r="N65" i="4"/>
  <c r="J24" i="8"/>
  <c r="M24" i="8"/>
  <c r="T49" i="8"/>
  <c r="R49" i="8" s="1"/>
  <c r="N16" i="4"/>
  <c r="P16" i="4"/>
  <c r="M16" i="4"/>
  <c r="L16" i="4"/>
  <c r="M33" i="4"/>
  <c r="N33" i="4"/>
  <c r="W49" i="2"/>
  <c r="X85" i="2"/>
  <c r="O27" i="3" s="1"/>
  <c r="AD93" i="2"/>
  <c r="R33" i="3"/>
  <c r="AD96" i="2"/>
  <c r="AD112" i="2"/>
  <c r="X116" i="2"/>
  <c r="O51" i="3" s="1"/>
  <c r="Y168" i="2"/>
  <c r="AY168" i="2" s="1"/>
  <c r="X172" i="2"/>
  <c r="O92" i="3" s="1"/>
  <c r="P92" i="3" s="1"/>
  <c r="Y172" i="2"/>
  <c r="R57" i="3"/>
  <c r="M57" i="4"/>
  <c r="N57" i="4"/>
  <c r="M84" i="4"/>
  <c r="P84" i="4"/>
  <c r="N84" i="4"/>
  <c r="N89" i="4"/>
  <c r="M89" i="4"/>
  <c r="X15" i="6"/>
  <c r="V15" i="6"/>
  <c r="T15" i="6"/>
  <c r="U15" i="6" s="1"/>
  <c r="O55" i="7"/>
  <c r="M55" i="7"/>
  <c r="J11" i="8"/>
  <c r="N11" i="8"/>
  <c r="T40" i="8"/>
  <c r="R40" i="8" s="1"/>
  <c r="J57" i="8"/>
  <c r="N57" i="8"/>
  <c r="M57" i="8"/>
  <c r="Y124" i="2"/>
  <c r="AY124" i="2" s="1"/>
  <c r="X154" i="2"/>
  <c r="O80" i="3" s="1"/>
  <c r="AD158" i="2"/>
  <c r="X160" i="2"/>
  <c r="O90" i="3" s="1"/>
  <c r="X168" i="2"/>
  <c r="X169" i="2"/>
  <c r="O88" i="3" s="1"/>
  <c r="S44" i="6"/>
  <c r="AB43" i="3"/>
  <c r="X43" i="3"/>
  <c r="Y50" i="3"/>
  <c r="X50" i="3"/>
  <c r="AB50" i="3"/>
  <c r="AA50" i="3"/>
  <c r="M25" i="4"/>
  <c r="N25" i="4"/>
  <c r="P72" i="4"/>
  <c r="N72" i="4"/>
  <c r="M72" i="4"/>
  <c r="L72" i="4"/>
  <c r="N100" i="4"/>
  <c r="P100" i="4"/>
  <c r="L100" i="4"/>
  <c r="M100" i="4"/>
  <c r="P109" i="4"/>
  <c r="N109" i="4"/>
  <c r="M109" i="4"/>
  <c r="Y15" i="6"/>
  <c r="X91" i="6"/>
  <c r="Y91" i="6"/>
  <c r="U65" i="7"/>
  <c r="M65" i="7"/>
  <c r="M78" i="7"/>
  <c r="U78" i="7"/>
  <c r="L78" i="7"/>
  <c r="J55" i="8"/>
  <c r="N55" i="8"/>
  <c r="M55" i="8"/>
  <c r="J62" i="8"/>
  <c r="N62" i="8"/>
  <c r="M62" i="8"/>
  <c r="AD85" i="2"/>
  <c r="X86" i="2"/>
  <c r="Y86" i="2" s="1"/>
  <c r="AD90" i="2"/>
  <c r="Y102" i="2"/>
  <c r="AD116" i="2"/>
  <c r="Y121" i="2"/>
  <c r="X124" i="2"/>
  <c r="O59" i="3" s="1"/>
  <c r="Y132" i="2"/>
  <c r="AY132" i="2" s="1"/>
  <c r="X136" i="2"/>
  <c r="O67" i="3" s="1"/>
  <c r="L7" i="4"/>
  <c r="P7" i="4"/>
  <c r="N7" i="4"/>
  <c r="N41" i="4"/>
  <c r="M41" i="4"/>
  <c r="P101" i="4"/>
  <c r="N101" i="4"/>
  <c r="M101" i="4"/>
  <c r="P105" i="4"/>
  <c r="N105" i="4"/>
  <c r="M105" i="4"/>
  <c r="X19" i="6"/>
  <c r="Y19" i="6"/>
  <c r="V19" i="6"/>
  <c r="T19" i="6"/>
  <c r="U19" i="6" s="1"/>
  <c r="V58" i="6"/>
  <c r="X58" i="6"/>
  <c r="T58" i="6"/>
  <c r="U58" i="6" s="1"/>
  <c r="Y58" i="6"/>
  <c r="S74" i="6"/>
  <c r="V74" i="6" s="1"/>
  <c r="X25" i="7"/>
  <c r="M25" i="7" s="1"/>
  <c r="Y25" i="7"/>
  <c r="J2" i="8"/>
  <c r="N2" i="8"/>
  <c r="M2" i="8"/>
  <c r="J26" i="8"/>
  <c r="N26" i="8"/>
  <c r="M26" i="8"/>
  <c r="J67" i="8"/>
  <c r="N67" i="8"/>
  <c r="M67" i="8"/>
  <c r="AD42" i="2"/>
  <c r="W55" i="2"/>
  <c r="AD72" i="2"/>
  <c r="R22" i="3"/>
  <c r="AD91" i="2"/>
  <c r="Z92" i="2"/>
  <c r="AK92" i="2" s="1"/>
  <c r="AD102" i="2"/>
  <c r="R37" i="3"/>
  <c r="Y126" i="2"/>
  <c r="O60" i="3"/>
  <c r="Y138" i="2"/>
  <c r="AV138" i="2" s="1"/>
  <c r="AW138" i="2" s="1"/>
  <c r="O69" i="3"/>
  <c r="Y140" i="2"/>
  <c r="AY140" i="2" s="1"/>
  <c r="V4" i="3"/>
  <c r="O24" i="3"/>
  <c r="V90" i="3"/>
  <c r="Z90" i="3"/>
  <c r="AB90" i="3"/>
  <c r="AA90" i="3"/>
  <c r="N8" i="4"/>
  <c r="P8" i="4"/>
  <c r="M8" i="4"/>
  <c r="L8" i="4"/>
  <c r="P113" i="4"/>
  <c r="N113" i="4"/>
  <c r="M113" i="4"/>
  <c r="X13" i="6"/>
  <c r="Y13" i="6"/>
  <c r="V13" i="6"/>
  <c r="T13" i="6"/>
  <c r="U13" i="6" s="1"/>
  <c r="Y63" i="6"/>
  <c r="V63" i="6"/>
  <c r="V86" i="6"/>
  <c r="Y86" i="6"/>
  <c r="T86" i="6"/>
  <c r="U86" i="6" s="1"/>
  <c r="X86" i="6"/>
  <c r="M59" i="7"/>
  <c r="U59" i="7"/>
  <c r="L59" i="7"/>
  <c r="L67" i="7"/>
  <c r="U67" i="7"/>
  <c r="M67" i="7"/>
  <c r="Y40" i="2"/>
  <c r="AV40" i="2" s="1"/>
  <c r="AW40" i="2" s="1"/>
  <c r="X63" i="2"/>
  <c r="Y63" i="2" s="1"/>
  <c r="X87" i="2"/>
  <c r="O28" i="3" s="1"/>
  <c r="Y88" i="2"/>
  <c r="I28" i="10" s="1"/>
  <c r="X88" i="2"/>
  <c r="O29" i="3" s="1"/>
  <c r="X104" i="2"/>
  <c r="O39" i="3" s="1"/>
  <c r="AD124" i="2"/>
  <c r="R62" i="3"/>
  <c r="AD128" i="2"/>
  <c r="AD137" i="2"/>
  <c r="R68" i="3"/>
  <c r="Z74" i="3"/>
  <c r="Y74" i="3"/>
  <c r="W74" i="3"/>
  <c r="V74" i="3"/>
  <c r="AB74" i="3"/>
  <c r="AA74" i="3"/>
  <c r="N2" i="4"/>
  <c r="P48" i="4"/>
  <c r="L48" i="4"/>
  <c r="N48" i="4"/>
  <c r="M48" i="4"/>
  <c r="P80" i="4"/>
  <c r="L80" i="4"/>
  <c r="N80" i="4"/>
  <c r="M80" i="4"/>
  <c r="P97" i="4"/>
  <c r="N97" i="4"/>
  <c r="M97" i="4"/>
  <c r="U81" i="7"/>
  <c r="L81" i="7"/>
  <c r="M81" i="7"/>
  <c r="J32" i="8"/>
  <c r="N32" i="8"/>
  <c r="M32" i="8"/>
  <c r="Y38" i="2"/>
  <c r="AY38" i="2" s="1"/>
  <c r="R28" i="3"/>
  <c r="AD87" i="2"/>
  <c r="AV94" i="2"/>
  <c r="AW94" i="2" s="1"/>
  <c r="R60" i="3"/>
  <c r="AD126" i="2"/>
  <c r="Y148" i="2"/>
  <c r="O75" i="3"/>
  <c r="AV177" i="2"/>
  <c r="AW177" i="2" s="1"/>
  <c r="Z177" i="2"/>
  <c r="AK177" i="2" s="1"/>
  <c r="Y183" i="2"/>
  <c r="AY183" i="2" s="1"/>
  <c r="AA4" i="3"/>
  <c r="X4" i="3"/>
  <c r="S4" i="6"/>
  <c r="V4" i="6" s="1"/>
  <c r="AB4" i="3"/>
  <c r="N49" i="4"/>
  <c r="M49" i="4"/>
  <c r="X17" i="6"/>
  <c r="V17" i="6"/>
  <c r="T17" i="6"/>
  <c r="U17" i="6" s="1"/>
  <c r="V30" i="6"/>
  <c r="X30" i="6"/>
  <c r="Y30" i="6"/>
  <c r="Y45" i="6"/>
  <c r="V45" i="6"/>
  <c r="N24" i="8"/>
  <c r="AA24" i="3"/>
  <c r="V24" i="3"/>
  <c r="AB33" i="3"/>
  <c r="AB34" i="3"/>
  <c r="W63" i="3"/>
  <c r="L9" i="4"/>
  <c r="L20" i="4"/>
  <c r="M28" i="4"/>
  <c r="L28" i="4"/>
  <c r="N81" i="4"/>
  <c r="X20" i="6"/>
  <c r="T23" i="6"/>
  <c r="U23" i="6" s="1"/>
  <c r="T25" i="6"/>
  <c r="U25" i="6" s="1"/>
  <c r="Y41" i="6"/>
  <c r="V41" i="6"/>
  <c r="V55" i="6"/>
  <c r="Y73" i="6"/>
  <c r="V73" i="6"/>
  <c r="P12" i="7"/>
  <c r="Q12" i="7" s="1"/>
  <c r="P16" i="7"/>
  <c r="Q16" i="7" s="1"/>
  <c r="L37" i="7"/>
  <c r="N37" i="7"/>
  <c r="R86" i="8"/>
  <c r="K86" i="8" s="1"/>
  <c r="T86" i="8"/>
  <c r="L7" i="9"/>
  <c r="M7" i="9"/>
  <c r="J9" i="9"/>
  <c r="M9" i="9"/>
  <c r="J13" i="9"/>
  <c r="M13" i="9"/>
  <c r="L39" i="9"/>
  <c r="M39" i="9"/>
  <c r="M43" i="9"/>
  <c r="M75" i="9"/>
  <c r="K75" i="9"/>
  <c r="L92" i="9"/>
  <c r="Y23" i="10"/>
  <c r="S23" i="10" s="1"/>
  <c r="Z23" i="10"/>
  <c r="Q23" i="10" s="1"/>
  <c r="Z37" i="10"/>
  <c r="Q37" i="10" s="1"/>
  <c r="V5" i="3"/>
  <c r="X41" i="3"/>
  <c r="S52" i="6"/>
  <c r="Y51" i="3"/>
  <c r="X63" i="3"/>
  <c r="N9" i="4"/>
  <c r="N20" i="4"/>
  <c r="L32" i="4"/>
  <c r="N52" i="4"/>
  <c r="Y7" i="6"/>
  <c r="V7" i="6"/>
  <c r="V36" i="6"/>
  <c r="X36" i="6"/>
  <c r="Y46" i="6"/>
  <c r="P4" i="7"/>
  <c r="Q4" i="7" s="1"/>
  <c r="P8" i="7"/>
  <c r="Q8" i="7" s="1"/>
  <c r="P29" i="7"/>
  <c r="Q29" i="7" s="1"/>
  <c r="P31" i="7"/>
  <c r="Q31" i="7" s="1"/>
  <c r="T58" i="8"/>
  <c r="R58" i="8" s="1"/>
  <c r="J5" i="9"/>
  <c r="M5" i="9"/>
  <c r="J28" i="9"/>
  <c r="L59" i="9"/>
  <c r="M59" i="9"/>
  <c r="J65" i="9"/>
  <c r="M65" i="9"/>
  <c r="K65" i="9"/>
  <c r="J84" i="9"/>
  <c r="M84" i="9"/>
  <c r="K84" i="9"/>
  <c r="X12" i="10"/>
  <c r="Q12" i="10"/>
  <c r="M12" i="10" s="1"/>
  <c r="Y63" i="10"/>
  <c r="S63" i="10" s="1"/>
  <c r="K12" i="13"/>
  <c r="I12" i="13"/>
  <c r="J8" i="9"/>
  <c r="J12" i="9"/>
  <c r="L28" i="9"/>
  <c r="M78" i="9"/>
  <c r="J92" i="9"/>
  <c r="K92" i="9"/>
  <c r="L16" i="10"/>
  <c r="M16" i="10"/>
  <c r="Y20" i="10"/>
  <c r="S20" i="10" s="1"/>
  <c r="Z20" i="10"/>
  <c r="Q20" i="10" s="1"/>
  <c r="AA41" i="3"/>
  <c r="W53" i="3"/>
  <c r="AA63" i="3"/>
  <c r="X95" i="3"/>
  <c r="N32" i="4"/>
  <c r="N64" i="4"/>
  <c r="L94" i="4"/>
  <c r="N94" i="4"/>
  <c r="Y23" i="6"/>
  <c r="Y25" i="6"/>
  <c r="Y43" i="6"/>
  <c r="V43" i="6"/>
  <c r="Y57" i="6"/>
  <c r="V57" i="6"/>
  <c r="V82" i="6"/>
  <c r="Y82" i="6"/>
  <c r="T82" i="6"/>
  <c r="U82" i="6" s="1"/>
  <c r="V88" i="6"/>
  <c r="Y88" i="6"/>
  <c r="P27" i="7"/>
  <c r="Q27" i="7" s="1"/>
  <c r="Y36" i="7"/>
  <c r="X36" i="7"/>
  <c r="J77" i="8"/>
  <c r="N77" i="8"/>
  <c r="L8" i="9"/>
  <c r="K12" i="9"/>
  <c r="J44" i="9"/>
  <c r="J60" i="9"/>
  <c r="J88" i="9"/>
  <c r="L88" i="9"/>
  <c r="Z56" i="10"/>
  <c r="Q56" i="10" s="1"/>
  <c r="N56" i="10" s="1"/>
  <c r="Z59" i="10"/>
  <c r="Q59" i="10" s="1"/>
  <c r="Z63" i="10"/>
  <c r="Q63" i="10" s="1"/>
  <c r="AC89" i="3"/>
  <c r="AD89" i="3" s="1"/>
  <c r="AE89" i="3" s="1"/>
  <c r="M36" i="4"/>
  <c r="P36" i="4"/>
  <c r="L40" i="4"/>
  <c r="M68" i="4"/>
  <c r="P68" i="4"/>
  <c r="T10" i="6"/>
  <c r="V71" i="6"/>
  <c r="X82" i="6"/>
  <c r="J4" i="9"/>
  <c r="M8" i="9"/>
  <c r="L12" i="9"/>
  <c r="M16" i="9"/>
  <c r="K16" i="9"/>
  <c r="J19" i="9"/>
  <c r="K33" i="9"/>
  <c r="L36" i="9"/>
  <c r="J36" i="9"/>
  <c r="L48" i="9"/>
  <c r="J48" i="9"/>
  <c r="L55" i="9"/>
  <c r="M55" i="9"/>
  <c r="L60" i="9"/>
  <c r="L74" i="9"/>
  <c r="M74" i="9"/>
  <c r="K83" i="9"/>
  <c r="X4" i="10"/>
  <c r="T4" i="10" s="1"/>
  <c r="W4" i="10" s="1"/>
  <c r="Z9" i="10"/>
  <c r="X10" i="10"/>
  <c r="T10" i="10" s="1"/>
  <c r="W10" i="10" s="1"/>
  <c r="AA5" i="3"/>
  <c r="X24" i="3"/>
  <c r="Y26" i="3"/>
  <c r="X33" i="3"/>
  <c r="X34" i="3"/>
  <c r="W51" i="3"/>
  <c r="X52" i="3"/>
  <c r="AA53" i="3"/>
  <c r="S60" i="6"/>
  <c r="X59" i="3"/>
  <c r="N72" i="3"/>
  <c r="P72" i="3" s="1"/>
  <c r="M40" i="4"/>
  <c r="M76" i="4"/>
  <c r="P76" i="4"/>
  <c r="V10" i="6"/>
  <c r="S24" i="6"/>
  <c r="Y31" i="6"/>
  <c r="V31" i="6"/>
  <c r="V37" i="6"/>
  <c r="V40" i="6"/>
  <c r="X40" i="6"/>
  <c r="V61" i="6"/>
  <c r="P6" i="7"/>
  <c r="Q6" i="7" s="1"/>
  <c r="P21" i="7"/>
  <c r="Q21" i="7" s="1"/>
  <c r="P24" i="7"/>
  <c r="Q24" i="7" s="1"/>
  <c r="T13" i="8"/>
  <c r="R13" i="8" s="1"/>
  <c r="T38" i="8"/>
  <c r="R38" i="8" s="1"/>
  <c r="T50" i="8"/>
  <c r="R50" i="8" s="1"/>
  <c r="T72" i="8"/>
  <c r="R72" i="8" s="1"/>
  <c r="L31" i="9"/>
  <c r="M31" i="9"/>
  <c r="J31" i="9"/>
  <c r="M44" i="9"/>
  <c r="K44" i="9"/>
  <c r="M60" i="9"/>
  <c r="X2" i="10"/>
  <c r="Q2" i="10"/>
  <c r="T90" i="8"/>
  <c r="R90" i="8" s="1"/>
  <c r="M4" i="9"/>
  <c r="K4" i="9"/>
  <c r="L19" i="9"/>
  <c r="K19" i="9"/>
  <c r="J33" i="9"/>
  <c r="L33" i="9"/>
  <c r="L83" i="9"/>
  <c r="J83" i="9"/>
  <c r="L35" i="10"/>
  <c r="N35" i="10"/>
  <c r="K35" i="10"/>
  <c r="AB24" i="3"/>
  <c r="AB26" i="3"/>
  <c r="AA51" i="3"/>
  <c r="AB52" i="3"/>
  <c r="AA58" i="3"/>
  <c r="V58" i="3"/>
  <c r="P28" i="4"/>
  <c r="P60" i="4"/>
  <c r="N73" i="4"/>
  <c r="P88" i="4"/>
  <c r="N88" i="4"/>
  <c r="L88" i="4"/>
  <c r="M92" i="4"/>
  <c r="N92" i="4"/>
  <c r="P96" i="4"/>
  <c r="N108" i="4"/>
  <c r="P108" i="4"/>
  <c r="V32" i="6"/>
  <c r="Y32" i="6"/>
  <c r="Y69" i="6"/>
  <c r="V69" i="6"/>
  <c r="T92" i="6"/>
  <c r="V92" i="6"/>
  <c r="K7" i="9"/>
  <c r="L9" i="9"/>
  <c r="L27" i="9"/>
  <c r="M27" i="9"/>
  <c r="J29" i="9"/>
  <c r="M29" i="9"/>
  <c r="J37" i="9"/>
  <c r="M37" i="9"/>
  <c r="K37" i="9"/>
  <c r="J49" i="9"/>
  <c r="M49" i="9"/>
  <c r="K49" i="9"/>
  <c r="J53" i="9"/>
  <c r="M53" i="9"/>
  <c r="K53" i="9"/>
  <c r="J68" i="9"/>
  <c r="M68" i="9"/>
  <c r="K68" i="9"/>
  <c r="J72" i="9"/>
  <c r="K72" i="9"/>
  <c r="M79" i="9"/>
  <c r="K79" i="9"/>
  <c r="Z2" i="10"/>
  <c r="Y24" i="10"/>
  <c r="X24" i="10"/>
  <c r="T24" i="10" s="1"/>
  <c r="W24" i="10" s="1"/>
  <c r="N74" i="10"/>
  <c r="M74" i="10"/>
  <c r="Z79" i="10"/>
  <c r="Q79" i="10" s="1"/>
  <c r="Y88" i="10"/>
  <c r="S88" i="10" s="1"/>
  <c r="M8" i="11"/>
  <c r="K9" i="11"/>
  <c r="Q18" i="11"/>
  <c r="P18" i="11"/>
  <c r="Q20" i="11"/>
  <c r="P20" i="11"/>
  <c r="I20" i="11"/>
  <c r="N38" i="12"/>
  <c r="J38" i="12"/>
  <c r="P2" i="7"/>
  <c r="Q2" i="7" s="1"/>
  <c r="P13" i="7"/>
  <c r="Q13" i="7" s="1"/>
  <c r="P15" i="7"/>
  <c r="Q15" i="7" s="1"/>
  <c r="R65" i="8"/>
  <c r="K65" i="8" s="1"/>
  <c r="R80" i="8"/>
  <c r="K80" i="8" s="1"/>
  <c r="Z3" i="10"/>
  <c r="Q3" i="10" s="1"/>
  <c r="X31" i="10"/>
  <c r="T31" i="10" s="1"/>
  <c r="W31" i="10" s="1"/>
  <c r="T35" i="10"/>
  <c r="W35" i="10" s="1"/>
  <c r="X84" i="10"/>
  <c r="P8" i="11"/>
  <c r="S9" i="11"/>
  <c r="Q10" i="11"/>
  <c r="Q22" i="11"/>
  <c r="I22" i="11"/>
  <c r="P24" i="11"/>
  <c r="S31" i="11"/>
  <c r="S33" i="11"/>
  <c r="P39" i="11"/>
  <c r="I39" i="11"/>
  <c r="P44" i="11"/>
  <c r="I48" i="11"/>
  <c r="I81" i="11"/>
  <c r="L81" i="11"/>
  <c r="N76" i="12"/>
  <c r="K76" i="12"/>
  <c r="J76" i="12"/>
  <c r="U82" i="13"/>
  <c r="R82" i="13" s="1"/>
  <c r="Z31" i="10"/>
  <c r="X64" i="10"/>
  <c r="T64" i="10" s="1"/>
  <c r="W64" i="10" s="1"/>
  <c r="Q8" i="11"/>
  <c r="Q26" i="11"/>
  <c r="P26" i="11"/>
  <c r="Q28" i="11"/>
  <c r="P28" i="11"/>
  <c r="I28" i="11"/>
  <c r="I36" i="11"/>
  <c r="P36" i="11"/>
  <c r="R84" i="11"/>
  <c r="T84" i="11" s="1"/>
  <c r="U84" i="11" s="1"/>
  <c r="J26" i="12"/>
  <c r="N26" i="12"/>
  <c r="L26" i="12"/>
  <c r="K43" i="12"/>
  <c r="J43" i="12"/>
  <c r="N43" i="12"/>
  <c r="L43" i="12"/>
  <c r="J79" i="12"/>
  <c r="N79" i="12"/>
  <c r="L79" i="12"/>
  <c r="I25" i="13"/>
  <c r="K39" i="13"/>
  <c r="I39" i="13"/>
  <c r="I66" i="13"/>
  <c r="L65" i="15"/>
  <c r="I65" i="15"/>
  <c r="K65" i="15"/>
  <c r="Y11" i="6"/>
  <c r="Y38" i="6"/>
  <c r="P28" i="7"/>
  <c r="Q28" i="7" s="1"/>
  <c r="P32" i="7"/>
  <c r="Q32" i="7" s="1"/>
  <c r="P39" i="7"/>
  <c r="Q39" i="7" s="1"/>
  <c r="P46" i="7"/>
  <c r="Q46" i="7" s="1"/>
  <c r="K2" i="9"/>
  <c r="L61" i="9"/>
  <c r="J70" i="9"/>
  <c r="J90" i="9"/>
  <c r="Z15" i="10"/>
  <c r="Q15" i="10" s="1"/>
  <c r="W16" i="10"/>
  <c r="S26" i="10"/>
  <c r="Z34" i="10"/>
  <c r="Q34" i="10" s="1"/>
  <c r="Z38" i="10"/>
  <c r="Q38" i="10" s="1"/>
  <c r="Q43" i="10"/>
  <c r="T46" i="10"/>
  <c r="W46" i="10" s="1"/>
  <c r="Z64" i="10"/>
  <c r="Q64" i="10" s="1"/>
  <c r="X71" i="10"/>
  <c r="T71" i="10" s="1"/>
  <c r="W71" i="10" s="1"/>
  <c r="Q78" i="10"/>
  <c r="X83" i="10"/>
  <c r="I2" i="11"/>
  <c r="S8" i="11"/>
  <c r="N12" i="11"/>
  <c r="O12" i="11" s="1"/>
  <c r="M30" i="11"/>
  <c r="K30" i="11"/>
  <c r="L43" i="11"/>
  <c r="K72" i="13"/>
  <c r="I72" i="13"/>
  <c r="I55" i="15"/>
  <c r="K55" i="15"/>
  <c r="T43" i="10"/>
  <c r="W43" i="10" s="1"/>
  <c r="T47" i="10"/>
  <c r="S60" i="11"/>
  <c r="M60" i="11"/>
  <c r="K60" i="11"/>
  <c r="P102" i="11"/>
  <c r="M102" i="11"/>
  <c r="L102" i="11"/>
  <c r="I102" i="11"/>
  <c r="R102" i="11" s="1"/>
  <c r="T102" i="11" s="1"/>
  <c r="U102" i="11" s="1"/>
  <c r="S102" i="11"/>
  <c r="Q102" i="11"/>
  <c r="N75" i="12"/>
  <c r="J75" i="12"/>
  <c r="J31" i="13"/>
  <c r="L31" i="13"/>
  <c r="U37" i="13"/>
  <c r="R37" i="13"/>
  <c r="N37" i="13" s="1"/>
  <c r="U69" i="13"/>
  <c r="R69" i="13"/>
  <c r="I69" i="13" s="1"/>
  <c r="K80" i="13"/>
  <c r="I80" i="13"/>
  <c r="P19" i="7"/>
  <c r="Q19" i="7" s="1"/>
  <c r="Q60" i="10"/>
  <c r="Y68" i="10"/>
  <c r="S68" i="10" s="1"/>
  <c r="X80" i="10"/>
  <c r="T80" i="10" s="1"/>
  <c r="W80" i="10" s="1"/>
  <c r="L2" i="11"/>
  <c r="I8" i="11"/>
  <c r="N8" i="11" s="1"/>
  <c r="O8" i="11" s="1"/>
  <c r="I10" i="11"/>
  <c r="L14" i="11"/>
  <c r="I16" i="11"/>
  <c r="N29" i="11"/>
  <c r="O29" i="11" s="1"/>
  <c r="N32" i="11"/>
  <c r="O32" i="11" s="1"/>
  <c r="I34" i="11"/>
  <c r="N34" i="11" s="1"/>
  <c r="O34" i="11" s="1"/>
  <c r="S35" i="11"/>
  <c r="I37" i="11"/>
  <c r="L40" i="11"/>
  <c r="R75" i="11"/>
  <c r="T75" i="11" s="1"/>
  <c r="U75" i="11" s="1"/>
  <c r="N94" i="11"/>
  <c r="O94" i="11" s="1"/>
  <c r="N95" i="11"/>
  <c r="O95" i="11" s="1"/>
  <c r="R95" i="11"/>
  <c r="T95" i="11" s="1"/>
  <c r="U95" i="11" s="1"/>
  <c r="N39" i="12"/>
  <c r="K39" i="12"/>
  <c r="J39" i="12"/>
  <c r="Q71" i="10"/>
  <c r="Q83" i="10"/>
  <c r="P2" i="11"/>
  <c r="K8" i="11"/>
  <c r="K11" i="11"/>
  <c r="L16" i="11"/>
  <c r="I18" i="11"/>
  <c r="I31" i="11"/>
  <c r="L37" i="11"/>
  <c r="I42" i="11"/>
  <c r="P76" i="11"/>
  <c r="L76" i="11"/>
  <c r="K27" i="12"/>
  <c r="J27" i="12"/>
  <c r="N27" i="12"/>
  <c r="L27" i="12"/>
  <c r="J42" i="12"/>
  <c r="N42" i="12"/>
  <c r="L42" i="12"/>
  <c r="K47" i="12"/>
  <c r="J47" i="12"/>
  <c r="N47" i="12"/>
  <c r="L47" i="12"/>
  <c r="K80" i="12"/>
  <c r="J80" i="12"/>
  <c r="N80" i="12"/>
  <c r="L80" i="12"/>
  <c r="U10" i="13"/>
  <c r="R10" i="13"/>
  <c r="U47" i="13"/>
  <c r="R47" i="13" s="1"/>
  <c r="N25" i="15"/>
  <c r="I25" i="15"/>
  <c r="L25" i="15"/>
  <c r="J25" i="15"/>
  <c r="Z39" i="10"/>
  <c r="Q39" i="10" s="1"/>
  <c r="X43" i="10"/>
  <c r="X46" i="10"/>
  <c r="Z67" i="10"/>
  <c r="Q67" i="10" s="1"/>
  <c r="X79" i="10"/>
  <c r="T79" i="10" s="1"/>
  <c r="W79" i="10" s="1"/>
  <c r="T83" i="10"/>
  <c r="W83" i="10" s="1"/>
  <c r="T84" i="10"/>
  <c r="X88" i="10"/>
  <c r="T88" i="10" s="1"/>
  <c r="W88" i="10" s="1"/>
  <c r="S2" i="11"/>
  <c r="P6" i="11"/>
  <c r="M10" i="11"/>
  <c r="S11" i="11"/>
  <c r="L18" i="11"/>
  <c r="L20" i="11"/>
  <c r="N20" i="11" s="1"/>
  <c r="O20" i="11" s="1"/>
  <c r="I24" i="11"/>
  <c r="L30" i="11"/>
  <c r="M31" i="11"/>
  <c r="P34" i="11"/>
  <c r="P42" i="11"/>
  <c r="L38" i="12"/>
  <c r="R84" i="13"/>
  <c r="I84" i="13" s="1"/>
  <c r="U59" i="19"/>
  <c r="V59" i="19"/>
  <c r="R83" i="11"/>
  <c r="T83" i="11" s="1"/>
  <c r="U83" i="11" s="1"/>
  <c r="N84" i="11"/>
  <c r="O84" i="11" s="1"/>
  <c r="R98" i="11"/>
  <c r="T98" i="11" s="1"/>
  <c r="U98" i="11" s="1"/>
  <c r="N22" i="15"/>
  <c r="K22" i="15"/>
  <c r="I22" i="15"/>
  <c r="I84" i="15"/>
  <c r="N84" i="15"/>
  <c r="L94" i="15"/>
  <c r="J94" i="15"/>
  <c r="I94" i="15"/>
  <c r="I11" i="16"/>
  <c r="N31" i="16"/>
  <c r="J31" i="16"/>
  <c r="L55" i="16"/>
  <c r="J55" i="16"/>
  <c r="I55" i="16"/>
  <c r="L65" i="16"/>
  <c r="K65" i="16"/>
  <c r="J65" i="16"/>
  <c r="I65" i="16"/>
  <c r="N75" i="16"/>
  <c r="L75" i="16"/>
  <c r="J75" i="16"/>
  <c r="I75" i="16"/>
  <c r="V17" i="19"/>
  <c r="U17" i="19"/>
  <c r="U68" i="19"/>
  <c r="V68" i="19"/>
  <c r="R62" i="11"/>
  <c r="T62" i="11" s="1"/>
  <c r="U62" i="11" s="1"/>
  <c r="K78" i="11"/>
  <c r="J37" i="12"/>
  <c r="J74" i="12"/>
  <c r="I3" i="15"/>
  <c r="L5" i="15"/>
  <c r="I35" i="15"/>
  <c r="N35" i="15"/>
  <c r="L41" i="15"/>
  <c r="J41" i="15"/>
  <c r="I41" i="15"/>
  <c r="L11" i="16"/>
  <c r="L36" i="16"/>
  <c r="K36" i="16"/>
  <c r="I36" i="16"/>
  <c r="J41" i="16"/>
  <c r="I41" i="16"/>
  <c r="N41" i="16"/>
  <c r="L61" i="16"/>
  <c r="K61" i="16"/>
  <c r="J61" i="16"/>
  <c r="I61" i="16"/>
  <c r="L79" i="16"/>
  <c r="J79" i="16"/>
  <c r="I79" i="16"/>
  <c r="N103" i="16"/>
  <c r="L103" i="16"/>
  <c r="J103" i="16"/>
  <c r="I103" i="16"/>
  <c r="L107" i="16"/>
  <c r="J107" i="16"/>
  <c r="I107" i="16"/>
  <c r="K50" i="16"/>
  <c r="I50" i="16"/>
  <c r="N67" i="16"/>
  <c r="L67" i="16"/>
  <c r="J67" i="16"/>
  <c r="I67" i="16"/>
  <c r="Q12" i="19"/>
  <c r="R12" i="19" s="1"/>
  <c r="S12" i="19" s="1"/>
  <c r="Q39" i="19"/>
  <c r="R39" i="19"/>
  <c r="S39" i="19" s="1"/>
  <c r="X39" i="19" s="1"/>
  <c r="R63" i="11"/>
  <c r="T63" i="11" s="1"/>
  <c r="U63" i="11" s="1"/>
  <c r="R68" i="11"/>
  <c r="T68" i="11" s="1"/>
  <c r="U68" i="11" s="1"/>
  <c r="N75" i="11"/>
  <c r="O75" i="11" s="1"/>
  <c r="L3" i="15"/>
  <c r="I9" i="15"/>
  <c r="J11" i="15"/>
  <c r="J13" i="15"/>
  <c r="I13" i="15"/>
  <c r="I29" i="15"/>
  <c r="N42" i="15"/>
  <c r="K42" i="15"/>
  <c r="J80" i="15"/>
  <c r="L7" i="16"/>
  <c r="J7" i="16"/>
  <c r="I7" i="16"/>
  <c r="J29" i="16"/>
  <c r="I29" i="16"/>
  <c r="N29" i="16"/>
  <c r="N39" i="16"/>
  <c r="L39" i="16"/>
  <c r="J39" i="16"/>
  <c r="I39" i="16"/>
  <c r="L57" i="16"/>
  <c r="K57" i="16"/>
  <c r="J57" i="16"/>
  <c r="I57" i="16"/>
  <c r="L71" i="16"/>
  <c r="J71" i="16"/>
  <c r="I71" i="16"/>
  <c r="N109" i="16"/>
  <c r="L109" i="16"/>
  <c r="K109" i="16"/>
  <c r="J109" i="16"/>
  <c r="I109" i="16"/>
  <c r="W45" i="19"/>
  <c r="V53" i="19"/>
  <c r="L69" i="15"/>
  <c r="K69" i="15"/>
  <c r="I69" i="15"/>
  <c r="L92" i="15"/>
  <c r="K92" i="15"/>
  <c r="J92" i="15"/>
  <c r="I92" i="15"/>
  <c r="L14" i="16"/>
  <c r="K14" i="16"/>
  <c r="L27" i="16"/>
  <c r="I27" i="16"/>
  <c r="L48" i="16"/>
  <c r="K48" i="16"/>
  <c r="J48" i="16"/>
  <c r="L53" i="16"/>
  <c r="K53" i="16"/>
  <c r="J53" i="16"/>
  <c r="I53" i="16"/>
  <c r="L77" i="16"/>
  <c r="K77" i="16"/>
  <c r="J77" i="16"/>
  <c r="I77" i="16"/>
  <c r="L99" i="16"/>
  <c r="J99" i="16"/>
  <c r="I99" i="16"/>
  <c r="N105" i="16"/>
  <c r="L105" i="16"/>
  <c r="K105" i="16"/>
  <c r="J105" i="16"/>
  <c r="I105" i="16"/>
  <c r="U10" i="19"/>
  <c r="V10" i="19"/>
  <c r="R61" i="11"/>
  <c r="T61" i="11" s="1"/>
  <c r="U61" i="11" s="1"/>
  <c r="J37" i="15"/>
  <c r="I37" i="15"/>
  <c r="I80" i="15"/>
  <c r="N80" i="15"/>
  <c r="L101" i="15"/>
  <c r="K101" i="15"/>
  <c r="I101" i="15"/>
  <c r="N59" i="16"/>
  <c r="L59" i="16"/>
  <c r="J59" i="16"/>
  <c r="I59" i="16"/>
  <c r="L63" i="16"/>
  <c r="J63" i="16"/>
  <c r="I63" i="16"/>
  <c r="V8" i="19"/>
  <c r="U8" i="19"/>
  <c r="V27" i="19"/>
  <c r="U27" i="19"/>
  <c r="X52" i="19"/>
  <c r="V71" i="19"/>
  <c r="U71" i="19"/>
  <c r="R94" i="11"/>
  <c r="T94" i="11" s="1"/>
  <c r="U94" i="11" s="1"/>
  <c r="K43" i="15"/>
  <c r="J43" i="15"/>
  <c r="I43" i="15"/>
  <c r="N47" i="15"/>
  <c r="L47" i="15"/>
  <c r="K47" i="15"/>
  <c r="J47" i="15"/>
  <c r="I86" i="15"/>
  <c r="N86" i="15"/>
  <c r="N5" i="16"/>
  <c r="L5" i="16"/>
  <c r="K5" i="16"/>
  <c r="J5" i="16"/>
  <c r="N15" i="16"/>
  <c r="L15" i="16"/>
  <c r="K44" i="16"/>
  <c r="L69" i="16"/>
  <c r="K69" i="16"/>
  <c r="J69" i="16"/>
  <c r="I69" i="16"/>
  <c r="L73" i="16"/>
  <c r="K73" i="16"/>
  <c r="J73" i="16"/>
  <c r="I73" i="16"/>
  <c r="N101" i="16"/>
  <c r="L101" i="16"/>
  <c r="K101" i="16"/>
  <c r="J101" i="16"/>
  <c r="I101" i="16"/>
  <c r="N111" i="16"/>
  <c r="L111" i="16"/>
  <c r="J111" i="16"/>
  <c r="I111" i="16"/>
  <c r="Q61" i="19"/>
  <c r="R61" i="19" s="1"/>
  <c r="S61" i="19" s="1"/>
  <c r="V65" i="19"/>
  <c r="U65" i="19"/>
  <c r="R67" i="11"/>
  <c r="T67" i="11" s="1"/>
  <c r="U67" i="11" s="1"/>
  <c r="N68" i="11"/>
  <c r="O68" i="11" s="1"/>
  <c r="L15" i="15"/>
  <c r="K15" i="15"/>
  <c r="I15" i="15"/>
  <c r="L51" i="15"/>
  <c r="K51" i="15"/>
  <c r="L84" i="15"/>
  <c r="N94" i="15"/>
  <c r="L31" i="16"/>
  <c r="N55" i="16"/>
  <c r="N65" i="16"/>
  <c r="L97" i="16"/>
  <c r="K97" i="16"/>
  <c r="J97" i="16"/>
  <c r="I97" i="16"/>
  <c r="Q9" i="19"/>
  <c r="R9" i="19" s="1"/>
  <c r="S9" i="19" s="1"/>
  <c r="V19" i="19"/>
  <c r="U19" i="19"/>
  <c r="R32" i="19"/>
  <c r="S32" i="19" s="1"/>
  <c r="X32" i="19" s="1"/>
  <c r="V36" i="19"/>
  <c r="U36" i="19"/>
  <c r="V49" i="19"/>
  <c r="X50" i="19"/>
  <c r="V72" i="19"/>
  <c r="U72" i="19"/>
  <c r="V78" i="19"/>
  <c r="U78" i="19"/>
  <c r="J19" i="15"/>
  <c r="K50" i="15"/>
  <c r="J52" i="15"/>
  <c r="I54" i="15"/>
  <c r="I56" i="15"/>
  <c r="I60" i="15"/>
  <c r="I62" i="15"/>
  <c r="K68" i="15"/>
  <c r="J70" i="15"/>
  <c r="J82" i="15"/>
  <c r="I93" i="15"/>
  <c r="J100" i="15"/>
  <c r="L9" i="16"/>
  <c r="K24" i="16"/>
  <c r="J32" i="16"/>
  <c r="J40" i="16"/>
  <c r="J49" i="16"/>
  <c r="N81" i="16"/>
  <c r="N83" i="16"/>
  <c r="N85" i="16"/>
  <c r="N87" i="16"/>
  <c r="N89" i="16"/>
  <c r="N91" i="16"/>
  <c r="K102" i="16"/>
  <c r="K106" i="16"/>
  <c r="K110" i="16"/>
  <c r="Y2" i="19"/>
  <c r="Z2" i="19" s="1"/>
  <c r="U2" i="19"/>
  <c r="R66" i="19"/>
  <c r="S66" i="19" s="1"/>
  <c r="L19" i="15"/>
  <c r="K34" i="15"/>
  <c r="J45" i="15"/>
  <c r="J49" i="15"/>
  <c r="L54" i="15"/>
  <c r="K56" i="15"/>
  <c r="J58" i="15"/>
  <c r="K60" i="15"/>
  <c r="I81" i="15"/>
  <c r="K89" i="15"/>
  <c r="J96" i="15"/>
  <c r="J98" i="15"/>
  <c r="L35" i="16"/>
  <c r="N40" i="16"/>
  <c r="I82" i="16"/>
  <c r="I86" i="16"/>
  <c r="I90" i="16"/>
  <c r="K94" i="16"/>
  <c r="U11" i="19"/>
  <c r="Q17" i="19"/>
  <c r="R17" i="19" s="1"/>
  <c r="R20" i="19"/>
  <c r="S20" i="19" s="1"/>
  <c r="R41" i="19"/>
  <c r="S41" i="19" s="1"/>
  <c r="X41" i="19" s="1"/>
  <c r="K26" i="15"/>
  <c r="L45" i="15"/>
  <c r="L49" i="15"/>
  <c r="L56" i="15"/>
  <c r="L58" i="15"/>
  <c r="L60" i="15"/>
  <c r="I73" i="15"/>
  <c r="I77" i="15"/>
  <c r="I88" i="15"/>
  <c r="L96" i="15"/>
  <c r="L98" i="15"/>
  <c r="I105" i="15"/>
  <c r="I109" i="15"/>
  <c r="I25" i="16"/>
  <c r="I33" i="16"/>
  <c r="K82" i="16"/>
  <c r="K86" i="16"/>
  <c r="K90" i="16"/>
  <c r="I93" i="16"/>
  <c r="U20" i="19"/>
  <c r="Y26" i="19"/>
  <c r="Z26" i="19" s="1"/>
  <c r="U33" i="19"/>
  <c r="V54" i="19"/>
  <c r="K73" i="15"/>
  <c r="K77" i="15"/>
  <c r="K105" i="15"/>
  <c r="K109" i="15"/>
  <c r="J25" i="16"/>
  <c r="J33" i="16"/>
  <c r="I81" i="16"/>
  <c r="M81" i="16" s="1"/>
  <c r="O81" i="16" s="1"/>
  <c r="P81" i="16" s="1"/>
  <c r="I85" i="16"/>
  <c r="I89" i="16"/>
  <c r="J93" i="16"/>
  <c r="I95" i="16"/>
  <c r="R28" i="19"/>
  <c r="S28" i="19" s="1"/>
  <c r="X28" i="19" s="1"/>
  <c r="W70" i="19"/>
  <c r="Y79" i="19"/>
  <c r="Z79" i="19" s="1"/>
  <c r="AB77" i="17"/>
  <c r="AC77" i="17" s="1"/>
  <c r="AB82" i="17"/>
  <c r="AC82" i="17" s="1"/>
  <c r="AB93" i="17"/>
  <c r="AC93" i="17" s="1"/>
  <c r="AB94" i="17"/>
  <c r="AC94" i="17" s="1"/>
  <c r="AB107" i="17"/>
  <c r="AC107" i="17" s="1"/>
  <c r="AB100" i="17"/>
  <c r="AC100" i="17" s="1"/>
  <c r="AB104" i="17"/>
  <c r="AC104" i="17" s="1"/>
  <c r="AB108" i="17"/>
  <c r="AC108" i="17" s="1"/>
  <c r="AB102" i="17"/>
  <c r="AC102" i="17" s="1"/>
  <c r="AB103" i="17"/>
  <c r="AC103" i="17" s="1"/>
  <c r="AB105" i="17"/>
  <c r="AC105" i="17" s="1"/>
  <c r="AB109" i="17"/>
  <c r="AC109" i="17" s="1"/>
  <c r="AB63" i="17"/>
  <c r="AC63" i="17" s="1"/>
  <c r="AB106" i="17"/>
  <c r="AC106" i="17" s="1"/>
  <c r="AZ47" i="2"/>
  <c r="AY47" i="2"/>
  <c r="AL47" i="2"/>
  <c r="AM47" i="2" s="1"/>
  <c r="H95" i="8"/>
  <c r="AC92" i="3"/>
  <c r="AD92" i="3" s="1"/>
  <c r="AE92" i="3" s="1"/>
  <c r="Q92" i="3"/>
  <c r="I95" i="8" s="1"/>
  <c r="G90" i="6"/>
  <c r="P90" i="6" s="1"/>
  <c r="Q90" i="6" s="1"/>
  <c r="R90" i="6" s="1"/>
  <c r="Z176" i="2"/>
  <c r="AY176" i="2"/>
  <c r="AZ176" i="2"/>
  <c r="H79" i="21"/>
  <c r="AC77" i="3"/>
  <c r="AD77" i="3" s="1"/>
  <c r="AE77" i="3" s="1"/>
  <c r="Q77" i="3"/>
  <c r="AJ77" i="3"/>
  <c r="AK77" i="3" s="1"/>
  <c r="G10" i="16"/>
  <c r="G10" i="15"/>
  <c r="AY60" i="2"/>
  <c r="Z60" i="2"/>
  <c r="AZ60" i="2"/>
  <c r="AV60" i="2"/>
  <c r="AW60" i="2" s="1"/>
  <c r="H36" i="21"/>
  <c r="H34" i="8"/>
  <c r="G34" i="6"/>
  <c r="Q33" i="3"/>
  <c r="Z66" i="2"/>
  <c r="AY66" i="2"/>
  <c r="AZ66" i="2"/>
  <c r="G23" i="16"/>
  <c r="G23" i="15"/>
  <c r="M23" i="15" s="1"/>
  <c r="O23" i="15" s="1"/>
  <c r="P23" i="15" s="1"/>
  <c r="G23" i="13"/>
  <c r="G22" i="12"/>
  <c r="I22" i="10"/>
  <c r="H58" i="7"/>
  <c r="I24" i="4"/>
  <c r="O24" i="4" s="1"/>
  <c r="Q24" i="4" s="1"/>
  <c r="R24" i="4" s="1"/>
  <c r="AY79" i="2"/>
  <c r="Z79" i="2"/>
  <c r="H12" i="7"/>
  <c r="AZ79" i="2"/>
  <c r="AV79" i="2"/>
  <c r="AW79" i="2" s="1"/>
  <c r="AZ57" i="2"/>
  <c r="AY57" i="2"/>
  <c r="AL57" i="2"/>
  <c r="AM57" i="2" s="1"/>
  <c r="H35" i="16"/>
  <c r="H36" i="15"/>
  <c r="H31" i="12"/>
  <c r="H31" i="13"/>
  <c r="H19" i="11"/>
  <c r="I19" i="7"/>
  <c r="J31" i="10"/>
  <c r="H29" i="9"/>
  <c r="J36" i="4"/>
  <c r="AK93" i="2"/>
  <c r="AJ93" i="2"/>
  <c r="AL93" i="2" s="1"/>
  <c r="AM93" i="2" s="1"/>
  <c r="H69" i="21"/>
  <c r="AB71" i="17"/>
  <c r="AC71" i="17" s="1"/>
  <c r="G67" i="6"/>
  <c r="H67" i="8"/>
  <c r="AC66" i="3"/>
  <c r="AD66" i="3" s="1"/>
  <c r="AE66" i="3" s="1"/>
  <c r="AJ66" i="3"/>
  <c r="AK66" i="3" s="1"/>
  <c r="Q66" i="3"/>
  <c r="H14" i="21"/>
  <c r="AB13" i="17"/>
  <c r="AC13" i="17" s="1"/>
  <c r="H13" i="8"/>
  <c r="AC11" i="3"/>
  <c r="AD11" i="3" s="1"/>
  <c r="AE11" i="3" s="1"/>
  <c r="AJ11" i="3"/>
  <c r="AK11" i="3" s="1"/>
  <c r="Q11" i="3"/>
  <c r="G11" i="6"/>
  <c r="H38" i="21"/>
  <c r="AB45" i="17"/>
  <c r="H36" i="8"/>
  <c r="O36" i="8" s="1"/>
  <c r="P36" i="8" s="1"/>
  <c r="Q36" i="8" s="1"/>
  <c r="AC35" i="3"/>
  <c r="AD35" i="3" s="1"/>
  <c r="AE35" i="3" s="1"/>
  <c r="AJ35" i="3"/>
  <c r="AK35" i="3" s="1"/>
  <c r="Q35" i="3"/>
  <c r="G36" i="6"/>
  <c r="H55" i="21"/>
  <c r="G53" i="6"/>
  <c r="Q52" i="3"/>
  <c r="H53" i="8"/>
  <c r="G78" i="16"/>
  <c r="G79" i="15"/>
  <c r="G44" i="11"/>
  <c r="I79" i="4"/>
  <c r="Z141" i="2"/>
  <c r="AY141" i="2"/>
  <c r="AZ141" i="2"/>
  <c r="G70" i="16"/>
  <c r="G71" i="15"/>
  <c r="G64" i="12"/>
  <c r="G64" i="13"/>
  <c r="G37" i="11"/>
  <c r="I64" i="10"/>
  <c r="H35" i="7"/>
  <c r="G62" i="9"/>
  <c r="I71" i="4"/>
  <c r="Z133" i="2"/>
  <c r="AY133" i="2"/>
  <c r="AZ133" i="2"/>
  <c r="H7" i="21"/>
  <c r="H6" i="8"/>
  <c r="O6" i="8" s="1"/>
  <c r="P6" i="8" s="1"/>
  <c r="Q6" i="8" s="1"/>
  <c r="G5" i="6"/>
  <c r="AJ5" i="3"/>
  <c r="AK5" i="3" s="1"/>
  <c r="AC5" i="3"/>
  <c r="Q5" i="3"/>
  <c r="H29" i="21"/>
  <c r="AB28" i="17"/>
  <c r="AC28" i="17" s="1"/>
  <c r="H27" i="8"/>
  <c r="O27" i="8" s="1"/>
  <c r="P27" i="8" s="1"/>
  <c r="Q27" i="8" s="1"/>
  <c r="G24" i="6"/>
  <c r="Q26" i="3"/>
  <c r="Z125" i="2"/>
  <c r="AY125" i="2"/>
  <c r="AZ125" i="2"/>
  <c r="G90" i="16"/>
  <c r="G91" i="15"/>
  <c r="I91" i="4"/>
  <c r="Z153" i="2"/>
  <c r="AY153" i="2"/>
  <c r="AZ153" i="2"/>
  <c r="H85" i="21"/>
  <c r="H84" i="8"/>
  <c r="AC83" i="3"/>
  <c r="AD83" i="3" s="1"/>
  <c r="AE83" i="3" s="1"/>
  <c r="G82" i="6"/>
  <c r="Q83" i="3"/>
  <c r="AJ83" i="3"/>
  <c r="AK83" i="3" s="1"/>
  <c r="G100" i="16"/>
  <c r="G101" i="15"/>
  <c r="G82" i="13"/>
  <c r="G54" i="11"/>
  <c r="G82" i="12"/>
  <c r="M82" i="12" s="1"/>
  <c r="O82" i="12" s="1"/>
  <c r="P82" i="12" s="1"/>
  <c r="Z163" i="2"/>
  <c r="I101" i="4"/>
  <c r="AY163" i="2"/>
  <c r="AZ163" i="2"/>
  <c r="G13" i="16"/>
  <c r="M13" i="16" s="1"/>
  <c r="O13" i="16" s="1"/>
  <c r="P13" i="16" s="1"/>
  <c r="G13" i="15"/>
  <c r="G12" i="12"/>
  <c r="G12" i="13"/>
  <c r="G10" i="9"/>
  <c r="I12" i="4"/>
  <c r="I12" i="10"/>
  <c r="Z64" i="2"/>
  <c r="AY64" i="2"/>
  <c r="H55" i="7"/>
  <c r="AZ64" i="2"/>
  <c r="G31" i="16"/>
  <c r="G32" i="15"/>
  <c r="G29" i="13"/>
  <c r="G28" i="12"/>
  <c r="G17" i="11"/>
  <c r="I32" i="4"/>
  <c r="O32" i="4" s="1"/>
  <c r="Q32" i="4" s="1"/>
  <c r="R32" i="4" s="1"/>
  <c r="AZ88" i="2"/>
  <c r="Z88" i="2"/>
  <c r="AY88" i="2"/>
  <c r="G25" i="9"/>
  <c r="H17" i="7"/>
  <c r="R46" i="3"/>
  <c r="AD111" i="2"/>
  <c r="G45" i="9"/>
  <c r="N45" i="9" s="1"/>
  <c r="O45" i="9" s="1"/>
  <c r="P45" i="9" s="1"/>
  <c r="Z113" i="2"/>
  <c r="AY113" i="2"/>
  <c r="AZ113" i="2"/>
  <c r="X62" i="2"/>
  <c r="Y62" i="2" s="1"/>
  <c r="Y67" i="2"/>
  <c r="AZ94" i="2"/>
  <c r="AY94" i="2"/>
  <c r="G37" i="16"/>
  <c r="M37" i="16" s="1"/>
  <c r="O37" i="16" s="1"/>
  <c r="P37" i="16" s="1"/>
  <c r="G32" i="13"/>
  <c r="G38" i="15"/>
  <c r="G32" i="12"/>
  <c r="I32" i="10"/>
  <c r="G30" i="9"/>
  <c r="H64" i="7"/>
  <c r="AY96" i="2"/>
  <c r="Z96" i="2"/>
  <c r="I38" i="4"/>
  <c r="AZ96" i="2"/>
  <c r="AV96" i="2"/>
  <c r="AW96" i="2" s="1"/>
  <c r="Y101" i="2"/>
  <c r="X106" i="2"/>
  <c r="O41" i="3" s="1"/>
  <c r="P41" i="3" s="1"/>
  <c r="X108" i="2"/>
  <c r="O43" i="3" s="1"/>
  <c r="Y110" i="2"/>
  <c r="X110" i="2"/>
  <c r="O45" i="3" s="1"/>
  <c r="X115" i="2"/>
  <c r="O50" i="3" s="1"/>
  <c r="P50" i="3" s="1"/>
  <c r="X123" i="2"/>
  <c r="O58" i="3" s="1"/>
  <c r="Y131" i="2"/>
  <c r="AV131" i="2" s="1"/>
  <c r="AW131" i="2" s="1"/>
  <c r="X131" i="2"/>
  <c r="O64" i="3" s="1"/>
  <c r="X139" i="2"/>
  <c r="O70" i="3" s="1"/>
  <c r="Z142" i="2"/>
  <c r="AV147" i="2"/>
  <c r="AW147" i="2" s="1"/>
  <c r="G85" i="16"/>
  <c r="M85" i="16" s="1"/>
  <c r="O85" i="16" s="1"/>
  <c r="P85" i="16" s="1"/>
  <c r="G86" i="15"/>
  <c r="G71" i="13"/>
  <c r="G71" i="12"/>
  <c r="I71" i="10"/>
  <c r="G73" i="9"/>
  <c r="H83" i="7"/>
  <c r="AZ148" i="2"/>
  <c r="I86" i="4"/>
  <c r="AY148" i="2"/>
  <c r="Y155" i="2"/>
  <c r="AV155" i="2" s="1"/>
  <c r="AW155" i="2" s="1"/>
  <c r="X155" i="2"/>
  <c r="O81" i="3" s="1"/>
  <c r="P81" i="3" s="1"/>
  <c r="R84" i="3"/>
  <c r="AD159" i="2"/>
  <c r="AV163" i="2"/>
  <c r="AW163" i="2" s="1"/>
  <c r="G101" i="16"/>
  <c r="G102" i="15"/>
  <c r="G83" i="13"/>
  <c r="G55" i="11"/>
  <c r="G83" i="12"/>
  <c r="G84" i="9"/>
  <c r="N84" i="9" s="1"/>
  <c r="O84" i="9" s="1"/>
  <c r="P84" i="9" s="1"/>
  <c r="I102" i="4"/>
  <c r="AY164" i="2"/>
  <c r="AZ164" i="2"/>
  <c r="R85" i="3"/>
  <c r="AD165" i="2"/>
  <c r="G109" i="16"/>
  <c r="G110" i="15"/>
  <c r="M110" i="15" s="1"/>
  <c r="O110" i="15" s="1"/>
  <c r="P110" i="15" s="1"/>
  <c r="G88" i="13"/>
  <c r="I86" i="10"/>
  <c r="G90" i="9"/>
  <c r="AZ172" i="2"/>
  <c r="I110" i="4"/>
  <c r="Z172" i="2"/>
  <c r="AV172" i="2"/>
  <c r="AW172" i="2" s="1"/>
  <c r="G111" i="16"/>
  <c r="G112" i="15"/>
  <c r="G90" i="13"/>
  <c r="I88" i="10"/>
  <c r="G92" i="9"/>
  <c r="N92" i="9" s="1"/>
  <c r="O92" i="9" s="1"/>
  <c r="P92" i="9" s="1"/>
  <c r="I112" i="4"/>
  <c r="O112" i="4" s="1"/>
  <c r="Q112" i="4" s="1"/>
  <c r="R112" i="4" s="1"/>
  <c r="Z174" i="2"/>
  <c r="AV174" i="2"/>
  <c r="AW174" i="2" s="1"/>
  <c r="AJ177" i="2"/>
  <c r="AL177" i="2" s="1"/>
  <c r="AM177" i="2" s="1"/>
  <c r="X182" i="2"/>
  <c r="Y182" i="2" s="1"/>
  <c r="P2" i="3"/>
  <c r="P23" i="3"/>
  <c r="S29" i="13"/>
  <c r="U28" i="10"/>
  <c r="S30" i="8"/>
  <c r="Z17" i="7"/>
  <c r="Y17" i="7" s="1"/>
  <c r="S28" i="6"/>
  <c r="Z29" i="3"/>
  <c r="V29" i="3"/>
  <c r="Y29" i="3"/>
  <c r="AA29" i="3"/>
  <c r="W29" i="3"/>
  <c r="P36" i="3"/>
  <c r="P37" i="3"/>
  <c r="R42" i="3"/>
  <c r="S45" i="13"/>
  <c r="U45" i="10"/>
  <c r="Z69" i="7"/>
  <c r="Y69" i="7" s="1"/>
  <c r="X69" i="7" s="1"/>
  <c r="S47" i="8"/>
  <c r="S47" i="6"/>
  <c r="Z46" i="3"/>
  <c r="V46" i="3"/>
  <c r="Y46" i="3"/>
  <c r="AA46" i="3"/>
  <c r="W46" i="3"/>
  <c r="P56" i="3"/>
  <c r="P57" i="3"/>
  <c r="R64" i="3"/>
  <c r="O65" i="3"/>
  <c r="P67" i="3"/>
  <c r="P68" i="3"/>
  <c r="S76" i="13"/>
  <c r="U76" i="10"/>
  <c r="Z86" i="7"/>
  <c r="Y86" i="7" s="1"/>
  <c r="X86" i="7" s="1"/>
  <c r="S82" i="8"/>
  <c r="T82" i="8" s="1"/>
  <c r="AJ81" i="3"/>
  <c r="AK81" i="3" s="1"/>
  <c r="Y81" i="3"/>
  <c r="X81" i="3"/>
  <c r="AB81" i="3"/>
  <c r="W81" i="3"/>
  <c r="S80" i="6"/>
  <c r="Z81" i="3"/>
  <c r="S86" i="13"/>
  <c r="U82" i="10"/>
  <c r="S88" i="8"/>
  <c r="Z45" i="7"/>
  <c r="Y45" i="7" s="1"/>
  <c r="Y87" i="3"/>
  <c r="X87" i="3"/>
  <c r="AB87" i="3"/>
  <c r="W87" i="3"/>
  <c r="Z87" i="3"/>
  <c r="M3" i="4"/>
  <c r="L3" i="4"/>
  <c r="P3" i="4"/>
  <c r="N3" i="4"/>
  <c r="L5" i="4"/>
  <c r="P5" i="4"/>
  <c r="M5" i="4"/>
  <c r="N12" i="4"/>
  <c r="L12" i="4"/>
  <c r="P12" i="4"/>
  <c r="M12" i="4"/>
  <c r="P14" i="4"/>
  <c r="L14" i="4"/>
  <c r="M14" i="4"/>
  <c r="N23" i="4"/>
  <c r="P23" i="4"/>
  <c r="L23" i="4"/>
  <c r="N31" i="4"/>
  <c r="P31" i="4"/>
  <c r="L31" i="4"/>
  <c r="M38" i="4"/>
  <c r="P38" i="4"/>
  <c r="L38" i="4"/>
  <c r="N43" i="4"/>
  <c r="M43" i="4"/>
  <c r="L43" i="4"/>
  <c r="M50" i="4"/>
  <c r="N50" i="4"/>
  <c r="L50" i="4"/>
  <c r="I53" i="4"/>
  <c r="N63" i="4"/>
  <c r="P63" i="4"/>
  <c r="L63" i="4"/>
  <c r="M70" i="4"/>
  <c r="P70" i="4"/>
  <c r="L70" i="4"/>
  <c r="N75" i="4"/>
  <c r="M75" i="4"/>
  <c r="L75" i="4"/>
  <c r="M82" i="4"/>
  <c r="N82" i="4"/>
  <c r="L82" i="4"/>
  <c r="O13" i="6"/>
  <c r="K13" i="6"/>
  <c r="N13" i="6"/>
  <c r="J13" i="6"/>
  <c r="M13" i="6"/>
  <c r="L13" i="6"/>
  <c r="K79" i="8"/>
  <c r="J79" i="8"/>
  <c r="M79" i="8"/>
  <c r="N79" i="8"/>
  <c r="AD28" i="2"/>
  <c r="R4" i="3"/>
  <c r="AV66" i="2"/>
  <c r="AW66" i="2" s="1"/>
  <c r="G26" i="16"/>
  <c r="G24" i="12"/>
  <c r="G26" i="15"/>
  <c r="G25" i="13"/>
  <c r="I24" i="10"/>
  <c r="O24" i="10" s="1"/>
  <c r="P24" i="10" s="1"/>
  <c r="G20" i="9"/>
  <c r="N20" i="9" s="1"/>
  <c r="O20" i="9" s="1"/>
  <c r="P20" i="9" s="1"/>
  <c r="H61" i="7"/>
  <c r="I27" i="4"/>
  <c r="Z82" i="2"/>
  <c r="AY82" i="2"/>
  <c r="G35" i="16"/>
  <c r="G36" i="15"/>
  <c r="G31" i="13"/>
  <c r="G19" i="11"/>
  <c r="G31" i="12"/>
  <c r="M31" i="12" s="1"/>
  <c r="O31" i="12" s="1"/>
  <c r="P31" i="12" s="1"/>
  <c r="G29" i="9"/>
  <c r="H19" i="7"/>
  <c r="I31" i="10"/>
  <c r="O31" i="10" s="1"/>
  <c r="P31" i="10" s="1"/>
  <c r="AY93" i="2"/>
  <c r="AZ93" i="2"/>
  <c r="G41" i="16"/>
  <c r="M41" i="16" s="1"/>
  <c r="O41" i="16" s="1"/>
  <c r="P41" i="16" s="1"/>
  <c r="G42" i="15"/>
  <c r="G36" i="13"/>
  <c r="G36" i="12"/>
  <c r="G24" i="11"/>
  <c r="I36" i="10"/>
  <c r="G34" i="9"/>
  <c r="N34" i="9" s="1"/>
  <c r="O34" i="9" s="1"/>
  <c r="P34" i="9" s="1"/>
  <c r="H23" i="7"/>
  <c r="Z102" i="2"/>
  <c r="I42" i="4"/>
  <c r="AY102" i="2"/>
  <c r="AZ102" i="2"/>
  <c r="X33" i="2"/>
  <c r="Y33" i="2"/>
  <c r="G8" i="16"/>
  <c r="M8" i="16" s="1"/>
  <c r="O8" i="16" s="1"/>
  <c r="P8" i="16" s="1"/>
  <c r="G87" i="12"/>
  <c r="G8" i="15"/>
  <c r="I83" i="10"/>
  <c r="H2" i="7"/>
  <c r="I7" i="4"/>
  <c r="AY40" i="2"/>
  <c r="Z40" i="2"/>
  <c r="AZ40" i="2"/>
  <c r="X42" i="2"/>
  <c r="O8" i="3" s="1"/>
  <c r="Y42" i="2"/>
  <c r="G11" i="16"/>
  <c r="G11" i="15"/>
  <c r="M11" i="15" s="1"/>
  <c r="O11" i="15" s="1"/>
  <c r="P11" i="15" s="1"/>
  <c r="G8" i="9"/>
  <c r="N8" i="9" s="1"/>
  <c r="O8" i="9" s="1"/>
  <c r="P8" i="9" s="1"/>
  <c r="AZ61" i="2"/>
  <c r="AY61" i="2"/>
  <c r="AL61" i="2"/>
  <c r="AM61" i="2" s="1"/>
  <c r="X44" i="2"/>
  <c r="O10" i="3" s="1"/>
  <c r="P10" i="3" s="1"/>
  <c r="X58" i="2"/>
  <c r="Y58" i="2" s="1"/>
  <c r="R30" i="3"/>
  <c r="AD89" i="2"/>
  <c r="AV93" i="2"/>
  <c r="AW93" i="2" s="1"/>
  <c r="Z94" i="2"/>
  <c r="Y100" i="2"/>
  <c r="AV102" i="2"/>
  <c r="AW102" i="2" s="1"/>
  <c r="AD108" i="2"/>
  <c r="R43" i="3"/>
  <c r="R45" i="3"/>
  <c r="AD110" i="2"/>
  <c r="AV113" i="2"/>
  <c r="AW113" i="2" s="1"/>
  <c r="G53" i="16"/>
  <c r="G54" i="15"/>
  <c r="G48" i="13"/>
  <c r="G48" i="12"/>
  <c r="G30" i="11"/>
  <c r="R30" i="11" s="1"/>
  <c r="T30" i="11" s="1"/>
  <c r="U30" i="11" s="1"/>
  <c r="I48" i="10"/>
  <c r="G46" i="9"/>
  <c r="H29" i="7"/>
  <c r="AY114" i="2"/>
  <c r="I54" i="4"/>
  <c r="AZ114" i="2"/>
  <c r="R50" i="3"/>
  <c r="AD115" i="2"/>
  <c r="G55" i="16"/>
  <c r="G56" i="15"/>
  <c r="M56" i="15" s="1"/>
  <c r="O56" i="15" s="1"/>
  <c r="P56" i="15" s="1"/>
  <c r="G50" i="13"/>
  <c r="G50" i="12"/>
  <c r="I50" i="10"/>
  <c r="G48" i="9"/>
  <c r="N48" i="9" s="1"/>
  <c r="O48" i="9" s="1"/>
  <c r="P48" i="9" s="1"/>
  <c r="H72" i="7"/>
  <c r="I56" i="4"/>
  <c r="O56" i="4" s="1"/>
  <c r="Q56" i="4" s="1"/>
  <c r="R56" i="4" s="1"/>
  <c r="AV116" i="2"/>
  <c r="AW116" i="2" s="1"/>
  <c r="Z116" i="2"/>
  <c r="AZ116" i="2"/>
  <c r="Y117" i="2"/>
  <c r="AV117" i="2" s="1"/>
  <c r="AW117" i="2" s="1"/>
  <c r="AV121" i="2"/>
  <c r="AW121" i="2" s="1"/>
  <c r="AD123" i="2"/>
  <c r="R58" i="3"/>
  <c r="G63" i="16"/>
  <c r="G64" i="15"/>
  <c r="M64" i="15" s="1"/>
  <c r="O64" i="15" s="1"/>
  <c r="P64" i="15" s="1"/>
  <c r="G58" i="12"/>
  <c r="G58" i="13"/>
  <c r="G55" i="9"/>
  <c r="I58" i="10"/>
  <c r="I64" i="4"/>
  <c r="O64" i="4" s="1"/>
  <c r="Q64" i="4" s="1"/>
  <c r="R64" i="4" s="1"/>
  <c r="AV124" i="2"/>
  <c r="AW124" i="2" s="1"/>
  <c r="Z124" i="2"/>
  <c r="H77" i="7"/>
  <c r="AZ124" i="2"/>
  <c r="AV129" i="2"/>
  <c r="AW129" i="2" s="1"/>
  <c r="G69" i="16"/>
  <c r="M69" i="16" s="1"/>
  <c r="O69" i="16" s="1"/>
  <c r="P69" i="16" s="1"/>
  <c r="G70" i="15"/>
  <c r="G36" i="11"/>
  <c r="G61" i="9"/>
  <c r="N61" i="9" s="1"/>
  <c r="O61" i="9" s="1"/>
  <c r="P61" i="9" s="1"/>
  <c r="AV132" i="2"/>
  <c r="AW132" i="2" s="1"/>
  <c r="Z132" i="2"/>
  <c r="I70" i="4"/>
  <c r="AZ132" i="2"/>
  <c r="AV137" i="2"/>
  <c r="AW137" i="2" s="1"/>
  <c r="G75" i="16"/>
  <c r="G76" i="15"/>
  <c r="M76" i="15" s="1"/>
  <c r="O76" i="15" s="1"/>
  <c r="P76" i="15" s="1"/>
  <c r="G68" i="13"/>
  <c r="G68" i="12"/>
  <c r="G41" i="11"/>
  <c r="I68" i="10"/>
  <c r="G67" i="9"/>
  <c r="N67" i="9" s="1"/>
  <c r="O67" i="9" s="1"/>
  <c r="P67" i="9" s="1"/>
  <c r="AY138" i="2"/>
  <c r="H38" i="7"/>
  <c r="AZ138" i="2"/>
  <c r="R70" i="3"/>
  <c r="AD139" i="2"/>
  <c r="G77" i="16"/>
  <c r="G78" i="15"/>
  <c r="G43" i="11"/>
  <c r="AV140" i="2"/>
  <c r="AW140" i="2" s="1"/>
  <c r="Z140" i="2"/>
  <c r="I78" i="4"/>
  <c r="AZ140" i="2"/>
  <c r="X145" i="2"/>
  <c r="Y145" i="2" s="1"/>
  <c r="Z148" i="2"/>
  <c r="R81" i="3"/>
  <c r="AD155" i="2"/>
  <c r="X156" i="2"/>
  <c r="O82" i="3" s="1"/>
  <c r="P82" i="3" s="1"/>
  <c r="AV157" i="2"/>
  <c r="AW157" i="2" s="1"/>
  <c r="Y161" i="2"/>
  <c r="X161" i="2"/>
  <c r="Z164" i="2"/>
  <c r="AV180" i="2"/>
  <c r="AW180" i="2" s="1"/>
  <c r="AY181" i="2"/>
  <c r="AZ181" i="2"/>
  <c r="AV183" i="2"/>
  <c r="AW183" i="2" s="1"/>
  <c r="Z183" i="2"/>
  <c r="AZ183" i="2"/>
  <c r="S7" i="13"/>
  <c r="U7" i="10"/>
  <c r="Z53" i="7"/>
  <c r="Y53" i="7" s="1"/>
  <c r="X53" i="7" s="1"/>
  <c r="S7" i="8"/>
  <c r="T7" i="8" s="1"/>
  <c r="Z6" i="3"/>
  <c r="V6" i="3"/>
  <c r="Y6" i="3"/>
  <c r="S6" i="6"/>
  <c r="AA6" i="3"/>
  <c r="W6" i="3"/>
  <c r="P8" i="3"/>
  <c r="P9" i="3"/>
  <c r="P16" i="3"/>
  <c r="P17" i="3"/>
  <c r="P19" i="3"/>
  <c r="O20" i="3"/>
  <c r="S28" i="13"/>
  <c r="U27" i="10"/>
  <c r="S29" i="8"/>
  <c r="T29" i="8" s="1"/>
  <c r="Z16" i="7"/>
  <c r="Y16" i="7" s="1"/>
  <c r="S27" i="6"/>
  <c r="S87" i="6"/>
  <c r="Z28" i="3"/>
  <c r="V28" i="3"/>
  <c r="Y28" i="3"/>
  <c r="AA28" i="3"/>
  <c r="W28" i="3"/>
  <c r="P31" i="3"/>
  <c r="P34" i="3"/>
  <c r="P45" i="3"/>
  <c r="P47" i="3"/>
  <c r="P48" i="3"/>
  <c r="V52" i="6"/>
  <c r="Y52" i="6"/>
  <c r="T52" i="6"/>
  <c r="U52" i="6" s="1"/>
  <c r="X52" i="6"/>
  <c r="P55" i="3"/>
  <c r="X55" i="3"/>
  <c r="P64" i="3"/>
  <c r="P74" i="3"/>
  <c r="P86" i="3"/>
  <c r="N19" i="4"/>
  <c r="M19" i="4"/>
  <c r="L19" i="4"/>
  <c r="M22" i="4"/>
  <c r="P22" i="4"/>
  <c r="L22" i="4"/>
  <c r="N27" i="4"/>
  <c r="M27" i="4"/>
  <c r="L27" i="4"/>
  <c r="M30" i="4"/>
  <c r="P30" i="4"/>
  <c r="L30" i="4"/>
  <c r="N35" i="4"/>
  <c r="M35" i="4"/>
  <c r="L35" i="4"/>
  <c r="M42" i="4"/>
  <c r="N42" i="4"/>
  <c r="L42" i="4"/>
  <c r="N55" i="4"/>
  <c r="P55" i="4"/>
  <c r="L55" i="4"/>
  <c r="M62" i="4"/>
  <c r="P62" i="4"/>
  <c r="L62" i="4"/>
  <c r="N67" i="4"/>
  <c r="M67" i="4"/>
  <c r="L67" i="4"/>
  <c r="M74" i="4"/>
  <c r="N74" i="4"/>
  <c r="L74" i="4"/>
  <c r="I76" i="4"/>
  <c r="N87" i="4"/>
  <c r="P87" i="4"/>
  <c r="L87" i="4"/>
  <c r="N91" i="4"/>
  <c r="M91" i="4"/>
  <c r="L91" i="4"/>
  <c r="P91" i="4"/>
  <c r="O19" i="6"/>
  <c r="K19" i="6"/>
  <c r="N19" i="6"/>
  <c r="J19" i="6"/>
  <c r="M19" i="6"/>
  <c r="L19" i="6"/>
  <c r="K85" i="8"/>
  <c r="J85" i="8"/>
  <c r="M85" i="8"/>
  <c r="N85" i="8"/>
  <c r="AD26" i="2"/>
  <c r="R2" i="3"/>
  <c r="R6" i="3"/>
  <c r="AD30" i="2"/>
  <c r="X35" i="2"/>
  <c r="Y35" i="2"/>
  <c r="AV51" i="2"/>
  <c r="AW51" i="2" s="1"/>
  <c r="AZ51" i="2"/>
  <c r="AL51" i="2"/>
  <c r="AM51" i="2" s="1"/>
  <c r="AZ82" i="2"/>
  <c r="AJ92" i="2"/>
  <c r="X95" i="2"/>
  <c r="Y95" i="2" s="1"/>
  <c r="AV100" i="2"/>
  <c r="AW100" i="2" s="1"/>
  <c r="R40" i="3"/>
  <c r="AD105" i="2"/>
  <c r="AD109" i="2"/>
  <c r="R44" i="3"/>
  <c r="AV41" i="2"/>
  <c r="AW41" i="2" s="1"/>
  <c r="Z41" i="2"/>
  <c r="AZ41" i="2"/>
  <c r="AV47" i="2"/>
  <c r="AW47" i="2" s="1"/>
  <c r="AY51" i="2"/>
  <c r="AV57" i="2"/>
  <c r="AW57" i="2" s="1"/>
  <c r="AV88" i="2"/>
  <c r="AW88" i="2" s="1"/>
  <c r="X89" i="2"/>
  <c r="O30" i="3" s="1"/>
  <c r="P30" i="3" s="1"/>
  <c r="X31" i="2"/>
  <c r="Y31" i="2" s="1"/>
  <c r="AV38" i="2"/>
  <c r="AW38" i="2" s="1"/>
  <c r="Z38" i="2"/>
  <c r="AZ38" i="2"/>
  <c r="X39" i="2"/>
  <c r="Y39" i="2" s="1"/>
  <c r="BA48" i="2"/>
  <c r="W48" i="2"/>
  <c r="X48" i="2" s="1"/>
  <c r="Y48" i="2" s="1"/>
  <c r="Z61" i="2"/>
  <c r="AV61" i="2"/>
  <c r="AW61" i="2" s="1"/>
  <c r="AV64" i="2"/>
  <c r="AW64" i="2" s="1"/>
  <c r="X69" i="2"/>
  <c r="O15" i="3" s="1"/>
  <c r="P15" i="3" s="1"/>
  <c r="G25" i="16"/>
  <c r="G25" i="15"/>
  <c r="G19" i="9"/>
  <c r="H60" i="7"/>
  <c r="I26" i="4"/>
  <c r="AY81" i="2"/>
  <c r="AV82" i="2"/>
  <c r="AW82" i="2" s="1"/>
  <c r="X2" i="2"/>
  <c r="Y2" i="2"/>
  <c r="Y3" i="2"/>
  <c r="X4" i="2"/>
  <c r="Y4" i="2"/>
  <c r="Y5" i="2"/>
  <c r="X6" i="2"/>
  <c r="Y6" i="2" s="1"/>
  <c r="Y7" i="2"/>
  <c r="AV7" i="2" s="1"/>
  <c r="AW7" i="2" s="1"/>
  <c r="X8" i="2"/>
  <c r="Y8" i="2"/>
  <c r="Y9" i="2"/>
  <c r="AV9" i="2" s="1"/>
  <c r="AW9" i="2" s="1"/>
  <c r="X10" i="2"/>
  <c r="Y10" i="2"/>
  <c r="Y11" i="2"/>
  <c r="X12" i="2"/>
  <c r="Y12" i="2" s="1"/>
  <c r="Y13" i="2"/>
  <c r="X14" i="2"/>
  <c r="Y14" i="2" s="1"/>
  <c r="Y15" i="2"/>
  <c r="X16" i="2"/>
  <c r="Y16" i="2" s="1"/>
  <c r="Y17" i="2"/>
  <c r="AV17" i="2" s="1"/>
  <c r="AW17" i="2" s="1"/>
  <c r="X18" i="2"/>
  <c r="Y18" i="2" s="1"/>
  <c r="Y19" i="2"/>
  <c r="X20" i="2"/>
  <c r="Y20" i="2" s="1"/>
  <c r="Y21" i="2"/>
  <c r="X22" i="2"/>
  <c r="Y22" i="2" s="1"/>
  <c r="Y23" i="2"/>
  <c r="X24" i="2"/>
  <c r="Y24" i="2" s="1"/>
  <c r="Y25" i="2"/>
  <c r="AV25" i="2" s="1"/>
  <c r="AW25" i="2" s="1"/>
  <c r="X26" i="2"/>
  <c r="O2" i="3" s="1"/>
  <c r="Y27" i="2"/>
  <c r="X28" i="2"/>
  <c r="O4" i="3" s="1"/>
  <c r="Y29" i="2"/>
  <c r="AV29" i="2" s="1"/>
  <c r="AW29" i="2" s="1"/>
  <c r="Y30" i="2"/>
  <c r="X30" i="2"/>
  <c r="O6" i="3" s="1"/>
  <c r="P6" i="3" s="1"/>
  <c r="Y36" i="2"/>
  <c r="X37" i="2"/>
  <c r="Y37" i="2" s="1"/>
  <c r="AY41" i="2"/>
  <c r="AD44" i="2"/>
  <c r="R10" i="3"/>
  <c r="Y45" i="2"/>
  <c r="AV45" i="2" s="1"/>
  <c r="AW45" i="2" s="1"/>
  <c r="AV54" i="2"/>
  <c r="AW54" i="2" s="1"/>
  <c r="AZ54" i="2"/>
  <c r="AL54" i="2"/>
  <c r="AM54" i="2" s="1"/>
  <c r="Y59" i="2"/>
  <c r="Y65" i="2"/>
  <c r="AD69" i="2"/>
  <c r="R15" i="3"/>
  <c r="Y70" i="2"/>
  <c r="Y71" i="2"/>
  <c r="Y72" i="2"/>
  <c r="Y73" i="2"/>
  <c r="Y74" i="2"/>
  <c r="Y75" i="2"/>
  <c r="Y76" i="2"/>
  <c r="Y77" i="2"/>
  <c r="Y78" i="2"/>
  <c r="Z81" i="2"/>
  <c r="AV81" i="2"/>
  <c r="AW81" i="2" s="1"/>
  <c r="Y83" i="2"/>
  <c r="AY92" i="2"/>
  <c r="AL92" i="2"/>
  <c r="AM92" i="2" s="1"/>
  <c r="AZ92" i="2"/>
  <c r="AV101" i="2"/>
  <c r="AW101" i="2" s="1"/>
  <c r="Y103" i="2"/>
  <c r="X105" i="2"/>
  <c r="O40" i="3" s="1"/>
  <c r="Y107" i="2"/>
  <c r="AV107" i="2" s="1"/>
  <c r="AW107" i="2" s="1"/>
  <c r="X107" i="2"/>
  <c r="O42" i="3" s="1"/>
  <c r="P42" i="3" s="1"/>
  <c r="X109" i="2"/>
  <c r="O44" i="3" s="1"/>
  <c r="X111" i="2"/>
  <c r="O46" i="3" s="1"/>
  <c r="P46" i="3" s="1"/>
  <c r="Z114" i="2"/>
  <c r="X119" i="2"/>
  <c r="O54" i="3" s="1"/>
  <c r="P54" i="3" s="1"/>
  <c r="X127" i="2"/>
  <c r="O61" i="3" s="1"/>
  <c r="P61" i="3" s="1"/>
  <c r="X135" i="2"/>
  <c r="Y135" i="2" s="1"/>
  <c r="Z138" i="2"/>
  <c r="X143" i="2"/>
  <c r="O71" i="3" s="1"/>
  <c r="P71" i="3" s="1"/>
  <c r="G70" i="9"/>
  <c r="AY144" i="2"/>
  <c r="I82" i="4"/>
  <c r="AZ144" i="2"/>
  <c r="Y146" i="2"/>
  <c r="Y147" i="2"/>
  <c r="Y149" i="2"/>
  <c r="Y150" i="2"/>
  <c r="Y151" i="2"/>
  <c r="X151" i="2"/>
  <c r="O78" i="3" s="1"/>
  <c r="AV153" i="2"/>
  <c r="AW153" i="2" s="1"/>
  <c r="Y158" i="2"/>
  <c r="Y162" i="2"/>
  <c r="AV164" i="2"/>
  <c r="AW164" i="2" s="1"/>
  <c r="Y167" i="2"/>
  <c r="X167" i="2"/>
  <c r="O87" i="3" s="1"/>
  <c r="P87" i="3" s="1"/>
  <c r="X171" i="2"/>
  <c r="O91" i="3" s="1"/>
  <c r="X178" i="2"/>
  <c r="Y178" i="2" s="1"/>
  <c r="Z181" i="2"/>
  <c r="P4" i="3"/>
  <c r="AJ4" i="3" s="1"/>
  <c r="AK4" i="3" s="1"/>
  <c r="S13" i="13"/>
  <c r="U13" i="10"/>
  <c r="Z56" i="7"/>
  <c r="Y56" i="7" s="1"/>
  <c r="X56" i="7" s="1"/>
  <c r="S12" i="6"/>
  <c r="S14" i="8"/>
  <c r="Z12" i="3"/>
  <c r="AJ12" i="3" s="1"/>
  <c r="AK12" i="3" s="1"/>
  <c r="V12" i="3"/>
  <c r="Y12" i="3"/>
  <c r="AA12" i="3"/>
  <c r="W12" i="3"/>
  <c r="P14" i="3"/>
  <c r="P20" i="3"/>
  <c r="P27" i="3"/>
  <c r="P29" i="3"/>
  <c r="X29" i="3"/>
  <c r="P39" i="3"/>
  <c r="R41" i="3"/>
  <c r="V44" i="6"/>
  <c r="T44" i="6"/>
  <c r="U44" i="6" s="1"/>
  <c r="X44" i="6"/>
  <c r="Y44" i="6"/>
  <c r="X46" i="3"/>
  <c r="P51" i="3"/>
  <c r="P53" i="3"/>
  <c r="P70" i="3"/>
  <c r="P79" i="3"/>
  <c r="N80" i="3"/>
  <c r="P80" i="3"/>
  <c r="V81" i="3"/>
  <c r="N84" i="3"/>
  <c r="V87" i="3"/>
  <c r="P94" i="3"/>
  <c r="N4" i="4"/>
  <c r="L4" i="4"/>
  <c r="P4" i="4"/>
  <c r="M4" i="4"/>
  <c r="P6" i="4"/>
  <c r="L6" i="4"/>
  <c r="M6" i="4"/>
  <c r="M11" i="4"/>
  <c r="L11" i="4"/>
  <c r="P11" i="4"/>
  <c r="N11" i="4"/>
  <c r="L13" i="4"/>
  <c r="P13" i="4"/>
  <c r="M13" i="4"/>
  <c r="M18" i="4"/>
  <c r="N18" i="4"/>
  <c r="L18" i="4"/>
  <c r="M26" i="4"/>
  <c r="N26" i="4"/>
  <c r="L26" i="4"/>
  <c r="M34" i="4"/>
  <c r="N34" i="4"/>
  <c r="L34" i="4"/>
  <c r="I36" i="4"/>
  <c r="O36" i="4" s="1"/>
  <c r="N47" i="4"/>
  <c r="P47" i="4"/>
  <c r="L47" i="4"/>
  <c r="M54" i="4"/>
  <c r="P54" i="4"/>
  <c r="L54" i="4"/>
  <c r="N59" i="4"/>
  <c r="M59" i="4"/>
  <c r="L59" i="4"/>
  <c r="M66" i="4"/>
  <c r="N66" i="4"/>
  <c r="L66" i="4"/>
  <c r="N79" i="4"/>
  <c r="P79" i="4"/>
  <c r="L79" i="4"/>
  <c r="M86" i="4"/>
  <c r="P86" i="4"/>
  <c r="L86" i="4"/>
  <c r="O21" i="6"/>
  <c r="K21" i="6"/>
  <c r="N21" i="6"/>
  <c r="J21" i="6"/>
  <c r="M21" i="6"/>
  <c r="L21" i="6"/>
  <c r="N50" i="7"/>
  <c r="J50" i="7"/>
  <c r="L50" i="7"/>
  <c r="U50" i="7"/>
  <c r="K50" i="7"/>
  <c r="O50" i="7"/>
  <c r="M50" i="7"/>
  <c r="R54" i="3"/>
  <c r="AD119" i="2"/>
  <c r="Y120" i="2"/>
  <c r="G60" i="16"/>
  <c r="G61" i="15"/>
  <c r="G55" i="13"/>
  <c r="G55" i="12"/>
  <c r="G32" i="11"/>
  <c r="R32" i="11" s="1"/>
  <c r="T32" i="11" s="1"/>
  <c r="U32" i="11" s="1"/>
  <c r="H31" i="7"/>
  <c r="G52" i="9"/>
  <c r="N52" i="9" s="1"/>
  <c r="O52" i="9" s="1"/>
  <c r="P52" i="9" s="1"/>
  <c r="I55" i="10"/>
  <c r="Z121" i="2"/>
  <c r="AY121" i="2"/>
  <c r="AZ121" i="2"/>
  <c r="AV125" i="2"/>
  <c r="AW125" i="2" s="1"/>
  <c r="G64" i="16"/>
  <c r="G59" i="13"/>
  <c r="G65" i="15"/>
  <c r="G59" i="12"/>
  <c r="G34" i="11"/>
  <c r="I59" i="10"/>
  <c r="G56" i="9"/>
  <c r="N56" i="9" s="1"/>
  <c r="O56" i="9" s="1"/>
  <c r="P56" i="9" s="1"/>
  <c r="H33" i="7"/>
  <c r="I65" i="4"/>
  <c r="AY126" i="2"/>
  <c r="AZ126" i="2"/>
  <c r="R61" i="3"/>
  <c r="AD127" i="2"/>
  <c r="Y128" i="2"/>
  <c r="Z129" i="2"/>
  <c r="AY129" i="2"/>
  <c r="AZ129" i="2"/>
  <c r="AV133" i="2"/>
  <c r="AW133" i="2" s="1"/>
  <c r="G74" i="16"/>
  <c r="G75" i="15"/>
  <c r="G67" i="13"/>
  <c r="G67" i="12"/>
  <c r="I67" i="10"/>
  <c r="G66" i="9"/>
  <c r="N66" i="9" s="1"/>
  <c r="O66" i="9" s="1"/>
  <c r="P66" i="9" s="1"/>
  <c r="I75" i="4"/>
  <c r="H81" i="7"/>
  <c r="Z137" i="2"/>
  <c r="AY137" i="2"/>
  <c r="AZ137" i="2"/>
  <c r="AV141" i="2"/>
  <c r="AW141" i="2" s="1"/>
  <c r="G79" i="16"/>
  <c r="G80" i="15"/>
  <c r="G45" i="11"/>
  <c r="I80" i="4"/>
  <c r="O80" i="4" s="1"/>
  <c r="Q80" i="4" s="1"/>
  <c r="R80" i="4" s="1"/>
  <c r="AY142" i="2"/>
  <c r="AZ142" i="2"/>
  <c r="R71" i="3"/>
  <c r="AD143" i="2"/>
  <c r="H70" i="9"/>
  <c r="AK144" i="2"/>
  <c r="AJ144" i="2"/>
  <c r="AD151" i="2"/>
  <c r="R78" i="3"/>
  <c r="G94" i="16"/>
  <c r="G95" i="15"/>
  <c r="I95" i="4"/>
  <c r="Z157" i="2"/>
  <c r="AY157" i="2"/>
  <c r="AZ157" i="2"/>
  <c r="X159" i="2"/>
  <c r="O84" i="3" s="1"/>
  <c r="P84" i="3" s="1"/>
  <c r="AV161" i="2"/>
  <c r="AW161" i="2" s="1"/>
  <c r="X165" i="2"/>
  <c r="O85" i="3" s="1"/>
  <c r="R87" i="3"/>
  <c r="AD167" i="2"/>
  <c r="G105" i="16"/>
  <c r="M105" i="16" s="1"/>
  <c r="O105" i="16" s="1"/>
  <c r="P105" i="16" s="1"/>
  <c r="G106" i="15"/>
  <c r="M106" i="15" s="1"/>
  <c r="O106" i="15" s="1"/>
  <c r="P106" i="15" s="1"/>
  <c r="AV168" i="2"/>
  <c r="AW168" i="2" s="1"/>
  <c r="Z168" i="2"/>
  <c r="AZ168" i="2"/>
  <c r="I106" i="4"/>
  <c r="AD171" i="2"/>
  <c r="R91" i="3"/>
  <c r="R93" i="3"/>
  <c r="AD173" i="2"/>
  <c r="AV176" i="2"/>
  <c r="AW176" i="2" s="1"/>
  <c r="AY177" i="2"/>
  <c r="AZ177" i="2"/>
  <c r="Y179" i="2"/>
  <c r="Z180" i="2"/>
  <c r="AY180" i="2"/>
  <c r="AZ180" i="2"/>
  <c r="P3" i="3"/>
  <c r="AD5" i="3"/>
  <c r="AE5" i="3" s="1"/>
  <c r="P25" i="3"/>
  <c r="P28" i="3"/>
  <c r="AJ28" i="3" s="1"/>
  <c r="AK28" i="3" s="1"/>
  <c r="AB29" i="3"/>
  <c r="P40" i="3"/>
  <c r="AB46" i="3"/>
  <c r="S54" i="13"/>
  <c r="U54" i="10"/>
  <c r="Z75" i="7"/>
  <c r="Y75" i="7" s="1"/>
  <c r="X75" i="7" s="1"/>
  <c r="S56" i="6"/>
  <c r="Z55" i="3"/>
  <c r="AJ55" i="3" s="1"/>
  <c r="AK55" i="3" s="1"/>
  <c r="V55" i="3"/>
  <c r="S56" i="8"/>
  <c r="Y55" i="3"/>
  <c r="AA55" i="3"/>
  <c r="W55" i="3"/>
  <c r="V60" i="6"/>
  <c r="T60" i="6"/>
  <c r="U60" i="6" s="1"/>
  <c r="X60" i="6"/>
  <c r="Y60" i="6"/>
  <c r="P62" i="3"/>
  <c r="P63" i="3"/>
  <c r="AA81" i="3"/>
  <c r="N90" i="3"/>
  <c r="P90" i="3" s="1"/>
  <c r="N93" i="3"/>
  <c r="N39" i="4"/>
  <c r="P39" i="4"/>
  <c r="L39" i="4"/>
  <c r="M46" i="4"/>
  <c r="P46" i="4"/>
  <c r="L46" i="4"/>
  <c r="N51" i="4"/>
  <c r="M51" i="4"/>
  <c r="L51" i="4"/>
  <c r="M58" i="4"/>
  <c r="N58" i="4"/>
  <c r="L58" i="4"/>
  <c r="I61" i="4"/>
  <c r="N71" i="4"/>
  <c r="P71" i="4"/>
  <c r="L71" i="4"/>
  <c r="M78" i="4"/>
  <c r="P78" i="4"/>
  <c r="L78" i="4"/>
  <c r="N83" i="4"/>
  <c r="M83" i="4"/>
  <c r="L83" i="4"/>
  <c r="M90" i="4"/>
  <c r="N90" i="4"/>
  <c r="L90" i="4"/>
  <c r="N95" i="4"/>
  <c r="P95" i="4"/>
  <c r="M95" i="4"/>
  <c r="L95" i="4"/>
  <c r="N107" i="4"/>
  <c r="M107" i="4"/>
  <c r="P107" i="4"/>
  <c r="L107" i="4"/>
  <c r="M106" i="4"/>
  <c r="P106" i="4"/>
  <c r="L106" i="4"/>
  <c r="N111" i="4"/>
  <c r="M111" i="4"/>
  <c r="Y24" i="6"/>
  <c r="T24" i="6"/>
  <c r="U24" i="6" s="1"/>
  <c r="O25" i="6"/>
  <c r="K25" i="6"/>
  <c r="N25" i="6"/>
  <c r="J25" i="6"/>
  <c r="AD27" i="2"/>
  <c r="AD29" i="2"/>
  <c r="Y43" i="2"/>
  <c r="AV43" i="2" s="1"/>
  <c r="AW43" i="2" s="1"/>
  <c r="W46" i="2"/>
  <c r="X46" i="2" s="1"/>
  <c r="W50" i="2"/>
  <c r="X50" i="2" s="1"/>
  <c r="W53" i="2"/>
  <c r="X53" i="2" s="1"/>
  <c r="W56" i="2"/>
  <c r="X56" i="2" s="1"/>
  <c r="AD64" i="2"/>
  <c r="AD65" i="2"/>
  <c r="AD67" i="2"/>
  <c r="Y68" i="2"/>
  <c r="AV68" i="2" s="1"/>
  <c r="AW68" i="2" s="1"/>
  <c r="AD79" i="2"/>
  <c r="Y80" i="2"/>
  <c r="AD82" i="2"/>
  <c r="AD83" i="2"/>
  <c r="W84" i="2"/>
  <c r="X84" i="2" s="1"/>
  <c r="O21" i="3" s="1"/>
  <c r="P21" i="3" s="1"/>
  <c r="Y90" i="2"/>
  <c r="Y91" i="2"/>
  <c r="Y97" i="2"/>
  <c r="W98" i="2"/>
  <c r="X98" i="2" s="1"/>
  <c r="W99" i="2"/>
  <c r="X99" i="2" s="1"/>
  <c r="AD100" i="2"/>
  <c r="AD101" i="2"/>
  <c r="AD103" i="2"/>
  <c r="AD117" i="2"/>
  <c r="Y118" i="2"/>
  <c r="AD121" i="2"/>
  <c r="Y122" i="2"/>
  <c r="Y130" i="2"/>
  <c r="AD133" i="2"/>
  <c r="Y134" i="2"/>
  <c r="AD147" i="2"/>
  <c r="AV148" i="2"/>
  <c r="AW148" i="2" s="1"/>
  <c r="AD150" i="2"/>
  <c r="Y152" i="2"/>
  <c r="Y166" i="2"/>
  <c r="AD169" i="2"/>
  <c r="W175" i="2"/>
  <c r="X175" i="2" s="1"/>
  <c r="O95" i="3" s="1"/>
  <c r="Y4" i="3"/>
  <c r="P7" i="3"/>
  <c r="S8" i="13"/>
  <c r="S9" i="8"/>
  <c r="T9" i="8" s="1"/>
  <c r="Z54" i="7"/>
  <c r="Y54" i="7" s="1"/>
  <c r="X54" i="7" s="1"/>
  <c r="U8" i="10"/>
  <c r="P12" i="3"/>
  <c r="P13" i="3"/>
  <c r="P18" i="3"/>
  <c r="P22" i="3"/>
  <c r="N24" i="3"/>
  <c r="P24" i="3" s="1"/>
  <c r="Y24" i="3"/>
  <c r="N25" i="3"/>
  <c r="V26" i="3"/>
  <c r="Z26" i="3"/>
  <c r="AJ26" i="3" s="1"/>
  <c r="AK26" i="3" s="1"/>
  <c r="N32" i="3"/>
  <c r="P32" i="3" s="1"/>
  <c r="V33" i="3"/>
  <c r="Z33" i="3"/>
  <c r="AJ33" i="3" s="1"/>
  <c r="AK33" i="3" s="1"/>
  <c r="V34" i="3"/>
  <c r="Z34" i="3"/>
  <c r="N38" i="3"/>
  <c r="P38" i="3" s="1"/>
  <c r="S40" i="13"/>
  <c r="U40" i="10"/>
  <c r="Z66" i="7"/>
  <c r="Y66" i="7" s="1"/>
  <c r="X66" i="7" s="1"/>
  <c r="S42" i="8"/>
  <c r="N43" i="3"/>
  <c r="P43" i="3" s="1"/>
  <c r="Y43" i="3"/>
  <c r="N44" i="3"/>
  <c r="P44" i="3" s="1"/>
  <c r="N49" i="3"/>
  <c r="P49" i="3" s="1"/>
  <c r="V50" i="3"/>
  <c r="Z50" i="3"/>
  <c r="V51" i="3"/>
  <c r="Z51" i="3"/>
  <c r="V52" i="3"/>
  <c r="AC52" i="3" s="1"/>
  <c r="AD52" i="3" s="1"/>
  <c r="AE52" i="3" s="1"/>
  <c r="Z52" i="3"/>
  <c r="AJ52" i="3" s="1"/>
  <c r="AK52" i="3" s="1"/>
  <c r="V53" i="3"/>
  <c r="Z53" i="3"/>
  <c r="N58" i="3"/>
  <c r="P58" i="3" s="1"/>
  <c r="Y58" i="3"/>
  <c r="N59" i="3"/>
  <c r="P59" i="3" s="1"/>
  <c r="Y59" i="3"/>
  <c r="N60" i="3"/>
  <c r="P60" i="3" s="1"/>
  <c r="S62" i="13"/>
  <c r="Z79" i="7"/>
  <c r="Y79" i="7" s="1"/>
  <c r="X79" i="7" s="1"/>
  <c r="S64" i="8"/>
  <c r="U62" i="10"/>
  <c r="S65" i="6"/>
  <c r="N65" i="3"/>
  <c r="P65" i="3" s="1"/>
  <c r="N69" i="3"/>
  <c r="P69" i="3" s="1"/>
  <c r="N75" i="3"/>
  <c r="P75" i="3" s="1"/>
  <c r="X80" i="3"/>
  <c r="S77" i="13"/>
  <c r="U77" i="10"/>
  <c r="S83" i="8"/>
  <c r="T83" i="8" s="1"/>
  <c r="Z87" i="7"/>
  <c r="Y87" i="7" s="1"/>
  <c r="X87" i="7" s="1"/>
  <c r="Y82" i="3"/>
  <c r="S81" i="6"/>
  <c r="X90" i="3"/>
  <c r="V95" i="3"/>
  <c r="AB95" i="3"/>
  <c r="P21" i="4"/>
  <c r="L21" i="4"/>
  <c r="P29" i="4"/>
  <c r="L29" i="4"/>
  <c r="P37" i="4"/>
  <c r="L37" i="4"/>
  <c r="P45" i="4"/>
  <c r="L45" i="4"/>
  <c r="P53" i="4"/>
  <c r="L53" i="4"/>
  <c r="P61" i="4"/>
  <c r="L61" i="4"/>
  <c r="P69" i="4"/>
  <c r="L69" i="4"/>
  <c r="P77" i="4"/>
  <c r="L77" i="4"/>
  <c r="P85" i="4"/>
  <c r="L85" i="4"/>
  <c r="P93" i="4"/>
  <c r="L93" i="4"/>
  <c r="P99" i="4"/>
  <c r="M102" i="4"/>
  <c r="P102" i="4"/>
  <c r="L102" i="4"/>
  <c r="P111" i="4"/>
  <c r="Y2" i="6"/>
  <c r="Y4" i="6"/>
  <c r="S8" i="6"/>
  <c r="H11" i="6"/>
  <c r="Y14" i="6"/>
  <c r="T14" i="6"/>
  <c r="U14" i="6" s="1"/>
  <c r="O15" i="6"/>
  <c r="K15" i="6"/>
  <c r="N15" i="6"/>
  <c r="J15" i="6"/>
  <c r="M17" i="6"/>
  <c r="S22" i="6"/>
  <c r="O23" i="6"/>
  <c r="K23" i="6"/>
  <c r="N23" i="6"/>
  <c r="J23" i="6"/>
  <c r="M25" i="6"/>
  <c r="H36" i="6"/>
  <c r="X46" i="6"/>
  <c r="Y48" i="6"/>
  <c r="Y50" i="6"/>
  <c r="N58" i="6"/>
  <c r="J58" i="6"/>
  <c r="M58" i="6"/>
  <c r="X62" i="6"/>
  <c r="X64" i="6"/>
  <c r="Y66" i="6"/>
  <c r="Y68" i="6"/>
  <c r="Y70" i="6"/>
  <c r="Y72" i="6"/>
  <c r="Y74" i="6"/>
  <c r="Y76" i="6"/>
  <c r="Y78" i="6"/>
  <c r="N82" i="6"/>
  <c r="J82" i="6"/>
  <c r="M82" i="6"/>
  <c r="N86" i="6"/>
  <c r="J86" i="6"/>
  <c r="M86" i="6"/>
  <c r="X88" i="6"/>
  <c r="H90" i="6"/>
  <c r="V91" i="6"/>
  <c r="T91" i="6"/>
  <c r="N9" i="7"/>
  <c r="P10" i="7"/>
  <c r="Q10" i="7" s="1"/>
  <c r="P26" i="7"/>
  <c r="Q26" i="7" s="1"/>
  <c r="P30" i="7"/>
  <c r="Q30" i="7" s="1"/>
  <c r="P34" i="7"/>
  <c r="Q34" i="7" s="1"/>
  <c r="N61" i="7"/>
  <c r="J61" i="7"/>
  <c r="O61" i="7"/>
  <c r="K61" i="7"/>
  <c r="U61" i="7"/>
  <c r="M61" i="7"/>
  <c r="N80" i="7"/>
  <c r="J80" i="7"/>
  <c r="O80" i="7"/>
  <c r="K80" i="7"/>
  <c r="U80" i="7"/>
  <c r="M80" i="7"/>
  <c r="T12" i="8"/>
  <c r="R12" i="8" s="1"/>
  <c r="T31" i="8"/>
  <c r="R31" i="8"/>
  <c r="K66" i="8"/>
  <c r="J66" i="8"/>
  <c r="M66" i="8"/>
  <c r="N66" i="8"/>
  <c r="T78" i="8"/>
  <c r="R78" i="8"/>
  <c r="M94" i="4"/>
  <c r="N70" i="7"/>
  <c r="J70" i="7"/>
  <c r="O70" i="7"/>
  <c r="K70" i="7"/>
  <c r="L70" i="7"/>
  <c r="T10" i="8"/>
  <c r="R10" i="8" s="1"/>
  <c r="K43" i="8"/>
  <c r="J43" i="8"/>
  <c r="M43" i="8"/>
  <c r="N43" i="8"/>
  <c r="T76" i="8"/>
  <c r="R76" i="8" s="1"/>
  <c r="K26" i="9"/>
  <c r="J26" i="9"/>
  <c r="L26" i="9"/>
  <c r="M26" i="9"/>
  <c r="K54" i="9"/>
  <c r="J54" i="9"/>
  <c r="L54" i="9"/>
  <c r="M54" i="9"/>
  <c r="X49" i="2"/>
  <c r="Y49" i="2" s="1"/>
  <c r="X52" i="2"/>
  <c r="Y52" i="2" s="1"/>
  <c r="X55" i="2"/>
  <c r="Y55" i="2" s="1"/>
  <c r="Y84" i="2"/>
  <c r="Y98" i="2"/>
  <c r="H107" i="16"/>
  <c r="H108" i="15"/>
  <c r="J84" i="10"/>
  <c r="H88" i="9"/>
  <c r="I91" i="7"/>
  <c r="J108" i="4"/>
  <c r="AJ170" i="2"/>
  <c r="AL170" i="2" s="1"/>
  <c r="AM170" i="2" s="1"/>
  <c r="Y175" i="2"/>
  <c r="W4" i="3"/>
  <c r="S6" i="13"/>
  <c r="S6" i="8"/>
  <c r="T6" i="8" s="1"/>
  <c r="Z52" i="7"/>
  <c r="Y52" i="7" s="1"/>
  <c r="X52" i="7" s="1"/>
  <c r="U6" i="10"/>
  <c r="S5" i="6"/>
  <c r="V8" i="3"/>
  <c r="Z8" i="3"/>
  <c r="S17" i="13"/>
  <c r="Z57" i="7"/>
  <c r="Y57" i="7" s="1"/>
  <c r="X57" i="7" s="1"/>
  <c r="U17" i="10"/>
  <c r="S18" i="8"/>
  <c r="W24" i="3"/>
  <c r="S26" i="13"/>
  <c r="S27" i="8"/>
  <c r="T27" i="8" s="1"/>
  <c r="Z62" i="7"/>
  <c r="Y62" i="7" s="1"/>
  <c r="X62" i="7" s="1"/>
  <c r="U25" i="10"/>
  <c r="S32" i="13"/>
  <c r="Z64" i="7"/>
  <c r="Y64" i="7" s="1"/>
  <c r="X64" i="7" s="1"/>
  <c r="S34" i="8"/>
  <c r="U32" i="10"/>
  <c r="S33" i="13"/>
  <c r="U33" i="10"/>
  <c r="S35" i="8"/>
  <c r="Z20" i="7"/>
  <c r="Y20" i="7" s="1"/>
  <c r="S35" i="6"/>
  <c r="W43" i="3"/>
  <c r="AA43" i="3"/>
  <c r="S49" i="13"/>
  <c r="U49" i="10"/>
  <c r="S51" i="8"/>
  <c r="Z71" i="7"/>
  <c r="Y71" i="7" s="1"/>
  <c r="X71" i="7" s="1"/>
  <c r="S51" i="6"/>
  <c r="S50" i="13"/>
  <c r="U50" i="10"/>
  <c r="Z72" i="7"/>
  <c r="Y72" i="7" s="1"/>
  <c r="X72" i="7" s="1"/>
  <c r="S52" i="8"/>
  <c r="S51" i="13"/>
  <c r="S53" i="8"/>
  <c r="Z73" i="7"/>
  <c r="Y73" i="7" s="1"/>
  <c r="X73" i="7" s="1"/>
  <c r="U51" i="10"/>
  <c r="S53" i="6"/>
  <c r="S52" i="13"/>
  <c r="Z74" i="7"/>
  <c r="Y74" i="7" s="1"/>
  <c r="X74" i="7" s="1"/>
  <c r="U52" i="10"/>
  <c r="W58" i="3"/>
  <c r="W59" i="3"/>
  <c r="AA59" i="3"/>
  <c r="P73" i="3"/>
  <c r="P76" i="3"/>
  <c r="S75" i="13"/>
  <c r="U75" i="10"/>
  <c r="Z85" i="7"/>
  <c r="Y85" i="7" s="1"/>
  <c r="X85" i="7" s="1"/>
  <c r="Y80" i="3"/>
  <c r="S81" i="8"/>
  <c r="T81" i="8" s="1"/>
  <c r="S79" i="6"/>
  <c r="P85" i="3"/>
  <c r="P88" i="3"/>
  <c r="S92" i="8"/>
  <c r="Z47" i="7"/>
  <c r="Y47" i="7" s="1"/>
  <c r="Y90" i="3"/>
  <c r="Y95" i="3"/>
  <c r="M7" i="4"/>
  <c r="M15" i="4"/>
  <c r="P25" i="4"/>
  <c r="L25" i="4"/>
  <c r="P33" i="4"/>
  <c r="L33" i="4"/>
  <c r="L36" i="4"/>
  <c r="Q36" i="4"/>
  <c r="R36" i="4" s="1"/>
  <c r="P41" i="4"/>
  <c r="L41" i="4"/>
  <c r="L44" i="4"/>
  <c r="P49" i="4"/>
  <c r="L49" i="4"/>
  <c r="L52" i="4"/>
  <c r="P57" i="4"/>
  <c r="L57" i="4"/>
  <c r="L60" i="4"/>
  <c r="P65" i="4"/>
  <c r="L65" i="4"/>
  <c r="L68" i="4"/>
  <c r="P73" i="4"/>
  <c r="L73" i="4"/>
  <c r="L76" i="4"/>
  <c r="P81" i="4"/>
  <c r="L81" i="4"/>
  <c r="L84" i="4"/>
  <c r="P89" i="4"/>
  <c r="L89" i="4"/>
  <c r="L92" i="4"/>
  <c r="N103" i="4"/>
  <c r="M103" i="4"/>
  <c r="P104" i="4"/>
  <c r="N106" i="4"/>
  <c r="L111" i="4"/>
  <c r="T2" i="6"/>
  <c r="U2" i="6" s="1"/>
  <c r="T4" i="6"/>
  <c r="U4" i="6" s="1"/>
  <c r="X14" i="6"/>
  <c r="L15" i="6"/>
  <c r="Y18" i="6"/>
  <c r="T18" i="6"/>
  <c r="U18" i="6" s="1"/>
  <c r="L23" i="6"/>
  <c r="V24" i="6"/>
  <c r="Y26" i="6"/>
  <c r="T26" i="6"/>
  <c r="U26" i="6" s="1"/>
  <c r="S42" i="6"/>
  <c r="T48" i="6"/>
  <c r="U48" i="6" s="1"/>
  <c r="T50" i="6"/>
  <c r="U50" i="6" s="1"/>
  <c r="T66" i="6"/>
  <c r="U66" i="6" s="1"/>
  <c r="T68" i="6"/>
  <c r="U68" i="6" s="1"/>
  <c r="T70" i="6"/>
  <c r="U70" i="6" s="1"/>
  <c r="T72" i="6"/>
  <c r="U72" i="6" s="1"/>
  <c r="T74" i="6"/>
  <c r="U74" i="6" s="1"/>
  <c r="T76" i="6"/>
  <c r="U76" i="6" s="1"/>
  <c r="T78" i="6"/>
  <c r="U78" i="6" s="1"/>
  <c r="P5" i="7"/>
  <c r="Q5" i="7" s="1"/>
  <c r="L9" i="7"/>
  <c r="O9" i="7"/>
  <c r="K9" i="7"/>
  <c r="P23" i="7"/>
  <c r="Q23" i="7" s="1"/>
  <c r="O25" i="7"/>
  <c r="K25" i="7"/>
  <c r="P25" i="7" s="1"/>
  <c r="Q25" i="7" s="1"/>
  <c r="L25" i="7"/>
  <c r="U25" i="7"/>
  <c r="J25" i="7"/>
  <c r="U38" i="7"/>
  <c r="M38" i="7"/>
  <c r="L38" i="7"/>
  <c r="K38" i="7"/>
  <c r="P47" i="7"/>
  <c r="Q47" i="7" s="1"/>
  <c r="N48" i="7"/>
  <c r="J48" i="7"/>
  <c r="L48" i="7"/>
  <c r="U48" i="7"/>
  <c r="K48" i="7"/>
  <c r="N58" i="7"/>
  <c r="J58" i="7"/>
  <c r="O58" i="7"/>
  <c r="K58" i="7"/>
  <c r="U58" i="7"/>
  <c r="M58" i="7"/>
  <c r="N63" i="7"/>
  <c r="J63" i="7"/>
  <c r="O63" i="7"/>
  <c r="K63" i="7"/>
  <c r="U63" i="7"/>
  <c r="M63" i="7"/>
  <c r="L63" i="7"/>
  <c r="N65" i="7"/>
  <c r="J65" i="7"/>
  <c r="O65" i="7"/>
  <c r="K65" i="7"/>
  <c r="L65" i="7"/>
  <c r="M70" i="7"/>
  <c r="N90" i="7"/>
  <c r="J90" i="7"/>
  <c r="U90" i="7"/>
  <c r="M90" i="7"/>
  <c r="O90" i="7"/>
  <c r="K90" i="7"/>
  <c r="L90" i="7"/>
  <c r="K69" i="8"/>
  <c r="J69" i="8"/>
  <c r="M69" i="8"/>
  <c r="T71" i="8"/>
  <c r="R71" i="8" s="1"/>
  <c r="K74" i="8"/>
  <c r="J74" i="8"/>
  <c r="M74" i="8"/>
  <c r="N74" i="8"/>
  <c r="T84" i="8"/>
  <c r="R84" i="8"/>
  <c r="K87" i="8"/>
  <c r="J87" i="8"/>
  <c r="M87" i="8"/>
  <c r="N87" i="8"/>
  <c r="K73" i="9"/>
  <c r="J73" i="9"/>
  <c r="L73" i="9"/>
  <c r="M73" i="9"/>
  <c r="K15" i="10"/>
  <c r="N15" i="10"/>
  <c r="L15" i="10"/>
  <c r="M15" i="10"/>
  <c r="N99" i="4"/>
  <c r="M99" i="4"/>
  <c r="Y16" i="6"/>
  <c r="T16" i="6"/>
  <c r="U16" i="6" s="1"/>
  <c r="O17" i="6"/>
  <c r="K17" i="6"/>
  <c r="N17" i="6"/>
  <c r="J17" i="6"/>
  <c r="H34" i="6"/>
  <c r="H82" i="6"/>
  <c r="X90" i="6"/>
  <c r="V90" i="6"/>
  <c r="U37" i="7"/>
  <c r="M37" i="7"/>
  <c r="K37" i="7"/>
  <c r="P37" i="7" s="1"/>
  <c r="Q37" i="7" s="1"/>
  <c r="O37" i="7"/>
  <c r="J37" i="7"/>
  <c r="K8" i="8"/>
  <c r="J8" i="8"/>
  <c r="M8" i="8"/>
  <c r="N8" i="8"/>
  <c r="K48" i="8"/>
  <c r="J48" i="8"/>
  <c r="M48" i="8"/>
  <c r="N48" i="8"/>
  <c r="K61" i="8"/>
  <c r="J61" i="8"/>
  <c r="M61" i="8"/>
  <c r="N61" i="8"/>
  <c r="P95" i="3"/>
  <c r="S5" i="13"/>
  <c r="Z51" i="7"/>
  <c r="Y51" i="7" s="1"/>
  <c r="X51" i="7" s="1"/>
  <c r="S5" i="8"/>
  <c r="T5" i="8" s="1"/>
  <c r="U5" i="10"/>
  <c r="Z60" i="7"/>
  <c r="Y60" i="7" s="1"/>
  <c r="X60" i="7" s="1"/>
  <c r="S42" i="13"/>
  <c r="U42" i="10"/>
  <c r="Z68" i="7"/>
  <c r="Y68" i="7" s="1"/>
  <c r="X68" i="7" s="1"/>
  <c r="S44" i="8"/>
  <c r="S57" i="13"/>
  <c r="U57" i="10"/>
  <c r="Z76" i="7"/>
  <c r="Y76" i="7" s="1"/>
  <c r="X76" i="7" s="1"/>
  <c r="S59" i="8"/>
  <c r="S59" i="6"/>
  <c r="S58" i="13"/>
  <c r="Z77" i="7"/>
  <c r="Y77" i="7" s="1"/>
  <c r="X77" i="7" s="1"/>
  <c r="S60" i="8"/>
  <c r="U58" i="10"/>
  <c r="P78" i="3"/>
  <c r="P91" i="3"/>
  <c r="AA95" i="3"/>
  <c r="W95" i="3"/>
  <c r="P2" i="4"/>
  <c r="L2" i="4"/>
  <c r="P10" i="4"/>
  <c r="L10" i="4"/>
  <c r="M21" i="4"/>
  <c r="M29" i="4"/>
  <c r="M37" i="4"/>
  <c r="M45" i="4"/>
  <c r="M53" i="4"/>
  <c r="M61" i="4"/>
  <c r="M69" i="4"/>
  <c r="M77" i="4"/>
  <c r="M85" i="4"/>
  <c r="M93" i="4"/>
  <c r="P94" i="4"/>
  <c r="M96" i="4"/>
  <c r="M98" i="4"/>
  <c r="P98" i="4"/>
  <c r="L98" i="4"/>
  <c r="L103" i="4"/>
  <c r="M108" i="4"/>
  <c r="M110" i="4"/>
  <c r="P110" i="4"/>
  <c r="L110" i="4"/>
  <c r="X2" i="6"/>
  <c r="X4" i="6"/>
  <c r="T11" i="6"/>
  <c r="U11" i="6" s="1"/>
  <c r="M15" i="6"/>
  <c r="X16" i="6"/>
  <c r="L17" i="6"/>
  <c r="V18" i="6"/>
  <c r="Y20" i="6"/>
  <c r="T20" i="6"/>
  <c r="U20" i="6" s="1"/>
  <c r="M23" i="6"/>
  <c r="H24" i="6"/>
  <c r="X24" i="6"/>
  <c r="L25" i="6"/>
  <c r="V26" i="6"/>
  <c r="T30" i="6"/>
  <c r="U30" i="6" s="1"/>
  <c r="T32" i="6"/>
  <c r="U32" i="6" s="1"/>
  <c r="S34" i="6"/>
  <c r="T36" i="6"/>
  <c r="U36" i="6" s="1"/>
  <c r="T38" i="6"/>
  <c r="U38" i="6" s="1"/>
  <c r="T40" i="6"/>
  <c r="U40" i="6" s="1"/>
  <c r="T46" i="6"/>
  <c r="U46" i="6" s="1"/>
  <c r="X48" i="6"/>
  <c r="X50" i="6"/>
  <c r="S54" i="6"/>
  <c r="K58" i="6"/>
  <c r="T62" i="6"/>
  <c r="U62" i="6" s="1"/>
  <c r="T64" i="6"/>
  <c r="U64" i="6" s="1"/>
  <c r="X66" i="6"/>
  <c r="X68" i="6"/>
  <c r="X70" i="6"/>
  <c r="X72" i="6"/>
  <c r="X74" i="6"/>
  <c r="X76" i="6"/>
  <c r="X78" i="6"/>
  <c r="K82" i="6"/>
  <c r="S84" i="6"/>
  <c r="K86" i="6"/>
  <c r="T88" i="6"/>
  <c r="U88" i="6" s="1"/>
  <c r="Y90" i="6"/>
  <c r="M9" i="7"/>
  <c r="U9" i="7"/>
  <c r="P11" i="7"/>
  <c r="Q11" i="7" s="1"/>
  <c r="P14" i="7"/>
  <c r="Q14" i="7" s="1"/>
  <c r="N25" i="7"/>
  <c r="O38" i="7"/>
  <c r="N44" i="7"/>
  <c r="J44" i="7"/>
  <c r="L44" i="7"/>
  <c r="U44" i="7"/>
  <c r="K44" i="7"/>
  <c r="P44" i="7" s="1"/>
  <c r="Q44" i="7" s="1"/>
  <c r="O48" i="7"/>
  <c r="N49" i="7"/>
  <c r="J49" i="7"/>
  <c r="L49" i="7"/>
  <c r="U49" i="7"/>
  <c r="K49" i="7"/>
  <c r="N55" i="7"/>
  <c r="J55" i="7"/>
  <c r="L55" i="7"/>
  <c r="U55" i="7"/>
  <c r="K55" i="7"/>
  <c r="N84" i="7"/>
  <c r="J84" i="7"/>
  <c r="U84" i="7"/>
  <c r="M84" i="7"/>
  <c r="O84" i="7"/>
  <c r="K84" i="7"/>
  <c r="L84" i="7"/>
  <c r="N91" i="7"/>
  <c r="J91" i="7"/>
  <c r="U91" i="7"/>
  <c r="M91" i="7"/>
  <c r="O91" i="7"/>
  <c r="K91" i="7"/>
  <c r="O2" i="8"/>
  <c r="S25" i="8"/>
  <c r="S54" i="8"/>
  <c r="T68" i="8"/>
  <c r="R68" i="8" s="1"/>
  <c r="T94" i="8"/>
  <c r="R94" i="8" s="1"/>
  <c r="K89" i="9"/>
  <c r="J89" i="9"/>
  <c r="L89" i="9"/>
  <c r="K2" i="10"/>
  <c r="N2" i="10"/>
  <c r="L2" i="10"/>
  <c r="Z11" i="10"/>
  <c r="Q11" i="10" s="1"/>
  <c r="X11" i="10"/>
  <c r="T11" i="10"/>
  <c r="W11" i="10" s="1"/>
  <c r="K20" i="10"/>
  <c r="N20" i="10"/>
  <c r="M20" i="10"/>
  <c r="L38" i="10"/>
  <c r="K38" i="10"/>
  <c r="N38" i="10"/>
  <c r="X41" i="10"/>
  <c r="T41" i="10"/>
  <c r="W41" i="10" s="1"/>
  <c r="Y41" i="10"/>
  <c r="S41" i="10" s="1"/>
  <c r="Z41" i="10"/>
  <c r="Q41" i="10" s="1"/>
  <c r="Z44" i="10"/>
  <c r="Q44" i="10" s="1"/>
  <c r="X44" i="10"/>
  <c r="T44" i="10" s="1"/>
  <c r="W44" i="10" s="1"/>
  <c r="Y44" i="10"/>
  <c r="S44" i="10" s="1"/>
  <c r="L59" i="10"/>
  <c r="K59" i="10"/>
  <c r="M59" i="10"/>
  <c r="T91" i="8"/>
  <c r="R91" i="8"/>
  <c r="T97" i="8"/>
  <c r="R97" i="8"/>
  <c r="K22" i="9"/>
  <c r="J22" i="9"/>
  <c r="L22" i="9"/>
  <c r="K50" i="9"/>
  <c r="J50" i="9"/>
  <c r="L50" i="9"/>
  <c r="K69" i="9"/>
  <c r="J69" i="9"/>
  <c r="L69" i="9"/>
  <c r="K85" i="9"/>
  <c r="J85" i="9"/>
  <c r="L85" i="9"/>
  <c r="L34" i="10"/>
  <c r="K34" i="10"/>
  <c r="N34" i="10"/>
  <c r="M34" i="10"/>
  <c r="M38" i="10"/>
  <c r="X55" i="10"/>
  <c r="T55" i="10"/>
  <c r="W55" i="10" s="1"/>
  <c r="Y55" i="10"/>
  <c r="S55" i="10" s="1"/>
  <c r="Z55" i="10"/>
  <c r="Q55" i="10" s="1"/>
  <c r="N59" i="10"/>
  <c r="X3" i="6"/>
  <c r="X7" i="6"/>
  <c r="Y9" i="6"/>
  <c r="X29" i="6"/>
  <c r="X31" i="6"/>
  <c r="X33" i="6"/>
  <c r="X37" i="6"/>
  <c r="X39" i="6"/>
  <c r="X41" i="6"/>
  <c r="X43" i="6"/>
  <c r="X45" i="6"/>
  <c r="X49" i="6"/>
  <c r="X55" i="6"/>
  <c r="X57" i="6"/>
  <c r="X61" i="6"/>
  <c r="X63" i="6"/>
  <c r="X67" i="6"/>
  <c r="X69" i="6"/>
  <c r="X71" i="6"/>
  <c r="X73" i="6"/>
  <c r="X75" i="6"/>
  <c r="X77" i="6"/>
  <c r="X83" i="6"/>
  <c r="X85" i="6"/>
  <c r="X89" i="6"/>
  <c r="Y92" i="6"/>
  <c r="P18" i="7"/>
  <c r="Q18" i="7" s="1"/>
  <c r="P22" i="7"/>
  <c r="Q22" i="7" s="1"/>
  <c r="U36" i="7"/>
  <c r="M36" i="7"/>
  <c r="P42" i="7"/>
  <c r="Q42" i="7" s="1"/>
  <c r="N59" i="7"/>
  <c r="J59" i="7"/>
  <c r="O59" i="7"/>
  <c r="K59" i="7"/>
  <c r="P59" i="7" s="1"/>
  <c r="Q59" i="7" s="1"/>
  <c r="N67" i="7"/>
  <c r="J67" i="7"/>
  <c r="O67" i="7"/>
  <c r="K67" i="7"/>
  <c r="R70" i="7"/>
  <c r="S70" i="7"/>
  <c r="N78" i="7"/>
  <c r="J78" i="7"/>
  <c r="O78" i="7"/>
  <c r="K78" i="7"/>
  <c r="P78" i="7" s="1"/>
  <c r="Q78" i="7" s="1"/>
  <c r="N81" i="7"/>
  <c r="J81" i="7"/>
  <c r="O81" i="7"/>
  <c r="K81" i="7"/>
  <c r="N83" i="7"/>
  <c r="J83" i="7"/>
  <c r="U83" i="7"/>
  <c r="M83" i="7"/>
  <c r="O83" i="7"/>
  <c r="K83" i="7"/>
  <c r="P83" i="7" s="1"/>
  <c r="Q83" i="7" s="1"/>
  <c r="N89" i="7"/>
  <c r="J89" i="7"/>
  <c r="U89" i="7"/>
  <c r="M89" i="7"/>
  <c r="O89" i="7"/>
  <c r="K89" i="7"/>
  <c r="T39" i="8"/>
  <c r="R39" i="8" s="1"/>
  <c r="N65" i="8"/>
  <c r="M65" i="8"/>
  <c r="J65" i="8"/>
  <c r="N80" i="8"/>
  <c r="M80" i="8"/>
  <c r="J80" i="8"/>
  <c r="N86" i="8"/>
  <c r="M86" i="8"/>
  <c r="J86" i="8"/>
  <c r="T96" i="8"/>
  <c r="R96" i="8"/>
  <c r="M3" i="9"/>
  <c r="L3" i="9"/>
  <c r="J3" i="9"/>
  <c r="K10" i="9"/>
  <c r="J10" i="9"/>
  <c r="L10" i="9"/>
  <c r="K14" i="9"/>
  <c r="J14" i="9"/>
  <c r="L14" i="9"/>
  <c r="K18" i="9"/>
  <c r="J18" i="9"/>
  <c r="L18" i="9"/>
  <c r="K46" i="9"/>
  <c r="J46" i="9"/>
  <c r="L46" i="9"/>
  <c r="K62" i="9"/>
  <c r="J62" i="9"/>
  <c r="L62" i="9"/>
  <c r="K81" i="9"/>
  <c r="J81" i="9"/>
  <c r="L81" i="9"/>
  <c r="Y11" i="10"/>
  <c r="S11" i="10" s="1"/>
  <c r="K12" i="10"/>
  <c r="N12" i="10"/>
  <c r="L12" i="10"/>
  <c r="L53" i="10"/>
  <c r="K53" i="10"/>
  <c r="N53" i="10"/>
  <c r="L69" i="10"/>
  <c r="K69" i="10"/>
  <c r="N69" i="10"/>
  <c r="M69" i="10"/>
  <c r="S70" i="13"/>
  <c r="U70" i="10"/>
  <c r="Z82" i="7"/>
  <c r="Y82" i="7" s="1"/>
  <c r="X82" i="7" s="1"/>
  <c r="S75" i="8"/>
  <c r="L97" i="4"/>
  <c r="L101" i="4"/>
  <c r="L105" i="4"/>
  <c r="L109" i="4"/>
  <c r="L113" i="4"/>
  <c r="T3" i="6"/>
  <c r="U3" i="6" s="1"/>
  <c r="T7" i="6"/>
  <c r="U7" i="6" s="1"/>
  <c r="T29" i="6"/>
  <c r="U29" i="6" s="1"/>
  <c r="T31" i="6"/>
  <c r="U31" i="6" s="1"/>
  <c r="T33" i="6"/>
  <c r="U33" i="6" s="1"/>
  <c r="T37" i="6"/>
  <c r="U37" i="6" s="1"/>
  <c r="T39" i="6"/>
  <c r="U39" i="6" s="1"/>
  <c r="T41" i="6"/>
  <c r="U41" i="6" s="1"/>
  <c r="T43" i="6"/>
  <c r="U43" i="6" s="1"/>
  <c r="T45" i="6"/>
  <c r="U45" i="6" s="1"/>
  <c r="T49" i="6"/>
  <c r="U49" i="6" s="1"/>
  <c r="T55" i="6"/>
  <c r="U55" i="6" s="1"/>
  <c r="T57" i="6"/>
  <c r="U57" i="6" s="1"/>
  <c r="T61" i="6"/>
  <c r="U61" i="6" s="1"/>
  <c r="T63" i="6"/>
  <c r="U63" i="6" s="1"/>
  <c r="T67" i="6"/>
  <c r="U67" i="6" s="1"/>
  <c r="T69" i="6"/>
  <c r="U69" i="6" s="1"/>
  <c r="T71" i="6"/>
  <c r="U71" i="6" s="1"/>
  <c r="T73" i="6"/>
  <c r="U73" i="6" s="1"/>
  <c r="T75" i="6"/>
  <c r="U75" i="6" s="1"/>
  <c r="T77" i="6"/>
  <c r="U77" i="6" s="1"/>
  <c r="T83" i="6"/>
  <c r="U83" i="6" s="1"/>
  <c r="T85" i="6"/>
  <c r="U85" i="6" s="1"/>
  <c r="T89" i="6"/>
  <c r="U89" i="6" s="1"/>
  <c r="J36" i="7"/>
  <c r="O36" i="7"/>
  <c r="L83" i="7"/>
  <c r="N88" i="7"/>
  <c r="J88" i="7"/>
  <c r="U88" i="7"/>
  <c r="M88" i="7"/>
  <c r="O88" i="7"/>
  <c r="K88" i="7"/>
  <c r="L89" i="7"/>
  <c r="R70" i="8"/>
  <c r="T73" i="8"/>
  <c r="R73" i="8" s="1"/>
  <c r="T89" i="8"/>
  <c r="R89" i="8" s="1"/>
  <c r="R93" i="8"/>
  <c r="T95" i="8"/>
  <c r="R95" i="8" s="1"/>
  <c r="K6" i="9"/>
  <c r="J6" i="9"/>
  <c r="L6" i="9"/>
  <c r="K30" i="9"/>
  <c r="J30" i="9"/>
  <c r="L30" i="9"/>
  <c r="K42" i="9"/>
  <c r="J42" i="9"/>
  <c r="L42" i="9"/>
  <c r="K77" i="9"/>
  <c r="J77" i="9"/>
  <c r="L77" i="9"/>
  <c r="N88" i="9"/>
  <c r="O88" i="9" s="1"/>
  <c r="P88" i="9" s="1"/>
  <c r="M89" i="9"/>
  <c r="M2" i="10"/>
  <c r="S14" i="10"/>
  <c r="Z14" i="10"/>
  <c r="X14" i="10"/>
  <c r="T14" i="10" s="1"/>
  <c r="W14" i="10" s="1"/>
  <c r="S18" i="10"/>
  <c r="Z18" i="10"/>
  <c r="Q18" i="10" s="1"/>
  <c r="X18" i="10"/>
  <c r="T18" i="10" s="1"/>
  <c r="W18" i="10" s="1"/>
  <c r="L23" i="10"/>
  <c r="K23" i="10"/>
  <c r="N23" i="10"/>
  <c r="M23" i="10"/>
  <c r="M53" i="10"/>
  <c r="L56" i="10"/>
  <c r="K56" i="10"/>
  <c r="M56" i="10"/>
  <c r="K2" i="8"/>
  <c r="P2" i="8"/>
  <c r="Q2" i="8" s="1"/>
  <c r="K11" i="8"/>
  <c r="K24" i="8"/>
  <c r="K26" i="8"/>
  <c r="K32" i="8"/>
  <c r="K55" i="8"/>
  <c r="K57" i="8"/>
  <c r="K62" i="8"/>
  <c r="K67" i="8"/>
  <c r="K77" i="8"/>
  <c r="K5" i="9"/>
  <c r="K9" i="9"/>
  <c r="K13" i="9"/>
  <c r="K17" i="9"/>
  <c r="K21" i="9"/>
  <c r="K25" i="9"/>
  <c r="K29" i="9"/>
  <c r="Y2" i="10"/>
  <c r="Y9" i="10"/>
  <c r="S9" i="10" s="1"/>
  <c r="Y12" i="10"/>
  <c r="S12" i="10" s="1"/>
  <c r="Y15" i="10"/>
  <c r="S15" i="10" s="1"/>
  <c r="Z19" i="10"/>
  <c r="Q19" i="10" s="1"/>
  <c r="Z21" i="10"/>
  <c r="Q21" i="10" s="1"/>
  <c r="X30" i="10"/>
  <c r="T30" i="10"/>
  <c r="W30" i="10" s="1"/>
  <c r="Z36" i="10"/>
  <c r="Q36" i="10"/>
  <c r="X48" i="10"/>
  <c r="T48" i="10"/>
  <c r="W48" i="10" s="1"/>
  <c r="L67" i="10"/>
  <c r="K67" i="10"/>
  <c r="N16" i="11"/>
  <c r="O16" i="11" s="1"/>
  <c r="S65" i="10"/>
  <c r="Z65" i="10"/>
  <c r="Q65" i="10" s="1"/>
  <c r="Y66" i="10"/>
  <c r="S66" i="10" s="1"/>
  <c r="L88" i="10"/>
  <c r="K88" i="10"/>
  <c r="N88" i="10"/>
  <c r="M88" i="10"/>
  <c r="K35" i="9"/>
  <c r="K39" i="9"/>
  <c r="K43" i="9"/>
  <c r="K47" i="9"/>
  <c r="K51" i="9"/>
  <c r="K55" i="9"/>
  <c r="K59" i="9"/>
  <c r="K63" i="9"/>
  <c r="K70" i="9"/>
  <c r="K74" i="9"/>
  <c r="K78" i="9"/>
  <c r="K82" i="9"/>
  <c r="K86" i="9"/>
  <c r="K90" i="9"/>
  <c r="S2" i="10"/>
  <c r="Y4" i="10"/>
  <c r="S4" i="10" s="1"/>
  <c r="Y10" i="10"/>
  <c r="S10" i="10" s="1"/>
  <c r="K16" i="10"/>
  <c r="X19" i="10"/>
  <c r="T19" i="10" s="1"/>
  <c r="W19" i="10" s="1"/>
  <c r="X21" i="10"/>
  <c r="T21" i="10" s="1"/>
  <c r="W21" i="10" s="1"/>
  <c r="K22" i="10"/>
  <c r="O22" i="10" s="1"/>
  <c r="P22" i="10" s="1"/>
  <c r="N22" i="10"/>
  <c r="W29" i="10"/>
  <c r="S29" i="10"/>
  <c r="Z29" i="10"/>
  <c r="Q29" i="10"/>
  <c r="Y30" i="10"/>
  <c r="S30" i="10" s="1"/>
  <c r="X36" i="10"/>
  <c r="T36" i="10" s="1"/>
  <c r="W36" i="10" s="1"/>
  <c r="X37" i="10"/>
  <c r="T37" i="10" s="1"/>
  <c r="W37" i="10" s="1"/>
  <c r="S37" i="10"/>
  <c r="W47" i="10"/>
  <c r="S47" i="10"/>
  <c r="Z47" i="10"/>
  <c r="Q47" i="10" s="1"/>
  <c r="Y48" i="10"/>
  <c r="S48" i="10" s="1"/>
  <c r="W61" i="10"/>
  <c r="S61" i="10"/>
  <c r="Z61" i="10"/>
  <c r="Q61" i="10" s="1"/>
  <c r="Q66" i="10"/>
  <c r="M67" i="10"/>
  <c r="N11" i="11"/>
  <c r="O11" i="11" s="1"/>
  <c r="T2" i="10"/>
  <c r="W2" i="10" s="1"/>
  <c r="Q4" i="10"/>
  <c r="T9" i="10"/>
  <c r="W9" i="10" s="1"/>
  <c r="T12" i="10"/>
  <c r="W12" i="10" s="1"/>
  <c r="T15" i="10"/>
  <c r="W15" i="10" s="1"/>
  <c r="Y19" i="10"/>
  <c r="S19" i="10" s="1"/>
  <c r="Y21" i="10"/>
  <c r="S21" i="10" s="1"/>
  <c r="L22" i="10"/>
  <c r="X22" i="10"/>
  <c r="T22" i="10" s="1"/>
  <c r="W22" i="10" s="1"/>
  <c r="S22" i="10"/>
  <c r="S24" i="10"/>
  <c r="Z24" i="10"/>
  <c r="Z30" i="10"/>
  <c r="Q30" i="10" s="1"/>
  <c r="Y36" i="10"/>
  <c r="S36" i="10" s="1"/>
  <c r="Z48" i="10"/>
  <c r="Q48" i="10" s="1"/>
  <c r="X65" i="10"/>
  <c r="T65" i="10" s="1"/>
  <c r="W65" i="10" s="1"/>
  <c r="X66" i="10"/>
  <c r="T66" i="10" s="1"/>
  <c r="W66" i="10" s="1"/>
  <c r="N67" i="10"/>
  <c r="N68" i="10"/>
  <c r="M68" i="10"/>
  <c r="L68" i="10"/>
  <c r="X20" i="10"/>
  <c r="T20" i="10" s="1"/>
  <c r="W20" i="10" s="1"/>
  <c r="T23" i="10"/>
  <c r="W23" i="10" s="1"/>
  <c r="X23" i="10"/>
  <c r="X34" i="10"/>
  <c r="T34" i="10" s="1"/>
  <c r="W34" i="10" s="1"/>
  <c r="T38" i="10"/>
  <c r="W38" i="10" s="1"/>
  <c r="X38" i="10"/>
  <c r="X53" i="10"/>
  <c r="T53" i="10" s="1"/>
  <c r="W53" i="10" s="1"/>
  <c r="T56" i="10"/>
  <c r="W56" i="10" s="1"/>
  <c r="X56" i="10"/>
  <c r="X59" i="10"/>
  <c r="T59" i="10" s="1"/>
  <c r="W59" i="10" s="1"/>
  <c r="T63" i="10"/>
  <c r="W63" i="10" s="1"/>
  <c r="X63" i="10"/>
  <c r="X67" i="10"/>
  <c r="T67" i="10" s="1"/>
  <c r="W67" i="10" s="1"/>
  <c r="L71" i="10"/>
  <c r="Z72" i="10"/>
  <c r="Q72" i="10" s="1"/>
  <c r="K74" i="10"/>
  <c r="X74" i="10"/>
  <c r="T74" i="10" s="1"/>
  <c r="W74" i="10" s="1"/>
  <c r="K78" i="10"/>
  <c r="X78" i="10"/>
  <c r="T78" i="10" s="1"/>
  <c r="W78" i="10" s="1"/>
  <c r="Q80" i="10"/>
  <c r="Z80" i="10"/>
  <c r="L83" i="10"/>
  <c r="Q84" i="10"/>
  <c r="W84" i="10"/>
  <c r="T85" i="10"/>
  <c r="W85" i="10" s="1"/>
  <c r="Y85" i="10"/>
  <c r="S85" i="10" s="1"/>
  <c r="Q86" i="10"/>
  <c r="W86" i="10"/>
  <c r="T87" i="10"/>
  <c r="W87" i="10" s="1"/>
  <c r="Y87" i="10"/>
  <c r="S87" i="10" s="1"/>
  <c r="L3" i="11"/>
  <c r="N3" i="11" s="1"/>
  <c r="O3" i="11" s="1"/>
  <c r="P3" i="11"/>
  <c r="L5" i="11"/>
  <c r="N5" i="11" s="1"/>
  <c r="O5" i="11" s="1"/>
  <c r="P5" i="11"/>
  <c r="M9" i="11"/>
  <c r="Q9" i="11"/>
  <c r="M11" i="11"/>
  <c r="Q11" i="11"/>
  <c r="L15" i="11"/>
  <c r="L17" i="11"/>
  <c r="N36" i="11"/>
  <c r="O36" i="11" s="1"/>
  <c r="N40" i="11"/>
  <c r="O40" i="11" s="1"/>
  <c r="L23" i="13"/>
  <c r="N23" i="13"/>
  <c r="J23" i="13"/>
  <c r="I23" i="13"/>
  <c r="K23" i="13"/>
  <c r="X69" i="10"/>
  <c r="T69" i="10" s="1"/>
  <c r="W69" i="10" s="1"/>
  <c r="X73" i="10"/>
  <c r="T73" i="10" s="1"/>
  <c r="W73" i="10" s="1"/>
  <c r="L74" i="10"/>
  <c r="Y74" i="10"/>
  <c r="S74" i="10" s="1"/>
  <c r="L78" i="10"/>
  <c r="Y78" i="10"/>
  <c r="S78" i="10" s="1"/>
  <c r="X81" i="10"/>
  <c r="T81" i="10" s="1"/>
  <c r="W81" i="10" s="1"/>
  <c r="Z85" i="10"/>
  <c r="Q85" i="10" s="1"/>
  <c r="Z87" i="10"/>
  <c r="Q87" i="10" s="1"/>
  <c r="M3" i="11"/>
  <c r="Q3" i="11"/>
  <c r="M5" i="11"/>
  <c r="Q5" i="11"/>
  <c r="S15" i="11"/>
  <c r="K15" i="11"/>
  <c r="Q15" i="11"/>
  <c r="M15" i="11"/>
  <c r="S17" i="11"/>
  <c r="K17" i="11"/>
  <c r="Q17" i="11"/>
  <c r="M17" i="11"/>
  <c r="P21" i="11"/>
  <c r="L21" i="11"/>
  <c r="S21" i="11"/>
  <c r="K21" i="11"/>
  <c r="Q21" i="11"/>
  <c r="M21" i="11"/>
  <c r="P25" i="11"/>
  <c r="L25" i="11"/>
  <c r="S25" i="11"/>
  <c r="K25" i="11"/>
  <c r="Q25" i="11"/>
  <c r="M25" i="11"/>
  <c r="Y69" i="10"/>
  <c r="S69" i="10" s="1"/>
  <c r="Y73" i="10"/>
  <c r="S73" i="10" s="1"/>
  <c r="Y81" i="10"/>
  <c r="S81" i="10" s="1"/>
  <c r="K71" i="10"/>
  <c r="Q73" i="10"/>
  <c r="Q81" i="10"/>
  <c r="K83" i="10"/>
  <c r="M2" i="11"/>
  <c r="N2" i="11" s="1"/>
  <c r="O2" i="11" s="1"/>
  <c r="K3" i="11"/>
  <c r="M4" i="11"/>
  <c r="N4" i="11" s="1"/>
  <c r="O4" i="11" s="1"/>
  <c r="K5" i="11"/>
  <c r="M6" i="11"/>
  <c r="N6" i="11" s="1"/>
  <c r="O6" i="11" s="1"/>
  <c r="L9" i="11"/>
  <c r="N9" i="11" s="1"/>
  <c r="O9" i="11" s="1"/>
  <c r="P9" i="11"/>
  <c r="L11" i="11"/>
  <c r="P11" i="11"/>
  <c r="Q14" i="11"/>
  <c r="M14" i="11"/>
  <c r="N14" i="11" s="1"/>
  <c r="O14" i="11" s="1"/>
  <c r="S14" i="11"/>
  <c r="K14" i="11"/>
  <c r="I15" i="11"/>
  <c r="Q16" i="11"/>
  <c r="M16" i="11"/>
  <c r="S16" i="11"/>
  <c r="K16" i="11"/>
  <c r="I17" i="11"/>
  <c r="P19" i="11"/>
  <c r="L19" i="11"/>
  <c r="S19" i="11"/>
  <c r="K19" i="11"/>
  <c r="Q19" i="11"/>
  <c r="M19" i="11"/>
  <c r="P23" i="11"/>
  <c r="L23" i="11"/>
  <c r="S23" i="11"/>
  <c r="K23" i="11"/>
  <c r="Q23" i="11"/>
  <c r="M23" i="11"/>
  <c r="P27" i="11"/>
  <c r="L27" i="11"/>
  <c r="S27" i="11"/>
  <c r="K27" i="11"/>
  <c r="Q27" i="11"/>
  <c r="M27" i="11"/>
  <c r="N30" i="11"/>
  <c r="O30" i="11" s="1"/>
  <c r="L2" i="13"/>
  <c r="N2" i="13"/>
  <c r="J2" i="13"/>
  <c r="K2" i="13"/>
  <c r="I2" i="13"/>
  <c r="L14" i="13"/>
  <c r="N14" i="13"/>
  <c r="J14" i="13"/>
  <c r="K14" i="13"/>
  <c r="I14" i="13"/>
  <c r="K18" i="11"/>
  <c r="S18" i="11"/>
  <c r="K20" i="11"/>
  <c r="S20" i="11"/>
  <c r="K22" i="11"/>
  <c r="S22" i="11"/>
  <c r="K24" i="11"/>
  <c r="S24" i="11"/>
  <c r="K26" i="11"/>
  <c r="S26" i="11"/>
  <c r="K28" i="11"/>
  <c r="S28" i="11"/>
  <c r="L33" i="11"/>
  <c r="L35" i="11"/>
  <c r="Q37" i="11"/>
  <c r="M37" i="11"/>
  <c r="N37" i="11" s="1"/>
  <c r="O37" i="11" s="1"/>
  <c r="S37" i="11"/>
  <c r="K37" i="11"/>
  <c r="Q39" i="11"/>
  <c r="M39" i="11"/>
  <c r="S39" i="11"/>
  <c r="K39" i="11"/>
  <c r="Q41" i="11"/>
  <c r="M41" i="11"/>
  <c r="S41" i="11"/>
  <c r="K41" i="11"/>
  <c r="Q43" i="11"/>
  <c r="M43" i="11"/>
  <c r="S43" i="11"/>
  <c r="K43" i="11"/>
  <c r="Q45" i="11"/>
  <c r="M45" i="11"/>
  <c r="S45" i="11"/>
  <c r="K45" i="11"/>
  <c r="Q47" i="11"/>
  <c r="M47" i="11"/>
  <c r="S47" i="11"/>
  <c r="K47" i="11"/>
  <c r="Q49" i="11"/>
  <c r="M49" i="11"/>
  <c r="S49" i="11"/>
  <c r="K49" i="11"/>
  <c r="Q51" i="11"/>
  <c r="M51" i="11"/>
  <c r="S51" i="11"/>
  <c r="K51" i="11"/>
  <c r="Q53" i="11"/>
  <c r="M53" i="11"/>
  <c r="S53" i="11"/>
  <c r="K53" i="11"/>
  <c r="Q55" i="11"/>
  <c r="M55" i="11"/>
  <c r="S55" i="11"/>
  <c r="K55" i="11"/>
  <c r="Q57" i="11"/>
  <c r="M57" i="11"/>
  <c r="S57" i="11"/>
  <c r="K57" i="11"/>
  <c r="N61" i="11"/>
  <c r="O61" i="11" s="1"/>
  <c r="R64" i="11"/>
  <c r="T64" i="11" s="1"/>
  <c r="U64" i="11" s="1"/>
  <c r="N67" i="11"/>
  <c r="O67" i="11" s="1"/>
  <c r="Q69" i="11"/>
  <c r="M69" i="11"/>
  <c r="S69" i="11"/>
  <c r="K69" i="11"/>
  <c r="S71" i="11"/>
  <c r="K71" i="11"/>
  <c r="Q71" i="11"/>
  <c r="M71" i="11"/>
  <c r="Q73" i="11"/>
  <c r="M73" i="11"/>
  <c r="S73" i="11"/>
  <c r="K73" i="11"/>
  <c r="N83" i="11"/>
  <c r="O83" i="11" s="1"/>
  <c r="Q85" i="11"/>
  <c r="M85" i="11"/>
  <c r="S85" i="11"/>
  <c r="K85" i="11"/>
  <c r="S87" i="11"/>
  <c r="K87" i="11"/>
  <c r="Q87" i="11"/>
  <c r="M87" i="11"/>
  <c r="N91" i="11"/>
  <c r="O91" i="11" s="1"/>
  <c r="L92" i="11"/>
  <c r="L101" i="11"/>
  <c r="L2" i="12"/>
  <c r="N2" i="12"/>
  <c r="J2" i="12"/>
  <c r="N4" i="13"/>
  <c r="J4" i="13"/>
  <c r="L4" i="13"/>
  <c r="N16" i="13"/>
  <c r="J16" i="13"/>
  <c r="L16" i="13"/>
  <c r="L27" i="13"/>
  <c r="N27" i="13"/>
  <c r="J27" i="13"/>
  <c r="R34" i="13"/>
  <c r="U61" i="13"/>
  <c r="R61" i="13" s="1"/>
  <c r="U67" i="13"/>
  <c r="R67" i="13" s="1"/>
  <c r="I70" i="11"/>
  <c r="P70" i="11"/>
  <c r="L70" i="11"/>
  <c r="P72" i="11"/>
  <c r="L72" i="11"/>
  <c r="I72" i="11"/>
  <c r="I74" i="11"/>
  <c r="P74" i="11"/>
  <c r="L74" i="11"/>
  <c r="I86" i="11"/>
  <c r="P86" i="11"/>
  <c r="L86" i="11"/>
  <c r="S92" i="11"/>
  <c r="K92" i="11"/>
  <c r="Q92" i="11"/>
  <c r="M92" i="11"/>
  <c r="S101" i="11"/>
  <c r="K101" i="11"/>
  <c r="Q101" i="11"/>
  <c r="M101" i="11"/>
  <c r="K2" i="12"/>
  <c r="N3" i="12"/>
  <c r="J3" i="12"/>
  <c r="L3" i="12"/>
  <c r="L21" i="12"/>
  <c r="N21" i="12"/>
  <c r="J21" i="12"/>
  <c r="N23" i="12"/>
  <c r="J23" i="12"/>
  <c r="L23" i="12"/>
  <c r="L24" i="12"/>
  <c r="N24" i="12"/>
  <c r="J24" i="12"/>
  <c r="N55" i="12"/>
  <c r="J55" i="12"/>
  <c r="L55" i="12"/>
  <c r="L56" i="12"/>
  <c r="N56" i="12"/>
  <c r="J56" i="12"/>
  <c r="N57" i="12"/>
  <c r="J57" i="12"/>
  <c r="L57" i="12"/>
  <c r="L58" i="12"/>
  <c r="N58" i="12"/>
  <c r="J58" i="12"/>
  <c r="N59" i="12"/>
  <c r="J59" i="12"/>
  <c r="L59" i="12"/>
  <c r="L60" i="12"/>
  <c r="N60" i="12"/>
  <c r="J60" i="12"/>
  <c r="N61" i="12"/>
  <c r="J61" i="12"/>
  <c r="L61" i="12"/>
  <c r="L62" i="12"/>
  <c r="N62" i="12"/>
  <c r="J62" i="12"/>
  <c r="N63" i="12"/>
  <c r="J63" i="12"/>
  <c r="L63" i="12"/>
  <c r="L64" i="12"/>
  <c r="N64" i="12"/>
  <c r="J64" i="12"/>
  <c r="N65" i="12"/>
  <c r="J65" i="12"/>
  <c r="L65" i="12"/>
  <c r="L66" i="12"/>
  <c r="N66" i="12"/>
  <c r="J66" i="12"/>
  <c r="N67" i="12"/>
  <c r="J67" i="12"/>
  <c r="L67" i="12"/>
  <c r="L68" i="12"/>
  <c r="N68" i="12"/>
  <c r="J68" i="12"/>
  <c r="L87" i="12"/>
  <c r="N87" i="12"/>
  <c r="J87" i="12"/>
  <c r="K16" i="13"/>
  <c r="L18" i="13"/>
  <c r="N18" i="13"/>
  <c r="J18" i="13"/>
  <c r="N20" i="13"/>
  <c r="J20" i="13"/>
  <c r="L20" i="13"/>
  <c r="I21" i="13"/>
  <c r="K21" i="13"/>
  <c r="R22" i="13"/>
  <c r="K27" i="13"/>
  <c r="N30" i="13"/>
  <c r="J30" i="13"/>
  <c r="L30" i="13"/>
  <c r="I31" i="13"/>
  <c r="K31" i="13"/>
  <c r="N56" i="13"/>
  <c r="J56" i="13"/>
  <c r="L56" i="13"/>
  <c r="I56" i="13"/>
  <c r="R59" i="13"/>
  <c r="U59" i="13"/>
  <c r="U73" i="13"/>
  <c r="R73" i="13" s="1"/>
  <c r="N78" i="13"/>
  <c r="J78" i="13"/>
  <c r="L78" i="13"/>
  <c r="I78" i="13"/>
  <c r="K78" i="13"/>
  <c r="M18" i="11"/>
  <c r="N18" i="11" s="1"/>
  <c r="O18" i="11" s="1"/>
  <c r="M20" i="11"/>
  <c r="M22" i="11"/>
  <c r="N22" i="11" s="1"/>
  <c r="O22" i="11" s="1"/>
  <c r="M24" i="11"/>
  <c r="N24" i="11" s="1"/>
  <c r="O24" i="11" s="1"/>
  <c r="M26" i="11"/>
  <c r="N26" i="11" s="1"/>
  <c r="O26" i="11" s="1"/>
  <c r="M28" i="11"/>
  <c r="N28" i="11" s="1"/>
  <c r="O28" i="11" s="1"/>
  <c r="L31" i="11"/>
  <c r="N31" i="11" s="1"/>
  <c r="O31" i="11" s="1"/>
  <c r="P31" i="11"/>
  <c r="I33" i="11"/>
  <c r="S34" i="11"/>
  <c r="K34" i="11"/>
  <c r="I35" i="11"/>
  <c r="S36" i="11"/>
  <c r="K36" i="11"/>
  <c r="Q36" i="11"/>
  <c r="M36" i="11"/>
  <c r="S38" i="11"/>
  <c r="K38" i="11"/>
  <c r="Q38" i="11"/>
  <c r="M38" i="11"/>
  <c r="N38" i="11" s="1"/>
  <c r="O38" i="11" s="1"/>
  <c r="S40" i="11"/>
  <c r="K40" i="11"/>
  <c r="Q40" i="11"/>
  <c r="M40" i="11"/>
  <c r="I41" i="11"/>
  <c r="S42" i="11"/>
  <c r="K42" i="11"/>
  <c r="Q42" i="11"/>
  <c r="M42" i="11"/>
  <c r="N42" i="11" s="1"/>
  <c r="O42" i="11" s="1"/>
  <c r="I43" i="11"/>
  <c r="S44" i="11"/>
  <c r="K44" i="11"/>
  <c r="Q44" i="11"/>
  <c r="M44" i="11"/>
  <c r="N44" i="11" s="1"/>
  <c r="O44" i="11" s="1"/>
  <c r="I45" i="11"/>
  <c r="S46" i="11"/>
  <c r="K46" i="11"/>
  <c r="Q46" i="11"/>
  <c r="M46" i="11"/>
  <c r="N46" i="11" s="1"/>
  <c r="O46" i="11" s="1"/>
  <c r="I47" i="11"/>
  <c r="S48" i="11"/>
  <c r="K48" i="11"/>
  <c r="Q48" i="11"/>
  <c r="M48" i="11"/>
  <c r="N48" i="11" s="1"/>
  <c r="O48" i="11" s="1"/>
  <c r="I49" i="11"/>
  <c r="S50" i="11"/>
  <c r="K50" i="11"/>
  <c r="Q50" i="11"/>
  <c r="M50" i="11"/>
  <c r="N50" i="11" s="1"/>
  <c r="O50" i="11" s="1"/>
  <c r="I51" i="11"/>
  <c r="S52" i="11"/>
  <c r="K52" i="11"/>
  <c r="Q52" i="11"/>
  <c r="M52" i="11"/>
  <c r="N52" i="11" s="1"/>
  <c r="O52" i="11" s="1"/>
  <c r="I53" i="11"/>
  <c r="S54" i="11"/>
  <c r="K54" i="11"/>
  <c r="Q54" i="11"/>
  <c r="M54" i="11"/>
  <c r="N54" i="11" s="1"/>
  <c r="O54" i="11" s="1"/>
  <c r="I55" i="11"/>
  <c r="S56" i="11"/>
  <c r="K56" i="11"/>
  <c r="Q56" i="11"/>
  <c r="M56" i="11"/>
  <c r="N56" i="11" s="1"/>
  <c r="O56" i="11" s="1"/>
  <c r="I57" i="11"/>
  <c r="R59" i="11"/>
  <c r="T59" i="11" s="1"/>
  <c r="U59" i="11" s="1"/>
  <c r="S65" i="11"/>
  <c r="K65" i="11"/>
  <c r="R65" i="11" s="1"/>
  <c r="T65" i="11" s="1"/>
  <c r="U65" i="11" s="1"/>
  <c r="Q65" i="11"/>
  <c r="M65" i="11"/>
  <c r="N65" i="11" s="1"/>
  <c r="O65" i="11" s="1"/>
  <c r="I69" i="11"/>
  <c r="Q70" i="11"/>
  <c r="I71" i="11"/>
  <c r="Q72" i="11"/>
  <c r="I73" i="11"/>
  <c r="Q74" i="11"/>
  <c r="R77" i="11"/>
  <c r="T77" i="11" s="1"/>
  <c r="U77" i="11" s="1"/>
  <c r="Q79" i="11"/>
  <c r="M79" i="11"/>
  <c r="N79" i="11" s="1"/>
  <c r="O79" i="11" s="1"/>
  <c r="S79" i="11"/>
  <c r="K79" i="11"/>
  <c r="S81" i="11"/>
  <c r="K81" i="11"/>
  <c r="Q81" i="11"/>
  <c r="M81" i="11"/>
  <c r="N81" i="11" s="1"/>
  <c r="O81" i="11" s="1"/>
  <c r="I85" i="11"/>
  <c r="Q86" i="11"/>
  <c r="I87" i="11"/>
  <c r="R89" i="11"/>
  <c r="T89" i="11" s="1"/>
  <c r="U89" i="11" s="1"/>
  <c r="P92" i="11"/>
  <c r="P93" i="11"/>
  <c r="L93" i="11"/>
  <c r="I93" i="11"/>
  <c r="R97" i="11"/>
  <c r="T97" i="11" s="1"/>
  <c r="U97" i="11" s="1"/>
  <c r="I99" i="11"/>
  <c r="P99" i="11"/>
  <c r="L99" i="11"/>
  <c r="P101" i="11"/>
  <c r="Q103" i="11"/>
  <c r="M103" i="11"/>
  <c r="N103" i="11" s="1"/>
  <c r="O103" i="11" s="1"/>
  <c r="S103" i="11"/>
  <c r="K103" i="11"/>
  <c r="R103" i="11" s="1"/>
  <c r="T103" i="11" s="1"/>
  <c r="U103" i="11" s="1"/>
  <c r="K3" i="12"/>
  <c r="L4" i="12"/>
  <c r="N4" i="12"/>
  <c r="J4" i="12"/>
  <c r="N5" i="12"/>
  <c r="J5" i="12"/>
  <c r="L5" i="12"/>
  <c r="L6" i="12"/>
  <c r="N6" i="12"/>
  <c r="J6" i="12"/>
  <c r="N7" i="12"/>
  <c r="J7" i="12"/>
  <c r="L7" i="12"/>
  <c r="L8" i="12"/>
  <c r="N8" i="12"/>
  <c r="J8" i="12"/>
  <c r="N9" i="12"/>
  <c r="J9" i="12"/>
  <c r="L9" i="12"/>
  <c r="L10" i="12"/>
  <c r="N10" i="12"/>
  <c r="J10" i="12"/>
  <c r="N11" i="12"/>
  <c r="J11" i="12"/>
  <c r="L11" i="12"/>
  <c r="L12" i="12"/>
  <c r="N12" i="12"/>
  <c r="J12" i="12"/>
  <c r="N13" i="12"/>
  <c r="J13" i="12"/>
  <c r="L13" i="12"/>
  <c r="L14" i="12"/>
  <c r="N14" i="12"/>
  <c r="J14" i="12"/>
  <c r="N15" i="12"/>
  <c r="J15" i="12"/>
  <c r="L15" i="12"/>
  <c r="L16" i="12"/>
  <c r="N16" i="12"/>
  <c r="J16" i="12"/>
  <c r="N17" i="12"/>
  <c r="J17" i="12"/>
  <c r="L17" i="12"/>
  <c r="L18" i="12"/>
  <c r="N18" i="12"/>
  <c r="J18" i="12"/>
  <c r="N19" i="12"/>
  <c r="J19" i="12"/>
  <c r="L19" i="12"/>
  <c r="L20" i="12"/>
  <c r="N20" i="12"/>
  <c r="J20" i="12"/>
  <c r="K21" i="12"/>
  <c r="K23" i="12"/>
  <c r="K24" i="12"/>
  <c r="M47" i="12"/>
  <c r="O47" i="12" s="1"/>
  <c r="P47" i="12" s="1"/>
  <c r="K55" i="12"/>
  <c r="K56" i="12"/>
  <c r="K57" i="12"/>
  <c r="K58" i="12"/>
  <c r="K59" i="12"/>
  <c r="K60" i="12"/>
  <c r="K61" i="12"/>
  <c r="K62" i="12"/>
  <c r="K63" i="12"/>
  <c r="K64" i="12"/>
  <c r="K87" i="12"/>
  <c r="R3" i="13"/>
  <c r="R15" i="13"/>
  <c r="K18" i="13"/>
  <c r="K20" i="13"/>
  <c r="N21" i="13"/>
  <c r="K30" i="13"/>
  <c r="N31" i="13"/>
  <c r="N35" i="13"/>
  <c r="J35" i="13"/>
  <c r="L35" i="13"/>
  <c r="L44" i="13"/>
  <c r="N44" i="13"/>
  <c r="J44" i="13"/>
  <c r="K44" i="13"/>
  <c r="N64" i="13"/>
  <c r="J64" i="13"/>
  <c r="L64" i="13"/>
  <c r="I64" i="13"/>
  <c r="K64" i="13"/>
  <c r="N68" i="13"/>
  <c r="J68" i="13"/>
  <c r="L68" i="13"/>
  <c r="K68" i="13"/>
  <c r="I68" i="13"/>
  <c r="N69" i="13"/>
  <c r="J69" i="13"/>
  <c r="L69" i="13"/>
  <c r="K69" i="13"/>
  <c r="U83" i="13"/>
  <c r="R83" i="13" s="1"/>
  <c r="L8" i="15"/>
  <c r="N8" i="15"/>
  <c r="J8" i="15"/>
  <c r="K8" i="15"/>
  <c r="N14" i="15"/>
  <c r="J14" i="15"/>
  <c r="L14" i="15"/>
  <c r="K14" i="15"/>
  <c r="Q33" i="11"/>
  <c r="M33" i="11"/>
  <c r="Q35" i="11"/>
  <c r="M35" i="11"/>
  <c r="L45" i="11"/>
  <c r="P46" i="11"/>
  <c r="L47" i="11"/>
  <c r="P48" i="11"/>
  <c r="L49" i="11"/>
  <c r="P50" i="11"/>
  <c r="L51" i="11"/>
  <c r="P52" i="11"/>
  <c r="L53" i="11"/>
  <c r="P54" i="11"/>
  <c r="L55" i="11"/>
  <c r="P56" i="11"/>
  <c r="L57" i="11"/>
  <c r="S58" i="11"/>
  <c r="K58" i="11"/>
  <c r="Q58" i="11"/>
  <c r="M58" i="11"/>
  <c r="N58" i="11" s="1"/>
  <c r="O58" i="11" s="1"/>
  <c r="I60" i="11"/>
  <c r="P60" i="11"/>
  <c r="L60" i="11"/>
  <c r="P65" i="11"/>
  <c r="P66" i="11"/>
  <c r="L66" i="11"/>
  <c r="I66" i="11"/>
  <c r="L69" i="11"/>
  <c r="K70" i="11"/>
  <c r="S70" i="11"/>
  <c r="L71" i="11"/>
  <c r="K72" i="11"/>
  <c r="S72" i="11"/>
  <c r="L73" i="11"/>
  <c r="K74" i="11"/>
  <c r="S74" i="11"/>
  <c r="Q76" i="11"/>
  <c r="M76" i="11"/>
  <c r="N76" i="11" s="1"/>
  <c r="O76" i="11" s="1"/>
  <c r="S76" i="11"/>
  <c r="K76" i="11"/>
  <c r="P78" i="11"/>
  <c r="L78" i="11"/>
  <c r="I78" i="11"/>
  <c r="P79" i="11"/>
  <c r="I80" i="11"/>
  <c r="P80" i="11"/>
  <c r="L80" i="11"/>
  <c r="P81" i="11"/>
  <c r="P82" i="11"/>
  <c r="L82" i="11"/>
  <c r="I82" i="11"/>
  <c r="L85" i="11"/>
  <c r="K86" i="11"/>
  <c r="S86" i="11"/>
  <c r="L87" i="11"/>
  <c r="R88" i="11"/>
  <c r="T88" i="11" s="1"/>
  <c r="U88" i="11" s="1"/>
  <c r="P90" i="11"/>
  <c r="L90" i="11"/>
  <c r="I90" i="11"/>
  <c r="I92" i="11"/>
  <c r="Q93" i="11"/>
  <c r="Q96" i="11"/>
  <c r="M96" i="11"/>
  <c r="N96" i="11" s="1"/>
  <c r="O96" i="11" s="1"/>
  <c r="S96" i="11"/>
  <c r="K96" i="11"/>
  <c r="Q99" i="11"/>
  <c r="I101" i="11"/>
  <c r="P103" i="11"/>
  <c r="K4" i="12"/>
  <c r="K5" i="12"/>
  <c r="K6" i="12"/>
  <c r="K7" i="12"/>
  <c r="K8" i="12"/>
  <c r="K9" i="12"/>
  <c r="K10" i="12"/>
  <c r="U9" i="13"/>
  <c r="R9" i="13" s="1"/>
  <c r="L10" i="13"/>
  <c r="N10" i="13"/>
  <c r="J10" i="13"/>
  <c r="U11" i="13"/>
  <c r="R11" i="13" s="1"/>
  <c r="N12" i="13"/>
  <c r="J12" i="13"/>
  <c r="L12" i="13"/>
  <c r="R19" i="13"/>
  <c r="U22" i="13"/>
  <c r="U24" i="13"/>
  <c r="R24" i="13" s="1"/>
  <c r="N25" i="13"/>
  <c r="J25" i="13"/>
  <c r="L25" i="13"/>
  <c r="K35" i="13"/>
  <c r="U36" i="13"/>
  <c r="R36" i="13" s="1"/>
  <c r="L37" i="13"/>
  <c r="J37" i="13"/>
  <c r="U38" i="13"/>
  <c r="R38" i="13" s="1"/>
  <c r="N39" i="13"/>
  <c r="J39" i="13"/>
  <c r="L39" i="13"/>
  <c r="R43" i="13"/>
  <c r="R81" i="13"/>
  <c r="U81" i="13"/>
  <c r="U87" i="13"/>
  <c r="R87" i="13" s="1"/>
  <c r="R48" i="13"/>
  <c r="L53" i="13"/>
  <c r="N53" i="13"/>
  <c r="J53" i="13"/>
  <c r="N60" i="13"/>
  <c r="J60" i="13"/>
  <c r="L60" i="13"/>
  <c r="N74" i="13"/>
  <c r="J74" i="13"/>
  <c r="L74" i="13"/>
  <c r="L84" i="13"/>
  <c r="N84" i="13"/>
  <c r="J84" i="13"/>
  <c r="U89" i="13"/>
  <c r="R89" i="13" s="1"/>
  <c r="N6" i="15"/>
  <c r="J6" i="15"/>
  <c r="L6" i="15"/>
  <c r="L28" i="15"/>
  <c r="K28" i="15"/>
  <c r="N28" i="15"/>
  <c r="J28" i="15"/>
  <c r="L44" i="15"/>
  <c r="K44" i="15"/>
  <c r="N44" i="15"/>
  <c r="J44" i="15"/>
  <c r="N59" i="11"/>
  <c r="O59" i="11" s="1"/>
  <c r="N88" i="11"/>
  <c r="O88" i="11" s="1"/>
  <c r="N98" i="11"/>
  <c r="O98" i="11" s="1"/>
  <c r="K53" i="13"/>
  <c r="K60" i="13"/>
  <c r="K74" i="13"/>
  <c r="K84" i="13"/>
  <c r="U88" i="13"/>
  <c r="R88" i="13" s="1"/>
  <c r="N2" i="15"/>
  <c r="J2" i="15"/>
  <c r="L2" i="15"/>
  <c r="K6" i="15"/>
  <c r="L12" i="15"/>
  <c r="N12" i="15"/>
  <c r="J12" i="15"/>
  <c r="L16" i="15"/>
  <c r="K16" i="15"/>
  <c r="N16" i="15"/>
  <c r="J16" i="15"/>
  <c r="L32" i="15"/>
  <c r="K32" i="15"/>
  <c r="N32" i="15"/>
  <c r="J32" i="15"/>
  <c r="L48" i="15"/>
  <c r="K48" i="15"/>
  <c r="N48" i="15"/>
  <c r="J48" i="15"/>
  <c r="L20" i="15"/>
  <c r="K20" i="15"/>
  <c r="N20" i="15"/>
  <c r="J20" i="15"/>
  <c r="L36" i="15"/>
  <c r="K36" i="15"/>
  <c r="N36" i="15"/>
  <c r="J36" i="15"/>
  <c r="I44" i="15"/>
  <c r="N77" i="11"/>
  <c r="O77" i="11" s="1"/>
  <c r="N89" i="11"/>
  <c r="O89" i="11" s="1"/>
  <c r="N97" i="11"/>
  <c r="O97" i="11" s="1"/>
  <c r="L100" i="11"/>
  <c r="N100" i="11" s="1"/>
  <c r="O100" i="11" s="1"/>
  <c r="P100" i="11"/>
  <c r="R100" i="11" s="1"/>
  <c r="T100" i="11" s="1"/>
  <c r="U100" i="11" s="1"/>
  <c r="N102" i="11"/>
  <c r="O102" i="11" s="1"/>
  <c r="L104" i="11"/>
  <c r="N104" i="11" s="1"/>
  <c r="O104" i="11" s="1"/>
  <c r="P104" i="11"/>
  <c r="R104" i="11" s="1"/>
  <c r="T104" i="11" s="1"/>
  <c r="U104" i="11" s="1"/>
  <c r="K22" i="12"/>
  <c r="K26" i="12"/>
  <c r="K28" i="12"/>
  <c r="K30" i="12"/>
  <c r="K32" i="12"/>
  <c r="K34" i="12"/>
  <c r="K36" i="12"/>
  <c r="K38" i="12"/>
  <c r="K40" i="12"/>
  <c r="K42" i="12"/>
  <c r="K44" i="12"/>
  <c r="K46" i="12"/>
  <c r="K48" i="12"/>
  <c r="K50" i="12"/>
  <c r="K52" i="12"/>
  <c r="K54" i="12"/>
  <c r="K69" i="12"/>
  <c r="K71" i="12"/>
  <c r="K73" i="12"/>
  <c r="K75" i="12"/>
  <c r="K77" i="12"/>
  <c r="K79" i="12"/>
  <c r="K81" i="12"/>
  <c r="K83" i="12"/>
  <c r="K85" i="12"/>
  <c r="R41" i="13"/>
  <c r="R46" i="13"/>
  <c r="R55" i="13"/>
  <c r="U63" i="13"/>
  <c r="R63" i="13" s="1"/>
  <c r="U65" i="13"/>
  <c r="R65" i="13" s="1"/>
  <c r="L66" i="13"/>
  <c r="N66" i="13"/>
  <c r="J66" i="13"/>
  <c r="U71" i="13"/>
  <c r="R71" i="13" s="1"/>
  <c r="L72" i="13"/>
  <c r="N72" i="13"/>
  <c r="J72" i="13"/>
  <c r="U79" i="13"/>
  <c r="R79" i="13" s="1"/>
  <c r="L80" i="13"/>
  <c r="N80" i="13"/>
  <c r="J80" i="13"/>
  <c r="R85" i="13"/>
  <c r="U90" i="13"/>
  <c r="R90" i="13" s="1"/>
  <c r="L4" i="15"/>
  <c r="N4" i="15"/>
  <c r="J4" i="15"/>
  <c r="N10" i="15"/>
  <c r="J10" i="15"/>
  <c r="L10" i="15"/>
  <c r="I16" i="15"/>
  <c r="L24" i="15"/>
  <c r="K24" i="15"/>
  <c r="N24" i="15"/>
  <c r="J24" i="15"/>
  <c r="I32" i="15"/>
  <c r="L40" i="15"/>
  <c r="K40" i="15"/>
  <c r="N40" i="15"/>
  <c r="J40" i="15"/>
  <c r="L61" i="15"/>
  <c r="N61" i="15"/>
  <c r="J61" i="15"/>
  <c r="N67" i="15"/>
  <c r="J67" i="15"/>
  <c r="L67" i="15"/>
  <c r="K67" i="15"/>
  <c r="N83" i="15"/>
  <c r="J83" i="15"/>
  <c r="L83" i="15"/>
  <c r="K83" i="15"/>
  <c r="N87" i="15"/>
  <c r="J87" i="15"/>
  <c r="L87" i="15"/>
  <c r="K87" i="15"/>
  <c r="L4" i="16"/>
  <c r="J4" i="16"/>
  <c r="N4" i="16"/>
  <c r="I4" i="16"/>
  <c r="K5" i="15"/>
  <c r="K9" i="15"/>
  <c r="K13" i="15"/>
  <c r="K17" i="15"/>
  <c r="L18" i="15"/>
  <c r="K21" i="15"/>
  <c r="L22" i="15"/>
  <c r="K25" i="15"/>
  <c r="L26" i="15"/>
  <c r="K29" i="15"/>
  <c r="L30" i="15"/>
  <c r="K33" i="15"/>
  <c r="L34" i="15"/>
  <c r="K37" i="15"/>
  <c r="L38" i="15"/>
  <c r="K41" i="15"/>
  <c r="L42" i="15"/>
  <c r="K45" i="15"/>
  <c r="L46" i="15"/>
  <c r="K49" i="15"/>
  <c r="I51" i="15"/>
  <c r="L57" i="15"/>
  <c r="N57" i="15"/>
  <c r="J57" i="15"/>
  <c r="K61" i="15"/>
  <c r="N71" i="15"/>
  <c r="J71" i="15"/>
  <c r="L71" i="15"/>
  <c r="K71" i="15"/>
  <c r="N91" i="15"/>
  <c r="J91" i="15"/>
  <c r="L91" i="15"/>
  <c r="K91" i="15"/>
  <c r="N111" i="15"/>
  <c r="J111" i="15"/>
  <c r="L111" i="15"/>
  <c r="K111" i="15"/>
  <c r="K19" i="16"/>
  <c r="J19" i="16"/>
  <c r="N19" i="16"/>
  <c r="I19" i="16"/>
  <c r="L53" i="15"/>
  <c r="N53" i="15"/>
  <c r="J53" i="15"/>
  <c r="N59" i="15"/>
  <c r="J59" i="15"/>
  <c r="L59" i="15"/>
  <c r="I67" i="15"/>
  <c r="N75" i="15"/>
  <c r="J75" i="15"/>
  <c r="L75" i="15"/>
  <c r="K75" i="15"/>
  <c r="I83" i="15"/>
  <c r="I87" i="15"/>
  <c r="N95" i="15"/>
  <c r="J95" i="15"/>
  <c r="L95" i="15"/>
  <c r="K95" i="15"/>
  <c r="N99" i="15"/>
  <c r="J99" i="15"/>
  <c r="L99" i="15"/>
  <c r="K99" i="15"/>
  <c r="N103" i="15"/>
  <c r="J103" i="15"/>
  <c r="L103" i="15"/>
  <c r="K103" i="15"/>
  <c r="I3" i="16"/>
  <c r="K3" i="16"/>
  <c r="N3" i="16"/>
  <c r="J3" i="16"/>
  <c r="N34" i="16"/>
  <c r="J34" i="16"/>
  <c r="K34" i="16"/>
  <c r="I34" i="16"/>
  <c r="J18" i="15"/>
  <c r="J22" i="15"/>
  <c r="J26" i="15"/>
  <c r="J30" i="15"/>
  <c r="J34" i="15"/>
  <c r="J38" i="15"/>
  <c r="J42" i="15"/>
  <c r="J46" i="15"/>
  <c r="N51" i="15"/>
  <c r="J51" i="15"/>
  <c r="K53" i="15"/>
  <c r="N55" i="15"/>
  <c r="J55" i="15"/>
  <c r="L55" i="15"/>
  <c r="K59" i="15"/>
  <c r="N63" i="15"/>
  <c r="J63" i="15"/>
  <c r="L63" i="15"/>
  <c r="K63" i="15"/>
  <c r="I71" i="15"/>
  <c r="N79" i="15"/>
  <c r="J79" i="15"/>
  <c r="L79" i="15"/>
  <c r="K79" i="15"/>
  <c r="I91" i="15"/>
  <c r="N107" i="15"/>
  <c r="J107" i="15"/>
  <c r="L107" i="15"/>
  <c r="K107" i="15"/>
  <c r="K4" i="16"/>
  <c r="N18" i="16"/>
  <c r="J18" i="16"/>
  <c r="K18" i="16"/>
  <c r="I18" i="16"/>
  <c r="L20" i="16"/>
  <c r="J20" i="16"/>
  <c r="N20" i="16"/>
  <c r="I20" i="16"/>
  <c r="N10" i="16"/>
  <c r="J10" i="16"/>
  <c r="K11" i="16"/>
  <c r="N26" i="16"/>
  <c r="J26" i="16"/>
  <c r="K27" i="16"/>
  <c r="I35" i="16"/>
  <c r="N35" i="16"/>
  <c r="N42" i="16"/>
  <c r="J42" i="16"/>
  <c r="K43" i="16"/>
  <c r="L56" i="16"/>
  <c r="N56" i="16"/>
  <c r="J56" i="16"/>
  <c r="N66" i="16"/>
  <c r="J66" i="16"/>
  <c r="L66" i="16"/>
  <c r="L72" i="16"/>
  <c r="N72" i="16"/>
  <c r="J72" i="16"/>
  <c r="L92" i="16"/>
  <c r="K92" i="16"/>
  <c r="N92" i="16"/>
  <c r="J92" i="16"/>
  <c r="S10" i="19"/>
  <c r="K54" i="15"/>
  <c r="K58" i="15"/>
  <c r="K62" i="15"/>
  <c r="J65" i="15"/>
  <c r="N65" i="15"/>
  <c r="K66" i="15"/>
  <c r="J69" i="15"/>
  <c r="N69" i="15"/>
  <c r="K70" i="15"/>
  <c r="J73" i="15"/>
  <c r="N73" i="15"/>
  <c r="K74" i="15"/>
  <c r="J77" i="15"/>
  <c r="N77" i="15"/>
  <c r="K78" i="15"/>
  <c r="J81" i="15"/>
  <c r="N81" i="15"/>
  <c r="K82" i="15"/>
  <c r="M82" i="15" s="1"/>
  <c r="O82" i="15" s="1"/>
  <c r="P82" i="15" s="1"/>
  <c r="J85" i="15"/>
  <c r="N85" i="15"/>
  <c r="K86" i="15"/>
  <c r="J89" i="15"/>
  <c r="N89" i="15"/>
  <c r="K90" i="15"/>
  <c r="J93" i="15"/>
  <c r="N93" i="15"/>
  <c r="K94" i="15"/>
  <c r="J97" i="15"/>
  <c r="N97" i="15"/>
  <c r="K98" i="15"/>
  <c r="J101" i="15"/>
  <c r="N101" i="15"/>
  <c r="K102" i="15"/>
  <c r="J105" i="15"/>
  <c r="N105" i="15"/>
  <c r="J109" i="15"/>
  <c r="N109" i="15"/>
  <c r="J2" i="16"/>
  <c r="N2" i="16"/>
  <c r="N6" i="16"/>
  <c r="J6" i="16"/>
  <c r="K7" i="16"/>
  <c r="I14" i="16"/>
  <c r="I15" i="16"/>
  <c r="I16" i="16"/>
  <c r="N16" i="16"/>
  <c r="N22" i="16"/>
  <c r="J22" i="16"/>
  <c r="K23" i="16"/>
  <c r="I30" i="16"/>
  <c r="I31" i="16"/>
  <c r="I32" i="16"/>
  <c r="N32" i="16"/>
  <c r="J36" i="16"/>
  <c r="N38" i="16"/>
  <c r="J38" i="16"/>
  <c r="K39" i="16"/>
  <c r="I46" i="16"/>
  <c r="I47" i="16"/>
  <c r="I48" i="16"/>
  <c r="N48" i="16"/>
  <c r="L52" i="16"/>
  <c r="N52" i="16"/>
  <c r="J52" i="16"/>
  <c r="M52" i="16" s="1"/>
  <c r="K56" i="16"/>
  <c r="N62" i="16"/>
  <c r="J62" i="16"/>
  <c r="L62" i="16"/>
  <c r="K66" i="16"/>
  <c r="L68" i="16"/>
  <c r="N68" i="16"/>
  <c r="J68" i="16"/>
  <c r="K72" i="16"/>
  <c r="N78" i="16"/>
  <c r="J78" i="16"/>
  <c r="L78" i="16"/>
  <c r="L96" i="16"/>
  <c r="K96" i="16"/>
  <c r="N96" i="16"/>
  <c r="J96" i="16"/>
  <c r="L108" i="16"/>
  <c r="K108" i="16"/>
  <c r="N108" i="16"/>
  <c r="J108" i="16"/>
  <c r="S8" i="19"/>
  <c r="K35" i="16"/>
  <c r="I42" i="16"/>
  <c r="I43" i="16"/>
  <c r="N43" i="16"/>
  <c r="I44" i="16"/>
  <c r="N44" i="16"/>
  <c r="N50" i="16"/>
  <c r="J50" i="16"/>
  <c r="N58" i="16"/>
  <c r="J58" i="16"/>
  <c r="L58" i="16"/>
  <c r="L64" i="16"/>
  <c r="N64" i="16"/>
  <c r="J64" i="16"/>
  <c r="N74" i="16"/>
  <c r="J74" i="16"/>
  <c r="L74" i="16"/>
  <c r="L84" i="16"/>
  <c r="K84" i="16"/>
  <c r="N84" i="16"/>
  <c r="J84" i="16"/>
  <c r="I92" i="16"/>
  <c r="L100" i="16"/>
  <c r="K100" i="16"/>
  <c r="N100" i="16"/>
  <c r="J100" i="16"/>
  <c r="K52" i="15"/>
  <c r="K80" i="15"/>
  <c r="K84" i="15"/>
  <c r="K96" i="15"/>
  <c r="K100" i="15"/>
  <c r="K104" i="15"/>
  <c r="K108" i="15"/>
  <c r="M108" i="15" s="1"/>
  <c r="O108" i="15" s="1"/>
  <c r="P108" i="15" s="1"/>
  <c r="K112" i="15"/>
  <c r="K10" i="16"/>
  <c r="J11" i="16"/>
  <c r="J12" i="16"/>
  <c r="N14" i="16"/>
  <c r="J14" i="16"/>
  <c r="K15" i="16"/>
  <c r="K26" i="16"/>
  <c r="J27" i="16"/>
  <c r="J28" i="16"/>
  <c r="N30" i="16"/>
  <c r="J30" i="16"/>
  <c r="K31" i="16"/>
  <c r="K42" i="16"/>
  <c r="J43" i="16"/>
  <c r="J44" i="16"/>
  <c r="N46" i="16"/>
  <c r="J46" i="16"/>
  <c r="K47" i="16"/>
  <c r="N54" i="16"/>
  <c r="J54" i="16"/>
  <c r="L54" i="16"/>
  <c r="K58" i="16"/>
  <c r="L60" i="16"/>
  <c r="N60" i="16"/>
  <c r="J60" i="16"/>
  <c r="K64" i="16"/>
  <c r="N70" i="16"/>
  <c r="J70" i="16"/>
  <c r="L70" i="16"/>
  <c r="K74" i="16"/>
  <c r="L76" i="16"/>
  <c r="N76" i="16"/>
  <c r="J76" i="16"/>
  <c r="L80" i="16"/>
  <c r="K80" i="16"/>
  <c r="N80" i="16"/>
  <c r="J80" i="16"/>
  <c r="L88" i="16"/>
  <c r="K88" i="16"/>
  <c r="N88" i="16"/>
  <c r="J88" i="16"/>
  <c r="I96" i="16"/>
  <c r="L104" i="16"/>
  <c r="K104" i="16"/>
  <c r="N104" i="16"/>
  <c r="J104" i="16"/>
  <c r="I108" i="16"/>
  <c r="V4" i="19"/>
  <c r="U4" i="19"/>
  <c r="S5" i="19"/>
  <c r="U9" i="19"/>
  <c r="V9" i="19"/>
  <c r="Y13" i="19"/>
  <c r="Z13" i="19" s="1"/>
  <c r="Q14" i="19"/>
  <c r="R14" i="19" s="1"/>
  <c r="Q43" i="19"/>
  <c r="R43" i="19"/>
  <c r="S43" i="19" s="1"/>
  <c r="L82" i="16"/>
  <c r="L86" i="16"/>
  <c r="L90" i="16"/>
  <c r="L94" i="16"/>
  <c r="L98" i="16"/>
  <c r="L102" i="16"/>
  <c r="L106" i="16"/>
  <c r="L110" i="16"/>
  <c r="U12" i="19"/>
  <c r="V15" i="19"/>
  <c r="U15" i="19"/>
  <c r="X16" i="19"/>
  <c r="W16" i="19"/>
  <c r="X21" i="19"/>
  <c r="W21" i="19"/>
  <c r="Q47" i="19"/>
  <c r="R47" i="19" s="1"/>
  <c r="S47" i="19" s="1"/>
  <c r="Q49" i="19"/>
  <c r="R49" i="19"/>
  <c r="V7" i="19"/>
  <c r="U7" i="19"/>
  <c r="U14" i="19"/>
  <c r="U21" i="19"/>
  <c r="V21" i="19"/>
  <c r="V25" i="19"/>
  <c r="U25" i="19"/>
  <c r="W40" i="19"/>
  <c r="X40" i="19"/>
  <c r="X58" i="19"/>
  <c r="W58" i="19"/>
  <c r="S68" i="19"/>
  <c r="K51" i="16"/>
  <c r="K55" i="16"/>
  <c r="K59" i="16"/>
  <c r="K63" i="16"/>
  <c r="K67" i="16"/>
  <c r="K71" i="16"/>
  <c r="K75" i="16"/>
  <c r="K79" i="16"/>
  <c r="J82" i="16"/>
  <c r="K83" i="16"/>
  <c r="J86" i="16"/>
  <c r="K87" i="16"/>
  <c r="J90" i="16"/>
  <c r="K91" i="16"/>
  <c r="J94" i="16"/>
  <c r="K95" i="16"/>
  <c r="J98" i="16"/>
  <c r="K99" i="16"/>
  <c r="J102" i="16"/>
  <c r="K103" i="16"/>
  <c r="J106" i="16"/>
  <c r="K107" i="16"/>
  <c r="M107" i="16" s="1"/>
  <c r="O107" i="16" s="1"/>
  <c r="P107" i="16" s="1"/>
  <c r="J110" i="16"/>
  <c r="K111" i="16"/>
  <c r="V3" i="19"/>
  <c r="U3" i="19"/>
  <c r="W4" i="19"/>
  <c r="S6" i="19"/>
  <c r="X20" i="19"/>
  <c r="W20" i="19"/>
  <c r="W29" i="19"/>
  <c r="X29" i="19"/>
  <c r="Q55" i="19"/>
  <c r="R55" i="19" s="1"/>
  <c r="R11" i="19"/>
  <c r="S11" i="19" s="1"/>
  <c r="U18" i="19"/>
  <c r="R25" i="19"/>
  <c r="S25" i="19" s="1"/>
  <c r="R27" i="19"/>
  <c r="Y30" i="19"/>
  <c r="Z30" i="19" s="1"/>
  <c r="R31" i="19"/>
  <c r="S31" i="19" s="1"/>
  <c r="R33" i="19"/>
  <c r="R35" i="19"/>
  <c r="R36" i="19"/>
  <c r="R38" i="19"/>
  <c r="S38" i="19" s="1"/>
  <c r="R42" i="19"/>
  <c r="S42" i="19" s="1"/>
  <c r="U43" i="19"/>
  <c r="U44" i="19"/>
  <c r="U45" i="19"/>
  <c r="U47" i="19"/>
  <c r="R48" i="19"/>
  <c r="S48" i="19" s="1"/>
  <c r="R59" i="19"/>
  <c r="S59" i="19" s="1"/>
  <c r="U62" i="19"/>
  <c r="V62" i="19"/>
  <c r="W63" i="19"/>
  <c r="R64" i="19"/>
  <c r="S64" i="19" s="1"/>
  <c r="Q64" i="19"/>
  <c r="W67" i="19"/>
  <c r="R73" i="19"/>
  <c r="S73" i="19" s="1"/>
  <c r="Q74" i="19"/>
  <c r="R74" i="19" s="1"/>
  <c r="X76" i="19"/>
  <c r="Y82" i="19"/>
  <c r="Z82" i="19" s="1"/>
  <c r="Q3" i="19"/>
  <c r="R3" i="19" s="1"/>
  <c r="Q7" i="19"/>
  <c r="R7" i="19" s="1"/>
  <c r="U34" i="19"/>
  <c r="V57" i="19"/>
  <c r="Y57" i="19"/>
  <c r="Z57" i="19" s="1"/>
  <c r="U58" i="19"/>
  <c r="V58" i="19"/>
  <c r="X66" i="19"/>
  <c r="W66" i="19"/>
  <c r="U67" i="19"/>
  <c r="V67" i="19"/>
  <c r="V76" i="19"/>
  <c r="U76" i="19"/>
  <c r="R15" i="19"/>
  <c r="S15" i="19" s="1"/>
  <c r="Q18" i="19"/>
  <c r="R18" i="19" s="1"/>
  <c r="S18" i="19" s="1"/>
  <c r="R22" i="19"/>
  <c r="Q23" i="19"/>
  <c r="R23" i="19" s="1"/>
  <c r="R24" i="19"/>
  <c r="U28" i="19"/>
  <c r="U29" i="19"/>
  <c r="Y29" i="19" s="1"/>
  <c r="Z29" i="19" s="1"/>
  <c r="U30" i="19"/>
  <c r="U31" i="19"/>
  <c r="U32" i="19"/>
  <c r="Y32" i="19" s="1"/>
  <c r="Z32" i="19" s="1"/>
  <c r="V34" i="19"/>
  <c r="U38" i="19"/>
  <c r="U39" i="19"/>
  <c r="U40" i="19"/>
  <c r="Y40" i="19" s="1"/>
  <c r="Z40" i="19" s="1"/>
  <c r="U41" i="19"/>
  <c r="U42" i="19"/>
  <c r="R44" i="19"/>
  <c r="S44" i="19" s="1"/>
  <c r="Y45" i="19"/>
  <c r="Z45" i="19" s="1"/>
  <c r="U46" i="19"/>
  <c r="Y46" i="19" s="1"/>
  <c r="Z46" i="19" s="1"/>
  <c r="U48" i="19"/>
  <c r="U52" i="19"/>
  <c r="Y52" i="19" s="1"/>
  <c r="Z52" i="19" s="1"/>
  <c r="S53" i="19"/>
  <c r="Q54" i="19"/>
  <c r="R54" i="19" s="1"/>
  <c r="V61" i="19"/>
  <c r="U63" i="19"/>
  <c r="V63" i="19"/>
  <c r="U64" i="19"/>
  <c r="V69" i="19"/>
  <c r="U69" i="19"/>
  <c r="U77" i="19"/>
  <c r="Y77" i="19" s="1"/>
  <c r="Z77" i="19" s="1"/>
  <c r="U16" i="19"/>
  <c r="Y16" i="19" s="1"/>
  <c r="Z16" i="19" s="1"/>
  <c r="W28" i="19"/>
  <c r="V29" i="19"/>
  <c r="W30" i="19"/>
  <c r="V31" i="19"/>
  <c r="W32" i="19"/>
  <c r="X34" i="19"/>
  <c r="U37" i="19"/>
  <c r="Y37" i="19" s="1"/>
  <c r="Z37" i="19" s="1"/>
  <c r="W39" i="19"/>
  <c r="W41" i="19"/>
  <c r="Y41" i="19" s="1"/>
  <c r="Z41" i="19" s="1"/>
  <c r="U50" i="19"/>
  <c r="Y50" i="19" s="1"/>
  <c r="Z50" i="19" s="1"/>
  <c r="S51" i="19"/>
  <c r="U57" i="19"/>
  <c r="V66" i="19"/>
  <c r="O3" i="21"/>
  <c r="P3" i="21" s="1"/>
  <c r="Q3" i="21" s="1"/>
  <c r="R3" i="21" s="1"/>
  <c r="S3" i="21" s="1"/>
  <c r="J3" i="21"/>
  <c r="P13" i="21"/>
  <c r="Q13" i="21" s="1"/>
  <c r="R13" i="21" s="1"/>
  <c r="S13" i="21" s="1"/>
  <c r="R56" i="19"/>
  <c r="R71" i="19"/>
  <c r="R72" i="19"/>
  <c r="U73" i="19"/>
  <c r="Q75" i="19"/>
  <c r="R75" i="19" s="1"/>
  <c r="S75" i="19" s="1"/>
  <c r="I3" i="21"/>
  <c r="K3" i="21" s="1"/>
  <c r="L3" i="21" s="1"/>
  <c r="M3" i="21" s="1"/>
  <c r="N3" i="21" s="1"/>
  <c r="U70" i="19"/>
  <c r="Y80" i="19"/>
  <c r="Z80" i="19" s="1"/>
  <c r="R60" i="19"/>
  <c r="S60" i="19" s="1"/>
  <c r="R65" i="19"/>
  <c r="S65" i="19" s="1"/>
  <c r="R69" i="19"/>
  <c r="S69" i="19" s="1"/>
  <c r="V70" i="19"/>
  <c r="U75" i="19"/>
  <c r="R78" i="19"/>
  <c r="J13" i="21"/>
  <c r="K13" i="21"/>
  <c r="L13" i="21" s="1"/>
  <c r="M13" i="21" s="1"/>
  <c r="N13" i="21" s="1"/>
  <c r="O13" i="21"/>
  <c r="J91" i="21"/>
  <c r="I91" i="21"/>
  <c r="K91" i="21" s="1"/>
  <c r="L91" i="21" s="1"/>
  <c r="M91" i="21" s="1"/>
  <c r="N91" i="21" s="1"/>
  <c r="P91" i="21"/>
  <c r="Q91" i="21" s="1"/>
  <c r="R91" i="21" s="1"/>
  <c r="S91" i="21" s="1"/>
  <c r="AB39" i="17" l="1"/>
  <c r="AC39" i="17" s="1"/>
  <c r="AC96" i="17"/>
  <c r="AC45" i="17"/>
  <c r="AC30" i="17"/>
  <c r="AB36" i="17"/>
  <c r="AC36" i="17" s="1"/>
  <c r="AB70" i="17"/>
  <c r="AC70" i="17" s="1"/>
  <c r="J72" i="8"/>
  <c r="M72" i="8"/>
  <c r="N72" i="8"/>
  <c r="K72" i="8"/>
  <c r="O93" i="3"/>
  <c r="P93" i="3" s="1"/>
  <c r="Y173" i="2"/>
  <c r="AZ173" i="2" s="1"/>
  <c r="X9" i="19"/>
  <c r="Y9" i="19" s="1"/>
  <c r="Z9" i="19" s="1"/>
  <c r="W9" i="19"/>
  <c r="J90" i="8"/>
  <c r="N90" i="8"/>
  <c r="M90" i="8"/>
  <c r="K90" i="8"/>
  <c r="W12" i="19"/>
  <c r="X12" i="19"/>
  <c r="Y12" i="19" s="1"/>
  <c r="Z12" i="19" s="1"/>
  <c r="L3" i="10"/>
  <c r="M3" i="10"/>
  <c r="N3" i="10"/>
  <c r="K3" i="10"/>
  <c r="N79" i="10"/>
  <c r="M79" i="10"/>
  <c r="K79" i="10"/>
  <c r="L79" i="10"/>
  <c r="N40" i="8"/>
  <c r="M40" i="8"/>
  <c r="K40" i="8"/>
  <c r="J40" i="8"/>
  <c r="W61" i="19"/>
  <c r="X61" i="19"/>
  <c r="Y61" i="19" s="1"/>
  <c r="Z61" i="19" s="1"/>
  <c r="N38" i="8"/>
  <c r="M38" i="8"/>
  <c r="J38" i="8"/>
  <c r="K38" i="8"/>
  <c r="AJ72" i="3"/>
  <c r="AK72" i="3" s="1"/>
  <c r="Q72" i="3"/>
  <c r="AC72" i="3"/>
  <c r="AD72" i="3" s="1"/>
  <c r="AE72" i="3" s="1"/>
  <c r="N63" i="10"/>
  <c r="L63" i="10"/>
  <c r="M63" i="10"/>
  <c r="K63" i="10"/>
  <c r="Z63" i="2"/>
  <c r="AZ63" i="2"/>
  <c r="AY63" i="2"/>
  <c r="AV63" i="2"/>
  <c r="AW63" i="2" s="1"/>
  <c r="N49" i="8"/>
  <c r="M49" i="8"/>
  <c r="K49" i="8"/>
  <c r="J49" i="8"/>
  <c r="O49" i="8" s="1"/>
  <c r="P49" i="8" s="1"/>
  <c r="Q49" i="8" s="1"/>
  <c r="S17" i="19"/>
  <c r="J13" i="8"/>
  <c r="M13" i="8"/>
  <c r="N13" i="8"/>
  <c r="K13" i="8"/>
  <c r="AY32" i="2"/>
  <c r="Z32" i="2"/>
  <c r="AJ32" i="2" s="1"/>
  <c r="AZ32" i="2"/>
  <c r="AV32" i="2"/>
  <c r="AW32" i="2" s="1"/>
  <c r="I47" i="13"/>
  <c r="K47" i="13"/>
  <c r="J47" i="13"/>
  <c r="L47" i="13"/>
  <c r="N47" i="13"/>
  <c r="I82" i="13"/>
  <c r="N82" i="13"/>
  <c r="J82" i="13"/>
  <c r="L82" i="13"/>
  <c r="K82" i="13"/>
  <c r="AV86" i="2"/>
  <c r="AW86" i="2" s="1"/>
  <c r="Z86" i="2"/>
  <c r="AZ86" i="2"/>
  <c r="AY86" i="2"/>
  <c r="G30" i="15"/>
  <c r="L37" i="10"/>
  <c r="N37" i="10"/>
  <c r="K37" i="10"/>
  <c r="M37" i="10"/>
  <c r="N50" i="8"/>
  <c r="K50" i="8"/>
  <c r="J50" i="8"/>
  <c r="M50" i="8"/>
  <c r="J58" i="8"/>
  <c r="N58" i="8"/>
  <c r="M58" i="8"/>
  <c r="K58" i="8"/>
  <c r="L64" i="10"/>
  <c r="N64" i="10"/>
  <c r="M64" i="10"/>
  <c r="O64" i="10" s="1"/>
  <c r="P64" i="10" s="1"/>
  <c r="K64" i="10"/>
  <c r="Z34" i="2"/>
  <c r="AZ34" i="2"/>
  <c r="AV34" i="2"/>
  <c r="AW34" i="2" s="1"/>
  <c r="AY34" i="2"/>
  <c r="Y63" i="19"/>
  <c r="Z63" i="19" s="1"/>
  <c r="M53" i="15"/>
  <c r="O53" i="15" s="1"/>
  <c r="P53" i="15" s="1"/>
  <c r="O59" i="10"/>
  <c r="P59" i="10" s="1"/>
  <c r="P48" i="7"/>
  <c r="Q48" i="7" s="1"/>
  <c r="Y99" i="2"/>
  <c r="T70" i="7"/>
  <c r="V70" i="7" s="1"/>
  <c r="W70" i="7" s="1"/>
  <c r="AC26" i="3"/>
  <c r="AD26" i="3" s="1"/>
  <c r="AE26" i="3" s="1"/>
  <c r="Y165" i="2"/>
  <c r="AV165" i="2" s="1"/>
  <c r="AW165" i="2" s="1"/>
  <c r="O67" i="10"/>
  <c r="P67" i="10" s="1"/>
  <c r="N19" i="9"/>
  <c r="O19" i="9" s="1"/>
  <c r="P19" i="9" s="1"/>
  <c r="Y19" i="19"/>
  <c r="Z19" i="19" s="1"/>
  <c r="Y104" i="2"/>
  <c r="L58" i="6"/>
  <c r="O58" i="6"/>
  <c r="Y46" i="2"/>
  <c r="N78" i="10"/>
  <c r="M78" i="10"/>
  <c r="Y21" i="19"/>
  <c r="Z21" i="19" s="1"/>
  <c r="Y143" i="2"/>
  <c r="M25" i="16"/>
  <c r="O25" i="16" s="1"/>
  <c r="P25" i="16" s="1"/>
  <c r="M101" i="16"/>
  <c r="O101" i="16" s="1"/>
  <c r="P101" i="16" s="1"/>
  <c r="K10" i="13"/>
  <c r="I10" i="13"/>
  <c r="L36" i="7"/>
  <c r="K36" i="7"/>
  <c r="N36" i="7"/>
  <c r="P36" i="7" s="1"/>
  <c r="Q36" i="7" s="1"/>
  <c r="Y20" i="19"/>
  <c r="Z20" i="19" s="1"/>
  <c r="Y76" i="19"/>
  <c r="Z76" i="19" s="1"/>
  <c r="Y58" i="19"/>
  <c r="Z58" i="19" s="1"/>
  <c r="Y62" i="19"/>
  <c r="Z62" i="19" s="1"/>
  <c r="Y4" i="19"/>
  <c r="Z4" i="19" s="1"/>
  <c r="O52" i="16"/>
  <c r="P52" i="16" s="1"/>
  <c r="O68" i="10"/>
  <c r="P68" i="10" s="1"/>
  <c r="O88" i="10"/>
  <c r="P88" i="10" s="1"/>
  <c r="M53" i="16"/>
  <c r="O53" i="16" s="1"/>
  <c r="P53" i="16" s="1"/>
  <c r="Y108" i="2"/>
  <c r="AV108" i="2" s="1"/>
  <c r="AW108" i="2" s="1"/>
  <c r="L39" i="10"/>
  <c r="N39" i="10"/>
  <c r="K39" i="10"/>
  <c r="M39" i="10"/>
  <c r="Y136" i="2"/>
  <c r="Y85" i="2"/>
  <c r="Y28" i="19"/>
  <c r="Z28" i="19" s="1"/>
  <c r="R81" i="11"/>
  <c r="T81" i="11" s="1"/>
  <c r="U81" i="11" s="1"/>
  <c r="N39" i="11"/>
  <c r="O39" i="11" s="1"/>
  <c r="O83" i="10"/>
  <c r="P83" i="10" s="1"/>
  <c r="N21" i="11"/>
  <c r="O21" i="11" s="1"/>
  <c r="O12" i="10"/>
  <c r="P12" i="10" s="1"/>
  <c r="AC33" i="3"/>
  <c r="AD33" i="3" s="1"/>
  <c r="AE33" i="3" s="1"/>
  <c r="N83" i="10"/>
  <c r="M83" i="10"/>
  <c r="L43" i="10"/>
  <c r="N43" i="10"/>
  <c r="M43" i="10"/>
  <c r="K43" i="10"/>
  <c r="O86" i="6"/>
  <c r="L86" i="6"/>
  <c r="Y160" i="2"/>
  <c r="Y112" i="2"/>
  <c r="Y70" i="19"/>
  <c r="Z70" i="19" s="1"/>
  <c r="Y39" i="19"/>
  <c r="Z39" i="19" s="1"/>
  <c r="Y67" i="19"/>
  <c r="Z67" i="19" s="1"/>
  <c r="Y34" i="19"/>
  <c r="Z34" i="19" s="1"/>
  <c r="R58" i="11"/>
  <c r="T58" i="11" s="1"/>
  <c r="U58" i="11" s="1"/>
  <c r="P63" i="7"/>
  <c r="Q63" i="7" s="1"/>
  <c r="AL144" i="2"/>
  <c r="AM144" i="2" s="1"/>
  <c r="Y105" i="2"/>
  <c r="M77" i="16"/>
  <c r="O77" i="16" s="1"/>
  <c r="P77" i="16" s="1"/>
  <c r="L60" i="10"/>
  <c r="N60" i="10"/>
  <c r="M60" i="10"/>
  <c r="K60" i="10"/>
  <c r="Y87" i="2"/>
  <c r="Y169" i="2"/>
  <c r="Y154" i="2"/>
  <c r="K37" i="13"/>
  <c r="I37" i="13"/>
  <c r="Y66" i="19"/>
  <c r="Z66" i="19" s="1"/>
  <c r="R96" i="11"/>
  <c r="T96" i="11" s="1"/>
  <c r="U96" i="11" s="1"/>
  <c r="R79" i="11"/>
  <c r="T79" i="11" s="1"/>
  <c r="U79" i="11" s="1"/>
  <c r="N41" i="11"/>
  <c r="O41" i="11" s="1"/>
  <c r="N33" i="11"/>
  <c r="O33" i="11" s="1"/>
  <c r="N25" i="11"/>
  <c r="O25" i="11" s="1"/>
  <c r="P55" i="7"/>
  <c r="Q55" i="7" s="1"/>
  <c r="O108" i="4"/>
  <c r="Q108" i="4" s="1"/>
  <c r="R108" i="4" s="1"/>
  <c r="P65" i="7"/>
  <c r="Q65" i="7" s="1"/>
  <c r="M109" i="16"/>
  <c r="O109" i="16" s="1"/>
  <c r="P109" i="16" s="1"/>
  <c r="Y139" i="2"/>
  <c r="AV139" i="2" s="1"/>
  <c r="AW139" i="2" s="1"/>
  <c r="Y115" i="2"/>
  <c r="N71" i="10"/>
  <c r="M71" i="10"/>
  <c r="O71" i="10" s="1"/>
  <c r="P71" i="10" s="1"/>
  <c r="N10" i="11"/>
  <c r="O10" i="11" s="1"/>
  <c r="L82" i="6"/>
  <c r="O82" i="6"/>
  <c r="AV126" i="2"/>
  <c r="AW126" i="2" s="1"/>
  <c r="Z126" i="2"/>
  <c r="S23" i="19"/>
  <c r="S3" i="19"/>
  <c r="K63" i="13"/>
  <c r="I63" i="13"/>
  <c r="N63" i="13"/>
  <c r="J63" i="13"/>
  <c r="L63" i="13"/>
  <c r="I36" i="13"/>
  <c r="K36" i="13"/>
  <c r="N36" i="13"/>
  <c r="L36" i="13"/>
  <c r="J36" i="13"/>
  <c r="I83" i="13"/>
  <c r="K83" i="13"/>
  <c r="L83" i="13"/>
  <c r="N83" i="13"/>
  <c r="J83" i="13"/>
  <c r="K67" i="13"/>
  <c r="I67" i="13"/>
  <c r="L67" i="13"/>
  <c r="N67" i="13"/>
  <c r="J67" i="13"/>
  <c r="K30" i="10"/>
  <c r="N30" i="10"/>
  <c r="L30" i="10"/>
  <c r="M30" i="10"/>
  <c r="K55" i="10"/>
  <c r="N55" i="10"/>
  <c r="M55" i="10"/>
  <c r="L55" i="10"/>
  <c r="K41" i="10"/>
  <c r="N41" i="10"/>
  <c r="M41" i="10"/>
  <c r="L41" i="10"/>
  <c r="M71" i="8"/>
  <c r="K71" i="8"/>
  <c r="N71" i="8"/>
  <c r="J71" i="8"/>
  <c r="H68" i="21"/>
  <c r="AB60" i="17"/>
  <c r="AC60" i="17" s="1"/>
  <c r="H66" i="8"/>
  <c r="O66" i="8" s="1"/>
  <c r="P66" i="8" s="1"/>
  <c r="Q66" i="8" s="1"/>
  <c r="AJ65" i="3"/>
  <c r="AK65" i="3" s="1"/>
  <c r="Q65" i="3"/>
  <c r="G66" i="6"/>
  <c r="AC65" i="3"/>
  <c r="AD65" i="3" s="1"/>
  <c r="AE65" i="3" s="1"/>
  <c r="H62" i="21"/>
  <c r="AB72" i="17"/>
  <c r="AC72" i="17" s="1"/>
  <c r="H60" i="8"/>
  <c r="Q59" i="3"/>
  <c r="G60" i="6"/>
  <c r="AC59" i="3"/>
  <c r="AD59" i="3" s="1"/>
  <c r="AE59" i="3" s="1"/>
  <c r="AJ59" i="3"/>
  <c r="AK59" i="3" s="1"/>
  <c r="H47" i="21"/>
  <c r="AB85" i="17"/>
  <c r="H45" i="8"/>
  <c r="O45" i="8" s="1"/>
  <c r="P45" i="8" s="1"/>
  <c r="Q45" i="8" s="1"/>
  <c r="G45" i="6"/>
  <c r="AJ44" i="3"/>
  <c r="AK44" i="3" s="1"/>
  <c r="Q44" i="3"/>
  <c r="AC44" i="3"/>
  <c r="AD44" i="3" s="1"/>
  <c r="AE44" i="3" s="1"/>
  <c r="H35" i="21"/>
  <c r="AB4" i="17"/>
  <c r="AC4" i="17" s="1"/>
  <c r="H33" i="8"/>
  <c r="O33" i="8" s="1"/>
  <c r="P33" i="8" s="1"/>
  <c r="Q33" i="8" s="1"/>
  <c r="AJ32" i="3"/>
  <c r="AK32" i="3" s="1"/>
  <c r="Q32" i="3"/>
  <c r="G32" i="6"/>
  <c r="AC32" i="3"/>
  <c r="AD32" i="3" s="1"/>
  <c r="AE32" i="3" s="1"/>
  <c r="H8" i="21"/>
  <c r="AB7" i="17"/>
  <c r="AC7" i="17" s="1"/>
  <c r="H7" i="8"/>
  <c r="O7" i="8" s="1"/>
  <c r="P7" i="8" s="1"/>
  <c r="Q7" i="8" s="1"/>
  <c r="G6" i="6"/>
  <c r="AC6" i="3"/>
  <c r="AD6" i="3" s="1"/>
  <c r="AE6" i="3" s="1"/>
  <c r="Q6" i="3"/>
  <c r="AJ6" i="3"/>
  <c r="AK6" i="3" s="1"/>
  <c r="AZ20" i="2"/>
  <c r="AY20" i="2"/>
  <c r="Z20" i="2"/>
  <c r="AV20" i="2"/>
  <c r="AW20" i="2" s="1"/>
  <c r="AV58" i="2"/>
  <c r="AW58" i="2" s="1"/>
  <c r="AZ58" i="2"/>
  <c r="Z58" i="2"/>
  <c r="AY58" i="2"/>
  <c r="AZ182" i="2"/>
  <c r="AY182" i="2"/>
  <c r="Z182" i="2"/>
  <c r="AV182" i="2"/>
  <c r="AW182" i="2" s="1"/>
  <c r="S55" i="19"/>
  <c r="S14" i="19"/>
  <c r="K88" i="13"/>
  <c r="I88" i="13"/>
  <c r="N88" i="13"/>
  <c r="J88" i="13"/>
  <c r="L88" i="13"/>
  <c r="K24" i="13"/>
  <c r="I24" i="13"/>
  <c r="N24" i="13"/>
  <c r="L24" i="13"/>
  <c r="J24" i="13"/>
  <c r="I61" i="13"/>
  <c r="K61" i="13"/>
  <c r="L61" i="13"/>
  <c r="N61" i="13"/>
  <c r="J61" i="13"/>
  <c r="L72" i="10"/>
  <c r="K72" i="10"/>
  <c r="N72" i="10"/>
  <c r="M72" i="10"/>
  <c r="N65" i="10"/>
  <c r="M65" i="10"/>
  <c r="L65" i="10"/>
  <c r="K65" i="10"/>
  <c r="M89" i="8"/>
  <c r="K89" i="8"/>
  <c r="N89" i="8"/>
  <c r="J89" i="8"/>
  <c r="M39" i="8"/>
  <c r="K39" i="8"/>
  <c r="N39" i="8"/>
  <c r="J39" i="8"/>
  <c r="M94" i="8"/>
  <c r="K94" i="8"/>
  <c r="N94" i="8"/>
  <c r="J94" i="8"/>
  <c r="AY52" i="2"/>
  <c r="AL52" i="2"/>
  <c r="AM52" i="2" s="1"/>
  <c r="AZ52" i="2"/>
  <c r="AV52" i="2"/>
  <c r="AW52" i="2" s="1"/>
  <c r="M10" i="8"/>
  <c r="K10" i="8"/>
  <c r="N10" i="8"/>
  <c r="J10" i="8"/>
  <c r="M12" i="8"/>
  <c r="K12" i="8"/>
  <c r="N12" i="8"/>
  <c r="J12" i="8"/>
  <c r="H27" i="21"/>
  <c r="H25" i="8"/>
  <c r="G22" i="6"/>
  <c r="Q24" i="3"/>
  <c r="AC24" i="3"/>
  <c r="AD24" i="3" s="1"/>
  <c r="AE24" i="3" s="1"/>
  <c r="AJ24" i="3"/>
  <c r="AK24" i="3" s="1"/>
  <c r="H92" i="8"/>
  <c r="AC90" i="3"/>
  <c r="AD90" i="3" s="1"/>
  <c r="AE90" i="3" s="1"/>
  <c r="G84" i="6"/>
  <c r="Q90" i="3"/>
  <c r="G72" i="16"/>
  <c r="M72" i="16" s="1"/>
  <c r="O72" i="16" s="1"/>
  <c r="P72" i="16" s="1"/>
  <c r="G73" i="15"/>
  <c r="M73" i="15" s="1"/>
  <c r="O73" i="15" s="1"/>
  <c r="P73" i="15" s="1"/>
  <c r="G39" i="11"/>
  <c r="R39" i="11" s="1"/>
  <c r="T39" i="11" s="1"/>
  <c r="U39" i="11" s="1"/>
  <c r="G64" i="9"/>
  <c r="N64" i="9" s="1"/>
  <c r="O64" i="9" s="1"/>
  <c r="P64" i="9" s="1"/>
  <c r="I73" i="4"/>
  <c r="O73" i="4" s="1"/>
  <c r="Q73" i="4" s="1"/>
  <c r="R73" i="4" s="1"/>
  <c r="AZ135" i="2"/>
  <c r="AY135" i="2"/>
  <c r="Z135" i="2"/>
  <c r="AV135" i="2"/>
  <c r="AW135" i="2" s="1"/>
  <c r="H49" i="21"/>
  <c r="H47" i="8"/>
  <c r="G47" i="6"/>
  <c r="AC46" i="3"/>
  <c r="AD46" i="3" s="1"/>
  <c r="AE46" i="3" s="1"/>
  <c r="Q46" i="3"/>
  <c r="AJ46" i="3"/>
  <c r="AK46" i="3" s="1"/>
  <c r="AY37" i="2"/>
  <c r="AZ37" i="2"/>
  <c r="AV37" i="2"/>
  <c r="AW37" i="2" s="1"/>
  <c r="Z37" i="2"/>
  <c r="AZ12" i="2"/>
  <c r="AY12" i="2"/>
  <c r="Z12" i="2"/>
  <c r="AV12" i="2"/>
  <c r="AW12" i="2" s="1"/>
  <c r="AY6" i="2"/>
  <c r="Z6" i="2"/>
  <c r="AZ6" i="2"/>
  <c r="AV6" i="2"/>
  <c r="AW6" i="2" s="1"/>
  <c r="AY31" i="2"/>
  <c r="AZ31" i="2"/>
  <c r="Z31" i="2"/>
  <c r="AV31" i="2"/>
  <c r="AW31" i="2" s="1"/>
  <c r="H12" i="21"/>
  <c r="H11" i="8"/>
  <c r="O11" i="8" s="1"/>
  <c r="P11" i="8" s="1"/>
  <c r="Q11" i="8" s="1"/>
  <c r="AJ10" i="3"/>
  <c r="AK10" i="3" s="1"/>
  <c r="Q10" i="3"/>
  <c r="G10" i="6"/>
  <c r="P10" i="6" s="1"/>
  <c r="Q10" i="6" s="1"/>
  <c r="R10" i="6" s="1"/>
  <c r="AC10" i="3"/>
  <c r="AD10" i="3" s="1"/>
  <c r="AE10" i="3" s="1"/>
  <c r="K90" i="13"/>
  <c r="I90" i="13"/>
  <c r="J90" i="13"/>
  <c r="N90" i="13"/>
  <c r="L90" i="13"/>
  <c r="K48" i="10"/>
  <c r="N48" i="10"/>
  <c r="L48" i="10"/>
  <c r="M48" i="10"/>
  <c r="O48" i="10" s="1"/>
  <c r="P48" i="10" s="1"/>
  <c r="N61" i="10"/>
  <c r="M61" i="10"/>
  <c r="L61" i="10"/>
  <c r="K61" i="10"/>
  <c r="M73" i="8"/>
  <c r="K73" i="8"/>
  <c r="N73" i="8"/>
  <c r="J73" i="8"/>
  <c r="M68" i="8"/>
  <c r="K68" i="8"/>
  <c r="N68" i="8"/>
  <c r="J68" i="8"/>
  <c r="AY49" i="2"/>
  <c r="AL49" i="2"/>
  <c r="AM49" i="2" s="1"/>
  <c r="AZ49" i="2"/>
  <c r="AV49" i="2"/>
  <c r="AW49" i="2" s="1"/>
  <c r="H77" i="21"/>
  <c r="AB95" i="17"/>
  <c r="H76" i="8"/>
  <c r="G75" i="6"/>
  <c r="AJ75" i="3"/>
  <c r="AK75" i="3" s="1"/>
  <c r="Q75" i="3"/>
  <c r="AC75" i="3"/>
  <c r="AD75" i="3" s="1"/>
  <c r="AE75" i="3" s="1"/>
  <c r="H61" i="21"/>
  <c r="AB62" i="17"/>
  <c r="AC62" i="17" s="1"/>
  <c r="H59" i="8"/>
  <c r="G59" i="6"/>
  <c r="Q58" i="3"/>
  <c r="AC58" i="3"/>
  <c r="AD58" i="3" s="1"/>
  <c r="AE58" i="3" s="1"/>
  <c r="AJ58" i="3"/>
  <c r="AK58" i="3" s="1"/>
  <c r="H46" i="21"/>
  <c r="AB47" i="17"/>
  <c r="AC47" i="17" s="1"/>
  <c r="H44" i="8"/>
  <c r="Q43" i="3"/>
  <c r="AC43" i="3"/>
  <c r="AD43" i="3" s="1"/>
  <c r="AE43" i="3" s="1"/>
  <c r="G44" i="6"/>
  <c r="AJ43" i="3"/>
  <c r="AK43" i="3" s="1"/>
  <c r="H86" i="21"/>
  <c r="AB89" i="17"/>
  <c r="AC89" i="17" s="1"/>
  <c r="H85" i="8"/>
  <c r="O85" i="8" s="1"/>
  <c r="P85" i="8" s="1"/>
  <c r="Q85" i="8" s="1"/>
  <c r="G83" i="6"/>
  <c r="AC84" i="3"/>
  <c r="AD84" i="3" s="1"/>
  <c r="AE84" i="3" s="1"/>
  <c r="AJ84" i="3"/>
  <c r="AK84" i="3" s="1"/>
  <c r="Q84" i="3"/>
  <c r="H64" i="21"/>
  <c r="AB66" i="17"/>
  <c r="AC66" i="17" s="1"/>
  <c r="H62" i="8"/>
  <c r="O62" i="8" s="1"/>
  <c r="P62" i="8" s="1"/>
  <c r="Q62" i="8" s="1"/>
  <c r="AC61" i="3"/>
  <c r="AD61" i="3" s="1"/>
  <c r="AE61" i="3" s="1"/>
  <c r="G62" i="6"/>
  <c r="AJ61" i="3"/>
  <c r="AK61" i="3" s="1"/>
  <c r="Q61" i="3"/>
  <c r="AZ18" i="2"/>
  <c r="AY18" i="2"/>
  <c r="Z18" i="2"/>
  <c r="AV18" i="2"/>
  <c r="AW18" i="2" s="1"/>
  <c r="S7" i="19"/>
  <c r="I79" i="13"/>
  <c r="K79" i="13"/>
  <c r="N79" i="13"/>
  <c r="J79" i="13"/>
  <c r="L79" i="13"/>
  <c r="I71" i="13"/>
  <c r="K71" i="13"/>
  <c r="N71" i="13"/>
  <c r="J71" i="13"/>
  <c r="L71" i="13"/>
  <c r="I89" i="13"/>
  <c r="K89" i="13"/>
  <c r="L89" i="13"/>
  <c r="J89" i="13"/>
  <c r="N89" i="13"/>
  <c r="K11" i="13"/>
  <c r="I11" i="13"/>
  <c r="N11" i="13"/>
  <c r="L11" i="13"/>
  <c r="J11" i="13"/>
  <c r="N18" i="10"/>
  <c r="M18" i="10"/>
  <c r="K18" i="10"/>
  <c r="L18" i="10"/>
  <c r="M95" i="8"/>
  <c r="K95" i="8"/>
  <c r="N95" i="8"/>
  <c r="J95" i="8"/>
  <c r="N44" i="10"/>
  <c r="M44" i="10"/>
  <c r="K44" i="10"/>
  <c r="L44" i="10"/>
  <c r="H72" i="21"/>
  <c r="AB54" i="17"/>
  <c r="H70" i="8"/>
  <c r="AJ69" i="3"/>
  <c r="AK69" i="3" s="1"/>
  <c r="Q69" i="3"/>
  <c r="G70" i="6"/>
  <c r="AC69" i="3"/>
  <c r="AD69" i="3" s="1"/>
  <c r="AE69" i="3" s="1"/>
  <c r="H52" i="21"/>
  <c r="AB53" i="17"/>
  <c r="AC53" i="17" s="1"/>
  <c r="H50" i="8"/>
  <c r="AJ49" i="3"/>
  <c r="AK49" i="3" s="1"/>
  <c r="Q49" i="3"/>
  <c r="G50" i="6"/>
  <c r="AC49" i="3"/>
  <c r="AD49" i="3" s="1"/>
  <c r="AE49" i="3" s="1"/>
  <c r="H41" i="21"/>
  <c r="AB42" i="17"/>
  <c r="AC42" i="17" s="1"/>
  <c r="H39" i="8"/>
  <c r="G39" i="6"/>
  <c r="AJ38" i="3"/>
  <c r="AK38" i="3" s="1"/>
  <c r="Q38" i="3"/>
  <c r="AC38" i="3"/>
  <c r="AD38" i="3" s="1"/>
  <c r="AE38" i="3" s="1"/>
  <c r="AZ24" i="2"/>
  <c r="AY24" i="2"/>
  <c r="Z24" i="2"/>
  <c r="AV24" i="2"/>
  <c r="AW24" i="2" s="1"/>
  <c r="AY14" i="2"/>
  <c r="Z14" i="2"/>
  <c r="AZ14" i="2"/>
  <c r="AV14" i="2"/>
  <c r="AW14" i="2" s="1"/>
  <c r="H18" i="21"/>
  <c r="AB17" i="17"/>
  <c r="AC17" i="17" s="1"/>
  <c r="H17" i="8"/>
  <c r="O17" i="8" s="1"/>
  <c r="P17" i="8" s="1"/>
  <c r="Q17" i="8" s="1"/>
  <c r="AJ15" i="3"/>
  <c r="AK15" i="3" s="1"/>
  <c r="Q15" i="3"/>
  <c r="G15" i="6"/>
  <c r="P15" i="6" s="1"/>
  <c r="Q15" i="6" s="1"/>
  <c r="R15" i="6" s="1"/>
  <c r="AC15" i="3"/>
  <c r="AD15" i="3" s="1"/>
  <c r="AE15" i="3" s="1"/>
  <c r="AV48" i="2"/>
  <c r="AW48" i="2" s="1"/>
  <c r="AZ48" i="2"/>
  <c r="AY48" i="2"/>
  <c r="AL48" i="2"/>
  <c r="AM48" i="2" s="1"/>
  <c r="H84" i="21"/>
  <c r="H83" i="8"/>
  <c r="O83" i="8" s="1"/>
  <c r="P83" i="8" s="1"/>
  <c r="Q83" i="8" s="1"/>
  <c r="G81" i="6"/>
  <c r="AC82" i="3"/>
  <c r="AD82" i="3" s="1"/>
  <c r="AE82" i="3" s="1"/>
  <c r="Q82" i="3"/>
  <c r="AJ82" i="3"/>
  <c r="AK82" i="3" s="1"/>
  <c r="G82" i="16"/>
  <c r="M82" i="16" s="1"/>
  <c r="O82" i="16" s="1"/>
  <c r="P82" i="16" s="1"/>
  <c r="G83" i="15"/>
  <c r="M83" i="15" s="1"/>
  <c r="O83" i="15" s="1"/>
  <c r="P83" i="15" s="1"/>
  <c r="G47" i="11"/>
  <c r="R47" i="11" s="1"/>
  <c r="T47" i="11" s="1"/>
  <c r="U47" i="11" s="1"/>
  <c r="I83" i="4"/>
  <c r="O83" i="4" s="1"/>
  <c r="Q83" i="4" s="1"/>
  <c r="R83" i="4" s="1"/>
  <c r="AZ145" i="2"/>
  <c r="AY145" i="2"/>
  <c r="Z145" i="2"/>
  <c r="AV145" i="2"/>
  <c r="AW145" i="2" s="1"/>
  <c r="S35" i="19"/>
  <c r="X8" i="19"/>
  <c r="W8" i="19"/>
  <c r="Y8" i="19" s="1"/>
  <c r="Z8" i="19" s="1"/>
  <c r="N49" i="11"/>
  <c r="O49" i="11" s="1"/>
  <c r="R74" i="11"/>
  <c r="T74" i="11" s="1"/>
  <c r="U74" i="11" s="1"/>
  <c r="N74" i="11"/>
  <c r="O74" i="11" s="1"/>
  <c r="L57" i="6"/>
  <c r="O57" i="6"/>
  <c r="K57" i="6"/>
  <c r="N57" i="6"/>
  <c r="J57" i="6"/>
  <c r="M57" i="6"/>
  <c r="L43" i="6"/>
  <c r="O43" i="6"/>
  <c r="K43" i="6"/>
  <c r="N43" i="6"/>
  <c r="M43" i="6"/>
  <c r="J43" i="6"/>
  <c r="L3" i="6"/>
  <c r="O3" i="6"/>
  <c r="K3" i="6"/>
  <c r="J3" i="6"/>
  <c r="N3" i="6"/>
  <c r="M3" i="6"/>
  <c r="M96" i="8"/>
  <c r="K96" i="8"/>
  <c r="N96" i="8"/>
  <c r="J96" i="8"/>
  <c r="M91" i="8"/>
  <c r="K91" i="8"/>
  <c r="N91" i="8"/>
  <c r="J91" i="8"/>
  <c r="P49" i="7"/>
  <c r="Q49" i="7" s="1"/>
  <c r="N88" i="6"/>
  <c r="J88" i="6"/>
  <c r="M88" i="6"/>
  <c r="L88" i="6"/>
  <c r="K88" i="6"/>
  <c r="O88" i="6"/>
  <c r="N32" i="6"/>
  <c r="J32" i="6"/>
  <c r="M32" i="6"/>
  <c r="L32" i="6"/>
  <c r="K32" i="6"/>
  <c r="O32" i="6"/>
  <c r="T59" i="8"/>
  <c r="R59" i="8" s="1"/>
  <c r="U42" i="13"/>
  <c r="R42" i="13" s="1"/>
  <c r="Q95" i="3"/>
  <c r="AC95" i="3"/>
  <c r="AD95" i="3" s="1"/>
  <c r="AE95" i="3" s="1"/>
  <c r="M84" i="8"/>
  <c r="K84" i="8"/>
  <c r="N84" i="8"/>
  <c r="O84" i="8" s="1"/>
  <c r="P84" i="8" s="1"/>
  <c r="Q84" i="8" s="1"/>
  <c r="J84" i="8"/>
  <c r="N76" i="6"/>
  <c r="J76" i="6"/>
  <c r="M76" i="6"/>
  <c r="O76" i="6"/>
  <c r="L76" i="6"/>
  <c r="K76" i="6"/>
  <c r="N68" i="6"/>
  <c r="J68" i="6"/>
  <c r="M68" i="6"/>
  <c r="O68" i="6"/>
  <c r="K68" i="6"/>
  <c r="L68" i="6"/>
  <c r="N48" i="6"/>
  <c r="J48" i="6"/>
  <c r="M48" i="6"/>
  <c r="O48" i="6"/>
  <c r="L48" i="6"/>
  <c r="K48" i="6"/>
  <c r="M18" i="6"/>
  <c r="L18" i="6"/>
  <c r="N18" i="6"/>
  <c r="K18" i="6"/>
  <c r="O18" i="6"/>
  <c r="J18" i="6"/>
  <c r="N2" i="6"/>
  <c r="J2" i="6"/>
  <c r="M2" i="6"/>
  <c r="O2" i="6"/>
  <c r="L2" i="6"/>
  <c r="K2" i="6"/>
  <c r="H90" i="21"/>
  <c r="AC88" i="3"/>
  <c r="AD88" i="3" s="1"/>
  <c r="AE88" i="3" s="1"/>
  <c r="Q88" i="3"/>
  <c r="AJ88" i="3"/>
  <c r="AK88" i="3" s="1"/>
  <c r="X75" i="10"/>
  <c r="T75" i="10" s="1"/>
  <c r="W75" i="10" s="1"/>
  <c r="S75" i="10"/>
  <c r="Z75" i="10"/>
  <c r="Q75" i="10"/>
  <c r="Y75" i="10"/>
  <c r="N74" i="7"/>
  <c r="J74" i="7"/>
  <c r="O74" i="7"/>
  <c r="K74" i="7"/>
  <c r="U74" i="7"/>
  <c r="L74" i="7"/>
  <c r="M74" i="7"/>
  <c r="N73" i="7"/>
  <c r="J73" i="7"/>
  <c r="O73" i="7"/>
  <c r="K73" i="7"/>
  <c r="U73" i="7"/>
  <c r="M73" i="7"/>
  <c r="L73" i="7"/>
  <c r="T52" i="8"/>
  <c r="R52" i="8" s="1"/>
  <c r="Y51" i="6"/>
  <c r="T51" i="6"/>
  <c r="U51" i="6" s="1"/>
  <c r="X51" i="6"/>
  <c r="V51" i="6"/>
  <c r="U49" i="13"/>
  <c r="R49" i="13" s="1"/>
  <c r="Z32" i="10"/>
  <c r="Q32" i="10" s="1"/>
  <c r="X32" i="10"/>
  <c r="T32" i="10" s="1"/>
  <c r="W32" i="10" s="1"/>
  <c r="Y32" i="10"/>
  <c r="S32" i="10" s="1"/>
  <c r="U26" i="13"/>
  <c r="R26" i="13" s="1"/>
  <c r="N57" i="7"/>
  <c r="J57" i="7"/>
  <c r="O57" i="7"/>
  <c r="K57" i="7"/>
  <c r="L57" i="7"/>
  <c r="M57" i="7"/>
  <c r="U57" i="7"/>
  <c r="AV175" i="2"/>
  <c r="AW175" i="2" s="1"/>
  <c r="Z175" i="2"/>
  <c r="AZ175" i="2"/>
  <c r="I113" i="4"/>
  <c r="O113" i="4" s="1"/>
  <c r="Q113" i="4" s="1"/>
  <c r="R113" i="4" s="1"/>
  <c r="AY175" i="2"/>
  <c r="Z99" i="2"/>
  <c r="AY99" i="2"/>
  <c r="AZ99" i="2"/>
  <c r="M76" i="8"/>
  <c r="K76" i="8"/>
  <c r="N76" i="8"/>
  <c r="J76" i="8"/>
  <c r="M31" i="8"/>
  <c r="K31" i="8"/>
  <c r="N31" i="8"/>
  <c r="J31" i="8"/>
  <c r="N87" i="7"/>
  <c r="J87" i="7"/>
  <c r="U87" i="7"/>
  <c r="M87" i="7"/>
  <c r="O87" i="7"/>
  <c r="K87" i="7"/>
  <c r="L87" i="7"/>
  <c r="N79" i="7"/>
  <c r="J79" i="7"/>
  <c r="O79" i="7"/>
  <c r="K79" i="7"/>
  <c r="L79" i="7"/>
  <c r="U79" i="7"/>
  <c r="M79" i="7"/>
  <c r="N66" i="7"/>
  <c r="J66" i="7"/>
  <c r="O66" i="7"/>
  <c r="K66" i="7"/>
  <c r="U66" i="7"/>
  <c r="M66" i="7"/>
  <c r="L66" i="7"/>
  <c r="H21" i="21"/>
  <c r="AB73" i="17"/>
  <c r="H20" i="8"/>
  <c r="O20" i="8" s="1"/>
  <c r="P20" i="8" s="1"/>
  <c r="Q20" i="8" s="1"/>
  <c r="G18" i="6"/>
  <c r="AC18" i="3"/>
  <c r="AD18" i="3" s="1"/>
  <c r="AE18" i="3" s="1"/>
  <c r="AJ18" i="3"/>
  <c r="AK18" i="3" s="1"/>
  <c r="Q18" i="3"/>
  <c r="N54" i="7"/>
  <c r="J54" i="7"/>
  <c r="U54" i="7"/>
  <c r="K54" i="7"/>
  <c r="O54" i="7"/>
  <c r="L54" i="7"/>
  <c r="M54" i="7"/>
  <c r="H9" i="21"/>
  <c r="G2" i="11"/>
  <c r="R2" i="11" s="1"/>
  <c r="T2" i="11" s="1"/>
  <c r="U2" i="11" s="1"/>
  <c r="H8" i="8"/>
  <c r="O8" i="8" s="1"/>
  <c r="P8" i="8" s="1"/>
  <c r="Q8" i="8" s="1"/>
  <c r="G7" i="6"/>
  <c r="AC7" i="3"/>
  <c r="AD7" i="3" s="1"/>
  <c r="AE7" i="3" s="1"/>
  <c r="AJ7" i="3"/>
  <c r="AK7" i="3" s="1"/>
  <c r="Q7" i="3"/>
  <c r="G35" i="15"/>
  <c r="M35" i="15" s="1"/>
  <c r="O35" i="15" s="1"/>
  <c r="P35" i="15" s="1"/>
  <c r="G34" i="16"/>
  <c r="M34" i="16" s="1"/>
  <c r="O34" i="16" s="1"/>
  <c r="P34" i="16" s="1"/>
  <c r="G30" i="12"/>
  <c r="M30" i="12" s="1"/>
  <c r="O30" i="12" s="1"/>
  <c r="P30" i="12" s="1"/>
  <c r="G14" i="11"/>
  <c r="R14" i="11" s="1"/>
  <c r="T14" i="11" s="1"/>
  <c r="U14" i="11" s="1"/>
  <c r="I30" i="10"/>
  <c r="O30" i="10" s="1"/>
  <c r="P30" i="10" s="1"/>
  <c r="G28" i="9"/>
  <c r="N28" i="9" s="1"/>
  <c r="O28" i="9" s="1"/>
  <c r="P28" i="9" s="1"/>
  <c r="H14" i="7"/>
  <c r="I35" i="4"/>
  <c r="O35" i="4" s="1"/>
  <c r="Q35" i="4" s="1"/>
  <c r="R35" i="4" s="1"/>
  <c r="AY91" i="2"/>
  <c r="I22" i="4"/>
  <c r="O22" i="4" s="1"/>
  <c r="Q22" i="4" s="1"/>
  <c r="R22" i="4" s="1"/>
  <c r="AZ91" i="2"/>
  <c r="Z91" i="2"/>
  <c r="AV91" i="2"/>
  <c r="AW91" i="2" s="1"/>
  <c r="H65" i="21"/>
  <c r="AB67" i="17"/>
  <c r="AC67" i="17" s="1"/>
  <c r="H63" i="8"/>
  <c r="O63" i="8" s="1"/>
  <c r="P63" i="8" s="1"/>
  <c r="Q63" i="8" s="1"/>
  <c r="G63" i="6"/>
  <c r="AC62" i="3"/>
  <c r="AD62" i="3" s="1"/>
  <c r="AE62" i="3" s="1"/>
  <c r="AJ62" i="3"/>
  <c r="AK62" i="3" s="1"/>
  <c r="Q62" i="3"/>
  <c r="Z54" i="10"/>
  <c r="Q54" i="10" s="1"/>
  <c r="Y54" i="10"/>
  <c r="S54" i="10" s="1"/>
  <c r="T54" i="10"/>
  <c r="W54" i="10" s="1"/>
  <c r="X54" i="10"/>
  <c r="H43" i="21"/>
  <c r="G41" i="6"/>
  <c r="H41" i="8"/>
  <c r="O41" i="8" s="1"/>
  <c r="P41" i="8" s="1"/>
  <c r="Q41" i="8" s="1"/>
  <c r="AC40" i="3"/>
  <c r="AD40" i="3" s="1"/>
  <c r="AE40" i="3" s="1"/>
  <c r="AJ40" i="3"/>
  <c r="AK40" i="3" s="1"/>
  <c r="Q40" i="3"/>
  <c r="H28" i="21"/>
  <c r="AB33" i="17"/>
  <c r="H26" i="8"/>
  <c r="O26" i="8" s="1"/>
  <c r="P26" i="8" s="1"/>
  <c r="Q26" i="8" s="1"/>
  <c r="AJ25" i="3"/>
  <c r="AK25" i="3" s="1"/>
  <c r="Q25" i="3"/>
  <c r="G23" i="6"/>
  <c r="P23" i="6" s="1"/>
  <c r="Q23" i="6" s="1"/>
  <c r="R23" i="6" s="1"/>
  <c r="AC25" i="3"/>
  <c r="AD25" i="3" s="1"/>
  <c r="AE25" i="3" s="1"/>
  <c r="AV179" i="2"/>
  <c r="AW179" i="2" s="1"/>
  <c r="Z179" i="2"/>
  <c r="AZ179" i="2"/>
  <c r="AY179" i="2"/>
  <c r="H105" i="16"/>
  <c r="H106" i="15"/>
  <c r="AJ168" i="2"/>
  <c r="J106" i="4"/>
  <c r="AK168" i="2"/>
  <c r="M95" i="15"/>
  <c r="O95" i="15" s="1"/>
  <c r="P95" i="15" s="1"/>
  <c r="M79" i="16"/>
  <c r="O79" i="16" s="1"/>
  <c r="P79" i="16" s="1"/>
  <c r="H74" i="16"/>
  <c r="H75" i="15"/>
  <c r="H67" i="13"/>
  <c r="H67" i="12"/>
  <c r="J67" i="10"/>
  <c r="H66" i="9"/>
  <c r="I81" i="7"/>
  <c r="AK137" i="2"/>
  <c r="AJ137" i="2"/>
  <c r="J75" i="4"/>
  <c r="M74" i="16"/>
  <c r="O74" i="16" s="1"/>
  <c r="P74" i="16" s="1"/>
  <c r="AK129" i="2"/>
  <c r="AJ129" i="2"/>
  <c r="M59" i="12"/>
  <c r="O59" i="12" s="1"/>
  <c r="P59" i="12" s="1"/>
  <c r="H60" i="16"/>
  <c r="H61" i="15"/>
  <c r="H55" i="13"/>
  <c r="H55" i="12"/>
  <c r="H32" i="11"/>
  <c r="J55" i="10"/>
  <c r="H52" i="9"/>
  <c r="I31" i="7"/>
  <c r="AK121" i="2"/>
  <c r="J61" i="4"/>
  <c r="AJ121" i="2"/>
  <c r="AL121" i="2" s="1"/>
  <c r="AM121" i="2" s="1"/>
  <c r="M60" i="16"/>
  <c r="O60" i="16" s="1"/>
  <c r="P60" i="16" s="1"/>
  <c r="H82" i="21"/>
  <c r="AB16" i="17"/>
  <c r="AC16" i="17" s="1"/>
  <c r="H81" i="8"/>
  <c r="O81" i="8" s="1"/>
  <c r="P81" i="8" s="1"/>
  <c r="Q81" i="8" s="1"/>
  <c r="G79" i="6"/>
  <c r="AC80" i="3"/>
  <c r="AD80" i="3" s="1"/>
  <c r="AE80" i="3" s="1"/>
  <c r="Q80" i="3"/>
  <c r="H73" i="21"/>
  <c r="AB75" i="17"/>
  <c r="AC75" i="17" s="1"/>
  <c r="H71" i="8"/>
  <c r="G71" i="6"/>
  <c r="AC70" i="3"/>
  <c r="AD70" i="3" s="1"/>
  <c r="AE70" i="3" s="1"/>
  <c r="AJ70" i="3"/>
  <c r="AK70" i="3" s="1"/>
  <c r="Q70" i="3"/>
  <c r="H54" i="21"/>
  <c r="AB55" i="17"/>
  <c r="AC55" i="17" s="1"/>
  <c r="H52" i="8"/>
  <c r="G52" i="6"/>
  <c r="AJ51" i="3"/>
  <c r="AK51" i="3" s="1"/>
  <c r="AC51" i="3"/>
  <c r="AD51" i="3" s="1"/>
  <c r="AE51" i="3" s="1"/>
  <c r="Q51" i="3"/>
  <c r="H17" i="21"/>
  <c r="AB29" i="17"/>
  <c r="H16" i="8"/>
  <c r="O16" i="8" s="1"/>
  <c r="P16" i="8" s="1"/>
  <c r="Q16" i="8" s="1"/>
  <c r="G14" i="6"/>
  <c r="AJ14" i="3"/>
  <c r="AK14" i="3" s="1"/>
  <c r="Q14" i="3"/>
  <c r="AC14" i="3"/>
  <c r="AD14" i="3" s="1"/>
  <c r="AE14" i="3" s="1"/>
  <c r="T14" i="8"/>
  <c r="R14" i="8"/>
  <c r="U13" i="13"/>
  <c r="R13" i="13" s="1"/>
  <c r="G110" i="16"/>
  <c r="M110" i="16" s="1"/>
  <c r="O110" i="16" s="1"/>
  <c r="P110" i="16" s="1"/>
  <c r="I87" i="10"/>
  <c r="G91" i="9"/>
  <c r="N91" i="9" s="1"/>
  <c r="O91" i="9" s="1"/>
  <c r="P91" i="9" s="1"/>
  <c r="G104" i="16"/>
  <c r="M104" i="16" s="1"/>
  <c r="O104" i="16" s="1"/>
  <c r="P104" i="16" s="1"/>
  <c r="G105" i="15"/>
  <c r="M105" i="15" s="1"/>
  <c r="O105" i="15" s="1"/>
  <c r="P105" i="15" s="1"/>
  <c r="G86" i="13"/>
  <c r="G86" i="12"/>
  <c r="M86" i="12" s="1"/>
  <c r="O86" i="12" s="1"/>
  <c r="P86" i="12" s="1"/>
  <c r="G57" i="11"/>
  <c r="R57" i="11" s="1"/>
  <c r="T57" i="11" s="1"/>
  <c r="U57" i="11" s="1"/>
  <c r="I82" i="10"/>
  <c r="G86" i="9"/>
  <c r="N86" i="9" s="1"/>
  <c r="O86" i="9" s="1"/>
  <c r="P86" i="9" s="1"/>
  <c r="AZ167" i="2"/>
  <c r="H45" i="7"/>
  <c r="AY167" i="2"/>
  <c r="Z167" i="2"/>
  <c r="I105" i="4"/>
  <c r="O105" i="4" s="1"/>
  <c r="Q105" i="4" s="1"/>
  <c r="R105" i="4" s="1"/>
  <c r="G88" i="16"/>
  <c r="M88" i="16" s="1"/>
  <c r="O88" i="16" s="1"/>
  <c r="P88" i="16" s="1"/>
  <c r="G89" i="15"/>
  <c r="M89" i="15" s="1"/>
  <c r="O89" i="15" s="1"/>
  <c r="P89" i="15" s="1"/>
  <c r="G73" i="13"/>
  <c r="G73" i="12"/>
  <c r="M73" i="12" s="1"/>
  <c r="O73" i="12" s="1"/>
  <c r="P73" i="12" s="1"/>
  <c r="G49" i="11"/>
  <c r="R49" i="11" s="1"/>
  <c r="T49" i="11" s="1"/>
  <c r="U49" i="11" s="1"/>
  <c r="I73" i="10"/>
  <c r="H42" i="7"/>
  <c r="I89" i="4"/>
  <c r="O89" i="4" s="1"/>
  <c r="Q89" i="4" s="1"/>
  <c r="R89" i="4" s="1"/>
  <c r="AY151" i="2"/>
  <c r="Z151" i="2"/>
  <c r="AZ151" i="2"/>
  <c r="G83" i="16"/>
  <c r="M83" i="16" s="1"/>
  <c r="O83" i="16" s="1"/>
  <c r="P83" i="16" s="1"/>
  <c r="G84" i="15"/>
  <c r="M84" i="15" s="1"/>
  <c r="O84" i="15" s="1"/>
  <c r="P84" i="15" s="1"/>
  <c r="G48" i="11"/>
  <c r="R48" i="11" s="1"/>
  <c r="T48" i="11" s="1"/>
  <c r="U48" i="11" s="1"/>
  <c r="G71" i="9"/>
  <c r="N71" i="9" s="1"/>
  <c r="O71" i="9" s="1"/>
  <c r="P71" i="9" s="1"/>
  <c r="H41" i="7"/>
  <c r="AV146" i="2"/>
  <c r="AW146" i="2" s="1"/>
  <c r="Z146" i="2"/>
  <c r="AZ146" i="2"/>
  <c r="I84" i="4"/>
  <c r="O84" i="4" s="1"/>
  <c r="Q84" i="4" s="1"/>
  <c r="R84" i="4" s="1"/>
  <c r="AY146" i="2"/>
  <c r="G80" i="16"/>
  <c r="M80" i="16" s="1"/>
  <c r="O80" i="16" s="1"/>
  <c r="P80" i="16" s="1"/>
  <c r="G81" i="15"/>
  <c r="M81" i="15" s="1"/>
  <c r="O81" i="15" s="1"/>
  <c r="P81" i="15" s="1"/>
  <c r="G46" i="11"/>
  <c r="R46" i="11" s="1"/>
  <c r="T46" i="11" s="1"/>
  <c r="U46" i="11" s="1"/>
  <c r="G69" i="9"/>
  <c r="N69" i="9" s="1"/>
  <c r="O69" i="9" s="1"/>
  <c r="P69" i="9" s="1"/>
  <c r="I81" i="4"/>
  <c r="O81" i="4" s="1"/>
  <c r="Q81" i="4" s="1"/>
  <c r="R81" i="4" s="1"/>
  <c r="H40" i="7"/>
  <c r="AY143" i="2"/>
  <c r="Z143" i="2"/>
  <c r="AZ143" i="2"/>
  <c r="H57" i="21"/>
  <c r="G55" i="6"/>
  <c r="H55" i="8"/>
  <c r="O55" i="8" s="1"/>
  <c r="P55" i="8" s="1"/>
  <c r="Q55" i="8" s="1"/>
  <c r="AC54" i="3"/>
  <c r="AD54" i="3" s="1"/>
  <c r="AE54" i="3" s="1"/>
  <c r="AJ54" i="3"/>
  <c r="AK54" i="3" s="1"/>
  <c r="Q54" i="3"/>
  <c r="H53" i="16"/>
  <c r="H54" i="15"/>
  <c r="H48" i="13"/>
  <c r="H48" i="12"/>
  <c r="H30" i="11"/>
  <c r="J48" i="10"/>
  <c r="J54" i="4"/>
  <c r="H46" i="9"/>
  <c r="AK114" i="2"/>
  <c r="I29" i="7"/>
  <c r="AJ114" i="2"/>
  <c r="AL114" i="2" s="1"/>
  <c r="AM114" i="2" s="1"/>
  <c r="G46" i="16"/>
  <c r="M46" i="16" s="1"/>
  <c r="O46" i="16" s="1"/>
  <c r="P46" i="16" s="1"/>
  <c r="G47" i="15"/>
  <c r="M47" i="15" s="1"/>
  <c r="O47" i="15" s="1"/>
  <c r="P47" i="15" s="1"/>
  <c r="G41" i="13"/>
  <c r="G41" i="12"/>
  <c r="M41" i="12" s="1"/>
  <c r="O41" i="12" s="1"/>
  <c r="P41" i="12" s="1"/>
  <c r="G39" i="9"/>
  <c r="N39" i="9" s="1"/>
  <c r="O39" i="9" s="1"/>
  <c r="P39" i="9" s="1"/>
  <c r="I41" i="10"/>
  <c r="O41" i="10" s="1"/>
  <c r="P41" i="10" s="1"/>
  <c r="I47" i="4"/>
  <c r="O47" i="4" s="1"/>
  <c r="Q47" i="4" s="1"/>
  <c r="R47" i="4" s="1"/>
  <c r="H67" i="7"/>
  <c r="AZ107" i="2"/>
  <c r="AY107" i="2"/>
  <c r="Z107" i="2"/>
  <c r="G20" i="12"/>
  <c r="M20" i="12" s="1"/>
  <c r="O20" i="12" s="1"/>
  <c r="P20" i="12" s="1"/>
  <c r="AV76" i="2"/>
  <c r="AW76" i="2" s="1"/>
  <c r="Z76" i="2"/>
  <c r="AZ76" i="2"/>
  <c r="I21" i="4"/>
  <c r="O21" i="4" s="1"/>
  <c r="Q21" i="4" s="1"/>
  <c r="R21" i="4" s="1"/>
  <c r="AY76" i="2"/>
  <c r="G20" i="16"/>
  <c r="M20" i="16" s="1"/>
  <c r="O20" i="16" s="1"/>
  <c r="P20" i="16" s="1"/>
  <c r="G20" i="15"/>
  <c r="M20" i="15" s="1"/>
  <c r="O20" i="15" s="1"/>
  <c r="P20" i="15" s="1"/>
  <c r="G18" i="12"/>
  <c r="M18" i="12" s="1"/>
  <c r="O18" i="12" s="1"/>
  <c r="P18" i="12" s="1"/>
  <c r="G18" i="13"/>
  <c r="G9" i="11"/>
  <c r="R9" i="11" s="1"/>
  <c r="T9" i="11" s="1"/>
  <c r="U9" i="11" s="1"/>
  <c r="I18" i="10"/>
  <c r="G16" i="9"/>
  <c r="N16" i="9" s="1"/>
  <c r="O16" i="9" s="1"/>
  <c r="P16" i="9" s="1"/>
  <c r="H9" i="7"/>
  <c r="I19" i="4"/>
  <c r="O19" i="4" s="1"/>
  <c r="Q19" i="4" s="1"/>
  <c r="R19" i="4" s="1"/>
  <c r="AV72" i="2"/>
  <c r="AW72" i="2" s="1"/>
  <c r="Z72" i="2"/>
  <c r="AZ72" i="2"/>
  <c r="AY72" i="2"/>
  <c r="AY55" i="2"/>
  <c r="AL55" i="2"/>
  <c r="AM55" i="2" s="1"/>
  <c r="AZ55" i="2"/>
  <c r="Y53" i="2"/>
  <c r="G7" i="16"/>
  <c r="M7" i="16" s="1"/>
  <c r="O7" i="16" s="1"/>
  <c r="P7" i="16" s="1"/>
  <c r="G7" i="15"/>
  <c r="M7" i="15" s="1"/>
  <c r="O7" i="15" s="1"/>
  <c r="P7" i="15" s="1"/>
  <c r="G7" i="13"/>
  <c r="G7" i="12"/>
  <c r="M7" i="12" s="1"/>
  <c r="O7" i="12" s="1"/>
  <c r="P7" i="12" s="1"/>
  <c r="I7" i="10"/>
  <c r="G6" i="9"/>
  <c r="N6" i="9" s="1"/>
  <c r="O6" i="9" s="1"/>
  <c r="P6" i="9" s="1"/>
  <c r="H53" i="7"/>
  <c r="AV30" i="2"/>
  <c r="AW30" i="2" s="1"/>
  <c r="I6" i="4"/>
  <c r="O6" i="4" s="1"/>
  <c r="Q6" i="4" s="1"/>
  <c r="R6" i="4" s="1"/>
  <c r="AZ30" i="2"/>
  <c r="Z30" i="2"/>
  <c r="AL30" i="2"/>
  <c r="AM30" i="2" s="1"/>
  <c r="AY30" i="2"/>
  <c r="G4" i="16"/>
  <c r="M4" i="16" s="1"/>
  <c r="O4" i="16" s="1"/>
  <c r="P4" i="16" s="1"/>
  <c r="G4" i="12"/>
  <c r="M4" i="12" s="1"/>
  <c r="O4" i="12" s="1"/>
  <c r="P4" i="12" s="1"/>
  <c r="G4" i="13"/>
  <c r="G4" i="15"/>
  <c r="M4" i="15" s="1"/>
  <c r="O4" i="15" s="1"/>
  <c r="P4" i="15" s="1"/>
  <c r="I4" i="10"/>
  <c r="G3" i="9"/>
  <c r="N3" i="9" s="1"/>
  <c r="O3" i="9" s="1"/>
  <c r="P3" i="9" s="1"/>
  <c r="H50" i="7"/>
  <c r="Z27" i="2"/>
  <c r="AY27" i="2"/>
  <c r="I3" i="4"/>
  <c r="O3" i="4" s="1"/>
  <c r="Q3" i="4" s="1"/>
  <c r="R3" i="4" s="1"/>
  <c r="AZ27" i="2"/>
  <c r="AZ22" i="2"/>
  <c r="AY22" i="2"/>
  <c r="Z22" i="2"/>
  <c r="Z19" i="2"/>
  <c r="AY19" i="2"/>
  <c r="AZ19" i="2"/>
  <c r="AZ16" i="2"/>
  <c r="AY16" i="2"/>
  <c r="Z16" i="2"/>
  <c r="Z11" i="2"/>
  <c r="AY11" i="2"/>
  <c r="AZ11" i="2"/>
  <c r="AY8" i="2"/>
  <c r="Z8" i="2"/>
  <c r="AZ8" i="2"/>
  <c r="Z3" i="2"/>
  <c r="AY3" i="2"/>
  <c r="AZ3" i="2"/>
  <c r="AY46" i="2"/>
  <c r="AL46" i="2"/>
  <c r="AM46" i="2" s="1"/>
  <c r="AZ46" i="2"/>
  <c r="AV46" i="2"/>
  <c r="AW46" i="2" s="1"/>
  <c r="AY39" i="2"/>
  <c r="AZ39" i="2"/>
  <c r="AV39" i="2"/>
  <c r="AW39" i="2" s="1"/>
  <c r="Z39" i="2"/>
  <c r="H88" i="21"/>
  <c r="AB101" i="17"/>
  <c r="H87" i="8"/>
  <c r="O87" i="8" s="1"/>
  <c r="P87" i="8" s="1"/>
  <c r="Q87" i="8" s="1"/>
  <c r="AJ86" i="3"/>
  <c r="AK86" i="3" s="1"/>
  <c r="Q86" i="3"/>
  <c r="G86" i="6"/>
  <c r="P86" i="6" s="1"/>
  <c r="Q86" i="6" s="1"/>
  <c r="R86" i="6" s="1"/>
  <c r="AC86" i="3"/>
  <c r="AD86" i="3" s="1"/>
  <c r="AE86" i="3" s="1"/>
  <c r="H63" i="21"/>
  <c r="AB65" i="17"/>
  <c r="AC65" i="17" s="1"/>
  <c r="H61" i="8"/>
  <c r="O61" i="8" s="1"/>
  <c r="P61" i="8" s="1"/>
  <c r="Q61" i="8" s="1"/>
  <c r="G61" i="6"/>
  <c r="AJ60" i="3"/>
  <c r="AK60" i="3" s="1"/>
  <c r="Q60" i="3"/>
  <c r="AC60" i="3"/>
  <c r="AD60" i="3" s="1"/>
  <c r="AE60" i="3" s="1"/>
  <c r="H45" i="21"/>
  <c r="H43" i="8"/>
  <c r="O43" i="8" s="1"/>
  <c r="P43" i="8" s="1"/>
  <c r="Q43" i="8" s="1"/>
  <c r="G43" i="6"/>
  <c r="AJ42" i="3"/>
  <c r="AK42" i="3" s="1"/>
  <c r="Q42" i="3"/>
  <c r="AC42" i="3"/>
  <c r="AD42" i="3" s="1"/>
  <c r="AE42" i="3" s="1"/>
  <c r="H33" i="21"/>
  <c r="H31" i="8"/>
  <c r="G29" i="6"/>
  <c r="AC30" i="3"/>
  <c r="AD30" i="3" s="1"/>
  <c r="AE30" i="3" s="1"/>
  <c r="AJ30" i="3"/>
  <c r="AK30" i="3" s="1"/>
  <c r="Q30" i="3"/>
  <c r="Y87" i="6"/>
  <c r="T87" i="6"/>
  <c r="U87" i="6" s="1"/>
  <c r="X87" i="6"/>
  <c r="V87" i="6"/>
  <c r="Y27" i="10"/>
  <c r="S27" i="10" s="1"/>
  <c r="X27" i="10"/>
  <c r="T27" i="10" s="1"/>
  <c r="W27" i="10" s="1"/>
  <c r="Z27" i="10"/>
  <c r="H22" i="21"/>
  <c r="AB21" i="17"/>
  <c r="AC21" i="17" s="1"/>
  <c r="H21" i="8"/>
  <c r="O21" i="8" s="1"/>
  <c r="P21" i="8" s="1"/>
  <c r="Q21" i="8" s="1"/>
  <c r="G19" i="6"/>
  <c r="P19" i="6" s="1"/>
  <c r="Q19" i="6" s="1"/>
  <c r="R19" i="6" s="1"/>
  <c r="AJ19" i="3"/>
  <c r="AK19" i="3" s="1"/>
  <c r="Q19" i="3"/>
  <c r="AC19" i="3"/>
  <c r="AD19" i="3" s="1"/>
  <c r="AE19" i="3" s="1"/>
  <c r="H10" i="21"/>
  <c r="H9" i="8"/>
  <c r="O9" i="8" s="1"/>
  <c r="P9" i="8" s="1"/>
  <c r="Q9" i="8" s="1"/>
  <c r="G8" i="6"/>
  <c r="Q8" i="3"/>
  <c r="AC8" i="3"/>
  <c r="AD8" i="3" s="1"/>
  <c r="AE8" i="3" s="1"/>
  <c r="AJ8" i="3"/>
  <c r="AK8" i="3" s="1"/>
  <c r="R7" i="13"/>
  <c r="U7" i="13"/>
  <c r="G98" i="16"/>
  <c r="M98" i="16" s="1"/>
  <c r="O98" i="16" s="1"/>
  <c r="P98" i="16" s="1"/>
  <c r="G99" i="15"/>
  <c r="M99" i="15" s="1"/>
  <c r="O99" i="15" s="1"/>
  <c r="P99" i="15" s="1"/>
  <c r="G52" i="11"/>
  <c r="R52" i="11" s="1"/>
  <c r="T52" i="11" s="1"/>
  <c r="U52" i="11" s="1"/>
  <c r="G80" i="13"/>
  <c r="G80" i="12"/>
  <c r="M80" i="12" s="1"/>
  <c r="O80" i="12" s="1"/>
  <c r="P80" i="12" s="1"/>
  <c r="G82" i="9"/>
  <c r="N82" i="9" s="1"/>
  <c r="O82" i="9" s="1"/>
  <c r="P82" i="9" s="1"/>
  <c r="I99" i="4"/>
  <c r="O99" i="4" s="1"/>
  <c r="Q99" i="4" s="1"/>
  <c r="R99" i="4" s="1"/>
  <c r="AZ161" i="2"/>
  <c r="AY161" i="2"/>
  <c r="Z161" i="2"/>
  <c r="H77" i="16"/>
  <c r="H78" i="15"/>
  <c r="H43" i="11"/>
  <c r="J78" i="4"/>
  <c r="AJ140" i="2"/>
  <c r="AK140" i="2"/>
  <c r="H63" i="16"/>
  <c r="H64" i="15"/>
  <c r="H58" i="13"/>
  <c r="H58" i="12"/>
  <c r="J58" i="10"/>
  <c r="H55" i="9"/>
  <c r="J64" i="4"/>
  <c r="I77" i="7"/>
  <c r="AJ124" i="2"/>
  <c r="AL124" i="2" s="1"/>
  <c r="AM124" i="2" s="1"/>
  <c r="AK124" i="2"/>
  <c r="N55" i="9"/>
  <c r="O55" i="9" s="1"/>
  <c r="P55" i="9" s="1"/>
  <c r="M63" i="16"/>
  <c r="O63" i="16" s="1"/>
  <c r="P63" i="16" s="1"/>
  <c r="G56" i="16"/>
  <c r="M56" i="16" s="1"/>
  <c r="O56" i="16" s="1"/>
  <c r="P56" i="16" s="1"/>
  <c r="G57" i="15"/>
  <c r="M57" i="15" s="1"/>
  <c r="O57" i="15" s="1"/>
  <c r="P57" i="15" s="1"/>
  <c r="G51" i="13"/>
  <c r="G51" i="12"/>
  <c r="M51" i="12" s="1"/>
  <c r="O51" i="12" s="1"/>
  <c r="P51" i="12" s="1"/>
  <c r="I51" i="10"/>
  <c r="G49" i="9"/>
  <c r="N49" i="9" s="1"/>
  <c r="O49" i="9" s="1"/>
  <c r="P49" i="9" s="1"/>
  <c r="I57" i="4"/>
  <c r="O57" i="4" s="1"/>
  <c r="Q57" i="4" s="1"/>
  <c r="R57" i="4" s="1"/>
  <c r="H73" i="7"/>
  <c r="Z117" i="2"/>
  <c r="AY117" i="2"/>
  <c r="AZ117" i="2"/>
  <c r="M50" i="12"/>
  <c r="O50" i="12" s="1"/>
  <c r="P50" i="12" s="1"/>
  <c r="M54" i="15"/>
  <c r="O54" i="15" s="1"/>
  <c r="P54" i="15" s="1"/>
  <c r="AV55" i="2"/>
  <c r="AW55" i="2" s="1"/>
  <c r="H8" i="16"/>
  <c r="H8" i="15"/>
  <c r="H87" i="12"/>
  <c r="H2" i="11"/>
  <c r="J83" i="10"/>
  <c r="I2" i="7"/>
  <c r="AK40" i="2"/>
  <c r="J7" i="4"/>
  <c r="AJ40" i="2"/>
  <c r="AL40" i="2" s="1"/>
  <c r="AM40" i="2" s="1"/>
  <c r="AV3" i="2"/>
  <c r="AW3" i="2" s="1"/>
  <c r="N29" i="9"/>
  <c r="O29" i="9" s="1"/>
  <c r="P29" i="9" s="1"/>
  <c r="M36" i="15"/>
  <c r="O36" i="15" s="1"/>
  <c r="P36" i="15" s="1"/>
  <c r="O27" i="4"/>
  <c r="Q27" i="4" s="1"/>
  <c r="R27" i="4" s="1"/>
  <c r="O53" i="4"/>
  <c r="Q53" i="4" s="1"/>
  <c r="R53" i="4" s="1"/>
  <c r="U76" i="13"/>
  <c r="R76" i="13"/>
  <c r="T47" i="8"/>
  <c r="R47" i="8" s="1"/>
  <c r="H39" i="21"/>
  <c r="AB40" i="17"/>
  <c r="AC40" i="17" s="1"/>
  <c r="H37" i="8"/>
  <c r="O37" i="8" s="1"/>
  <c r="P37" i="8" s="1"/>
  <c r="Q37" i="8" s="1"/>
  <c r="G37" i="6"/>
  <c r="AC36" i="3"/>
  <c r="AD36" i="3" s="1"/>
  <c r="AE36" i="3" s="1"/>
  <c r="AJ36" i="3"/>
  <c r="AK36" i="3" s="1"/>
  <c r="Q36" i="3"/>
  <c r="Z28" i="10"/>
  <c r="Q28" i="10"/>
  <c r="Y28" i="10"/>
  <c r="S28" i="10" s="1"/>
  <c r="X28" i="10"/>
  <c r="T28" i="10" s="1"/>
  <c r="W28" i="10" s="1"/>
  <c r="H4" i="21"/>
  <c r="AB48" i="17"/>
  <c r="AC48" i="17" s="1"/>
  <c r="H3" i="8"/>
  <c r="O3" i="8" s="1"/>
  <c r="P3" i="8" s="1"/>
  <c r="Q3" i="8" s="1"/>
  <c r="AJ2" i="3"/>
  <c r="AK2" i="3" s="1"/>
  <c r="Q2" i="3"/>
  <c r="G2" i="6"/>
  <c r="AC2" i="3"/>
  <c r="AD2" i="3" s="1"/>
  <c r="AE2" i="3" s="1"/>
  <c r="M112" i="15"/>
  <c r="O112" i="15" s="1"/>
  <c r="P112" i="15" s="1"/>
  <c r="H109" i="16"/>
  <c r="H110" i="15"/>
  <c r="H88" i="13"/>
  <c r="J86" i="10"/>
  <c r="H90" i="9"/>
  <c r="J110" i="4"/>
  <c r="AK172" i="2"/>
  <c r="AJ172" i="2"/>
  <c r="AL172" i="2" s="1"/>
  <c r="AM172" i="2" s="1"/>
  <c r="N90" i="9"/>
  <c r="O90" i="9" s="1"/>
  <c r="P90" i="9" s="1"/>
  <c r="R55" i="11"/>
  <c r="T55" i="11" s="1"/>
  <c r="U55" i="11" s="1"/>
  <c r="G54" i="16"/>
  <c r="M54" i="16" s="1"/>
  <c r="O54" i="16" s="1"/>
  <c r="P54" i="16" s="1"/>
  <c r="G55" i="15"/>
  <c r="M55" i="15" s="1"/>
  <c r="O55" i="15" s="1"/>
  <c r="P55" i="15" s="1"/>
  <c r="G49" i="13"/>
  <c r="G49" i="12"/>
  <c r="M49" i="12" s="1"/>
  <c r="O49" i="12" s="1"/>
  <c r="P49" i="12" s="1"/>
  <c r="G47" i="9"/>
  <c r="N47" i="9" s="1"/>
  <c r="O47" i="9" s="1"/>
  <c r="P47" i="9" s="1"/>
  <c r="I55" i="4"/>
  <c r="O55" i="4" s="1"/>
  <c r="Q55" i="4" s="1"/>
  <c r="R55" i="4" s="1"/>
  <c r="I49" i="10"/>
  <c r="AZ115" i="2"/>
  <c r="AY115" i="2"/>
  <c r="H71" i="7"/>
  <c r="Z115" i="2"/>
  <c r="G49" i="16"/>
  <c r="M49" i="16" s="1"/>
  <c r="O49" i="16" s="1"/>
  <c r="P49" i="16" s="1"/>
  <c r="G50" i="15"/>
  <c r="M50" i="15" s="1"/>
  <c r="O50" i="15" s="1"/>
  <c r="P50" i="15" s="1"/>
  <c r="G44" i="13"/>
  <c r="G44" i="12"/>
  <c r="M44" i="12" s="1"/>
  <c r="O44" i="12" s="1"/>
  <c r="P44" i="12" s="1"/>
  <c r="G28" i="11"/>
  <c r="R28" i="11" s="1"/>
  <c r="T28" i="11" s="1"/>
  <c r="U28" i="11" s="1"/>
  <c r="I44" i="10"/>
  <c r="H27" i="7"/>
  <c r="G42" i="9"/>
  <c r="N42" i="9" s="1"/>
  <c r="O42" i="9" s="1"/>
  <c r="P42" i="9" s="1"/>
  <c r="AZ110" i="2"/>
  <c r="AY110" i="2"/>
  <c r="I50" i="4"/>
  <c r="O50" i="4" s="1"/>
  <c r="Q50" i="4" s="1"/>
  <c r="R50" i="4" s="1"/>
  <c r="Z110" i="2"/>
  <c r="G12" i="16"/>
  <c r="M12" i="16" s="1"/>
  <c r="O12" i="16" s="1"/>
  <c r="P12" i="16" s="1"/>
  <c r="G12" i="15"/>
  <c r="M12" i="15" s="1"/>
  <c r="O12" i="15" s="1"/>
  <c r="P12" i="15" s="1"/>
  <c r="G9" i="9"/>
  <c r="N9" i="9" s="1"/>
  <c r="O9" i="9" s="1"/>
  <c r="P9" i="9" s="1"/>
  <c r="AV62" i="2"/>
  <c r="AW62" i="2" s="1"/>
  <c r="AZ62" i="2"/>
  <c r="Z62" i="2"/>
  <c r="AY62" i="2"/>
  <c r="AL62" i="2"/>
  <c r="AM62" i="2" s="1"/>
  <c r="H30" i="15"/>
  <c r="AJ86" i="2"/>
  <c r="AK86" i="2"/>
  <c r="O12" i="4"/>
  <c r="Q12" i="4" s="1"/>
  <c r="R12" i="4" s="1"/>
  <c r="M13" i="15"/>
  <c r="O13" i="15" s="1"/>
  <c r="P13" i="15" s="1"/>
  <c r="AK63" i="2"/>
  <c r="AJ63" i="2"/>
  <c r="AJ34" i="2"/>
  <c r="AL34" i="2" s="1"/>
  <c r="AM34" i="2" s="1"/>
  <c r="AK34" i="2"/>
  <c r="R54" i="11"/>
  <c r="T54" i="11" s="1"/>
  <c r="U54" i="11" s="1"/>
  <c r="M91" i="15"/>
  <c r="O91" i="15" s="1"/>
  <c r="P91" i="15" s="1"/>
  <c r="J29" i="21"/>
  <c r="O29" i="21"/>
  <c r="I29" i="21"/>
  <c r="O71" i="4"/>
  <c r="Q71" i="4" s="1"/>
  <c r="R71" i="4" s="1"/>
  <c r="R37" i="11"/>
  <c r="T37" i="11" s="1"/>
  <c r="U37" i="11" s="1"/>
  <c r="M70" i="16"/>
  <c r="O70" i="16" s="1"/>
  <c r="P70" i="16" s="1"/>
  <c r="H78" i="16"/>
  <c r="H79" i="15"/>
  <c r="H44" i="11"/>
  <c r="J79" i="4"/>
  <c r="AK141" i="2"/>
  <c r="AJ141" i="2"/>
  <c r="M78" i="16"/>
  <c r="O78" i="16" s="1"/>
  <c r="P78" i="16" s="1"/>
  <c r="I13" i="8"/>
  <c r="I69" i="21"/>
  <c r="P69" i="21" s="1"/>
  <c r="Q69" i="21" s="1"/>
  <c r="R69" i="21" s="1"/>
  <c r="S69" i="21" s="1"/>
  <c r="J69" i="21"/>
  <c r="O69" i="21"/>
  <c r="M31" i="13"/>
  <c r="O31" i="13" s="1"/>
  <c r="P31" i="13" s="1"/>
  <c r="M22" i="12"/>
  <c r="O22" i="12" s="1"/>
  <c r="P22" i="12" s="1"/>
  <c r="H10" i="16"/>
  <c r="H10" i="15"/>
  <c r="AK60" i="2"/>
  <c r="AJ60" i="2"/>
  <c r="M10" i="16"/>
  <c r="O10" i="16" s="1"/>
  <c r="P10" i="16" s="1"/>
  <c r="J79" i="21"/>
  <c r="I79" i="21"/>
  <c r="P79" i="21"/>
  <c r="Q79" i="21" s="1"/>
  <c r="R79" i="21" s="1"/>
  <c r="S79" i="21" s="1"/>
  <c r="O79" i="21"/>
  <c r="AK176" i="2"/>
  <c r="AJ176" i="2"/>
  <c r="O95" i="8"/>
  <c r="P95" i="8" s="1"/>
  <c r="Q95" i="8" s="1"/>
  <c r="W18" i="19"/>
  <c r="X18" i="19"/>
  <c r="Y18" i="19" s="1"/>
  <c r="Z18" i="19" s="1"/>
  <c r="I41" i="13"/>
  <c r="L41" i="13"/>
  <c r="J41" i="13"/>
  <c r="K41" i="13"/>
  <c r="N41" i="13"/>
  <c r="R80" i="11"/>
  <c r="T80" i="11" s="1"/>
  <c r="U80" i="11" s="1"/>
  <c r="N80" i="11"/>
  <c r="O80" i="11" s="1"/>
  <c r="N57" i="11"/>
  <c r="O57" i="11" s="1"/>
  <c r="K73" i="13"/>
  <c r="I73" i="13"/>
  <c r="L73" i="13"/>
  <c r="N73" i="13"/>
  <c r="J73" i="13"/>
  <c r="R76" i="11"/>
  <c r="T76" i="11" s="1"/>
  <c r="U76" i="11" s="1"/>
  <c r="N21" i="10"/>
  <c r="M21" i="10"/>
  <c r="K21" i="10"/>
  <c r="L21" i="10"/>
  <c r="L69" i="6"/>
  <c r="O69" i="6"/>
  <c r="K69" i="6"/>
  <c r="J69" i="6"/>
  <c r="N69" i="6"/>
  <c r="M69" i="6"/>
  <c r="Z70" i="10"/>
  <c r="Q70" i="10" s="1"/>
  <c r="Y70" i="10"/>
  <c r="S70" i="10" s="1"/>
  <c r="X70" i="10"/>
  <c r="T70" i="10" s="1"/>
  <c r="W70" i="10" s="1"/>
  <c r="N38" i="6"/>
  <c r="J38" i="6"/>
  <c r="M38" i="6"/>
  <c r="L38" i="6"/>
  <c r="K38" i="6"/>
  <c r="O38" i="6"/>
  <c r="M20" i="6"/>
  <c r="L20" i="6"/>
  <c r="K20" i="6"/>
  <c r="J20" i="6"/>
  <c r="N20" i="6"/>
  <c r="O20" i="6"/>
  <c r="R60" i="8"/>
  <c r="T60" i="8"/>
  <c r="M16" i="6"/>
  <c r="L16" i="6"/>
  <c r="O16" i="6"/>
  <c r="K16" i="6"/>
  <c r="N16" i="6"/>
  <c r="J16" i="6"/>
  <c r="X69" i="19"/>
  <c r="W69" i="19"/>
  <c r="Y69" i="19" s="1"/>
  <c r="Z69" i="19" s="1"/>
  <c r="S72" i="19"/>
  <c r="X51" i="19"/>
  <c r="W51" i="19"/>
  <c r="Y51" i="19" s="1"/>
  <c r="Z51" i="19" s="1"/>
  <c r="W44" i="19"/>
  <c r="X44" i="19"/>
  <c r="S22" i="19"/>
  <c r="W48" i="19"/>
  <c r="X48" i="19"/>
  <c r="S33" i="19"/>
  <c r="X68" i="19"/>
  <c r="W68" i="19"/>
  <c r="X10" i="19"/>
  <c r="W10" i="19"/>
  <c r="Y10" i="19" s="1"/>
  <c r="Z10" i="19" s="1"/>
  <c r="K55" i="13"/>
  <c r="I55" i="13"/>
  <c r="J55" i="13"/>
  <c r="N55" i="13"/>
  <c r="L55" i="13"/>
  <c r="R90" i="11"/>
  <c r="T90" i="11" s="1"/>
  <c r="U90" i="11" s="1"/>
  <c r="N90" i="11"/>
  <c r="O90" i="11" s="1"/>
  <c r="R99" i="11"/>
  <c r="T99" i="11" s="1"/>
  <c r="U99" i="11" s="1"/>
  <c r="N99" i="11"/>
  <c r="O99" i="11" s="1"/>
  <c r="R87" i="11"/>
  <c r="T87" i="11" s="1"/>
  <c r="U87" i="11" s="1"/>
  <c r="N87" i="11"/>
  <c r="O87" i="11" s="1"/>
  <c r="N55" i="11"/>
  <c r="O55" i="11" s="1"/>
  <c r="N47" i="11"/>
  <c r="O47" i="11" s="1"/>
  <c r="N35" i="11"/>
  <c r="O35" i="11" s="1"/>
  <c r="R72" i="11"/>
  <c r="T72" i="11" s="1"/>
  <c r="U72" i="11" s="1"/>
  <c r="N72" i="11"/>
  <c r="O72" i="11" s="1"/>
  <c r="N85" i="10"/>
  <c r="M85" i="10"/>
  <c r="L85" i="10"/>
  <c r="K85" i="10"/>
  <c r="M4" i="10"/>
  <c r="L4" i="10"/>
  <c r="N4" i="10"/>
  <c r="K4" i="10"/>
  <c r="O4" i="10" s="1"/>
  <c r="P4" i="10" s="1"/>
  <c r="N70" i="8"/>
  <c r="M70" i="8"/>
  <c r="J70" i="8"/>
  <c r="K70" i="8"/>
  <c r="L89" i="6"/>
  <c r="O89" i="6"/>
  <c r="K89" i="6"/>
  <c r="N89" i="6"/>
  <c r="J89" i="6"/>
  <c r="M89" i="6"/>
  <c r="L75" i="6"/>
  <c r="O75" i="6"/>
  <c r="K75" i="6"/>
  <c r="J75" i="6"/>
  <c r="N75" i="6"/>
  <c r="M75" i="6"/>
  <c r="L67" i="6"/>
  <c r="O67" i="6"/>
  <c r="K67" i="6"/>
  <c r="J67" i="6"/>
  <c r="N67" i="6"/>
  <c r="M67" i="6"/>
  <c r="L55" i="6"/>
  <c r="O55" i="6"/>
  <c r="K55" i="6"/>
  <c r="N55" i="6"/>
  <c r="M55" i="6"/>
  <c r="J55" i="6"/>
  <c r="L41" i="6"/>
  <c r="O41" i="6"/>
  <c r="K41" i="6"/>
  <c r="N41" i="6"/>
  <c r="J41" i="6"/>
  <c r="M41" i="6"/>
  <c r="L31" i="6"/>
  <c r="O31" i="6"/>
  <c r="K31" i="6"/>
  <c r="N31" i="6"/>
  <c r="J31" i="6"/>
  <c r="M31" i="6"/>
  <c r="U70" i="13"/>
  <c r="R70" i="13" s="1"/>
  <c r="P89" i="7"/>
  <c r="Q89" i="7" s="1"/>
  <c r="T25" i="8"/>
  <c r="R25" i="8" s="1"/>
  <c r="V54" i="6"/>
  <c r="Y54" i="6"/>
  <c r="X54" i="6"/>
  <c r="T54" i="6"/>
  <c r="U54" i="6" s="1"/>
  <c r="N36" i="6"/>
  <c r="J36" i="6"/>
  <c r="M36" i="6"/>
  <c r="L36" i="6"/>
  <c r="K36" i="6"/>
  <c r="O36" i="6"/>
  <c r="N30" i="6"/>
  <c r="J30" i="6"/>
  <c r="M30" i="6"/>
  <c r="L30" i="6"/>
  <c r="K30" i="6"/>
  <c r="O30" i="6"/>
  <c r="H94" i="8"/>
  <c r="G89" i="6"/>
  <c r="Q91" i="3"/>
  <c r="AC91" i="3"/>
  <c r="AD91" i="3" s="1"/>
  <c r="AE91" i="3" s="1"/>
  <c r="N77" i="7"/>
  <c r="J77" i="7"/>
  <c r="O77" i="7"/>
  <c r="K77" i="7"/>
  <c r="U77" i="7"/>
  <c r="M77" i="7"/>
  <c r="L77" i="7"/>
  <c r="N76" i="7"/>
  <c r="J76" i="7"/>
  <c r="O76" i="7"/>
  <c r="K76" i="7"/>
  <c r="M76" i="7"/>
  <c r="L76" i="7"/>
  <c r="U76" i="7"/>
  <c r="T44" i="8"/>
  <c r="R44" i="8" s="1"/>
  <c r="N60" i="7"/>
  <c r="J60" i="7"/>
  <c r="O60" i="7"/>
  <c r="K60" i="7"/>
  <c r="P60" i="7" s="1"/>
  <c r="Q60" i="7" s="1"/>
  <c r="L60" i="7"/>
  <c r="U60" i="7"/>
  <c r="M60" i="7"/>
  <c r="N51" i="7"/>
  <c r="J51" i="7"/>
  <c r="L51" i="7"/>
  <c r="U51" i="7"/>
  <c r="K51" i="7"/>
  <c r="M51" i="7"/>
  <c r="O51" i="7"/>
  <c r="N74" i="6"/>
  <c r="J74" i="6"/>
  <c r="M74" i="6"/>
  <c r="O74" i="6"/>
  <c r="L74" i="6"/>
  <c r="K74" i="6"/>
  <c r="N66" i="6"/>
  <c r="J66" i="6"/>
  <c r="M66" i="6"/>
  <c r="O66" i="6"/>
  <c r="K66" i="6"/>
  <c r="L66" i="6"/>
  <c r="V42" i="6"/>
  <c r="T42" i="6"/>
  <c r="U42" i="6" s="1"/>
  <c r="Y42" i="6"/>
  <c r="X42" i="6"/>
  <c r="H87" i="21"/>
  <c r="H86" i="8"/>
  <c r="O86" i="8" s="1"/>
  <c r="P86" i="8" s="1"/>
  <c r="Q86" i="8" s="1"/>
  <c r="AC85" i="3"/>
  <c r="AD85" i="3" s="1"/>
  <c r="AE85" i="3" s="1"/>
  <c r="Q85" i="3"/>
  <c r="AJ85" i="3"/>
  <c r="AK85" i="3" s="1"/>
  <c r="U75" i="13"/>
  <c r="R75" i="13" s="1"/>
  <c r="U52" i="13"/>
  <c r="R52" i="13" s="1"/>
  <c r="R53" i="8"/>
  <c r="T53" i="8"/>
  <c r="N72" i="7"/>
  <c r="J72" i="7"/>
  <c r="O72" i="7"/>
  <c r="K72" i="7"/>
  <c r="P72" i="7" s="1"/>
  <c r="Q72" i="7" s="1"/>
  <c r="M72" i="7"/>
  <c r="L72" i="7"/>
  <c r="U72" i="7"/>
  <c r="N71" i="7"/>
  <c r="J71" i="7"/>
  <c r="O71" i="7"/>
  <c r="K71" i="7"/>
  <c r="U71" i="7"/>
  <c r="M71" i="7"/>
  <c r="L71" i="7"/>
  <c r="R35" i="8"/>
  <c r="T35" i="8"/>
  <c r="T34" i="8"/>
  <c r="R34" i="8" s="1"/>
  <c r="X25" i="10"/>
  <c r="T25" i="10" s="1"/>
  <c r="W25" i="10" s="1"/>
  <c r="Y25" i="10"/>
  <c r="S25" i="10" s="1"/>
  <c r="Z25" i="10"/>
  <c r="Q25" i="10" s="1"/>
  <c r="U17" i="13"/>
  <c r="R17" i="13" s="1"/>
  <c r="Y5" i="6"/>
  <c r="T5" i="6"/>
  <c r="U5" i="6" s="1"/>
  <c r="X5" i="6"/>
  <c r="V5" i="6"/>
  <c r="U6" i="13"/>
  <c r="R6" i="13"/>
  <c r="Z98" i="2"/>
  <c r="AY98" i="2"/>
  <c r="AZ98" i="2"/>
  <c r="M78" i="8"/>
  <c r="K78" i="8"/>
  <c r="N78" i="8"/>
  <c r="J78" i="8"/>
  <c r="V8" i="6"/>
  <c r="Y8" i="6"/>
  <c r="T8" i="6"/>
  <c r="U8" i="6" s="1"/>
  <c r="X8" i="6"/>
  <c r="Y81" i="6"/>
  <c r="T81" i="6"/>
  <c r="U81" i="6" s="1"/>
  <c r="X81" i="6"/>
  <c r="V81" i="6"/>
  <c r="Y65" i="6"/>
  <c r="T65" i="6"/>
  <c r="U65" i="6" s="1"/>
  <c r="X65" i="6"/>
  <c r="V65" i="6"/>
  <c r="U62" i="13"/>
  <c r="R62" i="13" s="1"/>
  <c r="Z40" i="10"/>
  <c r="Q40" i="10" s="1"/>
  <c r="Y40" i="10"/>
  <c r="S40" i="10" s="1"/>
  <c r="X40" i="10"/>
  <c r="T40" i="10" s="1"/>
  <c r="W40" i="10" s="1"/>
  <c r="H16" i="21"/>
  <c r="AB15" i="17"/>
  <c r="AC15" i="17" s="1"/>
  <c r="H15" i="8"/>
  <c r="O15" i="8" s="1"/>
  <c r="P15" i="8" s="1"/>
  <c r="Q15" i="8" s="1"/>
  <c r="G13" i="6"/>
  <c r="P13" i="6" s="1"/>
  <c r="Q13" i="6" s="1"/>
  <c r="R13" i="6" s="1"/>
  <c r="AC13" i="3"/>
  <c r="AD13" i="3" s="1"/>
  <c r="AE13" i="3" s="1"/>
  <c r="AJ13" i="3"/>
  <c r="AK13" i="3" s="1"/>
  <c r="Q13" i="3"/>
  <c r="G57" i="16"/>
  <c r="M57" i="16" s="1"/>
  <c r="O57" i="16" s="1"/>
  <c r="P57" i="16" s="1"/>
  <c r="G58" i="15"/>
  <c r="M58" i="15" s="1"/>
  <c r="O58" i="15" s="1"/>
  <c r="P58" i="15" s="1"/>
  <c r="G52" i="13"/>
  <c r="G52" i="12"/>
  <c r="M52" i="12" s="1"/>
  <c r="O52" i="12" s="1"/>
  <c r="P52" i="12" s="1"/>
  <c r="G50" i="9"/>
  <c r="N50" i="9" s="1"/>
  <c r="O50" i="9" s="1"/>
  <c r="P50" i="9" s="1"/>
  <c r="I52" i="10"/>
  <c r="H74" i="7"/>
  <c r="AY118" i="2"/>
  <c r="I58" i="4"/>
  <c r="O58" i="4" s="1"/>
  <c r="Q58" i="4" s="1"/>
  <c r="R58" i="4" s="1"/>
  <c r="AZ118" i="2"/>
  <c r="AV118" i="2"/>
  <c r="AW118" i="2" s="1"/>
  <c r="Z118" i="2"/>
  <c r="G33" i="16"/>
  <c r="M33" i="16" s="1"/>
  <c r="O33" i="16" s="1"/>
  <c r="P33" i="16" s="1"/>
  <c r="G34" i="15"/>
  <c r="M34" i="15" s="1"/>
  <c r="O34" i="15" s="1"/>
  <c r="P34" i="15" s="1"/>
  <c r="G27" i="9"/>
  <c r="N27" i="9" s="1"/>
  <c r="O27" i="9" s="1"/>
  <c r="P27" i="9" s="1"/>
  <c r="AY90" i="2"/>
  <c r="H63" i="7"/>
  <c r="I34" i="4"/>
  <c r="O34" i="4" s="1"/>
  <c r="Q34" i="4" s="1"/>
  <c r="R34" i="4" s="1"/>
  <c r="AZ90" i="2"/>
  <c r="AV90" i="2"/>
  <c r="AW90" i="2" s="1"/>
  <c r="Z90" i="2"/>
  <c r="G24" i="15"/>
  <c r="M24" i="15" s="1"/>
  <c r="O24" i="15" s="1"/>
  <c r="P24" i="15" s="1"/>
  <c r="G24" i="16"/>
  <c r="M24" i="16" s="1"/>
  <c r="O24" i="16" s="1"/>
  <c r="P24" i="16" s="1"/>
  <c r="G24" i="13"/>
  <c r="G21" i="13"/>
  <c r="G23" i="12"/>
  <c r="M23" i="12" s="1"/>
  <c r="O23" i="12" s="1"/>
  <c r="P23" i="12" s="1"/>
  <c r="I23" i="10"/>
  <c r="O23" i="10" s="1"/>
  <c r="P23" i="10" s="1"/>
  <c r="H59" i="7"/>
  <c r="I25" i="4"/>
  <c r="O25" i="4" s="1"/>
  <c r="Q25" i="4" s="1"/>
  <c r="R25" i="4" s="1"/>
  <c r="AY80" i="2"/>
  <c r="AZ80" i="2"/>
  <c r="AV80" i="2"/>
  <c r="AW80" i="2" s="1"/>
  <c r="Z80" i="2"/>
  <c r="M24" i="6"/>
  <c r="L24" i="6"/>
  <c r="O24" i="6"/>
  <c r="N24" i="6"/>
  <c r="K24" i="6"/>
  <c r="J24" i="6"/>
  <c r="H96" i="8"/>
  <c r="AC93" i="3"/>
  <c r="AD93" i="3" s="1"/>
  <c r="AE93" i="3" s="1"/>
  <c r="G91" i="6"/>
  <c r="P91" i="6" s="1"/>
  <c r="Q91" i="6" s="1"/>
  <c r="R91" i="6" s="1"/>
  <c r="Q93" i="3"/>
  <c r="U54" i="13"/>
  <c r="R54" i="13" s="1"/>
  <c r="M94" i="16"/>
  <c r="O94" i="16" s="1"/>
  <c r="P94" i="16" s="1"/>
  <c r="M67" i="12"/>
  <c r="O67" i="12" s="1"/>
  <c r="P67" i="12" s="1"/>
  <c r="G66" i="16"/>
  <c r="M66" i="16" s="1"/>
  <c r="O66" i="16" s="1"/>
  <c r="P66" i="16" s="1"/>
  <c r="G67" i="15"/>
  <c r="M67" i="15" s="1"/>
  <c r="O67" i="15" s="1"/>
  <c r="P67" i="15" s="1"/>
  <c r="G61" i="13"/>
  <c r="G61" i="12"/>
  <c r="M61" i="12" s="1"/>
  <c r="O61" i="12" s="1"/>
  <c r="P61" i="12" s="1"/>
  <c r="I61" i="10"/>
  <c r="G58" i="9"/>
  <c r="N58" i="9" s="1"/>
  <c r="O58" i="9" s="1"/>
  <c r="P58" i="9" s="1"/>
  <c r="I67" i="4"/>
  <c r="O67" i="4" s="1"/>
  <c r="Q67" i="4" s="1"/>
  <c r="R67" i="4" s="1"/>
  <c r="H78" i="7"/>
  <c r="AV128" i="2"/>
  <c r="AW128" i="2" s="1"/>
  <c r="Z128" i="2"/>
  <c r="AZ128" i="2"/>
  <c r="AY128" i="2"/>
  <c r="M65" i="15"/>
  <c r="O65" i="15" s="1"/>
  <c r="P65" i="15" s="1"/>
  <c r="M55" i="12"/>
  <c r="O55" i="12" s="1"/>
  <c r="P55" i="12" s="1"/>
  <c r="G59" i="16"/>
  <c r="M59" i="16" s="1"/>
  <c r="O59" i="16" s="1"/>
  <c r="P59" i="16" s="1"/>
  <c r="G60" i="15"/>
  <c r="M60" i="15" s="1"/>
  <c r="O60" i="15" s="1"/>
  <c r="P60" i="15" s="1"/>
  <c r="G54" i="13"/>
  <c r="G54" i="12"/>
  <c r="M54" i="12" s="1"/>
  <c r="O54" i="12" s="1"/>
  <c r="P54" i="12" s="1"/>
  <c r="I54" i="10"/>
  <c r="AV120" i="2"/>
  <c r="AW120" i="2" s="1"/>
  <c r="Z120" i="2"/>
  <c r="AZ120" i="2"/>
  <c r="H75" i="7"/>
  <c r="I60" i="4"/>
  <c r="O60" i="4" s="1"/>
  <c r="Q60" i="4" s="1"/>
  <c r="R60" i="4" s="1"/>
  <c r="AY120" i="2"/>
  <c r="N44" i="6"/>
  <c r="J44" i="6"/>
  <c r="M44" i="6"/>
  <c r="L44" i="6"/>
  <c r="K44" i="6"/>
  <c r="O44" i="6"/>
  <c r="H42" i="21"/>
  <c r="AB43" i="17"/>
  <c r="AC43" i="17" s="1"/>
  <c r="H40" i="8"/>
  <c r="O40" i="8" s="1"/>
  <c r="P40" i="8" s="1"/>
  <c r="Q40" i="8" s="1"/>
  <c r="AC39" i="3"/>
  <c r="AD39" i="3" s="1"/>
  <c r="AE39" i="3" s="1"/>
  <c r="G40" i="6"/>
  <c r="AJ39" i="3"/>
  <c r="AK39" i="3" s="1"/>
  <c r="Q39" i="3"/>
  <c r="H32" i="21"/>
  <c r="AB41" i="17"/>
  <c r="AC41" i="17" s="1"/>
  <c r="G28" i="6"/>
  <c r="P28" i="6" s="1"/>
  <c r="Q28" i="6" s="1"/>
  <c r="R28" i="6" s="1"/>
  <c r="AC29" i="3"/>
  <c r="AD29" i="3" s="1"/>
  <c r="AE29" i="3" s="1"/>
  <c r="H30" i="8"/>
  <c r="Q29" i="3"/>
  <c r="T12" i="6"/>
  <c r="Y12" i="6"/>
  <c r="X12" i="6"/>
  <c r="V12" i="6"/>
  <c r="AK181" i="2"/>
  <c r="AJ181" i="2"/>
  <c r="AL181" i="2" s="1"/>
  <c r="AM181" i="2" s="1"/>
  <c r="G87" i="16"/>
  <c r="M87" i="16" s="1"/>
  <c r="O87" i="16" s="1"/>
  <c r="P87" i="16" s="1"/>
  <c r="G88" i="15"/>
  <c r="M88" i="15" s="1"/>
  <c r="O88" i="15" s="1"/>
  <c r="P88" i="15" s="1"/>
  <c r="G75" i="9"/>
  <c r="N75" i="9" s="1"/>
  <c r="O75" i="9" s="1"/>
  <c r="P75" i="9" s="1"/>
  <c r="I88" i="4"/>
  <c r="O88" i="4" s="1"/>
  <c r="Q88" i="4" s="1"/>
  <c r="R88" i="4" s="1"/>
  <c r="AY150" i="2"/>
  <c r="Z150" i="2"/>
  <c r="AZ150" i="2"/>
  <c r="AV150" i="2"/>
  <c r="AW150" i="2" s="1"/>
  <c r="N70" i="9"/>
  <c r="O70" i="9" s="1"/>
  <c r="P70" i="9" s="1"/>
  <c r="Y127" i="2"/>
  <c r="Y119" i="2"/>
  <c r="Y109" i="2"/>
  <c r="G42" i="16"/>
  <c r="M42" i="16" s="1"/>
  <c r="O42" i="16" s="1"/>
  <c r="P42" i="16" s="1"/>
  <c r="G43" i="15"/>
  <c r="M43" i="15" s="1"/>
  <c r="O43" i="15" s="1"/>
  <c r="P43" i="15" s="1"/>
  <c r="G37" i="13"/>
  <c r="G37" i="12"/>
  <c r="M37" i="12" s="1"/>
  <c r="O37" i="12" s="1"/>
  <c r="P37" i="12" s="1"/>
  <c r="G35" i="9"/>
  <c r="N35" i="9" s="1"/>
  <c r="O35" i="9" s="1"/>
  <c r="P35" i="9" s="1"/>
  <c r="I43" i="4"/>
  <c r="O43" i="4" s="1"/>
  <c r="Q43" i="4" s="1"/>
  <c r="R43" i="4" s="1"/>
  <c r="I37" i="10"/>
  <c r="O37" i="10" s="1"/>
  <c r="P37" i="10" s="1"/>
  <c r="H65" i="7"/>
  <c r="Z103" i="2"/>
  <c r="AY103" i="2"/>
  <c r="AZ103" i="2"/>
  <c r="H25" i="16"/>
  <c r="H25" i="15"/>
  <c r="H19" i="9"/>
  <c r="I60" i="7"/>
  <c r="AK81" i="2"/>
  <c r="AJ81" i="2"/>
  <c r="AL81" i="2" s="1"/>
  <c r="AM81" i="2" s="1"/>
  <c r="J26" i="4"/>
  <c r="G12" i="11"/>
  <c r="R12" i="11" s="1"/>
  <c r="T12" i="11" s="1"/>
  <c r="U12" i="11" s="1"/>
  <c r="AV75" i="2"/>
  <c r="AW75" i="2" s="1"/>
  <c r="Z75" i="2"/>
  <c r="AZ75" i="2"/>
  <c r="AY75" i="2"/>
  <c r="G19" i="16"/>
  <c r="M19" i="16" s="1"/>
  <c r="O19" i="16" s="1"/>
  <c r="P19" i="16" s="1"/>
  <c r="G19" i="15"/>
  <c r="M19" i="15" s="1"/>
  <c r="O19" i="15" s="1"/>
  <c r="P19" i="15" s="1"/>
  <c r="AV71" i="2"/>
  <c r="AW71" i="2" s="1"/>
  <c r="Z71" i="2"/>
  <c r="AZ71" i="2"/>
  <c r="I18" i="4"/>
  <c r="O18" i="4" s="1"/>
  <c r="Q18" i="4" s="1"/>
  <c r="R18" i="4" s="1"/>
  <c r="AY71" i="2"/>
  <c r="G14" i="16"/>
  <c r="M14" i="16" s="1"/>
  <c r="O14" i="16" s="1"/>
  <c r="P14" i="16" s="1"/>
  <c r="G14" i="15"/>
  <c r="M14" i="15" s="1"/>
  <c r="O14" i="15" s="1"/>
  <c r="P14" i="15" s="1"/>
  <c r="G13" i="13"/>
  <c r="G13" i="12"/>
  <c r="M13" i="12" s="1"/>
  <c r="O13" i="12" s="1"/>
  <c r="P13" i="12" s="1"/>
  <c r="G11" i="9"/>
  <c r="N11" i="9" s="1"/>
  <c r="O11" i="9" s="1"/>
  <c r="P11" i="9" s="1"/>
  <c r="I13" i="10"/>
  <c r="H56" i="7"/>
  <c r="I13" i="4"/>
  <c r="O13" i="4" s="1"/>
  <c r="Q13" i="4" s="1"/>
  <c r="R13" i="4" s="1"/>
  <c r="Z65" i="2"/>
  <c r="AY65" i="2"/>
  <c r="AZ65" i="2"/>
  <c r="AV36" i="2"/>
  <c r="AW36" i="2" s="1"/>
  <c r="Z36" i="2"/>
  <c r="AZ36" i="2"/>
  <c r="AY36" i="2"/>
  <c r="G6" i="16"/>
  <c r="M6" i="16" s="1"/>
  <c r="O6" i="16" s="1"/>
  <c r="P6" i="16" s="1"/>
  <c r="G6" i="15"/>
  <c r="M6" i="15" s="1"/>
  <c r="O6" i="15" s="1"/>
  <c r="P6" i="15" s="1"/>
  <c r="G6" i="12"/>
  <c r="M6" i="12" s="1"/>
  <c r="O6" i="12" s="1"/>
  <c r="P6" i="12" s="1"/>
  <c r="G6" i="13"/>
  <c r="G5" i="9"/>
  <c r="N5" i="9" s="1"/>
  <c r="O5" i="9" s="1"/>
  <c r="P5" i="9" s="1"/>
  <c r="H52" i="7"/>
  <c r="I6" i="10"/>
  <c r="I5" i="4"/>
  <c r="O5" i="4" s="1"/>
  <c r="Q5" i="4" s="1"/>
  <c r="R5" i="4" s="1"/>
  <c r="Z29" i="2"/>
  <c r="AY29" i="2"/>
  <c r="AZ29" i="2"/>
  <c r="Z21" i="2"/>
  <c r="AY21" i="2"/>
  <c r="AZ21" i="2"/>
  <c r="Z13" i="2"/>
  <c r="AY13" i="2"/>
  <c r="AZ13" i="2"/>
  <c r="AZ10" i="2"/>
  <c r="AY10" i="2"/>
  <c r="Z10" i="2"/>
  <c r="Z5" i="2"/>
  <c r="AY5" i="2"/>
  <c r="AZ5" i="2"/>
  <c r="AY2" i="2"/>
  <c r="Z2" i="2"/>
  <c r="AZ2" i="2"/>
  <c r="M25" i="15"/>
  <c r="O25" i="15" s="1"/>
  <c r="P25" i="15" s="1"/>
  <c r="Y69" i="2"/>
  <c r="AV65" i="2"/>
  <c r="AW65" i="2" s="1"/>
  <c r="AV16" i="2"/>
  <c r="AW16" i="2" s="1"/>
  <c r="AY35" i="2"/>
  <c r="AZ35" i="2"/>
  <c r="AV35" i="2"/>
  <c r="AW35" i="2" s="1"/>
  <c r="Z35" i="2"/>
  <c r="H76" i="21"/>
  <c r="AB79" i="17"/>
  <c r="AC79" i="17" s="1"/>
  <c r="H75" i="8"/>
  <c r="Q74" i="3"/>
  <c r="G74" i="6"/>
  <c r="AJ74" i="3"/>
  <c r="AK74" i="3" s="1"/>
  <c r="AC74" i="3"/>
  <c r="AD74" i="3" s="1"/>
  <c r="AE74" i="3" s="1"/>
  <c r="H51" i="21"/>
  <c r="G49" i="6"/>
  <c r="AJ48" i="3"/>
  <c r="AK48" i="3" s="1"/>
  <c r="Q48" i="3"/>
  <c r="H49" i="6" s="1"/>
  <c r="AC48" i="3"/>
  <c r="AD48" i="3" s="1"/>
  <c r="AE48" i="3" s="1"/>
  <c r="X27" i="6"/>
  <c r="V27" i="6"/>
  <c r="Y27" i="6"/>
  <c r="T27" i="6"/>
  <c r="U27" i="6" s="1"/>
  <c r="U28" i="13"/>
  <c r="R28" i="13" s="1"/>
  <c r="H20" i="21"/>
  <c r="AB19" i="17"/>
  <c r="AC19" i="17" s="1"/>
  <c r="H19" i="8"/>
  <c r="O19" i="8" s="1"/>
  <c r="P19" i="8" s="1"/>
  <c r="Q19" i="8" s="1"/>
  <c r="AC17" i="3"/>
  <c r="AD17" i="3" s="1"/>
  <c r="AE17" i="3" s="1"/>
  <c r="AJ17" i="3"/>
  <c r="AK17" i="3" s="1"/>
  <c r="Q17" i="3"/>
  <c r="G17" i="6"/>
  <c r="P17" i="6" s="1"/>
  <c r="Q17" i="6" s="1"/>
  <c r="R17" i="6" s="1"/>
  <c r="R41" i="11"/>
  <c r="T41" i="11" s="1"/>
  <c r="U41" i="11" s="1"/>
  <c r="M75" i="16"/>
  <c r="O75" i="16" s="1"/>
  <c r="P75" i="16" s="1"/>
  <c r="O70" i="4"/>
  <c r="Q70" i="4" s="1"/>
  <c r="R70" i="4" s="1"/>
  <c r="R36" i="11"/>
  <c r="T36" i="11" s="1"/>
  <c r="U36" i="11" s="1"/>
  <c r="G39" i="16"/>
  <c r="M39" i="16" s="1"/>
  <c r="O39" i="16" s="1"/>
  <c r="P39" i="16" s="1"/>
  <c r="G40" i="15"/>
  <c r="M40" i="15" s="1"/>
  <c r="O40" i="15" s="1"/>
  <c r="P40" i="15" s="1"/>
  <c r="G34" i="13"/>
  <c r="G34" i="12"/>
  <c r="M34" i="12" s="1"/>
  <c r="O34" i="12" s="1"/>
  <c r="P34" i="12" s="1"/>
  <c r="G22" i="11"/>
  <c r="R22" i="11" s="1"/>
  <c r="T22" i="11" s="1"/>
  <c r="U22" i="11" s="1"/>
  <c r="G32" i="9"/>
  <c r="N32" i="9" s="1"/>
  <c r="O32" i="9" s="1"/>
  <c r="P32" i="9" s="1"/>
  <c r="I34" i="10"/>
  <c r="O34" i="10" s="1"/>
  <c r="P34" i="10" s="1"/>
  <c r="I40" i="4"/>
  <c r="O40" i="4" s="1"/>
  <c r="Q40" i="4" s="1"/>
  <c r="R40" i="4" s="1"/>
  <c r="Z100" i="2"/>
  <c r="H21" i="7"/>
  <c r="AY100" i="2"/>
  <c r="AZ100" i="2"/>
  <c r="Y44" i="2"/>
  <c r="G9" i="15"/>
  <c r="M9" i="15" s="1"/>
  <c r="O9" i="15" s="1"/>
  <c r="P9" i="15" s="1"/>
  <c r="G9" i="16"/>
  <c r="M9" i="16" s="1"/>
  <c r="O9" i="16" s="1"/>
  <c r="P9" i="16" s="1"/>
  <c r="G8" i="12"/>
  <c r="M8" i="12" s="1"/>
  <c r="O8" i="12" s="1"/>
  <c r="P8" i="12" s="1"/>
  <c r="G8" i="13"/>
  <c r="I8" i="10"/>
  <c r="G7" i="9"/>
  <c r="N7" i="9" s="1"/>
  <c r="O7" i="9" s="1"/>
  <c r="P7" i="9" s="1"/>
  <c r="I8" i="4"/>
  <c r="O8" i="4" s="1"/>
  <c r="Q8" i="4" s="1"/>
  <c r="R8" i="4" s="1"/>
  <c r="AY42" i="2"/>
  <c r="H54" i="7"/>
  <c r="AZ42" i="2"/>
  <c r="Z42" i="2"/>
  <c r="AV42" i="2"/>
  <c r="AW42" i="2" s="1"/>
  <c r="AY33" i="2"/>
  <c r="AZ33" i="2"/>
  <c r="Z33" i="2"/>
  <c r="AV33" i="2"/>
  <c r="AW33" i="2" s="1"/>
  <c r="AV19" i="2"/>
  <c r="AW19" i="2" s="1"/>
  <c r="AV2" i="2"/>
  <c r="AW2" i="2" s="1"/>
  <c r="O42" i="4"/>
  <c r="Q42" i="4" s="1"/>
  <c r="R42" i="4" s="1"/>
  <c r="M42" i="15"/>
  <c r="O42" i="15" s="1"/>
  <c r="P42" i="15" s="1"/>
  <c r="M35" i="16"/>
  <c r="O35" i="16" s="1"/>
  <c r="P35" i="16" s="1"/>
  <c r="M26" i="15"/>
  <c r="O26" i="15" s="1"/>
  <c r="P26" i="15" s="1"/>
  <c r="T88" i="8"/>
  <c r="R88" i="8" s="1"/>
  <c r="N69" i="7"/>
  <c r="J69" i="7"/>
  <c r="O69" i="7"/>
  <c r="K69" i="7"/>
  <c r="U69" i="7"/>
  <c r="M69" i="7"/>
  <c r="L69" i="7"/>
  <c r="AJ29" i="3"/>
  <c r="AK29" i="3" s="1"/>
  <c r="V28" i="6"/>
  <c r="T28" i="6"/>
  <c r="Y28" i="6"/>
  <c r="X28" i="6"/>
  <c r="U29" i="13"/>
  <c r="R29" i="13" s="1"/>
  <c r="M111" i="16"/>
  <c r="O111" i="16" s="1"/>
  <c r="P111" i="16" s="1"/>
  <c r="O110" i="4"/>
  <c r="Q110" i="4" s="1"/>
  <c r="R110" i="4" s="1"/>
  <c r="O102" i="4"/>
  <c r="Q102" i="4" s="1"/>
  <c r="R102" i="4" s="1"/>
  <c r="N73" i="9"/>
  <c r="O73" i="9" s="1"/>
  <c r="P73" i="9" s="1"/>
  <c r="M86" i="15"/>
  <c r="O86" i="15" s="1"/>
  <c r="P86" i="15" s="1"/>
  <c r="H79" i="16"/>
  <c r="H80" i="15"/>
  <c r="H45" i="11"/>
  <c r="J80" i="4"/>
  <c r="AK142" i="2"/>
  <c r="AJ142" i="2"/>
  <c r="Y123" i="2"/>
  <c r="AV103" i="2"/>
  <c r="AW103" i="2" s="1"/>
  <c r="M32" i="12"/>
  <c r="O32" i="12" s="1"/>
  <c r="P32" i="12" s="1"/>
  <c r="G15" i="16"/>
  <c r="M15" i="16" s="1"/>
  <c r="O15" i="16" s="1"/>
  <c r="P15" i="16" s="1"/>
  <c r="G15" i="15"/>
  <c r="M15" i="15" s="1"/>
  <c r="O15" i="15" s="1"/>
  <c r="P15" i="15" s="1"/>
  <c r="G14" i="12"/>
  <c r="M14" i="12" s="1"/>
  <c r="O14" i="12" s="1"/>
  <c r="P14" i="12" s="1"/>
  <c r="G14" i="13"/>
  <c r="G6" i="11"/>
  <c r="R6" i="11" s="1"/>
  <c r="T6" i="11" s="1"/>
  <c r="U6" i="11" s="1"/>
  <c r="I14" i="10"/>
  <c r="O14" i="10" s="1"/>
  <c r="P14" i="10" s="1"/>
  <c r="G12" i="9"/>
  <c r="N12" i="9" s="1"/>
  <c r="O12" i="9" s="1"/>
  <c r="P12" i="9" s="1"/>
  <c r="H6" i="7"/>
  <c r="AY67" i="2"/>
  <c r="I14" i="4"/>
  <c r="O14" i="4" s="1"/>
  <c r="Q14" i="4" s="1"/>
  <c r="R14" i="4" s="1"/>
  <c r="Z67" i="2"/>
  <c r="AZ67" i="2"/>
  <c r="AV67" i="2"/>
  <c r="AW67" i="2" s="1"/>
  <c r="AV98" i="2"/>
  <c r="AW98" i="2" s="1"/>
  <c r="M32" i="15"/>
  <c r="O32" i="15" s="1"/>
  <c r="P32" i="15" s="1"/>
  <c r="N10" i="9"/>
  <c r="O10" i="9" s="1"/>
  <c r="P10" i="9" s="1"/>
  <c r="O101" i="4"/>
  <c r="Q101" i="4" s="1"/>
  <c r="R101" i="4" s="1"/>
  <c r="I84" i="8"/>
  <c r="M90" i="16"/>
  <c r="O90" i="16" s="1"/>
  <c r="P90" i="16" s="1"/>
  <c r="AK125" i="2"/>
  <c r="AJ125" i="2"/>
  <c r="P24" i="6"/>
  <c r="Q24" i="6" s="1"/>
  <c r="R24" i="6" s="1"/>
  <c r="I6" i="8"/>
  <c r="H5" i="6"/>
  <c r="N62" i="9"/>
  <c r="O62" i="9" s="1"/>
  <c r="P62" i="9" s="1"/>
  <c r="O79" i="4"/>
  <c r="Q79" i="4" s="1"/>
  <c r="R79" i="4" s="1"/>
  <c r="I36" i="8"/>
  <c r="O14" i="21"/>
  <c r="J14" i="21"/>
  <c r="I14" i="21"/>
  <c r="O67" i="8"/>
  <c r="P67" i="8" s="1"/>
  <c r="Q67" i="8" s="1"/>
  <c r="J36" i="21"/>
  <c r="K36" i="21" s="1"/>
  <c r="L36" i="21" s="1"/>
  <c r="M36" i="21" s="1"/>
  <c r="N36" i="21" s="1"/>
  <c r="O36" i="21"/>
  <c r="I36" i="21"/>
  <c r="X53" i="19"/>
  <c r="W53" i="19"/>
  <c r="X47" i="19"/>
  <c r="W47" i="19"/>
  <c r="Y47" i="19" s="1"/>
  <c r="Z47" i="19" s="1"/>
  <c r="X43" i="19"/>
  <c r="Y43" i="19" s="1"/>
  <c r="Z43" i="19" s="1"/>
  <c r="W43" i="19"/>
  <c r="I65" i="13"/>
  <c r="K65" i="13"/>
  <c r="N65" i="13"/>
  <c r="J65" i="13"/>
  <c r="L65" i="13"/>
  <c r="K81" i="13"/>
  <c r="I81" i="13"/>
  <c r="L81" i="13"/>
  <c r="N81" i="13"/>
  <c r="J81" i="13"/>
  <c r="R70" i="11"/>
  <c r="T70" i="11" s="1"/>
  <c r="U70" i="11" s="1"/>
  <c r="N70" i="11"/>
  <c r="O70" i="11" s="1"/>
  <c r="L80" i="10"/>
  <c r="K80" i="10"/>
  <c r="N80" i="10"/>
  <c r="M80" i="10"/>
  <c r="N19" i="10"/>
  <c r="L19" i="10"/>
  <c r="K19" i="10"/>
  <c r="M19" i="10"/>
  <c r="L77" i="6"/>
  <c r="O77" i="6"/>
  <c r="K77" i="6"/>
  <c r="J77" i="6"/>
  <c r="N77" i="6"/>
  <c r="M77" i="6"/>
  <c r="L33" i="6"/>
  <c r="O33" i="6"/>
  <c r="K33" i="6"/>
  <c r="N33" i="6"/>
  <c r="M33" i="6"/>
  <c r="J33" i="6"/>
  <c r="S78" i="19"/>
  <c r="W75" i="19"/>
  <c r="X75" i="19"/>
  <c r="S54" i="19"/>
  <c r="X64" i="19"/>
  <c r="W64" i="19"/>
  <c r="Y64" i="19" s="1"/>
  <c r="Z64" i="19" s="1"/>
  <c r="W38" i="19"/>
  <c r="X38" i="19"/>
  <c r="S27" i="19"/>
  <c r="X6" i="19"/>
  <c r="W6" i="19"/>
  <c r="Y6" i="19" s="1"/>
  <c r="Z6" i="19" s="1"/>
  <c r="S49" i="19"/>
  <c r="I87" i="13"/>
  <c r="K87" i="13"/>
  <c r="L87" i="13"/>
  <c r="N87" i="13"/>
  <c r="J87" i="13"/>
  <c r="I43" i="13"/>
  <c r="K43" i="13"/>
  <c r="L43" i="13"/>
  <c r="N43" i="13"/>
  <c r="J43" i="13"/>
  <c r="K19" i="13"/>
  <c r="I19" i="13"/>
  <c r="J19" i="13"/>
  <c r="N19" i="13"/>
  <c r="L19" i="13"/>
  <c r="R78" i="11"/>
  <c r="T78" i="11" s="1"/>
  <c r="U78" i="11" s="1"/>
  <c r="N78" i="11"/>
  <c r="O78" i="11" s="1"/>
  <c r="R66" i="11"/>
  <c r="T66" i="11" s="1"/>
  <c r="U66" i="11" s="1"/>
  <c r="N66" i="11"/>
  <c r="O66" i="11" s="1"/>
  <c r="R60" i="11"/>
  <c r="T60" i="11" s="1"/>
  <c r="U60" i="11" s="1"/>
  <c r="N60" i="11"/>
  <c r="O60" i="11" s="1"/>
  <c r="K15" i="13"/>
  <c r="I15" i="13"/>
  <c r="L15" i="13"/>
  <c r="J15" i="13"/>
  <c r="N15" i="13"/>
  <c r="R73" i="11"/>
  <c r="T73" i="11" s="1"/>
  <c r="U73" i="11" s="1"/>
  <c r="N73" i="11"/>
  <c r="O73" i="11" s="1"/>
  <c r="R69" i="11"/>
  <c r="T69" i="11" s="1"/>
  <c r="U69" i="11" s="1"/>
  <c r="N69" i="11"/>
  <c r="O69" i="11" s="1"/>
  <c r="N53" i="11"/>
  <c r="O53" i="11" s="1"/>
  <c r="N45" i="11"/>
  <c r="O45" i="11" s="1"/>
  <c r="K59" i="13"/>
  <c r="I59" i="13"/>
  <c r="L59" i="13"/>
  <c r="N59" i="13"/>
  <c r="J59" i="13"/>
  <c r="I22" i="13"/>
  <c r="K22" i="13"/>
  <c r="N22" i="13"/>
  <c r="L22" i="13"/>
  <c r="J22" i="13"/>
  <c r="I9" i="13"/>
  <c r="K9" i="13"/>
  <c r="N9" i="13"/>
  <c r="L9" i="13"/>
  <c r="J9" i="13"/>
  <c r="K34" i="13"/>
  <c r="I34" i="13"/>
  <c r="N34" i="13"/>
  <c r="L34" i="13"/>
  <c r="J34" i="13"/>
  <c r="N17" i="11"/>
  <c r="O17" i="11" s="1"/>
  <c r="K66" i="10"/>
  <c r="N66" i="10"/>
  <c r="L66" i="10"/>
  <c r="M66" i="10"/>
  <c r="N29" i="10"/>
  <c r="M29" i="10"/>
  <c r="L29" i="10"/>
  <c r="K29" i="10"/>
  <c r="L85" i="6"/>
  <c r="O85" i="6"/>
  <c r="K85" i="6"/>
  <c r="N85" i="6"/>
  <c r="M85" i="6"/>
  <c r="J85" i="6"/>
  <c r="L73" i="6"/>
  <c r="O73" i="6"/>
  <c r="K73" i="6"/>
  <c r="J73" i="6"/>
  <c r="N73" i="6"/>
  <c r="M73" i="6"/>
  <c r="L63" i="6"/>
  <c r="O63" i="6"/>
  <c r="K63" i="6"/>
  <c r="M63" i="6"/>
  <c r="N63" i="6"/>
  <c r="J63" i="6"/>
  <c r="L49" i="6"/>
  <c r="O49" i="6"/>
  <c r="K49" i="6"/>
  <c r="J49" i="6"/>
  <c r="N49" i="6"/>
  <c r="M49" i="6"/>
  <c r="L39" i="6"/>
  <c r="O39" i="6"/>
  <c r="K39" i="6"/>
  <c r="N39" i="6"/>
  <c r="J39" i="6"/>
  <c r="M39" i="6"/>
  <c r="L29" i="6"/>
  <c r="O29" i="6"/>
  <c r="K29" i="6"/>
  <c r="N29" i="6"/>
  <c r="M29" i="6"/>
  <c r="J29" i="6"/>
  <c r="T75" i="8"/>
  <c r="R75" i="8" s="1"/>
  <c r="M97" i="8"/>
  <c r="K97" i="8"/>
  <c r="N97" i="8"/>
  <c r="J97" i="8"/>
  <c r="N11" i="10"/>
  <c r="M11" i="10"/>
  <c r="K11" i="10"/>
  <c r="L11" i="10"/>
  <c r="V84" i="6"/>
  <c r="Y84" i="6"/>
  <c r="T84" i="6"/>
  <c r="U84" i="6" s="1"/>
  <c r="X84" i="6"/>
  <c r="N64" i="6"/>
  <c r="J64" i="6"/>
  <c r="M64" i="6"/>
  <c r="L64" i="6"/>
  <c r="K64" i="6"/>
  <c r="O64" i="6"/>
  <c r="N46" i="6"/>
  <c r="J46" i="6"/>
  <c r="M46" i="6"/>
  <c r="L46" i="6"/>
  <c r="K46" i="6"/>
  <c r="O46" i="6"/>
  <c r="V34" i="6"/>
  <c r="X34" i="6"/>
  <c r="Y34" i="6"/>
  <c r="T34" i="6"/>
  <c r="U34" i="6" s="1"/>
  <c r="H80" i="21"/>
  <c r="H79" i="8"/>
  <c r="O79" i="8" s="1"/>
  <c r="P79" i="8" s="1"/>
  <c r="Q79" i="8" s="1"/>
  <c r="G77" i="6"/>
  <c r="P77" i="6" s="1"/>
  <c r="Q77" i="6" s="1"/>
  <c r="R77" i="6" s="1"/>
  <c r="Q78" i="3"/>
  <c r="AJ78" i="3"/>
  <c r="AK78" i="3" s="1"/>
  <c r="AC78" i="3"/>
  <c r="AD78" i="3" s="1"/>
  <c r="AE78" i="3" s="1"/>
  <c r="U58" i="13"/>
  <c r="R58" i="13" s="1"/>
  <c r="Z57" i="10"/>
  <c r="Q57" i="10"/>
  <c r="Y57" i="10"/>
  <c r="S57" i="10" s="1"/>
  <c r="T57" i="10"/>
  <c r="W57" i="10" s="1"/>
  <c r="X57" i="10"/>
  <c r="N68" i="7"/>
  <c r="J68" i="7"/>
  <c r="O68" i="7"/>
  <c r="K68" i="7"/>
  <c r="L68" i="7"/>
  <c r="M68" i="7"/>
  <c r="U68" i="7"/>
  <c r="U5" i="13"/>
  <c r="R5" i="13" s="1"/>
  <c r="P90" i="7"/>
  <c r="Q90" i="7" s="1"/>
  <c r="P58" i="7"/>
  <c r="Q58" i="7" s="1"/>
  <c r="P38" i="7"/>
  <c r="Q38" i="7" s="1"/>
  <c r="P9" i="7"/>
  <c r="Q9" i="7" s="1"/>
  <c r="N72" i="6"/>
  <c r="J72" i="6"/>
  <c r="M72" i="6"/>
  <c r="O72" i="6"/>
  <c r="L72" i="6"/>
  <c r="K72" i="6"/>
  <c r="M26" i="6"/>
  <c r="L26" i="6"/>
  <c r="N26" i="6"/>
  <c r="J26" i="6"/>
  <c r="K26" i="6"/>
  <c r="O26" i="6"/>
  <c r="AJ80" i="3"/>
  <c r="AK80" i="3" s="1"/>
  <c r="H78" i="21"/>
  <c r="H77" i="8"/>
  <c r="O77" i="8" s="1"/>
  <c r="P77" i="8" s="1"/>
  <c r="Q77" i="8" s="1"/>
  <c r="AC76" i="3"/>
  <c r="AD76" i="3" s="1"/>
  <c r="AE76" i="3" s="1"/>
  <c r="Q76" i="3"/>
  <c r="G76" i="6"/>
  <c r="AJ76" i="3"/>
  <c r="AK76" i="3" s="1"/>
  <c r="Y53" i="6"/>
  <c r="T53" i="6"/>
  <c r="U53" i="6" s="1"/>
  <c r="X53" i="6"/>
  <c r="V53" i="6"/>
  <c r="U51" i="13"/>
  <c r="R51" i="13" s="1"/>
  <c r="Z50" i="10"/>
  <c r="Q50" i="10" s="1"/>
  <c r="Y50" i="10"/>
  <c r="S50" i="10" s="1"/>
  <c r="X50" i="10"/>
  <c r="T50" i="10" s="1"/>
  <c r="W50" i="10" s="1"/>
  <c r="T51" i="8"/>
  <c r="R51" i="8" s="1"/>
  <c r="X33" i="10"/>
  <c r="T33" i="10"/>
  <c r="W33" i="10" s="1"/>
  <c r="S33" i="10"/>
  <c r="Z33" i="10"/>
  <c r="Q33" i="10"/>
  <c r="Y33" i="10"/>
  <c r="N64" i="7"/>
  <c r="J64" i="7"/>
  <c r="O64" i="7"/>
  <c r="K64" i="7"/>
  <c r="U64" i="7"/>
  <c r="M64" i="7"/>
  <c r="L64" i="7"/>
  <c r="N62" i="7"/>
  <c r="J62" i="7"/>
  <c r="O62" i="7"/>
  <c r="K62" i="7"/>
  <c r="M62" i="7"/>
  <c r="U62" i="7"/>
  <c r="L62" i="7"/>
  <c r="R18" i="8"/>
  <c r="T18" i="8"/>
  <c r="X6" i="10"/>
  <c r="T6" i="10" s="1"/>
  <c r="W6" i="10" s="1"/>
  <c r="Y6" i="10"/>
  <c r="S6" i="10" s="1"/>
  <c r="Z6" i="10"/>
  <c r="Q6" i="10" s="1"/>
  <c r="G28" i="16"/>
  <c r="M28" i="16" s="1"/>
  <c r="O28" i="16" s="1"/>
  <c r="P28" i="16" s="1"/>
  <c r="G28" i="15"/>
  <c r="M28" i="15" s="1"/>
  <c r="O28" i="15" s="1"/>
  <c r="P28" i="15" s="1"/>
  <c r="G20" i="13"/>
  <c r="G13" i="11"/>
  <c r="R13" i="11" s="1"/>
  <c r="T13" i="11" s="1"/>
  <c r="U13" i="11" s="1"/>
  <c r="G22" i="9"/>
  <c r="N22" i="9" s="1"/>
  <c r="O22" i="9" s="1"/>
  <c r="P22" i="9" s="1"/>
  <c r="H13" i="7"/>
  <c r="I20" i="10"/>
  <c r="O20" i="10" s="1"/>
  <c r="P20" i="10" s="1"/>
  <c r="AV84" i="2"/>
  <c r="AW84" i="2" s="1"/>
  <c r="Z84" i="2"/>
  <c r="AZ84" i="2"/>
  <c r="I29" i="4"/>
  <c r="O29" i="4" s="1"/>
  <c r="Q29" i="4" s="1"/>
  <c r="R29" i="4" s="1"/>
  <c r="AY84" i="2"/>
  <c r="P70" i="7"/>
  <c r="Q70" i="7" s="1"/>
  <c r="P80" i="7"/>
  <c r="Q80" i="7" s="1"/>
  <c r="P61" i="7"/>
  <c r="Q61" i="7" s="1"/>
  <c r="M14" i="6"/>
  <c r="L14" i="6"/>
  <c r="J14" i="6"/>
  <c r="O14" i="6"/>
  <c r="K14" i="6"/>
  <c r="N14" i="6"/>
  <c r="Z77" i="10"/>
  <c r="Q77" i="10" s="1"/>
  <c r="Y77" i="10"/>
  <c r="X77" i="10"/>
  <c r="T77" i="10"/>
  <c r="W77" i="10" s="1"/>
  <c r="S77" i="10"/>
  <c r="X62" i="10"/>
  <c r="T62" i="10"/>
  <c r="W62" i="10" s="1"/>
  <c r="Z62" i="10"/>
  <c r="Q62" i="10" s="1"/>
  <c r="Y62" i="10"/>
  <c r="S62" i="10" s="1"/>
  <c r="U40" i="13"/>
  <c r="R40" i="13" s="1"/>
  <c r="H15" i="21"/>
  <c r="AB99" i="17"/>
  <c r="AC99" i="17" s="1"/>
  <c r="H14" i="8"/>
  <c r="G12" i="6"/>
  <c r="P12" i="6" s="1"/>
  <c r="Q12" i="6" s="1"/>
  <c r="R12" i="6" s="1"/>
  <c r="AC12" i="3"/>
  <c r="AD12" i="3" s="1"/>
  <c r="AE12" i="3" s="1"/>
  <c r="Q12" i="3"/>
  <c r="U8" i="13"/>
  <c r="R8" i="13"/>
  <c r="G103" i="16"/>
  <c r="M103" i="16" s="1"/>
  <c r="O103" i="16" s="1"/>
  <c r="P103" i="16" s="1"/>
  <c r="G104" i="15"/>
  <c r="M104" i="15" s="1"/>
  <c r="O104" i="15" s="1"/>
  <c r="P104" i="15" s="1"/>
  <c r="G85" i="13"/>
  <c r="G85" i="12"/>
  <c r="M85" i="12" s="1"/>
  <c r="O85" i="12" s="1"/>
  <c r="P85" i="12" s="1"/>
  <c r="I81" i="10"/>
  <c r="G85" i="9"/>
  <c r="N85" i="9" s="1"/>
  <c r="O85" i="9" s="1"/>
  <c r="P85" i="9" s="1"/>
  <c r="I104" i="4"/>
  <c r="O104" i="4" s="1"/>
  <c r="Q104" i="4" s="1"/>
  <c r="R104" i="4" s="1"/>
  <c r="AY166" i="2"/>
  <c r="H90" i="7"/>
  <c r="AZ166" i="2"/>
  <c r="AV166" i="2"/>
  <c r="AW166" i="2" s="1"/>
  <c r="Z166" i="2"/>
  <c r="G67" i="16"/>
  <c r="M67" i="16" s="1"/>
  <c r="O67" i="16" s="1"/>
  <c r="P67" i="16" s="1"/>
  <c r="G68" i="15"/>
  <c r="M68" i="15" s="1"/>
  <c r="O68" i="15" s="1"/>
  <c r="P68" i="15" s="1"/>
  <c r="G62" i="13"/>
  <c r="G62" i="12"/>
  <c r="M62" i="12" s="1"/>
  <c r="O62" i="12" s="1"/>
  <c r="P62" i="12" s="1"/>
  <c r="I62" i="10"/>
  <c r="G59" i="9"/>
  <c r="N59" i="9" s="1"/>
  <c r="O59" i="9" s="1"/>
  <c r="P59" i="9" s="1"/>
  <c r="H79" i="7"/>
  <c r="AY130" i="2"/>
  <c r="AZ130" i="2"/>
  <c r="AV130" i="2"/>
  <c r="AW130" i="2" s="1"/>
  <c r="I68" i="4"/>
  <c r="O68" i="4" s="1"/>
  <c r="Q68" i="4" s="1"/>
  <c r="R68" i="4" s="1"/>
  <c r="Z130" i="2"/>
  <c r="H24" i="21"/>
  <c r="AB23" i="17"/>
  <c r="AC23" i="17" s="1"/>
  <c r="H23" i="8"/>
  <c r="O23" i="8" s="1"/>
  <c r="P23" i="8" s="1"/>
  <c r="Q23" i="8" s="1"/>
  <c r="AC21" i="3"/>
  <c r="AD21" i="3" s="1"/>
  <c r="AE21" i="3" s="1"/>
  <c r="G25" i="6"/>
  <c r="P25" i="6" s="1"/>
  <c r="Q25" i="6" s="1"/>
  <c r="R25" i="6" s="1"/>
  <c r="AJ21" i="3"/>
  <c r="AK21" i="3" s="1"/>
  <c r="Q21" i="3"/>
  <c r="H74" i="21"/>
  <c r="H72" i="8"/>
  <c r="O72" i="8" s="1"/>
  <c r="P72" i="8" s="1"/>
  <c r="Q72" i="8" s="1"/>
  <c r="AC71" i="3"/>
  <c r="AD71" i="3" s="1"/>
  <c r="AE71" i="3" s="1"/>
  <c r="G72" i="6"/>
  <c r="AJ71" i="3"/>
  <c r="AK71" i="3" s="1"/>
  <c r="Q71" i="3"/>
  <c r="T56" i="8"/>
  <c r="R56" i="8" s="1"/>
  <c r="V56" i="6"/>
  <c r="X56" i="6"/>
  <c r="Y56" i="6"/>
  <c r="T56" i="6"/>
  <c r="U56" i="6" s="1"/>
  <c r="H31" i="21"/>
  <c r="AB14" i="17"/>
  <c r="AC14" i="17" s="1"/>
  <c r="H29" i="8"/>
  <c r="O29" i="8" s="1"/>
  <c r="P29" i="8" s="1"/>
  <c r="Q29" i="8" s="1"/>
  <c r="G87" i="6"/>
  <c r="G27" i="6"/>
  <c r="AC28" i="3"/>
  <c r="AD28" i="3" s="1"/>
  <c r="AE28" i="3" s="1"/>
  <c r="Q28" i="3"/>
  <c r="O106" i="4"/>
  <c r="Q106" i="4" s="1"/>
  <c r="R106" i="4" s="1"/>
  <c r="Y159" i="2"/>
  <c r="H94" i="16"/>
  <c r="H95" i="15"/>
  <c r="J95" i="4"/>
  <c r="AK157" i="2"/>
  <c r="AJ157" i="2"/>
  <c r="AL157" i="2" s="1"/>
  <c r="AM157" i="2" s="1"/>
  <c r="R45" i="11"/>
  <c r="T45" i="11" s="1"/>
  <c r="U45" i="11" s="1"/>
  <c r="O75" i="4"/>
  <c r="Q75" i="4" s="1"/>
  <c r="R75" i="4" s="1"/>
  <c r="H81" i="21"/>
  <c r="AB84" i="17"/>
  <c r="AC84" i="17" s="1"/>
  <c r="H80" i="8"/>
  <c r="O80" i="8" s="1"/>
  <c r="P80" i="8" s="1"/>
  <c r="Q80" i="8" s="1"/>
  <c r="AJ79" i="3"/>
  <c r="AK79" i="3" s="1"/>
  <c r="Q79" i="3"/>
  <c r="G78" i="6"/>
  <c r="AC79" i="3"/>
  <c r="AD79" i="3" s="1"/>
  <c r="AE79" i="3" s="1"/>
  <c r="H30" i="21"/>
  <c r="AB80" i="17"/>
  <c r="H28" i="8"/>
  <c r="O28" i="8" s="1"/>
  <c r="P28" i="8" s="1"/>
  <c r="Q28" i="8" s="1"/>
  <c r="G26" i="6"/>
  <c r="AC27" i="3"/>
  <c r="AD27" i="3" s="1"/>
  <c r="AE27" i="3" s="1"/>
  <c r="AJ27" i="3"/>
  <c r="AK27" i="3" s="1"/>
  <c r="Q27" i="3"/>
  <c r="N56" i="7"/>
  <c r="J56" i="7"/>
  <c r="L56" i="7"/>
  <c r="U56" i="7"/>
  <c r="K56" i="7"/>
  <c r="M56" i="7"/>
  <c r="O56" i="7"/>
  <c r="H6" i="21"/>
  <c r="Q4" i="3"/>
  <c r="H5" i="8"/>
  <c r="O5" i="8" s="1"/>
  <c r="P5" i="8" s="1"/>
  <c r="Q5" i="8" s="1"/>
  <c r="G4" i="6"/>
  <c r="AC4" i="3"/>
  <c r="AD4" i="3" s="1"/>
  <c r="AE4" i="3" s="1"/>
  <c r="Y171" i="2"/>
  <c r="G99" i="16"/>
  <c r="M99" i="16" s="1"/>
  <c r="O99" i="16" s="1"/>
  <c r="P99" i="16" s="1"/>
  <c r="G100" i="15"/>
  <c r="M100" i="15" s="1"/>
  <c r="O100" i="15" s="1"/>
  <c r="P100" i="15" s="1"/>
  <c r="G81" i="13"/>
  <c r="G81" i="12"/>
  <c r="M81" i="12" s="1"/>
  <c r="O81" i="12" s="1"/>
  <c r="P81" i="12" s="1"/>
  <c r="G53" i="11"/>
  <c r="R53" i="11" s="1"/>
  <c r="T53" i="11" s="1"/>
  <c r="U53" i="11" s="1"/>
  <c r="G83" i="9"/>
  <c r="N83" i="9" s="1"/>
  <c r="O83" i="9" s="1"/>
  <c r="P83" i="9" s="1"/>
  <c r="I100" i="4"/>
  <c r="O100" i="4" s="1"/>
  <c r="Q100" i="4" s="1"/>
  <c r="R100" i="4" s="1"/>
  <c r="AV162" i="2"/>
  <c r="AW162" i="2" s="1"/>
  <c r="Z162" i="2"/>
  <c r="AZ162" i="2"/>
  <c r="AY162" i="2"/>
  <c r="AV151" i="2"/>
  <c r="AW151" i="2" s="1"/>
  <c r="G86" i="16"/>
  <c r="M86" i="16" s="1"/>
  <c r="O86" i="16" s="1"/>
  <c r="P86" i="16" s="1"/>
  <c r="G87" i="15"/>
  <c r="M87" i="15" s="1"/>
  <c r="O87" i="15" s="1"/>
  <c r="P87" i="15" s="1"/>
  <c r="G72" i="13"/>
  <c r="G72" i="12"/>
  <c r="M72" i="12" s="1"/>
  <c r="O72" i="12" s="1"/>
  <c r="P72" i="12" s="1"/>
  <c r="I72" i="10"/>
  <c r="G74" i="9"/>
  <c r="N74" i="9" s="1"/>
  <c r="O74" i="9" s="1"/>
  <c r="P74" i="9" s="1"/>
  <c r="I87" i="4"/>
  <c r="O87" i="4" s="1"/>
  <c r="Q87" i="4" s="1"/>
  <c r="R87" i="4" s="1"/>
  <c r="AV149" i="2"/>
  <c r="AW149" i="2" s="1"/>
  <c r="Z149" i="2"/>
  <c r="H84" i="7"/>
  <c r="AZ149" i="2"/>
  <c r="AY149" i="2"/>
  <c r="O82" i="4"/>
  <c r="Q82" i="4" s="1"/>
  <c r="R82" i="4" s="1"/>
  <c r="AV143" i="2"/>
  <c r="AW143" i="2" s="1"/>
  <c r="Y111" i="2"/>
  <c r="G27" i="16"/>
  <c r="M27" i="16" s="1"/>
  <c r="O27" i="16" s="1"/>
  <c r="P27" i="16" s="1"/>
  <c r="G27" i="15"/>
  <c r="M27" i="15" s="1"/>
  <c r="O27" i="15" s="1"/>
  <c r="P27" i="15" s="1"/>
  <c r="G26" i="13"/>
  <c r="G25" i="12"/>
  <c r="M25" i="12" s="1"/>
  <c r="O25" i="12" s="1"/>
  <c r="P25" i="12" s="1"/>
  <c r="I25" i="10"/>
  <c r="H62" i="7"/>
  <c r="G21" i="9"/>
  <c r="N21" i="9" s="1"/>
  <c r="O21" i="9" s="1"/>
  <c r="P21" i="9" s="1"/>
  <c r="Z83" i="2"/>
  <c r="AY83" i="2"/>
  <c r="I28" i="4"/>
  <c r="O28" i="4" s="1"/>
  <c r="Q28" i="4" s="1"/>
  <c r="R28" i="4" s="1"/>
  <c r="AZ83" i="2"/>
  <c r="G22" i="16"/>
  <c r="M22" i="16" s="1"/>
  <c r="O22" i="16" s="1"/>
  <c r="P22" i="16" s="1"/>
  <c r="G21" i="12"/>
  <c r="M21" i="12" s="1"/>
  <c r="O21" i="12" s="1"/>
  <c r="P21" i="12" s="1"/>
  <c r="G22" i="13"/>
  <c r="G22" i="15"/>
  <c r="M22" i="15" s="1"/>
  <c r="O22" i="15" s="1"/>
  <c r="P22" i="15" s="1"/>
  <c r="I21" i="10"/>
  <c r="I23" i="4"/>
  <c r="O23" i="4" s="1"/>
  <c r="Q23" i="4" s="1"/>
  <c r="R23" i="4" s="1"/>
  <c r="H11" i="7"/>
  <c r="Z78" i="2"/>
  <c r="AY78" i="2"/>
  <c r="AZ78" i="2"/>
  <c r="G11" i="11"/>
  <c r="R11" i="11" s="1"/>
  <c r="T11" i="11" s="1"/>
  <c r="U11" i="11" s="1"/>
  <c r="G18" i="9"/>
  <c r="N18" i="9" s="1"/>
  <c r="O18" i="9" s="1"/>
  <c r="P18" i="9" s="1"/>
  <c r="AV74" i="2"/>
  <c r="AW74" i="2" s="1"/>
  <c r="Z74" i="2"/>
  <c r="AZ74" i="2"/>
  <c r="AY74" i="2"/>
  <c r="G18" i="16"/>
  <c r="M18" i="16" s="1"/>
  <c r="O18" i="16" s="1"/>
  <c r="P18" i="16" s="1"/>
  <c r="G18" i="15"/>
  <c r="M18" i="15" s="1"/>
  <c r="O18" i="15" s="1"/>
  <c r="P18" i="15" s="1"/>
  <c r="G17" i="13"/>
  <c r="G17" i="12"/>
  <c r="M17" i="12" s="1"/>
  <c r="O17" i="12" s="1"/>
  <c r="P17" i="12" s="1"/>
  <c r="I17" i="10"/>
  <c r="G15" i="9"/>
  <c r="N15" i="9" s="1"/>
  <c r="O15" i="9" s="1"/>
  <c r="P15" i="9" s="1"/>
  <c r="AV70" i="2"/>
  <c r="AW70" i="2" s="1"/>
  <c r="Z70" i="2"/>
  <c r="H57" i="7"/>
  <c r="AZ70" i="2"/>
  <c r="I17" i="4"/>
  <c r="O17" i="4" s="1"/>
  <c r="Q17" i="4" s="1"/>
  <c r="R17" i="4" s="1"/>
  <c r="AY70" i="2"/>
  <c r="G11" i="13"/>
  <c r="G11" i="12"/>
  <c r="M11" i="12" s="1"/>
  <c r="O11" i="12" s="1"/>
  <c r="P11" i="12" s="1"/>
  <c r="G5" i="11"/>
  <c r="R5" i="11" s="1"/>
  <c r="T5" i="11" s="1"/>
  <c r="U5" i="11" s="1"/>
  <c r="I11" i="10"/>
  <c r="O11" i="10" s="1"/>
  <c r="P11" i="10" s="1"/>
  <c r="H5" i="7"/>
  <c r="Z45" i="2"/>
  <c r="AY45" i="2"/>
  <c r="I11" i="4"/>
  <c r="O11" i="4" s="1"/>
  <c r="Q11" i="4" s="1"/>
  <c r="R11" i="4" s="1"/>
  <c r="AZ45" i="2"/>
  <c r="Y26" i="2"/>
  <c r="Z23" i="2"/>
  <c r="AY23" i="2"/>
  <c r="AZ23" i="2"/>
  <c r="Z15" i="2"/>
  <c r="AY15" i="2"/>
  <c r="AZ15" i="2"/>
  <c r="Z7" i="2"/>
  <c r="AY7" i="2"/>
  <c r="AZ7" i="2"/>
  <c r="AY4" i="2"/>
  <c r="Z4" i="2"/>
  <c r="AZ4" i="2"/>
  <c r="O26" i="4"/>
  <c r="Q26" i="4" s="1"/>
  <c r="R26" i="4" s="1"/>
  <c r="H11" i="16"/>
  <c r="H11" i="15"/>
  <c r="H8" i="9"/>
  <c r="Y89" i="2"/>
  <c r="AJ41" i="2"/>
  <c r="AL41" i="2" s="1"/>
  <c r="AM41" i="2" s="1"/>
  <c r="AK41" i="2"/>
  <c r="AK32" i="2"/>
  <c r="AV27" i="2"/>
  <c r="AW27" i="2" s="1"/>
  <c r="AV11" i="2"/>
  <c r="AW11" i="2" s="1"/>
  <c r="O76" i="4"/>
  <c r="Q76" i="4" s="1"/>
  <c r="R76" i="4" s="1"/>
  <c r="N52" i="6"/>
  <c r="J52" i="6"/>
  <c r="M52" i="6"/>
  <c r="L52" i="6"/>
  <c r="O52" i="6"/>
  <c r="K52" i="6"/>
  <c r="H50" i="21"/>
  <c r="AB18" i="17"/>
  <c r="AC18" i="17" s="1"/>
  <c r="H48" i="8"/>
  <c r="O48" i="8" s="1"/>
  <c r="P48" i="8" s="1"/>
  <c r="Q48" i="8" s="1"/>
  <c r="AC47" i="3"/>
  <c r="AD47" i="3" s="1"/>
  <c r="AE47" i="3" s="1"/>
  <c r="G48" i="6"/>
  <c r="AJ47" i="3"/>
  <c r="AK47" i="3" s="1"/>
  <c r="Q47" i="3"/>
  <c r="H37" i="21"/>
  <c r="AB38" i="17"/>
  <c r="AC38" i="17" s="1"/>
  <c r="H35" i="8"/>
  <c r="G35" i="6"/>
  <c r="AJ34" i="3"/>
  <c r="AK34" i="3" s="1"/>
  <c r="AC34" i="3"/>
  <c r="AD34" i="3" s="1"/>
  <c r="AE34" i="3" s="1"/>
  <c r="Q34" i="3"/>
  <c r="H19" i="21"/>
  <c r="AB51" i="17"/>
  <c r="H18" i="8"/>
  <c r="G16" i="6"/>
  <c r="AJ16" i="3"/>
  <c r="AK16" i="3" s="1"/>
  <c r="AC16" i="3"/>
  <c r="AD16" i="3" s="1"/>
  <c r="AE16" i="3" s="1"/>
  <c r="Q16" i="3"/>
  <c r="N53" i="7"/>
  <c r="J53" i="7"/>
  <c r="O53" i="7"/>
  <c r="M53" i="7"/>
  <c r="U53" i="7"/>
  <c r="K53" i="7"/>
  <c r="L53" i="7"/>
  <c r="AJ183" i="2"/>
  <c r="AK183" i="2"/>
  <c r="H101" i="16"/>
  <c r="H102" i="15"/>
  <c r="H55" i="11"/>
  <c r="H83" i="13"/>
  <c r="M83" i="13" s="1"/>
  <c r="O83" i="13" s="1"/>
  <c r="P83" i="13" s="1"/>
  <c r="H83" i="12"/>
  <c r="H84" i="9"/>
  <c r="AK164" i="2"/>
  <c r="J102" i="4"/>
  <c r="AJ164" i="2"/>
  <c r="R43" i="11"/>
  <c r="T43" i="11" s="1"/>
  <c r="U43" i="11" s="1"/>
  <c r="M68" i="12"/>
  <c r="O68" i="12" s="1"/>
  <c r="P68" i="12" s="1"/>
  <c r="H69" i="16"/>
  <c r="H70" i="15"/>
  <c r="H36" i="11"/>
  <c r="H61" i="9"/>
  <c r="J70" i="4"/>
  <c r="AJ132" i="2"/>
  <c r="AK132" i="2"/>
  <c r="M70" i="15"/>
  <c r="O70" i="15" s="1"/>
  <c r="P70" i="15" s="1"/>
  <c r="M58" i="12"/>
  <c r="O58" i="12" s="1"/>
  <c r="P58" i="12" s="1"/>
  <c r="H55" i="16"/>
  <c r="H56" i="15"/>
  <c r="H50" i="12"/>
  <c r="H50" i="13"/>
  <c r="H48" i="9"/>
  <c r="J50" i="10"/>
  <c r="I72" i="7"/>
  <c r="J56" i="4"/>
  <c r="AJ116" i="2"/>
  <c r="AK116" i="2"/>
  <c r="M48" i="12"/>
  <c r="O48" i="12" s="1"/>
  <c r="P48" i="12" s="1"/>
  <c r="AV99" i="2"/>
  <c r="AW99" i="2" s="1"/>
  <c r="Y56" i="2"/>
  <c r="M8" i="15"/>
  <c r="O8" i="15" s="1"/>
  <c r="P8" i="15" s="1"/>
  <c r="AV23" i="2"/>
  <c r="AW23" i="2" s="1"/>
  <c r="H41" i="16"/>
  <c r="H42" i="15"/>
  <c r="H36" i="12"/>
  <c r="H24" i="11"/>
  <c r="H36" i="13"/>
  <c r="M36" i="13" s="1"/>
  <c r="O36" i="13" s="1"/>
  <c r="P36" i="13" s="1"/>
  <c r="J36" i="10"/>
  <c r="I23" i="7"/>
  <c r="H34" i="9"/>
  <c r="AK102" i="2"/>
  <c r="AJ102" i="2"/>
  <c r="J42" i="4"/>
  <c r="R24" i="11"/>
  <c r="T24" i="11" s="1"/>
  <c r="U24" i="11" s="1"/>
  <c r="R19" i="11"/>
  <c r="T19" i="11" s="1"/>
  <c r="U19" i="11" s="1"/>
  <c r="M24" i="12"/>
  <c r="O24" i="12" s="1"/>
  <c r="P24" i="12" s="1"/>
  <c r="Z82" i="10"/>
  <c r="Q82" i="10" s="1"/>
  <c r="Y82" i="10"/>
  <c r="S82" i="10" s="1"/>
  <c r="X82" i="10"/>
  <c r="T82" i="10" s="1"/>
  <c r="W82" i="10" s="1"/>
  <c r="V80" i="6"/>
  <c r="Y80" i="6"/>
  <c r="X80" i="6"/>
  <c r="T80" i="6"/>
  <c r="U80" i="6" s="1"/>
  <c r="N86" i="7"/>
  <c r="J86" i="7"/>
  <c r="U86" i="7"/>
  <c r="M86" i="7"/>
  <c r="O86" i="7"/>
  <c r="K86" i="7"/>
  <c r="L86" i="7"/>
  <c r="H71" i="21"/>
  <c r="AB3" i="17"/>
  <c r="AC3" i="17" s="1"/>
  <c r="H69" i="8"/>
  <c r="O69" i="8" s="1"/>
  <c r="P69" i="8" s="1"/>
  <c r="Q69" i="8" s="1"/>
  <c r="G69" i="6"/>
  <c r="P69" i="6" s="1"/>
  <c r="Q69" i="6" s="1"/>
  <c r="R69" i="6" s="1"/>
  <c r="AJ68" i="3"/>
  <c r="AK68" i="3" s="1"/>
  <c r="Q68" i="3"/>
  <c r="AC68" i="3"/>
  <c r="AD68" i="3" s="1"/>
  <c r="AE68" i="3" s="1"/>
  <c r="H60" i="21"/>
  <c r="H58" i="8"/>
  <c r="O58" i="8" s="1"/>
  <c r="P58" i="8" s="1"/>
  <c r="Q58" i="8" s="1"/>
  <c r="G58" i="6"/>
  <c r="P58" i="6" s="1"/>
  <c r="Q58" i="6" s="1"/>
  <c r="R58" i="6" s="1"/>
  <c r="AJ57" i="3"/>
  <c r="AK57" i="3" s="1"/>
  <c r="Q57" i="3"/>
  <c r="AC57" i="3"/>
  <c r="AD57" i="3" s="1"/>
  <c r="AE57" i="3" s="1"/>
  <c r="X45" i="10"/>
  <c r="T45" i="10" s="1"/>
  <c r="W45" i="10" s="1"/>
  <c r="S45" i="10"/>
  <c r="Z45" i="10"/>
  <c r="Q45" i="10" s="1"/>
  <c r="Y45" i="10"/>
  <c r="H26" i="21"/>
  <c r="AB25" i="17"/>
  <c r="AC25" i="17" s="1"/>
  <c r="H91" i="8"/>
  <c r="O91" i="8" s="1"/>
  <c r="P91" i="8" s="1"/>
  <c r="Q91" i="8" s="1"/>
  <c r="G21" i="6"/>
  <c r="P21" i="6" s="1"/>
  <c r="Q21" i="6" s="1"/>
  <c r="R21" i="6" s="1"/>
  <c r="AJ23" i="3"/>
  <c r="AK23" i="3" s="1"/>
  <c r="Q23" i="3"/>
  <c r="AC23" i="3"/>
  <c r="AD23" i="3" s="1"/>
  <c r="AE23" i="3" s="1"/>
  <c r="H111" i="16"/>
  <c r="H112" i="15"/>
  <c r="H90" i="13"/>
  <c r="M90" i="13" s="1"/>
  <c r="O90" i="13" s="1"/>
  <c r="P90" i="13" s="1"/>
  <c r="J88" i="10"/>
  <c r="H92" i="9"/>
  <c r="J112" i="4"/>
  <c r="AK174" i="2"/>
  <c r="AJ174" i="2"/>
  <c r="AV173" i="2"/>
  <c r="AW173" i="2" s="1"/>
  <c r="M102" i="15"/>
  <c r="O102" i="15" s="1"/>
  <c r="P102" i="15" s="1"/>
  <c r="H83" i="21"/>
  <c r="AC81" i="3"/>
  <c r="AD81" i="3" s="1"/>
  <c r="AE81" i="3" s="1"/>
  <c r="G80" i="6"/>
  <c r="Q81" i="3"/>
  <c r="H82" i="8"/>
  <c r="O82" i="8" s="1"/>
  <c r="P82" i="8" s="1"/>
  <c r="Q82" i="8" s="1"/>
  <c r="O86" i="4"/>
  <c r="Q86" i="4" s="1"/>
  <c r="R86" i="4" s="1"/>
  <c r="Y106" i="2"/>
  <c r="G40" i="16"/>
  <c r="M40" i="16" s="1"/>
  <c r="O40" i="16" s="1"/>
  <c r="P40" i="16" s="1"/>
  <c r="G41" i="15"/>
  <c r="M41" i="15" s="1"/>
  <c r="O41" i="15" s="1"/>
  <c r="P41" i="15" s="1"/>
  <c r="G23" i="11"/>
  <c r="R23" i="11" s="1"/>
  <c r="T23" i="11" s="1"/>
  <c r="U23" i="11" s="1"/>
  <c r="G35" i="13"/>
  <c r="G35" i="12"/>
  <c r="M35" i="12" s="1"/>
  <c r="O35" i="12" s="1"/>
  <c r="P35" i="12" s="1"/>
  <c r="I35" i="10"/>
  <c r="O35" i="10" s="1"/>
  <c r="P35" i="10" s="1"/>
  <c r="H22" i="7"/>
  <c r="G33" i="9"/>
  <c r="N33" i="9" s="1"/>
  <c r="O33" i="9" s="1"/>
  <c r="P33" i="9" s="1"/>
  <c r="I41" i="4"/>
  <c r="O41" i="4" s="1"/>
  <c r="Q41" i="4" s="1"/>
  <c r="R41" i="4" s="1"/>
  <c r="Z101" i="2"/>
  <c r="AY101" i="2"/>
  <c r="AZ101" i="2"/>
  <c r="O38" i="4"/>
  <c r="Q38" i="4" s="1"/>
  <c r="R38" i="4" s="1"/>
  <c r="M38" i="15"/>
  <c r="O38" i="15" s="1"/>
  <c r="P38" i="15" s="1"/>
  <c r="AV8" i="2"/>
  <c r="AW8" i="2" s="1"/>
  <c r="H45" i="9"/>
  <c r="AK113" i="2"/>
  <c r="J53" i="4"/>
  <c r="AJ113" i="2"/>
  <c r="H31" i="16"/>
  <c r="H32" i="15"/>
  <c r="H28" i="12"/>
  <c r="H29" i="13"/>
  <c r="H17" i="11"/>
  <c r="J28" i="10"/>
  <c r="H25" i="9"/>
  <c r="J32" i="4"/>
  <c r="AJ88" i="2"/>
  <c r="I17" i="7"/>
  <c r="AK88" i="2"/>
  <c r="R17" i="11"/>
  <c r="T17" i="11" s="1"/>
  <c r="U17" i="11" s="1"/>
  <c r="M31" i="16"/>
  <c r="O31" i="16" s="1"/>
  <c r="P31" i="16" s="1"/>
  <c r="M30" i="15"/>
  <c r="O30" i="15" s="1"/>
  <c r="P30" i="15" s="1"/>
  <c r="H13" i="16"/>
  <c r="H12" i="13"/>
  <c r="M12" i="13" s="1"/>
  <c r="O12" i="13" s="1"/>
  <c r="P12" i="13" s="1"/>
  <c r="H13" i="15"/>
  <c r="H12" i="12"/>
  <c r="J12" i="10"/>
  <c r="H10" i="9"/>
  <c r="AK64" i="2"/>
  <c r="I55" i="7"/>
  <c r="J12" i="4"/>
  <c r="AJ64" i="2"/>
  <c r="AL64" i="2" s="1"/>
  <c r="AM64" i="2" s="1"/>
  <c r="Y50" i="2"/>
  <c r="H100" i="16"/>
  <c r="H101" i="15"/>
  <c r="H82" i="13"/>
  <c r="M82" i="13" s="1"/>
  <c r="O82" i="13" s="1"/>
  <c r="P82" i="13" s="1"/>
  <c r="H82" i="12"/>
  <c r="H54" i="11"/>
  <c r="J101" i="4"/>
  <c r="AK163" i="2"/>
  <c r="AJ163" i="2"/>
  <c r="M101" i="15"/>
  <c r="O101" i="15" s="1"/>
  <c r="P101" i="15" s="1"/>
  <c r="P82" i="6"/>
  <c r="Q82" i="6" s="1"/>
  <c r="R82" i="6" s="1"/>
  <c r="J85" i="21"/>
  <c r="K85" i="21" s="1"/>
  <c r="L85" i="21" s="1"/>
  <c r="M85" i="21" s="1"/>
  <c r="N85" i="21" s="1"/>
  <c r="I85" i="21"/>
  <c r="O85" i="21"/>
  <c r="P85" i="21" s="1"/>
  <c r="Q85" i="21" s="1"/>
  <c r="R85" i="21" s="1"/>
  <c r="S85" i="21" s="1"/>
  <c r="H90" i="16"/>
  <c r="H91" i="15"/>
  <c r="AK153" i="2"/>
  <c r="AJ153" i="2"/>
  <c r="J91" i="4"/>
  <c r="I27" i="8"/>
  <c r="M64" i="12"/>
  <c r="O64" i="12" s="1"/>
  <c r="P64" i="12" s="1"/>
  <c r="R44" i="11"/>
  <c r="T44" i="11" s="1"/>
  <c r="U44" i="11" s="1"/>
  <c r="I53" i="8"/>
  <c r="H53" i="6"/>
  <c r="J38" i="21"/>
  <c r="O38" i="21"/>
  <c r="I38" i="21"/>
  <c r="I67" i="8"/>
  <c r="H67" i="6"/>
  <c r="P67" i="6"/>
  <c r="Q67" i="6" s="1"/>
  <c r="R67" i="6" s="1"/>
  <c r="R19" i="7"/>
  <c r="T19" i="7" s="1"/>
  <c r="V19" i="7" s="1"/>
  <c r="W19" i="7" s="1"/>
  <c r="S19" i="7"/>
  <c r="H23" i="16"/>
  <c r="H23" i="13"/>
  <c r="M23" i="13" s="1"/>
  <c r="O23" i="13" s="1"/>
  <c r="P23" i="13" s="1"/>
  <c r="H23" i="15"/>
  <c r="H22" i="12"/>
  <c r="J22" i="10"/>
  <c r="J24" i="4"/>
  <c r="I12" i="7"/>
  <c r="I58" i="7"/>
  <c r="AK79" i="2"/>
  <c r="AJ79" i="2"/>
  <c r="AK66" i="2"/>
  <c r="AJ66" i="2"/>
  <c r="X59" i="19"/>
  <c r="W59" i="19"/>
  <c r="X5" i="19"/>
  <c r="W5" i="19"/>
  <c r="R101" i="11"/>
  <c r="T101" i="11" s="1"/>
  <c r="U101" i="11" s="1"/>
  <c r="N101" i="11"/>
  <c r="O101" i="11" s="1"/>
  <c r="R92" i="11"/>
  <c r="T92" i="11" s="1"/>
  <c r="U92" i="11" s="1"/>
  <c r="N92" i="11"/>
  <c r="O92" i="11" s="1"/>
  <c r="R82" i="11"/>
  <c r="T82" i="11" s="1"/>
  <c r="U82" i="11" s="1"/>
  <c r="N82" i="11"/>
  <c r="O82" i="11" s="1"/>
  <c r="R71" i="11"/>
  <c r="T71" i="11" s="1"/>
  <c r="U71" i="11" s="1"/>
  <c r="N71" i="11"/>
  <c r="O71" i="11" s="1"/>
  <c r="K38" i="13"/>
  <c r="I38" i="13"/>
  <c r="N38" i="13"/>
  <c r="L38" i="13"/>
  <c r="J38" i="13"/>
  <c r="M81" i="10"/>
  <c r="L81" i="10"/>
  <c r="K81" i="10"/>
  <c r="N81" i="10"/>
  <c r="M73" i="10"/>
  <c r="L73" i="10"/>
  <c r="K73" i="10"/>
  <c r="O73" i="10" s="1"/>
  <c r="P73" i="10" s="1"/>
  <c r="N73" i="10"/>
  <c r="N87" i="10"/>
  <c r="M87" i="10"/>
  <c r="L87" i="10"/>
  <c r="K87" i="10"/>
  <c r="N47" i="10"/>
  <c r="M47" i="10"/>
  <c r="L47" i="10"/>
  <c r="K47" i="10"/>
  <c r="N36" i="10"/>
  <c r="M36" i="10"/>
  <c r="K36" i="10"/>
  <c r="O36" i="10" s="1"/>
  <c r="P36" i="10" s="1"/>
  <c r="L36" i="10"/>
  <c r="W65" i="19"/>
  <c r="X65" i="19"/>
  <c r="S71" i="19"/>
  <c r="S74" i="19"/>
  <c r="W11" i="19"/>
  <c r="Y11" i="19" s="1"/>
  <c r="Z11" i="19" s="1"/>
  <c r="X11" i="19"/>
  <c r="W60" i="19"/>
  <c r="X60" i="19"/>
  <c r="Y60" i="19" s="1"/>
  <c r="Z60" i="19" s="1"/>
  <c r="S56" i="19"/>
  <c r="S24" i="19"/>
  <c r="X15" i="19"/>
  <c r="W15" i="19"/>
  <c r="X73" i="19"/>
  <c r="W73" i="19"/>
  <c r="W42" i="19"/>
  <c r="X42" i="19"/>
  <c r="S36" i="19"/>
  <c r="W31" i="19"/>
  <c r="Y31" i="19" s="1"/>
  <c r="Z31" i="19" s="1"/>
  <c r="X31" i="19"/>
  <c r="W25" i="19"/>
  <c r="Y25" i="19" s="1"/>
  <c r="Z25" i="19" s="1"/>
  <c r="X25" i="19"/>
  <c r="K85" i="13"/>
  <c r="I85" i="13"/>
  <c r="J85" i="13"/>
  <c r="N85" i="13"/>
  <c r="L85" i="13"/>
  <c r="K46" i="13"/>
  <c r="I46" i="13"/>
  <c r="J46" i="13"/>
  <c r="N46" i="13"/>
  <c r="L46" i="13"/>
  <c r="I48" i="13"/>
  <c r="K48" i="13"/>
  <c r="L48" i="13"/>
  <c r="J48" i="13"/>
  <c r="N48" i="13"/>
  <c r="K3" i="13"/>
  <c r="I3" i="13"/>
  <c r="L3" i="13"/>
  <c r="J3" i="13"/>
  <c r="N3" i="13"/>
  <c r="R93" i="11"/>
  <c r="T93" i="11" s="1"/>
  <c r="U93" i="11" s="1"/>
  <c r="N93" i="11"/>
  <c r="O93" i="11" s="1"/>
  <c r="R85" i="11"/>
  <c r="T85" i="11" s="1"/>
  <c r="U85" i="11" s="1"/>
  <c r="N85" i="11"/>
  <c r="O85" i="11" s="1"/>
  <c r="N51" i="11"/>
  <c r="O51" i="11" s="1"/>
  <c r="N43" i="11"/>
  <c r="O43" i="11" s="1"/>
  <c r="R86" i="11"/>
  <c r="T86" i="11" s="1"/>
  <c r="U86" i="11" s="1"/>
  <c r="N86" i="11"/>
  <c r="O86" i="11" s="1"/>
  <c r="N27" i="11"/>
  <c r="O27" i="11" s="1"/>
  <c r="N23" i="11"/>
  <c r="O23" i="11" s="1"/>
  <c r="N19" i="11"/>
  <c r="O19" i="11" s="1"/>
  <c r="N15" i="11"/>
  <c r="O15" i="11" s="1"/>
  <c r="L86" i="10"/>
  <c r="K86" i="10"/>
  <c r="N86" i="10"/>
  <c r="O86" i="10" s="1"/>
  <c r="P86" i="10" s="1"/>
  <c r="M86" i="10"/>
  <c r="L84" i="10"/>
  <c r="K84" i="10"/>
  <c r="N84" i="10"/>
  <c r="M84" i="10"/>
  <c r="N93" i="8"/>
  <c r="M93" i="8"/>
  <c r="J93" i="8"/>
  <c r="K93" i="8"/>
  <c r="P88" i="7"/>
  <c r="Q88" i="7" s="1"/>
  <c r="L83" i="6"/>
  <c r="O83" i="6"/>
  <c r="K83" i="6"/>
  <c r="N83" i="6"/>
  <c r="J83" i="6"/>
  <c r="M83" i="6"/>
  <c r="L71" i="6"/>
  <c r="O71" i="6"/>
  <c r="K71" i="6"/>
  <c r="J71" i="6"/>
  <c r="M71" i="6"/>
  <c r="N71" i="6"/>
  <c r="L61" i="6"/>
  <c r="O61" i="6"/>
  <c r="K61" i="6"/>
  <c r="N61" i="6"/>
  <c r="M61" i="6"/>
  <c r="J61" i="6"/>
  <c r="L45" i="6"/>
  <c r="O45" i="6"/>
  <c r="K45" i="6"/>
  <c r="N45" i="6"/>
  <c r="J45" i="6"/>
  <c r="M45" i="6"/>
  <c r="L37" i="6"/>
  <c r="O37" i="6"/>
  <c r="K37" i="6"/>
  <c r="N37" i="6"/>
  <c r="J37" i="6"/>
  <c r="M37" i="6"/>
  <c r="L7" i="6"/>
  <c r="O7" i="6"/>
  <c r="K7" i="6"/>
  <c r="M7" i="6"/>
  <c r="J7" i="6"/>
  <c r="N7" i="6"/>
  <c r="N82" i="7"/>
  <c r="J82" i="7"/>
  <c r="U82" i="7"/>
  <c r="M82" i="7"/>
  <c r="O82" i="7"/>
  <c r="K82" i="7"/>
  <c r="L82" i="7"/>
  <c r="P81" i="7"/>
  <c r="Q81" i="7" s="1"/>
  <c r="P67" i="7"/>
  <c r="Q67" i="7" s="1"/>
  <c r="T54" i="8"/>
  <c r="R54" i="8" s="1"/>
  <c r="P91" i="7"/>
  <c r="Q91" i="7" s="1"/>
  <c r="P84" i="7"/>
  <c r="Q84" i="7" s="1"/>
  <c r="N62" i="6"/>
  <c r="J62" i="6"/>
  <c r="M62" i="6"/>
  <c r="L62" i="6"/>
  <c r="K62" i="6"/>
  <c r="O62" i="6"/>
  <c r="N40" i="6"/>
  <c r="J40" i="6"/>
  <c r="M40" i="6"/>
  <c r="L40" i="6"/>
  <c r="K40" i="6"/>
  <c r="O40" i="6"/>
  <c r="N11" i="6"/>
  <c r="J11" i="6"/>
  <c r="M11" i="6"/>
  <c r="L11" i="6"/>
  <c r="K11" i="6"/>
  <c r="P11" i="6" s="1"/>
  <c r="Q11" i="6" s="1"/>
  <c r="R11" i="6" s="1"/>
  <c r="O11" i="6"/>
  <c r="X58" i="10"/>
  <c r="T58" i="10" s="1"/>
  <c r="W58" i="10" s="1"/>
  <c r="Y58" i="10"/>
  <c r="S58" i="10" s="1"/>
  <c r="Z58" i="10"/>
  <c r="Q58" i="10" s="1"/>
  <c r="Y59" i="6"/>
  <c r="T59" i="6"/>
  <c r="U59" i="6" s="1"/>
  <c r="X59" i="6"/>
  <c r="V59" i="6"/>
  <c r="U57" i="13"/>
  <c r="R57" i="13" s="1"/>
  <c r="Y42" i="10"/>
  <c r="S42" i="10" s="1"/>
  <c r="X42" i="10"/>
  <c r="T42" i="10" s="1"/>
  <c r="W42" i="10" s="1"/>
  <c r="Z42" i="10"/>
  <c r="Q42" i="10" s="1"/>
  <c r="Z5" i="10"/>
  <c r="Q5" i="10" s="1"/>
  <c r="X5" i="10"/>
  <c r="T5" i="10" s="1"/>
  <c r="W5" i="10" s="1"/>
  <c r="Y5" i="10"/>
  <c r="S5" i="10" s="1"/>
  <c r="N78" i="6"/>
  <c r="J78" i="6"/>
  <c r="M78" i="6"/>
  <c r="O78" i="6"/>
  <c r="L78" i="6"/>
  <c r="K78" i="6"/>
  <c r="N70" i="6"/>
  <c r="J70" i="6"/>
  <c r="M70" i="6"/>
  <c r="O70" i="6"/>
  <c r="L70" i="6"/>
  <c r="K70" i="6"/>
  <c r="N50" i="6"/>
  <c r="J50" i="6"/>
  <c r="M50" i="6"/>
  <c r="O50" i="6"/>
  <c r="L50" i="6"/>
  <c r="K50" i="6"/>
  <c r="N4" i="6"/>
  <c r="J4" i="6"/>
  <c r="M4" i="6"/>
  <c r="O4" i="6"/>
  <c r="L4" i="6"/>
  <c r="K4" i="6"/>
  <c r="T92" i="8"/>
  <c r="R92" i="8" s="1"/>
  <c r="Y79" i="6"/>
  <c r="T79" i="6"/>
  <c r="U79" i="6" s="1"/>
  <c r="X79" i="6"/>
  <c r="V79" i="6"/>
  <c r="N85" i="7"/>
  <c r="J85" i="7"/>
  <c r="U85" i="7"/>
  <c r="M85" i="7"/>
  <c r="O85" i="7"/>
  <c r="K85" i="7"/>
  <c r="L85" i="7"/>
  <c r="H75" i="21"/>
  <c r="H74" i="8"/>
  <c r="O74" i="8" s="1"/>
  <c r="P74" i="8" s="1"/>
  <c r="Q74" i="8" s="1"/>
  <c r="G73" i="6"/>
  <c r="AC73" i="3"/>
  <c r="AD73" i="3" s="1"/>
  <c r="AE73" i="3" s="1"/>
  <c r="Q73" i="3"/>
  <c r="AJ73" i="3"/>
  <c r="AK73" i="3" s="1"/>
  <c r="X52" i="10"/>
  <c r="T52" i="10" s="1"/>
  <c r="W52" i="10" s="1"/>
  <c r="Y52" i="10"/>
  <c r="S52" i="10" s="1"/>
  <c r="Z52" i="10"/>
  <c r="Q52" i="10" s="1"/>
  <c r="Z51" i="10"/>
  <c r="Q51" i="10"/>
  <c r="Y51" i="10"/>
  <c r="S51" i="10" s="1"/>
  <c r="X51" i="10"/>
  <c r="T51" i="10" s="1"/>
  <c r="W51" i="10" s="1"/>
  <c r="U50" i="13"/>
  <c r="R50" i="13" s="1"/>
  <c r="Y49" i="10"/>
  <c r="S49" i="10" s="1"/>
  <c r="X49" i="10"/>
  <c r="T49" i="10"/>
  <c r="W49" i="10" s="1"/>
  <c r="Z49" i="10"/>
  <c r="Q49" i="10" s="1"/>
  <c r="Y35" i="6"/>
  <c r="T35" i="6"/>
  <c r="U35" i="6" s="1"/>
  <c r="X35" i="6"/>
  <c r="V35" i="6"/>
  <c r="U33" i="13"/>
  <c r="R33" i="13" s="1"/>
  <c r="U32" i="13"/>
  <c r="R32" i="13" s="1"/>
  <c r="Z17" i="10"/>
  <c r="Q17" i="10" s="1"/>
  <c r="Y17" i="10"/>
  <c r="S17" i="10" s="1"/>
  <c r="X17" i="10"/>
  <c r="T17" i="10" s="1"/>
  <c r="W17" i="10" s="1"/>
  <c r="N52" i="7"/>
  <c r="J52" i="7"/>
  <c r="M52" i="7"/>
  <c r="L52" i="7"/>
  <c r="O52" i="7"/>
  <c r="U52" i="7"/>
  <c r="K52" i="7"/>
  <c r="R91" i="7"/>
  <c r="T91" i="7" s="1"/>
  <c r="V91" i="7" s="1"/>
  <c r="W91" i="7" s="1"/>
  <c r="S91" i="7"/>
  <c r="Y22" i="6"/>
  <c r="T22" i="6"/>
  <c r="U22" i="6" s="1"/>
  <c r="X22" i="6"/>
  <c r="V22" i="6"/>
  <c r="R77" i="13"/>
  <c r="U77" i="13"/>
  <c r="T64" i="8"/>
  <c r="R64" i="8" s="1"/>
  <c r="R42" i="8"/>
  <c r="T42" i="8"/>
  <c r="H25" i="21"/>
  <c r="AB24" i="17"/>
  <c r="AC24" i="17" s="1"/>
  <c r="G31" i="6"/>
  <c r="H24" i="8"/>
  <c r="O24" i="8" s="1"/>
  <c r="P24" i="8" s="1"/>
  <c r="Q24" i="8" s="1"/>
  <c r="G88" i="6"/>
  <c r="P88" i="6" s="1"/>
  <c r="Q88" i="6" s="1"/>
  <c r="R88" i="6" s="1"/>
  <c r="AC22" i="3"/>
  <c r="AD22" i="3" s="1"/>
  <c r="AE22" i="3" s="1"/>
  <c r="AJ22" i="3"/>
  <c r="AK22" i="3" s="1"/>
  <c r="Q22" i="3"/>
  <c r="Z8" i="10"/>
  <c r="Q8" i="10" s="1"/>
  <c r="Y8" i="10"/>
  <c r="S8" i="10" s="1"/>
  <c r="X8" i="10"/>
  <c r="T8" i="10" s="1"/>
  <c r="W8" i="10" s="1"/>
  <c r="G89" i="16"/>
  <c r="M89" i="16" s="1"/>
  <c r="O89" i="16" s="1"/>
  <c r="P89" i="16" s="1"/>
  <c r="G90" i="15"/>
  <c r="M90" i="15" s="1"/>
  <c r="O90" i="15" s="1"/>
  <c r="P90" i="15" s="1"/>
  <c r="G74" i="13"/>
  <c r="G50" i="11"/>
  <c r="R50" i="11" s="1"/>
  <c r="T50" i="11" s="1"/>
  <c r="U50" i="11" s="1"/>
  <c r="G74" i="12"/>
  <c r="M74" i="12" s="1"/>
  <c r="O74" i="12" s="1"/>
  <c r="P74" i="12" s="1"/>
  <c r="I74" i="10"/>
  <c r="O74" i="10" s="1"/>
  <c r="P74" i="10" s="1"/>
  <c r="H43" i="7"/>
  <c r="G76" i="9"/>
  <c r="N76" i="9" s="1"/>
  <c r="O76" i="9" s="1"/>
  <c r="P76" i="9" s="1"/>
  <c r="AV152" i="2"/>
  <c r="AW152" i="2" s="1"/>
  <c r="AZ152" i="2"/>
  <c r="I90" i="4"/>
  <c r="O90" i="4" s="1"/>
  <c r="Q90" i="4" s="1"/>
  <c r="R90" i="4" s="1"/>
  <c r="Z152" i="2"/>
  <c r="AY152" i="2"/>
  <c r="G71" i="16"/>
  <c r="M71" i="16" s="1"/>
  <c r="O71" i="16" s="1"/>
  <c r="P71" i="16" s="1"/>
  <c r="G72" i="15"/>
  <c r="M72" i="15" s="1"/>
  <c r="O72" i="15" s="1"/>
  <c r="P72" i="15" s="1"/>
  <c r="G65" i="13"/>
  <c r="G65" i="12"/>
  <c r="M65" i="12" s="1"/>
  <c r="O65" i="12" s="1"/>
  <c r="P65" i="12" s="1"/>
  <c r="G38" i="11"/>
  <c r="R38" i="11" s="1"/>
  <c r="T38" i="11" s="1"/>
  <c r="U38" i="11" s="1"/>
  <c r="I65" i="10"/>
  <c r="O65" i="10" s="1"/>
  <c r="P65" i="10" s="1"/>
  <c r="G63" i="9"/>
  <c r="N63" i="9" s="1"/>
  <c r="O63" i="9" s="1"/>
  <c r="P63" i="9" s="1"/>
  <c r="H36" i="7"/>
  <c r="I72" i="4"/>
  <c r="O72" i="4" s="1"/>
  <c r="Q72" i="4" s="1"/>
  <c r="R72" i="4" s="1"/>
  <c r="AY134" i="2"/>
  <c r="AZ134" i="2"/>
  <c r="AV134" i="2"/>
  <c r="AW134" i="2" s="1"/>
  <c r="Z134" i="2"/>
  <c r="G61" i="16"/>
  <c r="M61" i="16" s="1"/>
  <c r="O61" i="16" s="1"/>
  <c r="P61" i="16" s="1"/>
  <c r="G62" i="15"/>
  <c r="M62" i="15" s="1"/>
  <c r="O62" i="15" s="1"/>
  <c r="P62" i="15" s="1"/>
  <c r="G56" i="12"/>
  <c r="M56" i="12" s="1"/>
  <c r="O56" i="12" s="1"/>
  <c r="P56" i="12" s="1"/>
  <c r="G56" i="13"/>
  <c r="G33" i="11"/>
  <c r="R33" i="11" s="1"/>
  <c r="T33" i="11" s="1"/>
  <c r="U33" i="11" s="1"/>
  <c r="I56" i="10"/>
  <c r="O56" i="10" s="1"/>
  <c r="P56" i="10" s="1"/>
  <c r="G53" i="9"/>
  <c r="N53" i="9" s="1"/>
  <c r="O53" i="9" s="1"/>
  <c r="P53" i="9" s="1"/>
  <c r="H32" i="7"/>
  <c r="AY122" i="2"/>
  <c r="I62" i="4"/>
  <c r="O62" i="4" s="1"/>
  <c r="Q62" i="4" s="1"/>
  <c r="R62" i="4" s="1"/>
  <c r="AZ122" i="2"/>
  <c r="AV122" i="2"/>
  <c r="AW122" i="2" s="1"/>
  <c r="Z122" i="2"/>
  <c r="G38" i="16"/>
  <c r="M38" i="16" s="1"/>
  <c r="O38" i="16" s="1"/>
  <c r="P38" i="16" s="1"/>
  <c r="G39" i="15"/>
  <c r="M39" i="15" s="1"/>
  <c r="O39" i="15" s="1"/>
  <c r="P39" i="15" s="1"/>
  <c r="G33" i="12"/>
  <c r="M33" i="12" s="1"/>
  <c r="O33" i="12" s="1"/>
  <c r="P33" i="12" s="1"/>
  <c r="G21" i="11"/>
  <c r="R21" i="11" s="1"/>
  <c r="T21" i="11" s="1"/>
  <c r="U21" i="11" s="1"/>
  <c r="G33" i="13"/>
  <c r="G31" i="9"/>
  <c r="N31" i="9" s="1"/>
  <c r="O31" i="9" s="1"/>
  <c r="P31" i="9" s="1"/>
  <c r="I33" i="10"/>
  <c r="I39" i="4"/>
  <c r="O39" i="4" s="1"/>
  <c r="Q39" i="4" s="1"/>
  <c r="R39" i="4" s="1"/>
  <c r="H20" i="7"/>
  <c r="AY97" i="2"/>
  <c r="AZ97" i="2"/>
  <c r="Z97" i="2"/>
  <c r="G16" i="16"/>
  <c r="M16" i="16" s="1"/>
  <c r="O16" i="16" s="1"/>
  <c r="P16" i="16" s="1"/>
  <c r="G16" i="15"/>
  <c r="M16" i="15" s="1"/>
  <c r="O16" i="15" s="1"/>
  <c r="P16" i="15" s="1"/>
  <c r="G15" i="13"/>
  <c r="G15" i="12"/>
  <c r="M15" i="12" s="1"/>
  <c r="O15" i="12" s="1"/>
  <c r="P15" i="12" s="1"/>
  <c r="G7" i="11"/>
  <c r="R7" i="11" s="1"/>
  <c r="T7" i="11" s="1"/>
  <c r="U7" i="11" s="1"/>
  <c r="I15" i="10"/>
  <c r="O15" i="10" s="1"/>
  <c r="P15" i="10" s="1"/>
  <c r="G13" i="9"/>
  <c r="N13" i="9" s="1"/>
  <c r="O13" i="9" s="1"/>
  <c r="P13" i="9" s="1"/>
  <c r="I15" i="4"/>
  <c r="O15" i="4" s="1"/>
  <c r="Q15" i="4" s="1"/>
  <c r="R15" i="4" s="1"/>
  <c r="AZ68" i="2"/>
  <c r="H7" i="7"/>
  <c r="AY68" i="2"/>
  <c r="Z68" i="2"/>
  <c r="G9" i="13"/>
  <c r="G9" i="12"/>
  <c r="M9" i="12" s="1"/>
  <c r="O9" i="12" s="1"/>
  <c r="P9" i="12" s="1"/>
  <c r="G3" i="11"/>
  <c r="R3" i="11" s="1"/>
  <c r="T3" i="11" s="1"/>
  <c r="U3" i="11" s="1"/>
  <c r="I9" i="10"/>
  <c r="O9" i="10" s="1"/>
  <c r="P9" i="10" s="1"/>
  <c r="AZ43" i="2"/>
  <c r="AY43" i="2"/>
  <c r="H3" i="7"/>
  <c r="I9" i="4"/>
  <c r="O9" i="4" s="1"/>
  <c r="Q9" i="4" s="1"/>
  <c r="R9" i="4" s="1"/>
  <c r="Z43" i="2"/>
  <c r="O61" i="4"/>
  <c r="Q61" i="4" s="1"/>
  <c r="R61" i="4" s="1"/>
  <c r="H66" i="21"/>
  <c r="AB68" i="17"/>
  <c r="AC68" i="17" s="1"/>
  <c r="H64" i="8"/>
  <c r="G65" i="6"/>
  <c r="Q63" i="3"/>
  <c r="AC63" i="3"/>
  <c r="AD63" i="3" s="1"/>
  <c r="AE63" i="3" s="1"/>
  <c r="AJ63" i="3"/>
  <c r="AK63" i="3" s="1"/>
  <c r="N60" i="6"/>
  <c r="J60" i="6"/>
  <c r="M60" i="6"/>
  <c r="L60" i="6"/>
  <c r="K60" i="6"/>
  <c r="O60" i="6"/>
  <c r="N75" i="7"/>
  <c r="J75" i="7"/>
  <c r="O75" i="7"/>
  <c r="K75" i="7"/>
  <c r="U75" i="7"/>
  <c r="M75" i="7"/>
  <c r="L75" i="7"/>
  <c r="H44" i="21"/>
  <c r="AB74" i="17"/>
  <c r="AC74" i="17" s="1"/>
  <c r="H42" i="8"/>
  <c r="G42" i="6"/>
  <c r="Q41" i="3"/>
  <c r="AC41" i="3"/>
  <c r="AD41" i="3" s="1"/>
  <c r="AE41" i="3" s="1"/>
  <c r="AJ41" i="3"/>
  <c r="AK41" i="3" s="1"/>
  <c r="H5" i="21"/>
  <c r="AB97" i="17"/>
  <c r="AC97" i="17" s="1"/>
  <c r="H4" i="8"/>
  <c r="O4" i="8" s="1"/>
  <c r="P4" i="8" s="1"/>
  <c r="Q4" i="8" s="1"/>
  <c r="G3" i="6"/>
  <c r="P3" i="6" s="1"/>
  <c r="Q3" i="6" s="1"/>
  <c r="R3" i="6" s="1"/>
  <c r="AC3" i="3"/>
  <c r="AD3" i="3" s="1"/>
  <c r="AE3" i="3" s="1"/>
  <c r="AJ3" i="3"/>
  <c r="AK3" i="3" s="1"/>
  <c r="Q3" i="3"/>
  <c r="AK180" i="2"/>
  <c r="AJ180" i="2"/>
  <c r="G102" i="16"/>
  <c r="M102" i="16" s="1"/>
  <c r="O102" i="16" s="1"/>
  <c r="P102" i="16" s="1"/>
  <c r="G103" i="15"/>
  <c r="M103" i="15" s="1"/>
  <c r="O103" i="15" s="1"/>
  <c r="P103" i="15" s="1"/>
  <c r="G84" i="13"/>
  <c r="G56" i="11"/>
  <c r="R56" i="11" s="1"/>
  <c r="T56" i="11" s="1"/>
  <c r="U56" i="11" s="1"/>
  <c r="G84" i="12"/>
  <c r="M84" i="12" s="1"/>
  <c r="O84" i="12" s="1"/>
  <c r="P84" i="12" s="1"/>
  <c r="I80" i="10"/>
  <c r="O80" i="10" s="1"/>
  <c r="P80" i="10" s="1"/>
  <c r="I103" i="4"/>
  <c r="O103" i="4" s="1"/>
  <c r="Q103" i="4" s="1"/>
  <c r="R103" i="4" s="1"/>
  <c r="AZ165" i="2"/>
  <c r="AY165" i="2"/>
  <c r="Z165" i="2"/>
  <c r="H44" i="7"/>
  <c r="O95" i="4"/>
  <c r="Q95" i="4" s="1"/>
  <c r="R95" i="4" s="1"/>
  <c r="M80" i="15"/>
  <c r="O80" i="15" s="1"/>
  <c r="P80" i="15" s="1"/>
  <c r="M75" i="15"/>
  <c r="O75" i="15" s="1"/>
  <c r="P75" i="15" s="1"/>
  <c r="O65" i="4"/>
  <c r="Q65" i="4" s="1"/>
  <c r="R65" i="4" s="1"/>
  <c r="R34" i="11"/>
  <c r="T34" i="11" s="1"/>
  <c r="U34" i="11" s="1"/>
  <c r="M64" i="16"/>
  <c r="O64" i="16" s="1"/>
  <c r="P64" i="16" s="1"/>
  <c r="M61" i="15"/>
  <c r="O61" i="15" s="1"/>
  <c r="P61" i="15" s="1"/>
  <c r="P50" i="7"/>
  <c r="Q50" i="7" s="1"/>
  <c r="H97" i="8"/>
  <c r="G92" i="6"/>
  <c r="P92" i="6" s="1"/>
  <c r="Q92" i="6" s="1"/>
  <c r="R92" i="6" s="1"/>
  <c r="Q94" i="3"/>
  <c r="AC94" i="3"/>
  <c r="AD94" i="3" s="1"/>
  <c r="AE94" i="3" s="1"/>
  <c r="H56" i="21"/>
  <c r="AB57" i="17"/>
  <c r="AC57" i="17" s="1"/>
  <c r="H54" i="8"/>
  <c r="AJ53" i="3"/>
  <c r="AK53" i="3" s="1"/>
  <c r="AC53" i="3"/>
  <c r="AD53" i="3" s="1"/>
  <c r="AE53" i="3" s="1"/>
  <c r="G54" i="6"/>
  <c r="Q53" i="3"/>
  <c r="H23" i="21"/>
  <c r="AB22" i="17"/>
  <c r="AC22" i="17" s="1"/>
  <c r="H22" i="8"/>
  <c r="O22" i="8" s="1"/>
  <c r="P22" i="8" s="1"/>
  <c r="Q22" i="8" s="1"/>
  <c r="G20" i="6"/>
  <c r="P20" i="6" s="1"/>
  <c r="Q20" i="6" s="1"/>
  <c r="R20" i="6" s="1"/>
  <c r="AJ20" i="3"/>
  <c r="AK20" i="3" s="1"/>
  <c r="Q20" i="3"/>
  <c r="AC20" i="3"/>
  <c r="AD20" i="3" s="1"/>
  <c r="AE20" i="3" s="1"/>
  <c r="Y13" i="10"/>
  <c r="X13" i="10"/>
  <c r="T13" i="10" s="1"/>
  <c r="W13" i="10" s="1"/>
  <c r="Z13" i="10"/>
  <c r="Q13" i="10" s="1"/>
  <c r="S13" i="10"/>
  <c r="AZ178" i="2"/>
  <c r="AY178" i="2"/>
  <c r="Z178" i="2"/>
  <c r="H89" i="21"/>
  <c r="AC87" i="3"/>
  <c r="AD87" i="3" s="1"/>
  <c r="AE87" i="3" s="1"/>
  <c r="H88" i="8"/>
  <c r="Q87" i="3"/>
  <c r="G95" i="16"/>
  <c r="M95" i="16" s="1"/>
  <c r="O95" i="16" s="1"/>
  <c r="P95" i="16" s="1"/>
  <c r="G96" i="15"/>
  <c r="M96" i="15" s="1"/>
  <c r="O96" i="15" s="1"/>
  <c r="P96" i="15" s="1"/>
  <c r="G78" i="13"/>
  <c r="G78" i="12"/>
  <c r="M78" i="12" s="1"/>
  <c r="O78" i="12" s="1"/>
  <c r="P78" i="12" s="1"/>
  <c r="I78" i="10"/>
  <c r="O78" i="10" s="1"/>
  <c r="P78" i="10" s="1"/>
  <c r="H88" i="7"/>
  <c r="I96" i="4"/>
  <c r="O96" i="4" s="1"/>
  <c r="Q96" i="4" s="1"/>
  <c r="R96" i="4" s="1"/>
  <c r="G80" i="9"/>
  <c r="N80" i="9" s="1"/>
  <c r="O80" i="9" s="1"/>
  <c r="P80" i="9" s="1"/>
  <c r="AV158" i="2"/>
  <c r="AW158" i="2" s="1"/>
  <c r="Z158" i="2"/>
  <c r="AZ158" i="2"/>
  <c r="AY158" i="2"/>
  <c r="G84" i="16"/>
  <c r="M84" i="16" s="1"/>
  <c r="O84" i="16" s="1"/>
  <c r="P84" i="16" s="1"/>
  <c r="G85" i="15"/>
  <c r="M85" i="15" s="1"/>
  <c r="O85" i="15" s="1"/>
  <c r="P85" i="15" s="1"/>
  <c r="G70" i="13"/>
  <c r="G70" i="12"/>
  <c r="M70" i="12" s="1"/>
  <c r="O70" i="12" s="1"/>
  <c r="P70" i="12" s="1"/>
  <c r="I70" i="10"/>
  <c r="G72" i="9"/>
  <c r="N72" i="9" s="1"/>
  <c r="O72" i="9" s="1"/>
  <c r="P72" i="9" s="1"/>
  <c r="Z147" i="2"/>
  <c r="AY147" i="2"/>
  <c r="H82" i="7"/>
  <c r="AZ147" i="2"/>
  <c r="I85" i="4"/>
  <c r="O85" i="4" s="1"/>
  <c r="Q85" i="4" s="1"/>
  <c r="R85" i="4" s="1"/>
  <c r="H75" i="16"/>
  <c r="H76" i="15"/>
  <c r="H68" i="13"/>
  <c r="M68" i="13" s="1"/>
  <c r="O68" i="13" s="1"/>
  <c r="P68" i="13" s="1"/>
  <c r="H41" i="11"/>
  <c r="H68" i="12"/>
  <c r="J68" i="10"/>
  <c r="I38" i="7"/>
  <c r="H67" i="9"/>
  <c r="J76" i="4"/>
  <c r="AK138" i="2"/>
  <c r="AJ138" i="2"/>
  <c r="AV115" i="2"/>
  <c r="AW115" i="2" s="1"/>
  <c r="AV110" i="2"/>
  <c r="AW110" i="2" s="1"/>
  <c r="G44" i="16"/>
  <c r="M44" i="16" s="1"/>
  <c r="O44" i="16" s="1"/>
  <c r="P44" i="16" s="1"/>
  <c r="G45" i="15"/>
  <c r="M45" i="15" s="1"/>
  <c r="O45" i="15" s="1"/>
  <c r="P45" i="15" s="1"/>
  <c r="G39" i="13"/>
  <c r="G39" i="12"/>
  <c r="M39" i="12" s="1"/>
  <c r="O39" i="12" s="1"/>
  <c r="P39" i="12" s="1"/>
  <c r="I39" i="10"/>
  <c r="O39" i="10" s="1"/>
  <c r="P39" i="10" s="1"/>
  <c r="G26" i="11"/>
  <c r="R26" i="11" s="1"/>
  <c r="T26" i="11" s="1"/>
  <c r="U26" i="11" s="1"/>
  <c r="G37" i="9"/>
  <c r="N37" i="9" s="1"/>
  <c r="O37" i="9" s="1"/>
  <c r="P37" i="9" s="1"/>
  <c r="AZ105" i="2"/>
  <c r="AY105" i="2"/>
  <c r="H25" i="7"/>
  <c r="Z105" i="2"/>
  <c r="I45" i="4"/>
  <c r="O45" i="4" s="1"/>
  <c r="Q45" i="4" s="1"/>
  <c r="R45" i="4" s="1"/>
  <c r="AV77" i="2"/>
  <c r="AW77" i="2" s="1"/>
  <c r="Z77" i="2"/>
  <c r="AZ77" i="2"/>
  <c r="AY77" i="2"/>
  <c r="G21" i="16"/>
  <c r="M21" i="16" s="1"/>
  <c r="O21" i="16" s="1"/>
  <c r="P21" i="16" s="1"/>
  <c r="G21" i="15"/>
  <c r="M21" i="15" s="1"/>
  <c r="O21" i="15" s="1"/>
  <c r="P21" i="15" s="1"/>
  <c r="G19" i="13"/>
  <c r="G19" i="12"/>
  <c r="M19" i="12" s="1"/>
  <c r="O19" i="12" s="1"/>
  <c r="P19" i="12" s="1"/>
  <c r="G10" i="11"/>
  <c r="R10" i="11" s="1"/>
  <c r="T10" i="11" s="1"/>
  <c r="U10" i="11" s="1"/>
  <c r="I19" i="10"/>
  <c r="H10" i="7"/>
  <c r="G17" i="9"/>
  <c r="N17" i="9" s="1"/>
  <c r="O17" i="9" s="1"/>
  <c r="P17" i="9" s="1"/>
  <c r="AV73" i="2"/>
  <c r="AW73" i="2" s="1"/>
  <c r="Z73" i="2"/>
  <c r="AZ73" i="2"/>
  <c r="I20" i="4"/>
  <c r="O20" i="4" s="1"/>
  <c r="Q20" i="4" s="1"/>
  <c r="R20" i="4" s="1"/>
  <c r="AY73" i="2"/>
  <c r="Z59" i="2"/>
  <c r="AY59" i="2"/>
  <c r="AZ59" i="2"/>
  <c r="Y28" i="2"/>
  <c r="G2" i="16"/>
  <c r="M2" i="16" s="1"/>
  <c r="O2" i="16" s="1"/>
  <c r="P2" i="16" s="1"/>
  <c r="G2" i="12"/>
  <c r="M2" i="12" s="1"/>
  <c r="O2" i="12" s="1"/>
  <c r="P2" i="12" s="1"/>
  <c r="G2" i="15"/>
  <c r="M2" i="15" s="1"/>
  <c r="O2" i="15" s="1"/>
  <c r="P2" i="15" s="1"/>
  <c r="G2" i="13"/>
  <c r="I2" i="10"/>
  <c r="O2" i="10" s="1"/>
  <c r="P2" i="10" s="1"/>
  <c r="Z25" i="2"/>
  <c r="H48" i="7"/>
  <c r="AY25" i="2"/>
  <c r="AZ25" i="2"/>
  <c r="Z17" i="2"/>
  <c r="AY17" i="2"/>
  <c r="AZ17" i="2"/>
  <c r="Z9" i="2"/>
  <c r="AY9" i="2"/>
  <c r="AZ9" i="2"/>
  <c r="AV78" i="2"/>
  <c r="AW78" i="2" s="1"/>
  <c r="AV59" i="2"/>
  <c r="AW59" i="2" s="1"/>
  <c r="AJ38" i="2"/>
  <c r="AL38" i="2" s="1"/>
  <c r="AM38" i="2" s="1"/>
  <c r="AK38" i="2"/>
  <c r="AV83" i="2"/>
  <c r="AW83" i="2" s="1"/>
  <c r="AV22" i="2"/>
  <c r="AW22" i="2" s="1"/>
  <c r="AV10" i="2"/>
  <c r="AW10" i="2" s="1"/>
  <c r="G36" i="16"/>
  <c r="M36" i="16" s="1"/>
  <c r="O36" i="16" s="1"/>
  <c r="P36" i="16" s="1"/>
  <c r="G37" i="15"/>
  <c r="M37" i="15" s="1"/>
  <c r="O37" i="15" s="1"/>
  <c r="P37" i="15" s="1"/>
  <c r="G20" i="11"/>
  <c r="R20" i="11" s="1"/>
  <c r="T20" i="11" s="1"/>
  <c r="U20" i="11" s="1"/>
  <c r="H46" i="7"/>
  <c r="AY95" i="2"/>
  <c r="AZ95" i="2"/>
  <c r="Z95" i="2"/>
  <c r="I37" i="4"/>
  <c r="O37" i="4" s="1"/>
  <c r="Q37" i="4" s="1"/>
  <c r="R37" i="4" s="1"/>
  <c r="AV95" i="2"/>
  <c r="AW95" i="2" s="1"/>
  <c r="H67" i="21"/>
  <c r="AB69" i="17"/>
  <c r="AC69" i="17" s="1"/>
  <c r="H65" i="8"/>
  <c r="O65" i="8" s="1"/>
  <c r="P65" i="8" s="1"/>
  <c r="Q65" i="8" s="1"/>
  <c r="G64" i="6"/>
  <c r="AJ64" i="3"/>
  <c r="AK64" i="3" s="1"/>
  <c r="Q64" i="3"/>
  <c r="AC64" i="3"/>
  <c r="AD64" i="3" s="1"/>
  <c r="AE64" i="3" s="1"/>
  <c r="H58" i="21"/>
  <c r="H56" i="8"/>
  <c r="G56" i="6"/>
  <c r="AC55" i="3"/>
  <c r="AD55" i="3" s="1"/>
  <c r="AE55" i="3" s="1"/>
  <c r="Q55" i="3"/>
  <c r="H48" i="21"/>
  <c r="H46" i="8"/>
  <c r="O46" i="8" s="1"/>
  <c r="P46" i="8" s="1"/>
  <c r="Q46" i="8" s="1"/>
  <c r="AC45" i="3"/>
  <c r="AD45" i="3" s="1"/>
  <c r="AE45" i="3" s="1"/>
  <c r="G46" i="6"/>
  <c r="AJ45" i="3"/>
  <c r="AK45" i="3" s="1"/>
  <c r="Q45" i="3"/>
  <c r="H34" i="21"/>
  <c r="AB35" i="17"/>
  <c r="AC35" i="17" s="1"/>
  <c r="H32" i="8"/>
  <c r="O32" i="8" s="1"/>
  <c r="P32" i="8" s="1"/>
  <c r="Q32" i="8" s="1"/>
  <c r="AJ31" i="3"/>
  <c r="AK31" i="3" s="1"/>
  <c r="Q31" i="3"/>
  <c r="G30" i="6"/>
  <c r="AC31" i="3"/>
  <c r="AD31" i="3" s="1"/>
  <c r="AE31" i="3" s="1"/>
  <c r="H11" i="21"/>
  <c r="H10" i="8"/>
  <c r="G9" i="6"/>
  <c r="P9" i="6" s="1"/>
  <c r="Q9" i="6" s="1"/>
  <c r="R9" i="6" s="1"/>
  <c r="AJ9" i="3"/>
  <c r="AK9" i="3" s="1"/>
  <c r="Q9" i="3"/>
  <c r="AC9" i="3"/>
  <c r="AD9" i="3" s="1"/>
  <c r="AE9" i="3" s="1"/>
  <c r="V6" i="6"/>
  <c r="Y6" i="6"/>
  <c r="T6" i="6"/>
  <c r="U6" i="6" s="1"/>
  <c r="X6" i="6"/>
  <c r="Y7" i="10"/>
  <c r="X7" i="10"/>
  <c r="T7" i="10"/>
  <c r="W7" i="10" s="1"/>
  <c r="Z7" i="10"/>
  <c r="Q7" i="10" s="1"/>
  <c r="S7" i="10"/>
  <c r="Y156" i="2"/>
  <c r="H85" i="16"/>
  <c r="H86" i="15"/>
  <c r="H71" i="12"/>
  <c r="H71" i="13"/>
  <c r="M71" i="13" s="1"/>
  <c r="J71" i="10"/>
  <c r="I83" i="7"/>
  <c r="H73" i="9"/>
  <c r="J86" i="4"/>
  <c r="AJ148" i="2"/>
  <c r="AL148" i="2" s="1"/>
  <c r="AM148" i="2" s="1"/>
  <c r="AK148" i="2"/>
  <c r="O78" i="4"/>
  <c r="Q78" i="4" s="1"/>
  <c r="R78" i="4" s="1"/>
  <c r="M78" i="15"/>
  <c r="O78" i="15" s="1"/>
  <c r="P78" i="15" s="1"/>
  <c r="M55" i="16"/>
  <c r="O55" i="16" s="1"/>
  <c r="P55" i="16" s="1"/>
  <c r="O54" i="4"/>
  <c r="Q54" i="4" s="1"/>
  <c r="R54" i="4" s="1"/>
  <c r="N46" i="9"/>
  <c r="O46" i="9" s="1"/>
  <c r="P46" i="9" s="1"/>
  <c r="AJ94" i="2"/>
  <c r="AK94" i="2"/>
  <c r="M11" i="16"/>
  <c r="O11" i="16" s="1"/>
  <c r="P11" i="16" s="1"/>
  <c r="O7" i="4"/>
  <c r="Q7" i="4" s="1"/>
  <c r="R7" i="4" s="1"/>
  <c r="M87" i="12"/>
  <c r="O87" i="12" s="1"/>
  <c r="P87" i="12" s="1"/>
  <c r="AV21" i="2"/>
  <c r="AW21" i="2" s="1"/>
  <c r="AV13" i="2"/>
  <c r="AW13" i="2" s="1"/>
  <c r="AV5" i="2"/>
  <c r="AW5" i="2" s="1"/>
  <c r="M36" i="12"/>
  <c r="O36" i="12" s="1"/>
  <c r="P36" i="12" s="1"/>
  <c r="H26" i="16"/>
  <c r="H26" i="15"/>
  <c r="H25" i="13"/>
  <c r="M25" i="13" s="1"/>
  <c r="O25" i="13" s="1"/>
  <c r="P25" i="13" s="1"/>
  <c r="H24" i="12"/>
  <c r="H20" i="9"/>
  <c r="J24" i="10"/>
  <c r="AK82" i="2"/>
  <c r="AJ82" i="2"/>
  <c r="I61" i="7"/>
  <c r="J27" i="4"/>
  <c r="M26" i="16"/>
  <c r="O26" i="16" s="1"/>
  <c r="P26" i="16" s="1"/>
  <c r="AJ87" i="3"/>
  <c r="AK87" i="3" s="1"/>
  <c r="U86" i="13"/>
  <c r="R86" i="13" s="1"/>
  <c r="Y76" i="10"/>
  <c r="S76" i="10" s="1"/>
  <c r="X76" i="10"/>
  <c r="T76" i="10" s="1"/>
  <c r="W76" i="10" s="1"/>
  <c r="Z76" i="10"/>
  <c r="Q76" i="10" s="1"/>
  <c r="H70" i="21"/>
  <c r="AB20" i="17"/>
  <c r="AC20" i="17" s="1"/>
  <c r="H68" i="8"/>
  <c r="O68" i="8" s="1"/>
  <c r="P68" i="8" s="1"/>
  <c r="Q68" i="8" s="1"/>
  <c r="AC67" i="3"/>
  <c r="AD67" i="3" s="1"/>
  <c r="AE67" i="3" s="1"/>
  <c r="G68" i="6"/>
  <c r="AJ67" i="3"/>
  <c r="AK67" i="3" s="1"/>
  <c r="Q67" i="3"/>
  <c r="H59" i="21"/>
  <c r="AB27" i="17"/>
  <c r="AC27" i="17" s="1"/>
  <c r="H57" i="8"/>
  <c r="O57" i="8" s="1"/>
  <c r="P57" i="8" s="1"/>
  <c r="Q57" i="8" s="1"/>
  <c r="G57" i="6"/>
  <c r="AC56" i="3"/>
  <c r="AD56" i="3" s="1"/>
  <c r="AE56" i="3" s="1"/>
  <c r="AJ56" i="3"/>
  <c r="AK56" i="3" s="1"/>
  <c r="Q56" i="3"/>
  <c r="Y47" i="6"/>
  <c r="T47" i="6"/>
  <c r="U47" i="6" s="1"/>
  <c r="X47" i="6"/>
  <c r="V47" i="6"/>
  <c r="U45" i="13"/>
  <c r="R45" i="13" s="1"/>
  <c r="H40" i="21"/>
  <c r="AB98" i="17"/>
  <c r="AC98" i="17" s="1"/>
  <c r="H38" i="8"/>
  <c r="O38" i="8" s="1"/>
  <c r="P38" i="8" s="1"/>
  <c r="Q38" i="8" s="1"/>
  <c r="G38" i="6"/>
  <c r="AJ37" i="3"/>
  <c r="AK37" i="3" s="1"/>
  <c r="Q37" i="3"/>
  <c r="AC37" i="3"/>
  <c r="AD37" i="3" s="1"/>
  <c r="AE37" i="3" s="1"/>
  <c r="R30" i="8"/>
  <c r="T30" i="8"/>
  <c r="AV178" i="2"/>
  <c r="AW178" i="2" s="1"/>
  <c r="AV167" i="2"/>
  <c r="AW167" i="2" s="1"/>
  <c r="M83" i="12"/>
  <c r="O83" i="12" s="1"/>
  <c r="P83" i="12" s="1"/>
  <c r="G92" i="16"/>
  <c r="M92" i="16" s="1"/>
  <c r="O92" i="16" s="1"/>
  <c r="P92" i="16" s="1"/>
  <c r="G93" i="15"/>
  <c r="M93" i="15" s="1"/>
  <c r="O93" i="15" s="1"/>
  <c r="P93" i="15" s="1"/>
  <c r="G76" i="13"/>
  <c r="G76" i="12"/>
  <c r="M76" i="12" s="1"/>
  <c r="O76" i="12" s="1"/>
  <c r="P76" i="12" s="1"/>
  <c r="I76" i="10"/>
  <c r="G78" i="9"/>
  <c r="N78" i="9" s="1"/>
  <c r="O78" i="9" s="1"/>
  <c r="P78" i="9" s="1"/>
  <c r="AZ155" i="2"/>
  <c r="AY155" i="2"/>
  <c r="H86" i="7"/>
  <c r="I93" i="4"/>
  <c r="O93" i="4" s="1"/>
  <c r="Q93" i="4" s="1"/>
  <c r="R93" i="4" s="1"/>
  <c r="Z155" i="2"/>
  <c r="M71" i="12"/>
  <c r="O71" i="12" s="1"/>
  <c r="P71" i="12" s="1"/>
  <c r="G76" i="16"/>
  <c r="M76" i="16" s="1"/>
  <c r="O76" i="16" s="1"/>
  <c r="P76" i="16" s="1"/>
  <c r="G77" i="15"/>
  <c r="M77" i="15" s="1"/>
  <c r="O77" i="15" s="1"/>
  <c r="P77" i="15" s="1"/>
  <c r="G69" i="13"/>
  <c r="G42" i="11"/>
  <c r="R42" i="11" s="1"/>
  <c r="T42" i="11" s="1"/>
  <c r="U42" i="11" s="1"/>
  <c r="G69" i="12"/>
  <c r="M69" i="12" s="1"/>
  <c r="O69" i="12" s="1"/>
  <c r="P69" i="12" s="1"/>
  <c r="I69" i="10"/>
  <c r="O69" i="10" s="1"/>
  <c r="P69" i="10" s="1"/>
  <c r="H39" i="7"/>
  <c r="AZ139" i="2"/>
  <c r="AY139" i="2"/>
  <c r="G68" i="9"/>
  <c r="N68" i="9" s="1"/>
  <c r="O68" i="9" s="1"/>
  <c r="P68" i="9" s="1"/>
  <c r="Z139" i="2"/>
  <c r="I77" i="4"/>
  <c r="O77" i="4" s="1"/>
  <c r="Q77" i="4" s="1"/>
  <c r="R77" i="4" s="1"/>
  <c r="G68" i="16"/>
  <c r="M68" i="16" s="1"/>
  <c r="O68" i="16" s="1"/>
  <c r="P68" i="16" s="1"/>
  <c r="G69" i="15"/>
  <c r="M69" i="15" s="1"/>
  <c r="O69" i="15" s="1"/>
  <c r="P69" i="15" s="1"/>
  <c r="G63" i="13"/>
  <c r="G63" i="12"/>
  <c r="M63" i="12" s="1"/>
  <c r="O63" i="12" s="1"/>
  <c r="P63" i="12" s="1"/>
  <c r="G60" i="9"/>
  <c r="N60" i="9" s="1"/>
  <c r="O60" i="9" s="1"/>
  <c r="P60" i="9" s="1"/>
  <c r="I63" i="10"/>
  <c r="O63" i="10" s="1"/>
  <c r="P63" i="10" s="1"/>
  <c r="H80" i="7"/>
  <c r="AZ131" i="2"/>
  <c r="AY131" i="2"/>
  <c r="Z131" i="2"/>
  <c r="I69" i="4"/>
  <c r="O69" i="4" s="1"/>
  <c r="Q69" i="4" s="1"/>
  <c r="R69" i="4" s="1"/>
  <c r="H53" i="21"/>
  <c r="AB91" i="17"/>
  <c r="AC91" i="17" s="1"/>
  <c r="G51" i="6"/>
  <c r="AJ50" i="3"/>
  <c r="AK50" i="3" s="1"/>
  <c r="AC50" i="3"/>
  <c r="AD50" i="3" s="1"/>
  <c r="AE50" i="3" s="1"/>
  <c r="H51" i="8"/>
  <c r="Q50" i="3"/>
  <c r="G47" i="16"/>
  <c r="M47" i="16" s="1"/>
  <c r="O47" i="16" s="1"/>
  <c r="P47" i="16" s="1"/>
  <c r="G48" i="15"/>
  <c r="M48" i="15" s="1"/>
  <c r="O48" i="15" s="1"/>
  <c r="P48" i="15" s="1"/>
  <c r="G42" i="13"/>
  <c r="G42" i="12"/>
  <c r="M42" i="12" s="1"/>
  <c r="O42" i="12" s="1"/>
  <c r="P42" i="12" s="1"/>
  <c r="I42" i="10"/>
  <c r="G40" i="9"/>
  <c r="N40" i="9" s="1"/>
  <c r="O40" i="9" s="1"/>
  <c r="P40" i="9" s="1"/>
  <c r="I48" i="4"/>
  <c r="O48" i="4" s="1"/>
  <c r="Q48" i="4" s="1"/>
  <c r="R48" i="4" s="1"/>
  <c r="AZ108" i="2"/>
  <c r="H68" i="7"/>
  <c r="AY108" i="2"/>
  <c r="Z108" i="2"/>
  <c r="AV105" i="2"/>
  <c r="AW105" i="2" s="1"/>
  <c r="AV97" i="2"/>
  <c r="AW97" i="2" s="1"/>
  <c r="H37" i="16"/>
  <c r="H38" i="15"/>
  <c r="H32" i="12"/>
  <c r="H32" i="13"/>
  <c r="J32" i="10"/>
  <c r="H30" i="9"/>
  <c r="J38" i="4"/>
  <c r="AK96" i="2"/>
  <c r="I64" i="7"/>
  <c r="AJ96" i="2"/>
  <c r="AL96" i="2" s="1"/>
  <c r="AM96" i="2" s="1"/>
  <c r="N30" i="9"/>
  <c r="O30" i="9" s="1"/>
  <c r="P30" i="9" s="1"/>
  <c r="AV15" i="2"/>
  <c r="AW15" i="2" s="1"/>
  <c r="AV4" i="2"/>
  <c r="AW4" i="2" s="1"/>
  <c r="N25" i="9"/>
  <c r="O25" i="9" s="1"/>
  <c r="P25" i="9" s="1"/>
  <c r="M28" i="12"/>
  <c r="O28" i="12" s="1"/>
  <c r="P28" i="12" s="1"/>
  <c r="M12" i="12"/>
  <c r="O12" i="12" s="1"/>
  <c r="P12" i="12" s="1"/>
  <c r="M100" i="16"/>
  <c r="O100" i="16" s="1"/>
  <c r="P100" i="16" s="1"/>
  <c r="O91" i="4"/>
  <c r="Q91" i="4" s="1"/>
  <c r="R91" i="4" s="1"/>
  <c r="O7" i="21"/>
  <c r="J7" i="21"/>
  <c r="I7" i="21"/>
  <c r="H70" i="16"/>
  <c r="H71" i="15"/>
  <c r="H64" i="13"/>
  <c r="M64" i="13" s="1"/>
  <c r="O64" i="13" s="1"/>
  <c r="P64" i="13" s="1"/>
  <c r="H37" i="11"/>
  <c r="H64" i="12"/>
  <c r="J64" i="10"/>
  <c r="I35" i="7"/>
  <c r="J71" i="4"/>
  <c r="AK133" i="2"/>
  <c r="H62" i="9"/>
  <c r="AJ133" i="2"/>
  <c r="M71" i="15"/>
  <c r="O71" i="15" s="1"/>
  <c r="P71" i="15" s="1"/>
  <c r="M79" i="15"/>
  <c r="O79" i="15" s="1"/>
  <c r="P79" i="15" s="1"/>
  <c r="J55" i="21"/>
  <c r="O55" i="21"/>
  <c r="I55" i="21"/>
  <c r="O13" i="8"/>
  <c r="P13" i="8" s="1"/>
  <c r="Q13" i="8" s="1"/>
  <c r="M23" i="16"/>
  <c r="O23" i="16" s="1"/>
  <c r="P23" i="16" s="1"/>
  <c r="I34" i="8"/>
  <c r="M10" i="15"/>
  <c r="O10" i="15" s="1"/>
  <c r="P10" i="15" s="1"/>
  <c r="AC54" i="17" l="1"/>
  <c r="AC95" i="17"/>
  <c r="AC73" i="17"/>
  <c r="AC101" i="17"/>
  <c r="AC51" i="17"/>
  <c r="AC29" i="17"/>
  <c r="AC33" i="17"/>
  <c r="AC85" i="17"/>
  <c r="AC80" i="17"/>
  <c r="AL133" i="2"/>
  <c r="AM133" i="2" s="1"/>
  <c r="O81" i="10"/>
  <c r="P81" i="10" s="1"/>
  <c r="O61" i="10"/>
  <c r="P61" i="10" s="1"/>
  <c r="P38" i="6"/>
  <c r="Q38" i="6" s="1"/>
  <c r="R38" i="6" s="1"/>
  <c r="AL82" i="2"/>
  <c r="AM82" i="2" s="1"/>
  <c r="P30" i="6"/>
  <c r="Q30" i="6" s="1"/>
  <c r="R30" i="6" s="1"/>
  <c r="P46" i="6"/>
  <c r="Q46" i="6" s="1"/>
  <c r="R46" i="6" s="1"/>
  <c r="P31" i="6"/>
  <c r="Q31" i="6" s="1"/>
  <c r="R31" i="6" s="1"/>
  <c r="O47" i="10"/>
  <c r="P47" i="10" s="1"/>
  <c r="O21" i="10"/>
  <c r="P21" i="10" s="1"/>
  <c r="O94" i="8"/>
  <c r="P94" i="8" s="1"/>
  <c r="Q94" i="8" s="1"/>
  <c r="Y68" i="19"/>
  <c r="Z68" i="19" s="1"/>
  <c r="Y44" i="19"/>
  <c r="Z44" i="19" s="1"/>
  <c r="I111" i="4"/>
  <c r="O111" i="4" s="1"/>
  <c r="Q111" i="4" s="1"/>
  <c r="R111" i="4" s="1"/>
  <c r="AL137" i="2"/>
  <c r="AM137" i="2" s="1"/>
  <c r="P54" i="7"/>
  <c r="Q54" i="7" s="1"/>
  <c r="O12" i="8"/>
  <c r="P12" i="8" s="1"/>
  <c r="Q12" i="8" s="1"/>
  <c r="AY104" i="2"/>
  <c r="I38" i="10"/>
  <c r="O38" i="10" s="1"/>
  <c r="P38" i="10" s="1"/>
  <c r="G43" i="16"/>
  <c r="M43" i="16" s="1"/>
  <c r="O43" i="16" s="1"/>
  <c r="P43" i="16" s="1"/>
  <c r="G36" i="9"/>
  <c r="N36" i="9" s="1"/>
  <c r="O36" i="9" s="1"/>
  <c r="P36" i="9" s="1"/>
  <c r="Z104" i="2"/>
  <c r="AV104" i="2"/>
  <c r="AW104" i="2" s="1"/>
  <c r="G44" i="15"/>
  <c r="M44" i="15" s="1"/>
  <c r="O44" i="15" s="1"/>
  <c r="P44" i="15" s="1"/>
  <c r="H24" i="7"/>
  <c r="G38" i="13"/>
  <c r="AZ104" i="2"/>
  <c r="G25" i="11"/>
  <c r="R25" i="11" s="1"/>
  <c r="T25" i="11" s="1"/>
  <c r="U25" i="11" s="1"/>
  <c r="G38" i="12"/>
  <c r="M38" i="12" s="1"/>
  <c r="O38" i="12" s="1"/>
  <c r="P38" i="12" s="1"/>
  <c r="I44" i="4"/>
  <c r="O44" i="4" s="1"/>
  <c r="Q44" i="4" s="1"/>
  <c r="R44" i="4" s="1"/>
  <c r="X17" i="19"/>
  <c r="W17" i="19"/>
  <c r="AY136" i="2"/>
  <c r="G74" i="15"/>
  <c r="M74" i="15" s="1"/>
  <c r="O74" i="15" s="1"/>
  <c r="P74" i="15" s="1"/>
  <c r="G65" i="9"/>
  <c r="N65" i="9" s="1"/>
  <c r="O65" i="9" s="1"/>
  <c r="P65" i="9" s="1"/>
  <c r="G66" i="12"/>
  <c r="M66" i="12" s="1"/>
  <c r="O66" i="12" s="1"/>
  <c r="P66" i="12" s="1"/>
  <c r="AZ136" i="2"/>
  <c r="G40" i="11"/>
  <c r="R40" i="11" s="1"/>
  <c r="T40" i="11" s="1"/>
  <c r="U40" i="11" s="1"/>
  <c r="I74" i="4"/>
  <c r="O74" i="4" s="1"/>
  <c r="Q74" i="4" s="1"/>
  <c r="R74" i="4" s="1"/>
  <c r="I66" i="10"/>
  <c r="H37" i="7"/>
  <c r="AV136" i="2"/>
  <c r="AW136" i="2" s="1"/>
  <c r="G73" i="16"/>
  <c r="M73" i="16" s="1"/>
  <c r="O73" i="16" s="1"/>
  <c r="P73" i="16" s="1"/>
  <c r="Z136" i="2"/>
  <c r="G66" i="13"/>
  <c r="P74" i="6"/>
  <c r="Q74" i="6" s="1"/>
  <c r="R74" i="6" s="1"/>
  <c r="O96" i="8"/>
  <c r="P96" i="8" s="1"/>
  <c r="Q96" i="8" s="1"/>
  <c r="P2" i="6"/>
  <c r="Q2" i="6" s="1"/>
  <c r="R2" i="6" s="1"/>
  <c r="P43" i="6"/>
  <c r="Q43" i="6" s="1"/>
  <c r="R43" i="6" s="1"/>
  <c r="K55" i="21"/>
  <c r="L55" i="21" s="1"/>
  <c r="M55" i="21" s="1"/>
  <c r="N55" i="21" s="1"/>
  <c r="P7" i="21"/>
  <c r="Q7" i="21" s="1"/>
  <c r="R7" i="21" s="1"/>
  <c r="S7" i="21" s="1"/>
  <c r="P68" i="6"/>
  <c r="Q68" i="6" s="1"/>
  <c r="R68" i="6" s="1"/>
  <c r="O71" i="13"/>
  <c r="P71" i="13" s="1"/>
  <c r="AL113" i="2"/>
  <c r="AM113" i="2" s="1"/>
  <c r="P86" i="7"/>
  <c r="Q86" i="7" s="1"/>
  <c r="O72" i="10"/>
  <c r="P72" i="10" s="1"/>
  <c r="P64" i="7"/>
  <c r="Q64" i="7" s="1"/>
  <c r="P76" i="7"/>
  <c r="Q76" i="7" s="1"/>
  <c r="K7" i="21"/>
  <c r="L7" i="21" s="1"/>
  <c r="M7" i="21" s="1"/>
  <c r="N7" i="21" s="1"/>
  <c r="P73" i="6"/>
  <c r="Q73" i="6" s="1"/>
  <c r="R73" i="6" s="1"/>
  <c r="AL79" i="2"/>
  <c r="AM79" i="2" s="1"/>
  <c r="P38" i="21"/>
  <c r="Q38" i="21" s="1"/>
  <c r="R38" i="21" s="1"/>
  <c r="S38" i="21" s="1"/>
  <c r="AL183" i="2"/>
  <c r="AM183" i="2" s="1"/>
  <c r="P48" i="6"/>
  <c r="Q48" i="6" s="1"/>
  <c r="R48" i="6" s="1"/>
  <c r="P62" i="7"/>
  <c r="Q62" i="7" s="1"/>
  <c r="O66" i="10"/>
  <c r="P66" i="10" s="1"/>
  <c r="K14" i="21"/>
  <c r="L14" i="21" s="1"/>
  <c r="M14" i="21" s="1"/>
  <c r="N14" i="21" s="1"/>
  <c r="P36" i="6"/>
  <c r="Q36" i="6" s="1"/>
  <c r="R36" i="6" s="1"/>
  <c r="O44" i="10"/>
  <c r="P44" i="10" s="1"/>
  <c r="O31" i="8"/>
  <c r="P31" i="8" s="1"/>
  <c r="Q31" i="8" s="1"/>
  <c r="O18" i="10"/>
  <c r="P18" i="10" s="1"/>
  <c r="G89" i="13"/>
  <c r="O71" i="8"/>
  <c r="P71" i="8" s="1"/>
  <c r="Q71" i="8" s="1"/>
  <c r="O50" i="8"/>
  <c r="P50" i="8" s="1"/>
  <c r="Q50" i="8" s="1"/>
  <c r="O55" i="10"/>
  <c r="P55" i="10" s="1"/>
  <c r="P57" i="6"/>
  <c r="Q57" i="6" s="1"/>
  <c r="R57" i="6" s="1"/>
  <c r="O10" i="8"/>
  <c r="P10" i="8" s="1"/>
  <c r="Q10" i="8" s="1"/>
  <c r="O19" i="10"/>
  <c r="P19" i="10" s="1"/>
  <c r="AL138" i="2"/>
  <c r="AM138" i="2" s="1"/>
  <c r="O97" i="8"/>
  <c r="P97" i="8" s="1"/>
  <c r="Q97" i="8" s="1"/>
  <c r="O87" i="10"/>
  <c r="P87" i="10" s="1"/>
  <c r="P26" i="6"/>
  <c r="Q26" i="6" s="1"/>
  <c r="R26" i="6" s="1"/>
  <c r="Y53" i="19"/>
  <c r="Z53" i="19" s="1"/>
  <c r="M88" i="13"/>
  <c r="O88" i="13" s="1"/>
  <c r="P88" i="13" s="1"/>
  <c r="G111" i="15"/>
  <c r="M111" i="15" s="1"/>
  <c r="O111" i="15" s="1"/>
  <c r="P111" i="15" s="1"/>
  <c r="P74" i="7"/>
  <c r="Q74" i="7" s="1"/>
  <c r="O39" i="8"/>
  <c r="P39" i="8" s="1"/>
  <c r="Q39" i="8" s="1"/>
  <c r="AY154" i="2"/>
  <c r="I75" i="10"/>
  <c r="G77" i="9"/>
  <c r="N77" i="9" s="1"/>
  <c r="O77" i="9" s="1"/>
  <c r="P77" i="9" s="1"/>
  <c r="AV154" i="2"/>
  <c r="AW154" i="2" s="1"/>
  <c r="Z154" i="2"/>
  <c r="G91" i="16"/>
  <c r="M91" i="16" s="1"/>
  <c r="O91" i="16" s="1"/>
  <c r="P91" i="16" s="1"/>
  <c r="I92" i="4"/>
  <c r="O92" i="4" s="1"/>
  <c r="Q92" i="4" s="1"/>
  <c r="R92" i="4" s="1"/>
  <c r="G92" i="15"/>
  <c r="M92" i="15" s="1"/>
  <c r="O92" i="15" s="1"/>
  <c r="P92" i="15" s="1"/>
  <c r="H85" i="7"/>
  <c r="G75" i="13"/>
  <c r="AZ154" i="2"/>
  <c r="G75" i="12"/>
  <c r="M75" i="12" s="1"/>
  <c r="O75" i="12" s="1"/>
  <c r="P75" i="12" s="1"/>
  <c r="M47" i="13"/>
  <c r="O47" i="13" s="1"/>
  <c r="P47" i="13" s="1"/>
  <c r="AV169" i="2"/>
  <c r="AW169" i="2" s="1"/>
  <c r="G106" i="16"/>
  <c r="M106" i="16" s="1"/>
  <c r="O106" i="16" s="1"/>
  <c r="P106" i="16" s="1"/>
  <c r="G107" i="15"/>
  <c r="M107" i="15" s="1"/>
  <c r="O107" i="15" s="1"/>
  <c r="P107" i="15" s="1"/>
  <c r="G87" i="9"/>
  <c r="N87" i="9" s="1"/>
  <c r="O87" i="9" s="1"/>
  <c r="P87" i="9" s="1"/>
  <c r="I107" i="4"/>
  <c r="O107" i="4" s="1"/>
  <c r="Q107" i="4" s="1"/>
  <c r="R107" i="4" s="1"/>
  <c r="AZ169" i="2"/>
  <c r="AY169" i="2"/>
  <c r="Z169" i="2"/>
  <c r="H28" i="7"/>
  <c r="AZ112" i="2"/>
  <c r="G51" i="16"/>
  <c r="M51" i="16" s="1"/>
  <c r="O51" i="16" s="1"/>
  <c r="P51" i="16" s="1"/>
  <c r="AV112" i="2"/>
  <c r="AW112" i="2" s="1"/>
  <c r="I52" i="4"/>
  <c r="O52" i="4" s="1"/>
  <c r="Q52" i="4" s="1"/>
  <c r="R52" i="4" s="1"/>
  <c r="G52" i="15"/>
  <c r="M52" i="15" s="1"/>
  <c r="O52" i="15" s="1"/>
  <c r="P52" i="15" s="1"/>
  <c r="Z112" i="2"/>
  <c r="AY112" i="2"/>
  <c r="G29" i="11"/>
  <c r="R29" i="11" s="1"/>
  <c r="T29" i="11" s="1"/>
  <c r="U29" i="11" s="1"/>
  <c r="G46" i="12"/>
  <c r="M46" i="12" s="1"/>
  <c r="O46" i="12" s="1"/>
  <c r="P46" i="12" s="1"/>
  <c r="G44" i="9"/>
  <c r="N44" i="9" s="1"/>
  <c r="O44" i="9" s="1"/>
  <c r="P44" i="9" s="1"/>
  <c r="I46" i="10"/>
  <c r="O46" i="10" s="1"/>
  <c r="P46" i="10" s="1"/>
  <c r="G46" i="13"/>
  <c r="P64" i="6"/>
  <c r="Q64" i="6" s="1"/>
  <c r="R64" i="6" s="1"/>
  <c r="O84" i="10"/>
  <c r="P84" i="10" s="1"/>
  <c r="AL153" i="2"/>
  <c r="AM153" i="2" s="1"/>
  <c r="P16" i="6"/>
  <c r="Q16" i="6" s="1"/>
  <c r="R16" i="6" s="1"/>
  <c r="P72" i="6"/>
  <c r="Q72" i="6" s="1"/>
  <c r="R72" i="6" s="1"/>
  <c r="P76" i="6"/>
  <c r="Q76" i="6" s="1"/>
  <c r="R76" i="6" s="1"/>
  <c r="P36" i="21"/>
  <c r="Q36" i="21" s="1"/>
  <c r="R36" i="21" s="1"/>
  <c r="S36" i="21" s="1"/>
  <c r="AL125" i="2"/>
  <c r="AM125" i="2" s="1"/>
  <c r="K79" i="21"/>
  <c r="L79" i="21" s="1"/>
  <c r="M79" i="21" s="1"/>
  <c r="N79" i="21" s="1"/>
  <c r="P29" i="21"/>
  <c r="Q29" i="21" s="1"/>
  <c r="R29" i="21" s="1"/>
  <c r="S29" i="21" s="1"/>
  <c r="Z173" i="2"/>
  <c r="H111" i="15" s="1"/>
  <c r="M67" i="13"/>
  <c r="O67" i="13" s="1"/>
  <c r="P67" i="13" s="1"/>
  <c r="J59" i="10"/>
  <c r="H64" i="16"/>
  <c r="H56" i="9"/>
  <c r="AK126" i="2"/>
  <c r="H65" i="15"/>
  <c r="J65" i="4"/>
  <c r="H59" i="13"/>
  <c r="M59" i="13" s="1"/>
  <c r="O59" i="13" s="1"/>
  <c r="P59" i="13" s="1"/>
  <c r="AJ126" i="2"/>
  <c r="H59" i="12"/>
  <c r="H34" i="11"/>
  <c r="I33" i="7"/>
  <c r="AY87" i="2"/>
  <c r="G16" i="11"/>
  <c r="R16" i="11" s="1"/>
  <c r="T16" i="11" s="1"/>
  <c r="U16" i="11" s="1"/>
  <c r="I27" i="10"/>
  <c r="O27" i="10" s="1"/>
  <c r="P27" i="10" s="1"/>
  <c r="G24" i="9"/>
  <c r="N24" i="9" s="1"/>
  <c r="O24" i="9" s="1"/>
  <c r="P24" i="9" s="1"/>
  <c r="I31" i="4"/>
  <c r="O31" i="4" s="1"/>
  <c r="Q31" i="4" s="1"/>
  <c r="R31" i="4" s="1"/>
  <c r="G30" i="16"/>
  <c r="M30" i="16" s="1"/>
  <c r="O30" i="16" s="1"/>
  <c r="P30" i="16" s="1"/>
  <c r="AV87" i="2"/>
  <c r="AW87" i="2" s="1"/>
  <c r="G31" i="15"/>
  <c r="M31" i="15" s="1"/>
  <c r="O31" i="15" s="1"/>
  <c r="P31" i="15" s="1"/>
  <c r="Z87" i="2"/>
  <c r="G28" i="13"/>
  <c r="AZ87" i="2"/>
  <c r="G27" i="12"/>
  <c r="M27" i="12" s="1"/>
  <c r="O27" i="12" s="1"/>
  <c r="P27" i="12" s="1"/>
  <c r="H16" i="7"/>
  <c r="I98" i="4"/>
  <c r="O98" i="4" s="1"/>
  <c r="Q98" i="4" s="1"/>
  <c r="R98" i="4" s="1"/>
  <c r="AV160" i="2"/>
  <c r="AW160" i="2" s="1"/>
  <c r="H47" i="7"/>
  <c r="G97" i="16"/>
  <c r="M97" i="16" s="1"/>
  <c r="O97" i="16" s="1"/>
  <c r="P97" i="16" s="1"/>
  <c r="AZ160" i="2"/>
  <c r="G51" i="11"/>
  <c r="R51" i="11" s="1"/>
  <c r="T51" i="11" s="1"/>
  <c r="U51" i="11" s="1"/>
  <c r="G85" i="6"/>
  <c r="P85" i="6" s="1"/>
  <c r="Q85" i="6" s="1"/>
  <c r="R85" i="6" s="1"/>
  <c r="AY160" i="2"/>
  <c r="Z160" i="2"/>
  <c r="G98" i="15"/>
  <c r="M98" i="15" s="1"/>
  <c r="O98" i="15" s="1"/>
  <c r="P98" i="15" s="1"/>
  <c r="P18" i="6"/>
  <c r="Q18" i="6" s="1"/>
  <c r="R18" i="6" s="1"/>
  <c r="AY85" i="2"/>
  <c r="G29" i="16"/>
  <c r="M29" i="16" s="1"/>
  <c r="O29" i="16" s="1"/>
  <c r="P29" i="16" s="1"/>
  <c r="AV85" i="2"/>
  <c r="AW85" i="2" s="1"/>
  <c r="G29" i="15"/>
  <c r="M29" i="15" s="1"/>
  <c r="O29" i="15" s="1"/>
  <c r="P29" i="15" s="1"/>
  <c r="Z85" i="2"/>
  <c r="G26" i="12"/>
  <c r="M26" i="12" s="1"/>
  <c r="O26" i="12" s="1"/>
  <c r="P26" i="12" s="1"/>
  <c r="G27" i="13"/>
  <c r="I30" i="4"/>
  <c r="O30" i="4" s="1"/>
  <c r="Q30" i="4" s="1"/>
  <c r="R30" i="4" s="1"/>
  <c r="AZ85" i="2"/>
  <c r="G15" i="11"/>
  <c r="R15" i="11" s="1"/>
  <c r="T15" i="11" s="1"/>
  <c r="U15" i="11" s="1"/>
  <c r="G23" i="9"/>
  <c r="N23" i="9" s="1"/>
  <c r="O23" i="9" s="1"/>
  <c r="P23" i="9" s="1"/>
  <c r="I26" i="10"/>
  <c r="O26" i="10" s="1"/>
  <c r="P26" i="10" s="1"/>
  <c r="H15" i="7"/>
  <c r="O90" i="8"/>
  <c r="P90" i="8" s="1"/>
  <c r="Q90" i="8" s="1"/>
  <c r="M8" i="10"/>
  <c r="L8" i="10"/>
  <c r="N8" i="10"/>
  <c r="K8" i="10"/>
  <c r="I32" i="13"/>
  <c r="K32" i="13"/>
  <c r="N32" i="13"/>
  <c r="L32" i="13"/>
  <c r="J32" i="13"/>
  <c r="J92" i="8"/>
  <c r="N92" i="8"/>
  <c r="K92" i="8"/>
  <c r="M92" i="8"/>
  <c r="N82" i="10"/>
  <c r="M82" i="10"/>
  <c r="L82" i="10"/>
  <c r="K82" i="10"/>
  <c r="N40" i="13"/>
  <c r="I40" i="13"/>
  <c r="K40" i="13"/>
  <c r="L40" i="13"/>
  <c r="J40" i="13"/>
  <c r="N40" i="10"/>
  <c r="M40" i="10"/>
  <c r="L40" i="10"/>
  <c r="K40" i="10"/>
  <c r="K34" i="8"/>
  <c r="J34" i="8"/>
  <c r="M34" i="8"/>
  <c r="N34" i="8"/>
  <c r="N47" i="8"/>
  <c r="O47" i="8" s="1"/>
  <c r="P47" i="8" s="1"/>
  <c r="Q47" i="8" s="1"/>
  <c r="M47" i="8"/>
  <c r="J47" i="8"/>
  <c r="K47" i="8"/>
  <c r="I13" i="13"/>
  <c r="K13" i="13"/>
  <c r="L13" i="13"/>
  <c r="J13" i="13"/>
  <c r="N13" i="13"/>
  <c r="L7" i="10"/>
  <c r="K7" i="10"/>
  <c r="M7" i="10"/>
  <c r="N7" i="10"/>
  <c r="L76" i="10"/>
  <c r="K76" i="10"/>
  <c r="N76" i="10"/>
  <c r="M76" i="10"/>
  <c r="N86" i="13"/>
  <c r="J86" i="13"/>
  <c r="L86" i="13"/>
  <c r="I86" i="13"/>
  <c r="K86" i="13"/>
  <c r="L13" i="10"/>
  <c r="K13" i="10"/>
  <c r="O13" i="10" s="1"/>
  <c r="P13" i="10" s="1"/>
  <c r="M13" i="10"/>
  <c r="N13" i="10"/>
  <c r="I57" i="13"/>
  <c r="K57" i="13"/>
  <c r="J57" i="13"/>
  <c r="N57" i="13"/>
  <c r="L57" i="13"/>
  <c r="M56" i="8"/>
  <c r="K56" i="8"/>
  <c r="N56" i="8"/>
  <c r="J56" i="8"/>
  <c r="K6" i="10"/>
  <c r="N6" i="10"/>
  <c r="L6" i="10"/>
  <c r="M6" i="10"/>
  <c r="M50" i="10"/>
  <c r="L50" i="10"/>
  <c r="N50" i="10"/>
  <c r="K50" i="10"/>
  <c r="L62" i="13"/>
  <c r="N62" i="13"/>
  <c r="J62" i="13"/>
  <c r="K62" i="13"/>
  <c r="I62" i="13"/>
  <c r="I26" i="13"/>
  <c r="K26" i="13"/>
  <c r="L26" i="13"/>
  <c r="J26" i="13"/>
  <c r="N26" i="13"/>
  <c r="N32" i="10"/>
  <c r="M32" i="10"/>
  <c r="O32" i="10"/>
  <c r="P32" i="10" s="1"/>
  <c r="K32" i="10"/>
  <c r="L32" i="10"/>
  <c r="K45" i="10"/>
  <c r="N45" i="10"/>
  <c r="L45" i="10"/>
  <c r="M45" i="10"/>
  <c r="J51" i="8"/>
  <c r="N51" i="8"/>
  <c r="K51" i="8"/>
  <c r="M51" i="8"/>
  <c r="N51" i="13"/>
  <c r="J51" i="13"/>
  <c r="L51" i="13"/>
  <c r="I51" i="13"/>
  <c r="K51" i="13"/>
  <c r="L49" i="13"/>
  <c r="N49" i="13"/>
  <c r="J49" i="13"/>
  <c r="K49" i="13"/>
  <c r="I49" i="13"/>
  <c r="K59" i="8"/>
  <c r="J59" i="8"/>
  <c r="M59" i="8"/>
  <c r="N59" i="8"/>
  <c r="L45" i="13"/>
  <c r="N45" i="13"/>
  <c r="J45" i="13"/>
  <c r="K45" i="13"/>
  <c r="I45" i="13"/>
  <c r="K64" i="8"/>
  <c r="J64" i="8"/>
  <c r="M64" i="8"/>
  <c r="N64" i="8"/>
  <c r="L49" i="10"/>
  <c r="K49" i="10"/>
  <c r="O49" i="10" s="1"/>
  <c r="P49" i="10" s="1"/>
  <c r="M49" i="10"/>
  <c r="N49" i="10"/>
  <c r="K52" i="10"/>
  <c r="N52" i="10"/>
  <c r="M52" i="10"/>
  <c r="L52" i="10"/>
  <c r="N5" i="10"/>
  <c r="M5" i="10"/>
  <c r="K5" i="10"/>
  <c r="L5" i="10"/>
  <c r="M77" i="10"/>
  <c r="L77" i="10"/>
  <c r="K77" i="10"/>
  <c r="N77" i="10"/>
  <c r="J88" i="8"/>
  <c r="N88" i="8"/>
  <c r="K88" i="8"/>
  <c r="M88" i="8"/>
  <c r="L28" i="13"/>
  <c r="N28" i="13"/>
  <c r="J28" i="13"/>
  <c r="K28" i="13"/>
  <c r="I28" i="13"/>
  <c r="I17" i="13"/>
  <c r="K17" i="13"/>
  <c r="J17" i="13"/>
  <c r="N17" i="13"/>
  <c r="L17" i="13"/>
  <c r="M25" i="8"/>
  <c r="K25" i="8"/>
  <c r="O25" i="8" s="1"/>
  <c r="P25" i="8" s="1"/>
  <c r="Q25" i="8" s="1"/>
  <c r="N25" i="8"/>
  <c r="J25" i="8"/>
  <c r="M52" i="8"/>
  <c r="K52" i="8"/>
  <c r="N52" i="8"/>
  <c r="J52" i="8"/>
  <c r="P55" i="21"/>
  <c r="Q55" i="21" s="1"/>
  <c r="R55" i="21" s="1"/>
  <c r="S55" i="21" s="1"/>
  <c r="R64" i="7"/>
  <c r="T64" i="7" s="1"/>
  <c r="V64" i="7" s="1"/>
  <c r="W64" i="7" s="1"/>
  <c r="S64" i="7"/>
  <c r="J53" i="21"/>
  <c r="O53" i="21"/>
  <c r="P53" i="21" s="1"/>
  <c r="Q53" i="21" s="1"/>
  <c r="R53" i="21" s="1"/>
  <c r="S53" i="21" s="1"/>
  <c r="I53" i="21"/>
  <c r="H68" i="16"/>
  <c r="H69" i="15"/>
  <c r="H63" i="13"/>
  <c r="M63" i="13" s="1"/>
  <c r="O63" i="13" s="1"/>
  <c r="P63" i="13" s="1"/>
  <c r="H63" i="12"/>
  <c r="H60" i="9"/>
  <c r="J63" i="10"/>
  <c r="J69" i="4"/>
  <c r="I80" i="7"/>
  <c r="AJ131" i="2"/>
  <c r="AK131" i="2"/>
  <c r="I38" i="8"/>
  <c r="H38" i="6"/>
  <c r="I57" i="8"/>
  <c r="H57" i="6"/>
  <c r="N6" i="6"/>
  <c r="J6" i="6"/>
  <c r="M6" i="6"/>
  <c r="L6" i="6"/>
  <c r="O6" i="6"/>
  <c r="K6" i="6"/>
  <c r="I10" i="8"/>
  <c r="H9" i="6"/>
  <c r="I32" i="8"/>
  <c r="H30" i="6"/>
  <c r="J34" i="21"/>
  <c r="O34" i="21"/>
  <c r="I34" i="21"/>
  <c r="I56" i="8"/>
  <c r="H56" i="6"/>
  <c r="I67" i="21"/>
  <c r="K67" i="21" s="1"/>
  <c r="L67" i="21" s="1"/>
  <c r="M67" i="21" s="1"/>
  <c r="N67" i="21" s="1"/>
  <c r="O67" i="21"/>
  <c r="J67" i="21"/>
  <c r="R38" i="7"/>
  <c r="S38" i="7"/>
  <c r="O88" i="8"/>
  <c r="P88" i="8" s="1"/>
  <c r="Q88" i="8" s="1"/>
  <c r="AJ178" i="2"/>
  <c r="AK178" i="2"/>
  <c r="I22" i="8"/>
  <c r="H20" i="6"/>
  <c r="J56" i="21"/>
  <c r="I56" i="21"/>
  <c r="P56" i="21" s="1"/>
  <c r="Q56" i="21" s="1"/>
  <c r="R56" i="21" s="1"/>
  <c r="S56" i="21" s="1"/>
  <c r="O56" i="21"/>
  <c r="I42" i="8"/>
  <c r="H42" i="6"/>
  <c r="J44" i="21"/>
  <c r="O44" i="21"/>
  <c r="I44" i="21"/>
  <c r="P75" i="7"/>
  <c r="Q75" i="7" s="1"/>
  <c r="O64" i="8"/>
  <c r="P64" i="8" s="1"/>
  <c r="Q64" i="8" s="1"/>
  <c r="H9" i="12"/>
  <c r="H9" i="13"/>
  <c r="M9" i="13" s="1"/>
  <c r="O9" i="13" s="1"/>
  <c r="P9" i="13" s="1"/>
  <c r="H3" i="11"/>
  <c r="J9" i="10"/>
  <c r="J9" i="4"/>
  <c r="I3" i="7"/>
  <c r="AJ43" i="2"/>
  <c r="AL43" i="2" s="1"/>
  <c r="AM43" i="2" s="1"/>
  <c r="AK43" i="2"/>
  <c r="H61" i="16"/>
  <c r="H62" i="15"/>
  <c r="H56" i="13"/>
  <c r="M56" i="13" s="1"/>
  <c r="O56" i="13" s="1"/>
  <c r="P56" i="13" s="1"/>
  <c r="H33" i="11"/>
  <c r="H56" i="12"/>
  <c r="J56" i="10"/>
  <c r="I32" i="7"/>
  <c r="H53" i="9"/>
  <c r="J62" i="4"/>
  <c r="AK122" i="2"/>
  <c r="AJ122" i="2"/>
  <c r="J25" i="21"/>
  <c r="K25" i="21"/>
  <c r="L25" i="21" s="1"/>
  <c r="M25" i="21" s="1"/>
  <c r="N25" i="21" s="1"/>
  <c r="I25" i="21"/>
  <c r="O25" i="21"/>
  <c r="K50" i="13"/>
  <c r="M50" i="13" s="1"/>
  <c r="O50" i="13" s="1"/>
  <c r="P50" i="13" s="1"/>
  <c r="I50" i="13"/>
  <c r="J50" i="13"/>
  <c r="N50" i="13"/>
  <c r="L50" i="13"/>
  <c r="N51" i="10"/>
  <c r="M51" i="10"/>
  <c r="K51" i="10"/>
  <c r="O51" i="10" s="1"/>
  <c r="P51" i="10" s="1"/>
  <c r="L51" i="10"/>
  <c r="I74" i="8"/>
  <c r="H73" i="6"/>
  <c r="L79" i="6"/>
  <c r="O79" i="6"/>
  <c r="K79" i="6"/>
  <c r="J79" i="6"/>
  <c r="P79" i="6" s="1"/>
  <c r="Q79" i="6" s="1"/>
  <c r="R79" i="6" s="1"/>
  <c r="M79" i="6"/>
  <c r="N79" i="6"/>
  <c r="L42" i="10"/>
  <c r="K42" i="10"/>
  <c r="M42" i="10"/>
  <c r="N42" i="10"/>
  <c r="K58" i="10"/>
  <c r="N58" i="10"/>
  <c r="M58" i="10"/>
  <c r="L58" i="10"/>
  <c r="R58" i="7"/>
  <c r="S58" i="7"/>
  <c r="G45" i="16"/>
  <c r="M45" i="16" s="1"/>
  <c r="O45" i="16" s="1"/>
  <c r="P45" i="16" s="1"/>
  <c r="G46" i="15"/>
  <c r="M46" i="15" s="1"/>
  <c r="O46" i="15" s="1"/>
  <c r="P46" i="15" s="1"/>
  <c r="G40" i="13"/>
  <c r="G40" i="12"/>
  <c r="M40" i="12" s="1"/>
  <c r="O40" i="12" s="1"/>
  <c r="P40" i="12" s="1"/>
  <c r="I40" i="10"/>
  <c r="O40" i="10" s="1"/>
  <c r="P40" i="10" s="1"/>
  <c r="G38" i="9"/>
  <c r="N38" i="9" s="1"/>
  <c r="O38" i="9" s="1"/>
  <c r="P38" i="9" s="1"/>
  <c r="AZ106" i="2"/>
  <c r="I46" i="4"/>
  <c r="O46" i="4" s="1"/>
  <c r="Q46" i="4" s="1"/>
  <c r="R46" i="4" s="1"/>
  <c r="AY106" i="2"/>
  <c r="H66" i="7"/>
  <c r="Z106" i="2"/>
  <c r="AV106" i="2"/>
  <c r="AW106" i="2" s="1"/>
  <c r="I91" i="8"/>
  <c r="H21" i="6"/>
  <c r="I18" i="8"/>
  <c r="H16" i="6"/>
  <c r="J50" i="21"/>
  <c r="O50" i="21"/>
  <c r="I50" i="21"/>
  <c r="K50" i="21" s="1"/>
  <c r="L50" i="21" s="1"/>
  <c r="M50" i="21" s="1"/>
  <c r="N50" i="21" s="1"/>
  <c r="H22" i="16"/>
  <c r="H22" i="15"/>
  <c r="H21" i="12"/>
  <c r="H22" i="13"/>
  <c r="M22" i="13" s="1"/>
  <c r="O22" i="13" s="1"/>
  <c r="P22" i="13" s="1"/>
  <c r="J21" i="10"/>
  <c r="I11" i="7"/>
  <c r="J23" i="4"/>
  <c r="AK78" i="2"/>
  <c r="AJ78" i="2"/>
  <c r="G108" i="16"/>
  <c r="M108" i="16" s="1"/>
  <c r="O108" i="16" s="1"/>
  <c r="P108" i="16" s="1"/>
  <c r="G109" i="15"/>
  <c r="M109" i="15" s="1"/>
  <c r="O109" i="15" s="1"/>
  <c r="P109" i="15" s="1"/>
  <c r="G87" i="13"/>
  <c r="I85" i="10"/>
  <c r="O85" i="10" s="1"/>
  <c r="P85" i="10" s="1"/>
  <c r="G89" i="9"/>
  <c r="N89" i="9" s="1"/>
  <c r="O89" i="9" s="1"/>
  <c r="P89" i="9" s="1"/>
  <c r="I109" i="4"/>
  <c r="O109" i="4" s="1"/>
  <c r="Q109" i="4" s="1"/>
  <c r="R109" i="4" s="1"/>
  <c r="AZ171" i="2"/>
  <c r="Z171" i="2"/>
  <c r="AV171" i="2"/>
  <c r="AW171" i="2" s="1"/>
  <c r="I5" i="8"/>
  <c r="H4" i="6"/>
  <c r="I80" i="8"/>
  <c r="H78" i="6"/>
  <c r="J81" i="21"/>
  <c r="I81" i="21"/>
  <c r="K81" i="21" s="1"/>
  <c r="L81" i="21" s="1"/>
  <c r="M81" i="21" s="1"/>
  <c r="N81" i="21" s="1"/>
  <c r="O81" i="21"/>
  <c r="I72" i="8"/>
  <c r="H72" i="6"/>
  <c r="N8" i="13"/>
  <c r="J8" i="13"/>
  <c r="L8" i="13"/>
  <c r="K8" i="13"/>
  <c r="I8" i="13"/>
  <c r="L53" i="6"/>
  <c r="O53" i="6"/>
  <c r="K53" i="6"/>
  <c r="M53" i="6"/>
  <c r="J53" i="6"/>
  <c r="N53" i="6"/>
  <c r="I77" i="8"/>
  <c r="H76" i="6"/>
  <c r="J78" i="21"/>
  <c r="I78" i="21"/>
  <c r="P78" i="21" s="1"/>
  <c r="Q78" i="21" s="1"/>
  <c r="R78" i="21" s="1"/>
  <c r="S78" i="21" s="1"/>
  <c r="O78" i="21"/>
  <c r="Y38" i="19"/>
  <c r="Z38" i="19" s="1"/>
  <c r="W54" i="19"/>
  <c r="X54" i="19"/>
  <c r="X78" i="19"/>
  <c r="W78" i="19"/>
  <c r="P14" i="21"/>
  <c r="Q14" i="21" s="1"/>
  <c r="R14" i="21" s="1"/>
  <c r="S14" i="21" s="1"/>
  <c r="G62" i="16"/>
  <c r="M62" i="16" s="1"/>
  <c r="O62" i="16" s="1"/>
  <c r="P62" i="16" s="1"/>
  <c r="G57" i="13"/>
  <c r="G63" i="15"/>
  <c r="M63" i="15" s="1"/>
  <c r="O63" i="15" s="1"/>
  <c r="P63" i="15" s="1"/>
  <c r="G57" i="12"/>
  <c r="M57" i="12" s="1"/>
  <c r="O57" i="12" s="1"/>
  <c r="P57" i="12" s="1"/>
  <c r="I57" i="10"/>
  <c r="G54" i="9"/>
  <c r="N54" i="9" s="1"/>
  <c r="O54" i="9" s="1"/>
  <c r="P54" i="9" s="1"/>
  <c r="I63" i="4"/>
  <c r="O63" i="4" s="1"/>
  <c r="Q63" i="4" s="1"/>
  <c r="R63" i="4" s="1"/>
  <c r="H76" i="7"/>
  <c r="AZ123" i="2"/>
  <c r="AY123" i="2"/>
  <c r="Z123" i="2"/>
  <c r="AV123" i="2"/>
  <c r="AW123" i="2" s="1"/>
  <c r="P69" i="7"/>
  <c r="Q69" i="7" s="1"/>
  <c r="AK33" i="2"/>
  <c r="AJ33" i="2"/>
  <c r="AL33" i="2" s="1"/>
  <c r="AM33" i="2" s="1"/>
  <c r="P49" i="6"/>
  <c r="Q49" i="6" s="1"/>
  <c r="R49" i="6" s="1"/>
  <c r="I76" i="21"/>
  <c r="K76" i="21" s="1"/>
  <c r="L76" i="21" s="1"/>
  <c r="M76" i="21" s="1"/>
  <c r="N76" i="21" s="1"/>
  <c r="O76" i="21"/>
  <c r="J76" i="21"/>
  <c r="G17" i="16"/>
  <c r="M17" i="16" s="1"/>
  <c r="O17" i="16" s="1"/>
  <c r="P17" i="16" s="1"/>
  <c r="G17" i="15"/>
  <c r="M17" i="15" s="1"/>
  <c r="O17" i="15" s="1"/>
  <c r="P17" i="15" s="1"/>
  <c r="G16" i="12"/>
  <c r="M16" i="12" s="1"/>
  <c r="O16" i="12" s="1"/>
  <c r="P16" i="12" s="1"/>
  <c r="G16" i="13"/>
  <c r="G8" i="11"/>
  <c r="R8" i="11" s="1"/>
  <c r="T8" i="11" s="1"/>
  <c r="U8" i="11" s="1"/>
  <c r="I16" i="10"/>
  <c r="O16" i="10" s="1"/>
  <c r="P16" i="10" s="1"/>
  <c r="G14" i="9"/>
  <c r="N14" i="9" s="1"/>
  <c r="O14" i="9" s="1"/>
  <c r="P14" i="9" s="1"/>
  <c r="I16" i="4"/>
  <c r="O16" i="4" s="1"/>
  <c r="Q16" i="4" s="1"/>
  <c r="R16" i="4" s="1"/>
  <c r="AV69" i="2"/>
  <c r="AW69" i="2" s="1"/>
  <c r="AZ69" i="2"/>
  <c r="H8" i="7"/>
  <c r="Z69" i="2"/>
  <c r="AY69" i="2"/>
  <c r="G65" i="16"/>
  <c r="M65" i="16" s="1"/>
  <c r="O65" i="16" s="1"/>
  <c r="P65" i="16" s="1"/>
  <c r="G66" i="15"/>
  <c r="M66" i="15" s="1"/>
  <c r="O66" i="15" s="1"/>
  <c r="P66" i="15" s="1"/>
  <c r="G60" i="13"/>
  <c r="G60" i="12"/>
  <c r="M60" i="12" s="1"/>
  <c r="O60" i="12" s="1"/>
  <c r="P60" i="12" s="1"/>
  <c r="G35" i="11"/>
  <c r="R35" i="11" s="1"/>
  <c r="T35" i="11" s="1"/>
  <c r="U35" i="11" s="1"/>
  <c r="I60" i="10"/>
  <c r="O60" i="10" s="1"/>
  <c r="P60" i="10" s="1"/>
  <c r="H34" i="7"/>
  <c r="G57" i="9"/>
  <c r="N57" i="9" s="1"/>
  <c r="O57" i="9" s="1"/>
  <c r="P57" i="9" s="1"/>
  <c r="AZ127" i="2"/>
  <c r="AY127" i="2"/>
  <c r="I66" i="4"/>
  <c r="O66" i="4" s="1"/>
  <c r="Q66" i="4" s="1"/>
  <c r="R66" i="4" s="1"/>
  <c r="Z127" i="2"/>
  <c r="AV127" i="2"/>
  <c r="AW127" i="2" s="1"/>
  <c r="H87" i="16"/>
  <c r="H88" i="15"/>
  <c r="H75" i="9"/>
  <c r="J88" i="4"/>
  <c r="AK150" i="2"/>
  <c r="AJ150" i="2"/>
  <c r="AL150" i="2" s="1"/>
  <c r="AM150" i="2" s="1"/>
  <c r="O16" i="21"/>
  <c r="J16" i="21"/>
  <c r="I16" i="21"/>
  <c r="P16" i="21" s="1"/>
  <c r="Q16" i="21" s="1"/>
  <c r="R16" i="21" s="1"/>
  <c r="S16" i="21" s="1"/>
  <c r="L65" i="6"/>
  <c r="O65" i="6"/>
  <c r="K65" i="6"/>
  <c r="N65" i="6"/>
  <c r="M65" i="6"/>
  <c r="J65" i="6"/>
  <c r="L81" i="6"/>
  <c r="P81" i="6" s="1"/>
  <c r="Q81" i="6" s="1"/>
  <c r="R81" i="6" s="1"/>
  <c r="O81" i="6"/>
  <c r="K81" i="6"/>
  <c r="M81" i="6"/>
  <c r="J81" i="6"/>
  <c r="N81" i="6"/>
  <c r="N42" i="6"/>
  <c r="J42" i="6"/>
  <c r="M42" i="6"/>
  <c r="L42" i="6"/>
  <c r="P42" i="6" s="1"/>
  <c r="Q42" i="6" s="1"/>
  <c r="R42" i="6" s="1"/>
  <c r="K42" i="6"/>
  <c r="O42" i="6"/>
  <c r="P89" i="6"/>
  <c r="Q89" i="6" s="1"/>
  <c r="R89" i="6" s="1"/>
  <c r="N54" i="6"/>
  <c r="J54" i="6"/>
  <c r="M54" i="6"/>
  <c r="K54" i="6"/>
  <c r="P54" i="6" s="1"/>
  <c r="Q54" i="6" s="1"/>
  <c r="R54" i="6" s="1"/>
  <c r="O54" i="6"/>
  <c r="L54" i="6"/>
  <c r="X22" i="19"/>
  <c r="W22" i="19"/>
  <c r="Y22" i="19" s="1"/>
  <c r="Z22" i="19" s="1"/>
  <c r="X72" i="19"/>
  <c r="W72" i="19"/>
  <c r="AL176" i="2"/>
  <c r="AM176" i="2" s="1"/>
  <c r="AL60" i="2"/>
  <c r="AM60" i="2" s="1"/>
  <c r="AL141" i="2"/>
  <c r="AM141" i="2" s="1"/>
  <c r="K29" i="21"/>
  <c r="L29" i="21" s="1"/>
  <c r="M29" i="21" s="1"/>
  <c r="N29" i="21" s="1"/>
  <c r="AL63" i="2"/>
  <c r="AM63" i="2" s="1"/>
  <c r="M28" i="10"/>
  <c r="L28" i="10"/>
  <c r="K28" i="10"/>
  <c r="N28" i="10"/>
  <c r="O28" i="10"/>
  <c r="P28" i="10" s="1"/>
  <c r="J39" i="21"/>
  <c r="O39" i="21"/>
  <c r="I39" i="21"/>
  <c r="R77" i="7"/>
  <c r="S77" i="7"/>
  <c r="I21" i="8"/>
  <c r="H19" i="6"/>
  <c r="I31" i="8"/>
  <c r="H29" i="6"/>
  <c r="H43" i="6"/>
  <c r="I43" i="8"/>
  <c r="J63" i="21"/>
  <c r="K63" i="21" s="1"/>
  <c r="L63" i="21" s="1"/>
  <c r="M63" i="21" s="1"/>
  <c r="N63" i="21" s="1"/>
  <c r="I63" i="21"/>
  <c r="P63" i="21" s="1"/>
  <c r="Q63" i="21" s="1"/>
  <c r="R63" i="21" s="1"/>
  <c r="S63" i="21" s="1"/>
  <c r="O63" i="21"/>
  <c r="AJ16" i="2"/>
  <c r="AK16" i="2"/>
  <c r="AJ22" i="2"/>
  <c r="AL22" i="2" s="1"/>
  <c r="AM22" i="2" s="1"/>
  <c r="AK22" i="2"/>
  <c r="AY53" i="2"/>
  <c r="AL53" i="2"/>
  <c r="AM53" i="2" s="1"/>
  <c r="AZ53" i="2"/>
  <c r="AV53" i="2"/>
  <c r="AW53" i="2" s="1"/>
  <c r="M48" i="13"/>
  <c r="O48" i="13" s="1"/>
  <c r="P48" i="13" s="1"/>
  <c r="H83" i="16"/>
  <c r="H84" i="15"/>
  <c r="H48" i="11"/>
  <c r="H71" i="9"/>
  <c r="J84" i="4"/>
  <c r="AJ146" i="2"/>
  <c r="I41" i="7"/>
  <c r="AK146" i="2"/>
  <c r="H88" i="16"/>
  <c r="H89" i="15"/>
  <c r="H49" i="11"/>
  <c r="H73" i="13"/>
  <c r="M73" i="13" s="1"/>
  <c r="O73" i="13" s="1"/>
  <c r="P73" i="13" s="1"/>
  <c r="H73" i="12"/>
  <c r="J73" i="10"/>
  <c r="AK151" i="2"/>
  <c r="AJ151" i="2"/>
  <c r="I42" i="7"/>
  <c r="J89" i="4"/>
  <c r="H104" i="16"/>
  <c r="H105" i="15"/>
  <c r="H86" i="13"/>
  <c r="M86" i="13" s="1"/>
  <c r="O86" i="13" s="1"/>
  <c r="P86" i="13" s="1"/>
  <c r="H86" i="12"/>
  <c r="H57" i="11"/>
  <c r="J82" i="10"/>
  <c r="H86" i="9"/>
  <c r="J105" i="4"/>
  <c r="I45" i="7"/>
  <c r="AJ167" i="2"/>
  <c r="AK167" i="2"/>
  <c r="AJ173" i="2"/>
  <c r="AK173" i="2"/>
  <c r="P14" i="6"/>
  <c r="Q14" i="6" s="1"/>
  <c r="R14" i="6" s="1"/>
  <c r="I52" i="8"/>
  <c r="H52" i="6"/>
  <c r="O52" i="8"/>
  <c r="P52" i="8" s="1"/>
  <c r="Q52" i="8" s="1"/>
  <c r="R31" i="7"/>
  <c r="S31" i="7"/>
  <c r="P63" i="6"/>
  <c r="Q63" i="6" s="1"/>
  <c r="R63" i="6" s="1"/>
  <c r="J21" i="21"/>
  <c r="O21" i="21"/>
  <c r="I21" i="21"/>
  <c r="P21" i="21" s="1"/>
  <c r="Q21" i="21" s="1"/>
  <c r="R21" i="21" s="1"/>
  <c r="S21" i="21" s="1"/>
  <c r="P66" i="7"/>
  <c r="Q66" i="7" s="1"/>
  <c r="P79" i="7"/>
  <c r="Q79" i="7" s="1"/>
  <c r="P57" i="7"/>
  <c r="Q57" i="7" s="1"/>
  <c r="J90" i="21"/>
  <c r="I90" i="21"/>
  <c r="K90" i="21" s="1"/>
  <c r="L90" i="21" s="1"/>
  <c r="M90" i="21" s="1"/>
  <c r="N90" i="21" s="1"/>
  <c r="O90" i="21"/>
  <c r="I39" i="8"/>
  <c r="H39" i="6"/>
  <c r="I50" i="8"/>
  <c r="H50" i="6"/>
  <c r="J52" i="21"/>
  <c r="P52" i="21"/>
  <c r="Q52" i="21" s="1"/>
  <c r="R52" i="21" s="1"/>
  <c r="S52" i="21" s="1"/>
  <c r="K52" i="21"/>
  <c r="L52" i="21" s="1"/>
  <c r="M52" i="21" s="1"/>
  <c r="N52" i="21" s="1"/>
  <c r="O52" i="21"/>
  <c r="I52" i="21"/>
  <c r="J86" i="21"/>
  <c r="I86" i="21"/>
  <c r="O86" i="21"/>
  <c r="P86" i="21" s="1"/>
  <c r="Q86" i="21" s="1"/>
  <c r="R86" i="21" s="1"/>
  <c r="S86" i="21" s="1"/>
  <c r="P44" i="6"/>
  <c r="Q44" i="6" s="1"/>
  <c r="R44" i="6" s="1"/>
  <c r="I59" i="8"/>
  <c r="H59" i="6"/>
  <c r="J61" i="21"/>
  <c r="I61" i="21"/>
  <c r="O61" i="21"/>
  <c r="P75" i="6"/>
  <c r="Q75" i="6" s="1"/>
  <c r="R75" i="6" s="1"/>
  <c r="I11" i="8"/>
  <c r="H10" i="6"/>
  <c r="O12" i="21"/>
  <c r="J12" i="21"/>
  <c r="I12" i="21"/>
  <c r="J49" i="21"/>
  <c r="K49" i="21"/>
  <c r="L49" i="21" s="1"/>
  <c r="M49" i="21" s="1"/>
  <c r="N49" i="21" s="1"/>
  <c r="O49" i="21"/>
  <c r="I49" i="21"/>
  <c r="P49" i="21" s="1"/>
  <c r="Q49" i="21" s="1"/>
  <c r="R49" i="21" s="1"/>
  <c r="S49" i="21" s="1"/>
  <c r="O89" i="8"/>
  <c r="P89" i="8" s="1"/>
  <c r="Q89" i="8" s="1"/>
  <c r="X55" i="19"/>
  <c r="W55" i="19"/>
  <c r="Y55" i="19" s="1"/>
  <c r="Z55" i="19" s="1"/>
  <c r="AJ58" i="2"/>
  <c r="AK58" i="2"/>
  <c r="AJ20" i="2"/>
  <c r="AK20" i="2"/>
  <c r="P32" i="6"/>
  <c r="Q32" i="6" s="1"/>
  <c r="R32" i="6" s="1"/>
  <c r="J47" i="21"/>
  <c r="O47" i="21"/>
  <c r="I47" i="21"/>
  <c r="K47" i="21" s="1"/>
  <c r="L47" i="21" s="1"/>
  <c r="M47" i="21" s="1"/>
  <c r="N47" i="21" s="1"/>
  <c r="I60" i="8"/>
  <c r="H60" i="6"/>
  <c r="W3" i="19"/>
  <c r="X3" i="19"/>
  <c r="H47" i="16"/>
  <c r="H48" i="15"/>
  <c r="H42" i="13"/>
  <c r="H42" i="12"/>
  <c r="J42" i="10"/>
  <c r="H40" i="9"/>
  <c r="J48" i="4"/>
  <c r="I68" i="7"/>
  <c r="AJ108" i="2"/>
  <c r="AK108" i="2"/>
  <c r="M32" i="13"/>
  <c r="O32" i="13" s="1"/>
  <c r="P32" i="13" s="1"/>
  <c r="H92" i="16"/>
  <c r="H93" i="15"/>
  <c r="H76" i="13"/>
  <c r="H76" i="12"/>
  <c r="J76" i="10"/>
  <c r="I86" i="7"/>
  <c r="H78" i="9"/>
  <c r="J93" i="4"/>
  <c r="AJ155" i="2"/>
  <c r="AL155" i="2" s="1"/>
  <c r="AM155" i="2" s="1"/>
  <c r="AK155" i="2"/>
  <c r="J40" i="21"/>
  <c r="K40" i="21" s="1"/>
  <c r="L40" i="21" s="1"/>
  <c r="M40" i="21" s="1"/>
  <c r="N40" i="21" s="1"/>
  <c r="I40" i="21"/>
  <c r="O40" i="21"/>
  <c r="I70" i="21"/>
  <c r="O70" i="21"/>
  <c r="P70" i="21" s="1"/>
  <c r="Q70" i="21" s="1"/>
  <c r="R70" i="21" s="1"/>
  <c r="S70" i="21" s="1"/>
  <c r="J70" i="21"/>
  <c r="AL94" i="2"/>
  <c r="AM94" i="2" s="1"/>
  <c r="R83" i="7"/>
  <c r="S83" i="7"/>
  <c r="O11" i="21"/>
  <c r="J11" i="21"/>
  <c r="I11" i="21"/>
  <c r="K11" i="21" s="1"/>
  <c r="L11" i="21" s="1"/>
  <c r="M11" i="21" s="1"/>
  <c r="N11" i="21" s="1"/>
  <c r="I46" i="8"/>
  <c r="H46" i="6"/>
  <c r="J58" i="21"/>
  <c r="O58" i="21"/>
  <c r="I58" i="21"/>
  <c r="K58" i="21" s="1"/>
  <c r="L58" i="21" s="1"/>
  <c r="M58" i="21" s="1"/>
  <c r="N58" i="21" s="1"/>
  <c r="G5" i="16"/>
  <c r="M5" i="16" s="1"/>
  <c r="O5" i="16" s="1"/>
  <c r="P5" i="16" s="1"/>
  <c r="G5" i="15"/>
  <c r="M5" i="15" s="1"/>
  <c r="O5" i="15" s="1"/>
  <c r="P5" i="15" s="1"/>
  <c r="G5" i="13"/>
  <c r="G5" i="12"/>
  <c r="M5" i="12" s="1"/>
  <c r="O5" i="12" s="1"/>
  <c r="P5" i="12" s="1"/>
  <c r="I5" i="10"/>
  <c r="O5" i="10" s="1"/>
  <c r="P5" i="10" s="1"/>
  <c r="G4" i="9"/>
  <c r="N4" i="9" s="1"/>
  <c r="O4" i="9" s="1"/>
  <c r="P4" i="9" s="1"/>
  <c r="I4" i="4"/>
  <c r="O4" i="4" s="1"/>
  <c r="Q4" i="4" s="1"/>
  <c r="R4" i="4" s="1"/>
  <c r="H51" i="7"/>
  <c r="AZ28" i="2"/>
  <c r="AY28" i="2"/>
  <c r="Z28" i="2"/>
  <c r="AV28" i="2"/>
  <c r="AW28" i="2" s="1"/>
  <c r="AK59" i="2"/>
  <c r="AJ59" i="2"/>
  <c r="H95" i="16"/>
  <c r="H96" i="15"/>
  <c r="H78" i="13"/>
  <c r="M78" i="13" s="1"/>
  <c r="O78" i="13" s="1"/>
  <c r="P78" i="13" s="1"/>
  <c r="H78" i="12"/>
  <c r="J78" i="10"/>
  <c r="H80" i="9"/>
  <c r="I88" i="7"/>
  <c r="J96" i="4"/>
  <c r="AJ158" i="2"/>
  <c r="AK158" i="2"/>
  <c r="J23" i="21"/>
  <c r="O23" i="21"/>
  <c r="I23" i="21"/>
  <c r="AL180" i="2"/>
  <c r="AM180" i="2" s="1"/>
  <c r="O5" i="21"/>
  <c r="J5" i="21"/>
  <c r="I5" i="21"/>
  <c r="K5" i="21" s="1"/>
  <c r="L5" i="21" s="1"/>
  <c r="M5" i="21" s="1"/>
  <c r="N5" i="21" s="1"/>
  <c r="I24" i="8"/>
  <c r="H31" i="6"/>
  <c r="H88" i="6"/>
  <c r="M22" i="6"/>
  <c r="L22" i="6"/>
  <c r="J22" i="6"/>
  <c r="N22" i="6"/>
  <c r="O22" i="6"/>
  <c r="K22" i="6"/>
  <c r="P52" i="7"/>
  <c r="Q52" i="7" s="1"/>
  <c r="I75" i="21"/>
  <c r="P75" i="21"/>
  <c r="Q75" i="21" s="1"/>
  <c r="R75" i="21" s="1"/>
  <c r="S75" i="21" s="1"/>
  <c r="K75" i="21"/>
  <c r="L75" i="21" s="1"/>
  <c r="M75" i="21" s="1"/>
  <c r="N75" i="21" s="1"/>
  <c r="O75" i="21"/>
  <c r="J75" i="21"/>
  <c r="X36" i="19"/>
  <c r="W36" i="19"/>
  <c r="Y73" i="19"/>
  <c r="Z73" i="19" s="1"/>
  <c r="X71" i="19"/>
  <c r="W71" i="19"/>
  <c r="Y71" i="19" s="1"/>
  <c r="Z71" i="19" s="1"/>
  <c r="Y59" i="19"/>
  <c r="Z59" i="19" s="1"/>
  <c r="R12" i="7"/>
  <c r="S12" i="7"/>
  <c r="J26" i="21"/>
  <c r="I26" i="21"/>
  <c r="K26" i="21" s="1"/>
  <c r="L26" i="21" s="1"/>
  <c r="M26" i="21" s="1"/>
  <c r="N26" i="21" s="1"/>
  <c r="O26" i="21"/>
  <c r="I69" i="8"/>
  <c r="H69" i="6"/>
  <c r="R23" i="7"/>
  <c r="T23" i="7" s="1"/>
  <c r="V23" i="7" s="1"/>
  <c r="W23" i="7" s="1"/>
  <c r="S23" i="7"/>
  <c r="AL116" i="2"/>
  <c r="AM116" i="2" s="1"/>
  <c r="AL132" i="2"/>
  <c r="AM132" i="2" s="1"/>
  <c r="AL164" i="2"/>
  <c r="AM164" i="2" s="1"/>
  <c r="P53" i="7"/>
  <c r="Q53" i="7" s="1"/>
  <c r="J37" i="21"/>
  <c r="K37" i="21" s="1"/>
  <c r="L37" i="21" s="1"/>
  <c r="M37" i="21" s="1"/>
  <c r="N37" i="21" s="1"/>
  <c r="P37" i="21"/>
  <c r="Q37" i="21" s="1"/>
  <c r="R37" i="21" s="1"/>
  <c r="S37" i="21" s="1"/>
  <c r="O37" i="21"/>
  <c r="I37" i="21"/>
  <c r="AL32" i="2"/>
  <c r="AM32" i="2" s="1"/>
  <c r="G32" i="16"/>
  <c r="M32" i="16" s="1"/>
  <c r="O32" i="16" s="1"/>
  <c r="P32" i="16" s="1"/>
  <c r="G33" i="15"/>
  <c r="M33" i="15" s="1"/>
  <c r="O33" i="15" s="1"/>
  <c r="P33" i="15" s="1"/>
  <c r="G29" i="12"/>
  <c r="M29" i="12" s="1"/>
  <c r="O29" i="12" s="1"/>
  <c r="P29" i="12" s="1"/>
  <c r="G30" i="13"/>
  <c r="G18" i="11"/>
  <c r="R18" i="11" s="1"/>
  <c r="T18" i="11" s="1"/>
  <c r="U18" i="11" s="1"/>
  <c r="I29" i="10"/>
  <c r="O29" i="10" s="1"/>
  <c r="P29" i="10" s="1"/>
  <c r="H18" i="7"/>
  <c r="G26" i="9"/>
  <c r="N26" i="9" s="1"/>
  <c r="O26" i="9" s="1"/>
  <c r="P26" i="9" s="1"/>
  <c r="I33" i="4"/>
  <c r="O33" i="4" s="1"/>
  <c r="Q33" i="4" s="1"/>
  <c r="R33" i="4" s="1"/>
  <c r="AY89" i="2"/>
  <c r="AZ89" i="2"/>
  <c r="Z89" i="2"/>
  <c r="AV89" i="2"/>
  <c r="AW89" i="2" s="1"/>
  <c r="AK7" i="2"/>
  <c r="AJ7" i="2"/>
  <c r="AK15" i="2"/>
  <c r="AJ15" i="2"/>
  <c r="AK23" i="2"/>
  <c r="AJ23" i="2"/>
  <c r="AL23" i="2" s="1"/>
  <c r="AM23" i="2" s="1"/>
  <c r="H11" i="11"/>
  <c r="H18" i="9"/>
  <c r="AJ74" i="2"/>
  <c r="AL74" i="2" s="1"/>
  <c r="AM74" i="2" s="1"/>
  <c r="AK74" i="2"/>
  <c r="P56" i="7"/>
  <c r="Q56" i="7" s="1"/>
  <c r="J30" i="21"/>
  <c r="I30" i="21"/>
  <c r="P30" i="21" s="1"/>
  <c r="Q30" i="21" s="1"/>
  <c r="R30" i="21" s="1"/>
  <c r="S30" i="21" s="1"/>
  <c r="O30" i="21"/>
  <c r="J31" i="21"/>
  <c r="O31" i="21"/>
  <c r="I31" i="21"/>
  <c r="O24" i="21"/>
  <c r="J24" i="21"/>
  <c r="I24" i="21"/>
  <c r="K24" i="21" s="1"/>
  <c r="L24" i="21" s="1"/>
  <c r="M24" i="21" s="1"/>
  <c r="N24" i="21" s="1"/>
  <c r="K33" i="10"/>
  <c r="N33" i="10"/>
  <c r="L33" i="10"/>
  <c r="M33" i="10"/>
  <c r="I5" i="13"/>
  <c r="K5" i="13"/>
  <c r="J5" i="13"/>
  <c r="N5" i="13"/>
  <c r="L5" i="13"/>
  <c r="P68" i="7"/>
  <c r="Q68" i="7" s="1"/>
  <c r="N57" i="10"/>
  <c r="M57" i="10"/>
  <c r="K57" i="10"/>
  <c r="L58" i="13"/>
  <c r="N58" i="13"/>
  <c r="J58" i="13"/>
  <c r="I58" i="13"/>
  <c r="M58" i="13" s="1"/>
  <c r="O58" i="13" s="1"/>
  <c r="P58" i="13" s="1"/>
  <c r="K58" i="13"/>
  <c r="I79" i="8"/>
  <c r="H77" i="6"/>
  <c r="J80" i="21"/>
  <c r="I80" i="21"/>
  <c r="O80" i="21"/>
  <c r="K80" i="21"/>
  <c r="L80" i="21" s="1"/>
  <c r="M80" i="21" s="1"/>
  <c r="N80" i="21" s="1"/>
  <c r="P80" i="21"/>
  <c r="Q80" i="21" s="1"/>
  <c r="R80" i="21" s="1"/>
  <c r="S80" i="21" s="1"/>
  <c r="N84" i="6"/>
  <c r="J84" i="6"/>
  <c r="M84" i="6"/>
  <c r="K84" i="6"/>
  <c r="L84" i="6"/>
  <c r="O84" i="6"/>
  <c r="W27" i="19"/>
  <c r="Y27" i="19" s="1"/>
  <c r="Z27" i="19" s="1"/>
  <c r="X27" i="19"/>
  <c r="H9" i="16"/>
  <c r="H9" i="15"/>
  <c r="H8" i="13"/>
  <c r="M8" i="13" s="1"/>
  <c r="H8" i="12"/>
  <c r="J8" i="10"/>
  <c r="H7" i="9"/>
  <c r="I54" i="7"/>
  <c r="AK42" i="2"/>
  <c r="J8" i="4"/>
  <c r="AJ42" i="2"/>
  <c r="G10" i="12"/>
  <c r="M10" i="12" s="1"/>
  <c r="O10" i="12" s="1"/>
  <c r="P10" i="12" s="1"/>
  <c r="G10" i="13"/>
  <c r="G4" i="11"/>
  <c r="R4" i="11" s="1"/>
  <c r="T4" i="11" s="1"/>
  <c r="U4" i="11" s="1"/>
  <c r="I10" i="10"/>
  <c r="O10" i="10" s="1"/>
  <c r="P10" i="10" s="1"/>
  <c r="H4" i="7"/>
  <c r="AV44" i="2"/>
  <c r="AW44" i="2" s="1"/>
  <c r="AZ44" i="2"/>
  <c r="I10" i="4"/>
  <c r="O10" i="4" s="1"/>
  <c r="Q10" i="4" s="1"/>
  <c r="R10" i="4" s="1"/>
  <c r="Z44" i="2"/>
  <c r="AY44" i="2"/>
  <c r="I19" i="8"/>
  <c r="H17" i="6"/>
  <c r="O27" i="6"/>
  <c r="K27" i="6"/>
  <c r="N27" i="6"/>
  <c r="J27" i="6"/>
  <c r="M27" i="6"/>
  <c r="L27" i="6"/>
  <c r="J51" i="21"/>
  <c r="I51" i="21"/>
  <c r="K51" i="21" s="1"/>
  <c r="L51" i="21" s="1"/>
  <c r="M51" i="21" s="1"/>
  <c r="N51" i="21" s="1"/>
  <c r="O51" i="21"/>
  <c r="I75" i="8"/>
  <c r="H74" i="6"/>
  <c r="AK35" i="2"/>
  <c r="AJ35" i="2"/>
  <c r="AK5" i="2"/>
  <c r="AJ5" i="2"/>
  <c r="AJ13" i="2"/>
  <c r="AK13" i="2"/>
  <c r="AK21" i="2"/>
  <c r="AJ21" i="2"/>
  <c r="AL21" i="2" s="1"/>
  <c r="AM21" i="2" s="1"/>
  <c r="H6" i="15"/>
  <c r="H6" i="16"/>
  <c r="H6" i="13"/>
  <c r="H6" i="12"/>
  <c r="J6" i="10"/>
  <c r="H5" i="9"/>
  <c r="J5" i="4"/>
  <c r="I52" i="7"/>
  <c r="AK29" i="2"/>
  <c r="AJ29" i="2"/>
  <c r="AJ36" i="2"/>
  <c r="AK36" i="2"/>
  <c r="H14" i="16"/>
  <c r="H14" i="15"/>
  <c r="H13" i="12"/>
  <c r="H13" i="13"/>
  <c r="H11" i="9"/>
  <c r="J13" i="10"/>
  <c r="J13" i="4"/>
  <c r="I56" i="7"/>
  <c r="AK65" i="2"/>
  <c r="AJ65" i="2"/>
  <c r="H12" i="11"/>
  <c r="AJ75" i="2"/>
  <c r="AK75" i="2"/>
  <c r="H42" i="16"/>
  <c r="H37" i="13"/>
  <c r="M37" i="13" s="1"/>
  <c r="O37" i="13" s="1"/>
  <c r="P37" i="13" s="1"/>
  <c r="H37" i="12"/>
  <c r="H43" i="15"/>
  <c r="J37" i="10"/>
  <c r="H35" i="9"/>
  <c r="I65" i="7"/>
  <c r="AK103" i="2"/>
  <c r="AJ103" i="2"/>
  <c r="J43" i="4"/>
  <c r="I30" i="8"/>
  <c r="H28" i="6"/>
  <c r="P40" i="6"/>
  <c r="Q40" i="6" s="1"/>
  <c r="R40" i="6" s="1"/>
  <c r="J42" i="21"/>
  <c r="O42" i="21"/>
  <c r="I42" i="21"/>
  <c r="P42" i="21" s="1"/>
  <c r="Q42" i="21" s="1"/>
  <c r="R42" i="21" s="1"/>
  <c r="S42" i="21" s="1"/>
  <c r="K54" i="13"/>
  <c r="I54" i="13"/>
  <c r="J54" i="13"/>
  <c r="N54" i="13"/>
  <c r="L54" i="13"/>
  <c r="H57" i="16"/>
  <c r="H58" i="15"/>
  <c r="H52" i="13"/>
  <c r="H52" i="12"/>
  <c r="J52" i="10"/>
  <c r="H50" i="9"/>
  <c r="I74" i="7"/>
  <c r="AK118" i="2"/>
  <c r="J58" i="4"/>
  <c r="AJ118" i="2"/>
  <c r="N35" i="8"/>
  <c r="M35" i="8"/>
  <c r="J35" i="8"/>
  <c r="K35" i="8"/>
  <c r="P71" i="7"/>
  <c r="Q71" i="7" s="1"/>
  <c r="I52" i="13"/>
  <c r="K52" i="13"/>
  <c r="L52" i="13"/>
  <c r="N52" i="13"/>
  <c r="J52" i="13"/>
  <c r="I86" i="8"/>
  <c r="J87" i="21"/>
  <c r="I87" i="21"/>
  <c r="P87" i="21" s="1"/>
  <c r="Q87" i="21" s="1"/>
  <c r="R87" i="21" s="1"/>
  <c r="S87" i="21" s="1"/>
  <c r="O87" i="21"/>
  <c r="N44" i="8"/>
  <c r="M44" i="8"/>
  <c r="J44" i="8"/>
  <c r="K44" i="8"/>
  <c r="P77" i="7"/>
  <c r="Q77" i="7" s="1"/>
  <c r="N70" i="10"/>
  <c r="M70" i="10"/>
  <c r="L70" i="10"/>
  <c r="K70" i="10"/>
  <c r="K69" i="21"/>
  <c r="L69" i="21" s="1"/>
  <c r="M69" i="21" s="1"/>
  <c r="N69" i="21" s="1"/>
  <c r="H49" i="16"/>
  <c r="H44" i="13"/>
  <c r="M44" i="13" s="1"/>
  <c r="O44" i="13" s="1"/>
  <c r="P44" i="13" s="1"/>
  <c r="H50" i="15"/>
  <c r="H44" i="12"/>
  <c r="H28" i="11"/>
  <c r="J44" i="10"/>
  <c r="I27" i="7"/>
  <c r="H42" i="9"/>
  <c r="AJ110" i="2"/>
  <c r="J50" i="4"/>
  <c r="AK110" i="2"/>
  <c r="P37" i="6"/>
  <c r="Q37" i="6" s="1"/>
  <c r="R37" i="6" s="1"/>
  <c r="J22" i="21"/>
  <c r="O22" i="21"/>
  <c r="I22" i="21"/>
  <c r="P22" i="21" s="1"/>
  <c r="Q22" i="21" s="1"/>
  <c r="R22" i="21" s="1"/>
  <c r="S22" i="21" s="1"/>
  <c r="J45" i="21"/>
  <c r="P45" i="21"/>
  <c r="Q45" i="21" s="1"/>
  <c r="R45" i="21" s="1"/>
  <c r="S45" i="21" s="1"/>
  <c r="O45" i="21"/>
  <c r="I45" i="21"/>
  <c r="P61" i="6"/>
  <c r="Q61" i="6" s="1"/>
  <c r="R61" i="6" s="1"/>
  <c r="AJ8" i="2"/>
  <c r="AK8" i="2"/>
  <c r="H7" i="16"/>
  <c r="H7" i="15"/>
  <c r="H7" i="12"/>
  <c r="H7" i="13"/>
  <c r="I53" i="7"/>
  <c r="J7" i="10"/>
  <c r="H6" i="9"/>
  <c r="J6" i="4"/>
  <c r="H46" i="16"/>
  <c r="H47" i="15"/>
  <c r="H41" i="12"/>
  <c r="H41" i="13"/>
  <c r="M41" i="13" s="1"/>
  <c r="O41" i="13" s="1"/>
  <c r="P41" i="13" s="1"/>
  <c r="J41" i="10"/>
  <c r="H39" i="9"/>
  <c r="I67" i="7"/>
  <c r="J47" i="4"/>
  <c r="AJ107" i="2"/>
  <c r="AK107" i="2"/>
  <c r="R29" i="7"/>
  <c r="S29" i="7"/>
  <c r="J57" i="21"/>
  <c r="O57" i="21"/>
  <c r="I57" i="21"/>
  <c r="I73" i="21"/>
  <c r="K73" i="21" s="1"/>
  <c r="L73" i="21" s="1"/>
  <c r="M73" i="21" s="1"/>
  <c r="N73" i="21" s="1"/>
  <c r="O73" i="21"/>
  <c r="P73" i="21" s="1"/>
  <c r="Q73" i="21" s="1"/>
  <c r="R73" i="21" s="1"/>
  <c r="S73" i="21" s="1"/>
  <c r="J73" i="21"/>
  <c r="M55" i="13"/>
  <c r="O55" i="13" s="1"/>
  <c r="P55" i="13" s="1"/>
  <c r="J43" i="21"/>
  <c r="I43" i="21"/>
  <c r="P43" i="21" s="1"/>
  <c r="Q43" i="21" s="1"/>
  <c r="R43" i="21" s="1"/>
  <c r="S43" i="21" s="1"/>
  <c r="O43" i="21"/>
  <c r="I63" i="8"/>
  <c r="H63" i="6"/>
  <c r="H34" i="16"/>
  <c r="H30" i="12"/>
  <c r="H35" i="15"/>
  <c r="H14" i="11"/>
  <c r="J30" i="10"/>
  <c r="H28" i="9"/>
  <c r="I14" i="7"/>
  <c r="J22" i="4"/>
  <c r="AK91" i="2"/>
  <c r="J35" i="4"/>
  <c r="AJ91" i="2"/>
  <c r="P7" i="6"/>
  <c r="Q7" i="6" s="1"/>
  <c r="R7" i="6" s="1"/>
  <c r="O9" i="21"/>
  <c r="J9" i="21"/>
  <c r="I9" i="21"/>
  <c r="K9" i="21" s="1"/>
  <c r="L9" i="21" s="1"/>
  <c r="M9" i="21" s="1"/>
  <c r="N9" i="21" s="1"/>
  <c r="P9" i="21"/>
  <c r="Q9" i="21" s="1"/>
  <c r="R9" i="21" s="1"/>
  <c r="S9" i="21" s="1"/>
  <c r="P73" i="7"/>
  <c r="Q73" i="7" s="1"/>
  <c r="H82" i="16"/>
  <c r="H83" i="15"/>
  <c r="H47" i="11"/>
  <c r="AJ145" i="2"/>
  <c r="J83" i="4"/>
  <c r="AK145" i="2"/>
  <c r="AJ14" i="2"/>
  <c r="AK14" i="2"/>
  <c r="AJ24" i="2"/>
  <c r="AK24" i="2"/>
  <c r="J41" i="21"/>
  <c r="O41" i="21"/>
  <c r="I41" i="21"/>
  <c r="K41" i="21" s="1"/>
  <c r="L41" i="21" s="1"/>
  <c r="M41" i="21" s="1"/>
  <c r="N41" i="21" s="1"/>
  <c r="O70" i="8"/>
  <c r="P70" i="8" s="1"/>
  <c r="Q70" i="8" s="1"/>
  <c r="W7" i="19"/>
  <c r="X7" i="19"/>
  <c r="P62" i="6"/>
  <c r="Q62" i="6" s="1"/>
  <c r="R62" i="6" s="1"/>
  <c r="I64" i="21"/>
  <c r="O64" i="21"/>
  <c r="J64" i="21"/>
  <c r="K64" i="21"/>
  <c r="L64" i="21" s="1"/>
  <c r="M64" i="21" s="1"/>
  <c r="N64" i="21" s="1"/>
  <c r="P83" i="6"/>
  <c r="Q83" i="6" s="1"/>
  <c r="R83" i="6" s="1"/>
  <c r="J46" i="21"/>
  <c r="O46" i="21"/>
  <c r="I46" i="21"/>
  <c r="P46" i="21" s="1"/>
  <c r="Q46" i="21" s="1"/>
  <c r="R46" i="21" s="1"/>
  <c r="S46" i="21" s="1"/>
  <c r="O76" i="8"/>
  <c r="P76" i="8" s="1"/>
  <c r="Q76" i="8" s="1"/>
  <c r="O73" i="8"/>
  <c r="P73" i="8" s="1"/>
  <c r="Q73" i="8" s="1"/>
  <c r="AJ6" i="2"/>
  <c r="AK6" i="2"/>
  <c r="AJ12" i="2"/>
  <c r="AL12" i="2" s="1"/>
  <c r="AM12" i="2" s="1"/>
  <c r="AK12" i="2"/>
  <c r="AK37" i="2"/>
  <c r="AJ37" i="2"/>
  <c r="AL37" i="2" s="1"/>
  <c r="AM37" i="2" s="1"/>
  <c r="I7" i="8"/>
  <c r="H6" i="6"/>
  <c r="I33" i="8"/>
  <c r="H32" i="6"/>
  <c r="J35" i="21"/>
  <c r="I35" i="21"/>
  <c r="P35" i="21" s="1"/>
  <c r="Q35" i="21" s="1"/>
  <c r="R35" i="21" s="1"/>
  <c r="S35" i="21" s="1"/>
  <c r="O35" i="21"/>
  <c r="P45" i="6"/>
  <c r="Q45" i="6" s="1"/>
  <c r="R45" i="6" s="1"/>
  <c r="P66" i="6"/>
  <c r="Q66" i="6" s="1"/>
  <c r="R66" i="6" s="1"/>
  <c r="O51" i="8"/>
  <c r="P51" i="8" s="1"/>
  <c r="Q51" i="8" s="1"/>
  <c r="R35" i="7"/>
  <c r="T35" i="7" s="1"/>
  <c r="V35" i="7" s="1"/>
  <c r="W35" i="7" s="1"/>
  <c r="S35" i="7"/>
  <c r="I51" i="8"/>
  <c r="H51" i="6"/>
  <c r="J30" i="8"/>
  <c r="N30" i="8"/>
  <c r="K30" i="8"/>
  <c r="O30" i="8" s="1"/>
  <c r="P30" i="8" s="1"/>
  <c r="Q30" i="8" s="1"/>
  <c r="M30" i="8"/>
  <c r="L47" i="6"/>
  <c r="O47" i="6"/>
  <c r="K47" i="6"/>
  <c r="N47" i="6"/>
  <c r="J47" i="6"/>
  <c r="M47" i="6"/>
  <c r="J59" i="21"/>
  <c r="I59" i="21"/>
  <c r="K59" i="21" s="1"/>
  <c r="L59" i="21" s="1"/>
  <c r="M59" i="21" s="1"/>
  <c r="N59" i="21" s="1"/>
  <c r="O59" i="21"/>
  <c r="R61" i="7"/>
  <c r="S61" i="7"/>
  <c r="AK9" i="2"/>
  <c r="AJ9" i="2"/>
  <c r="AK17" i="2"/>
  <c r="AJ17" i="2"/>
  <c r="AL17" i="2" s="1"/>
  <c r="AM17" i="2" s="1"/>
  <c r="H21" i="16"/>
  <c r="H21" i="15"/>
  <c r="H19" i="13"/>
  <c r="M19" i="13" s="1"/>
  <c r="O19" i="13" s="1"/>
  <c r="P19" i="13" s="1"/>
  <c r="H19" i="12"/>
  <c r="H10" i="11"/>
  <c r="J19" i="10"/>
  <c r="H17" i="9"/>
  <c r="J20" i="4"/>
  <c r="AJ73" i="2"/>
  <c r="I10" i="7"/>
  <c r="AK73" i="2"/>
  <c r="H44" i="16"/>
  <c r="H45" i="15"/>
  <c r="H39" i="12"/>
  <c r="H39" i="13"/>
  <c r="M39" i="13" s="1"/>
  <c r="O39" i="13" s="1"/>
  <c r="P39" i="13" s="1"/>
  <c r="H26" i="11"/>
  <c r="J39" i="10"/>
  <c r="H37" i="9"/>
  <c r="J45" i="4"/>
  <c r="I25" i="7"/>
  <c r="AJ105" i="2"/>
  <c r="AK105" i="2"/>
  <c r="I54" i="8"/>
  <c r="H54" i="6"/>
  <c r="I97" i="8"/>
  <c r="H92" i="6"/>
  <c r="H102" i="16"/>
  <c r="H103" i="15"/>
  <c r="H84" i="13"/>
  <c r="M84" i="13" s="1"/>
  <c r="O84" i="13" s="1"/>
  <c r="P84" i="13" s="1"/>
  <c r="H84" i="12"/>
  <c r="H56" i="11"/>
  <c r="J80" i="10"/>
  <c r="I44" i="7"/>
  <c r="J103" i="4"/>
  <c r="AJ165" i="2"/>
  <c r="AK165" i="2"/>
  <c r="I64" i="8"/>
  <c r="H65" i="6"/>
  <c r="I66" i="21"/>
  <c r="O66" i="21"/>
  <c r="J66" i="21"/>
  <c r="K66" i="21"/>
  <c r="L66" i="21" s="1"/>
  <c r="M66" i="21" s="1"/>
  <c r="N66" i="21" s="1"/>
  <c r="H16" i="16"/>
  <c r="H16" i="15"/>
  <c r="H15" i="12"/>
  <c r="H15" i="13"/>
  <c r="M15" i="13" s="1"/>
  <c r="O15" i="13" s="1"/>
  <c r="P15" i="13" s="1"/>
  <c r="H7" i="11"/>
  <c r="J15" i="10"/>
  <c r="H13" i="9"/>
  <c r="I7" i="7"/>
  <c r="J15" i="4"/>
  <c r="AJ68" i="2"/>
  <c r="AK68" i="2"/>
  <c r="H71" i="16"/>
  <c r="H72" i="15"/>
  <c r="H38" i="11"/>
  <c r="H65" i="13"/>
  <c r="M65" i="13" s="1"/>
  <c r="O65" i="13" s="1"/>
  <c r="P65" i="13" s="1"/>
  <c r="H65" i="12"/>
  <c r="J65" i="10"/>
  <c r="I36" i="7"/>
  <c r="H63" i="9"/>
  <c r="J72" i="4"/>
  <c r="AK134" i="2"/>
  <c r="AJ134" i="2"/>
  <c r="AL134" i="2" s="1"/>
  <c r="AM134" i="2" s="1"/>
  <c r="H89" i="16"/>
  <c r="H74" i="13"/>
  <c r="M74" i="13" s="1"/>
  <c r="O74" i="13" s="1"/>
  <c r="P74" i="13" s="1"/>
  <c r="H90" i="15"/>
  <c r="H74" i="12"/>
  <c r="H50" i="11"/>
  <c r="J74" i="10"/>
  <c r="I43" i="7"/>
  <c r="H76" i="9"/>
  <c r="AJ152" i="2"/>
  <c r="AK152" i="2"/>
  <c r="J90" i="4"/>
  <c r="N42" i="8"/>
  <c r="M42" i="8"/>
  <c r="J42" i="8"/>
  <c r="K42" i="8"/>
  <c r="K77" i="13"/>
  <c r="I77" i="13"/>
  <c r="N77" i="13"/>
  <c r="J77" i="13"/>
  <c r="L77" i="13"/>
  <c r="M17" i="10"/>
  <c r="L17" i="10"/>
  <c r="N17" i="10"/>
  <c r="K17" i="10"/>
  <c r="L33" i="13"/>
  <c r="N33" i="13"/>
  <c r="J33" i="13"/>
  <c r="I33" i="13"/>
  <c r="K33" i="13"/>
  <c r="L35" i="6"/>
  <c r="O35" i="6"/>
  <c r="K35" i="6"/>
  <c r="N35" i="6"/>
  <c r="J35" i="6"/>
  <c r="M35" i="6"/>
  <c r="P35" i="6" s="1"/>
  <c r="Q35" i="6" s="1"/>
  <c r="R35" i="6" s="1"/>
  <c r="L59" i="6"/>
  <c r="O59" i="6"/>
  <c r="K59" i="6"/>
  <c r="N59" i="6"/>
  <c r="M59" i="6"/>
  <c r="J59" i="6"/>
  <c r="M54" i="8"/>
  <c r="K54" i="8"/>
  <c r="N54" i="8"/>
  <c r="J54" i="8"/>
  <c r="X24" i="19"/>
  <c r="W24" i="19"/>
  <c r="X74" i="19"/>
  <c r="W74" i="19"/>
  <c r="K38" i="21"/>
  <c r="L38" i="21" s="1"/>
  <c r="M38" i="21" s="1"/>
  <c r="N38" i="21" s="1"/>
  <c r="R55" i="7"/>
  <c r="S55" i="7"/>
  <c r="S17" i="7"/>
  <c r="R17" i="7"/>
  <c r="H40" i="16"/>
  <c r="H41" i="15"/>
  <c r="H35" i="12"/>
  <c r="H35" i="13"/>
  <c r="M35" i="13" s="1"/>
  <c r="O35" i="13" s="1"/>
  <c r="P35" i="13" s="1"/>
  <c r="H23" i="11"/>
  <c r="H33" i="9"/>
  <c r="J35" i="10"/>
  <c r="AK101" i="2"/>
  <c r="I22" i="7"/>
  <c r="AJ101" i="2"/>
  <c r="AL101" i="2" s="1"/>
  <c r="AM101" i="2" s="1"/>
  <c r="J41" i="4"/>
  <c r="I58" i="8"/>
  <c r="H58" i="6"/>
  <c r="I71" i="21"/>
  <c r="P71" i="21" s="1"/>
  <c r="Q71" i="21" s="1"/>
  <c r="R71" i="21" s="1"/>
  <c r="S71" i="21" s="1"/>
  <c r="J71" i="21"/>
  <c r="O71" i="21"/>
  <c r="AL102" i="2"/>
  <c r="AM102" i="2" s="1"/>
  <c r="AY56" i="2"/>
  <c r="AL56" i="2"/>
  <c r="AM56" i="2" s="1"/>
  <c r="AZ56" i="2"/>
  <c r="AV56" i="2"/>
  <c r="AW56" i="2" s="1"/>
  <c r="J19" i="21"/>
  <c r="O19" i="21"/>
  <c r="I19" i="21"/>
  <c r="I48" i="8"/>
  <c r="H48" i="6"/>
  <c r="G3" i="16"/>
  <c r="M3" i="16" s="1"/>
  <c r="O3" i="16" s="1"/>
  <c r="P3" i="16" s="1"/>
  <c r="G3" i="15"/>
  <c r="M3" i="15" s="1"/>
  <c r="O3" i="15" s="1"/>
  <c r="P3" i="15" s="1"/>
  <c r="G3" i="13"/>
  <c r="G3" i="12"/>
  <c r="M3" i="12" s="1"/>
  <c r="O3" i="12" s="1"/>
  <c r="P3" i="12" s="1"/>
  <c r="G2" i="9"/>
  <c r="N2" i="9" s="1"/>
  <c r="O2" i="9" s="1"/>
  <c r="P2" i="9" s="1"/>
  <c r="I3" i="10"/>
  <c r="O3" i="10" s="1"/>
  <c r="P3" i="10" s="1"/>
  <c r="AZ26" i="2"/>
  <c r="AY26" i="2"/>
  <c r="I2" i="4"/>
  <c r="O2" i="4" s="1"/>
  <c r="Q2" i="4" s="1"/>
  <c r="R2" i="4" s="1"/>
  <c r="Z26" i="2"/>
  <c r="H49" i="7"/>
  <c r="AV26" i="2"/>
  <c r="AW26" i="2" s="1"/>
  <c r="H18" i="16"/>
  <c r="H18" i="15"/>
  <c r="H17" i="13"/>
  <c r="M17" i="13" s="1"/>
  <c r="O17" i="13" s="1"/>
  <c r="P17" i="13" s="1"/>
  <c r="H17" i="12"/>
  <c r="J17" i="10"/>
  <c r="H15" i="9"/>
  <c r="J17" i="4"/>
  <c r="I57" i="7"/>
  <c r="AJ70" i="2"/>
  <c r="AK70" i="2"/>
  <c r="H86" i="16"/>
  <c r="H87" i="15"/>
  <c r="H72" i="13"/>
  <c r="M72" i="13" s="1"/>
  <c r="O72" i="13" s="1"/>
  <c r="P72" i="13" s="1"/>
  <c r="H72" i="12"/>
  <c r="J72" i="10"/>
  <c r="I84" i="7"/>
  <c r="H74" i="9"/>
  <c r="J87" i="4"/>
  <c r="AJ149" i="2"/>
  <c r="AK149" i="2"/>
  <c r="P4" i="6"/>
  <c r="Q4" i="6" s="1"/>
  <c r="R4" i="6" s="1"/>
  <c r="O6" i="21"/>
  <c r="J6" i="21"/>
  <c r="K6" i="21" s="1"/>
  <c r="L6" i="21" s="1"/>
  <c r="M6" i="21" s="1"/>
  <c r="N6" i="21" s="1"/>
  <c r="I6" i="21"/>
  <c r="P6" i="21" s="1"/>
  <c r="Q6" i="21" s="1"/>
  <c r="R6" i="21" s="1"/>
  <c r="S6" i="21" s="1"/>
  <c r="G96" i="16"/>
  <c r="M96" i="16" s="1"/>
  <c r="O96" i="16" s="1"/>
  <c r="P96" i="16" s="1"/>
  <c r="G79" i="13"/>
  <c r="G97" i="15"/>
  <c r="M97" i="15" s="1"/>
  <c r="O97" i="15" s="1"/>
  <c r="P97" i="15" s="1"/>
  <c r="G79" i="12"/>
  <c r="M79" i="12" s="1"/>
  <c r="O79" i="12" s="1"/>
  <c r="P79" i="12" s="1"/>
  <c r="I79" i="10"/>
  <c r="O79" i="10" s="1"/>
  <c r="P79" i="10" s="1"/>
  <c r="G81" i="9"/>
  <c r="N81" i="9" s="1"/>
  <c r="O81" i="9" s="1"/>
  <c r="P81" i="9" s="1"/>
  <c r="H89" i="7"/>
  <c r="I97" i="4"/>
  <c r="O97" i="4" s="1"/>
  <c r="Q97" i="4" s="1"/>
  <c r="R97" i="4" s="1"/>
  <c r="AZ159" i="2"/>
  <c r="AY159" i="2"/>
  <c r="Z159" i="2"/>
  <c r="AV159" i="2"/>
  <c r="AW159" i="2" s="1"/>
  <c r="N56" i="6"/>
  <c r="J56" i="6"/>
  <c r="M56" i="6"/>
  <c r="K56" i="6"/>
  <c r="O56" i="6"/>
  <c r="L56" i="6"/>
  <c r="I74" i="21"/>
  <c r="O74" i="21"/>
  <c r="J74" i="21"/>
  <c r="P74" i="21"/>
  <c r="Q74" i="21" s="1"/>
  <c r="R74" i="21" s="1"/>
  <c r="S74" i="21" s="1"/>
  <c r="H67" i="16"/>
  <c r="H68" i="15"/>
  <c r="H62" i="13"/>
  <c r="M62" i="13" s="1"/>
  <c r="O62" i="13" s="1"/>
  <c r="P62" i="13" s="1"/>
  <c r="H62" i="12"/>
  <c r="J62" i="10"/>
  <c r="H59" i="9"/>
  <c r="J68" i="4"/>
  <c r="I79" i="7"/>
  <c r="AK130" i="2"/>
  <c r="AJ130" i="2"/>
  <c r="AL130" i="2" s="1"/>
  <c r="AM130" i="2" s="1"/>
  <c r="I14" i="8"/>
  <c r="H12" i="6"/>
  <c r="H28" i="16"/>
  <c r="H28" i="15"/>
  <c r="H20" i="13"/>
  <c r="M20" i="13" s="1"/>
  <c r="O20" i="13" s="1"/>
  <c r="P20" i="13" s="1"/>
  <c r="H13" i="11"/>
  <c r="J20" i="10"/>
  <c r="I13" i="7"/>
  <c r="H22" i="9"/>
  <c r="AJ84" i="2"/>
  <c r="AL84" i="2" s="1"/>
  <c r="AM84" i="2" s="1"/>
  <c r="J29" i="4"/>
  <c r="AK84" i="2"/>
  <c r="N34" i="6"/>
  <c r="J34" i="6"/>
  <c r="M34" i="6"/>
  <c r="K34" i="6"/>
  <c r="O34" i="6"/>
  <c r="L34" i="6"/>
  <c r="X49" i="19"/>
  <c r="W49" i="19"/>
  <c r="Y75" i="19"/>
  <c r="Z75" i="19" s="1"/>
  <c r="P33" i="6"/>
  <c r="Q33" i="6" s="1"/>
  <c r="R33" i="6" s="1"/>
  <c r="H15" i="16"/>
  <c r="H15" i="15"/>
  <c r="H14" i="13"/>
  <c r="M14" i="13" s="1"/>
  <c r="O14" i="13" s="1"/>
  <c r="P14" i="13" s="1"/>
  <c r="H14" i="12"/>
  <c r="H6" i="11"/>
  <c r="H12" i="9"/>
  <c r="J14" i="10"/>
  <c r="I6" i="7"/>
  <c r="J14" i="4"/>
  <c r="AK67" i="2"/>
  <c r="AJ67" i="2"/>
  <c r="AL142" i="2"/>
  <c r="AM142" i="2" s="1"/>
  <c r="H39" i="16"/>
  <c r="H40" i="15"/>
  <c r="H34" i="12"/>
  <c r="H34" i="13"/>
  <c r="M34" i="13" s="1"/>
  <c r="O34" i="13" s="1"/>
  <c r="P34" i="13" s="1"/>
  <c r="H22" i="11"/>
  <c r="H32" i="9"/>
  <c r="J40" i="4"/>
  <c r="J34" i="10"/>
  <c r="AK100" i="2"/>
  <c r="I21" i="7"/>
  <c r="AJ100" i="2"/>
  <c r="J20" i="21"/>
  <c r="O20" i="21"/>
  <c r="I20" i="21"/>
  <c r="AJ10" i="2"/>
  <c r="AK10" i="2"/>
  <c r="H19" i="16"/>
  <c r="H19" i="15"/>
  <c r="AJ71" i="2"/>
  <c r="AK71" i="2"/>
  <c r="J18" i="4"/>
  <c r="G48" i="16"/>
  <c r="M48" i="16" s="1"/>
  <c r="O48" i="16" s="1"/>
  <c r="P48" i="16" s="1"/>
  <c r="G49" i="15"/>
  <c r="M49" i="15" s="1"/>
  <c r="O49" i="15" s="1"/>
  <c r="P49" i="15" s="1"/>
  <c r="G43" i="13"/>
  <c r="G27" i="11"/>
  <c r="R27" i="11" s="1"/>
  <c r="T27" i="11" s="1"/>
  <c r="U27" i="11" s="1"/>
  <c r="G43" i="12"/>
  <c r="M43" i="12" s="1"/>
  <c r="O43" i="12" s="1"/>
  <c r="P43" i="12" s="1"/>
  <c r="I43" i="10"/>
  <c r="O43" i="10" s="1"/>
  <c r="P43" i="10" s="1"/>
  <c r="H26" i="7"/>
  <c r="G41" i="9"/>
  <c r="N41" i="9" s="1"/>
  <c r="O41" i="9" s="1"/>
  <c r="P41" i="9" s="1"/>
  <c r="I49" i="4"/>
  <c r="O49" i="4" s="1"/>
  <c r="Q49" i="4" s="1"/>
  <c r="R49" i="4" s="1"/>
  <c r="AZ109" i="2"/>
  <c r="AY109" i="2"/>
  <c r="Z109" i="2"/>
  <c r="AV109" i="2"/>
  <c r="AW109" i="2" s="1"/>
  <c r="J32" i="21"/>
  <c r="O32" i="21"/>
  <c r="P32" i="21" s="1"/>
  <c r="Q32" i="21" s="1"/>
  <c r="R32" i="21" s="1"/>
  <c r="S32" i="21" s="1"/>
  <c r="I32" i="21"/>
  <c r="H59" i="16"/>
  <c r="H60" i="15"/>
  <c r="H54" i="12"/>
  <c r="H54" i="13"/>
  <c r="J54" i="10"/>
  <c r="J60" i="4"/>
  <c r="AJ120" i="2"/>
  <c r="I75" i="7"/>
  <c r="AK120" i="2"/>
  <c r="H66" i="16"/>
  <c r="H67" i="15"/>
  <c r="H61" i="13"/>
  <c r="M61" i="13" s="1"/>
  <c r="O61" i="13" s="1"/>
  <c r="P61" i="13" s="1"/>
  <c r="H61" i="12"/>
  <c r="J61" i="10"/>
  <c r="I78" i="7"/>
  <c r="H58" i="9"/>
  <c r="AJ128" i="2"/>
  <c r="AL128" i="2" s="1"/>
  <c r="AM128" i="2" s="1"/>
  <c r="AK128" i="2"/>
  <c r="J67" i="4"/>
  <c r="H24" i="16"/>
  <c r="H24" i="15"/>
  <c r="H21" i="13"/>
  <c r="M21" i="13" s="1"/>
  <c r="O21" i="13" s="1"/>
  <c r="P21" i="13" s="1"/>
  <c r="H23" i="12"/>
  <c r="H24" i="13"/>
  <c r="M24" i="13" s="1"/>
  <c r="O24" i="13" s="1"/>
  <c r="P24" i="13" s="1"/>
  <c r="J23" i="10"/>
  <c r="I59" i="7"/>
  <c r="AK80" i="2"/>
  <c r="J25" i="4"/>
  <c r="AJ80" i="2"/>
  <c r="I15" i="8"/>
  <c r="H13" i="6"/>
  <c r="O78" i="8"/>
  <c r="P78" i="8" s="1"/>
  <c r="Q78" i="8" s="1"/>
  <c r="AK98" i="2"/>
  <c r="AJ98" i="2"/>
  <c r="AL98" i="2" s="1"/>
  <c r="AM98" i="2" s="1"/>
  <c r="P51" i="7"/>
  <c r="Q51" i="7" s="1"/>
  <c r="Y48" i="19"/>
  <c r="Z48" i="19" s="1"/>
  <c r="AL86" i="2"/>
  <c r="AM86" i="2" s="1"/>
  <c r="H12" i="16"/>
  <c r="H12" i="15"/>
  <c r="H9" i="9"/>
  <c r="H54" i="16"/>
  <c r="H55" i="15"/>
  <c r="H49" i="13"/>
  <c r="H49" i="12"/>
  <c r="J49" i="10"/>
  <c r="H47" i="9"/>
  <c r="J55" i="4"/>
  <c r="AJ115" i="2"/>
  <c r="I71" i="7"/>
  <c r="AK115" i="2"/>
  <c r="I3" i="8"/>
  <c r="H2" i="6"/>
  <c r="O4" i="21"/>
  <c r="P4" i="21" s="1"/>
  <c r="Q4" i="21" s="1"/>
  <c r="R4" i="21" s="1"/>
  <c r="S4" i="21" s="1"/>
  <c r="J4" i="21"/>
  <c r="K4" i="21" s="1"/>
  <c r="L4" i="21" s="1"/>
  <c r="M4" i="21" s="1"/>
  <c r="N4" i="21" s="1"/>
  <c r="I4" i="21"/>
  <c r="I37" i="8"/>
  <c r="H37" i="6"/>
  <c r="S2" i="7"/>
  <c r="R2" i="7"/>
  <c r="T2" i="7" s="1"/>
  <c r="V2" i="7" s="1"/>
  <c r="W2" i="7" s="1"/>
  <c r="AL140" i="2"/>
  <c r="AM140" i="2" s="1"/>
  <c r="I9" i="8"/>
  <c r="H8" i="6"/>
  <c r="O10" i="21"/>
  <c r="J10" i="21"/>
  <c r="I10" i="21"/>
  <c r="L87" i="6"/>
  <c r="O87" i="6"/>
  <c r="K87" i="6"/>
  <c r="N87" i="6"/>
  <c r="M87" i="6"/>
  <c r="J87" i="6"/>
  <c r="J33" i="21"/>
  <c r="O33" i="21"/>
  <c r="I33" i="21"/>
  <c r="P33" i="21"/>
  <c r="Q33" i="21" s="1"/>
  <c r="R33" i="21" s="1"/>
  <c r="S33" i="21" s="1"/>
  <c r="H20" i="12"/>
  <c r="AJ76" i="2"/>
  <c r="J21" i="4"/>
  <c r="AK76" i="2"/>
  <c r="I16" i="8"/>
  <c r="H14" i="6"/>
  <c r="J54" i="21"/>
  <c r="K54" i="21" s="1"/>
  <c r="L54" i="21" s="1"/>
  <c r="M54" i="21" s="1"/>
  <c r="N54" i="21" s="1"/>
  <c r="O54" i="21"/>
  <c r="I54" i="21"/>
  <c r="P54" i="21" s="1"/>
  <c r="Q54" i="21" s="1"/>
  <c r="R54" i="21" s="1"/>
  <c r="S54" i="21" s="1"/>
  <c r="P71" i="6"/>
  <c r="Q71" i="6" s="1"/>
  <c r="R71" i="6" s="1"/>
  <c r="I81" i="8"/>
  <c r="H79" i="6"/>
  <c r="AL129" i="2"/>
  <c r="AM129" i="2" s="1"/>
  <c r="AJ179" i="2"/>
  <c r="AK179" i="2"/>
  <c r="I26" i="8"/>
  <c r="H23" i="6"/>
  <c r="J28" i="21"/>
  <c r="K28" i="21" s="1"/>
  <c r="L28" i="21" s="1"/>
  <c r="M28" i="21" s="1"/>
  <c r="N28" i="21" s="1"/>
  <c r="O28" i="21"/>
  <c r="I28" i="21"/>
  <c r="P28" i="21" s="1"/>
  <c r="Q28" i="21" s="1"/>
  <c r="R28" i="21" s="1"/>
  <c r="S28" i="21" s="1"/>
  <c r="I8" i="8"/>
  <c r="H7" i="6"/>
  <c r="I20" i="8"/>
  <c r="H18" i="6"/>
  <c r="P87" i="7"/>
  <c r="Q87" i="7" s="1"/>
  <c r="AK99" i="2"/>
  <c r="AJ99" i="2"/>
  <c r="L51" i="6"/>
  <c r="O51" i="6"/>
  <c r="K51" i="6"/>
  <c r="J51" i="6"/>
  <c r="N51" i="6"/>
  <c r="M51" i="6"/>
  <c r="I83" i="8"/>
  <c r="H81" i="6"/>
  <c r="I17" i="8"/>
  <c r="H15" i="6"/>
  <c r="J18" i="21"/>
  <c r="O18" i="21"/>
  <c r="I18" i="21"/>
  <c r="K18" i="21" s="1"/>
  <c r="L18" i="21" s="1"/>
  <c r="M18" i="21" s="1"/>
  <c r="N18" i="21" s="1"/>
  <c r="P39" i="6"/>
  <c r="Q39" i="6" s="1"/>
  <c r="R39" i="6" s="1"/>
  <c r="P70" i="6"/>
  <c r="Q70" i="6" s="1"/>
  <c r="R70" i="6" s="1"/>
  <c r="I85" i="8"/>
  <c r="H83" i="6"/>
  <c r="I44" i="8"/>
  <c r="H44" i="6"/>
  <c r="O59" i="8"/>
  <c r="P59" i="8" s="1"/>
  <c r="Q59" i="8" s="1"/>
  <c r="I76" i="8"/>
  <c r="H75" i="6"/>
  <c r="H72" i="16"/>
  <c r="H73" i="15"/>
  <c r="H39" i="11"/>
  <c r="H64" i="9"/>
  <c r="J73" i="4"/>
  <c r="AJ135" i="2"/>
  <c r="AK135" i="2"/>
  <c r="O92" i="8"/>
  <c r="P92" i="8" s="1"/>
  <c r="Q92" i="8" s="1"/>
  <c r="I25" i="8"/>
  <c r="H22" i="6"/>
  <c r="J27" i="21"/>
  <c r="O27" i="21"/>
  <c r="I27" i="21"/>
  <c r="P27" i="21" s="1"/>
  <c r="Q27" i="21" s="1"/>
  <c r="R27" i="21" s="1"/>
  <c r="S27" i="21" s="1"/>
  <c r="W14" i="19"/>
  <c r="X14" i="19"/>
  <c r="O8" i="21"/>
  <c r="J8" i="21"/>
  <c r="K8" i="21" s="1"/>
  <c r="L8" i="21" s="1"/>
  <c r="M8" i="21" s="1"/>
  <c r="N8" i="21" s="1"/>
  <c r="I8" i="21"/>
  <c r="P8" i="21"/>
  <c r="Q8" i="21" s="1"/>
  <c r="R8" i="21" s="1"/>
  <c r="S8" i="21" s="1"/>
  <c r="I66" i="8"/>
  <c r="H66" i="6"/>
  <c r="I68" i="21"/>
  <c r="O68" i="21"/>
  <c r="P68" i="21" s="1"/>
  <c r="Q68" i="21" s="1"/>
  <c r="R68" i="21" s="1"/>
  <c r="S68" i="21" s="1"/>
  <c r="J68" i="21"/>
  <c r="X23" i="19"/>
  <c r="W23" i="19"/>
  <c r="H76" i="16"/>
  <c r="H77" i="15"/>
  <c r="H69" i="13"/>
  <c r="M69" i="13" s="1"/>
  <c r="O69" i="13" s="1"/>
  <c r="P69" i="13" s="1"/>
  <c r="H69" i="12"/>
  <c r="H42" i="11"/>
  <c r="J69" i="10"/>
  <c r="I39" i="7"/>
  <c r="H68" i="9"/>
  <c r="J77" i="4"/>
  <c r="AJ139" i="2"/>
  <c r="AK139" i="2"/>
  <c r="I68" i="8"/>
  <c r="H68" i="6"/>
  <c r="G93" i="16"/>
  <c r="M93" i="16" s="1"/>
  <c r="O93" i="16" s="1"/>
  <c r="P93" i="16" s="1"/>
  <c r="G94" i="15"/>
  <c r="M94" i="15" s="1"/>
  <c r="O94" i="15" s="1"/>
  <c r="P94" i="15" s="1"/>
  <c r="G77" i="13"/>
  <c r="G77" i="12"/>
  <c r="M77" i="12" s="1"/>
  <c r="O77" i="12" s="1"/>
  <c r="P77" i="12" s="1"/>
  <c r="I77" i="10"/>
  <c r="G79" i="9"/>
  <c r="N79" i="9" s="1"/>
  <c r="O79" i="9" s="1"/>
  <c r="P79" i="9" s="1"/>
  <c r="H87" i="7"/>
  <c r="AY156" i="2"/>
  <c r="I94" i="4"/>
  <c r="O94" i="4" s="1"/>
  <c r="Q94" i="4" s="1"/>
  <c r="R94" i="4" s="1"/>
  <c r="AZ156" i="2"/>
  <c r="Z156" i="2"/>
  <c r="AV156" i="2"/>
  <c r="AW156" i="2" s="1"/>
  <c r="J48" i="21"/>
  <c r="I48" i="21"/>
  <c r="P48" i="21" s="1"/>
  <c r="Q48" i="21" s="1"/>
  <c r="R48" i="21" s="1"/>
  <c r="S48" i="21" s="1"/>
  <c r="O48" i="21"/>
  <c r="O56" i="8"/>
  <c r="P56" i="8" s="1"/>
  <c r="Q56" i="8" s="1"/>
  <c r="I65" i="8"/>
  <c r="H64" i="6"/>
  <c r="H36" i="16"/>
  <c r="H37" i="15"/>
  <c r="H20" i="11"/>
  <c r="I46" i="7"/>
  <c r="J37" i="4"/>
  <c r="AK95" i="2"/>
  <c r="AJ95" i="2"/>
  <c r="H2" i="16"/>
  <c r="H2" i="15"/>
  <c r="H2" i="13"/>
  <c r="M2" i="13" s="1"/>
  <c r="O2" i="13" s="1"/>
  <c r="P2" i="13" s="1"/>
  <c r="H2" i="12"/>
  <c r="J2" i="10"/>
  <c r="AK25" i="2"/>
  <c r="AJ25" i="2"/>
  <c r="I48" i="7"/>
  <c r="AJ77" i="2"/>
  <c r="AL77" i="2" s="1"/>
  <c r="AM77" i="2" s="1"/>
  <c r="AK77" i="2"/>
  <c r="H84" i="16"/>
  <c r="H85" i="15"/>
  <c r="H70" i="13"/>
  <c r="H70" i="12"/>
  <c r="J70" i="10"/>
  <c r="H72" i="9"/>
  <c r="I82" i="7"/>
  <c r="AK147" i="2"/>
  <c r="J85" i="4"/>
  <c r="AJ147" i="2"/>
  <c r="AL147" i="2" s="1"/>
  <c r="AM147" i="2" s="1"/>
  <c r="I88" i="8"/>
  <c r="J89" i="21"/>
  <c r="I89" i="21"/>
  <c r="K89" i="21" s="1"/>
  <c r="L89" i="21" s="1"/>
  <c r="M89" i="21" s="1"/>
  <c r="N89" i="21" s="1"/>
  <c r="O89" i="21"/>
  <c r="I4" i="8"/>
  <c r="H3" i="6"/>
  <c r="P65" i="6"/>
  <c r="Q65" i="6" s="1"/>
  <c r="R65" i="6" s="1"/>
  <c r="H38" i="16"/>
  <c r="H33" i="13"/>
  <c r="H33" i="12"/>
  <c r="H39" i="15"/>
  <c r="H21" i="11"/>
  <c r="J33" i="10"/>
  <c r="H31" i="9"/>
  <c r="J39" i="4"/>
  <c r="AK97" i="2"/>
  <c r="AJ97" i="2"/>
  <c r="I20" i="7"/>
  <c r="P85" i="7"/>
  <c r="Q85" i="7" s="1"/>
  <c r="P82" i="7"/>
  <c r="Q82" i="7" s="1"/>
  <c r="O93" i="8"/>
  <c r="P93" i="8" s="1"/>
  <c r="Q93" i="8" s="1"/>
  <c r="Y42" i="19"/>
  <c r="Z42" i="19" s="1"/>
  <c r="Y15" i="19"/>
  <c r="Z15" i="19" s="1"/>
  <c r="W56" i="19"/>
  <c r="X56" i="19"/>
  <c r="Y65" i="19"/>
  <c r="Z65" i="19" s="1"/>
  <c r="Y5" i="19"/>
  <c r="Z5" i="19" s="1"/>
  <c r="AL66" i="2"/>
  <c r="AM66" i="2" s="1"/>
  <c r="AL163" i="2"/>
  <c r="AM163" i="2" s="1"/>
  <c r="AY50" i="2"/>
  <c r="AL50" i="2"/>
  <c r="AM50" i="2" s="1"/>
  <c r="AZ50" i="2"/>
  <c r="AV50" i="2"/>
  <c r="AW50" i="2" s="1"/>
  <c r="AL88" i="2"/>
  <c r="AM88" i="2" s="1"/>
  <c r="I82" i="8"/>
  <c r="H80" i="6"/>
  <c r="J83" i="21"/>
  <c r="I83" i="21"/>
  <c r="K83" i="21"/>
  <c r="L83" i="21" s="1"/>
  <c r="M83" i="21" s="1"/>
  <c r="N83" i="21" s="1"/>
  <c r="O83" i="21"/>
  <c r="P83" i="21" s="1"/>
  <c r="Q83" i="21" s="1"/>
  <c r="R83" i="21" s="1"/>
  <c r="S83" i="21" s="1"/>
  <c r="AL174" i="2"/>
  <c r="AM174" i="2" s="1"/>
  <c r="P60" i="21"/>
  <c r="Q60" i="21" s="1"/>
  <c r="R60" i="21" s="1"/>
  <c r="S60" i="21" s="1"/>
  <c r="J60" i="21"/>
  <c r="K60" i="21" s="1"/>
  <c r="L60" i="21" s="1"/>
  <c r="M60" i="21" s="1"/>
  <c r="N60" i="21" s="1"/>
  <c r="O60" i="21"/>
  <c r="I60" i="21"/>
  <c r="N80" i="6"/>
  <c r="J80" i="6"/>
  <c r="M80" i="6"/>
  <c r="O80" i="6"/>
  <c r="K80" i="6"/>
  <c r="L80" i="6"/>
  <c r="R72" i="7"/>
  <c r="S72" i="7"/>
  <c r="I35" i="8"/>
  <c r="H35" i="6"/>
  <c r="O35" i="8"/>
  <c r="P35" i="8" s="1"/>
  <c r="Q35" i="8" s="1"/>
  <c r="AJ4" i="2"/>
  <c r="AK4" i="2"/>
  <c r="H11" i="12"/>
  <c r="H11" i="13"/>
  <c r="M11" i="13" s="1"/>
  <c r="O11" i="13" s="1"/>
  <c r="P11" i="13" s="1"/>
  <c r="H5" i="11"/>
  <c r="J11" i="10"/>
  <c r="AK45" i="2"/>
  <c r="J11" i="4"/>
  <c r="AJ45" i="2"/>
  <c r="I5" i="7"/>
  <c r="H27" i="16"/>
  <c r="H25" i="12"/>
  <c r="H27" i="15"/>
  <c r="H26" i="13"/>
  <c r="M26" i="13" s="1"/>
  <c r="O26" i="13" s="1"/>
  <c r="P26" i="13" s="1"/>
  <c r="J25" i="10"/>
  <c r="H21" i="9"/>
  <c r="I62" i="7"/>
  <c r="J28" i="4"/>
  <c r="AK83" i="2"/>
  <c r="AJ83" i="2"/>
  <c r="AL83" i="2" s="1"/>
  <c r="AM83" i="2" s="1"/>
  <c r="G50" i="16"/>
  <c r="M50" i="16" s="1"/>
  <c r="O50" i="16" s="1"/>
  <c r="P50" i="16" s="1"/>
  <c r="G51" i="15"/>
  <c r="M51" i="15" s="1"/>
  <c r="O51" i="15" s="1"/>
  <c r="P51" i="15" s="1"/>
  <c r="G45" i="13"/>
  <c r="G45" i="12"/>
  <c r="M45" i="12" s="1"/>
  <c r="O45" i="12" s="1"/>
  <c r="P45" i="12" s="1"/>
  <c r="G43" i="9"/>
  <c r="N43" i="9" s="1"/>
  <c r="O43" i="9" s="1"/>
  <c r="P43" i="9" s="1"/>
  <c r="I45" i="10"/>
  <c r="O45" i="10" s="1"/>
  <c r="P45" i="10" s="1"/>
  <c r="H69" i="7"/>
  <c r="I51" i="4"/>
  <c r="O51" i="4" s="1"/>
  <c r="Q51" i="4" s="1"/>
  <c r="R51" i="4" s="1"/>
  <c r="AZ111" i="2"/>
  <c r="AY111" i="2"/>
  <c r="Z111" i="2"/>
  <c r="AV111" i="2"/>
  <c r="AW111" i="2" s="1"/>
  <c r="H99" i="16"/>
  <c r="H100" i="15"/>
  <c r="H53" i="11"/>
  <c r="H81" i="13"/>
  <c r="M81" i="13" s="1"/>
  <c r="O81" i="13" s="1"/>
  <c r="P81" i="13" s="1"/>
  <c r="H81" i="12"/>
  <c r="H83" i="9"/>
  <c r="J100" i="4"/>
  <c r="AJ162" i="2"/>
  <c r="AK162" i="2"/>
  <c r="I28" i="8"/>
  <c r="H26" i="6"/>
  <c r="P78" i="6"/>
  <c r="Q78" i="6" s="1"/>
  <c r="R78" i="6" s="1"/>
  <c r="I29" i="8"/>
  <c r="H27" i="6"/>
  <c r="H87" i="6"/>
  <c r="I23" i="8"/>
  <c r="H25" i="6"/>
  <c r="H103" i="16"/>
  <c r="H104" i="15"/>
  <c r="H85" i="12"/>
  <c r="H85" i="13"/>
  <c r="M85" i="13" s="1"/>
  <c r="O85" i="13" s="1"/>
  <c r="P85" i="13" s="1"/>
  <c r="J81" i="10"/>
  <c r="I90" i="7"/>
  <c r="H85" i="9"/>
  <c r="J104" i="4"/>
  <c r="AK166" i="2"/>
  <c r="AJ166" i="2"/>
  <c r="AL166" i="2" s="1"/>
  <c r="AM166" i="2" s="1"/>
  <c r="O15" i="21"/>
  <c r="J15" i="21"/>
  <c r="I15" i="21"/>
  <c r="P15" i="21" s="1"/>
  <c r="Q15" i="21" s="1"/>
  <c r="R15" i="21" s="1"/>
  <c r="S15" i="21" s="1"/>
  <c r="K62" i="10"/>
  <c r="N62" i="10"/>
  <c r="L62" i="10"/>
  <c r="M62" i="10"/>
  <c r="N18" i="8"/>
  <c r="M18" i="8"/>
  <c r="J18" i="8"/>
  <c r="K18" i="8"/>
  <c r="N75" i="8"/>
  <c r="M75" i="8"/>
  <c r="J75" i="8"/>
  <c r="K75" i="8"/>
  <c r="K29" i="13"/>
  <c r="I29" i="13"/>
  <c r="M29" i="13" s="1"/>
  <c r="O29" i="13" s="1"/>
  <c r="P29" i="13" s="1"/>
  <c r="J29" i="13"/>
  <c r="N29" i="13"/>
  <c r="L29" i="13"/>
  <c r="AJ2" i="2"/>
  <c r="AK2" i="2"/>
  <c r="R60" i="7"/>
  <c r="S60" i="7"/>
  <c r="G58" i="16"/>
  <c r="M58" i="16" s="1"/>
  <c r="O58" i="16" s="1"/>
  <c r="P58" i="16" s="1"/>
  <c r="G59" i="15"/>
  <c r="M59" i="15" s="1"/>
  <c r="O59" i="15" s="1"/>
  <c r="P59" i="15" s="1"/>
  <c r="G53" i="13"/>
  <c r="G53" i="12"/>
  <c r="M53" i="12" s="1"/>
  <c r="O53" i="12" s="1"/>
  <c r="P53" i="12" s="1"/>
  <c r="G31" i="11"/>
  <c r="R31" i="11" s="1"/>
  <c r="T31" i="11" s="1"/>
  <c r="U31" i="11" s="1"/>
  <c r="I53" i="10"/>
  <c r="O53" i="10" s="1"/>
  <c r="P53" i="10" s="1"/>
  <c r="G51" i="9"/>
  <c r="N51" i="9" s="1"/>
  <c r="O51" i="9" s="1"/>
  <c r="P51" i="9" s="1"/>
  <c r="H30" i="7"/>
  <c r="I59" i="4"/>
  <c r="O59" i="4" s="1"/>
  <c r="Q59" i="4" s="1"/>
  <c r="R59" i="4" s="1"/>
  <c r="AZ119" i="2"/>
  <c r="AY119" i="2"/>
  <c r="Z119" i="2"/>
  <c r="AV119" i="2"/>
  <c r="AW119" i="2" s="1"/>
  <c r="I40" i="8"/>
  <c r="H40" i="6"/>
  <c r="I96" i="8"/>
  <c r="H91" i="6"/>
  <c r="H33" i="16"/>
  <c r="H34" i="15"/>
  <c r="H27" i="9"/>
  <c r="I63" i="7"/>
  <c r="AK90" i="2"/>
  <c r="AJ90" i="2"/>
  <c r="AL90" i="2" s="1"/>
  <c r="AM90" i="2" s="1"/>
  <c r="J34" i="4"/>
  <c r="N8" i="6"/>
  <c r="J8" i="6"/>
  <c r="M8" i="6"/>
  <c r="L8" i="6"/>
  <c r="O8" i="6"/>
  <c r="K8" i="6"/>
  <c r="L6" i="13"/>
  <c r="N6" i="13"/>
  <c r="J6" i="13"/>
  <c r="K6" i="13"/>
  <c r="I6" i="13"/>
  <c r="L5" i="6"/>
  <c r="O5" i="6"/>
  <c r="K5" i="6"/>
  <c r="J5" i="6"/>
  <c r="N5" i="6"/>
  <c r="M5" i="6"/>
  <c r="K25" i="10"/>
  <c r="N25" i="10"/>
  <c r="M25" i="10"/>
  <c r="L25" i="10"/>
  <c r="J53" i="8"/>
  <c r="N53" i="8"/>
  <c r="K53" i="8"/>
  <c r="M53" i="8"/>
  <c r="I75" i="13"/>
  <c r="K75" i="13"/>
  <c r="L75" i="13"/>
  <c r="N75" i="13"/>
  <c r="J75" i="13"/>
  <c r="I94" i="8"/>
  <c r="H89" i="6"/>
  <c r="N70" i="13"/>
  <c r="J70" i="13"/>
  <c r="L70" i="13"/>
  <c r="K70" i="13"/>
  <c r="I70" i="13"/>
  <c r="X33" i="19"/>
  <c r="W33" i="19"/>
  <c r="Y33" i="19" s="1"/>
  <c r="Z33" i="19" s="1"/>
  <c r="N60" i="8"/>
  <c r="M60" i="8"/>
  <c r="J60" i="8"/>
  <c r="K60" i="8"/>
  <c r="L76" i="13"/>
  <c r="N76" i="13"/>
  <c r="J76" i="13"/>
  <c r="K76" i="13"/>
  <c r="I76" i="13"/>
  <c r="H56" i="16"/>
  <c r="H57" i="15"/>
  <c r="H51" i="13"/>
  <c r="M51" i="13" s="1"/>
  <c r="O51" i="13" s="1"/>
  <c r="P51" i="13" s="1"/>
  <c r="H51" i="12"/>
  <c r="J51" i="10"/>
  <c r="H49" i="9"/>
  <c r="I73" i="7"/>
  <c r="AK117" i="2"/>
  <c r="AJ117" i="2"/>
  <c r="J57" i="4"/>
  <c r="H98" i="16"/>
  <c r="H99" i="15"/>
  <c r="H80" i="13"/>
  <c r="M80" i="13" s="1"/>
  <c r="O80" i="13" s="1"/>
  <c r="P80" i="13" s="1"/>
  <c r="H80" i="12"/>
  <c r="H52" i="11"/>
  <c r="H82" i="9"/>
  <c r="AJ161" i="2"/>
  <c r="J99" i="4"/>
  <c r="AK161" i="2"/>
  <c r="K7" i="13"/>
  <c r="I7" i="13"/>
  <c r="L7" i="13"/>
  <c r="J7" i="13"/>
  <c r="N7" i="13"/>
  <c r="P29" i="6"/>
  <c r="Q29" i="6" s="1"/>
  <c r="R29" i="6" s="1"/>
  <c r="H61" i="6"/>
  <c r="I61" i="8"/>
  <c r="I87" i="8"/>
  <c r="H86" i="6"/>
  <c r="J88" i="21"/>
  <c r="I88" i="21"/>
  <c r="O88" i="21"/>
  <c r="AK39" i="2"/>
  <c r="AJ39" i="2"/>
  <c r="AK3" i="2"/>
  <c r="AJ3" i="2"/>
  <c r="AJ11" i="2"/>
  <c r="AK11" i="2"/>
  <c r="AK19" i="2"/>
  <c r="AJ19" i="2"/>
  <c r="AL19" i="2" s="1"/>
  <c r="AM19" i="2" s="1"/>
  <c r="H4" i="16"/>
  <c r="H4" i="15"/>
  <c r="H4" i="13"/>
  <c r="M4" i="13" s="1"/>
  <c r="O4" i="13" s="1"/>
  <c r="P4" i="13" s="1"/>
  <c r="H4" i="12"/>
  <c r="H3" i="9"/>
  <c r="J4" i="10"/>
  <c r="I50" i="7"/>
  <c r="AK27" i="2"/>
  <c r="J3" i="4"/>
  <c r="AJ27" i="2"/>
  <c r="H20" i="16"/>
  <c r="H20" i="15"/>
  <c r="H18" i="13"/>
  <c r="M18" i="13" s="1"/>
  <c r="O18" i="13" s="1"/>
  <c r="P18" i="13" s="1"/>
  <c r="H18" i="12"/>
  <c r="H9" i="11"/>
  <c r="J18" i="10"/>
  <c r="H16" i="9"/>
  <c r="AJ72" i="2"/>
  <c r="AK72" i="2"/>
  <c r="I9" i="7"/>
  <c r="J19" i="4"/>
  <c r="I55" i="8"/>
  <c r="H55" i="6"/>
  <c r="P55" i="6"/>
  <c r="Q55" i="6" s="1"/>
  <c r="R55" i="6" s="1"/>
  <c r="H80" i="16"/>
  <c r="H81" i="15"/>
  <c r="H46" i="11"/>
  <c r="H69" i="9"/>
  <c r="AK143" i="2"/>
  <c r="I40" i="7"/>
  <c r="AJ143" i="2"/>
  <c r="J81" i="4"/>
  <c r="M14" i="8"/>
  <c r="K14" i="8"/>
  <c r="N14" i="8"/>
  <c r="J14" i="8"/>
  <c r="O14" i="8" s="1"/>
  <c r="P14" i="8" s="1"/>
  <c r="Q14" i="8" s="1"/>
  <c r="J17" i="21"/>
  <c r="O17" i="21"/>
  <c r="I17" i="21"/>
  <c r="P52" i="6"/>
  <c r="Q52" i="6" s="1"/>
  <c r="R52" i="6" s="1"/>
  <c r="I71" i="8"/>
  <c r="H71" i="6"/>
  <c r="J82" i="21"/>
  <c r="K82" i="21" s="1"/>
  <c r="L82" i="21" s="1"/>
  <c r="M82" i="21" s="1"/>
  <c r="N82" i="21" s="1"/>
  <c r="I82" i="21"/>
  <c r="O82" i="21"/>
  <c r="P82" i="21"/>
  <c r="Q82" i="21" s="1"/>
  <c r="R82" i="21" s="1"/>
  <c r="S82" i="21" s="1"/>
  <c r="R81" i="7"/>
  <c r="S81" i="7"/>
  <c r="AL168" i="2"/>
  <c r="AM168" i="2" s="1"/>
  <c r="I41" i="8"/>
  <c r="H41" i="6"/>
  <c r="P41" i="6"/>
  <c r="Q41" i="6" s="1"/>
  <c r="R41" i="6" s="1"/>
  <c r="M54" i="10"/>
  <c r="L54" i="10"/>
  <c r="K54" i="10"/>
  <c r="O54" i="10" s="1"/>
  <c r="P54" i="10" s="1"/>
  <c r="N54" i="10"/>
  <c r="I65" i="21"/>
  <c r="P65" i="21" s="1"/>
  <c r="Q65" i="21" s="1"/>
  <c r="R65" i="21" s="1"/>
  <c r="S65" i="21" s="1"/>
  <c r="K65" i="21"/>
  <c r="L65" i="21" s="1"/>
  <c r="M65" i="21" s="1"/>
  <c r="N65" i="21" s="1"/>
  <c r="O65" i="21"/>
  <c r="J65" i="21"/>
  <c r="J113" i="4"/>
  <c r="AJ175" i="2"/>
  <c r="AK175" i="2"/>
  <c r="K75" i="10"/>
  <c r="N75" i="10"/>
  <c r="M75" i="10"/>
  <c r="L75" i="10"/>
  <c r="N42" i="13"/>
  <c r="J42" i="13"/>
  <c r="L42" i="13"/>
  <c r="I42" i="13"/>
  <c r="K42" i="13"/>
  <c r="X35" i="19"/>
  <c r="W35" i="19"/>
  <c r="J84" i="21"/>
  <c r="I84" i="21"/>
  <c r="K84" i="21" s="1"/>
  <c r="L84" i="21" s="1"/>
  <c r="M84" i="21" s="1"/>
  <c r="N84" i="21" s="1"/>
  <c r="O84" i="21"/>
  <c r="P50" i="6"/>
  <c r="Q50" i="6" s="1"/>
  <c r="R50" i="6" s="1"/>
  <c r="I70" i="8"/>
  <c r="H70" i="6"/>
  <c r="I72" i="21"/>
  <c r="P72" i="21" s="1"/>
  <c r="Q72" i="21" s="1"/>
  <c r="R72" i="21" s="1"/>
  <c r="S72" i="21" s="1"/>
  <c r="O72" i="21"/>
  <c r="J72" i="21"/>
  <c r="AJ18" i="2"/>
  <c r="AK18" i="2"/>
  <c r="I62" i="8"/>
  <c r="H62" i="6"/>
  <c r="O44" i="8"/>
  <c r="P44" i="8" s="1"/>
  <c r="Q44" i="8" s="1"/>
  <c r="J77" i="21"/>
  <c r="I77" i="21"/>
  <c r="K77" i="21" s="1"/>
  <c r="L77" i="21" s="1"/>
  <c r="M77" i="21" s="1"/>
  <c r="N77" i="21" s="1"/>
  <c r="O77" i="21"/>
  <c r="AK31" i="2"/>
  <c r="AJ31" i="2"/>
  <c r="I47" i="8"/>
  <c r="H47" i="6"/>
  <c r="I92" i="8"/>
  <c r="H84" i="6"/>
  <c r="P22" i="6"/>
  <c r="Q22" i="6" s="1"/>
  <c r="R22" i="6" s="1"/>
  <c r="AJ182" i="2"/>
  <c r="AL182" i="2" s="1"/>
  <c r="AM182" i="2" s="1"/>
  <c r="AK182" i="2"/>
  <c r="P6" i="6"/>
  <c r="Q6" i="6" s="1"/>
  <c r="R6" i="6" s="1"/>
  <c r="I45" i="8"/>
  <c r="H45" i="6"/>
  <c r="P60" i="6"/>
  <c r="Q60" i="6" s="1"/>
  <c r="R60" i="6" s="1"/>
  <c r="J62" i="21"/>
  <c r="O62" i="21"/>
  <c r="I62" i="21"/>
  <c r="AL4" i="2" l="1"/>
  <c r="AM4" i="2" s="1"/>
  <c r="K33" i="21"/>
  <c r="L33" i="21" s="1"/>
  <c r="M33" i="21" s="1"/>
  <c r="N33" i="21" s="1"/>
  <c r="K62" i="21"/>
  <c r="L62" i="21" s="1"/>
  <c r="M62" i="21" s="1"/>
  <c r="N62" i="21" s="1"/>
  <c r="O75" i="10"/>
  <c r="P75" i="10" s="1"/>
  <c r="AL3" i="2"/>
  <c r="AM3" i="2" s="1"/>
  <c r="O53" i="8"/>
  <c r="P53" i="8" s="1"/>
  <c r="Q53" i="8" s="1"/>
  <c r="T60" i="7"/>
  <c r="V60" i="7" s="1"/>
  <c r="W60" i="7" s="1"/>
  <c r="O18" i="8"/>
  <c r="P18" i="8" s="1"/>
  <c r="Q18" i="8" s="1"/>
  <c r="AL162" i="2"/>
  <c r="AM162" i="2" s="1"/>
  <c r="P10" i="21"/>
  <c r="Q10" i="21" s="1"/>
  <c r="R10" i="21" s="1"/>
  <c r="S10" i="21" s="1"/>
  <c r="K32" i="21"/>
  <c r="L32" i="21" s="1"/>
  <c r="M32" i="21" s="1"/>
  <c r="N32" i="21" s="1"/>
  <c r="P20" i="21"/>
  <c r="Q20" i="21" s="1"/>
  <c r="R20" i="21" s="1"/>
  <c r="S20" i="21" s="1"/>
  <c r="P59" i="21"/>
  <c r="Q59" i="21" s="1"/>
  <c r="R59" i="21" s="1"/>
  <c r="S59" i="21" s="1"/>
  <c r="P5" i="21"/>
  <c r="Q5" i="21" s="1"/>
  <c r="R5" i="21" s="1"/>
  <c r="S5" i="21" s="1"/>
  <c r="P11" i="21"/>
  <c r="Q11" i="21" s="1"/>
  <c r="R11" i="21" s="1"/>
  <c r="S11" i="21" s="1"/>
  <c r="H110" i="16"/>
  <c r="P50" i="21"/>
  <c r="Q50" i="21" s="1"/>
  <c r="R50" i="21" s="1"/>
  <c r="S50" i="21" s="1"/>
  <c r="P67" i="21"/>
  <c r="Q67" i="21" s="1"/>
  <c r="R67" i="21" s="1"/>
  <c r="S67" i="21" s="1"/>
  <c r="O50" i="10"/>
  <c r="P50" i="10" s="1"/>
  <c r="AK160" i="2"/>
  <c r="AJ160" i="2"/>
  <c r="AL160" i="2" s="1"/>
  <c r="AM160" i="2" s="1"/>
  <c r="H97" i="16"/>
  <c r="H98" i="15"/>
  <c r="H51" i="11"/>
  <c r="H85" i="6"/>
  <c r="I47" i="7"/>
  <c r="J98" i="4"/>
  <c r="Y17" i="19"/>
  <c r="Z17" i="19" s="1"/>
  <c r="P58" i="21"/>
  <c r="Q58" i="21" s="1"/>
  <c r="R58" i="21" s="1"/>
  <c r="S58" i="21" s="1"/>
  <c r="H29" i="16"/>
  <c r="J30" i="4"/>
  <c r="H27" i="13"/>
  <c r="M27" i="13" s="1"/>
  <c r="O27" i="13" s="1"/>
  <c r="P27" i="13" s="1"/>
  <c r="AK85" i="2"/>
  <c r="J26" i="10"/>
  <c r="AJ85" i="2"/>
  <c r="AL85" i="2" s="1"/>
  <c r="AM85" i="2" s="1"/>
  <c r="H26" i="12"/>
  <c r="H15" i="11"/>
  <c r="H29" i="15"/>
  <c r="I15" i="7"/>
  <c r="H23" i="9"/>
  <c r="AL18" i="2"/>
  <c r="AM18" i="2" s="1"/>
  <c r="AL72" i="2"/>
  <c r="AM72" i="2" s="1"/>
  <c r="H107" i="15"/>
  <c r="H87" i="9"/>
  <c r="J107" i="4"/>
  <c r="AJ169" i="2"/>
  <c r="AL169" i="2" s="1"/>
  <c r="AM169" i="2" s="1"/>
  <c r="AK169" i="2"/>
  <c r="H106" i="16"/>
  <c r="H75" i="12"/>
  <c r="I85" i="7"/>
  <c r="J92" i="4"/>
  <c r="H77" i="9"/>
  <c r="H91" i="16"/>
  <c r="AJ154" i="2"/>
  <c r="AL154" i="2" s="1"/>
  <c r="AM154" i="2" s="1"/>
  <c r="J75" i="10"/>
  <c r="H92" i="15"/>
  <c r="AK154" i="2"/>
  <c r="H75" i="13"/>
  <c r="H43" i="16"/>
  <c r="I24" i="7"/>
  <c r="AJ104" i="2"/>
  <c r="AL104" i="2" s="1"/>
  <c r="AM104" i="2" s="1"/>
  <c r="H38" i="12"/>
  <c r="AK104" i="2"/>
  <c r="H36" i="9"/>
  <c r="H38" i="13"/>
  <c r="M38" i="13" s="1"/>
  <c r="O38" i="13" s="1"/>
  <c r="P38" i="13" s="1"/>
  <c r="H25" i="11"/>
  <c r="H44" i="15"/>
  <c r="J38" i="10"/>
  <c r="J44" i="4"/>
  <c r="K68" i="21"/>
  <c r="L68" i="21" s="1"/>
  <c r="M68" i="21" s="1"/>
  <c r="N68" i="21" s="1"/>
  <c r="P18" i="21"/>
  <c r="Q18" i="21" s="1"/>
  <c r="R18" i="21" s="1"/>
  <c r="S18" i="21" s="1"/>
  <c r="M49" i="13"/>
  <c r="O49" i="13" s="1"/>
  <c r="P49" i="13" s="1"/>
  <c r="AL71" i="2"/>
  <c r="AM71" i="2" s="1"/>
  <c r="K19" i="21"/>
  <c r="L19" i="21" s="1"/>
  <c r="M19" i="21" s="1"/>
  <c r="N19" i="21" s="1"/>
  <c r="Y74" i="19"/>
  <c r="Z74" i="19" s="1"/>
  <c r="P59" i="6"/>
  <c r="Q59" i="6" s="1"/>
  <c r="R59" i="6" s="1"/>
  <c r="AL152" i="2"/>
  <c r="AM152" i="2" s="1"/>
  <c r="AL107" i="2"/>
  <c r="AM107" i="2" s="1"/>
  <c r="K42" i="21"/>
  <c r="L42" i="21" s="1"/>
  <c r="M42" i="21" s="1"/>
  <c r="N42" i="21" s="1"/>
  <c r="AL75" i="2"/>
  <c r="AM75" i="2" s="1"/>
  <c r="M13" i="13"/>
  <c r="O13" i="13" s="1"/>
  <c r="P13" i="13" s="1"/>
  <c r="K30" i="21"/>
  <c r="L30" i="21" s="1"/>
  <c r="M30" i="21" s="1"/>
  <c r="N30" i="21" s="1"/>
  <c r="K70" i="21"/>
  <c r="L70" i="21" s="1"/>
  <c r="M70" i="21" s="1"/>
  <c r="N70" i="21" s="1"/>
  <c r="P47" i="21"/>
  <c r="Q47" i="21" s="1"/>
  <c r="R47" i="21" s="1"/>
  <c r="S47" i="21" s="1"/>
  <c r="AL58" i="2"/>
  <c r="AM58" i="2" s="1"/>
  <c r="K21" i="21"/>
  <c r="L21" i="21" s="1"/>
  <c r="M21" i="21" s="1"/>
  <c r="N21" i="21" s="1"/>
  <c r="J111" i="4"/>
  <c r="K78" i="21"/>
  <c r="L78" i="21" s="1"/>
  <c r="M78" i="21" s="1"/>
  <c r="N78" i="21" s="1"/>
  <c r="O58" i="10"/>
  <c r="P58" i="10" s="1"/>
  <c r="P25" i="21"/>
  <c r="Q25" i="21" s="1"/>
  <c r="R25" i="21" s="1"/>
  <c r="S25" i="21" s="1"/>
  <c r="P44" i="21"/>
  <c r="Q44" i="21" s="1"/>
  <c r="R44" i="21" s="1"/>
  <c r="S44" i="21" s="1"/>
  <c r="T38" i="7"/>
  <c r="V38" i="7" s="1"/>
  <c r="W38" i="7" s="1"/>
  <c r="AL131" i="2"/>
  <c r="AM131" i="2" s="1"/>
  <c r="O76" i="10"/>
  <c r="P76" i="10" s="1"/>
  <c r="H29" i="11"/>
  <c r="I28" i="7"/>
  <c r="H44" i="9"/>
  <c r="J46" i="10"/>
  <c r="H51" i="16"/>
  <c r="J52" i="4"/>
  <c r="H46" i="12"/>
  <c r="AJ112" i="2"/>
  <c r="H52" i="15"/>
  <c r="AK112" i="2"/>
  <c r="H46" i="13"/>
  <c r="M46" i="13" s="1"/>
  <c r="O46" i="13" s="1"/>
  <c r="P46" i="13" s="1"/>
  <c r="T81" i="7"/>
  <c r="V81" i="7" s="1"/>
  <c r="W81" i="7" s="1"/>
  <c r="P80" i="6"/>
  <c r="Q80" i="6" s="1"/>
  <c r="R80" i="6" s="1"/>
  <c r="M33" i="13"/>
  <c r="O33" i="13" s="1"/>
  <c r="P33" i="13" s="1"/>
  <c r="AL70" i="2"/>
  <c r="AM70" i="2" s="1"/>
  <c r="K87" i="21"/>
  <c r="L87" i="21" s="1"/>
  <c r="M87" i="21" s="1"/>
  <c r="N87" i="21" s="1"/>
  <c r="K17" i="21"/>
  <c r="L17" i="21" s="1"/>
  <c r="M17" i="21" s="1"/>
  <c r="N17" i="21" s="1"/>
  <c r="AL143" i="2"/>
  <c r="AM143" i="2" s="1"/>
  <c r="O60" i="8"/>
  <c r="P60" i="8" s="1"/>
  <c r="Q60" i="8" s="1"/>
  <c r="M75" i="13"/>
  <c r="O75" i="13" s="1"/>
  <c r="P75" i="13" s="1"/>
  <c r="O25" i="10"/>
  <c r="P25" i="10" s="1"/>
  <c r="P8" i="6"/>
  <c r="Q8" i="6" s="1"/>
  <c r="R8" i="6" s="1"/>
  <c r="O75" i="8"/>
  <c r="P75" i="8" s="1"/>
  <c r="Q75" i="8" s="1"/>
  <c r="O62" i="10"/>
  <c r="P62" i="10" s="1"/>
  <c r="K48" i="21"/>
  <c r="L48" i="21" s="1"/>
  <c r="M48" i="21" s="1"/>
  <c r="N48" i="21" s="1"/>
  <c r="O77" i="10"/>
  <c r="P77" i="10" s="1"/>
  <c r="AL76" i="2"/>
  <c r="AM76" i="2" s="1"/>
  <c r="M54" i="13"/>
  <c r="O54" i="13" s="1"/>
  <c r="P54" i="13" s="1"/>
  <c r="P56" i="6"/>
  <c r="Q56" i="6" s="1"/>
  <c r="R56" i="6" s="1"/>
  <c r="P47" i="6"/>
  <c r="Q47" i="6" s="1"/>
  <c r="R47" i="6" s="1"/>
  <c r="P41" i="21"/>
  <c r="Q41" i="21" s="1"/>
  <c r="R41" i="21" s="1"/>
  <c r="S41" i="21" s="1"/>
  <c r="AL145" i="2"/>
  <c r="AM145" i="2" s="1"/>
  <c r="P27" i="6"/>
  <c r="Q27" i="6" s="1"/>
  <c r="R27" i="6" s="1"/>
  <c r="O8" i="13"/>
  <c r="P8" i="13" s="1"/>
  <c r="AL108" i="2"/>
  <c r="AM108" i="2" s="1"/>
  <c r="H91" i="9"/>
  <c r="P76" i="21"/>
  <c r="Q76" i="21" s="1"/>
  <c r="R76" i="21" s="1"/>
  <c r="S76" i="21" s="1"/>
  <c r="K53" i="21"/>
  <c r="L53" i="21" s="1"/>
  <c r="M53" i="21" s="1"/>
  <c r="N53" i="21" s="1"/>
  <c r="O52" i="10"/>
  <c r="P52" i="10" s="1"/>
  <c r="O6" i="10"/>
  <c r="P6" i="10" s="1"/>
  <c r="O8" i="10"/>
  <c r="P8" i="10" s="1"/>
  <c r="I37" i="7"/>
  <c r="H65" i="9"/>
  <c r="AJ136" i="2"/>
  <c r="H66" i="13"/>
  <c r="M66" i="13" s="1"/>
  <c r="O66" i="13" s="1"/>
  <c r="P66" i="13" s="1"/>
  <c r="AK136" i="2"/>
  <c r="H74" i="15"/>
  <c r="J74" i="4"/>
  <c r="H40" i="11"/>
  <c r="H66" i="12"/>
  <c r="J66" i="10"/>
  <c r="H73" i="16"/>
  <c r="AL11" i="2"/>
  <c r="AM11" i="2" s="1"/>
  <c r="AL175" i="2"/>
  <c r="AM175" i="2" s="1"/>
  <c r="P87" i="6"/>
  <c r="Q87" i="6" s="1"/>
  <c r="R87" i="6" s="1"/>
  <c r="K72" i="21"/>
  <c r="L72" i="21" s="1"/>
  <c r="M72" i="21" s="1"/>
  <c r="N72" i="21" s="1"/>
  <c r="P17" i="21"/>
  <c r="Q17" i="21" s="1"/>
  <c r="R17" i="21" s="1"/>
  <c r="S17" i="21" s="1"/>
  <c r="P88" i="21"/>
  <c r="Q88" i="21" s="1"/>
  <c r="R88" i="21" s="1"/>
  <c r="S88" i="21" s="1"/>
  <c r="AL139" i="2"/>
  <c r="AM139" i="2" s="1"/>
  <c r="Y14" i="19"/>
  <c r="Z14" i="19" s="1"/>
  <c r="P51" i="6"/>
  <c r="Q51" i="6" s="1"/>
  <c r="R51" i="6" s="1"/>
  <c r="K74" i="21"/>
  <c r="L74" i="21" s="1"/>
  <c r="M74" i="21" s="1"/>
  <c r="N74" i="21" s="1"/>
  <c r="P19" i="21"/>
  <c r="Q19" i="21" s="1"/>
  <c r="R19" i="21" s="1"/>
  <c r="S19" i="21" s="1"/>
  <c r="O42" i="8"/>
  <c r="P42" i="8" s="1"/>
  <c r="Q42" i="8" s="1"/>
  <c r="P66" i="21"/>
  <c r="Q66" i="21" s="1"/>
  <c r="R66" i="21" s="1"/>
  <c r="S66" i="21" s="1"/>
  <c r="P64" i="21"/>
  <c r="Q64" i="21" s="1"/>
  <c r="R64" i="21" s="1"/>
  <c r="S64" i="21" s="1"/>
  <c r="P57" i="21"/>
  <c r="Q57" i="21" s="1"/>
  <c r="R57" i="21" s="1"/>
  <c r="S57" i="21" s="1"/>
  <c r="K22" i="21"/>
  <c r="L22" i="21" s="1"/>
  <c r="M22" i="21" s="1"/>
  <c r="N22" i="21" s="1"/>
  <c r="P40" i="21"/>
  <c r="Q40" i="21" s="1"/>
  <c r="R40" i="21" s="1"/>
  <c r="S40" i="21" s="1"/>
  <c r="P12" i="21"/>
  <c r="Q12" i="21" s="1"/>
  <c r="R12" i="21" s="1"/>
  <c r="S12" i="21" s="1"/>
  <c r="P61" i="21"/>
  <c r="Q61" i="21" s="1"/>
  <c r="R61" i="21" s="1"/>
  <c r="S61" i="21" s="1"/>
  <c r="K86" i="21"/>
  <c r="L86" i="21" s="1"/>
  <c r="M86" i="21" s="1"/>
  <c r="N86" i="21" s="1"/>
  <c r="J87" i="10"/>
  <c r="K34" i="21"/>
  <c r="L34" i="21" s="1"/>
  <c r="M34" i="21" s="1"/>
  <c r="N34" i="21" s="1"/>
  <c r="H27" i="12"/>
  <c r="H16" i="11"/>
  <c r="J27" i="10"/>
  <c r="AJ87" i="2"/>
  <c r="AL87" i="2" s="1"/>
  <c r="AM87" i="2" s="1"/>
  <c r="H24" i="9"/>
  <c r="J31" i="4"/>
  <c r="H30" i="16"/>
  <c r="H31" i="15"/>
  <c r="I16" i="7"/>
  <c r="H28" i="13"/>
  <c r="M28" i="13" s="1"/>
  <c r="O28" i="13" s="1"/>
  <c r="P28" i="13" s="1"/>
  <c r="AK87" i="2"/>
  <c r="AL126" i="2"/>
  <c r="AM126" i="2" s="1"/>
  <c r="O17" i="10"/>
  <c r="P17" i="10" s="1"/>
  <c r="O70" i="10"/>
  <c r="P70" i="10" s="1"/>
  <c r="AL13" i="2"/>
  <c r="AM13" i="2" s="1"/>
  <c r="P31" i="21"/>
  <c r="Q31" i="21" s="1"/>
  <c r="R31" i="21" s="1"/>
  <c r="S31" i="21" s="1"/>
  <c r="AL7" i="2"/>
  <c r="AM7" i="2" s="1"/>
  <c r="P23" i="21"/>
  <c r="Q23" i="21" s="1"/>
  <c r="R23" i="21" s="1"/>
  <c r="S23" i="21" s="1"/>
  <c r="H89" i="13"/>
  <c r="M89" i="13" s="1"/>
  <c r="O89" i="13" s="1"/>
  <c r="P89" i="13" s="1"/>
  <c r="K39" i="21"/>
  <c r="L39" i="21" s="1"/>
  <c r="M39" i="21" s="1"/>
  <c r="N39" i="21" s="1"/>
  <c r="O42" i="10"/>
  <c r="P42" i="10" s="1"/>
  <c r="R33" i="7"/>
  <c r="T33" i="7" s="1"/>
  <c r="V33" i="7" s="1"/>
  <c r="W33" i="7" s="1"/>
  <c r="S33" i="7"/>
  <c r="AL10" i="2"/>
  <c r="AM10" i="2" s="1"/>
  <c r="AL67" i="2"/>
  <c r="AM67" i="2" s="1"/>
  <c r="O54" i="8"/>
  <c r="P54" i="8" s="1"/>
  <c r="Q54" i="8" s="1"/>
  <c r="K45" i="21"/>
  <c r="L45" i="21" s="1"/>
  <c r="M45" i="21" s="1"/>
  <c r="N45" i="21" s="1"/>
  <c r="AL5" i="2"/>
  <c r="AM5" i="2" s="1"/>
  <c r="P51" i="21"/>
  <c r="Q51" i="21" s="1"/>
  <c r="R51" i="21" s="1"/>
  <c r="S51" i="21" s="1"/>
  <c r="P84" i="6"/>
  <c r="Q84" i="6" s="1"/>
  <c r="R84" i="6" s="1"/>
  <c r="O57" i="10"/>
  <c r="P57" i="10" s="1"/>
  <c r="O33" i="10"/>
  <c r="P33" i="10" s="1"/>
  <c r="P39" i="21"/>
  <c r="Q39" i="21" s="1"/>
  <c r="R39" i="21" s="1"/>
  <c r="S39" i="21" s="1"/>
  <c r="O7" i="10"/>
  <c r="P7" i="10" s="1"/>
  <c r="O82" i="10"/>
  <c r="P82" i="10" s="1"/>
  <c r="P62" i="21"/>
  <c r="Q62" i="21" s="1"/>
  <c r="R62" i="21" s="1"/>
  <c r="S62" i="21" s="1"/>
  <c r="P84" i="21"/>
  <c r="Q84" i="21" s="1"/>
  <c r="R84" i="21" s="1"/>
  <c r="S84" i="21" s="1"/>
  <c r="R90" i="7"/>
  <c r="T90" i="7" s="1"/>
  <c r="V90" i="7" s="1"/>
  <c r="W90" i="7" s="1"/>
  <c r="S90" i="7"/>
  <c r="T72" i="7"/>
  <c r="V72" i="7" s="1"/>
  <c r="W72" i="7" s="1"/>
  <c r="Y56" i="19"/>
  <c r="Z56" i="19" s="1"/>
  <c r="R20" i="7"/>
  <c r="S20" i="7"/>
  <c r="R48" i="7"/>
  <c r="S48" i="7"/>
  <c r="S46" i="7"/>
  <c r="R46" i="7"/>
  <c r="AL179" i="2"/>
  <c r="AM179" i="2" s="1"/>
  <c r="R75" i="7"/>
  <c r="T75" i="7" s="1"/>
  <c r="V75" i="7" s="1"/>
  <c r="W75" i="7" s="1"/>
  <c r="S75" i="7"/>
  <c r="P34" i="6"/>
  <c r="Q34" i="6" s="1"/>
  <c r="R34" i="6" s="1"/>
  <c r="AL149" i="2"/>
  <c r="AM149" i="2" s="1"/>
  <c r="R43" i="7"/>
  <c r="S43" i="7"/>
  <c r="AL68" i="2"/>
  <c r="AM68" i="2" s="1"/>
  <c r="S10" i="7"/>
  <c r="R10" i="7"/>
  <c r="T61" i="7"/>
  <c r="V61" i="7" s="1"/>
  <c r="W61" i="7" s="1"/>
  <c r="K35" i="21"/>
  <c r="L35" i="21" s="1"/>
  <c r="M35" i="21" s="1"/>
  <c r="N35" i="21" s="1"/>
  <c r="AL14" i="2"/>
  <c r="AM14" i="2" s="1"/>
  <c r="R53" i="7"/>
  <c r="S53" i="7"/>
  <c r="R27" i="7"/>
  <c r="S27" i="7"/>
  <c r="R65" i="7"/>
  <c r="S65" i="7"/>
  <c r="R56" i="7"/>
  <c r="S56" i="7"/>
  <c r="R52" i="7"/>
  <c r="S52" i="7"/>
  <c r="R88" i="7"/>
  <c r="S88" i="7"/>
  <c r="H5" i="16"/>
  <c r="H5" i="15"/>
  <c r="H5" i="13"/>
  <c r="M5" i="13" s="1"/>
  <c r="O5" i="13" s="1"/>
  <c r="P5" i="13" s="1"/>
  <c r="H5" i="12"/>
  <c r="J5" i="10"/>
  <c r="H4" i="9"/>
  <c r="J4" i="4"/>
  <c r="I51" i="7"/>
  <c r="AJ28" i="2"/>
  <c r="AK28" i="2"/>
  <c r="S41" i="7"/>
  <c r="R41" i="7"/>
  <c r="T58" i="7"/>
  <c r="V58" i="7" s="1"/>
  <c r="W58" i="7" s="1"/>
  <c r="AL178" i="2"/>
  <c r="AM178" i="2" s="1"/>
  <c r="R80" i="7"/>
  <c r="S80" i="7"/>
  <c r="P5" i="6"/>
  <c r="Q5" i="6" s="1"/>
  <c r="R5" i="6" s="1"/>
  <c r="H58" i="16"/>
  <c r="H59" i="15"/>
  <c r="H53" i="13"/>
  <c r="M53" i="13" s="1"/>
  <c r="O53" i="13" s="1"/>
  <c r="P53" i="13" s="1"/>
  <c r="H53" i="12"/>
  <c r="H31" i="11"/>
  <c r="J53" i="10"/>
  <c r="H51" i="9"/>
  <c r="I30" i="7"/>
  <c r="AJ119" i="2"/>
  <c r="AK119" i="2"/>
  <c r="J59" i="4"/>
  <c r="P77" i="21"/>
  <c r="Q77" i="21" s="1"/>
  <c r="R77" i="21" s="1"/>
  <c r="S77" i="21" s="1"/>
  <c r="Y35" i="19"/>
  <c r="Z35" i="19" s="1"/>
  <c r="R40" i="7"/>
  <c r="S40" i="7"/>
  <c r="R50" i="7"/>
  <c r="T50" i="7" s="1"/>
  <c r="V50" i="7" s="1"/>
  <c r="W50" i="7" s="1"/>
  <c r="S50" i="7"/>
  <c r="K88" i="21"/>
  <c r="L88" i="21" s="1"/>
  <c r="M88" i="21" s="1"/>
  <c r="N88" i="21" s="1"/>
  <c r="AL161" i="2"/>
  <c r="AM161" i="2" s="1"/>
  <c r="AL117" i="2"/>
  <c r="AM117" i="2" s="1"/>
  <c r="AL2" i="2"/>
  <c r="AM2" i="2" s="1"/>
  <c r="K15" i="21"/>
  <c r="L15" i="21" s="1"/>
  <c r="M15" i="21" s="1"/>
  <c r="N15" i="21" s="1"/>
  <c r="S5" i="7"/>
  <c r="R5" i="7"/>
  <c r="AL97" i="2"/>
  <c r="AM97" i="2" s="1"/>
  <c r="P89" i="21"/>
  <c r="Q89" i="21" s="1"/>
  <c r="R89" i="21" s="1"/>
  <c r="S89" i="21" s="1"/>
  <c r="AL25" i="2"/>
  <c r="AM25" i="2" s="1"/>
  <c r="AL95" i="2"/>
  <c r="AM95" i="2" s="1"/>
  <c r="K27" i="21"/>
  <c r="L27" i="21" s="1"/>
  <c r="M27" i="21" s="1"/>
  <c r="N27" i="21" s="1"/>
  <c r="AL135" i="2"/>
  <c r="AM135" i="2" s="1"/>
  <c r="K10" i="21"/>
  <c r="L10" i="21" s="1"/>
  <c r="M10" i="21" s="1"/>
  <c r="N10" i="21" s="1"/>
  <c r="R71" i="7"/>
  <c r="S71" i="7"/>
  <c r="R59" i="7"/>
  <c r="S59" i="7"/>
  <c r="R78" i="7"/>
  <c r="S78" i="7"/>
  <c r="AL120" i="2"/>
  <c r="AM120" i="2" s="1"/>
  <c r="K20" i="21"/>
  <c r="L20" i="21" s="1"/>
  <c r="M20" i="21" s="1"/>
  <c r="N20" i="21" s="1"/>
  <c r="Y49" i="19"/>
  <c r="Z49" i="19" s="1"/>
  <c r="H96" i="16"/>
  <c r="H97" i="15"/>
  <c r="H79" i="12"/>
  <c r="H79" i="13"/>
  <c r="M79" i="13" s="1"/>
  <c r="O79" i="13" s="1"/>
  <c r="P79" i="13" s="1"/>
  <c r="J79" i="10"/>
  <c r="I89" i="7"/>
  <c r="J97" i="4"/>
  <c r="H81" i="9"/>
  <c r="AJ159" i="2"/>
  <c r="AK159" i="2"/>
  <c r="H3" i="16"/>
  <c r="H3" i="15"/>
  <c r="H3" i="13"/>
  <c r="M3" i="13" s="1"/>
  <c r="O3" i="13" s="1"/>
  <c r="P3" i="13" s="1"/>
  <c r="H3" i="12"/>
  <c r="H2" i="9"/>
  <c r="J3" i="10"/>
  <c r="I49" i="7"/>
  <c r="AJ26" i="2"/>
  <c r="AK26" i="2"/>
  <c r="J2" i="4"/>
  <c r="K71" i="21"/>
  <c r="L71" i="21" s="1"/>
  <c r="M71" i="21" s="1"/>
  <c r="N71" i="21" s="1"/>
  <c r="S22" i="7"/>
  <c r="R22" i="7"/>
  <c r="T55" i="7"/>
  <c r="V55" i="7" s="1"/>
  <c r="W55" i="7" s="1"/>
  <c r="Y24" i="19"/>
  <c r="Z24" i="19" s="1"/>
  <c r="AL165" i="2"/>
  <c r="AM165" i="2" s="1"/>
  <c r="AL105" i="2"/>
  <c r="AM105" i="2" s="1"/>
  <c r="AL73" i="2"/>
  <c r="AM73" i="2" s="1"/>
  <c r="AL9" i="2"/>
  <c r="AM9" i="2" s="1"/>
  <c r="AL6" i="2"/>
  <c r="AM6" i="2" s="1"/>
  <c r="K46" i="21"/>
  <c r="L46" i="21" s="1"/>
  <c r="M46" i="21" s="1"/>
  <c r="N46" i="21" s="1"/>
  <c r="K43" i="21"/>
  <c r="L43" i="21" s="1"/>
  <c r="M43" i="21" s="1"/>
  <c r="N43" i="21" s="1"/>
  <c r="K57" i="21"/>
  <c r="L57" i="21" s="1"/>
  <c r="M57" i="21" s="1"/>
  <c r="N57" i="21" s="1"/>
  <c r="T29" i="7"/>
  <c r="V29" i="7" s="1"/>
  <c r="W29" i="7" s="1"/>
  <c r="R67" i="7"/>
  <c r="S67" i="7"/>
  <c r="M7" i="13"/>
  <c r="O7" i="13" s="1"/>
  <c r="P7" i="13" s="1"/>
  <c r="R74" i="7"/>
  <c r="S74" i="7"/>
  <c r="M52" i="13"/>
  <c r="O52" i="13" s="1"/>
  <c r="P52" i="13" s="1"/>
  <c r="AL36" i="2"/>
  <c r="AM36" i="2" s="1"/>
  <c r="M6" i="13"/>
  <c r="O6" i="13" s="1"/>
  <c r="P6" i="13" s="1"/>
  <c r="H10" i="13"/>
  <c r="M10" i="13" s="1"/>
  <c r="O10" i="13" s="1"/>
  <c r="P10" i="13" s="1"/>
  <c r="H10" i="12"/>
  <c r="H4" i="11"/>
  <c r="J10" i="10"/>
  <c r="AJ44" i="2"/>
  <c r="I4" i="7"/>
  <c r="AK44" i="2"/>
  <c r="J10" i="4"/>
  <c r="R54" i="7"/>
  <c r="T54" i="7" s="1"/>
  <c r="V54" i="7" s="1"/>
  <c r="W54" i="7" s="1"/>
  <c r="S54" i="7"/>
  <c r="P24" i="21"/>
  <c r="Q24" i="21" s="1"/>
  <c r="R24" i="21" s="1"/>
  <c r="S24" i="21" s="1"/>
  <c r="P26" i="21"/>
  <c r="Q26" i="21" s="1"/>
  <c r="R26" i="21" s="1"/>
  <c r="S26" i="21" s="1"/>
  <c r="K23" i="21"/>
  <c r="L23" i="21" s="1"/>
  <c r="M23" i="21" s="1"/>
  <c r="N23" i="21" s="1"/>
  <c r="AL59" i="2"/>
  <c r="AM59" i="2" s="1"/>
  <c r="R68" i="7"/>
  <c r="S68" i="7"/>
  <c r="AL20" i="2"/>
  <c r="AM20" i="2" s="1"/>
  <c r="K12" i="21"/>
  <c r="L12" i="21" s="1"/>
  <c r="M12" i="21" s="1"/>
  <c r="N12" i="21" s="1"/>
  <c r="K61" i="21"/>
  <c r="L61" i="21" s="1"/>
  <c r="M61" i="21" s="1"/>
  <c r="N61" i="21" s="1"/>
  <c r="P90" i="21"/>
  <c r="Q90" i="21" s="1"/>
  <c r="R90" i="21" s="1"/>
  <c r="S90" i="21" s="1"/>
  <c r="AL146" i="2"/>
  <c r="AM146" i="2" s="1"/>
  <c r="AL16" i="2"/>
  <c r="AM16" i="2" s="1"/>
  <c r="T77" i="7"/>
  <c r="V77" i="7" s="1"/>
  <c r="W77" i="7" s="1"/>
  <c r="K16" i="21"/>
  <c r="L16" i="21" s="1"/>
  <c r="M16" i="21" s="1"/>
  <c r="N16" i="21" s="1"/>
  <c r="H62" i="16"/>
  <c r="H63" i="15"/>
  <c r="H57" i="12"/>
  <c r="H57" i="13"/>
  <c r="M57" i="13" s="1"/>
  <c r="O57" i="13" s="1"/>
  <c r="P57" i="13" s="1"/>
  <c r="J57" i="10"/>
  <c r="I76" i="7"/>
  <c r="H54" i="9"/>
  <c r="J63" i="4"/>
  <c r="AJ123" i="2"/>
  <c r="AK123" i="2"/>
  <c r="P53" i="6"/>
  <c r="Q53" i="6" s="1"/>
  <c r="R53" i="6" s="1"/>
  <c r="H108" i="16"/>
  <c r="H109" i="15"/>
  <c r="H87" i="13"/>
  <c r="M87" i="13" s="1"/>
  <c r="O87" i="13" s="1"/>
  <c r="P87" i="13" s="1"/>
  <c r="J85" i="10"/>
  <c r="H89" i="9"/>
  <c r="J109" i="4"/>
  <c r="AJ171" i="2"/>
  <c r="AK171" i="2"/>
  <c r="S11" i="7"/>
  <c r="R11" i="7"/>
  <c r="K44" i="21"/>
  <c r="L44" i="21" s="1"/>
  <c r="M44" i="21" s="1"/>
  <c r="N44" i="21" s="1"/>
  <c r="K56" i="21"/>
  <c r="L56" i="21" s="1"/>
  <c r="M56" i="21" s="1"/>
  <c r="N56" i="21" s="1"/>
  <c r="P34" i="21"/>
  <c r="Q34" i="21" s="1"/>
  <c r="R34" i="21" s="1"/>
  <c r="S34" i="21" s="1"/>
  <c r="O34" i="8"/>
  <c r="P34" i="8" s="1"/>
  <c r="Q34" i="8" s="1"/>
  <c r="R73" i="7"/>
  <c r="S73" i="7"/>
  <c r="S9" i="7"/>
  <c r="R9" i="7"/>
  <c r="AL31" i="2"/>
  <c r="AM31" i="2" s="1"/>
  <c r="AL27" i="2"/>
  <c r="AM27" i="2" s="1"/>
  <c r="AL39" i="2"/>
  <c r="AM39" i="2" s="1"/>
  <c r="R63" i="7"/>
  <c r="S63" i="7"/>
  <c r="R62" i="7"/>
  <c r="S62" i="7"/>
  <c r="AL45" i="2"/>
  <c r="AM45" i="2" s="1"/>
  <c r="R82" i="7"/>
  <c r="T82" i="7" s="1"/>
  <c r="V82" i="7" s="1"/>
  <c r="W82" i="7" s="1"/>
  <c r="S82" i="7"/>
  <c r="M70" i="13"/>
  <c r="O70" i="13" s="1"/>
  <c r="P70" i="13" s="1"/>
  <c r="H93" i="16"/>
  <c r="H94" i="15"/>
  <c r="H77" i="12"/>
  <c r="H77" i="13"/>
  <c r="M77" i="13" s="1"/>
  <c r="O77" i="13" s="1"/>
  <c r="P77" i="13" s="1"/>
  <c r="J77" i="10"/>
  <c r="H79" i="9"/>
  <c r="I87" i="7"/>
  <c r="J94" i="4"/>
  <c r="AK156" i="2"/>
  <c r="AJ156" i="2"/>
  <c r="R39" i="7"/>
  <c r="S39" i="7"/>
  <c r="Y23" i="19"/>
  <c r="Z23" i="19" s="1"/>
  <c r="AL99" i="2"/>
  <c r="AM99" i="2" s="1"/>
  <c r="AL115" i="2"/>
  <c r="AM115" i="2" s="1"/>
  <c r="AL80" i="2"/>
  <c r="AM80" i="2" s="1"/>
  <c r="AL100" i="2"/>
  <c r="AM100" i="2" s="1"/>
  <c r="S6" i="7"/>
  <c r="R6" i="7"/>
  <c r="R13" i="7"/>
  <c r="S13" i="7"/>
  <c r="R79" i="7"/>
  <c r="T79" i="7" s="1"/>
  <c r="V79" i="7" s="1"/>
  <c r="W79" i="7" s="1"/>
  <c r="S79" i="7"/>
  <c r="T17" i="7"/>
  <c r="V17" i="7" s="1"/>
  <c r="W17" i="7" s="1"/>
  <c r="R7" i="7"/>
  <c r="T7" i="7" s="1"/>
  <c r="V7" i="7" s="1"/>
  <c r="W7" i="7" s="1"/>
  <c r="S7" i="7"/>
  <c r="S25" i="7"/>
  <c r="R25" i="7"/>
  <c r="T25" i="7" s="1"/>
  <c r="V25" i="7" s="1"/>
  <c r="W25" i="7" s="1"/>
  <c r="Y7" i="19"/>
  <c r="Z7" i="19" s="1"/>
  <c r="AL24" i="2"/>
  <c r="AM24" i="2" s="1"/>
  <c r="AL91" i="2"/>
  <c r="AM91" i="2" s="1"/>
  <c r="S14" i="7"/>
  <c r="R14" i="7"/>
  <c r="T14" i="7" s="1"/>
  <c r="V14" i="7" s="1"/>
  <c r="W14" i="7" s="1"/>
  <c r="AL8" i="2"/>
  <c r="AM8" i="2" s="1"/>
  <c r="AL110" i="2"/>
  <c r="AM110" i="2" s="1"/>
  <c r="AL118" i="2"/>
  <c r="AM118" i="2" s="1"/>
  <c r="AL103" i="2"/>
  <c r="AM103" i="2" s="1"/>
  <c r="AL65" i="2"/>
  <c r="AM65" i="2" s="1"/>
  <c r="AL29" i="2"/>
  <c r="AM29" i="2" s="1"/>
  <c r="AL35" i="2"/>
  <c r="AM35" i="2" s="1"/>
  <c r="AL42" i="2"/>
  <c r="AM42" i="2" s="1"/>
  <c r="K31" i="21"/>
  <c r="L31" i="21" s="1"/>
  <c r="M31" i="21" s="1"/>
  <c r="N31" i="21" s="1"/>
  <c r="AL15" i="2"/>
  <c r="AM15" i="2" s="1"/>
  <c r="T12" i="7"/>
  <c r="V12" i="7" s="1"/>
  <c r="W12" i="7" s="1"/>
  <c r="AL158" i="2"/>
  <c r="AM158" i="2" s="1"/>
  <c r="T83" i="7"/>
  <c r="V83" i="7" s="1"/>
  <c r="W83" i="7" s="1"/>
  <c r="M76" i="13"/>
  <c r="O76" i="13" s="1"/>
  <c r="P76" i="13" s="1"/>
  <c r="M42" i="13"/>
  <c r="O42" i="13" s="1"/>
  <c r="P42" i="13" s="1"/>
  <c r="Y3" i="19"/>
  <c r="Z3" i="19" s="1"/>
  <c r="T31" i="7"/>
  <c r="V31" i="7" s="1"/>
  <c r="W31" i="7" s="1"/>
  <c r="AL173" i="2"/>
  <c r="AM173" i="2" s="1"/>
  <c r="AL167" i="2"/>
  <c r="AM167" i="2" s="1"/>
  <c r="S42" i="7"/>
  <c r="R42" i="7"/>
  <c r="Y72" i="19"/>
  <c r="Z72" i="19" s="1"/>
  <c r="Y54" i="19"/>
  <c r="Z54" i="19" s="1"/>
  <c r="P81" i="21"/>
  <c r="Q81" i="21" s="1"/>
  <c r="R81" i="21" s="1"/>
  <c r="S81" i="21" s="1"/>
  <c r="AL78" i="2"/>
  <c r="AM78" i="2" s="1"/>
  <c r="AL122" i="2"/>
  <c r="AM122" i="2" s="1"/>
  <c r="S32" i="7"/>
  <c r="R32" i="7"/>
  <c r="H50" i="16"/>
  <c r="H45" i="13"/>
  <c r="M45" i="13" s="1"/>
  <c r="O45" i="13" s="1"/>
  <c r="P45" i="13" s="1"/>
  <c r="H51" i="15"/>
  <c r="H45" i="12"/>
  <c r="J45" i="10"/>
  <c r="H43" i="9"/>
  <c r="I69" i="7"/>
  <c r="AJ111" i="2"/>
  <c r="J51" i="4"/>
  <c r="AK111" i="2"/>
  <c r="H48" i="16"/>
  <c r="H49" i="15"/>
  <c r="H43" i="12"/>
  <c r="H43" i="13"/>
  <c r="M43" i="13" s="1"/>
  <c r="O43" i="13" s="1"/>
  <c r="P43" i="13" s="1"/>
  <c r="H27" i="11"/>
  <c r="H41" i="9"/>
  <c r="J43" i="10"/>
  <c r="I26" i="7"/>
  <c r="J49" i="4"/>
  <c r="AJ109" i="2"/>
  <c r="AK109" i="2"/>
  <c r="S21" i="7"/>
  <c r="R21" i="7"/>
  <c r="T21" i="7" s="1"/>
  <c r="V21" i="7" s="1"/>
  <c r="W21" i="7" s="1"/>
  <c r="R84" i="7"/>
  <c r="S84" i="7"/>
  <c r="R57" i="7"/>
  <c r="S57" i="7"/>
  <c r="S36" i="7"/>
  <c r="R36" i="7"/>
  <c r="R44" i="7"/>
  <c r="S44" i="7"/>
  <c r="H32" i="16"/>
  <c r="H33" i="15"/>
  <c r="H29" i="12"/>
  <c r="H30" i="13"/>
  <c r="M30" i="13" s="1"/>
  <c r="O30" i="13" s="1"/>
  <c r="P30" i="13" s="1"/>
  <c r="H18" i="11"/>
  <c r="J29" i="10"/>
  <c r="H26" i="9"/>
  <c r="AK89" i="2"/>
  <c r="I18" i="7"/>
  <c r="J33" i="4"/>
  <c r="AJ89" i="2"/>
  <c r="Y36" i="19"/>
  <c r="Z36" i="19" s="1"/>
  <c r="R86" i="7"/>
  <c r="S86" i="7"/>
  <c r="R45" i="7"/>
  <c r="T45" i="7" s="1"/>
  <c r="V45" i="7" s="1"/>
  <c r="W45" i="7" s="1"/>
  <c r="S45" i="7"/>
  <c r="AL151" i="2"/>
  <c r="AM151" i="2" s="1"/>
  <c r="H65" i="16"/>
  <c r="H66" i="15"/>
  <c r="H60" i="13"/>
  <c r="M60" i="13" s="1"/>
  <c r="O60" i="13" s="1"/>
  <c r="P60" i="13" s="1"/>
  <c r="H35" i="11"/>
  <c r="H60" i="12"/>
  <c r="J60" i="10"/>
  <c r="H57" i="9"/>
  <c r="I34" i="7"/>
  <c r="AJ127" i="2"/>
  <c r="AK127" i="2"/>
  <c r="J66" i="4"/>
  <c r="H17" i="16"/>
  <c r="H17" i="15"/>
  <c r="H16" i="13"/>
  <c r="M16" i="13" s="1"/>
  <c r="O16" i="13" s="1"/>
  <c r="P16" i="13" s="1"/>
  <c r="H16" i="12"/>
  <c r="H8" i="11"/>
  <c r="J16" i="10"/>
  <c r="H14" i="9"/>
  <c r="AJ69" i="2"/>
  <c r="I8" i="7"/>
  <c r="J16" i="4"/>
  <c r="AK69" i="2"/>
  <c r="Y78" i="19"/>
  <c r="Z78" i="19" s="1"/>
  <c r="H45" i="16"/>
  <c r="H46" i="15"/>
  <c r="H40" i="12"/>
  <c r="H40" i="13"/>
  <c r="M40" i="13" s="1"/>
  <c r="O40" i="13" s="1"/>
  <c r="P40" i="13" s="1"/>
  <c r="J40" i="10"/>
  <c r="H38" i="9"/>
  <c r="J46" i="4"/>
  <c r="I66" i="7"/>
  <c r="AJ106" i="2"/>
  <c r="AK106" i="2"/>
  <c r="R3" i="7"/>
  <c r="S3" i="7"/>
  <c r="T88" i="7" l="1"/>
  <c r="V88" i="7" s="1"/>
  <c r="W88" i="7" s="1"/>
  <c r="T27" i="7"/>
  <c r="V27" i="7" s="1"/>
  <c r="W27" i="7" s="1"/>
  <c r="T46" i="7"/>
  <c r="V46" i="7" s="1"/>
  <c r="W46" i="7" s="1"/>
  <c r="R15" i="7"/>
  <c r="S15" i="7"/>
  <c r="R37" i="7"/>
  <c r="S37" i="7"/>
  <c r="R28" i="7"/>
  <c r="T28" i="7" s="1"/>
  <c r="V28" i="7" s="1"/>
  <c r="W28" i="7" s="1"/>
  <c r="S28" i="7"/>
  <c r="T36" i="7"/>
  <c r="V36" i="7" s="1"/>
  <c r="W36" i="7" s="1"/>
  <c r="AL156" i="2"/>
  <c r="AM156" i="2" s="1"/>
  <c r="T73" i="7"/>
  <c r="V73" i="7" s="1"/>
  <c r="W73" i="7" s="1"/>
  <c r="AL171" i="2"/>
  <c r="AM171" i="2" s="1"/>
  <c r="AL112" i="2"/>
  <c r="AM112" i="2" s="1"/>
  <c r="T59" i="7"/>
  <c r="V59" i="7" s="1"/>
  <c r="W59" i="7" s="1"/>
  <c r="T48" i="7"/>
  <c r="V48" i="7" s="1"/>
  <c r="W48" i="7" s="1"/>
  <c r="R24" i="7"/>
  <c r="S24" i="7"/>
  <c r="T3" i="7"/>
  <c r="V3" i="7" s="1"/>
  <c r="W3" i="7" s="1"/>
  <c r="AL159" i="2"/>
  <c r="AM159" i="2" s="1"/>
  <c r="T56" i="7"/>
  <c r="V56" i="7" s="1"/>
  <c r="W56" i="7" s="1"/>
  <c r="AL136" i="2"/>
  <c r="AM136" i="2" s="1"/>
  <c r="R85" i="7"/>
  <c r="S85" i="7"/>
  <c r="R47" i="7"/>
  <c r="S47" i="7"/>
  <c r="AL111" i="2"/>
  <c r="AM111" i="2" s="1"/>
  <c r="T32" i="7"/>
  <c r="V32" i="7" s="1"/>
  <c r="W32" i="7" s="1"/>
  <c r="T9" i="7"/>
  <c r="V9" i="7" s="1"/>
  <c r="W9" i="7" s="1"/>
  <c r="T11" i="7"/>
  <c r="V11" i="7" s="1"/>
  <c r="W11" i="7" s="1"/>
  <c r="AL44" i="2"/>
  <c r="AM44" i="2" s="1"/>
  <c r="T22" i="7"/>
  <c r="V22" i="7" s="1"/>
  <c r="W22" i="7" s="1"/>
  <c r="R16" i="7"/>
  <c r="S16" i="7"/>
  <c r="AL106" i="2"/>
  <c r="AM106" i="2" s="1"/>
  <c r="S8" i="7"/>
  <c r="R8" i="7"/>
  <c r="T8" i="7" s="1"/>
  <c r="V8" i="7" s="1"/>
  <c r="W8" i="7" s="1"/>
  <c r="S34" i="7"/>
  <c r="R34" i="7"/>
  <c r="T34" i="7" s="1"/>
  <c r="V34" i="7" s="1"/>
  <c r="W34" i="7" s="1"/>
  <c r="T13" i="7"/>
  <c r="V13" i="7" s="1"/>
  <c r="W13" i="7" s="1"/>
  <c r="AL123" i="2"/>
  <c r="AM123" i="2" s="1"/>
  <c r="T74" i="7"/>
  <c r="V74" i="7" s="1"/>
  <c r="W74" i="7" s="1"/>
  <c r="AL26" i="2"/>
  <c r="AM26" i="2" s="1"/>
  <c r="R89" i="7"/>
  <c r="S89" i="7"/>
  <c r="T5" i="7"/>
  <c r="V5" i="7" s="1"/>
  <c r="W5" i="7" s="1"/>
  <c r="AL119" i="2"/>
  <c r="AM119" i="2" s="1"/>
  <c r="T41" i="7"/>
  <c r="V41" i="7" s="1"/>
  <c r="W41" i="7" s="1"/>
  <c r="AL28" i="2"/>
  <c r="AM28" i="2" s="1"/>
  <c r="T52" i="7"/>
  <c r="V52" i="7" s="1"/>
  <c r="W52" i="7" s="1"/>
  <c r="T65" i="7"/>
  <c r="V65" i="7" s="1"/>
  <c r="W65" i="7" s="1"/>
  <c r="T53" i="7"/>
  <c r="V53" i="7" s="1"/>
  <c r="W53" i="7" s="1"/>
  <c r="T10" i="7"/>
  <c r="V10" i="7" s="1"/>
  <c r="W10" i="7" s="1"/>
  <c r="T43" i="7"/>
  <c r="V43" i="7" s="1"/>
  <c r="W43" i="7" s="1"/>
  <c r="T20" i="7"/>
  <c r="V20" i="7" s="1"/>
  <c r="W20" i="7" s="1"/>
  <c r="R66" i="7"/>
  <c r="S66" i="7"/>
  <c r="AL69" i="2"/>
  <c r="AM69" i="2" s="1"/>
  <c r="T86" i="7"/>
  <c r="V86" i="7" s="1"/>
  <c r="W86" i="7" s="1"/>
  <c r="R18" i="7"/>
  <c r="S18" i="7"/>
  <c r="T84" i="7"/>
  <c r="V84" i="7" s="1"/>
  <c r="W84" i="7" s="1"/>
  <c r="AL109" i="2"/>
  <c r="AM109" i="2" s="1"/>
  <c r="T42" i="7"/>
  <c r="V42" i="7" s="1"/>
  <c r="W42" i="7" s="1"/>
  <c r="T6" i="7"/>
  <c r="V6" i="7" s="1"/>
  <c r="W6" i="7" s="1"/>
  <c r="T39" i="7"/>
  <c r="V39" i="7" s="1"/>
  <c r="W39" i="7" s="1"/>
  <c r="R87" i="7"/>
  <c r="S87" i="7"/>
  <c r="T62" i="7"/>
  <c r="V62" i="7" s="1"/>
  <c r="W62" i="7" s="1"/>
  <c r="R49" i="7"/>
  <c r="S49" i="7"/>
  <c r="S30" i="7"/>
  <c r="R30" i="7"/>
  <c r="R51" i="7"/>
  <c r="S51" i="7"/>
  <c r="S4" i="7"/>
  <c r="R4" i="7"/>
  <c r="T4" i="7" s="1"/>
  <c r="V4" i="7" s="1"/>
  <c r="W4" i="7" s="1"/>
  <c r="AL127" i="2"/>
  <c r="AM127" i="2" s="1"/>
  <c r="AL89" i="2"/>
  <c r="AM89" i="2" s="1"/>
  <c r="T44" i="7"/>
  <c r="V44" i="7" s="1"/>
  <c r="W44" i="7" s="1"/>
  <c r="T57" i="7"/>
  <c r="V57" i="7" s="1"/>
  <c r="W57" i="7" s="1"/>
  <c r="S26" i="7"/>
  <c r="R26" i="7"/>
  <c r="R69" i="7"/>
  <c r="S69" i="7"/>
  <c r="T63" i="7"/>
  <c r="V63" i="7" s="1"/>
  <c r="W63" i="7" s="1"/>
  <c r="R76" i="7"/>
  <c r="S76" i="7"/>
  <c r="T68" i="7"/>
  <c r="V68" i="7" s="1"/>
  <c r="W68" i="7" s="1"/>
  <c r="T67" i="7"/>
  <c r="V67" i="7" s="1"/>
  <c r="W67" i="7" s="1"/>
  <c r="T78" i="7"/>
  <c r="V78" i="7" s="1"/>
  <c r="W78" i="7" s="1"/>
  <c r="T71" i="7"/>
  <c r="V71" i="7" s="1"/>
  <c r="W71" i="7" s="1"/>
  <c r="T40" i="7"/>
  <c r="V40" i="7" s="1"/>
  <c r="W40" i="7" s="1"/>
  <c r="T80" i="7"/>
  <c r="V80" i="7" s="1"/>
  <c r="W80" i="7" s="1"/>
  <c r="T37" i="7" l="1"/>
  <c r="V37" i="7" s="1"/>
  <c r="W37" i="7" s="1"/>
  <c r="T76" i="7"/>
  <c r="V76" i="7" s="1"/>
  <c r="W76" i="7" s="1"/>
  <c r="T85" i="7"/>
  <c r="V85" i="7" s="1"/>
  <c r="W85" i="7" s="1"/>
  <c r="T15" i="7"/>
  <c r="V15" i="7" s="1"/>
  <c r="W15" i="7" s="1"/>
  <c r="T26" i="7"/>
  <c r="V26" i="7" s="1"/>
  <c r="W26" i="7" s="1"/>
  <c r="T87" i="7"/>
  <c r="V87" i="7" s="1"/>
  <c r="W87" i="7" s="1"/>
  <c r="T30" i="7"/>
  <c r="V30" i="7" s="1"/>
  <c r="W30" i="7" s="1"/>
  <c r="T16" i="7"/>
  <c r="V16" i="7" s="1"/>
  <c r="W16" i="7" s="1"/>
  <c r="T47" i="7"/>
  <c r="V47" i="7" s="1"/>
  <c r="W47" i="7" s="1"/>
  <c r="T24" i="7"/>
  <c r="V24" i="7" s="1"/>
  <c r="W24" i="7" s="1"/>
  <c r="T51" i="7"/>
  <c r="V51" i="7" s="1"/>
  <c r="W51" i="7" s="1"/>
  <c r="T49" i="7"/>
  <c r="V49" i="7" s="1"/>
  <c r="W49" i="7" s="1"/>
  <c r="T69" i="7"/>
  <c r="V69" i="7" s="1"/>
  <c r="W69" i="7" s="1"/>
  <c r="T18" i="7"/>
  <c r="V18" i="7" s="1"/>
  <c r="W18" i="7" s="1"/>
  <c r="T66" i="7"/>
  <c r="V66" i="7" s="1"/>
  <c r="W66" i="7" s="1"/>
  <c r="T89" i="7"/>
  <c r="V89" i="7" s="1"/>
  <c r="W8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12" authorId="0" shapeId="0" xr:uid="{00000000-0006-0000-0100-000003000000}">
      <text>
        <r>
          <rPr>
            <sz val="11"/>
            <color theme="1"/>
            <rFont val="Calibri"/>
            <family val="2"/>
            <scheme val="minor"/>
          </rPr>
          <t>======
ID#AAABSVCFU9s
Zaid Siddique    (2024-07-25 07:27:58)
Health &amp; Personal Care›Personal Care›Shaving, Waxing &amp; Beard Care›Trimmers &amp; Body Groomers›Men's›Beard &amp; Moustache Trimmers</t>
        </r>
      </text>
    </comment>
    <comment ref="AR133" authorId="0" shapeId="0" xr:uid="{00000000-0006-0000-0100-000001000000}">
      <text>
        <r>
          <rPr>
            <sz val="11"/>
            <color theme="1"/>
            <rFont val="Calibri"/>
            <family val="2"/>
            <scheme val="minor"/>
          </rPr>
          <t>======
ID#AAABt9eYVwg
Kinjal Mehta    (2025-12-15 11:10:11)
exception to show proper discounts</t>
        </r>
      </text>
    </comment>
    <comment ref="AA154" authorId="0" shapeId="0" xr:uid="{00000000-0006-0000-0100-000002000000}">
      <text>
        <r>
          <rPr>
            <sz val="11"/>
            <color theme="1"/>
            <rFont val="Calibri"/>
            <family val="2"/>
            <scheme val="minor"/>
          </rPr>
          <t>======
ID#AAABaJ5ZgHc
Kinjal Mehta    (2024-12-20 06:17:07)
below 999 - 10%, above 999 - 12%</t>
        </r>
      </text>
    </comment>
  </commentList>
  <extLst>
    <ext xmlns:r="http://schemas.openxmlformats.org/officeDocument/2006/relationships" uri="GoogleSheetsCustomDataVersion2">
      <go:sheetsCustomData xmlns:go="http://customooxmlschemas.google.com/" r:id="rId1" roundtripDataSignature="AMtx7mgmOGzfnZDRZQT9N4gPB25hCwypQg=="/>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<sst xmlns="http://schemas.openxmlformats.org/spreadsheetml/2006/main" count="13009" uniqueCount="1787">
  <si>
    <t>Product Name</t>
  </si>
  <si>
    <t>SKU</t>
  </si>
  <si>
    <t>UPC/EAN</t>
  </si>
  <si>
    <t>Brand</t>
  </si>
  <si>
    <t>ASIN</t>
  </si>
  <si>
    <t>Model No.</t>
  </si>
  <si>
    <t>Description</t>
  </si>
  <si>
    <t>Color</t>
  </si>
  <si>
    <t>Fabric</t>
  </si>
  <si>
    <t>MRP</t>
  </si>
  <si>
    <t>HSN</t>
  </si>
  <si>
    <t>GST</t>
  </si>
  <si>
    <t>Quantity 1st Lot</t>
  </si>
  <si>
    <t>Sales</t>
  </si>
  <si>
    <t>FOB 1st Lot</t>
  </si>
  <si>
    <t>DP</t>
  </si>
  <si>
    <t>Gross Weight (kg)</t>
  </si>
  <si>
    <t>L</t>
  </si>
  <si>
    <t>W</t>
  </si>
  <si>
    <t>H</t>
  </si>
  <si>
    <t>Volumetric Weight</t>
  </si>
  <si>
    <t>Nexlev Falcon Series Gaming Chair with Fabric and Vegan Leather Upholstery - Black</t>
  </si>
  <si>
    <t>FBA75664</t>
  </si>
  <si>
    <t>Nexlev</t>
  </si>
  <si>
    <t>B0B5HCTGN5</t>
  </si>
  <si>
    <t>FD-22-BK</t>
  </si>
  <si>
    <t>Falcon Series Gaming Chair FD-22-BK</t>
  </si>
  <si>
    <t>Black</t>
  </si>
  <si>
    <t>Nexlev Falcon Series Gaming Chair with Fabric and Vegan Leather Upholstery - Red</t>
  </si>
  <si>
    <t>FBA75665</t>
  </si>
  <si>
    <t>B0B5HCG8MM</t>
  </si>
  <si>
    <t>FD-22-RD</t>
  </si>
  <si>
    <t>Falcon Series Gaming Chair FD-22-RD</t>
  </si>
  <si>
    <t>Red</t>
  </si>
  <si>
    <t>Nexlev Maverick Series Gaming Chair with Fabric Upholstery - Black</t>
  </si>
  <si>
    <t>FBA75666</t>
  </si>
  <si>
    <t>B0B5HB1HJH</t>
  </si>
  <si>
    <t>MF-22-BK</t>
  </si>
  <si>
    <t>Maverick Series Gaming Chair MF-22-BK</t>
  </si>
  <si>
    <t>Nexlev Maverick Series Gaming Chair with Fabric Upholstery - Red</t>
  </si>
  <si>
    <t>FBA75667</t>
  </si>
  <si>
    <t>B0B5HFGQGM</t>
  </si>
  <si>
    <t>MF-22-RD</t>
  </si>
  <si>
    <t>Maverick Series Gaming Chair MF-22-RD</t>
  </si>
  <si>
    <t>Nexlev Maverick Series Gaming Chair with Fabric Upholstery - Blue</t>
  </si>
  <si>
    <t>FBA75668</t>
  </si>
  <si>
    <t>B0B5F78LMB</t>
  </si>
  <si>
    <t>MF-22-BL</t>
  </si>
  <si>
    <t>Maverick Series Gaming Chair MF-22-BL</t>
  </si>
  <si>
    <t>Blue</t>
  </si>
  <si>
    <t>Nexlev Maverick Series Gaming Chair with Vegan Leather Upholstery - Black</t>
  </si>
  <si>
    <t>FBA75669</t>
  </si>
  <si>
    <t>B0B5HFG6W7</t>
  </si>
  <si>
    <t>ML-22-BK</t>
  </si>
  <si>
    <t>Maverick Series Gaming Chair ML-22-BK</t>
  </si>
  <si>
    <t>Leather</t>
  </si>
  <si>
    <t>Nexlev Maverick Series Gaming Chair with Vegan Leather Upholstery - Red</t>
  </si>
  <si>
    <t>FBA75670</t>
  </si>
  <si>
    <t>B0B5HDPTLC</t>
  </si>
  <si>
    <t>ML-22-RD</t>
  </si>
  <si>
    <t>Maverick Series Gaming Chair ML-22-RD</t>
  </si>
  <si>
    <t>Nexlev Maverick Series Gaming Chair with Vegan Leather Upholstery - Blue</t>
  </si>
  <si>
    <t>FBA75671</t>
  </si>
  <si>
    <t>B0B5HCN3TJ</t>
  </si>
  <si>
    <t>ML-22-BL</t>
  </si>
  <si>
    <t>Maverick Series Gaming Chair ML-22-BL</t>
  </si>
  <si>
    <t>Nexlev Chronicle Series Gaming RGB Microphone with Tripod</t>
  </si>
  <si>
    <t>FBA75955</t>
  </si>
  <si>
    <t>B0B5LM1FWP</t>
  </si>
  <si>
    <t>CM-22</t>
  </si>
  <si>
    <t>Chronicle Series Gaming RGB Microphone CM-22</t>
  </si>
  <si>
    <t>Nexlev Chronicle Series Gaming RGB Microphone with Shock Mount, Pop Filter, and Metal Stand</t>
  </si>
  <si>
    <t>FBA75956</t>
  </si>
  <si>
    <t>B0B5LL2ZQR</t>
  </si>
  <si>
    <t>CM-22 Pro</t>
  </si>
  <si>
    <t>Chronicle Series Gaming RGB Microphone CM-22 Pro</t>
  </si>
  <si>
    <t>Nexlev Falcon Series Footrest (Black)</t>
  </si>
  <si>
    <t>FBA75963</t>
  </si>
  <si>
    <t>B0B71QN43M</t>
  </si>
  <si>
    <t>FD-22-FR</t>
  </si>
  <si>
    <t>Falcon Series Footrest</t>
  </si>
  <si>
    <t>Nexlev Maverick Series Footrest (Black)</t>
  </si>
  <si>
    <t>FBA75964</t>
  </si>
  <si>
    <t>B0B71QY1TH</t>
  </si>
  <si>
    <t>ML-22-FR</t>
  </si>
  <si>
    <t>Maverick Series Footrest</t>
  </si>
  <si>
    <t>Nexlev 350mm Heavy Duty Aluminium Base (350mm aluminium base)</t>
  </si>
  <si>
    <t>FBA75967</t>
  </si>
  <si>
    <t>B0BC93W1V1</t>
  </si>
  <si>
    <t>AB-350</t>
  </si>
  <si>
    <t>350mm 
aluminium base</t>
  </si>
  <si>
    <t>SBOB</t>
  </si>
  <si>
    <t>SCCE</t>
  </si>
  <si>
    <t>SHYG</t>
  </si>
  <si>
    <t>SDEB</t>
  </si>
  <si>
    <t>SBLB</t>
  </si>
  <si>
    <t>SCJF</t>
  </si>
  <si>
    <t>SMAC</t>
  </si>
  <si>
    <t>Nexlev 350mm Heavy Duty Metal Base (350mm metal base)</t>
  </si>
  <si>
    <t>FBA75968</t>
  </si>
  <si>
    <t>B0BC99CYXD</t>
  </si>
  <si>
    <t>MB-350</t>
  </si>
  <si>
    <t>350mm 
metal base</t>
  </si>
  <si>
    <t>Majukhetra (West Bengal)</t>
  </si>
  <si>
    <t>Hyderabad (Telangana)</t>
  </si>
  <si>
    <t>Luhari Village (Haryana)</t>
  </si>
  <si>
    <t>Kolar (Karnataka)</t>
  </si>
  <si>
    <t>Coimbatore (Chennai)</t>
  </si>
  <si>
    <t>Kanchipuram (Tamil Nadu)</t>
  </si>
  <si>
    <t>Nexlev 350mm Heavy Duty Nylon Base (350mm nylon base 2)</t>
  </si>
  <si>
    <t>FBA75969</t>
  </si>
  <si>
    <t>B0BC93RS1L</t>
  </si>
  <si>
    <t>NB-350</t>
  </si>
  <si>
    <t xml:space="preserve">350mm nylon base </t>
  </si>
  <si>
    <t>Kolkata</t>
  </si>
  <si>
    <t>Hyderabad</t>
  </si>
  <si>
    <t>Delhi</t>
  </si>
  <si>
    <t>Bangalore</t>
  </si>
  <si>
    <t>Kerala</t>
  </si>
  <si>
    <t>Chennai</t>
  </si>
  <si>
    <t>Nexlev 4D Armrest for Chairs (4D Armrest)</t>
  </si>
  <si>
    <t>FBA75965</t>
  </si>
  <si>
    <t>B0BGXYD1ZP</t>
  </si>
  <si>
    <t>AR-4D</t>
  </si>
  <si>
    <t>4D Armrest</t>
  </si>
  <si>
    <t>Nexlev 3D Armrest for Chairs (3D Armrest)</t>
  </si>
  <si>
    <t>FBA75966</t>
  </si>
  <si>
    <t>B0BGXZB3CM</t>
  </si>
  <si>
    <t>AR-3D</t>
  </si>
  <si>
    <t>3D Armrest</t>
  </si>
  <si>
    <t>Nexlev Butterfly Tilt Mechanism (Butterfly Mechanism)</t>
  </si>
  <si>
    <t>FBA75973</t>
  </si>
  <si>
    <t>B0BGY2XKZ1</t>
  </si>
  <si>
    <t>BM-01</t>
  </si>
  <si>
    <t>Butterfly Mechanism</t>
  </si>
  <si>
    <t>Nexlev Frog Tilt Mechanism (Frog Mechanism)</t>
  </si>
  <si>
    <t>FBA75974</t>
  </si>
  <si>
    <t>B0BGY4MLKX</t>
  </si>
  <si>
    <t>FM-01</t>
  </si>
  <si>
    <t>Frog Mechanism</t>
  </si>
  <si>
    <t>Nexlev 75mm Racing Caster Wheels (75mm racing castor with lock)</t>
  </si>
  <si>
    <t>FBA75971</t>
  </si>
  <si>
    <t>B0BGY3223L</t>
  </si>
  <si>
    <t>RC-75</t>
  </si>
  <si>
    <t>75mm racing castor with lock</t>
  </si>
  <si>
    <t>Nexlev In-Line Rollerblade Casters for Chair (75mm  Silicon wheel)</t>
  </si>
  <si>
    <t>FBA75972</t>
  </si>
  <si>
    <t>B0BGY61JMN</t>
  </si>
  <si>
    <t>RB-75</t>
  </si>
  <si>
    <t>75mm  Silicon wheel</t>
  </si>
  <si>
    <t>Nexlev 60mm Nylon Caster Wheels (60mm PU castor)</t>
  </si>
  <si>
    <t>FBA75970</t>
  </si>
  <si>
    <t>B0BGY6R2YQ</t>
  </si>
  <si>
    <t>NC-60</t>
  </si>
  <si>
    <t>60mm PU castor</t>
  </si>
  <si>
    <t>Nexlev Gaming Chair Gaslift 80mm</t>
  </si>
  <si>
    <t>FBA76595</t>
  </si>
  <si>
    <t>GL-80</t>
  </si>
  <si>
    <t>80mm Gaslift</t>
  </si>
  <si>
    <t>Primary Channel</t>
  </si>
  <si>
    <t>Status</t>
  </si>
  <si>
    <t>Model</t>
  </si>
  <si>
    <t>Category L1</t>
  </si>
  <si>
    <t>Category L2</t>
  </si>
  <si>
    <t>Supplier Model</t>
  </si>
  <si>
    <t>OEM Name</t>
  </si>
  <si>
    <t>HSN Code</t>
  </si>
  <si>
    <t>Gross Weight</t>
  </si>
  <si>
    <t>CBM/Unit</t>
  </si>
  <si>
    <t>Vol. Weight</t>
  </si>
  <si>
    <t>FOB (USD)</t>
  </si>
  <si>
    <t>Latest FOB</t>
  </si>
  <si>
    <t>Freight+Clearance</t>
  </si>
  <si>
    <t>Duty and Surcharge</t>
  </si>
  <si>
    <t>NLC</t>
  </si>
  <si>
    <t>Referral Fee</t>
  </si>
  <si>
    <t>Fixed Closing Fee</t>
  </si>
  <si>
    <t>Fulfillment Fees</t>
  </si>
  <si>
    <t>Total FBA Fee</t>
  </si>
  <si>
    <t>AMS</t>
  </si>
  <si>
    <t xml:space="preserve">Coupon </t>
  </si>
  <si>
    <t>Returns Loss</t>
  </si>
  <si>
    <t>SMM</t>
  </si>
  <si>
    <t>18% GST in SP</t>
  </si>
  <si>
    <t>Business overhead expenses</t>
  </si>
  <si>
    <t>Cost of finance</t>
  </si>
  <si>
    <t>Margin</t>
  </si>
  <si>
    <t>Margin%</t>
  </si>
  <si>
    <t>BAU Deal SP</t>
  </si>
  <si>
    <t>Other Charges</t>
  </si>
  <si>
    <t>Juiter SP</t>
  </si>
  <si>
    <t>inventory</t>
  </si>
  <si>
    <t>MRP
(4X of nlc)</t>
  </si>
  <si>
    <t>Min Price</t>
  </si>
  <si>
    <t>Max Price</t>
  </si>
  <si>
    <t>Updated MRP</t>
  </si>
  <si>
    <t>Gross Margin</t>
  </si>
  <si>
    <t>Gross Margin %</t>
  </si>
  <si>
    <t>EAN</t>
  </si>
  <si>
    <t>Landed $ Rate</t>
  </si>
  <si>
    <t>Factor on landing</t>
  </si>
  <si>
    <t>Factor on FOB</t>
  </si>
  <si>
    <t>Rating</t>
  </si>
  <si>
    <t>No of Reviews</t>
  </si>
  <si>
    <t>Gaming</t>
  </si>
  <si>
    <t>Anji Bitai</t>
  </si>
  <si>
    <t>Nexlev Falcon Series Gaming Chair with Premium Fabric &amp; Vegan Leather, Memory Foam Neckrest &amp; Lumbar Cushion, 3D Armrests, Sturdy Nylon Base, Butterfly Mechanism, &amp; Class 4 Gaslift (Black, FD-22-BK)</t>
  </si>
  <si>
    <t>Nexlev Falcon Series Gaming Chair with Premium Fabric &amp; Vegan Leather, Memory Foam Neckrest &amp; Lumbar Cushion, 3D Armrests, Sturdy Nylon Base, Butterfly Mechanism, &amp; Class 4 Gaslift (Red, FD-22-RD)</t>
  </si>
  <si>
    <t>Nexlev Maverick Series Gaming Chair with Premium Fabric Upholstery, Memory Foam Lumbar Cushion, 4D Armrests, Heavy Duty Metal Base, Frog Mechanism, &amp; Class 4 Gaslift (Black, MF-22-BK)</t>
  </si>
  <si>
    <t>Nexlev Maverick Series Gaming Chair with Premium Fabric Upholstery, Memory Foam Lumbar Cushion, 4D Armrests, Heavy Duty Metal Base, Frog Mechanism, &amp; Class 4 Gaslift (Red &amp; Black, MF-22-RD)</t>
  </si>
  <si>
    <t>Nexlev Maverick Series Gaming Chair with Premium Fabric, Molded Foam Seat &amp; Back, Memory Foam Lumbar Cushion, 4D Armrests, Sturdy Metal Base, Frog Mechanism, &amp; Class 4 Gaslift (Blue, MF-22-BL)</t>
  </si>
  <si>
    <t>Nexlev Maverick Series Gaming Chair with Premium Vegan Leather Upholstery, Memory Foam Lumbar Cushion, 4D Armrests, Sturdy Metal Base, Frog Mechanism, and Class 4 Gaslift (Black, ML-22-BK)</t>
  </si>
  <si>
    <t>Nexlev Maverick Series Gaming Chair with Premium Vegan Leather Upholstery, Memory Foam Lumbar Cushion, 4D Armrests, Sturdy Metal Base, Frog Mechanism, and Class 4 Gaslift (Red &amp; Black, ML-22-RD)</t>
  </si>
  <si>
    <t>C-04</t>
  </si>
  <si>
    <t>Nexlev Maverick Series Gaming Chair with Premium Vegan Leather Upholstery, Memory Foam Lumbar Cushion, 4D Armrests, Sturdy Metal Base, Frog Mechanism, and Class 4 Gaslift (Blue and Black, ML-22-BL)</t>
  </si>
  <si>
    <t>Nexlev USB Condenser Microphone Kit With Tripod For Gaming, Streaming &amp; Meeting, Plug &amp; Play, 2-In-1 Cable For Windows, MAC &amp; PS4/5, No-Latency Monitoring, One Button Mute &amp; Volume Control (CM-22)</t>
  </si>
  <si>
    <t>Nexlev USB Condenser Microphone for YouTube,Gaming, Meeting &amp; Recording on Mac OS,Windows &amp; PS 4/5 with Pop Filter, Shock Mount &amp; Tripod, No Latency Monitoring,Volume Control &amp; Mute Button(CM-22 PRO)</t>
  </si>
  <si>
    <t>Nexlev Falcon Series Footrest with Premium Fabric and Vegan Leather Upholstery (Black)</t>
  </si>
  <si>
    <t>Nexlev Maverick Series Footrest with Vegan Leather Upholstery (Black)</t>
  </si>
  <si>
    <t>Nexlev 350mm Heavy Duty Aluminium Base</t>
  </si>
  <si>
    <t>Nexlev 350mm Heavy Duty Metal Base</t>
  </si>
  <si>
    <t>Nexlev 350mm Heavy Duty Base</t>
  </si>
  <si>
    <t>The 4D Armrest is adjustable in four dimensions. You can adjust them in height, forward/backward position, left/right as well as rotate them around their axis.</t>
  </si>
  <si>
    <t>3D Armrests can be adjusted in height, forward/backward position as well as can be rotated around their axis</t>
  </si>
  <si>
    <t>The butterfly tilt mechanism is actually an office chair tilt mechanism. Because its shape is like a butterfly with outstretched wings. People tend to use the butterfly tilt mechanism as its common name.</t>
  </si>
  <si>
    <t>The Frog Tilt Mechanism adjusts the angle of the seat. This reduces the pressure on the lower back, ensures proper posture, and alleviates blood flow to the legs and feet. When a person sits on a chair with a frog mechanism and leans back, his feet will remain on the ground which makes it more comfortable.</t>
  </si>
  <si>
    <t>75mm Racing Caster Wheels</t>
  </si>
  <si>
    <t>In-Line Rollerblade Casters for Chair</t>
  </si>
  <si>
    <t>60mm Nylon Caster Wheels</t>
  </si>
  <si>
    <t>ROTVAC ENTERPRISE</t>
  </si>
  <si>
    <t>80mm Class 4 Gaslift</t>
  </si>
  <si>
    <t>FBA78979</t>
  </si>
  <si>
    <t>B0CDPQXPC1</t>
  </si>
  <si>
    <t>GS-01</t>
  </si>
  <si>
    <t>Home &amp; Kitchen</t>
  </si>
  <si>
    <t>Fabric Care</t>
  </si>
  <si>
    <t>QH09</t>
  </si>
  <si>
    <t>Zhejiang Huaguang</t>
  </si>
  <si>
    <t>Nexlev Premium Garment Steamer-Mist</t>
  </si>
  <si>
    <t>Dollar Conversion Rate</t>
  </si>
  <si>
    <t>FBA78980</t>
  </si>
  <si>
    <t>B0CDPMX152</t>
  </si>
  <si>
    <t>GS-02</t>
  </si>
  <si>
    <t>QH09E</t>
  </si>
  <si>
    <t>Nexlev Garment Steamer - Swift</t>
  </si>
  <si>
    <t>40HQ Freight+Clearance</t>
  </si>
  <si>
    <t>FBA78981</t>
  </si>
  <si>
    <t>B0CDPP45BM</t>
  </si>
  <si>
    <t>SC-01</t>
  </si>
  <si>
    <t>Cleaning &amp; Vacumming</t>
  </si>
  <si>
    <t>C5</t>
  </si>
  <si>
    <t>Nexlev Steam Cleaner</t>
  </si>
  <si>
    <t>40HQ Usable CBM</t>
  </si>
  <si>
    <t>FBA78994</t>
  </si>
  <si>
    <t>B0CDQ98FDM</t>
  </si>
  <si>
    <t>NP-01</t>
  </si>
  <si>
    <t>Sports, Fitness &amp; Outdoors</t>
  </si>
  <si>
    <t>Travel Accessories</t>
  </si>
  <si>
    <t>Guangzhou Jibei</t>
  </si>
  <si>
    <t>Neck Pillow with Memory Foam and Striped Texture</t>
  </si>
  <si>
    <t xml:space="preserve">8904422503496	</t>
  </si>
  <si>
    <t>Fulfillment Rate/kg</t>
  </si>
  <si>
    <t>FBA78995</t>
  </si>
  <si>
    <t>B0CDQ55W2M</t>
  </si>
  <si>
    <t>NP-02</t>
  </si>
  <si>
    <t>Neck Pillow with Memory Foam (Dark Grey)</t>
  </si>
  <si>
    <t>Duty - Furniture</t>
  </si>
  <si>
    <t>FBA78996</t>
  </si>
  <si>
    <t>B0CDQ6G4TC</t>
  </si>
  <si>
    <t>NP-03</t>
  </si>
  <si>
    <t>Neck Pillow with Memory Foam (Grey)</t>
  </si>
  <si>
    <t>Duty - Small Appliances</t>
  </si>
  <si>
    <t>FBA78997</t>
  </si>
  <si>
    <t>B0CDQ5Y3YB</t>
  </si>
  <si>
    <t>NP-04</t>
  </si>
  <si>
    <t>Neck Pillow with Memory Foam (Blue)</t>
  </si>
  <si>
    <t>FBA78998</t>
  </si>
  <si>
    <t>B0CDQ5NBH8</t>
  </si>
  <si>
    <t>NP-05</t>
  </si>
  <si>
    <t>Neck Pillow with Memory Foam (Pink)</t>
  </si>
  <si>
    <t>FBA78999</t>
  </si>
  <si>
    <t>B0CFFQK45G</t>
  </si>
  <si>
    <t>TR-01</t>
  </si>
  <si>
    <t>D&amp;H Textile</t>
  </si>
  <si>
    <t>Nexlev Travel Blanket 50x60" (Black)</t>
  </si>
  <si>
    <t>FBA79000</t>
  </si>
  <si>
    <t>B0CFH2B2MV</t>
  </si>
  <si>
    <t>TR-02</t>
  </si>
  <si>
    <t>Nexlev Travel Blanket 50x60" (Navy)</t>
  </si>
  <si>
    <t>FBA79001</t>
  </si>
  <si>
    <t>B0CFH2C369</t>
  </si>
  <si>
    <t>TR-03</t>
  </si>
  <si>
    <t>Nexlev Travel Blanket 50x60" (Pink)</t>
  </si>
  <si>
    <t>FBA79002</t>
  </si>
  <si>
    <t>B0CFH5R7Y7</t>
  </si>
  <si>
    <t>TR-04</t>
  </si>
  <si>
    <t>Nexlev Travel Blanket 50x60" (Grey)</t>
  </si>
  <si>
    <t>FBA79003</t>
  </si>
  <si>
    <t>B0CFH6C6YM</t>
  </si>
  <si>
    <t>TR-05</t>
  </si>
  <si>
    <t>Nexlev Waterproof Picnic Blanket 40x65" (Grey)</t>
  </si>
  <si>
    <t>FBA79217</t>
  </si>
  <si>
    <t>B0C7GMKPP3</t>
  </si>
  <si>
    <t>WF100Wh-Light</t>
  </si>
  <si>
    <t>Pet Supplies</t>
  </si>
  <si>
    <t>Molly Tan</t>
  </si>
  <si>
    <t>NexLev Pet Water Fountain 2L</t>
  </si>
  <si>
    <t>FBA79218</t>
  </si>
  <si>
    <t>B0CQ2RKB68</t>
  </si>
  <si>
    <t>WF100BL-Light</t>
  </si>
  <si>
    <t>Pet Water Fountain WF100BL with Light without Adapter</t>
  </si>
  <si>
    <t>FBA79174</t>
  </si>
  <si>
    <t>B0CW1JJP9S</t>
  </si>
  <si>
    <t>DF-01-BK</t>
  </si>
  <si>
    <t>HPC</t>
  </si>
  <si>
    <t>Oral Care</t>
  </si>
  <si>
    <t>Y820</t>
  </si>
  <si>
    <t>Shenzhen Yuxinyuan Electronic Technology Co., Ltd.</t>
  </si>
  <si>
    <t>Nexlev Dental Flosser (Black)</t>
  </si>
  <si>
    <t>8904422503854</t>
  </si>
  <si>
    <t>FBA79228</t>
  </si>
  <si>
    <t>GS-03</t>
  </si>
  <si>
    <t>Nexlev Garment Steamer with Three Brushes</t>
  </si>
  <si>
    <t>Duty - Other Appliances</t>
  </si>
  <si>
    <t>FBA79229</t>
  </si>
  <si>
    <t>B0CQX9ZZMH</t>
  </si>
  <si>
    <t>GS-04</t>
  </si>
  <si>
    <t>Nexlev Garment Steamer with Touch Screen Breeze</t>
  </si>
  <si>
    <t>Duty - Flosser</t>
  </si>
  <si>
    <t>FBA79233</t>
  </si>
  <si>
    <t>B0CS69T7HF</t>
  </si>
  <si>
    <t>ET-01-BK</t>
  </si>
  <si>
    <t>Ningbo Oral</t>
  </si>
  <si>
    <t>Electric Toothbrush - Black - Humm</t>
  </si>
  <si>
    <t>Duty - Pet water fountain</t>
  </si>
  <si>
    <t>FBA79234</t>
  </si>
  <si>
    <t>B0CSG2JZ19</t>
  </si>
  <si>
    <t>ET-02-GN</t>
  </si>
  <si>
    <t>Electric Toothbrush - Green - Humm</t>
  </si>
  <si>
    <t>Surcharge</t>
  </si>
  <si>
    <t>FBA79258</t>
  </si>
  <si>
    <t>B0CSG3FC4G</t>
  </si>
  <si>
    <t>ET-03-BL</t>
  </si>
  <si>
    <t>Electric Toothbrush - Blue-One Mode-Sparkle</t>
  </si>
  <si>
    <t>FBA79392</t>
  </si>
  <si>
    <t>B0D2RRPX6B</t>
  </si>
  <si>
    <t>DB_BK_BL_GN</t>
  </si>
  <si>
    <t>Nexlev ET-01-BK, ET-02-GN &amp; ET-03-BL 3 Brush Combo Blue, Green and Black</t>
  </si>
  <si>
    <t>FBA79393</t>
  </si>
  <si>
    <t>B0D2RQPPW1</t>
  </si>
  <si>
    <t>DB_BK_GN</t>
  </si>
  <si>
    <t>Nexlev ET-01-BK, ET-02-GN 2 Brush Combo Black and Green</t>
  </si>
  <si>
    <t>FBA79394</t>
  </si>
  <si>
    <t>B0D2RQ11MT</t>
  </si>
  <si>
    <t>DB_BL-BK</t>
  </si>
  <si>
    <t>Nexlev ET-03-BL, ET-01-BK 2 Different colour brush combo Blue and Black</t>
  </si>
  <si>
    <t>FBA79395</t>
  </si>
  <si>
    <t>B0D2RPMDRD</t>
  </si>
  <si>
    <t>DB_BL-GN</t>
  </si>
  <si>
    <t>Nexlev ET-03-BL, ET-02-GN 2 Different colour brush combo Blue and Green</t>
  </si>
  <si>
    <t>FBA79396</t>
  </si>
  <si>
    <t>B0D2RQ42MM</t>
  </si>
  <si>
    <t>DB_2BK</t>
  </si>
  <si>
    <t>Nexlev ET-01-BK 2 Same colour brush combo of Black</t>
  </si>
  <si>
    <t>FBA79397</t>
  </si>
  <si>
    <t>B0D2RNMJTM</t>
  </si>
  <si>
    <t>DB_2GN</t>
  </si>
  <si>
    <t>Nexlev ET-02-GN 2 Same colour brush combo of Green</t>
  </si>
  <si>
    <t>FBA79398</t>
  </si>
  <si>
    <t>B0D2RPTRH5</t>
  </si>
  <si>
    <t>DB_2BL</t>
  </si>
  <si>
    <t>Nexlev ET-03-BL 2 Same colour brush combo of Blue</t>
  </si>
  <si>
    <t>FBA79399</t>
  </si>
  <si>
    <t>B0D2RQHHTX</t>
  </si>
  <si>
    <t>DB_3BK</t>
  </si>
  <si>
    <t>Nexlev ET-01-BK 3 Same colour brush combo of Black</t>
  </si>
  <si>
    <t>FBA79400</t>
  </si>
  <si>
    <t>B0D2RRZ3YD</t>
  </si>
  <si>
    <t>DB_3GN</t>
  </si>
  <si>
    <t>Nexlev ET-02-GN 3 Same colour brush combo of Green</t>
  </si>
  <si>
    <t>FBA79401</t>
  </si>
  <si>
    <t>B0D2RQW2QW</t>
  </si>
  <si>
    <t>DB_3BL</t>
  </si>
  <si>
    <t>Nexlev ET-03-BL 3 Same colour brush combo of Blue</t>
  </si>
  <si>
    <t>FBA79402</t>
  </si>
  <si>
    <t>B0D2RRJRRV</t>
  </si>
  <si>
    <t>DB_DF_BK</t>
  </si>
  <si>
    <t>Nexlev DF-01-BK Flosser &amp; ET-01-BK Black Brush Combo</t>
  </si>
  <si>
    <t>FBA79403</t>
  </si>
  <si>
    <t>B0D2RPTPTD</t>
  </si>
  <si>
    <t>DB_DF_GN</t>
  </si>
  <si>
    <t>Nexlev DF-01-BK Flosser &amp; ET-02-GN Green Brush Combo</t>
  </si>
  <si>
    <t>FBK79382</t>
  </si>
  <si>
    <t>B0D3GYYN67</t>
  </si>
  <si>
    <t>ET-01-BK-4B</t>
  </si>
  <si>
    <t>Nexlev ET-01-BK-4B Sonic Electric Toothbrush Humm - Black - 4 Brush Heads</t>
  </si>
  <si>
    <t>8904422504509</t>
  </si>
  <si>
    <t>FBK79383</t>
  </si>
  <si>
    <t>B0D3H36L1T</t>
  </si>
  <si>
    <t>ET-01-GN-4B</t>
  </si>
  <si>
    <t>Nexlev ET-01-GN-4B Sonic Electric Toothbrush Humm - Green  - 4 Brush Heads</t>
  </si>
  <si>
    <t>8904422504516</t>
  </si>
  <si>
    <t>FBA79375</t>
  </si>
  <si>
    <t>B0D2P6KF4N</t>
  </si>
  <si>
    <t>ET-03-BL_NE</t>
  </si>
  <si>
    <t>ET-03-BL_NE Nexlev Smart Smile Electric Toothbrush Skyblue</t>
  </si>
  <si>
    <t>FBA79373</t>
  </si>
  <si>
    <t>B0D2P5TGWK</t>
  </si>
  <si>
    <t>ET-01-BK_NE</t>
  </si>
  <si>
    <t>ET-01-BK_NE Nexlev Smart Smile Electric Toothbrush Black</t>
  </si>
  <si>
    <t>Upto 300 no referral</t>
  </si>
  <si>
    <t>FBA79374</t>
  </si>
  <si>
    <t>B0D2P7WLJB</t>
  </si>
  <si>
    <t>ET-02-GN_NE</t>
  </si>
  <si>
    <t>ET-02-GN_NE Nexlev Smart Smile Electric Toothbrush Green</t>
  </si>
  <si>
    <t>B0D45PFFM6</t>
  </si>
  <si>
    <t>Nexlev DF-01-BK Flosser &amp;  ET-01-BK Black Brush Combo</t>
  </si>
  <si>
    <t>Referral Fee (&lt;15001)</t>
  </si>
  <si>
    <t>FBA79262</t>
  </si>
  <si>
    <t>B0CYSMBCB8</t>
  </si>
  <si>
    <t>SC-02</t>
  </si>
  <si>
    <t>Ningbo Elmar</t>
  </si>
  <si>
    <t>Steam Cleaner-Shine</t>
  </si>
  <si>
    <t>Referral Fee (&gt;15000)</t>
  </si>
  <si>
    <t>FBA79263</t>
  </si>
  <si>
    <t>B0CYSLCRQS</t>
  </si>
  <si>
    <t>MR-01</t>
  </si>
  <si>
    <t>Smart Care Mite Remover (Nexlev Dust Mite UV)</t>
  </si>
  <si>
    <t>8904422504080</t>
  </si>
  <si>
    <t>FBA79436</t>
  </si>
  <si>
    <t>B0DGTGKPJR</t>
  </si>
  <si>
    <t>HF-MR-01</t>
  </si>
  <si>
    <t>Dust Mite Remover Hepa Filter</t>
  </si>
  <si>
    <t>Returns and Repairs</t>
  </si>
  <si>
    <t>FBA79265</t>
  </si>
  <si>
    <t>B0D2LHNS9B</t>
  </si>
  <si>
    <t>CR-01</t>
  </si>
  <si>
    <t>Skin Care</t>
  </si>
  <si>
    <t>ANIONTE INTERNATIONAL(ZHE JIANG) CO., LTD</t>
  </si>
  <si>
    <t>Smooth Sole Callus Remover</t>
  </si>
  <si>
    <t>Overheads</t>
  </si>
  <si>
    <t>FBA79266</t>
  </si>
  <si>
    <t>B0D2LGR3GG</t>
  </si>
  <si>
    <t>T-01</t>
  </si>
  <si>
    <t>Trimmers &amp; Body Groomers</t>
  </si>
  <si>
    <t>Velvet Vibe Multi-Trimmer</t>
  </si>
  <si>
    <t>8904422504059</t>
  </si>
  <si>
    <t>Finance</t>
  </si>
  <si>
    <t>FBA79267</t>
  </si>
  <si>
    <t>B0D2LD6BYJ</t>
  </si>
  <si>
    <t>T-02</t>
  </si>
  <si>
    <t>Velvet Vibe Plus Multi-Trimmer</t>
  </si>
  <si>
    <t>8904422504066</t>
  </si>
  <si>
    <t>Coupon</t>
  </si>
  <si>
    <t>FBA79268</t>
  </si>
  <si>
    <t>B0D383WQPB</t>
  </si>
  <si>
    <t>GS-05</t>
  </si>
  <si>
    <t>Nexlev Smart Care Travel Steamer - Nomad</t>
  </si>
  <si>
    <t>FBA79269</t>
  </si>
  <si>
    <t>LR-01</t>
  </si>
  <si>
    <t xml:space="preserve">Nexlev Fabric Lint Remover </t>
  </si>
  <si>
    <t>AMS -HPC</t>
  </si>
  <si>
    <t>FBA79271</t>
  </si>
  <si>
    <t>B0D83Q7L8W</t>
  </si>
  <si>
    <t>V-01</t>
  </si>
  <si>
    <t>Hair Care</t>
  </si>
  <si>
    <t>Nexlev Volumizer</t>
  </si>
  <si>
    <t>AMS- Hair care</t>
  </si>
  <si>
    <t>FBK79271</t>
  </si>
  <si>
    <t>B0DQ8W1RBV</t>
  </si>
  <si>
    <t>V-01 Rose Gold</t>
  </si>
  <si>
    <t>FBA79272</t>
  </si>
  <si>
    <t>B0D2LFMY48</t>
  </si>
  <si>
    <t>HS-01</t>
  </si>
  <si>
    <t>Hair Straightner - Black</t>
  </si>
  <si>
    <t>FBA79273</t>
  </si>
  <si>
    <t>B0D2LKB4BJ</t>
  </si>
  <si>
    <t>HS-02</t>
  </si>
  <si>
    <t>Hair Straightner - Purple</t>
  </si>
  <si>
    <t>SKU Cancelled</t>
  </si>
  <si>
    <t>FBA79275</t>
  </si>
  <si>
    <t>HD-01</t>
  </si>
  <si>
    <t>Hair Dryer</t>
  </si>
  <si>
    <t>HD-02</t>
  </si>
  <si>
    <t>Hair Dryer-Ionic</t>
  </si>
  <si>
    <t>FBA79453</t>
  </si>
  <si>
    <t>HS-01_NE</t>
  </si>
  <si>
    <t>Nexlev Hair Straightener - Black New</t>
  </si>
  <si>
    <t>FBA79454</t>
  </si>
  <si>
    <t>HS-02_NE</t>
  </si>
  <si>
    <t>Nexlev Hair Straightener - Purple New</t>
  </si>
  <si>
    <t>FBA79276</t>
  </si>
  <si>
    <t>B0D2LJSQXZ</t>
  </si>
  <si>
    <t>SM-01</t>
  </si>
  <si>
    <t>Steam Mop</t>
  </si>
  <si>
    <t>8904422504202</t>
  </si>
  <si>
    <t>FBA79277</t>
  </si>
  <si>
    <t>B0D672NXC8</t>
  </si>
  <si>
    <t>SC-03</t>
  </si>
  <si>
    <t>Steam Cleaner-Heavy Duty</t>
  </si>
  <si>
    <t>FBA79279</t>
  </si>
  <si>
    <t>B0D8445KJN</t>
  </si>
  <si>
    <t>Ningbo Shunway Electrical Appliances CO.,LTD</t>
  </si>
  <si>
    <t>Nexlev Lint Remover - Mini</t>
  </si>
  <si>
    <t>FBA79280</t>
  </si>
  <si>
    <t>B0D845B2DG</t>
  </si>
  <si>
    <t>LR-02</t>
  </si>
  <si>
    <t xml:space="preserve">Nexlev Lint Remover </t>
  </si>
  <si>
    <t>FBA79278</t>
  </si>
  <si>
    <t>B0D86ZC9YT</t>
  </si>
  <si>
    <t>NINGBO MICROSOYA ELECTRIC APPLIANCE CO.,LTD</t>
  </si>
  <si>
    <t>Nexlev Hair Dryer</t>
  </si>
  <si>
    <t>FBA79332</t>
  </si>
  <si>
    <t xml:space="preserve">B0D63FKYZ5
</t>
  </si>
  <si>
    <t>HM-01</t>
  </si>
  <si>
    <t>Wenzhou Huifan Electric Appliances Co., Ltd.</t>
  </si>
  <si>
    <t>Scalp Massager</t>
  </si>
  <si>
    <t>FBA79462</t>
  </si>
  <si>
    <t>B0D8TKMRM4</t>
  </si>
  <si>
    <t>Scalp Massager-Pet Version</t>
  </si>
  <si>
    <t>FBA79333</t>
  </si>
  <si>
    <t>B0D63DTKQB</t>
  </si>
  <si>
    <t>HM-02</t>
  </si>
  <si>
    <t>Shenzhen Phenitech Technology Co.,Ltd</t>
  </si>
  <si>
    <t>Scalp Massager Pro</t>
  </si>
  <si>
    <t>FBA79346</t>
  </si>
  <si>
    <t>B0D25LNDSY</t>
  </si>
  <si>
    <t>ETC-04-WH</t>
  </si>
  <si>
    <t>Electric Toothbrush - C Type - White-Sparkle Pro</t>
  </si>
  <si>
    <t>FBA79347</t>
  </si>
  <si>
    <t>B0D842173P</t>
  </si>
  <si>
    <t>ETC-05-PI</t>
  </si>
  <si>
    <t>Electric Toothbrush - C Type - Pink-Sparkle Pro</t>
  </si>
  <si>
    <t>FBA79349</t>
  </si>
  <si>
    <t>B0D9KDQCCM</t>
  </si>
  <si>
    <t>SW-01</t>
  </si>
  <si>
    <t>12% GST</t>
  </si>
  <si>
    <t>Portable Sewing Machine</t>
  </si>
  <si>
    <t>FBA79348</t>
  </si>
  <si>
    <t>B0D81DLSFT</t>
  </si>
  <si>
    <t>Nexlev Hair Dryer 1500W - Women</t>
  </si>
  <si>
    <t xml:space="preserve">FBA79461 </t>
  </si>
  <si>
    <t>Nexlev Hair Dryer 1500W - Men</t>
  </si>
  <si>
    <t>FBA79350</t>
  </si>
  <si>
    <t>B0D67727VG</t>
  </si>
  <si>
    <t>EA-01</t>
  </si>
  <si>
    <t>Shenzhen AIVIQIN Technology Co.,Ltd</t>
  </si>
  <si>
    <t>Electric Oil Applicator</t>
  </si>
  <si>
    <t>FBA79588</t>
  </si>
  <si>
    <t>B0DHRQPGGM</t>
  </si>
  <si>
    <t xml:space="preserve">EA-01 Pro </t>
  </si>
  <si>
    <t>Electric Oil Applicator - pro</t>
  </si>
  <si>
    <t>FBA79351</t>
  </si>
  <si>
    <t>B0D9KB2RTT</t>
  </si>
  <si>
    <t>LE-01</t>
  </si>
  <si>
    <t>Shenzhen Meisiyu Electronic Technology Co., Ltd.</t>
  </si>
  <si>
    <t>LED Face &amp; Skin Care Massager</t>
  </si>
  <si>
    <t>FBA79352</t>
  </si>
  <si>
    <t>B0D637B562</t>
  </si>
  <si>
    <t>WF-02-BL</t>
  </si>
  <si>
    <t>Shenzhen Aisi Technology Co., Ltd.</t>
  </si>
  <si>
    <t>Nexlev Pet Water Fountain 2L</t>
  </si>
  <si>
    <t>FBA79381</t>
  </si>
  <si>
    <t>B0D9KCNVNM</t>
  </si>
  <si>
    <t>ETR-06</t>
  </si>
  <si>
    <t>Oscillating Electric Toothbrush Sparkle Plus</t>
  </si>
  <si>
    <t>FBA79382</t>
  </si>
  <si>
    <t>Sonic Electric Toothbrush - 4 Brush Heads</t>
  </si>
  <si>
    <t>FBA79383</t>
  </si>
  <si>
    <t>B0D3QJ18GX</t>
  </si>
  <si>
    <t>FBA79404</t>
  </si>
  <si>
    <t>B0D9KFZYG8</t>
  </si>
  <si>
    <t>FS-01</t>
  </si>
  <si>
    <t>Ningbo Zhongjia Electrical Appliance Co., Ltd.</t>
  </si>
  <si>
    <t>Nexlev Face Steamer</t>
  </si>
  <si>
    <t>FBA79405</t>
  </si>
  <si>
    <t>B0D9KFP4MG</t>
  </si>
  <si>
    <t>HSB-03</t>
  </si>
  <si>
    <t>Cixi Utrust</t>
  </si>
  <si>
    <t>Nexlev Hair Straightener Brush</t>
  </si>
  <si>
    <t>FBA79406</t>
  </si>
  <si>
    <t>B0DCK3N2JJ</t>
  </si>
  <si>
    <t>HSB-04</t>
  </si>
  <si>
    <t>Nexlev Hair Straightener Brush - Portable</t>
  </si>
  <si>
    <t>FBA79439</t>
  </si>
  <si>
    <t>B0DCK7ZH5P</t>
  </si>
  <si>
    <t>MR-02</t>
  </si>
  <si>
    <t>Ningbo Baofumei Technology Co., Ltd.</t>
  </si>
  <si>
    <t xml:space="preserve">Nexlev Cordless Mite Remover </t>
  </si>
  <si>
    <t>FBA79440</t>
  </si>
  <si>
    <t>B0DCGHKRXX</t>
  </si>
  <si>
    <t>LE-02</t>
  </si>
  <si>
    <t>Shenzhen Hongyu Technology Co., Ltd.</t>
  </si>
  <si>
    <t>NEXLEV LED Light Therapy Comb</t>
  </si>
  <si>
    <t>FBA79443</t>
  </si>
  <si>
    <t>B0D9KFQG8Q</t>
  </si>
  <si>
    <t>LE-03</t>
  </si>
  <si>
    <t>Shenzhen Desida Technology Co., Ltd.</t>
  </si>
  <si>
    <t>NEXLEV Light Therapy Skin Scrubber</t>
  </si>
  <si>
    <t>FBA79452</t>
  </si>
  <si>
    <t>B0DCGHVN81</t>
  </si>
  <si>
    <t>VC-01</t>
  </si>
  <si>
    <t>Nexlev Stick Vacuum Cleaner</t>
  </si>
  <si>
    <t>FBA79451</t>
  </si>
  <si>
    <t>B0D9KCKY9F</t>
  </si>
  <si>
    <t>SS-01</t>
  </si>
  <si>
    <t>SHENZHEN YEDA TECHNOLOGY CO., LTD</t>
  </si>
  <si>
    <t>Nexlev Spin Scrubber</t>
  </si>
  <si>
    <t>FBA79463</t>
  </si>
  <si>
    <t>B0DCK56Q85</t>
  </si>
  <si>
    <t>VC-02</t>
  </si>
  <si>
    <t>Yuyao Boxiang Plastic Machinery Co., Ltd.</t>
  </si>
  <si>
    <t>Nexlev Portable vacuum cleaner - Duster Pro</t>
  </si>
  <si>
    <t xml:space="preserve">Blinkit </t>
  </si>
  <si>
    <t>Core</t>
  </si>
  <si>
    <t>FBA79464</t>
  </si>
  <si>
    <t>B0DFCDKMWR</t>
  </si>
  <si>
    <t>CM-01-BL</t>
  </si>
  <si>
    <t>Electric Massagers</t>
  </si>
  <si>
    <t>Shenzhen Ruishidi Technology Co., Ltd</t>
  </si>
  <si>
    <t>Nexlev Cramp Massager Blue</t>
  </si>
  <si>
    <t>FBA79472</t>
  </si>
  <si>
    <t>B0DFCDZWND</t>
  </si>
  <si>
    <t>CM-02-PR</t>
  </si>
  <si>
    <t>Nexlev Cramp Massager Purple</t>
  </si>
  <si>
    <t>FBA79466</t>
  </si>
  <si>
    <t>B0DFM4JZV9</t>
  </si>
  <si>
    <t>TI-01</t>
  </si>
  <si>
    <t>Car &amp; Motorbike</t>
  </si>
  <si>
    <t>Car Accessories</t>
  </si>
  <si>
    <t>Shanghai HiFly Industry Co.,Ltd</t>
  </si>
  <si>
    <t>Corded Tyre Inflator With Touch Control and Carry Pouch</t>
  </si>
  <si>
    <t>FBA79467</t>
  </si>
  <si>
    <t>B0DK9LYT4P</t>
  </si>
  <si>
    <t>TM-01</t>
  </si>
  <si>
    <t>NINGBO RIWEI ELECTRICAL APPLIANCES CO., LTD.</t>
  </si>
  <si>
    <t>Beard Boss Men Beard Trimmer</t>
  </si>
  <si>
    <t>FBA79699</t>
  </si>
  <si>
    <t>B0DTYDTKN8</t>
  </si>
  <si>
    <t>SPM-01</t>
  </si>
  <si>
    <t>Shenzhen FCY Technologies Co., Ltd.</t>
  </si>
  <si>
    <t xml:space="preserve">Nexlev Spin Mop </t>
  </si>
  <si>
    <t>FBA79469</t>
  </si>
  <si>
    <t>B0DCK4DR1B</t>
  </si>
  <si>
    <t>LE-04</t>
  </si>
  <si>
    <t>Nexlev Skin Lift Device</t>
  </si>
  <si>
    <t>FBA79473</t>
  </si>
  <si>
    <t>B0DJFH6RTL</t>
  </si>
  <si>
    <t>TI-02</t>
  </si>
  <si>
    <t>Yuyao Yiheng Automobile Supplies Co., Ltd.</t>
  </si>
  <si>
    <t xml:space="preserve">Nexlev Corded Tyre Inflator </t>
  </si>
  <si>
    <t>FBA79474</t>
  </si>
  <si>
    <t>B0DJFH4K8B</t>
  </si>
  <si>
    <t>TIC-03</t>
  </si>
  <si>
    <t>Nexlev Cordeless Tyre Inflator 4000mAh</t>
  </si>
  <si>
    <t>FBA79475</t>
  </si>
  <si>
    <t>B0DJFJZMC6</t>
  </si>
  <si>
    <t>TIC-04</t>
  </si>
  <si>
    <t>Nexlev Cordeless Tyre Inflator 6000mAh</t>
  </si>
  <si>
    <t>FBA79480</t>
  </si>
  <si>
    <t>B0DDC3GVZW</t>
  </si>
  <si>
    <t>VC-03</t>
  </si>
  <si>
    <t>Nexlev Car Vacuum Cleaner with safety feature</t>
  </si>
  <si>
    <t>FBA79481</t>
  </si>
  <si>
    <t>B0DFMRG2K4</t>
  </si>
  <si>
    <t>TM-02</t>
  </si>
  <si>
    <t>GUANGZHOU AIMEI INTELLIGENT TECHNOLOGY CO.,LTD</t>
  </si>
  <si>
    <t>NexLev Multi-Trimmer for Men</t>
  </si>
  <si>
    <t>FBA79484</t>
  </si>
  <si>
    <t xml:space="preserve">B0DNJF1BLS
</t>
  </si>
  <si>
    <t>CF-01</t>
  </si>
  <si>
    <t>Kitchen Appliances</t>
  </si>
  <si>
    <t>GUANGDONG RIMINI TECHNOLOGYCO.,LTD</t>
  </si>
  <si>
    <t>Nexlev Drip Coffee Maker</t>
  </si>
  <si>
    <t>8904422505179</t>
  </si>
  <si>
    <t>FBA79483</t>
  </si>
  <si>
    <t>B0DK9NRBWJ</t>
  </si>
  <si>
    <t>TM-03</t>
  </si>
  <si>
    <t>Nexlev Intimate Body Trimmer With Charging Base, Display and Light</t>
  </si>
  <si>
    <t>FBA79485</t>
  </si>
  <si>
    <t>B0DK9QNKK8</t>
  </si>
  <si>
    <t>TM-04</t>
  </si>
  <si>
    <t>Nexlev Intimate Body Trimmer and Nose Trimmer</t>
  </si>
  <si>
    <t>FBA79488</t>
  </si>
  <si>
    <t>B0DFCG2VGS</t>
  </si>
  <si>
    <t>KE-01</t>
  </si>
  <si>
    <t>ZHONGSHAN FOREVERGREEN ELECTRICAL APPLIANCE CO., LTD.</t>
  </si>
  <si>
    <t>Nexlev Multi-Purpose Food Kettle 1.8L</t>
  </si>
  <si>
    <t>FBA79489</t>
  </si>
  <si>
    <t>B0DFD123P5</t>
  </si>
  <si>
    <t>KE-02</t>
  </si>
  <si>
    <t>Nexlev Multi-Purpose Food Kettle 1.5L</t>
  </si>
  <si>
    <t>FBA79491</t>
  </si>
  <si>
    <t>LE-05</t>
  </si>
  <si>
    <t>Nexlev Skin Lift Device - Mini</t>
  </si>
  <si>
    <t>FBA79492</t>
  </si>
  <si>
    <t>B0DT6Y7KJM</t>
  </si>
  <si>
    <t>V-02</t>
  </si>
  <si>
    <t>NINGBO SAIDING ELECTRIC APPLIANCE CO.,LTD</t>
  </si>
  <si>
    <t>Nexlev Volumizer Straightener</t>
  </si>
  <si>
    <t>FBA79493</t>
  </si>
  <si>
    <t>B0DQCWRG3H</t>
  </si>
  <si>
    <t>V-03</t>
  </si>
  <si>
    <t>Nexlev Volumizer Dryer</t>
  </si>
  <si>
    <t>FBA79567</t>
  </si>
  <si>
    <t>B0DNJS23HS</t>
  </si>
  <si>
    <t>SC-04</t>
  </si>
  <si>
    <t>NINGBO SHENGYE ELECTRIC APPLIANCE CO.,LTD</t>
  </si>
  <si>
    <t>Nexlev 10 in 1 Steam Cleaner</t>
  </si>
  <si>
    <t>FBA79568</t>
  </si>
  <si>
    <t>SPM-02</t>
  </si>
  <si>
    <t>Nexlev Steam Spin Mop</t>
  </si>
  <si>
    <t>FBA79566</t>
  </si>
  <si>
    <t>B0DKJSCLBD</t>
  </si>
  <si>
    <t>VC-05</t>
  </si>
  <si>
    <t>Yuyao Boxiang Plastic Machinery Co., Ltd</t>
  </si>
  <si>
    <t>Nexlev Portable Vacuum Cleaner and Blower</t>
  </si>
  <si>
    <t>FBA79565</t>
  </si>
  <si>
    <t>B0DKJZDY72</t>
  </si>
  <si>
    <t>VC-04</t>
  </si>
  <si>
    <t>FBA79569</t>
  </si>
  <si>
    <t>B0DKJRML4K</t>
  </si>
  <si>
    <t>LE-06</t>
  </si>
  <si>
    <t>Nexlev LED Wand</t>
  </si>
  <si>
    <t>FBA79570</t>
  </si>
  <si>
    <t>B0DKJXRXKM</t>
  </si>
  <si>
    <t>BR-01</t>
  </si>
  <si>
    <t>Nexlev Black Head Remover</t>
  </si>
  <si>
    <t>FBA79571</t>
  </si>
  <si>
    <t>B0DKK12XWR</t>
  </si>
  <si>
    <t>IPL-01</t>
  </si>
  <si>
    <t>Nexlev IPL Hair Removal Device</t>
  </si>
  <si>
    <t>FBA79572</t>
  </si>
  <si>
    <t>B0DKJVWM8Q</t>
  </si>
  <si>
    <t>LE-07</t>
  </si>
  <si>
    <t>Nexlev LED Mask</t>
  </si>
  <si>
    <t>FBA79573</t>
  </si>
  <si>
    <t>B0DKK15YNJ</t>
  </si>
  <si>
    <t>EA-02</t>
  </si>
  <si>
    <t>Nexlev Oil Applicator Comb</t>
  </si>
  <si>
    <t>FBA79589</t>
  </si>
  <si>
    <t xml:space="preserve">B0DNJP9T35
</t>
  </si>
  <si>
    <t>SS-02</t>
  </si>
  <si>
    <t>Nexlev Spin Scrubber - mini</t>
  </si>
  <si>
    <t>FBA79590</t>
  </si>
  <si>
    <t>B0DM6BB3VT</t>
  </si>
  <si>
    <t>CFM-01</t>
  </si>
  <si>
    <t>Zhejiang Xilian Electronic Technology Co., Ltd.</t>
  </si>
  <si>
    <t>NexLev Calf Massager</t>
  </si>
  <si>
    <t>FBA79591</t>
  </si>
  <si>
    <t xml:space="preserve">B0DM66B2DW
</t>
  </si>
  <si>
    <t>KM-01</t>
  </si>
  <si>
    <t>NexLev Knee Massager</t>
  </si>
  <si>
    <t>FBA79592</t>
  </si>
  <si>
    <t xml:space="preserve">B0DMSMKRD9
</t>
  </si>
  <si>
    <t>NexLev Foot Massager</t>
  </si>
  <si>
    <t>FBA79593</t>
  </si>
  <si>
    <t xml:space="preserve">B0DMSSLXST
</t>
  </si>
  <si>
    <t>FM-02</t>
  </si>
  <si>
    <t>NexLev Foot Massager - Mini</t>
  </si>
  <si>
    <t>FBA79594</t>
  </si>
  <si>
    <t xml:space="preserve">B0DM6MG4ZH
</t>
  </si>
  <si>
    <t>EM-01</t>
  </si>
  <si>
    <t>NexLev Eye Massager</t>
  </si>
  <si>
    <t>FBA79595</t>
  </si>
  <si>
    <t xml:space="preserve">B0DMSHZXG2
</t>
  </si>
  <si>
    <t>EM-02</t>
  </si>
  <si>
    <t>NexLev Eye Massager - Pro</t>
  </si>
  <si>
    <t>FBA79596</t>
  </si>
  <si>
    <t xml:space="preserve">B0DMT19RWC
</t>
  </si>
  <si>
    <t>MG-01</t>
  </si>
  <si>
    <t>NexLev Massage Gun</t>
  </si>
  <si>
    <t>FBA79597</t>
  </si>
  <si>
    <t>B0DNJHKZ2G</t>
  </si>
  <si>
    <t>NexLev Back Massager</t>
  </si>
  <si>
    <t>FBA79598</t>
  </si>
  <si>
    <t xml:space="preserve">B0DNJJKBKG
</t>
  </si>
  <si>
    <t>BM-02</t>
  </si>
  <si>
    <t>NexLev Back and Shoulder Massager</t>
  </si>
  <si>
    <t>FBA79599</t>
  </si>
  <si>
    <t>B0DRD8J8R5</t>
  </si>
  <si>
    <t>VC-06</t>
  </si>
  <si>
    <t>NexLev Handheld Vacuum Cleaner</t>
  </si>
  <si>
    <t>FBA79652</t>
  </si>
  <si>
    <t>B0F43P6D23</t>
  </si>
  <si>
    <t>SC-05</t>
  </si>
  <si>
    <t>Cleaning &amp; Vacuuming</t>
  </si>
  <si>
    <t>Steam Cleaner-Shine Pro</t>
  </si>
  <si>
    <t>FBA79679</t>
  </si>
  <si>
    <t>B0DVC7VJP1</t>
  </si>
  <si>
    <t>ST-01</t>
  </si>
  <si>
    <t>Stand Mixer</t>
  </si>
  <si>
    <t>FBA79673</t>
  </si>
  <si>
    <t>B0FJG5PFGQ</t>
  </si>
  <si>
    <t>ETC-07-WH</t>
  </si>
  <si>
    <t>Oral care</t>
  </si>
  <si>
    <t>Electric Toothbrush - Type C- White</t>
  </si>
  <si>
    <t>FBA79674</t>
  </si>
  <si>
    <t>B0DV8XH455</t>
  </si>
  <si>
    <t>BM-03</t>
  </si>
  <si>
    <t>Massager</t>
  </si>
  <si>
    <t>Back and Shoulder Massager Pro</t>
  </si>
  <si>
    <t>FBA79675</t>
  </si>
  <si>
    <t>B0DV9MYK6S</t>
  </si>
  <si>
    <t>PM-01</t>
  </si>
  <si>
    <t>Handheld Percussion Massager</t>
  </si>
  <si>
    <t>FBA79676</t>
  </si>
  <si>
    <t>B0DV91JGF1</t>
  </si>
  <si>
    <t>HB-01</t>
  </si>
  <si>
    <t>Heated Wrap Belt</t>
  </si>
  <si>
    <t>FBA79677</t>
  </si>
  <si>
    <t>B0DVCBR11D</t>
  </si>
  <si>
    <t>NP-06</t>
  </si>
  <si>
    <t>Travel &amp; outdoor</t>
  </si>
  <si>
    <t>NexLev Donut Pillow - Blue</t>
  </si>
  <si>
    <t>FBA79678</t>
  </si>
  <si>
    <t>B0DVCDD5VC</t>
  </si>
  <si>
    <t>NP-07</t>
  </si>
  <si>
    <t>NexLev Donut Pillow - Grey</t>
  </si>
  <si>
    <t>FBA79683</t>
  </si>
  <si>
    <t>B0DVC9PRSD</t>
  </si>
  <si>
    <t>AP-01</t>
  </si>
  <si>
    <t>Air Purifier - 5 Speed</t>
  </si>
  <si>
    <t>FBA79684</t>
  </si>
  <si>
    <t>B0DVC9Q219</t>
  </si>
  <si>
    <t>AP-02</t>
  </si>
  <si>
    <t>Air Purifier - 3 Speed</t>
  </si>
  <si>
    <t>FBA79681</t>
  </si>
  <si>
    <t>B0DVC968P1</t>
  </si>
  <si>
    <t>HU-01</t>
  </si>
  <si>
    <t>Humidifier - Black</t>
  </si>
  <si>
    <t>FBA79682</t>
  </si>
  <si>
    <t>B0DVC8NYY2</t>
  </si>
  <si>
    <t>HU-02</t>
  </si>
  <si>
    <t>Humidifier - White</t>
  </si>
  <si>
    <t>FBA79685</t>
  </si>
  <si>
    <t>B0DV8V3Y88</t>
  </si>
  <si>
    <t>LE-08</t>
  </si>
  <si>
    <t>Microcurrent Facial Massager</t>
  </si>
  <si>
    <t>FBA79686</t>
  </si>
  <si>
    <t>B0DV94R4QD</t>
  </si>
  <si>
    <t>MGS-02</t>
  </si>
  <si>
    <t>Massage Gun - Mini</t>
  </si>
  <si>
    <t>FBA79687</t>
  </si>
  <si>
    <t>B0DV9CY3XR</t>
  </si>
  <si>
    <t>MGC-03</t>
  </si>
  <si>
    <t>Hot &amp; Cold Massage Gun</t>
  </si>
  <si>
    <t>FBA79688</t>
  </si>
  <si>
    <t>B0DV8TR64D</t>
  </si>
  <si>
    <t>MM-01</t>
  </si>
  <si>
    <t>Foldable Massage Mat</t>
  </si>
  <si>
    <t>FBA79689</t>
  </si>
  <si>
    <t>B0DVSZ2VVJ</t>
  </si>
  <si>
    <t>CFM-02</t>
  </si>
  <si>
    <t>Complete Leg Massager</t>
  </si>
  <si>
    <t>FBA79690</t>
  </si>
  <si>
    <t>B0DV931G48</t>
  </si>
  <si>
    <t>PM-02</t>
  </si>
  <si>
    <t>Percussion Massager - Mini</t>
  </si>
  <si>
    <t>FBA79692</t>
  </si>
  <si>
    <t>B0DVC58QPZ</t>
  </si>
  <si>
    <t>AP-03</t>
  </si>
  <si>
    <t>NexLev Air Purifier Mini</t>
  </si>
  <si>
    <t>FBA79693</t>
  </si>
  <si>
    <t>B0DVC91Q7J</t>
  </si>
  <si>
    <t>TM-05</t>
  </si>
  <si>
    <t>Vacuum Trimmer</t>
  </si>
  <si>
    <t>FBA79701</t>
  </si>
  <si>
    <t>VC-07</t>
  </si>
  <si>
    <t>NexLev Vacuum Cleaner with Mop</t>
  </si>
  <si>
    <t>FBA79707</t>
  </si>
  <si>
    <t>B0FJ1ZB4G9</t>
  </si>
  <si>
    <t>ETC-08-BL</t>
  </si>
  <si>
    <t>Electric Toothbrush - Type C- Blue</t>
  </si>
  <si>
    <t>FBA79809</t>
  </si>
  <si>
    <t>B0FJ8SFNRH</t>
  </si>
  <si>
    <t>KE-03</t>
  </si>
  <si>
    <t>Staunch</t>
  </si>
  <si>
    <t>NexLev Grand SS 1.8L Electric Kettle</t>
  </si>
  <si>
    <t>FBA79810</t>
  </si>
  <si>
    <t>B0FS7T8151</t>
  </si>
  <si>
    <t>MF-01</t>
  </si>
  <si>
    <t>Songtai</t>
  </si>
  <si>
    <t>NexLev Delite Milk Frother</t>
  </si>
  <si>
    <t>FBA79811</t>
  </si>
  <si>
    <t>B0FSF1N457</t>
  </si>
  <si>
    <t>MC-01</t>
  </si>
  <si>
    <t>Chuangtuoli</t>
  </si>
  <si>
    <t>NexLev ChopLite Electric Mini Chopper</t>
  </si>
  <si>
    <t>FBA79812</t>
  </si>
  <si>
    <t>B0FS6TB7CP</t>
  </si>
  <si>
    <t>PB-01</t>
  </si>
  <si>
    <t>XINFU</t>
  </si>
  <si>
    <t>NexLev TurboSip Portable Blender</t>
  </si>
  <si>
    <t>8904422506169</t>
  </si>
  <si>
    <t>FBA79819</t>
  </si>
  <si>
    <t>B0FT8R24QM</t>
  </si>
  <si>
    <t>LR-03</t>
  </si>
  <si>
    <t>Toshine</t>
  </si>
  <si>
    <t>Lint Remover - Battery Operated</t>
  </si>
  <si>
    <t>FBA79849</t>
  </si>
  <si>
    <t>B0FPGDVVCX</t>
  </si>
  <si>
    <t>CFM-03</t>
  </si>
  <si>
    <t>FBA79971</t>
  </si>
  <si>
    <t>B0GGHZWMVW</t>
  </si>
  <si>
    <t>SP-01</t>
  </si>
  <si>
    <t>Spot Cleaner</t>
  </si>
  <si>
    <t>FBA79984</t>
  </si>
  <si>
    <t>MR-03</t>
  </si>
  <si>
    <t>Mite Remover Pro</t>
  </si>
  <si>
    <t>FBA79988</t>
  </si>
  <si>
    <t>AP-04</t>
  </si>
  <si>
    <t>Air Purifier</t>
  </si>
  <si>
    <t>Air Purifier - AP180 Pro</t>
  </si>
  <si>
    <t>FBA79989</t>
  </si>
  <si>
    <t>CAP-05</t>
  </si>
  <si>
    <t xml:space="preserve">Car Air Purifier </t>
  </si>
  <si>
    <t>FBA79990</t>
  </si>
  <si>
    <t>AP-06</t>
  </si>
  <si>
    <t>Air Purifier - AP180 Plus</t>
  </si>
  <si>
    <t>FBA79991</t>
  </si>
  <si>
    <t>DH-01</t>
  </si>
  <si>
    <t>Dehumidifier - 1000ml</t>
  </si>
  <si>
    <t>FBA79992</t>
  </si>
  <si>
    <t>ST-02</t>
  </si>
  <si>
    <t>Stand Mixer - 6.2L</t>
  </si>
  <si>
    <t>FBA79993</t>
  </si>
  <si>
    <t>ST-03</t>
  </si>
  <si>
    <t>Stand Mixer - 8L</t>
  </si>
  <si>
    <t>Previous Price</t>
  </si>
  <si>
    <t>Business OH</t>
  </si>
  <si>
    <t>Total Cost</t>
  </si>
  <si>
    <t>Image ASIN</t>
  </si>
  <si>
    <t>July 2025 BAU Deal Price</t>
  </si>
  <si>
    <t>Live</t>
  </si>
  <si>
    <t>B0F9P5NFBK</t>
  </si>
  <si>
    <t>Neck Pillow with Memory Foam ( Grey)</t>
  </si>
  <si>
    <t>B0DTK4FY1G</t>
  </si>
  <si>
    <t>B0DCK7J87D</t>
  </si>
  <si>
    <t>Nexlev Lint Remover</t>
  </si>
  <si>
    <t>B0D63FKYZ5</t>
  </si>
  <si>
    <t>B0DMSMKRD9</t>
  </si>
  <si>
    <t>B0DM6MG4ZH</t>
  </si>
  <si>
    <t>B0DMSHZXG2</t>
  </si>
  <si>
    <t>B0DNJF1BLS</t>
  </si>
  <si>
    <t>Nexlev Cordless Mite Remover</t>
  </si>
  <si>
    <t>B0DNJP9T35</t>
  </si>
  <si>
    <t>FBA79468</t>
  </si>
  <si>
    <t>Nexlev Spin Mop</t>
  </si>
  <si>
    <t>Nexlev Corded Tyre Inflator</t>
  </si>
  <si>
    <t>Home &amp; Kitchen Appliances</t>
  </si>
  <si>
    <t>B0F29SZCVF</t>
  </si>
  <si>
    <t>B0DM66B2DW</t>
  </si>
  <si>
    <t>OOS</t>
  </si>
  <si>
    <t xml:space="preserve">FBA79596	</t>
  </si>
  <si>
    <t>B0DNJJKBKG</t>
  </si>
  <si>
    <t>B0DMSSLXST</t>
  </si>
  <si>
    <t>Supressed</t>
  </si>
  <si>
    <t>Shipping</t>
  </si>
  <si>
    <t>Marketing</t>
  </si>
  <si>
    <t>OH</t>
  </si>
  <si>
    <t>Margin %</t>
  </si>
  <si>
    <t>SP</t>
  </si>
  <si>
    <t>Amazon Price</t>
  </si>
  <si>
    <t>PID</t>
  </si>
  <si>
    <t>Product</t>
  </si>
  <si>
    <t>Logistics Cost</t>
  </si>
  <si>
    <t>Payment Gateway</t>
  </si>
  <si>
    <t>CRED SP</t>
  </si>
  <si>
    <t>Actual CRED SP</t>
  </si>
  <si>
    <t>Tier 1</t>
  </si>
  <si>
    <t>Tier 2</t>
  </si>
  <si>
    <t>Tier 3</t>
  </si>
  <si>
    <t>Active Price</t>
  </si>
  <si>
    <t>To be deactivated</t>
  </si>
  <si>
    <t>`cd335449-3c71-49a8-afda-1a2d46cc2d17</t>
  </si>
  <si>
    <t>Stock Added</t>
  </si>
  <si>
    <t>`3210bcef-2c94-4710-b5e3-658bc27ed492</t>
  </si>
  <si>
    <t>`60d8e95e-2f2b-4653-aaf1-85d269fd5ea2</t>
  </si>
  <si>
    <t>`86576626-012a-4de2-be95-340209cbe70f</t>
  </si>
  <si>
    <t>`515ad5cc-1daa-45f1-9725-ff84f527da04</t>
  </si>
  <si>
    <t>`2ba714a0-2506-4e81-8372-145c718a2bac</t>
  </si>
  <si>
    <t>`43223384-0eb5-4e30-bc80-c88fe2975d1e</t>
  </si>
  <si>
    <t>`f1c59177-d374-426d-9b01-59c562a3a94e</t>
  </si>
  <si>
    <t>`bff0f607-8dcc-45e5-99a3-34d2b225865c</t>
  </si>
  <si>
    <t>`4ec02a54-9f5e-499a-a3a3-7192b0ea418d</t>
  </si>
  <si>
    <t>`1116c34b-cd68-4f0a-abab-27ec0dbdc402</t>
  </si>
  <si>
    <t>`48491b20-afcc-4c45-9c4d-e03376d5c1d7</t>
  </si>
  <si>
    <t>`8066c048-02e8-44e3-a036-c9ab708fd88a</t>
  </si>
  <si>
    <t>`3e1a04c5-e01b-4985-a55d-d1336501fa39</t>
  </si>
  <si>
    <t>`fbbba7d9-a609-4c5d-bdc2-a5c122a56510</t>
  </si>
  <si>
    <t>`adb73ae4-496f-4ee7-aa1b-54a9c5448428</t>
  </si>
  <si>
    <t>`b2944feb-93cc-48da-8786-cbee9a07572a</t>
  </si>
  <si>
    <t>V-01RG</t>
  </si>
  <si>
    <t>`1cc6bfdd-4781-41cd-bfd6-05c4f70e15f2</t>
  </si>
  <si>
    <t>`c83902b3-9bf3-4cf7-9682-4f454b680409</t>
  </si>
  <si>
    <t>`14379ad1-94f0-4198-9d18-662aa571afc7</t>
  </si>
  <si>
    <t>NA</t>
  </si>
  <si>
    <t>`77e4a666-c841-48e2-993d-67e0b0284574</t>
  </si>
  <si>
    <t>`536e412e-bbec-4305-93a0-924b20d10c46</t>
  </si>
  <si>
    <t>`b1861d0f-9df7-426f-87c3-30e9ddecf315</t>
  </si>
  <si>
    <t>Stock to be added</t>
  </si>
  <si>
    <t>`85d2b0f7-d3e6-4f23-8009-8fda3ff78fd2</t>
  </si>
  <si>
    <t>`4a86bcc2-286a-41f3-b289-67e59e93dc80</t>
  </si>
  <si>
    <t>`0f407cb3-d150-4ad0-9422-b7a0c074d655</t>
  </si>
  <si>
    <t>`f764b781-778d-4caa-ac8d-b4bb9926ed88</t>
  </si>
  <si>
    <t>`65af20ad-a241-45b9-8eb0-e3beb5e35e69</t>
  </si>
  <si>
    <t>`fd1e991c-e313-440d-ac11-5aa90c4bef90</t>
  </si>
  <si>
    <t>`efb0b7f5-9dd1-40e3-86e6-ac171172d58b</t>
  </si>
  <si>
    <t>`4d697a9e-f893-4314-ac72-0b12ce6fc19d</t>
  </si>
  <si>
    <t>`bad9b51d-3c09-4ee5-8ac2-547129682e53</t>
  </si>
  <si>
    <t>`a18a34b5-8c90-4ed1-9f64-3568f33ff5be</t>
  </si>
  <si>
    <t>`d80a559a-fbbd-418e-9237-3d27a4db44fd</t>
  </si>
  <si>
    <t>`238425ab-b04c-45d6-ac0d-fe28672e1f3a</t>
  </si>
  <si>
    <t>`8f20fac5-cace-4281-8576-1018a9da0e2f</t>
  </si>
  <si>
    <t>`af8c86f8-6c6e-4ef6-9868-14bb47be6e65</t>
  </si>
  <si>
    <t>`f62f64f6-7f93-4caa-b180-5be0171cbd1f</t>
  </si>
  <si>
    <t>`50d51d89-ba6c-4f56-a48e-ea49394d275f</t>
  </si>
  <si>
    <t>`6f30ede1-1c9f-4cbc-8c4c-9ddf637d9a82</t>
  </si>
  <si>
    <t>`6abb13eb-df1c-4253-bdec-d49a9d409d5c</t>
  </si>
  <si>
    <t>`bea96dc8-9214-49ca-90d6-e72a0f0a0d88</t>
  </si>
  <si>
    <t>`b3b8c935-4548-45bd-9ad2-718cb4321fd8</t>
  </si>
  <si>
    <t>`7ffe1160-c578-460a-8360-5dba44a57d22</t>
  </si>
  <si>
    <t>`7f121384-fb36-4d2a-b116-4fbab506f4e5</t>
  </si>
  <si>
    <t>`dbd1c422-0d57-40a8-88a6-f093472a3618</t>
  </si>
  <si>
    <t>`13702ae3-0c90-4522-9614-16a6fe75d1c4</t>
  </si>
  <si>
    <t>`a8930b0f-2440-4d42-8f03-0c5a193981f7</t>
  </si>
  <si>
    <t>`88eab0ab-bf23-4049-9687-f2907fcb71ff</t>
  </si>
  <si>
    <t>`8a50f5ab-52ae-423a-ba83-1ff68dc20a53</t>
  </si>
  <si>
    <t>`66eee839-8bac-49ab-a0b6-cacc27a280c6</t>
  </si>
  <si>
    <t>`a4ebcf34-3af9-4ad4-b80c-9c165bc94dcc</t>
  </si>
  <si>
    <t>`2d803291-7d02-4bea-b034-ee6db04a5d0f</t>
  </si>
  <si>
    <t>`b22ecfb2-7ee0-47e4-b502-b571011ee589</t>
  </si>
  <si>
    <t>`6dfdc57d-7b15-41e5-abe2-b5ffc689e90e</t>
  </si>
  <si>
    <t>`86b41569-94e4-4e9b-8f10-a1dcbfad1d00</t>
  </si>
  <si>
    <t>`2da56add-3d62-4bd0-aa9f-0f9f7a2d3ee4</t>
  </si>
  <si>
    <t>`96e06d7b-9942-494c-ba65-bcba89aa10b9</t>
  </si>
  <si>
    <t>`0e57e9f2-7af2-4518-8e96-151267a5463a</t>
  </si>
  <si>
    <t>`d05abbbf-a322-41ff-8fbf-6fe9568614b1</t>
  </si>
  <si>
    <t>`90b6b358-7677-4b2c-9fbd-b5ee875c33c1</t>
  </si>
  <si>
    <t>`acc97aed-0018-43a2-b8f1-6b65f288838f</t>
  </si>
  <si>
    <t>`78a242ad-8eeb-4519-a021-ff62b3927a97</t>
  </si>
  <si>
    <t>`eed0894d-fb99-41e8-b95d-0d086e46ff01</t>
  </si>
  <si>
    <t>`d1800766-0146-4785-95e1-3e4dc1061452</t>
  </si>
  <si>
    <t>`2d0f2423-75ea-4b18-93e6-08538b1bfd0a</t>
  </si>
  <si>
    <t>`df91e03d-a73c-43e8-bb22-329bb1a9ebb3</t>
  </si>
  <si>
    <t>`8728c100-9d68-4e42-af3e-229c4b21d443</t>
  </si>
  <si>
    <t>`133055cd-5476-47da-9a44-e4607e96f525</t>
  </si>
  <si>
    <t>`e4839bb4-779b-4fc4-98b4-6399c25d414b</t>
  </si>
  <si>
    <t>`c24bc7dc-73a0-4da3-ad87-c1d069e2bbf3</t>
  </si>
  <si>
    <t>`d5bc1fd0-a097-4742-b341-b1c11a9d3283</t>
  </si>
  <si>
    <t>`a121c22f-e173-4d44-a393-1ebb23433b22</t>
  </si>
  <si>
    <t>`1ed2524b-4ee6-4b83-b0f1-d3b4e151680c</t>
  </si>
  <si>
    <t>`18848386-ce6a-45da-a690-dd47285fabab</t>
  </si>
  <si>
    <t>`dfef19e2-09bf-4f55-b3e0-0636b3213c46</t>
  </si>
  <si>
    <t>`9fd9fa7f-686b-4300-a772-34ed4d5d8fd1</t>
  </si>
  <si>
    <t>`c4c2c927-b7d6-4db2-b470-7f4df12f4e84</t>
  </si>
  <si>
    <t>Microcurrect Face &amp; Body lift device</t>
  </si>
  <si>
    <t>`8faee014-a1b2-4f18-bb80-014a463578b5</t>
  </si>
  <si>
    <t>`627f9fac-4266-470c-b503-475353a26dc4</t>
  </si>
  <si>
    <t>`e91447f5-270e-45d6-882d-c96063d85a29</t>
  </si>
  <si>
    <t>Milk Frother</t>
  </si>
  <si>
    <t>`7970bb54-3c35-43f1-8ee0-c4952a2168e3</t>
  </si>
  <si>
    <t>Multi Chopper</t>
  </si>
  <si>
    <t>`fc271eed-5c42-42c1-96fd-c487ab1bfddf</t>
  </si>
  <si>
    <t>Portable Blender</t>
  </si>
  <si>
    <t>`02450a44-4213-4e4b-976e-4b84eb467023</t>
  </si>
  <si>
    <t>Battery Operated Lint Remover</t>
  </si>
  <si>
    <t>Sr. No</t>
  </si>
  <si>
    <t>Myntra ID</t>
  </si>
  <si>
    <t>Code</t>
  </si>
  <si>
    <t>Landing</t>
  </si>
  <si>
    <t>Referral</t>
  </si>
  <si>
    <t>Return loss</t>
  </si>
  <si>
    <t>PG Cost</t>
  </si>
  <si>
    <t>Fixed Cost</t>
  </si>
  <si>
    <t>Ad Cost</t>
  </si>
  <si>
    <t>Total Myntra Cost</t>
  </si>
  <si>
    <t>Myntra % Cost</t>
  </si>
  <si>
    <t>Finance OH</t>
  </si>
  <si>
    <t>Myntra Live Pricing</t>
  </si>
  <si>
    <t>Actual SP as per BAU</t>
  </si>
  <si>
    <t>Amazon BAU</t>
  </si>
  <si>
    <t>Comission</t>
  </si>
  <si>
    <t>Discount</t>
  </si>
  <si>
    <t>MOP</t>
  </si>
  <si>
    <t>oos</t>
  </si>
  <si>
    <t xml:space="preserve">no additional discount </t>
  </si>
  <si>
    <t xml:space="preserve">5% discount </t>
  </si>
  <si>
    <t>5% discount</t>
  </si>
  <si>
    <t xml:space="preserve">EOL </t>
  </si>
  <si>
    <t>not to be given</t>
  </si>
  <si>
    <t xml:space="preserve">no addional discount </t>
  </si>
  <si>
    <t xml:space="preserve">IMP SKU </t>
  </si>
  <si>
    <t>not for HYPD</t>
  </si>
  <si>
    <t>IMP SKU</t>
  </si>
  <si>
    <t>B0DMT19RWC</t>
  </si>
  <si>
    <t>No Additional Discount</t>
  </si>
  <si>
    <t>Remove from HYPD</t>
  </si>
  <si>
    <t>Steam mop</t>
  </si>
  <si>
    <t>Bulk Shipping</t>
  </si>
  <si>
    <t>Returns</t>
  </si>
  <si>
    <t>Price as per terms</t>
  </si>
  <si>
    <t>Live Price</t>
  </si>
  <si>
    <t>To be Launched</t>
  </si>
  <si>
    <t>Listing Price</t>
  </si>
  <si>
    <t>Porduct Code</t>
  </si>
  <si>
    <t>Deal Price</t>
  </si>
  <si>
    <t xml:space="preserve">Final deal price </t>
  </si>
  <si>
    <t>Event Price</t>
  </si>
  <si>
    <t>Difference</t>
  </si>
  <si>
    <t xml:space="preserve">for DOD </t>
  </si>
  <si>
    <t>799/749</t>
  </si>
  <si>
    <t>949/999</t>
  </si>
  <si>
    <t>849/899</t>
  </si>
  <si>
    <t>399/449</t>
  </si>
  <si>
    <t>449/499</t>
  </si>
  <si>
    <t>899/949</t>
  </si>
  <si>
    <t>574/599</t>
  </si>
  <si>
    <t>Flosser</t>
  </si>
  <si>
    <t>Electric Water Kettle</t>
  </si>
  <si>
    <t>Snapmint ID</t>
  </si>
  <si>
    <t>Closing Fee</t>
  </si>
  <si>
    <t>Total Snapmint cost</t>
  </si>
  <si>
    <t>Snapmint % Cost</t>
  </si>
  <si>
    <t>BAU</t>
  </si>
  <si>
    <t>Logistics</t>
  </si>
  <si>
    <t>Billing</t>
  </si>
  <si>
    <t>Stock</t>
  </si>
  <si>
    <t>B0DKJSCLB</t>
  </si>
  <si>
    <t>Live SP</t>
  </si>
  <si>
    <t>3% Discount</t>
  </si>
  <si>
    <t>Inactive</t>
  </si>
  <si>
    <t>FBA79606</t>
  </si>
  <si>
    <t>LR-01-Blade</t>
  </si>
  <si>
    <t>FBA79607</t>
  </si>
  <si>
    <t>LR-02-Blade</t>
  </si>
  <si>
    <t>FBA79353</t>
  </si>
  <si>
    <t>Pet Fountain Filter</t>
  </si>
  <si>
    <t>FBA79354</t>
  </si>
  <si>
    <t>Pet Fountain Pump</t>
  </si>
  <si>
    <t>FBA79656</t>
  </si>
  <si>
    <t>SS-01 Set</t>
  </si>
  <si>
    <t>FBA79657</t>
  </si>
  <si>
    <t>SS-02 Spare</t>
  </si>
  <si>
    <t xml:space="preserve">B0DM6BB3VT
</t>
  </si>
  <si>
    <t>Net Margin</t>
  </si>
  <si>
    <t>Net Margin %</t>
  </si>
  <si>
    <t>UPC / EAN</t>
  </si>
  <si>
    <t>SP B2B with Gst</t>
  </si>
  <si>
    <t xml:space="preserve">FBA79682
</t>
  </si>
  <si>
    <t>Purchase Price incl GST</t>
  </si>
  <si>
    <t>Item ID</t>
  </si>
  <si>
    <t>Product Weight (Kg)</t>
  </si>
  <si>
    <t>Expansion Level</t>
  </si>
  <si>
    <t>Fulfillment</t>
  </si>
  <si>
    <t>Return</t>
  </si>
  <si>
    <t>Storage (2 M)</t>
  </si>
  <si>
    <t>Storage (3 M)</t>
  </si>
  <si>
    <t>Shipping (15/KG)</t>
  </si>
  <si>
    <t>Inwarding</t>
  </si>
  <si>
    <t>Blinkit Pricing</t>
  </si>
  <si>
    <t>MC Sticker Link</t>
  </si>
  <si>
    <t>Master Carton</t>
  </si>
  <si>
    <t>Remark</t>
  </si>
  <si>
    <t>Level 1</t>
  </si>
  <si>
    <t>https://drive.google.com/uc?export=download&amp;id=1UlMLexO4OUzeHevH7v_l570XMm9S56XQ</t>
  </si>
  <si>
    <t>https://drive.google.com/uc?export=download&amp;id=10m7QBBiIvxWF3xpCOeXDKVaXz2MiHhcU</t>
  </si>
  <si>
    <t>DISCONTINUED</t>
  </si>
  <si>
    <t>https://drive.google.com/uc?export=download&amp;id=1nFmi9bfmflqEQ_GgOThSVAx8QBOVj765</t>
  </si>
  <si>
    <t>Launch Awaited</t>
  </si>
  <si>
    <t>https://drive.google.com/uc?export=download&amp;id=1kAGNEyGFRPqlr2MlW2P_JVogmASuQzgc</t>
  </si>
  <si>
    <t>https://drive.google.com/uc?export=download&amp;id=1jimtz7xHl6aCv0NM0nd3WQnPa1Ed0K1b</t>
  </si>
  <si>
    <t>Level 4</t>
  </si>
  <si>
    <t>https://drive.google.com/uc?export=download&amp;id=1RCXDo_kyjntkvhHw0LEINpol-ly_HhFy</t>
  </si>
  <si>
    <t>https://drive.google.com/uc?export=download&amp;id=1Uav9ErwI1RmUuzyWROu4HioI3CnpRFw_</t>
  </si>
  <si>
    <t>https://drive.google.com/uc?export=download&amp;id=1wi8_mlbDX1oIFpZTlVFrFxheL7MJyy9f</t>
  </si>
  <si>
    <t>https://drive.google.com/uc?export=download&amp;id=1yJLFFt3H4fRU2BI_RPerKX8RSfoyw7KS</t>
  </si>
  <si>
    <t>https://drive.google.com/uc?export=download&amp;id=14uuM94arLsAEOcinA83FIXGkmgs-ai56</t>
  </si>
  <si>
    <t>https://drive.google.com/uc?export=download&amp;id=1uOUbi3yp9n7b-pmahSWafx0Yyw9aBN5M</t>
  </si>
  <si>
    <t>https://drive.google.com/uc?export=download&amp;id=1b054dW1vwFe3a8KhBPr7pS4urbHl0Vb4</t>
  </si>
  <si>
    <t>https://drive.google.com/uc?export=download&amp;id=1hp2mwVNcfmxD5hzvLK6wIYul92lRtOnb</t>
  </si>
  <si>
    <t>https://drive.google.com/uc?export=download&amp;id=1zw0x55nSRVr0xISBRBF67xaNArPRqpk9</t>
  </si>
  <si>
    <t>https://drive.google.com/uc?export=download&amp;id=1vK5U39yVCtSUvxo50NKTM4L9Ha9X83z1</t>
  </si>
  <si>
    <t>https://drive.google.com/uc?export=download&amp;id=12x4F8zy78mjJO85_3F6MdBsCk29BGnMh</t>
  </si>
  <si>
    <t>https://drive.google.com/uc?export=download&amp;id=1DDFuzwQGv5bas_NLWMLmmzoZ4MMEiP14</t>
  </si>
  <si>
    <t>https://drive.google.com/uc?export=download&amp;id=1m_FMqGt990ct-eIVZJmzzPnTcaTQM4M3</t>
  </si>
  <si>
    <t>https://drive.google.com/uc?export=download&amp;id=15yYCPtDqKBxjy47T8ZbKbudso0pRWaHe</t>
  </si>
  <si>
    <t>https://drive.google.com/uc?export=download&amp;id=1vfL502kjWKvOcJdGihVDwr8hff81wMjF</t>
  </si>
  <si>
    <t>https://drive.google.com/uc?export=download&amp;id=1My66HYJl5AgtMam0thnaQ_pCWBqqMmjm</t>
  </si>
  <si>
    <t>https://drive.google.com/uc?export=download&amp;id=1sCAxygIR9g-O-IO0BtQgRAITOyMieYB3</t>
  </si>
  <si>
    <t>https://drive.google.com/uc?export=download&amp;id=1qGDea2aGHWsXsjsniJX6ldSO36WwQmRy</t>
  </si>
  <si>
    <t>https://drive.google.com/uc?export=download&amp;id=1mj2z4EeUq4Nldpc0zfF7anI1Y4WvWfJf</t>
  </si>
  <si>
    <t>https://drive.google.com/uc?export=download&amp;id=18X8h7ah78CdkV4EIKDe1tb9AkeTWstZW</t>
  </si>
  <si>
    <t>https://drive.google.com/uc?export=download&amp;id=1fPKIQdPLH6aL8rBE3mQ301je872fFs29</t>
  </si>
  <si>
    <t>https://drive.google.com/uc?export=download&amp;id=14mDrE3VWnbgvQW8UDUspMiqrT7Xy8Lk5</t>
  </si>
  <si>
    <t>https://drive.google.com/uc?export=download&amp;id=1ghC_zurK4oY0hxn9GHgBBGjqQzk0hCWA</t>
  </si>
  <si>
    <t>https://drive.google.com/uc?export=download&amp;id=1SJNpuVD_Eris4n_-0hWT6F5Ox8_d6me1</t>
  </si>
  <si>
    <t>https://drive.google.com/uc?export=download&amp;id=1Bgygn7Q-p0NIE0GCXhTi3vjNXEindVaA</t>
  </si>
  <si>
    <t>https://drive.google.com/uc?export=download&amp;id=1o2HzjznKyOOC-SOh8TdLa6vZG6EVbfT6</t>
  </si>
  <si>
    <t>https://drive.google.com/uc?export=download&amp;id=1d0eD-pXxR1VQiAVCijnKhgKPYa-Y440e</t>
  </si>
  <si>
    <t>https://drive.google.com/uc?export=download&amp;id=1RJklKZmcAPKC8g21nYUAebt-3JQPDR5a</t>
  </si>
  <si>
    <t>https://drive.google.com/uc?export=download&amp;id=1rVOA4sJYM7cmH5iHYH9SrJtJrWuBqCQI</t>
  </si>
  <si>
    <t>https://drive.google.com/uc?export=download&amp;id=1KpBQBnCMAzdix_HwWHKmVxwjZIj-81Ad</t>
  </si>
  <si>
    <t>https://drive.google.com/uc?export=download&amp;id=1wy57hXSUe3zbLS1my_emXw5Fcm6m1TMX</t>
  </si>
  <si>
    <t>https://drive.google.com/uc?export=download&amp;id=1jqNZxOCZ9tQUQFtJvFoLHq9YVkDRZH6K</t>
  </si>
  <si>
    <t>https://drive.google.com/uc?export=download&amp;id=1yzyP3go4cnr40aCm8-UdwxrSXxFSYWKU</t>
  </si>
  <si>
    <t>https://drive.google.com/uc?export=download&amp;id=1TMCXECqjOWcHO3K6v9Ol43uaEJqVlfvv</t>
  </si>
  <si>
    <t>https://drive.google.com/uc?export=download&amp;id=1dhgvh2rheZxl7e6ivlc8apoziSGOwFBA</t>
  </si>
  <si>
    <t>https://drive.google.com/uc?export=download&amp;id=1Un6GKf-Q3J-C5dKfdT0A4z3PV92QIeOG</t>
  </si>
  <si>
    <t>https://drive.google.com/uc?export=download&amp;id=1xzeWfsG7DoSzhkNbgTHA43fTiWCuyxm_</t>
  </si>
  <si>
    <t>https://drive.google.com/uc?export=download&amp;id=1hyBNaG_L_RHQnh-k5vxkD3Y8mx2qFw1E</t>
  </si>
  <si>
    <t>https://drive.google.com/uc?export=download&amp;id=1TgtkYy422nOCXfhQNO7fck2TgYgoea1V</t>
  </si>
  <si>
    <t>https://drive.google.com/uc?export=download&amp;id=1tEvGbl4k8pliLVjhjZlLOlaF2-lKPNBt</t>
  </si>
  <si>
    <t>https://drive.google.com/uc?export=download&amp;id=1rVdbgsHO7R5Rs5U_8egmb1LmhgrKv55F</t>
  </si>
  <si>
    <t>https://drive.google.com/uc?export=download&amp;id=1bXMTOJMUDk7LzY0d5nEqT_Tw5h1qnZGj</t>
  </si>
  <si>
    <t>https://drive.google.com/uc?export=download&amp;id=1vZphjr9_1VQ_JfEziH2KF6XJ5av4u9kF</t>
  </si>
  <si>
    <t>https://drive.google.com/uc?export=download&amp;id=1kxrzoYf8iTFLPyI4E447bAEj6hKuT8g0</t>
  </si>
  <si>
    <t>https://drive.google.com/file/d/1aZtRY7KHrQGmwO1QlAQChup369fzq2cJ/view?usp=drive_link</t>
  </si>
  <si>
    <t xml:space="preserve">https://drive.google.com/uc?export=download&amp;id=1NoRUC_nZZXZg0GAebx26IEUyiFeE0TUJ
</t>
  </si>
  <si>
    <t>FBA75673</t>
  </si>
  <si>
    <t>B0B4DPX2J2</t>
  </si>
  <si>
    <t>Audio Array</t>
  </si>
  <si>
    <t>AM-C1</t>
  </si>
  <si>
    <t>Microphone Condenser</t>
  </si>
  <si>
    <t>USB Microphone Kit - Boomarm</t>
  </si>
  <si>
    <t>USB Condenser Microphone Kit</t>
  </si>
  <si>
    <t>https://drive.google.com/uc?export=download&amp;id=1hY4ooV_e3NoADSXzOQRDERx2fmhNr-1T</t>
  </si>
  <si>
    <t>FBA76864</t>
  </si>
  <si>
    <t>B0BPLZ5CGV</t>
  </si>
  <si>
    <t>AI-04</t>
  </si>
  <si>
    <t>Audio Interface</t>
  </si>
  <si>
    <t>2x2 Audio Interface</t>
  </si>
  <si>
    <t>https://drive.google.com/uc?export=download&amp;id=16g_OwQwrDHK3ZGYZrK8LhxMyFU5wcOr-</t>
  </si>
  <si>
    <t>FBA79380</t>
  </si>
  <si>
    <t>B0D3M1B4Z8</t>
  </si>
  <si>
    <t>AM-C46</t>
  </si>
  <si>
    <t>Condenser Mic with Boom Arm</t>
  </si>
  <si>
    <t>Professional RGB USB Condenser Microphone Kit</t>
  </si>
  <si>
    <t>https://drive.google.com/uc?export=download&amp;id=1Yn0rPOS6kgmB9PrmMZMpImsnTULzvnO9</t>
  </si>
  <si>
    <t>FBA79108</t>
  </si>
  <si>
    <t>B0CM9L1QZG</t>
  </si>
  <si>
    <t>AM-W16</t>
  </si>
  <si>
    <t>Microphone Wireless Lapel</t>
  </si>
  <si>
    <t>Wireless Lapel Microphone</t>
  </si>
  <si>
    <t>Solo Wireless Lapel Microphone</t>
  </si>
  <si>
    <t>https://drive.google.com/uc?export=download&amp;id=1QamRk7RXqoezowaRbvSDhDHe3goiV1_0</t>
  </si>
  <si>
    <t>FBA79109</t>
  </si>
  <si>
    <t>B0CM9HYVDM</t>
  </si>
  <si>
    <t>AM-W18</t>
  </si>
  <si>
    <t>Speaker Karaoke</t>
  </si>
  <si>
    <t>Microphone with Speaker</t>
  </si>
  <si>
    <t>Karaoke Speaker with Microphone</t>
  </si>
  <si>
    <t>https://drive.google.com/uc?export=download&amp;id=193wNRDtPPlRoe8j-nSg9p37-eAgmxnlk</t>
  </si>
  <si>
    <t>FBA79107</t>
  </si>
  <si>
    <t>B0CM9P5CCK</t>
  </si>
  <si>
    <t>AM-W17</t>
  </si>
  <si>
    <t>Dual Wireless Lapel Microphone</t>
  </si>
  <si>
    <t>https://drive.google.com/uc?export=download&amp;id=1XuljrxVUT18F-s2oO-45-E9F2VrmYEqc</t>
  </si>
  <si>
    <t>FBA79005</t>
  </si>
  <si>
    <t>B0CKHVHVQ1</t>
  </si>
  <si>
    <t>AM-W45</t>
  </si>
  <si>
    <t>Microphone Conference</t>
  </si>
  <si>
    <t>Wireless Conference Microphone</t>
  </si>
  <si>
    <t>Wireless Conference Microphone with Speaker</t>
  </si>
  <si>
    <t>https://drive.google.com/uc?export=download&amp;id=16w6gScSqR6pAX4zQ7EGtx6zQJVwTfay-</t>
  </si>
  <si>
    <t>FBA79708</t>
  </si>
  <si>
    <t>B0FFB6YJM1</t>
  </si>
  <si>
    <t>SB-01</t>
  </si>
  <si>
    <t>Sound Bar</t>
  </si>
  <si>
    <t>https://drive.google.com/uc?export=download&amp;id=1Ia9LosxloyK3h8Pp2KFtJVoi-msiDAlC</t>
  </si>
  <si>
    <t>FBA79612</t>
  </si>
  <si>
    <t>B0DP2WC5VW</t>
  </si>
  <si>
    <t>White Mulberry</t>
  </si>
  <si>
    <t>WM1ML</t>
  </si>
  <si>
    <t>Monitor Arm</t>
  </si>
  <si>
    <t>Wall Mounted Monitor Arm</t>
  </si>
  <si>
    <t>https://drive.google.com/uc?export=download&amp;id=1lSg-AA5dtwu5zv9Pe8ZjhxzixsLVhBnG</t>
  </si>
  <si>
    <t>FBA79478</t>
  </si>
  <si>
    <t>B0DB5W4TCP</t>
  </si>
  <si>
    <t>WM-HA1M-BK</t>
  </si>
  <si>
    <t>Desk Mounted Monitor Arm</t>
  </si>
  <si>
    <t>https://drive.google.com/uc?export=download&amp;id=1APpiQQiQLWOz_yhuDk7L9j_mdCjqRS_9</t>
  </si>
  <si>
    <t>₹ 324.5</t>
  </si>
  <si>
    <t>₹ 255.9</t>
  </si>
  <si>
    <t>₹ 290.7</t>
  </si>
  <si>
    <t>₹ 1,247.0</t>
  </si>
  <si>
    <t>Nelxev Model</t>
  </si>
  <si>
    <t>Lowest Comp. Price</t>
  </si>
  <si>
    <t>Comp 1</t>
  </si>
  <si>
    <t>Comp 2</t>
  </si>
  <si>
    <t>Comp 3</t>
  </si>
  <si>
    <t>Comp 4</t>
  </si>
  <si>
    <t>Comp 5</t>
  </si>
  <si>
    <t>https://blinkit.com/prn/digismart-electric-kettle-2000-w-mark-1-black/prid/612266</t>
  </si>
  <si>
    <t>https://blinkit.com/prn/longway-electric-kettle-1500w-kestro-silver/prid/638550</t>
  </si>
  <si>
    <t>https://blinkit.com/prn/home-lane-electric-milk-frother-multicolour/prid/680257</t>
  </si>
  <si>
    <t>https://blinkit.com/prn/pro365-electric-milk-frother-black/prid/629986</t>
  </si>
  <si>
    <t>https://blinkit.com/prn/cpensus-electric-frother-with-3-whiskers-stand-black-3w-309/prid/682847</t>
  </si>
  <si>
    <t>https://blinkit.com/prn/agaro-royal-electric-rechargeable-frother-with-whisk-black/prid/542055</t>
  </si>
  <si>
    <t>https://blinkit.com/prn/wonderchef-regalia-milk-frother-black-6w/prid/544663</t>
  </si>
  <si>
    <t>https://blinkit.com/prn/nev-usb-30-w-mini-chopper-dark-blue/prid/695627</t>
  </si>
  <si>
    <t>https://blinkit.com/prn/lifelong-wireless-electric-chopper-with-safety-start-lock-30w-llwc02-black-250-ml/prid/524678</t>
  </si>
  <si>
    <t>https://blinkit.com/prn/agaro-elite-rechargeable-mini-electric-chopper-30w-black-250-ml/prid/541850</t>
  </si>
  <si>
    <t>https://blinkit.com/prn/kilig-portable-rechargeable-150-w-hand-blender/prid/570241</t>
  </si>
  <si>
    <t>https://blinkit.com/prn/solara-blendkwik-portable-180-w-blender-for-juices-smoothies-black/prid/627046</t>
  </si>
  <si>
    <t>https://blinkit.com/prn/xech-portable-rechargeable-280-w-blender-white/prid/618886</t>
  </si>
  <si>
    <t>HS Code</t>
  </si>
  <si>
    <t>FOB</t>
  </si>
  <si>
    <t>Cambium Landing Price</t>
  </si>
  <si>
    <t>MCF Delivery Charges</t>
  </si>
  <si>
    <t>Warranty</t>
  </si>
  <si>
    <t>BAU Deal SP / 50%</t>
  </si>
  <si>
    <t>Website Price</t>
  </si>
  <si>
    <t>Air Purifier Mini</t>
  </si>
  <si>
    <t>Sr. No.</t>
  </si>
  <si>
    <t xml:space="preserve">Product </t>
  </si>
  <si>
    <t>Spare</t>
  </si>
  <si>
    <t>Cost</t>
  </si>
  <si>
    <t>Cost in Rupee</t>
  </si>
  <si>
    <t>GB Cost</t>
  </si>
  <si>
    <t>FBA79771</t>
  </si>
  <si>
    <t>B0F678L8YT</t>
  </si>
  <si>
    <t>2Towel + Small parts</t>
  </si>
  <si>
    <t>FBA79772</t>
  </si>
  <si>
    <t>B0F67BSF2R</t>
  </si>
  <si>
    <t>HEPA</t>
  </si>
  <si>
    <t>FBA79716</t>
  </si>
  <si>
    <t>B0F2MZ8CG9</t>
  </si>
  <si>
    <t>Mops</t>
  </si>
  <si>
    <t>B0F2N37819</t>
  </si>
  <si>
    <t>Blade</t>
  </si>
  <si>
    <t>B0F2N11VTN</t>
  </si>
  <si>
    <t>FBA79721</t>
  </si>
  <si>
    <t>B0F2N4N83Y</t>
  </si>
  <si>
    <t>FBA79773</t>
  </si>
  <si>
    <t>B0F679DPQL</t>
  </si>
  <si>
    <t>Small Attachment set</t>
  </si>
  <si>
    <t>FBA79774</t>
  </si>
  <si>
    <t>B0F678RRCX</t>
  </si>
  <si>
    <t>FBA79717</t>
  </si>
  <si>
    <t>B0F2MZ9BJS</t>
  </si>
  <si>
    <t>FBA79775</t>
  </si>
  <si>
    <t>B0F67775SH</t>
  </si>
  <si>
    <t>FBA79714</t>
  </si>
  <si>
    <t>B0F2N1HTBT</t>
  </si>
  <si>
    <t>FBA79843</t>
  </si>
  <si>
    <t>B0FMF1D9NV</t>
  </si>
  <si>
    <t>FBA79776</t>
  </si>
  <si>
    <t>B0F679QJH4</t>
  </si>
  <si>
    <t>B0F2N31GNX</t>
  </si>
  <si>
    <t>Attachment Set</t>
  </si>
  <si>
    <t>FBA79777</t>
  </si>
  <si>
    <t>B0F6795PDP</t>
  </si>
  <si>
    <t>FBA79778</t>
  </si>
  <si>
    <t>B0F67BW7SF</t>
  </si>
  <si>
    <t>Hooks (set of 3)</t>
  </si>
  <si>
    <t>Dust Cup</t>
  </si>
  <si>
    <t>Brush</t>
  </si>
  <si>
    <t>SS Bowl</t>
  </si>
  <si>
    <t>Sale less than 100 Units</t>
  </si>
  <si>
    <t>Sale more than 100 Units</t>
  </si>
  <si>
    <t>OH - 15%</t>
  </si>
  <si>
    <t>Margin - 30%</t>
  </si>
  <si>
    <t>SP w/o tax</t>
  </si>
  <si>
    <t xml:space="preserve">Margin </t>
  </si>
  <si>
    <t>Margin - 25%</t>
  </si>
  <si>
    <t>As on 20-11-2025</t>
  </si>
  <si>
    <t>Amazon - BAU</t>
  </si>
  <si>
    <t>Amazon-Deal</t>
  </si>
  <si>
    <t>Blinkit</t>
  </si>
  <si>
    <t>Myntra</t>
  </si>
  <si>
    <t>Website</t>
  </si>
  <si>
    <t>B2B</t>
  </si>
  <si>
    <t>HYPD</t>
  </si>
  <si>
    <t>POP UPI</t>
  </si>
  <si>
    <t>Flipkart</t>
  </si>
  <si>
    <t>Enertia</t>
  </si>
  <si>
    <t>XOXO day</t>
  </si>
  <si>
    <t>Noble</t>
  </si>
  <si>
    <t>RewardKart</t>
  </si>
  <si>
    <t>Not live yet</t>
  </si>
  <si>
    <t>Deal ASIN(s)</t>
  </si>
  <si>
    <t>SKUs</t>
  </si>
  <si>
    <t>Amazon Pricing</t>
  </si>
  <si>
    <t>June 2025 BAU Deal Price</t>
  </si>
  <si>
    <t>June BAU</t>
  </si>
  <si>
    <t>Row Labels</t>
  </si>
  <si>
    <t>Average of NFREIGHT</t>
  </si>
  <si>
    <t>FBA SKU</t>
  </si>
  <si>
    <t>Total Stock (Sellable)</t>
  </si>
  <si>
    <t>SKU-1</t>
  </si>
  <si>
    <t>Updated Category L1</t>
  </si>
  <si>
    <t>Main Category L2</t>
  </si>
  <si>
    <t>FBA79794</t>
  </si>
  <si>
    <t>B0D45KXC6F</t>
  </si>
  <si>
    <t>FBA79698</t>
  </si>
  <si>
    <t>B0D45N9CV6</t>
  </si>
  <si>
    <t>B0D45JX5P9</t>
  </si>
  <si>
    <t>B0D45KT3BC</t>
  </si>
  <si>
    <t>B0D45MQYLF</t>
  </si>
  <si>
    <t>B0D45JM8MZ</t>
  </si>
  <si>
    <t>B0D45LFTWC</t>
  </si>
  <si>
    <t>B0D45M96NK</t>
  </si>
  <si>
    <t>B0D45KDDSV</t>
  </si>
  <si>
    <t>B0D45L41GW</t>
  </si>
  <si>
    <t>FBP79350</t>
  </si>
  <si>
    <t>FBK78979</t>
  </si>
  <si>
    <t>FBA79159</t>
  </si>
  <si>
    <t>B093KRX2K1</t>
  </si>
  <si>
    <t>B0D45MZ5KD</t>
  </si>
  <si>
    <t>B0D3QHY74P</t>
  </si>
  <si>
    <t>FBA79172</t>
  </si>
  <si>
    <t>B0CBK1CRZG</t>
  </si>
  <si>
    <t>FBK79347</t>
  </si>
  <si>
    <t>Grand Total</t>
  </si>
  <si>
    <t>FBK79591</t>
  </si>
  <si>
    <t>B0F5X2C11Z</t>
  </si>
  <si>
    <t>FBA79779</t>
  </si>
  <si>
    <t>B0CQ2R3LPH</t>
  </si>
  <si>
    <t>B0CPFS24ML</t>
  </si>
  <si>
    <t>FBA79167</t>
  </si>
  <si>
    <t>B0CF5WXWFH</t>
  </si>
  <si>
    <t>FBA78986</t>
  </si>
  <si>
    <t>B0BFWD6SNF</t>
  </si>
  <si>
    <t>FBA76415</t>
  </si>
  <si>
    <t>B0BLKBJ5HN</t>
  </si>
  <si>
    <t>FBA76742</t>
  </si>
  <si>
    <t>B0BFW59TRG</t>
  </si>
  <si>
    <t>FBA76416</t>
  </si>
  <si>
    <t>B0BLK7VQ2N</t>
  </si>
  <si>
    <t>FBA76744</t>
  </si>
  <si>
    <t>B0BFVMDJ2K</t>
  </si>
  <si>
    <t>FBA76417</t>
  </si>
  <si>
    <t>B0C55QXL83</t>
  </si>
  <si>
    <t>FBA78425</t>
  </si>
  <si>
    <t>B0BFVNS8HS</t>
  </si>
  <si>
    <t>FBA76418</t>
  </si>
  <si>
    <t>B0BLK8PXNY</t>
  </si>
  <si>
    <t>FBA76743</t>
  </si>
  <si>
    <t>B0BF4T7SWK</t>
  </si>
  <si>
    <t>FBA76382</t>
  </si>
  <si>
    <t>B0C539RBGL</t>
  </si>
  <si>
    <t>FBA78205</t>
  </si>
  <si>
    <t>B0BF4S7V8C</t>
  </si>
  <si>
    <t>FBK76387</t>
  </si>
  <si>
    <t>B0BPMN89NG</t>
  </si>
  <si>
    <t>FBA77011</t>
  </si>
  <si>
    <t>B0BMV1WPHL</t>
  </si>
  <si>
    <t>FBK76764</t>
  </si>
  <si>
    <t>B0DN6PFWNK</t>
  </si>
  <si>
    <t>FBA79655</t>
  </si>
  <si>
    <t>B0CPT2YJX2</t>
  </si>
  <si>
    <t>FBA79175</t>
  </si>
  <si>
    <t>B0DN6MNS1X</t>
  </si>
  <si>
    <t>FBA79654</t>
  </si>
  <si>
    <t>B0CPT25SD8</t>
  </si>
  <si>
    <t>FBA79176</t>
  </si>
  <si>
    <t>B0DN6LJZBR</t>
  </si>
  <si>
    <t>FBA79653</t>
  </si>
  <si>
    <t>B0BF4TKQKN</t>
  </si>
  <si>
    <t>FBA76383</t>
  </si>
  <si>
    <t>B0BF4VRJJ1</t>
  </si>
  <si>
    <t>FBA76388</t>
  </si>
  <si>
    <t>B0DC3JRBW1</t>
  </si>
  <si>
    <t>FBA79433</t>
  </si>
  <si>
    <t>B0CPT34B2L</t>
  </si>
  <si>
    <t>FBA79177</t>
  </si>
  <si>
    <t>B0CPT2NY5M</t>
  </si>
  <si>
    <t>FBA79178</t>
  </si>
  <si>
    <t>B0CPT3Q25C</t>
  </si>
  <si>
    <t>FBA79179</t>
  </si>
  <si>
    <t>B0CPFN27Z2</t>
  </si>
  <si>
    <t>FBA79164</t>
  </si>
  <si>
    <t>B0CPFPT6DZ</t>
  </si>
  <si>
    <t>FBA79165</t>
  </si>
  <si>
    <t>B0DC3SJMZ6</t>
  </si>
  <si>
    <t>FBA79434</t>
  </si>
  <si>
    <t>B0DC3NPKGF</t>
  </si>
  <si>
    <t>FBA79435</t>
  </si>
  <si>
    <t>B0DB5VG39T</t>
  </si>
  <si>
    <t>FBA79476</t>
  </si>
  <si>
    <t>B0DB5VVPSB</t>
  </si>
  <si>
    <t>FBA79477</t>
  </si>
  <si>
    <t>B0DB5YTQZV</t>
  </si>
  <si>
    <t>FBA79479</t>
  </si>
  <si>
    <t>B0DQPFL835</t>
  </si>
  <si>
    <t>FBA79663</t>
  </si>
  <si>
    <t>B0DQPKMRN1</t>
  </si>
  <si>
    <t>FBA79664</t>
  </si>
  <si>
    <t>B0DQPGZWPF</t>
  </si>
  <si>
    <t>FBA79665</t>
  </si>
  <si>
    <t>B0DQPG9FSN</t>
  </si>
  <si>
    <t>FBA79666</t>
  </si>
  <si>
    <t>B0DQPK7MFH</t>
  </si>
  <si>
    <t>FBA79667</t>
  </si>
  <si>
    <t>B0DQPLCZ3G</t>
  </si>
  <si>
    <t>FBA79668</t>
  </si>
  <si>
    <t>B0DQPLMQQ7</t>
  </si>
  <si>
    <t>FBA79669</t>
  </si>
  <si>
    <t>B0DQPGLK2T</t>
  </si>
  <si>
    <t>FBA79670</t>
  </si>
  <si>
    <t>FBP79280</t>
  </si>
  <si>
    <t>B0DQ1PKNSP</t>
  </si>
  <si>
    <t>FBA79658</t>
  </si>
  <si>
    <t>B0DQ1NV8D2</t>
  </si>
  <si>
    <t>FBA79659</t>
  </si>
  <si>
    <t>B0DQ4ZK2WQ</t>
  </si>
  <si>
    <t>FBA79660</t>
  </si>
  <si>
    <t>B0DQ51R95T</t>
  </si>
  <si>
    <t>FBA79661</t>
  </si>
  <si>
    <t>B0DQ4YWSMC</t>
  </si>
  <si>
    <t>FBA79662</t>
  </si>
  <si>
    <t>B0DSG2BD4H</t>
  </si>
  <si>
    <t>FBA79608</t>
  </si>
  <si>
    <t>B0DSG5PX7M</t>
  </si>
  <si>
    <t>FBA79609</t>
  </si>
  <si>
    <t>B0DSG4F8D9</t>
  </si>
  <si>
    <t>FBA79610</t>
  </si>
  <si>
    <t>B0DSG694P2</t>
  </si>
  <si>
    <t>FBA79611</t>
  </si>
  <si>
    <t>B0DP2VVRND</t>
  </si>
  <si>
    <t>FBA79613</t>
  </si>
  <si>
    <t>B0DP313R77</t>
  </si>
  <si>
    <t>FBA79614</t>
  </si>
  <si>
    <t>B0DP2Z5DQ9</t>
  </si>
  <si>
    <t>FBA79615</t>
  </si>
  <si>
    <t>B0DP3194QN</t>
  </si>
  <si>
    <t>FBA79616</t>
  </si>
  <si>
    <t>B0DP32F346</t>
  </si>
  <si>
    <t>FBA79617</t>
  </si>
  <si>
    <t>B0BLJVJ2GN</t>
  </si>
  <si>
    <t>FBA76414</t>
  </si>
  <si>
    <t>B0CH4R1V6S</t>
  </si>
  <si>
    <t>FBA79016</t>
  </si>
  <si>
    <t>B0DS5327VW</t>
  </si>
  <si>
    <t>B0B4G8ZB64</t>
  </si>
  <si>
    <t>FBA75675</t>
  </si>
  <si>
    <t>B0B4G94VP3</t>
  </si>
  <si>
    <t>FBA75683</t>
  </si>
  <si>
    <t>Total</t>
  </si>
  <si>
    <t>B0DFMLS8JG</t>
  </si>
  <si>
    <t>FBA79445</t>
  </si>
  <si>
    <t>B0DFMMTWLY</t>
  </si>
  <si>
    <t>FBA79446</t>
  </si>
  <si>
    <t>B0CH4VCD6R</t>
  </si>
  <si>
    <t>FBA77171</t>
  </si>
  <si>
    <t>B0CM6NTWBP</t>
  </si>
  <si>
    <t>FBA79103</t>
  </si>
  <si>
    <t>B0B4G7VWXD</t>
  </si>
  <si>
    <t>FBA75684</t>
  </si>
  <si>
    <t>B0B4G8PH2P</t>
  </si>
  <si>
    <t>FBA75678</t>
  </si>
  <si>
    <t>B0BQ7H7418</t>
  </si>
  <si>
    <t>FBA76597</t>
  </si>
  <si>
    <t>B0DFMNGFTD</t>
  </si>
  <si>
    <t>FBA79449</t>
  </si>
  <si>
    <t>B0DFMLXD9S</t>
  </si>
  <si>
    <t>FBA79447</t>
  </si>
  <si>
    <t>B0CJR76Y7G</t>
  </si>
  <si>
    <t>FBA79064</t>
  </si>
  <si>
    <t>B0CM6NVLT9</t>
  </si>
  <si>
    <t>FBA79104</t>
  </si>
  <si>
    <t>B0B4K87PR4</t>
  </si>
  <si>
    <t>FBA75690</t>
  </si>
  <si>
    <t>B0BPLWW72Y</t>
  </si>
  <si>
    <t>FBA76862</t>
  </si>
  <si>
    <t>B0CH4PMR8K</t>
  </si>
  <si>
    <t>FBA79009</t>
  </si>
  <si>
    <t>B0DFMKY4TT</t>
  </si>
  <si>
    <t>FBA79448</t>
  </si>
  <si>
    <t>B0CH4RNWJX</t>
  </si>
  <si>
    <t>FBA79011</t>
  </si>
  <si>
    <t>B0CBCB82MT</t>
  </si>
  <si>
    <t>FBA78960</t>
  </si>
  <si>
    <t>B0B4G1HPL5</t>
  </si>
  <si>
    <t>FBA75692</t>
  </si>
  <si>
    <t>B0CF5TCQKL</t>
  </si>
  <si>
    <t>FBA78975</t>
  </si>
  <si>
    <t>B0CM6WH4ZT</t>
  </si>
  <si>
    <t>FBA79105</t>
  </si>
  <si>
    <t>B0CM9KJZWQ</t>
  </si>
  <si>
    <t>FBA79106</t>
  </si>
  <si>
    <t>B0CH4RT4P8</t>
  </si>
  <si>
    <t>FBA79008</t>
  </si>
  <si>
    <t>B0DFMLQBMC</t>
  </si>
  <si>
    <t>FBA79444</t>
  </si>
  <si>
    <t>B0D3LZWTHV</t>
  </si>
  <si>
    <t>FBA79379</t>
  </si>
  <si>
    <t>B0B4G19R58</t>
  </si>
  <si>
    <t>FBA75674</t>
  </si>
  <si>
    <t>B0CH4T2BJD</t>
  </si>
  <si>
    <t>FBA79010</t>
  </si>
  <si>
    <t>B0B4KC7VBM</t>
  </si>
  <si>
    <t>FBA75677</t>
  </si>
  <si>
    <t>B0B4FZS38V</t>
  </si>
  <si>
    <t>FBA75681</t>
  </si>
  <si>
    <t>B0CF5RRTDJ</t>
  </si>
  <si>
    <t>FBA78974</t>
  </si>
  <si>
    <t>B0CBC7QMNV</t>
  </si>
  <si>
    <t>FBA78925</t>
  </si>
  <si>
    <t>B0B4G763WS</t>
  </si>
  <si>
    <t>FBA75688</t>
  </si>
  <si>
    <t>B0B4JRQP22</t>
  </si>
  <si>
    <t>FBA75679</t>
  </si>
  <si>
    <t>B0B4DS678Q</t>
  </si>
  <si>
    <t>FBA75676</t>
  </si>
  <si>
    <t>B0BLKF46QG</t>
  </si>
  <si>
    <t>FBA76723</t>
  </si>
  <si>
    <t>B0B4G1PXWV</t>
  </si>
  <si>
    <t>FBA75680</t>
  </si>
  <si>
    <t>B0CF5R3V95</t>
  </si>
  <si>
    <t>FBA78973</t>
  </si>
  <si>
    <t>B0CF5SHL15</t>
  </si>
  <si>
    <t>FBA78976</t>
  </si>
  <si>
    <t>B0B4G5JG4P</t>
  </si>
  <si>
    <t>FBA75691</t>
  </si>
  <si>
    <t>B0BPM2T7BQ</t>
  </si>
  <si>
    <t>FBA76863</t>
  </si>
  <si>
    <t>B0B4G89VQJ</t>
  </si>
  <si>
    <t>FBA75686</t>
  </si>
  <si>
    <t>B0BLKB6FRR</t>
  </si>
  <si>
    <t>FBA76730</t>
  </si>
  <si>
    <t>B0DFMQCGT1</t>
  </si>
  <si>
    <t>FBA79465</t>
  </si>
  <si>
    <t>B0B4G59Y8W</t>
  </si>
  <si>
    <t>FBA75689</t>
  </si>
  <si>
    <t>B0B4G5ZLTB</t>
  </si>
  <si>
    <t>FBA75687</t>
  </si>
  <si>
    <t>B0CBCB9S14</t>
  </si>
  <si>
    <t>FBA78961</t>
  </si>
  <si>
    <t>B0D3M86SH1</t>
  </si>
  <si>
    <t>FBA79355</t>
  </si>
  <si>
    <t>B0CX1XK5R6</t>
  </si>
  <si>
    <t>FBA79230</t>
  </si>
  <si>
    <t>B0BLNCP74M</t>
  </si>
  <si>
    <t>FBA76728</t>
  </si>
  <si>
    <t>B0D3Q2T5XX</t>
  </si>
  <si>
    <t>FBA79356</t>
  </si>
  <si>
    <t>B0BLKB55BM</t>
  </si>
  <si>
    <t>FBA76721</t>
  </si>
  <si>
    <t>B0BLKCDRNB</t>
  </si>
  <si>
    <t>FBA76727</t>
  </si>
  <si>
    <t>B0C4YT43Z3</t>
  </si>
  <si>
    <t>FBA78204</t>
  </si>
  <si>
    <t>B0C55MY66L</t>
  </si>
  <si>
    <t>FBA78424</t>
  </si>
  <si>
    <t>B0C4YTNJG7</t>
  </si>
  <si>
    <t>FBA78203</t>
  </si>
  <si>
    <t>B0C4YSV3XL</t>
  </si>
  <si>
    <t>FBA78206</t>
  </si>
  <si>
    <t>Product Code</t>
  </si>
  <si>
    <t>Price Range</t>
  </si>
  <si>
    <t>Amazon</t>
  </si>
  <si>
    <t>Portal</t>
  </si>
  <si>
    <t>Minimum</t>
  </si>
  <si>
    <t>Maximum</t>
  </si>
  <si>
    <t>CM-01</t>
  </si>
  <si>
    <t>CM-02</t>
  </si>
  <si>
    <t>Platform Expenses</t>
  </si>
  <si>
    <t>Additonal Expenses</t>
  </si>
  <si>
    <t>Product Title</t>
  </si>
  <si>
    <t>FSN</t>
  </si>
  <si>
    <t>SKU ID</t>
  </si>
  <si>
    <t>Model#</t>
  </si>
  <si>
    <t>Category</t>
  </si>
  <si>
    <t>MRP(Rs)</t>
  </si>
  <si>
    <t>Commission %</t>
  </si>
  <si>
    <t>Commission</t>
  </si>
  <si>
    <t>Shipping Fees</t>
  </si>
  <si>
    <t>Fixed Fees</t>
  </si>
  <si>
    <t>Collection Fees</t>
  </si>
  <si>
    <t>FBA Expenses
 (W/O GST)</t>
  </si>
  <si>
    <t>FBA Expenses
 (GST)</t>
  </si>
  <si>
    <t>Gross Margin%</t>
  </si>
  <si>
    <t>Return Loss</t>
  </si>
  <si>
    <t>Overhead</t>
  </si>
  <si>
    <t>Finance Cost</t>
  </si>
  <si>
    <t>Net Margin%</t>
  </si>
  <si>
    <t>Remarks</t>
  </si>
  <si>
    <t>Nexlev Handheld|Fabric &amp; Lint Brush|PremiumMatte GS-04 1800 W Garment Steamer (Glossy Black)</t>
  </si>
  <si>
    <t>IRNGYXPR54SCZH7T</t>
  </si>
  <si>
    <t>Garment steamer</t>
  </si>
  <si>
    <t>Nexlev Handheld|Fabric &amp; Lint Brush|PremiumMatte GS-02 1500 W Garment Steamer (Glossy Black)</t>
  </si>
  <si>
    <t>IRNGXXAHRWSDYNXB</t>
  </si>
  <si>
    <t>Nexlev Handheld|Fabric &amp; Lint Brush|PremiumMatte GS-01 1500 W Garment Steamer (Matte Black)</t>
  </si>
  <si>
    <t>IRNGXXAFMAZFX9F4</t>
  </si>
  <si>
    <t>Nexlev Handheld Steam Cleaner, for Home with 9 Accessory Kit, SC-01 Wet &amp; Dry Vacuum Cleaner (Purple &amp; White)</t>
  </si>
  <si>
    <t>VCLGYFDGBWSVCRZ5</t>
  </si>
  <si>
    <t>Steam cleaner</t>
  </si>
  <si>
    <t>Nexlev ET-03-BL Electric Toothbrush (Blue)</t>
  </si>
  <si>
    <t>ETBGYZVSNTGMTXHH</t>
  </si>
  <si>
    <t>Pricing should be 299/-</t>
  </si>
  <si>
    <t>Nexlev ET-02-GN Electric Toothbrush (Green)</t>
  </si>
  <si>
    <t>ETBGYZW9EZPABCJW</t>
  </si>
  <si>
    <t>Nexlev ET-01-BK Electric Toothbrush (Black)</t>
  </si>
  <si>
    <t>ETBGYZWEYDFEGH2F</t>
  </si>
  <si>
    <t>Nexlev DF-01-BK ()</t>
  </si>
  <si>
    <t>DFSGYCZJBGVXBX2P</t>
  </si>
  <si>
    <t>DF-01</t>
  </si>
  <si>
    <t>Nexlev Automatic Cat Fountain with Leaf Shape Kit, Without Adapter - WF100WH-Light (Plastic)</t>
  </si>
  <si>
    <t>POUGXX7YBB364TZK</t>
  </si>
  <si>
    <t>FBA78945</t>
  </si>
  <si>
    <t>WF100WH-Light</t>
  </si>
  <si>
    <t>Water Fountain</t>
  </si>
  <si>
    <t>Nexlev Automatic Cat Fountain with Leaf Shape Kit,Without Adapter- WF100Blue-Light (Plastic)</t>
  </si>
  <si>
    <t>POUGXX6ZRFMCF7HT</t>
  </si>
  <si>
    <t>FBA78946</t>
  </si>
  <si>
    <t>Nexlev Abstract Single Sherpa Blanket for Heavy Winter (Polyester, Grey)</t>
  </si>
  <si>
    <t>BLAGZHAGQZWFPJ6Q</t>
  </si>
  <si>
    <t>Travel Blanket</t>
  </si>
  <si>
    <t>Nexlev NP-01 Neck Pillow (?Blue)</t>
  </si>
  <si>
    <t>NPEGXX5D5HSYDB62</t>
  </si>
  <si>
    <t>Travel Pillow</t>
  </si>
  <si>
    <t>Nexlev NP-02 Neck Pillow (?Dark Grey)</t>
  </si>
  <si>
    <t>NPEGXX5GWNJHDAZS</t>
  </si>
  <si>
    <t>Nexlev NP-03 Neck Pillow (?Grey)</t>
  </si>
  <si>
    <t>NPEGXX5ZA5ZVH7SC</t>
  </si>
  <si>
    <t>Nexlev NP-04 Neck Pillow (?Sky Blue)</t>
  </si>
  <si>
    <t>NPEGXX5TBRU8ZJGS</t>
  </si>
  <si>
    <t>Nexlev NP-05 Neck Pillow (Pink)</t>
  </si>
  <si>
    <t>NPEGXX5ZRUZARTXR</t>
  </si>
  <si>
    <t>Maverick Series Gaming Chair</t>
  </si>
  <si>
    <t>Tilt mechanism to be moved a little to front</t>
  </si>
  <si>
    <t>Headrest design to be modified</t>
  </si>
  <si>
    <t>Black/Red - 70%/30%</t>
  </si>
  <si>
    <t>No.</t>
  </si>
  <si>
    <t>Heading</t>
  </si>
  <si>
    <t>Point</t>
  </si>
  <si>
    <t>Nexlev Chair for Next Level Performance</t>
  </si>
  <si>
    <t>With a right blend of style and ergonomics, the Nexlev Falcon series chair is engineered to provide all day comfort with enhanced performance.</t>
  </si>
  <si>
    <t>Premium Materials For Next Level Comfort</t>
  </si>
  <si>
    <t>Premium breathable fabric upholstery with vegan leather accents used to provide comfort without compromising style. Molded foam with a optimized density of 60kg/m3 to ensure long lasting comfort for extended gaming sessions. Neck and lumbar cushions made of plush memory foam to and covered with velvet like soft material to provide an ergonomic seating posture.</t>
  </si>
  <si>
    <t>Reinforced Structure For Next Level Strength</t>
  </si>
  <si>
    <t>Internal metal frame structure, Class 4 Gaslift, and 2.3mm thick metal tilt mechanism paired with a 350mm heavy duty nylon base and 60mm large dual wheel nylon casters support a weight holding capacity of upto 150kg.</t>
  </si>
  <si>
    <t>Flexible Mechanisms For Next Level Adaptability</t>
  </si>
  <si>
    <t>The chair can accomodate people with a height range of 5'2" upto 6'5".  With upto 180 degree reclining back, 15 degree any position lock tilt mechanism, and 360 degree swivel function, you can sit straight for competitive play or lean back for a movie or even put on your VR headset, tilt the seat and recline the back for an immersive gravity defying experience. Position the 3D (directional) armrests to your liking by rotating them inwards/outwards, moving them up/down and front/back.</t>
  </si>
  <si>
    <t>(2+1) 3 Years Warranty For Next Level Support</t>
  </si>
  <si>
    <t>Get free 1 year warranty with the product and a 2 year extension upon registering your purchase on the official website within 1 month of your purchase.</t>
  </si>
  <si>
    <t>Title</t>
  </si>
  <si>
    <t>Nexlev Falcon Series Gaming Chair with Premium Fabric and Vegan Leather, Memory Foam Neckrest and Lumbar Cushion, 3D Armrests, Heavy Duty 350mm Nylon Base, Butterfly Mechanism, and Class 4 Gaslift (Black, FD-22-BK)</t>
  </si>
  <si>
    <t>Within 3 Days of Receiving PI</t>
  </si>
  <si>
    <t>20 Days before consignment delivery</t>
  </si>
  <si>
    <t>OEM</t>
  </si>
  <si>
    <t>Design &amp; Packaging Submission Date</t>
  </si>
  <si>
    <t>Product Design</t>
  </si>
  <si>
    <t>Packaging</t>
  </si>
  <si>
    <t>Basic Listing &amp; A+ Submission Date</t>
  </si>
  <si>
    <t>Listing images</t>
  </si>
  <si>
    <t>A+</t>
  </si>
  <si>
    <t>Owner</t>
  </si>
  <si>
    <t>Done</t>
  </si>
  <si>
    <t>25/01/2024</t>
  </si>
  <si>
    <t>Not Provided by OEM</t>
  </si>
  <si>
    <t>E-Vitamin</t>
  </si>
  <si>
    <t>Ningbo Oral Plus Personal Care Group Co., Ltd.</t>
  </si>
  <si>
    <t>ZHEJIANG HUAGUANG ELECTRIC APPLIANCE GROUP CO.,LTD.</t>
  </si>
  <si>
    <t>28/02/2024</t>
  </si>
  <si>
    <t>In Progress</t>
  </si>
  <si>
    <t>Kanishk</t>
  </si>
  <si>
    <t>Need updated images as the colour is different and will be provided by OEM after CNY.</t>
  </si>
  <si>
    <t>T1</t>
  </si>
  <si>
    <t>T2</t>
  </si>
  <si>
    <t>x</t>
  </si>
  <si>
    <t>Comission %</t>
  </si>
  <si>
    <t>Level 2</t>
  </si>
  <si>
    <t>Trial</t>
  </si>
  <si>
    <t>AM-W24</t>
  </si>
  <si>
    <t>FBA79958</t>
  </si>
  <si>
    <t>B0G3Q59X8C</t>
  </si>
  <si>
    <t>Audio Array AM-W24 Wireless Microphone (Black)</t>
  </si>
  <si>
    <t>Level 2 upgrade</t>
  </si>
  <si>
    <t>AM-W22</t>
  </si>
  <si>
    <t>B0FPR962YS</t>
  </si>
  <si>
    <t>FBA79816</t>
  </si>
  <si>
    <t>https://mail.google.com/mail/u/0?ui=2&amp;ik=7aba2490d0&amp;attid=0.1&amp;permmsgid=msg-a:r7604487359191862600&amp;th=19e012d2d81495d3&amp;view=att&amp;disp=safe&amp;realattid=f_mov4dcyt0&amp;zw</t>
  </si>
  <si>
    <t>Audio Array Pico Soundbar (SB-01)</t>
  </si>
  <si>
    <t>V-01 RG</t>
  </si>
  <si>
    <t>Level 3</t>
  </si>
  <si>
    <t>AE14&lt;=300,AE14*2%,</t>
  </si>
  <si>
    <t>AE14&lt;=400,AE14*4%,</t>
  </si>
  <si>
    <t>AE14&lt;=500,AE14*6%,</t>
  </si>
  <si>
    <t>AE14&lt;=700,AE14*8%,</t>
  </si>
  <si>
    <t>AE14&lt;=900,AE14*13%,</t>
  </si>
  <si>
    <t>AE14&lt;=1200,AE14*16%,</t>
  </si>
  <si>
    <t>AE14&gt;1200,AE14*18%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</si>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</sst>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409]* #,##0.00_ ;_-[$$-409]* \-#,##0.00\ ;_-[$$-409]* &quot;-&quot;??_ ;_-@_ "/>
    <numFmt numFmtId="165" formatCode="0.0"/>
    <numFmt numFmtId="166" formatCode="0.0%"/>
    <numFmt numFmtId="167" formatCode="&quot;$&quot;#,##0"/>
    <numFmt numFmtId="168" formatCode="\$#,##0.00;\-\$#,##0.00"/>
    <numFmt numFmtId="169" formatCode="\$#,##0.0;\-\$#,##0.0"/>
    <numFmt numFmtId="170" formatCode="_ [$₹-4009]\ * #,##0.0_ ;_ [$₹-4009]\ * \-#,##0.0_ ;_ [$₹-4009]\ * &quot;-&quot;??_ ;_ @_ "/>
    <numFmt numFmtId="171" formatCode="[$₹-4009]\ #,##0.0;[$₹-4009]\ \-#,##0.0"/>
    <numFmt numFmtId="172" formatCode="_ [$₹-4009]\ * #,##0_ ;_ [$₹-4009]\ * \-#,##0_ ;_ [$₹-4009]\ * &quot;-&quot;??_ ;_ @_ "/>
    <numFmt numFmtId="173" formatCode="_-[$$-409]* #,##0_ ;_-[$$-409]* \-#,##0\ ;_-[$$-409]* &quot;-&quot;??_ ;_-@_ "/>
    <numFmt numFmtId="174" formatCode="0.0000"/>
    <numFmt numFmtId="175" formatCode="\$#,##0.000;\-\$#,##0.000"/>
    <numFmt numFmtId="176" formatCode="&quot;$&quot;#,##0.0"/>
    <numFmt numFmtId="177" formatCode="&quot;$&quot;#,##0.00"/>
    <numFmt numFmtId="178" formatCode="[$₹]#,##0.00"/>
    <numFmt numFmtId="179" formatCode="[$₹-820]#,##0.00"/>
  </numFmts>
  <fonts count="12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sz val="11"/>
      <color theme="1"/>
      <name val="Calibri"/>
      <family val="2"/>
      <scheme val="minor"/>
    </font>
    <font>
      <sz val="11"/>
      <color rgb="FF000000"/>
      <name val="Calibri"/>
      <family val="2"/>
    </font>
    <font>
      <sz val="11"/>
      <color theme="1"/>
      <name val="Calibri"/>
      <family val="2"/>
    </font>
    <font>
      <b/>
      <sz val="11"/>
      <color rgb="FF000000"/>
      <name val="Calibri"/>
      <family val="2"/>
      <scheme val="minor"/>
    </font>
    <font>
      <sz val="11"/>
      <color rgb="FFFF0000"/>
      <name val="&quot;Amazon Ember&quot;"/>
    </font>
    <font>
      <sz val="11"/>
      <color rgb="FFFF0000"/>
      <name val="Calibri"/>
      <family val="2"/>
    </font>
    <font>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scheme val="minor"/>
    </font>
    <font>
      <strike/>
      <sz val="11"/>
      <color rgb="FF000000"/>
      <name val="Calibri"/>
      <family val="2"/>
    </font>
    <font>
      <strike/>
      <sz val="11"/>
      <color rgb="FF000000"/>
      <name val="Calibri"/>
      <family val="2"/>
    </font>
    <font>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sz val="11"/>
      <color rgb="FF000000"/>
      <name val="Calibri"/>
      <family val="2"/>
    </font>
    <font>
      <b/>
      <sz val="11"/>
      <color theme="1"/>
      <name val="Calibri"/>
      <family val="2"/>
      <scheme val="minor"/>
    </font>
    <font>
      <u/>
      <sz val="11"/>
      <color rgb="FF000000"/>
      <name val="Calibri"/>
      <family val="2"/>
      <scheme val="minor"/>
    </font>
    <font>
      <u/>
      <sz val="11"/>
      <color rgb="FF000000"/>
      <name val="Calibri"/>
      <family val="2"/>
      <scheme val="minor"/>
    </font>
    <font>
      <u/>
      <sz val="11"/>
      <color rgb="FF000000"/>
      <name val="Calibri"/>
      <family val="2"/>
      <scheme val="minor"/>
    </font>
    <font>
      <u/>
      <sz val="11"/>
      <color rgb="FF000000"/>
      <name val="Calibri"/>
      <family val="2"/>
      <scheme val="minor"/>
    </font>
    <font>
      <u/>
      <sz val="11"/>
      <color rgb="FF000000"/>
      <name val="Calibri"/>
      <family val="2"/>
      <scheme val="minor"/>
    </font>
    <font>
      <u/>
      <sz val="11"/>
      <color rgb="FF000000"/>
      <name val="Calibri"/>
      <family val="2"/>
      <scheme val="minor"/>
    </font>
    <font>
      <u/>
      <sz val="11"/>
      <color rgb="FF000000"/>
      <name val="Calibri"/>
      <family val="2"/>
      <scheme val="minor"/>
    </font>
    <font>
      <b/>
      <u/>
      <sz val="11"/>
      <color theme="1"/>
      <name val="Calibri"/>
      <family val="2"/>
    </font>
    <font>
      <b/>
      <u/>
      <sz val="11"/>
      <color theme="1"/>
      <name val="Calibri"/>
      <family val="2"/>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rgb="FF000000"/>
      <name val="Calibri"/>
      <family val="2"/>
      <scheme val="minor"/>
    </font>
    <font>
      <b/>
      <u/>
      <sz val="11"/>
      <color rgb="FF000000"/>
      <name val="Calibri"/>
      <family val="2"/>
    </font>
    <font>
      <b/>
      <u/>
      <sz val="11"/>
      <color rgb="FF000000"/>
      <name val="Calibri"/>
      <family val="2"/>
    </font>
    <font>
      <b/>
      <u/>
      <sz val="11"/>
      <color rgb="FF000000"/>
      <name val="Calibri"/>
      <family val="2"/>
      <scheme val="minor"/>
    </font>
    <font>
      <b/>
      <u/>
      <sz val="11"/>
      <color rgb="FF000000"/>
      <name val="Calibri"/>
      <family val="2"/>
      <scheme val="minor"/>
    </font>
    <font>
      <b/>
      <u/>
      <sz val="11"/>
      <color rgb="FF000000"/>
      <name val="Calibri"/>
      <family val="2"/>
      <scheme val="minor"/>
    </font>
    <font>
      <u/>
      <sz val="11"/>
      <color rgb="FF000000"/>
      <name val="Calibri"/>
      <family val="2"/>
      <scheme val="minor"/>
    </font>
    <font>
      <b/>
      <u/>
      <sz val="11"/>
      <color rgb="FF000000"/>
      <name val="Calibri"/>
      <family val="2"/>
      <scheme val="minor"/>
    </font>
    <font>
      <b/>
      <u/>
      <sz val="11"/>
      <color rgb="FF000000"/>
      <name val="Calibri"/>
      <family val="2"/>
      <scheme val="minor"/>
    </font>
    <font>
      <b/>
      <u/>
      <sz val="11"/>
      <color rgb="FF000000"/>
      <name val="Calibri"/>
      <family val="2"/>
      <scheme val="minor"/>
    </font>
    <font>
      <b/>
      <u/>
      <sz val="11"/>
      <color rgb="FF000000"/>
      <name val="Calibri"/>
      <family val="2"/>
      <scheme val="minor"/>
    </font>
    <font>
      <b/>
      <u/>
      <sz val="11"/>
      <color rgb="FF000000"/>
      <name val="Calibri"/>
      <family val="2"/>
      <scheme val="minor"/>
    </font>
    <font>
      <b/>
      <u/>
      <sz val="11"/>
      <color rgb="FF000000"/>
      <name val="Calibri"/>
      <family val="2"/>
      <scheme val="minor"/>
    </font>
    <font>
      <b/>
      <u/>
      <sz val="11"/>
      <color rgb="FF000000"/>
      <name val="Calibri"/>
      <family val="2"/>
      <scheme val="minor"/>
    </font>
    <font>
      <b/>
      <u/>
      <sz val="11"/>
      <color rgb="FF000000"/>
      <name val="Calibri"/>
      <family val="2"/>
    </font>
    <font>
      <b/>
      <u/>
      <sz val="11"/>
      <color rgb="FF000000"/>
      <name val="Calibri"/>
      <family val="2"/>
    </font>
    <font>
      <b/>
      <u/>
      <sz val="11"/>
      <color rgb="FF000000"/>
      <name val="Calibri"/>
      <family val="2"/>
      <scheme val="minor"/>
    </font>
    <font>
      <b/>
      <u/>
      <sz val="11"/>
      <color rgb="FF000000"/>
      <name val="Calibri"/>
      <family val="2"/>
      <scheme val="minor"/>
    </font>
    <font>
      <b/>
      <u/>
      <sz val="11"/>
      <color theme="1"/>
      <name val="Calibri"/>
      <family val="2"/>
      <scheme val="minor"/>
    </font>
    <font>
      <sz val="11"/>
      <color rgb="FFFF0000"/>
      <name val="Calibri"/>
      <family val="2"/>
    </font>
    <font>
      <b/>
      <u/>
      <sz val="11"/>
      <color rgb="FF000000"/>
      <name val="Calibri"/>
      <family val="2"/>
    </font>
    <font>
      <b/>
      <u/>
      <sz val="11"/>
      <color rgb="FF000000"/>
      <name val="Calibri"/>
      <family val="2"/>
    </font>
    <font>
      <b/>
      <u/>
      <sz val="11"/>
      <color rgb="FF000000"/>
      <name val="Calibri"/>
      <family val="2"/>
      <scheme val="minor"/>
    </font>
    <font>
      <b/>
      <u/>
      <sz val="11"/>
      <color rgb="FF000000"/>
      <name val="Calibri"/>
      <family val="2"/>
      <scheme val="minor"/>
    </font>
    <font>
      <b/>
      <sz val="11"/>
      <color rgb="FFFFFFFF"/>
      <name val="Calibri"/>
      <family val="2"/>
    </font>
    <font>
      <sz val="8"/>
      <color rgb="FFFFFFFF"/>
      <name val="Arial"/>
      <family val="2"/>
    </font>
    <font>
      <sz val="8"/>
      <color rgb="FFFFFFFF"/>
      <name val="Calibri Light"/>
      <family val="2"/>
    </font>
    <font>
      <sz val="11"/>
      <color theme="1"/>
      <name val="Bookman Old Style"/>
      <family val="1"/>
    </font>
    <font>
      <sz val="8"/>
      <color theme="1"/>
      <name val="Calibri Light"/>
      <family val="2"/>
    </font>
    <font>
      <b/>
      <u/>
      <sz val="11"/>
      <color rgb="FF000000"/>
      <name val="Calibri"/>
      <family val="2"/>
    </font>
    <font>
      <b/>
      <u/>
      <sz val="11"/>
      <color rgb="FF000000"/>
      <name val="Calibri"/>
      <family val="2"/>
    </font>
    <font>
      <b/>
      <u/>
      <sz val="11"/>
      <color rgb="FF000000"/>
      <name val="Calibri"/>
      <family val="2"/>
    </font>
    <font>
      <b/>
      <u/>
      <sz val="11"/>
      <color rgb="FF000000"/>
      <name val="Calibri"/>
      <family val="2"/>
    </font>
    <font>
      <b/>
      <u/>
      <sz val="11"/>
      <color rgb="FF000000"/>
      <name val="Calibri"/>
      <family val="2"/>
    </font>
    <font>
      <b/>
      <u/>
      <sz val="11"/>
      <color theme="1"/>
      <name val="Calibri"/>
      <family val="2"/>
      <scheme val="minor"/>
    </font>
    <font>
      <u/>
      <sz val="11"/>
      <color rgb="FF000000"/>
      <name val="Calibri"/>
      <family val="2"/>
    </font>
    <font>
      <u/>
      <sz val="11"/>
      <color rgb="FF0563C1"/>
      <name val="Calibri"/>
      <family val="2"/>
      <scheme val="minor"/>
    </font>
    <font>
      <u/>
      <sz val="11"/>
      <color rgb="FF000000"/>
      <name val="Calibri"/>
      <family val="2"/>
    </font>
    <font>
      <u/>
      <sz val="11"/>
      <color rgb="FF0563C1"/>
      <name val="Calibri"/>
      <family val="2"/>
    </font>
    <font>
      <b/>
      <sz val="11"/>
      <color rgb="FFFF0000"/>
      <name val="Calibri"/>
      <family val="2"/>
    </font>
    <font>
      <u/>
      <sz val="11"/>
      <color rgb="FFFF0000"/>
      <name val="Calibri"/>
      <family val="2"/>
    </font>
    <font>
      <u/>
      <sz val="11"/>
      <color rgb="FFFF0000"/>
      <name val="Calibri"/>
      <family val="2"/>
    </font>
    <font>
      <u/>
      <sz val="11"/>
      <color rgb="FFFF0000"/>
      <name val="Calibri"/>
      <family val="2"/>
    </font>
    <font>
      <u/>
      <sz val="11"/>
      <color rgb="FFFF0000"/>
      <name val="Calibri"/>
      <family val="2"/>
      <scheme val="minor"/>
    </font>
    <font>
      <u/>
      <sz val="11"/>
      <color rgb="FF0563C1"/>
      <name val="Calibri"/>
      <family val="2"/>
    </font>
    <font>
      <u/>
      <sz val="11"/>
      <color rgb="FF0563C1"/>
      <name val="Calibri"/>
      <family val="2"/>
      <scheme val="minor"/>
    </font>
    <font>
      <u/>
      <sz val="11"/>
      <color rgb="FF0000FF"/>
      <name val="Calibri"/>
      <family val="2"/>
    </font>
    <font>
      <u/>
      <sz val="11"/>
      <color rgb="FF000000"/>
      <name val="Calibri"/>
      <family val="2"/>
    </font>
    <font>
      <u/>
      <sz val="11"/>
      <color rgb="FF0000FF"/>
      <name val="Calibri"/>
      <family val="2"/>
    </font>
    <font>
      <u/>
      <sz val="11"/>
      <color rgb="FF000000"/>
      <name val="Calibri"/>
      <family val="2"/>
    </font>
    <font>
      <u/>
      <sz val="11"/>
      <color rgb="FF0000FF"/>
      <name val="Calibri"/>
      <family val="2"/>
    </font>
    <font>
      <u/>
      <sz val="11"/>
      <color rgb="FF0000FF"/>
      <name val="Calibri"/>
      <family val="2"/>
    </font>
    <font>
      <u/>
      <sz val="11"/>
      <color rgb="FFFF0000"/>
      <name val="Calibri"/>
      <family val="2"/>
    </font>
    <font>
      <sz val="11"/>
      <color rgb="FF000000"/>
      <name val="&quot;Aptos Narrow&quot;"/>
    </font>
    <font>
      <u/>
      <sz val="11"/>
      <color rgb="FF0000FF"/>
      <name val="Calibri"/>
      <family val="2"/>
    </font>
    <font>
      <u/>
      <sz val="11"/>
      <color rgb="FF0563C1"/>
      <name val="Calibri"/>
      <family val="2"/>
    </font>
    <font>
      <u/>
      <sz val="11"/>
      <color rgb="FF0000FF"/>
      <name val="Calibri"/>
      <family val="2"/>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scheme val="minor"/>
    </font>
    <font>
      <b/>
      <u/>
      <sz val="11"/>
      <color theme="1"/>
      <name val="Calibri"/>
      <family val="2"/>
    </font>
    <font>
      <b/>
      <u/>
      <sz val="11"/>
      <color theme="1"/>
      <name val="Calibri"/>
      <family val="2"/>
    </font>
    <font>
      <b/>
      <u/>
      <sz val="11"/>
      <color theme="1"/>
      <name val="Calibri"/>
      <family val="2"/>
    </font>
    <font>
      <b/>
      <sz val="11"/>
      <color theme="1"/>
      <name val="Calibri"/>
      <family val="2"/>
    </font>
    <font>
      <b/>
      <u/>
      <sz val="11"/>
      <color rgb="FF000000"/>
      <name val="Calibri"/>
      <family val="2"/>
    </font>
    <font>
      <sz val="11"/>
      <color rgb="FF000000"/>
      <name val="&quot;Times New Roman&quot;"/>
    </font>
    <font>
      <sz val="11"/>
      <color rgb="FF9C0006"/>
      <name val="Calibri"/>
      <family val="2"/>
    </font>
    <font>
      <sz val="11"/>
      <color theme="1"/>
      <name val="Bookman Old Style"/>
      <family val="1"/>
    </font>
    <font>
      <sz val="11"/>
      <color theme="1"/>
      <name val="Times New Roman"/>
      <family val="1"/>
    </font>
    <font>
      <sz val="11"/>
      <name val="Calibri"/>
      <family val="2"/>
    </font>
    <font>
      <b/>
      <sz val="11"/>
      <color theme="1"/>
      <name val="Calibri"/>
      <family val="2"/>
    </font>
  </fonts>
  <fills count="32">
    <fill>
      <patternFill patternType="none"/>
    </fill>
    <fill>
      <patternFill patternType="gray125"/>
    </fill>
    <fill>
      <patternFill patternType="solid">
        <fgColor rgb="FFFFFFFF"/>
        <bgColor rgb="FFFFFFFF"/>
      </patternFill>
    </fill>
    <fill>
      <patternFill patternType="solid">
        <fgColor rgb="FFFFE598"/>
        <bgColor rgb="FFFFE598"/>
      </patternFill>
    </fill>
    <fill>
      <patternFill patternType="solid">
        <fgColor rgb="FFB4C6E7"/>
        <bgColor rgb="FFB4C6E7"/>
      </patternFill>
    </fill>
    <fill>
      <patternFill patternType="solid">
        <fgColor rgb="FFF7CAAC"/>
        <bgColor rgb="FFF7CAAC"/>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BDD7EE"/>
        <bgColor rgb="FFBDD7EE"/>
      </patternFill>
    </fill>
    <fill>
      <patternFill patternType="solid">
        <fgColor rgb="FFEA9999"/>
        <bgColor rgb="FFEA9999"/>
      </patternFill>
    </fill>
    <fill>
      <patternFill patternType="solid">
        <fgColor rgb="FF00FF00"/>
        <bgColor rgb="FF00FF00"/>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FE599"/>
        <bgColor rgb="FFFFE599"/>
      </patternFill>
    </fill>
    <fill>
      <patternFill patternType="solid">
        <fgColor rgb="FFFFD966"/>
        <bgColor rgb="FFFFD966"/>
      </patternFill>
    </fill>
    <fill>
      <patternFill patternType="solid">
        <fgColor rgb="FF93C47D"/>
        <bgColor rgb="FF93C47D"/>
      </patternFill>
    </fill>
    <fill>
      <patternFill patternType="solid">
        <fgColor rgb="FFA50021"/>
        <bgColor rgb="FFA50021"/>
      </patternFill>
    </fill>
    <fill>
      <patternFill patternType="solid">
        <fgColor rgb="FF305496"/>
        <bgColor rgb="FF305496"/>
      </patternFill>
    </fill>
    <fill>
      <patternFill patternType="solid">
        <fgColor rgb="FFE06666"/>
        <bgColor rgb="FFE06666"/>
      </patternFill>
    </fill>
    <fill>
      <patternFill patternType="solid">
        <fgColor rgb="FFC9DAF8"/>
        <bgColor rgb="FFC9DAF8"/>
      </patternFill>
    </fill>
    <fill>
      <patternFill patternType="solid">
        <fgColor rgb="FFD9E1F2"/>
        <bgColor rgb="FFD9E1F2"/>
      </patternFill>
    </fill>
    <fill>
      <patternFill patternType="solid">
        <fgColor rgb="FFE2EFDA"/>
        <bgColor rgb="FFE2EFDA"/>
      </patternFill>
    </fill>
    <fill>
      <patternFill patternType="solid">
        <fgColor rgb="FFF8CBAD"/>
        <bgColor rgb="FFF8CBAD"/>
      </patternFill>
    </fill>
    <fill>
      <patternFill patternType="solid">
        <fgColor rgb="FFFFE699"/>
        <bgColor rgb="FFFFE699"/>
      </patternFill>
    </fill>
    <fill>
      <patternFill patternType="solid">
        <fgColor rgb="FFC6E0B4"/>
        <bgColor rgb="FFC6E0B4"/>
      </patternFill>
    </fill>
    <fill>
      <patternFill patternType="solid">
        <fgColor rgb="FFFFC7CE"/>
        <bgColor rgb="FFFFC7CE"/>
      </patternFill>
    </fill>
    <fill>
      <patternFill patternType="solid">
        <fgColor rgb="FFA4C2F4"/>
        <bgColor rgb="FFA4C2F4"/>
      </patternFill>
    </fill>
    <fill>
      <patternFill patternType="solid">
        <fgColor rgb="FFFFFF00"/>
        <bgColor rgb="FFFFFFFF"/>
      </patternFill>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8EA9DB"/>
      </bottom>
      <diagonal/>
    </border>
    <border>
      <left/>
      <right/>
      <top style="thin">
        <color rgb="FF8EA9DB"/>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4">
    <xf numFmtId="0" fontId="0" fillId="0" borderId="0" xfId="0"/>
    <xf numFmtId="0" fontId="4" fillId="2" borderId="1" xfId="0" applyFont="1" applyFill="1" applyBorder="1" applyAlignment="1">
      <alignment horizontal="center" vertical="center"/>
    </xf>
    <xf numFmtId="0" fontId="5" fillId="0" borderId="0" xfId="0" applyFont="1"/>
    <xf numFmtId="0" fontId="6" fillId="2" borderId="1" xfId="0" applyFont="1" applyFill="1" applyBorder="1"/>
    <xf numFmtId="0" fontId="7" fillId="0" borderId="1" xfId="0" applyFont="1" applyBorder="1" applyAlignment="1">
      <alignment horizontal="center" vertical="center"/>
    </xf>
    <xf numFmtId="1" fontId="7" fillId="0" borderId="1" xfId="0" applyNumberFormat="1" applyFont="1" applyBorder="1"/>
    <xf numFmtId="0" fontId="7" fillId="0" borderId="1" xfId="0" applyFont="1" applyBorder="1"/>
    <xf numFmtId="9" fontId="7" fillId="0" borderId="1" xfId="0" applyNumberFormat="1" applyFont="1" applyBorder="1"/>
    <xf numFmtId="164" fontId="7" fillId="0" borderId="1" xfId="0" applyNumberFormat="1" applyFont="1" applyBorder="1"/>
    <xf numFmtId="2" fontId="7" fillId="0" borderId="1" xfId="0" applyNumberFormat="1" applyFont="1" applyBorder="1" applyAlignment="1">
      <alignment horizontal="center" vertical="center"/>
    </xf>
    <xf numFmtId="165" fontId="7" fillId="0" borderId="1" xfId="0" applyNumberFormat="1" applyFont="1" applyBorder="1"/>
    <xf numFmtId="2" fontId="7" fillId="0" borderId="1" xfId="0" applyNumberFormat="1" applyFont="1" applyBorder="1"/>
    <xf numFmtId="0" fontId="8" fillId="0" borderId="0" xfId="0" applyFont="1" applyAlignment="1">
      <alignment horizont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166" fontId="4" fillId="0" borderId="1" xfId="0" applyNumberFormat="1" applyFont="1" applyBorder="1" applyAlignment="1">
      <alignment horizontal="center" vertical="center" wrapText="1"/>
    </xf>
    <xf numFmtId="167" fontId="4" fillId="0" borderId="1" xfId="0" applyNumberFormat="1" applyFont="1" applyBorder="1" applyAlignment="1">
      <alignment horizontal="center" vertical="center" wrapText="1"/>
    </xf>
    <xf numFmtId="0" fontId="9" fillId="2" borderId="0" xfId="0" applyFont="1" applyFill="1" applyAlignment="1">
      <alignment horizontal="center"/>
    </xf>
    <xf numFmtId="9" fontId="10" fillId="0" borderId="0" xfId="0" applyNumberFormat="1" applyFont="1" applyAlignment="1">
      <alignment horizontal="center"/>
    </xf>
    <xf numFmtId="0" fontId="11" fillId="0" borderId="0" xfId="0" applyFont="1" applyAlignment="1">
      <alignment horizontal="center"/>
    </xf>
    <xf numFmtId="0" fontId="10" fillId="0" borderId="0" xfId="0" applyFont="1" applyAlignment="1">
      <alignment horizontal="center"/>
    </xf>
    <xf numFmtId="0" fontId="10" fillId="0" borderId="1" xfId="0" applyFont="1" applyBorder="1" applyAlignment="1">
      <alignment horizontal="center"/>
    </xf>
    <xf numFmtId="0" fontId="10" fillId="0" borderId="1" xfId="0" applyFont="1" applyBorder="1" applyAlignment="1">
      <alignment horizontal="center" vertical="center"/>
    </xf>
    <xf numFmtId="0" fontId="10" fillId="2" borderId="1" xfId="0" applyFont="1" applyFill="1" applyBorder="1" applyAlignment="1">
      <alignment horizontal="center"/>
    </xf>
    <xf numFmtId="2" fontId="10" fillId="0" borderId="1" xfId="0" applyNumberFormat="1" applyFont="1" applyBorder="1" applyAlignment="1">
      <alignment horizontal="center" vertical="center"/>
    </xf>
    <xf numFmtId="168" fontId="10" fillId="3" borderId="1" xfId="0" applyNumberFormat="1" applyFont="1" applyFill="1" applyBorder="1" applyAlignment="1">
      <alignment horizontal="center" vertical="center"/>
    </xf>
    <xf numFmtId="169" fontId="10" fillId="3" borderId="1" xfId="0" applyNumberFormat="1" applyFont="1" applyFill="1" applyBorder="1" applyAlignment="1">
      <alignment horizontal="center" vertical="center"/>
    </xf>
    <xf numFmtId="170" fontId="10" fillId="3" borderId="1" xfId="0" applyNumberFormat="1" applyFont="1" applyFill="1" applyBorder="1" applyAlignment="1">
      <alignment horizontal="center" vertical="center"/>
    </xf>
    <xf numFmtId="171" fontId="10" fillId="4" borderId="1" xfId="0" applyNumberFormat="1" applyFont="1" applyFill="1" applyBorder="1" applyAlignment="1">
      <alignment horizontal="center" vertical="center"/>
    </xf>
    <xf numFmtId="171" fontId="10" fillId="5" borderId="1" xfId="0" applyNumberFormat="1" applyFont="1" applyFill="1" applyBorder="1" applyAlignment="1">
      <alignment horizontal="center" vertical="center"/>
    </xf>
    <xf numFmtId="171" fontId="10" fillId="0" borderId="1" xfId="0" applyNumberFormat="1" applyFont="1" applyBorder="1" applyAlignment="1">
      <alignment horizontal="center" vertical="center"/>
    </xf>
    <xf numFmtId="171" fontId="10" fillId="6" borderId="1" xfId="0" applyNumberFormat="1" applyFont="1" applyFill="1" applyBorder="1" applyAlignment="1">
      <alignment horizontal="center" vertical="center"/>
    </xf>
    <xf numFmtId="9" fontId="10" fillId="6" borderId="1" xfId="0" applyNumberFormat="1" applyFont="1" applyFill="1" applyBorder="1" applyAlignment="1">
      <alignment horizontal="center" vertical="center"/>
    </xf>
    <xf numFmtId="171" fontId="10" fillId="0" borderId="1" xfId="0" applyNumberFormat="1" applyFont="1" applyBorder="1" applyAlignment="1">
      <alignment horizontal="center"/>
    </xf>
    <xf numFmtId="10" fontId="10" fillId="0" borderId="1" xfId="0" applyNumberFormat="1" applyFont="1" applyBorder="1" applyAlignment="1">
      <alignment horizontal="center"/>
    </xf>
    <xf numFmtId="167" fontId="10" fillId="0" borderId="1" xfId="0" applyNumberFormat="1" applyFont="1" applyBorder="1" applyAlignment="1">
      <alignment horizontal="center"/>
    </xf>
    <xf numFmtId="2" fontId="11" fillId="0" borderId="0" xfId="0" applyNumberFormat="1" applyFont="1" applyAlignment="1">
      <alignment horizontal="center"/>
    </xf>
    <xf numFmtId="0" fontId="12" fillId="0" borderId="0" xfId="0" applyFont="1" applyAlignment="1">
      <alignment horizontal="center"/>
    </xf>
    <xf numFmtId="0" fontId="6" fillId="0" borderId="0" xfId="0" applyFont="1" applyAlignment="1">
      <alignment horizontal="center"/>
    </xf>
    <xf numFmtId="0" fontId="6" fillId="0" borderId="1" xfId="0" applyFont="1" applyBorder="1" applyAlignment="1">
      <alignment horizontal="center"/>
    </xf>
    <xf numFmtId="0" fontId="6" fillId="0" borderId="1" xfId="0" applyFont="1" applyBorder="1" applyAlignment="1">
      <alignment horizontal="center" vertical="center"/>
    </xf>
    <xf numFmtId="0" fontId="6" fillId="2" borderId="1" xfId="0" applyFont="1" applyFill="1" applyBorder="1" applyAlignment="1">
      <alignment horizontal="center"/>
    </xf>
    <xf numFmtId="2" fontId="6" fillId="0" borderId="1" xfId="0" applyNumberFormat="1" applyFont="1" applyBorder="1" applyAlignment="1">
      <alignment horizontal="center" vertical="center"/>
    </xf>
    <xf numFmtId="168" fontId="6" fillId="3" borderId="1" xfId="0" applyNumberFormat="1" applyFont="1" applyFill="1" applyBorder="1" applyAlignment="1">
      <alignment horizontal="center" vertical="center"/>
    </xf>
    <xf numFmtId="169" fontId="6" fillId="3" borderId="1" xfId="0" applyNumberFormat="1" applyFont="1" applyFill="1" applyBorder="1" applyAlignment="1">
      <alignment horizontal="center" vertical="center"/>
    </xf>
    <xf numFmtId="170" fontId="6" fillId="3" borderId="1" xfId="0" applyNumberFormat="1" applyFont="1" applyFill="1" applyBorder="1" applyAlignment="1">
      <alignment horizontal="center" vertical="center"/>
    </xf>
    <xf numFmtId="171" fontId="6" fillId="4" borderId="1" xfId="0" applyNumberFormat="1" applyFont="1" applyFill="1" applyBorder="1" applyAlignment="1">
      <alignment horizontal="center" vertical="center"/>
    </xf>
    <xf numFmtId="171" fontId="6" fillId="5" borderId="1" xfId="0" applyNumberFormat="1" applyFont="1" applyFill="1" applyBorder="1" applyAlignment="1">
      <alignment horizontal="center" vertical="center"/>
    </xf>
    <xf numFmtId="171" fontId="6" fillId="0" borderId="1" xfId="0" applyNumberFormat="1" applyFont="1" applyBorder="1" applyAlignment="1">
      <alignment horizontal="center" vertical="center"/>
    </xf>
    <xf numFmtId="171" fontId="6" fillId="6" borderId="1" xfId="0" applyNumberFormat="1" applyFont="1" applyFill="1" applyBorder="1" applyAlignment="1">
      <alignment horizontal="center" vertical="center"/>
    </xf>
    <xf numFmtId="9" fontId="6" fillId="6" borderId="1" xfId="0" applyNumberFormat="1" applyFont="1" applyFill="1" applyBorder="1" applyAlignment="1">
      <alignment horizontal="center" vertical="center"/>
    </xf>
    <xf numFmtId="171" fontId="6" fillId="0" borderId="1" xfId="0" applyNumberFormat="1" applyFont="1" applyBorder="1" applyAlignment="1">
      <alignment horizontal="center"/>
    </xf>
    <xf numFmtId="10" fontId="6" fillId="0" borderId="1" xfId="0" applyNumberFormat="1" applyFont="1" applyBorder="1" applyAlignment="1">
      <alignment horizontal="center"/>
    </xf>
    <xf numFmtId="167" fontId="6" fillId="0" borderId="1" xfId="0" applyNumberFormat="1" applyFont="1" applyBorder="1" applyAlignment="1">
      <alignment horizontal="center"/>
    </xf>
    <xf numFmtId="2" fontId="12" fillId="0" borderId="0" xfId="0" applyNumberFormat="1" applyFont="1" applyAlignment="1">
      <alignment horizontal="center"/>
    </xf>
    <xf numFmtId="0" fontId="6" fillId="2" borderId="2" xfId="0" applyFont="1" applyFill="1" applyBorder="1" applyAlignment="1">
      <alignment horizontal="center"/>
    </xf>
    <xf numFmtId="10" fontId="6" fillId="6" borderId="1" xfId="0" applyNumberFormat="1" applyFont="1" applyFill="1" applyBorder="1" applyAlignment="1">
      <alignment horizontal="center" vertical="center"/>
    </xf>
    <xf numFmtId="1" fontId="6" fillId="0" borderId="1" xfId="0" applyNumberFormat="1" applyFont="1" applyBorder="1" applyAlignment="1">
      <alignment horizontal="center"/>
    </xf>
    <xf numFmtId="172" fontId="6" fillId="0" borderId="1" xfId="0" applyNumberFormat="1" applyFont="1" applyBorder="1" applyAlignment="1">
      <alignment horizontal="center"/>
    </xf>
    <xf numFmtId="173" fontId="6" fillId="0" borderId="1" xfId="0" applyNumberFormat="1" applyFont="1" applyBorder="1" applyAlignment="1">
      <alignment horizontal="center"/>
    </xf>
    <xf numFmtId="0" fontId="6" fillId="0" borderId="1" xfId="0" applyFont="1" applyBorder="1" applyAlignment="1">
      <alignment horizontal="center" wrapText="1"/>
    </xf>
    <xf numFmtId="9" fontId="6" fillId="0" borderId="1" xfId="0" applyNumberFormat="1" applyFont="1" applyBorder="1" applyAlignment="1">
      <alignment horizontal="center"/>
    </xf>
    <xf numFmtId="0" fontId="12" fillId="0" borderId="0" xfId="0" applyFont="1"/>
    <xf numFmtId="0" fontId="6" fillId="2" borderId="0" xfId="0" applyFont="1" applyFill="1" applyAlignment="1">
      <alignment horizontal="center"/>
    </xf>
    <xf numFmtId="0" fontId="6" fillId="2" borderId="3" xfId="0" applyFont="1" applyFill="1" applyBorder="1" applyAlignment="1">
      <alignment horizontal="center"/>
    </xf>
    <xf numFmtId="0" fontId="12"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13" fillId="0" borderId="0" xfId="0" applyFont="1" applyAlignment="1">
      <alignment horizontal="center"/>
    </xf>
    <xf numFmtId="174" fontId="6" fillId="0" borderId="1" xfId="0" applyNumberFormat="1" applyFont="1" applyBorder="1" applyAlignment="1">
      <alignment horizontal="center" vertical="center"/>
    </xf>
    <xf numFmtId="0" fontId="6" fillId="0" borderId="1" xfId="0" quotePrefix="1" applyFont="1" applyBorder="1" applyAlignment="1">
      <alignment horizontal="center"/>
    </xf>
    <xf numFmtId="0" fontId="14" fillId="0" borderId="0" xfId="0" applyFont="1" applyAlignment="1">
      <alignment horizontal="center"/>
    </xf>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2"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168" fontId="16" fillId="3" borderId="1" xfId="0" applyNumberFormat="1" applyFont="1" applyFill="1" applyBorder="1" applyAlignment="1">
      <alignment horizontal="center" vertical="center"/>
    </xf>
    <xf numFmtId="169" fontId="16" fillId="3" borderId="1" xfId="0" applyNumberFormat="1" applyFont="1" applyFill="1" applyBorder="1" applyAlignment="1">
      <alignment horizontal="center" vertical="center"/>
    </xf>
    <xf numFmtId="170" fontId="16" fillId="3" borderId="1" xfId="0" applyNumberFormat="1" applyFont="1" applyFill="1" applyBorder="1" applyAlignment="1">
      <alignment horizontal="center" vertical="center"/>
    </xf>
    <xf numFmtId="171" fontId="16" fillId="4" borderId="1" xfId="0" applyNumberFormat="1" applyFont="1" applyFill="1" applyBorder="1" applyAlignment="1">
      <alignment horizontal="center" vertical="center"/>
    </xf>
    <xf numFmtId="171" fontId="16" fillId="5" borderId="1" xfId="0" applyNumberFormat="1" applyFont="1" applyFill="1" applyBorder="1" applyAlignment="1">
      <alignment horizontal="center" vertical="center"/>
    </xf>
    <xf numFmtId="171" fontId="16" fillId="0" borderId="1" xfId="0" applyNumberFormat="1" applyFont="1" applyBorder="1" applyAlignment="1">
      <alignment horizontal="center" vertical="center"/>
    </xf>
    <xf numFmtId="171" fontId="16" fillId="6" borderId="1" xfId="0" applyNumberFormat="1" applyFont="1" applyFill="1" applyBorder="1" applyAlignment="1">
      <alignment horizontal="center" vertical="center"/>
    </xf>
    <xf numFmtId="9" fontId="16" fillId="6" borderId="1" xfId="0" applyNumberFormat="1" applyFont="1" applyFill="1" applyBorder="1" applyAlignment="1">
      <alignment horizontal="center" vertical="center"/>
    </xf>
    <xf numFmtId="171" fontId="16" fillId="0" borderId="1" xfId="0" applyNumberFormat="1" applyFont="1" applyBorder="1" applyAlignment="1">
      <alignment horizontal="center"/>
    </xf>
    <xf numFmtId="10" fontId="16" fillId="0" borderId="1" xfId="0" applyNumberFormat="1" applyFont="1" applyBorder="1" applyAlignment="1">
      <alignment horizontal="center"/>
    </xf>
    <xf numFmtId="167" fontId="16" fillId="0" borderId="1" xfId="0" applyNumberFormat="1" applyFont="1" applyBorder="1" applyAlignment="1">
      <alignment horizontal="center"/>
    </xf>
    <xf numFmtId="2" fontId="14" fillId="0" borderId="0" xfId="0" applyNumberFormat="1" applyFont="1" applyAlignment="1">
      <alignment horizontal="center"/>
    </xf>
    <xf numFmtId="0" fontId="13" fillId="0" borderId="1" xfId="0" applyFont="1" applyBorder="1" applyAlignment="1">
      <alignment horizontal="center"/>
    </xf>
    <xf numFmtId="166" fontId="6" fillId="0" borderId="1" xfId="0" applyNumberFormat="1" applyFont="1" applyBorder="1" applyAlignment="1">
      <alignment horizontal="center"/>
    </xf>
    <xf numFmtId="171" fontId="6" fillId="5" borderId="1" xfId="0" applyNumberFormat="1" applyFont="1" applyFill="1" applyBorder="1" applyAlignment="1">
      <alignment horizontal="left" vertical="center"/>
    </xf>
    <xf numFmtId="1" fontId="6" fillId="0" borderId="3" xfId="0" applyNumberFormat="1" applyFont="1" applyBorder="1" applyAlignment="1">
      <alignment horizontal="center"/>
    </xf>
    <xf numFmtId="0" fontId="6" fillId="7" borderId="1" xfId="0" applyFont="1" applyFill="1" applyBorder="1" applyAlignment="1">
      <alignment horizontal="center"/>
    </xf>
    <xf numFmtId="9" fontId="12" fillId="0" borderId="1" xfId="0" applyNumberFormat="1" applyFont="1" applyBorder="1" applyAlignment="1">
      <alignment horizontal="center"/>
    </xf>
    <xf numFmtId="0" fontId="13" fillId="2" borderId="0" xfId="0" applyFont="1" applyFill="1" applyAlignment="1">
      <alignment horizontal="center"/>
    </xf>
    <xf numFmtId="0" fontId="13" fillId="2" borderId="1" xfId="0" applyFont="1" applyFill="1" applyBorder="1" applyAlignment="1">
      <alignment horizontal="center"/>
    </xf>
    <xf numFmtId="0" fontId="13" fillId="0" borderId="1" xfId="0" applyFont="1" applyBorder="1" applyAlignment="1">
      <alignment horizontal="center" vertical="center"/>
    </xf>
    <xf numFmtId="166" fontId="6" fillId="6" borderId="1" xfId="0" applyNumberFormat="1" applyFont="1" applyFill="1" applyBorder="1" applyAlignment="1">
      <alignment horizontal="center" vertical="center"/>
    </xf>
    <xf numFmtId="171" fontId="6" fillId="4" borderId="2" xfId="0" applyNumberFormat="1" applyFont="1" applyFill="1" applyBorder="1" applyAlignment="1">
      <alignment horizontal="center"/>
    </xf>
    <xf numFmtId="0" fontId="6" fillId="2" borderId="4" xfId="0" applyFont="1" applyFill="1" applyBorder="1" applyAlignment="1">
      <alignment horizontal="center"/>
    </xf>
    <xf numFmtId="174" fontId="12" fillId="0" borderId="1" xfId="0" applyNumberFormat="1" applyFont="1" applyBorder="1" applyAlignment="1">
      <alignment horizontal="center"/>
    </xf>
    <xf numFmtId="2" fontId="12" fillId="0" borderId="1" xfId="0" applyNumberFormat="1" applyFont="1" applyBorder="1" applyAlignment="1">
      <alignment horizontal="center"/>
    </xf>
    <xf numFmtId="175" fontId="12" fillId="0" borderId="1" xfId="0" applyNumberFormat="1" applyFont="1" applyBorder="1" applyAlignment="1">
      <alignment horizontal="center"/>
    </xf>
    <xf numFmtId="0" fontId="12" fillId="0" borderId="1" xfId="0" quotePrefix="1" applyFont="1" applyBorder="1" applyAlignment="1">
      <alignment horizontal="center"/>
    </xf>
    <xf numFmtId="0" fontId="16" fillId="0" borderId="0" xfId="0" applyFont="1" applyAlignment="1">
      <alignment horizontal="center"/>
    </xf>
    <xf numFmtId="0" fontId="16" fillId="2" borderId="4" xfId="0" applyFont="1" applyFill="1" applyBorder="1" applyAlignment="1">
      <alignment horizontal="center"/>
    </xf>
    <xf numFmtId="2" fontId="14" fillId="0" borderId="1" xfId="0" applyNumberFormat="1" applyFont="1" applyBorder="1" applyAlignment="1">
      <alignment horizontal="center"/>
    </xf>
    <xf numFmtId="171" fontId="6" fillId="4" borderId="1" xfId="0" applyNumberFormat="1" applyFont="1" applyFill="1" applyBorder="1" applyAlignment="1">
      <alignment horizontal="left" vertical="center"/>
    </xf>
    <xf numFmtId="4" fontId="6" fillId="0" borderId="1" xfId="0" applyNumberFormat="1" applyFont="1" applyBorder="1" applyAlignment="1">
      <alignment horizontal="center"/>
    </xf>
    <xf numFmtId="0" fontId="12" fillId="2" borderId="0" xfId="0" applyFont="1" applyFill="1" applyAlignment="1">
      <alignment horizontal="center"/>
    </xf>
    <xf numFmtId="0" fontId="6" fillId="2" borderId="1" xfId="0" applyFont="1" applyFill="1" applyBorder="1" applyAlignment="1">
      <alignment horizontal="center" vertical="center"/>
    </xf>
    <xf numFmtId="2" fontId="6" fillId="2" borderId="1" xfId="0" applyNumberFormat="1" applyFont="1" applyFill="1" applyBorder="1" applyAlignment="1">
      <alignment horizontal="center" vertical="center"/>
    </xf>
    <xf numFmtId="168" fontId="6" fillId="2" borderId="1" xfId="0" applyNumberFormat="1" applyFont="1" applyFill="1" applyBorder="1" applyAlignment="1">
      <alignment horizontal="center" vertical="center"/>
    </xf>
    <xf numFmtId="169" fontId="6" fillId="2" borderId="1" xfId="0" applyNumberFormat="1" applyFont="1" applyFill="1" applyBorder="1" applyAlignment="1">
      <alignment horizontal="center" vertical="center"/>
    </xf>
    <xf numFmtId="170" fontId="6" fillId="2" borderId="1" xfId="0" applyNumberFormat="1" applyFont="1" applyFill="1" applyBorder="1" applyAlignment="1">
      <alignment horizontal="center" vertical="center"/>
    </xf>
    <xf numFmtId="171" fontId="6" fillId="2" borderId="1" xfId="0" applyNumberFormat="1" applyFont="1" applyFill="1" applyBorder="1" applyAlignment="1">
      <alignment horizontal="center" vertical="center"/>
    </xf>
    <xf numFmtId="10" fontId="6" fillId="2" borderId="1" xfId="0" applyNumberFormat="1" applyFont="1" applyFill="1" applyBorder="1" applyAlignment="1">
      <alignment horizontal="center" vertical="center"/>
    </xf>
    <xf numFmtId="0" fontId="6" fillId="8" borderId="1" xfId="0" applyFont="1" applyFill="1" applyBorder="1" applyAlignment="1">
      <alignment horizontal="center"/>
    </xf>
    <xf numFmtId="171" fontId="6" fillId="2" borderId="1" xfId="0" applyNumberFormat="1" applyFont="1" applyFill="1" applyBorder="1" applyAlignment="1">
      <alignment horizontal="center"/>
    </xf>
    <xf numFmtId="10" fontId="6" fillId="2" borderId="1" xfId="0" applyNumberFormat="1" applyFont="1" applyFill="1" applyBorder="1" applyAlignment="1">
      <alignment horizontal="center"/>
    </xf>
    <xf numFmtId="1" fontId="6" fillId="2" borderId="1" xfId="0" applyNumberFormat="1" applyFont="1" applyFill="1" applyBorder="1" applyAlignment="1">
      <alignment horizontal="center"/>
    </xf>
    <xf numFmtId="167" fontId="6" fillId="2" borderId="1" xfId="0" applyNumberFormat="1" applyFont="1" applyFill="1" applyBorder="1" applyAlignment="1">
      <alignment horizontal="center"/>
    </xf>
    <xf numFmtId="2" fontId="12" fillId="2" borderId="0" xfId="0" applyNumberFormat="1" applyFont="1" applyFill="1" applyAlignment="1">
      <alignment horizontal="center"/>
    </xf>
    <xf numFmtId="2" fontId="6" fillId="0" borderId="1" xfId="0" applyNumberFormat="1" applyFont="1" applyBorder="1" applyAlignment="1">
      <alignment horizontal="center"/>
    </xf>
    <xf numFmtId="168" fontId="6" fillId="3" borderId="1" xfId="0" applyNumberFormat="1" applyFont="1" applyFill="1" applyBorder="1" applyAlignment="1">
      <alignment horizontal="center"/>
    </xf>
    <xf numFmtId="169" fontId="6" fillId="3" borderId="1" xfId="0" applyNumberFormat="1" applyFont="1" applyFill="1" applyBorder="1" applyAlignment="1">
      <alignment horizontal="center"/>
    </xf>
    <xf numFmtId="170" fontId="6" fillId="3" borderId="1" xfId="0" applyNumberFormat="1" applyFont="1" applyFill="1" applyBorder="1" applyAlignment="1">
      <alignment horizontal="center"/>
    </xf>
    <xf numFmtId="171" fontId="6" fillId="4" borderId="1" xfId="0" applyNumberFormat="1" applyFont="1" applyFill="1" applyBorder="1" applyAlignment="1">
      <alignment horizontal="center"/>
    </xf>
    <xf numFmtId="171" fontId="6" fillId="5" borderId="1" xfId="0" applyNumberFormat="1" applyFont="1" applyFill="1" applyBorder="1" applyAlignment="1">
      <alignment horizontal="center"/>
    </xf>
    <xf numFmtId="171" fontId="6" fillId="6" borderId="1" xfId="0" applyNumberFormat="1" applyFont="1" applyFill="1" applyBorder="1" applyAlignment="1">
      <alignment horizontal="center"/>
    </xf>
    <xf numFmtId="10" fontId="6" fillId="6" borderId="1" xfId="0" applyNumberFormat="1" applyFont="1" applyFill="1" applyBorder="1" applyAlignment="1">
      <alignment horizontal="center"/>
    </xf>
    <xf numFmtId="2" fontId="6" fillId="0" borderId="0" xfId="0" applyNumberFormat="1" applyFont="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7" fillId="2" borderId="2" xfId="0" applyFont="1" applyFill="1" applyBorder="1" applyAlignment="1">
      <alignment horizontal="center"/>
    </xf>
    <xf numFmtId="2" fontId="7" fillId="0" borderId="1" xfId="0" applyNumberFormat="1" applyFont="1" applyBorder="1" applyAlignment="1">
      <alignment horizontal="center"/>
    </xf>
    <xf numFmtId="168" fontId="7" fillId="3" borderId="1" xfId="0" applyNumberFormat="1" applyFont="1" applyFill="1" applyBorder="1" applyAlignment="1">
      <alignment horizontal="center"/>
    </xf>
    <xf numFmtId="169" fontId="7" fillId="3" borderId="1" xfId="0" applyNumberFormat="1" applyFont="1" applyFill="1" applyBorder="1" applyAlignment="1">
      <alignment horizontal="center"/>
    </xf>
    <xf numFmtId="170" fontId="7" fillId="3" borderId="1" xfId="0" applyNumberFormat="1" applyFont="1" applyFill="1" applyBorder="1" applyAlignment="1">
      <alignment horizontal="center"/>
    </xf>
    <xf numFmtId="171" fontId="7" fillId="4" borderId="1" xfId="0" applyNumberFormat="1" applyFont="1" applyFill="1" applyBorder="1" applyAlignment="1">
      <alignment horizontal="center"/>
    </xf>
    <xf numFmtId="171" fontId="7" fillId="5" borderId="1" xfId="0" applyNumberFormat="1" applyFont="1" applyFill="1" applyBorder="1" applyAlignment="1">
      <alignment horizontal="center"/>
    </xf>
    <xf numFmtId="171" fontId="7" fillId="0" borderId="1" xfId="0" applyNumberFormat="1" applyFont="1" applyBorder="1" applyAlignment="1">
      <alignment horizontal="center"/>
    </xf>
    <xf numFmtId="171" fontId="7"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0" fontId="7" fillId="0" borderId="1" xfId="0" applyNumberFormat="1" applyFont="1" applyBorder="1" applyAlignment="1">
      <alignment horizontal="center"/>
    </xf>
    <xf numFmtId="167" fontId="7" fillId="0" borderId="1" xfId="0" applyNumberFormat="1" applyFont="1" applyBorder="1" applyAlignment="1">
      <alignment horizontal="center"/>
    </xf>
    <xf numFmtId="2" fontId="7" fillId="0" borderId="0" xfId="0" applyNumberFormat="1" applyFont="1" applyAlignment="1">
      <alignment horizontal="center"/>
    </xf>
    <xf numFmtId="0" fontId="5" fillId="0" borderId="1" xfId="0" applyFont="1" applyBorder="1"/>
    <xf numFmtId="0" fontId="17" fillId="0" borderId="1" xfId="0" applyFont="1" applyBorder="1"/>
    <xf numFmtId="0" fontId="5" fillId="0" borderId="1" xfId="0" applyFont="1" applyBorder="1" applyAlignment="1">
      <alignment horizontal="center"/>
    </xf>
    <xf numFmtId="1" fontId="12" fillId="0" borderId="1" xfId="0" applyNumberFormat="1" applyFont="1" applyBorder="1" applyAlignment="1">
      <alignment horizontal="center"/>
    </xf>
    <xf numFmtId="3" fontId="12" fillId="0" borderId="1" xfId="0" applyNumberFormat="1" applyFont="1" applyBorder="1" applyAlignment="1">
      <alignment horizontal="center"/>
    </xf>
    <xf numFmtId="0" fontId="17" fillId="0" borderId="0" xfId="0" applyFont="1"/>
    <xf numFmtId="0" fontId="5" fillId="3" borderId="0" xfId="0" applyFont="1" applyFill="1"/>
    <xf numFmtId="166" fontId="5" fillId="0" borderId="0" xfId="0" applyNumberFormat="1" applyFont="1"/>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176" fontId="21" fillId="0" borderId="0" xfId="0" applyNumberFormat="1" applyFont="1" applyAlignment="1">
      <alignment horizontal="left"/>
    </xf>
    <xf numFmtId="0" fontId="22" fillId="0" borderId="0" xfId="0" applyFont="1" applyAlignment="1">
      <alignment horizontal="left"/>
    </xf>
    <xf numFmtId="4" fontId="23" fillId="0" borderId="0" xfId="0" applyNumberFormat="1" applyFont="1" applyAlignment="1">
      <alignment horizontal="left"/>
    </xf>
    <xf numFmtId="0" fontId="24" fillId="0" borderId="0" xfId="0" applyFont="1" applyAlignment="1">
      <alignment horizontal="left"/>
    </xf>
    <xf numFmtId="10" fontId="25" fillId="0" borderId="0" xfId="0" applyNumberFormat="1" applyFont="1" applyAlignment="1">
      <alignment horizontal="left"/>
    </xf>
    <xf numFmtId="3" fontId="26" fillId="0" borderId="0" xfId="0" applyNumberFormat="1" applyFont="1" applyAlignment="1">
      <alignment horizontal="left"/>
    </xf>
    <xf numFmtId="0" fontId="5" fillId="0" borderId="0" xfId="0" applyFont="1" applyAlignment="1">
      <alignment horizontal="left"/>
    </xf>
    <xf numFmtId="0" fontId="27" fillId="9" borderId="1" xfId="0" applyFont="1" applyFill="1" applyBorder="1" applyAlignment="1">
      <alignment horizontal="left"/>
    </xf>
    <xf numFmtId="0" fontId="27" fillId="6" borderId="1" xfId="0" applyFont="1" applyFill="1" applyBorder="1" applyAlignment="1">
      <alignment horizontal="left"/>
    </xf>
    <xf numFmtId="177" fontId="7" fillId="0" borderId="0" xfId="0" applyNumberFormat="1" applyFont="1" applyAlignment="1">
      <alignment horizontal="center"/>
    </xf>
    <xf numFmtId="176" fontId="5" fillId="0" borderId="0" xfId="0" applyNumberFormat="1" applyFont="1" applyAlignment="1">
      <alignment horizontal="center"/>
    </xf>
    <xf numFmtId="169" fontId="5" fillId="0" borderId="0" xfId="0" applyNumberFormat="1" applyFont="1" applyAlignment="1">
      <alignment horizontal="center"/>
    </xf>
    <xf numFmtId="4" fontId="5" fillId="0" borderId="0" xfId="0" applyNumberFormat="1" applyFont="1" applyAlignment="1">
      <alignment horizontal="center"/>
    </xf>
    <xf numFmtId="2" fontId="5" fillId="0" borderId="0" xfId="0" applyNumberFormat="1" applyFont="1" applyAlignment="1">
      <alignment horizontal="center"/>
    </xf>
    <xf numFmtId="171" fontId="5" fillId="0" borderId="0" xfId="0" applyNumberFormat="1" applyFont="1" applyAlignment="1">
      <alignment horizontal="center"/>
    </xf>
    <xf numFmtId="0" fontId="5" fillId="0" borderId="0" xfId="0" applyFont="1" applyAlignment="1">
      <alignment horizontal="center"/>
    </xf>
    <xf numFmtId="3" fontId="5" fillId="0" borderId="0" xfId="0" applyNumberFormat="1" applyFont="1" applyAlignment="1">
      <alignment horizontal="center"/>
    </xf>
    <xf numFmtId="10" fontId="5" fillId="0" borderId="0" xfId="0" applyNumberFormat="1" applyFont="1" applyAlignment="1">
      <alignment horizontal="center"/>
    </xf>
    <xf numFmtId="0" fontId="6" fillId="6" borderId="3" xfId="0" applyFont="1" applyFill="1" applyBorder="1" applyAlignment="1">
      <alignment horizontal="center"/>
    </xf>
    <xf numFmtId="9" fontId="7" fillId="0" borderId="1" xfId="0" applyNumberFormat="1" applyFont="1" applyBorder="1" applyAlignment="1">
      <alignment horizontal="center"/>
    </xf>
    <xf numFmtId="0" fontId="6" fillId="2" borderId="0" xfId="0" applyFont="1" applyFill="1" applyAlignment="1">
      <alignment horizontal="center" vertical="center"/>
    </xf>
    <xf numFmtId="1" fontId="5" fillId="0" borderId="0" xfId="0" applyNumberFormat="1" applyFont="1" applyAlignment="1">
      <alignment horizontal="center"/>
    </xf>
    <xf numFmtId="0" fontId="6" fillId="0" borderId="0" xfId="0" applyFont="1"/>
    <xf numFmtId="4" fontId="6" fillId="0" borderId="0" xfId="0" applyNumberFormat="1" applyFont="1"/>
    <xf numFmtId="0" fontId="7" fillId="10" borderId="0" xfId="0" applyFont="1" applyFill="1" applyAlignment="1">
      <alignment horizontal="center"/>
    </xf>
    <xf numFmtId="177" fontId="7" fillId="10" borderId="0" xfId="0" applyNumberFormat="1" applyFont="1" applyFill="1" applyAlignment="1">
      <alignment horizontal="center"/>
    </xf>
    <xf numFmtId="176" fontId="5" fillId="10" borderId="0" xfId="0" applyNumberFormat="1" applyFont="1" applyFill="1" applyAlignment="1">
      <alignment horizontal="center"/>
    </xf>
    <xf numFmtId="169" fontId="5" fillId="10" borderId="0" xfId="0" applyNumberFormat="1" applyFont="1" applyFill="1" applyAlignment="1">
      <alignment horizontal="center"/>
    </xf>
    <xf numFmtId="4" fontId="5" fillId="10" borderId="0" xfId="0" applyNumberFormat="1" applyFont="1" applyFill="1" applyAlignment="1">
      <alignment horizontal="center"/>
    </xf>
    <xf numFmtId="2" fontId="5" fillId="10" borderId="0" xfId="0" applyNumberFormat="1" applyFont="1" applyFill="1" applyAlignment="1">
      <alignment horizontal="center"/>
    </xf>
    <xf numFmtId="171" fontId="5" fillId="10" borderId="0" xfId="0" applyNumberFormat="1" applyFont="1" applyFill="1" applyAlignment="1">
      <alignment horizontal="center"/>
    </xf>
    <xf numFmtId="0" fontId="5" fillId="10" borderId="0" xfId="0" applyFont="1" applyFill="1" applyAlignment="1">
      <alignment horizontal="center"/>
    </xf>
    <xf numFmtId="3" fontId="5" fillId="10" borderId="0" xfId="0" applyNumberFormat="1" applyFont="1" applyFill="1" applyAlignment="1">
      <alignment horizontal="center"/>
    </xf>
    <xf numFmtId="10" fontId="5" fillId="10" borderId="0" xfId="0" applyNumberFormat="1" applyFont="1" applyFill="1" applyAlignment="1">
      <alignment horizontal="center"/>
    </xf>
    <xf numFmtId="176" fontId="5" fillId="0" borderId="0" xfId="0" applyNumberFormat="1" applyFont="1"/>
    <xf numFmtId="0" fontId="4" fillId="2" borderId="0" xfId="0" applyFont="1" applyFill="1" applyAlignment="1">
      <alignment horizontal="center" vertical="center"/>
    </xf>
    <xf numFmtId="0" fontId="28" fillId="0" borderId="0" xfId="0" applyFont="1" applyAlignment="1">
      <alignment horizontal="center"/>
    </xf>
    <xf numFmtId="10" fontId="28" fillId="0" borderId="0" xfId="0" applyNumberFormat="1" applyFont="1" applyAlignment="1">
      <alignment horizontal="center"/>
    </xf>
    <xf numFmtId="170" fontId="5" fillId="0" borderId="0" xfId="0" applyNumberFormat="1" applyFont="1" applyAlignment="1">
      <alignment horizontal="center"/>
    </xf>
    <xf numFmtId="0" fontId="13" fillId="11" borderId="0" xfId="0" applyFont="1" applyFill="1" applyAlignment="1">
      <alignment horizontal="center"/>
    </xf>
    <xf numFmtId="0" fontId="6" fillId="11" borderId="0" xfId="0" applyFont="1" applyFill="1" applyAlignment="1">
      <alignment horizontal="center"/>
    </xf>
    <xf numFmtId="170" fontId="5" fillId="11" borderId="0" xfId="0" applyNumberFormat="1" applyFont="1" applyFill="1" applyAlignment="1">
      <alignment horizontal="center"/>
    </xf>
    <xf numFmtId="0" fontId="5" fillId="11" borderId="0" xfId="0" applyFont="1" applyFill="1" applyAlignment="1">
      <alignment horizontal="center"/>
    </xf>
    <xf numFmtId="10" fontId="5" fillId="11" borderId="0" xfId="0" applyNumberFormat="1" applyFont="1" applyFill="1" applyAlignment="1">
      <alignment horizontal="center"/>
    </xf>
    <xf numFmtId="0" fontId="13" fillId="2" borderId="0" xfId="0" applyFont="1" applyFill="1" applyAlignment="1">
      <alignment horizontal="center" vertical="center"/>
    </xf>
    <xf numFmtId="0" fontId="7" fillId="2" borderId="0" xfId="0" applyFont="1" applyFill="1" applyAlignment="1">
      <alignment horizontal="center"/>
    </xf>
    <xf numFmtId="0" fontId="5" fillId="2" borderId="0" xfId="0" applyFont="1" applyFill="1" applyAlignment="1">
      <alignment horizontal="center"/>
    </xf>
    <xf numFmtId="0" fontId="17" fillId="2" borderId="0" xfId="0" applyFont="1" applyFill="1" applyAlignment="1">
      <alignment horizontal="center"/>
    </xf>
    <xf numFmtId="0" fontId="17" fillId="11" borderId="0" xfId="0" applyFont="1" applyFill="1" applyAlignment="1">
      <alignment horizontal="center"/>
    </xf>
    <xf numFmtId="0" fontId="4" fillId="0" borderId="0" xfId="0" applyFont="1" applyAlignment="1">
      <alignment horizontal="center"/>
    </xf>
    <xf numFmtId="4" fontId="4" fillId="2" borderId="0" xfId="0" applyNumberFormat="1" applyFont="1" applyFill="1" applyAlignment="1">
      <alignment horizontal="center" vertical="center" wrapText="1"/>
    </xf>
    <xf numFmtId="0" fontId="4" fillId="2" borderId="0" xfId="0" applyFont="1" applyFill="1" applyAlignment="1">
      <alignment horizontal="center" vertical="center" wrapText="1"/>
    </xf>
    <xf numFmtId="10" fontId="4" fillId="2" borderId="0" xfId="0" applyNumberFormat="1" applyFont="1" applyFill="1" applyAlignment="1">
      <alignment horizontal="center" vertical="center" wrapText="1"/>
    </xf>
    <xf numFmtId="165" fontId="4" fillId="2" borderId="0" xfId="0" applyNumberFormat="1" applyFont="1" applyFill="1" applyAlignment="1">
      <alignment horizontal="center" vertical="center" wrapText="1"/>
    </xf>
    <xf numFmtId="4" fontId="4" fillId="12" borderId="0" xfId="0" applyNumberFormat="1" applyFont="1" applyFill="1" applyAlignment="1">
      <alignment horizontal="center" vertical="center" wrapText="1"/>
    </xf>
    <xf numFmtId="1" fontId="4" fillId="2" borderId="0" xfId="0" applyNumberFormat="1" applyFont="1" applyFill="1" applyAlignment="1">
      <alignment horizontal="center" vertical="center" wrapText="1"/>
    </xf>
    <xf numFmtId="1" fontId="8" fillId="2" borderId="0" xfId="0" applyNumberFormat="1" applyFont="1" applyFill="1" applyAlignment="1">
      <alignment horizontal="center"/>
    </xf>
    <xf numFmtId="4" fontId="4" fillId="0" borderId="0" xfId="0" applyNumberFormat="1" applyFont="1" applyAlignment="1">
      <alignment horizontal="center"/>
    </xf>
    <xf numFmtId="4" fontId="6" fillId="2" borderId="0" xfId="0" applyNumberFormat="1" applyFont="1" applyFill="1" applyAlignment="1">
      <alignment horizontal="center" vertical="center"/>
    </xf>
    <xf numFmtId="170" fontId="6" fillId="2" borderId="0" xfId="0" applyNumberFormat="1" applyFont="1" applyFill="1" applyAlignment="1">
      <alignment horizontal="center" vertical="center"/>
    </xf>
    <xf numFmtId="171" fontId="6" fillId="2" borderId="0" xfId="0" applyNumberFormat="1" applyFont="1" applyFill="1" applyAlignment="1">
      <alignment horizontal="center" vertical="center"/>
    </xf>
    <xf numFmtId="10" fontId="6" fillId="2" borderId="0" xfId="0" applyNumberFormat="1" applyFont="1" applyFill="1" applyAlignment="1">
      <alignment horizontal="center" vertical="center"/>
    </xf>
    <xf numFmtId="165" fontId="6" fillId="2" borderId="0" xfId="0" applyNumberFormat="1" applyFont="1" applyFill="1" applyAlignment="1">
      <alignment horizontal="center"/>
    </xf>
    <xf numFmtId="4" fontId="6" fillId="12" borderId="0" xfId="0" applyNumberFormat="1" applyFont="1" applyFill="1" applyAlignment="1">
      <alignment horizontal="center"/>
    </xf>
    <xf numFmtId="1" fontId="6" fillId="2" borderId="0" xfId="0" applyNumberFormat="1" applyFont="1" applyFill="1" applyAlignment="1">
      <alignment horizontal="center"/>
    </xf>
    <xf numFmtId="1" fontId="12" fillId="2" borderId="0" xfId="0" applyNumberFormat="1" applyFont="1" applyFill="1" applyAlignment="1">
      <alignment horizontal="center"/>
    </xf>
    <xf numFmtId="4" fontId="6" fillId="0" borderId="0" xfId="0" applyNumberFormat="1" applyFont="1" applyAlignment="1">
      <alignment horizontal="center"/>
    </xf>
    <xf numFmtId="4" fontId="6" fillId="2" borderId="0" xfId="0" applyNumberFormat="1" applyFont="1" applyFill="1" applyAlignment="1">
      <alignment horizontal="center"/>
    </xf>
    <xf numFmtId="4" fontId="12" fillId="2" borderId="0" xfId="0" applyNumberFormat="1" applyFont="1" applyFill="1" applyAlignment="1">
      <alignment horizontal="center"/>
    </xf>
    <xf numFmtId="4" fontId="5" fillId="2" borderId="0" xfId="0" applyNumberFormat="1" applyFont="1" applyFill="1" applyAlignment="1">
      <alignment horizontal="center"/>
    </xf>
    <xf numFmtId="0" fontId="29" fillId="0" borderId="0" xfId="0" applyFont="1" applyAlignment="1">
      <alignment horizontal="center"/>
    </xf>
    <xf numFmtId="4" fontId="30" fillId="0" borderId="0" xfId="0" applyNumberFormat="1" applyFont="1" applyAlignment="1">
      <alignment horizontal="center"/>
    </xf>
    <xf numFmtId="10" fontId="31" fillId="0" borderId="0" xfId="0" applyNumberFormat="1" applyFont="1" applyAlignment="1">
      <alignment horizontal="center"/>
    </xf>
    <xf numFmtId="4" fontId="32" fillId="13" borderId="0" xfId="0" applyNumberFormat="1" applyFont="1" applyFill="1" applyAlignment="1">
      <alignment horizontal="center"/>
    </xf>
    <xf numFmtId="10" fontId="33" fillId="13" borderId="0" xfId="0" applyNumberFormat="1" applyFont="1" applyFill="1" applyAlignment="1">
      <alignment horizontal="center"/>
    </xf>
    <xf numFmtId="3" fontId="34" fillId="14" borderId="0" xfId="0" applyNumberFormat="1" applyFont="1" applyFill="1" applyAlignment="1">
      <alignment horizontal="center"/>
    </xf>
    <xf numFmtId="3" fontId="35" fillId="0" borderId="0" xfId="0" applyNumberFormat="1" applyFont="1" applyAlignment="1">
      <alignment horizontal="center"/>
    </xf>
    <xf numFmtId="4" fontId="12" fillId="0" borderId="0" xfId="0" applyNumberFormat="1" applyFont="1" applyAlignment="1">
      <alignment horizontal="center"/>
    </xf>
    <xf numFmtId="10" fontId="12" fillId="0" borderId="0" xfId="0" applyNumberFormat="1" applyFont="1" applyAlignment="1">
      <alignment horizontal="center"/>
    </xf>
    <xf numFmtId="4" fontId="12" fillId="13" borderId="0" xfId="0" applyNumberFormat="1" applyFont="1" applyFill="1" applyAlignment="1">
      <alignment horizontal="center"/>
    </xf>
    <xf numFmtId="10" fontId="12" fillId="13" borderId="0" xfId="0" applyNumberFormat="1" applyFont="1" applyFill="1" applyAlignment="1">
      <alignment horizontal="center"/>
    </xf>
    <xf numFmtId="3" fontId="12" fillId="14" borderId="0" xfId="0" applyNumberFormat="1" applyFont="1" applyFill="1" applyAlignment="1">
      <alignment horizontal="center"/>
    </xf>
    <xf numFmtId="0" fontId="6" fillId="0" borderId="0" xfId="0" applyFont="1" applyAlignment="1">
      <alignment horizontal="center" vertical="center"/>
    </xf>
    <xf numFmtId="3" fontId="5" fillId="15" borderId="0" xfId="0" applyNumberFormat="1" applyFont="1" applyFill="1" applyAlignment="1">
      <alignment horizontal="center"/>
    </xf>
    <xf numFmtId="3" fontId="7" fillId="0" borderId="0" xfId="0" applyNumberFormat="1" applyFont="1" applyAlignment="1">
      <alignment horizontal="center"/>
    </xf>
    <xf numFmtId="0" fontId="7" fillId="0" borderId="0" xfId="0" applyFont="1"/>
    <xf numFmtId="3" fontId="12" fillId="0" borderId="0" xfId="0" applyNumberFormat="1" applyFont="1" applyAlignment="1">
      <alignment horizontal="center"/>
    </xf>
    <xf numFmtId="0" fontId="36" fillId="2" borderId="0" xfId="0" applyFont="1" applyFill="1" applyAlignment="1">
      <alignment horizontal="center"/>
    </xf>
    <xf numFmtId="0" fontId="37" fillId="2" borderId="0" xfId="0" applyFont="1" applyFill="1" applyAlignment="1">
      <alignment horizontal="left"/>
    </xf>
    <xf numFmtId="4" fontId="38" fillId="2" borderId="0" xfId="0" applyNumberFormat="1" applyFont="1" applyFill="1" applyAlignment="1">
      <alignment horizontal="center"/>
    </xf>
    <xf numFmtId="0" fontId="39" fillId="2" borderId="0" xfId="0" applyFont="1" applyFill="1" applyAlignment="1">
      <alignment horizontal="center"/>
    </xf>
    <xf numFmtId="0" fontId="40" fillId="2" borderId="0" xfId="0" applyFont="1" applyFill="1" applyAlignment="1">
      <alignment horizontal="center"/>
    </xf>
    <xf numFmtId="4" fontId="41" fillId="2" borderId="0" xfId="0" applyNumberFormat="1" applyFont="1" applyFill="1" applyAlignment="1">
      <alignment horizontal="center"/>
    </xf>
    <xf numFmtId="2" fontId="42" fillId="2" borderId="0" xfId="0" applyNumberFormat="1" applyFont="1" applyFill="1" applyAlignment="1">
      <alignment horizontal="center"/>
    </xf>
    <xf numFmtId="10" fontId="43" fillId="2" borderId="0" xfId="0" applyNumberFormat="1" applyFont="1" applyFill="1" applyAlignment="1">
      <alignment horizontal="center"/>
    </xf>
    <xf numFmtId="2" fontId="5" fillId="2" borderId="0" xfId="0" applyNumberFormat="1" applyFont="1" applyFill="1" applyAlignment="1">
      <alignment horizontal="center"/>
    </xf>
    <xf numFmtId="0" fontId="5" fillId="2" borderId="0" xfId="0" applyFont="1" applyFill="1"/>
    <xf numFmtId="4" fontId="5" fillId="2" borderId="0" xfId="0" applyNumberFormat="1" applyFont="1" applyFill="1"/>
    <xf numFmtId="2" fontId="5" fillId="2" borderId="0" xfId="0" applyNumberFormat="1" applyFont="1" applyFill="1"/>
    <xf numFmtId="10" fontId="5" fillId="2" borderId="0" xfId="0" applyNumberFormat="1" applyFont="1" applyFill="1"/>
    <xf numFmtId="3" fontId="5" fillId="2" borderId="0" xfId="0" applyNumberFormat="1" applyFont="1" applyFill="1"/>
    <xf numFmtId="4" fontId="5" fillId="2" borderId="0" xfId="0" applyNumberFormat="1" applyFont="1" applyFill="1" applyAlignment="1">
      <alignment horizontal="left"/>
    </xf>
    <xf numFmtId="0" fontId="4" fillId="7" borderId="0" xfId="0" applyFont="1" applyFill="1" applyAlignment="1">
      <alignment horizontal="center" vertical="center"/>
    </xf>
    <xf numFmtId="4" fontId="28" fillId="0" borderId="0" xfId="0" applyNumberFormat="1" applyFont="1" applyAlignment="1">
      <alignment horizontal="center"/>
    </xf>
    <xf numFmtId="0" fontId="6" fillId="7" borderId="0" xfId="0" applyFont="1" applyFill="1" applyAlignment="1">
      <alignment horizontal="center"/>
    </xf>
    <xf numFmtId="0" fontId="6" fillId="7" borderId="0" xfId="0" applyFont="1" applyFill="1" applyAlignment="1">
      <alignment horizontal="center" vertical="center"/>
    </xf>
    <xf numFmtId="0" fontId="12" fillId="7" borderId="0" xfId="0" applyFont="1" applyFill="1" applyAlignment="1">
      <alignment horizontal="center"/>
    </xf>
    <xf numFmtId="0" fontId="13" fillId="7" borderId="0" xfId="0" applyFont="1" applyFill="1" applyAlignment="1">
      <alignment horizontal="center"/>
    </xf>
    <xf numFmtId="170" fontId="12" fillId="0" borderId="0" xfId="0" applyNumberFormat="1" applyFont="1" applyAlignment="1">
      <alignment horizontal="center"/>
    </xf>
    <xf numFmtId="0" fontId="13" fillId="7" borderId="0" xfId="0" applyFont="1" applyFill="1" applyAlignment="1">
      <alignment horizontal="center" vertical="center"/>
    </xf>
    <xf numFmtId="0" fontId="7" fillId="7" borderId="0" xfId="0" applyFont="1" applyFill="1" applyAlignment="1">
      <alignment horizontal="center"/>
    </xf>
    <xf numFmtId="0" fontId="5" fillId="7" borderId="0" xfId="0" applyFont="1" applyFill="1" applyAlignment="1">
      <alignment horizontal="center"/>
    </xf>
    <xf numFmtId="0" fontId="17" fillId="7" borderId="0" xfId="0" applyFont="1" applyFill="1" applyAlignment="1">
      <alignment horizontal="center"/>
    </xf>
    <xf numFmtId="0" fontId="44" fillId="2" borderId="0" xfId="0" applyFont="1" applyFill="1" applyAlignment="1">
      <alignment horizontal="center"/>
    </xf>
    <xf numFmtId="0" fontId="45" fillId="2" borderId="0" xfId="0" applyFont="1" applyFill="1" applyAlignment="1">
      <alignment horizontal="center" vertical="center"/>
    </xf>
    <xf numFmtId="0" fontId="46" fillId="2" borderId="0" xfId="0" applyFont="1" applyFill="1" applyAlignment="1">
      <alignment horizontal="center" vertical="center"/>
    </xf>
    <xf numFmtId="4" fontId="47" fillId="2" borderId="0" xfId="0" applyNumberFormat="1" applyFont="1" applyFill="1" applyAlignment="1">
      <alignment horizontal="center"/>
    </xf>
    <xf numFmtId="3" fontId="48" fillId="2" borderId="0" xfId="0" applyNumberFormat="1" applyFont="1" applyFill="1" applyAlignment="1">
      <alignment horizontal="center"/>
    </xf>
    <xf numFmtId="0" fontId="49" fillId="2" borderId="0" xfId="0" applyFont="1" applyFill="1" applyAlignment="1">
      <alignment horizontal="center"/>
    </xf>
    <xf numFmtId="0" fontId="50" fillId="2" borderId="0" xfId="0" applyFont="1" applyFill="1" applyAlignment="1">
      <alignment horizontal="center"/>
    </xf>
    <xf numFmtId="170" fontId="12" fillId="2" borderId="0" xfId="0" applyNumberFormat="1" applyFont="1" applyFill="1" applyAlignment="1">
      <alignment horizontal="center"/>
    </xf>
    <xf numFmtId="10" fontId="12" fillId="2" borderId="0" xfId="0" applyNumberFormat="1" applyFont="1" applyFill="1" applyAlignment="1">
      <alignment horizontal="center"/>
    </xf>
    <xf numFmtId="3" fontId="12" fillId="2" borderId="0" xfId="0" applyNumberFormat="1" applyFont="1" applyFill="1" applyAlignment="1">
      <alignment horizontal="center"/>
    </xf>
    <xf numFmtId="0" fontId="6" fillId="16" borderId="0" xfId="0" applyFont="1" applyFill="1" applyAlignment="1">
      <alignment horizontal="center"/>
    </xf>
    <xf numFmtId="3" fontId="12" fillId="17" borderId="0" xfId="0" applyNumberFormat="1" applyFont="1" applyFill="1" applyAlignment="1">
      <alignment horizontal="center"/>
    </xf>
    <xf numFmtId="0" fontId="12" fillId="16" borderId="0" xfId="0" applyFont="1" applyFill="1" applyAlignment="1">
      <alignment horizontal="center"/>
    </xf>
    <xf numFmtId="3" fontId="51" fillId="0" borderId="0" xfId="0" applyNumberFormat="1" applyFont="1" applyAlignment="1">
      <alignment horizontal="center"/>
    </xf>
    <xf numFmtId="4" fontId="52" fillId="0" borderId="0" xfId="0" applyNumberFormat="1" applyFont="1" applyAlignment="1">
      <alignment horizontal="center"/>
    </xf>
    <xf numFmtId="10" fontId="53" fillId="0" borderId="0" xfId="0" applyNumberFormat="1" applyFont="1" applyAlignment="1">
      <alignment horizontal="center"/>
    </xf>
    <xf numFmtId="4" fontId="54" fillId="13" borderId="0" xfId="0" applyNumberFormat="1" applyFont="1" applyFill="1" applyAlignment="1">
      <alignment horizontal="center"/>
    </xf>
    <xf numFmtId="10" fontId="55" fillId="13" borderId="0" xfId="0" applyNumberFormat="1" applyFont="1" applyFill="1" applyAlignment="1">
      <alignment horizontal="center"/>
    </xf>
    <xf numFmtId="4" fontId="56" fillId="14" borderId="0" xfId="0" applyNumberFormat="1" applyFont="1" applyFill="1" applyAlignment="1">
      <alignment horizontal="center"/>
    </xf>
    <xf numFmtId="4" fontId="12" fillId="14" borderId="0" xfId="0" applyNumberFormat="1" applyFont="1" applyFill="1" applyAlignment="1">
      <alignment horizontal="center"/>
    </xf>
    <xf numFmtId="3" fontId="12" fillId="15" borderId="0" xfId="0" applyNumberFormat="1" applyFont="1" applyFill="1" applyAlignment="1">
      <alignment horizontal="center"/>
    </xf>
    <xf numFmtId="4" fontId="6" fillId="15" borderId="0" xfId="0" applyNumberFormat="1" applyFont="1" applyFill="1" applyAlignment="1">
      <alignment horizontal="center"/>
    </xf>
    <xf numFmtId="4" fontId="12" fillId="15" borderId="0" xfId="0" applyNumberFormat="1" applyFont="1" applyFill="1" applyAlignment="1">
      <alignment horizontal="center"/>
    </xf>
    <xf numFmtId="10" fontId="12" fillId="15" borderId="0" xfId="0" applyNumberFormat="1" applyFont="1" applyFill="1" applyAlignment="1">
      <alignment horizontal="center"/>
    </xf>
    <xf numFmtId="4" fontId="5" fillId="15" borderId="0" xfId="0" applyNumberFormat="1" applyFont="1" applyFill="1" applyAlignment="1">
      <alignment horizontal="center"/>
    </xf>
    <xf numFmtId="4" fontId="13" fillId="2" borderId="0" xfId="0" applyNumberFormat="1" applyFont="1" applyFill="1" applyAlignment="1">
      <alignment horizontal="center"/>
    </xf>
    <xf numFmtId="4" fontId="7" fillId="0" borderId="0" xfId="0" applyNumberFormat="1" applyFont="1" applyAlignment="1">
      <alignment horizontal="center"/>
    </xf>
    <xf numFmtId="4" fontId="7" fillId="15" borderId="0" xfId="0" applyNumberFormat="1" applyFont="1" applyFill="1" applyAlignment="1">
      <alignment horizontal="center"/>
    </xf>
    <xf numFmtId="4" fontId="7" fillId="2" borderId="0" xfId="0" applyNumberFormat="1" applyFont="1" applyFill="1" applyAlignment="1">
      <alignment horizontal="center"/>
    </xf>
    <xf numFmtId="0" fontId="12" fillId="10" borderId="0" xfId="0" applyFont="1" applyFill="1" applyAlignment="1">
      <alignment horizontal="center"/>
    </xf>
    <xf numFmtId="0" fontId="6" fillId="10" borderId="0" xfId="0" applyFont="1" applyFill="1" applyAlignment="1">
      <alignment horizontal="center"/>
    </xf>
    <xf numFmtId="0" fontId="6" fillId="10" borderId="0" xfId="0" applyFont="1" applyFill="1" applyAlignment="1">
      <alignment horizontal="center" vertical="center"/>
    </xf>
    <xf numFmtId="170" fontId="12" fillId="10" borderId="0" xfId="0" applyNumberFormat="1" applyFont="1" applyFill="1" applyAlignment="1">
      <alignment horizontal="center"/>
    </xf>
    <xf numFmtId="3" fontId="12" fillId="10" borderId="0" xfId="0" applyNumberFormat="1" applyFont="1" applyFill="1" applyAlignment="1">
      <alignment horizontal="center"/>
    </xf>
    <xf numFmtId="10" fontId="12" fillId="10" borderId="0" xfId="0" applyNumberFormat="1" applyFont="1" applyFill="1" applyAlignment="1">
      <alignment horizontal="center"/>
    </xf>
    <xf numFmtId="0" fontId="12" fillId="14" borderId="0" xfId="0" applyFont="1" applyFill="1" applyAlignment="1">
      <alignment horizontal="center"/>
    </xf>
    <xf numFmtId="0" fontId="6" fillId="14" borderId="0" xfId="0" applyFont="1" applyFill="1" applyAlignment="1">
      <alignment horizontal="center"/>
    </xf>
    <xf numFmtId="0" fontId="6" fillId="14" borderId="0" xfId="0" applyFont="1" applyFill="1" applyAlignment="1">
      <alignment horizontal="center" vertical="center"/>
    </xf>
    <xf numFmtId="0" fontId="6" fillId="18" borderId="0" xfId="0" applyFont="1" applyFill="1" applyAlignment="1">
      <alignment horizontal="center"/>
    </xf>
    <xf numFmtId="170" fontId="12" fillId="14" borderId="0" xfId="0" applyNumberFormat="1" applyFont="1" applyFill="1" applyAlignment="1">
      <alignment horizontal="center"/>
    </xf>
    <xf numFmtId="10" fontId="8" fillId="14" borderId="0" xfId="0" applyNumberFormat="1" applyFont="1" applyFill="1" applyAlignment="1">
      <alignment horizontal="center"/>
    </xf>
    <xf numFmtId="0" fontId="13" fillId="10" borderId="0" xfId="0" applyFont="1" applyFill="1" applyAlignment="1">
      <alignment horizontal="center"/>
    </xf>
    <xf numFmtId="0" fontId="13" fillId="14" borderId="0" xfId="0" applyFont="1" applyFill="1" applyAlignment="1">
      <alignment horizontal="center"/>
    </xf>
    <xf numFmtId="10" fontId="12" fillId="14" borderId="0" xfId="0" applyNumberFormat="1" applyFont="1" applyFill="1" applyAlignment="1">
      <alignment horizontal="center"/>
    </xf>
    <xf numFmtId="0" fontId="12" fillId="15" borderId="0" xfId="0" applyFont="1" applyFill="1" applyAlignment="1">
      <alignment horizontal="center"/>
    </xf>
    <xf numFmtId="0" fontId="6" fillId="15" borderId="0" xfId="0" applyFont="1" applyFill="1" applyAlignment="1">
      <alignment horizontal="center"/>
    </xf>
    <xf numFmtId="0" fontId="13" fillId="15" borderId="0" xfId="0" applyFont="1" applyFill="1" applyAlignment="1">
      <alignment horizontal="center" vertical="center"/>
    </xf>
    <xf numFmtId="170" fontId="12" fillId="15" borderId="0" xfId="0" applyNumberFormat="1" applyFont="1" applyFill="1" applyAlignment="1">
      <alignment horizontal="center"/>
    </xf>
    <xf numFmtId="0" fontId="13" fillId="14" borderId="0" xfId="0" applyFont="1" applyFill="1" applyAlignment="1">
      <alignment horizontal="center" vertical="center"/>
    </xf>
    <xf numFmtId="0" fontId="13" fillId="10" borderId="0" xfId="0" applyFont="1" applyFill="1" applyAlignment="1">
      <alignment horizontal="center" vertical="center"/>
    </xf>
    <xf numFmtId="0" fontId="12" fillId="18" borderId="0" xfId="0" applyFont="1" applyFill="1" applyAlignment="1">
      <alignment horizontal="center"/>
    </xf>
    <xf numFmtId="10" fontId="8" fillId="10" borderId="0" xfId="0" applyNumberFormat="1" applyFont="1" applyFill="1" applyAlignment="1">
      <alignment horizontal="center"/>
    </xf>
    <xf numFmtId="0" fontId="57" fillId="0" borderId="0" xfId="0" applyFont="1" applyAlignment="1">
      <alignment horizontal="center"/>
    </xf>
    <xf numFmtId="0" fontId="58" fillId="0" borderId="0" xfId="0" applyFont="1" applyAlignment="1">
      <alignment horizontal="center" vertical="center"/>
    </xf>
    <xf numFmtId="0" fontId="59" fillId="0" borderId="0" xfId="0" applyFont="1" applyAlignment="1">
      <alignment horizontal="center" vertical="center"/>
    </xf>
    <xf numFmtId="9" fontId="60" fillId="0" borderId="0" xfId="0" applyNumberFormat="1" applyFont="1" applyAlignment="1">
      <alignment horizontal="center"/>
    </xf>
    <xf numFmtId="0" fontId="61" fillId="14" borderId="0" xfId="0" applyFont="1" applyFill="1" applyAlignment="1">
      <alignment horizontal="center"/>
    </xf>
    <xf numFmtId="0" fontId="62" fillId="0" borderId="0" xfId="0" applyFont="1"/>
    <xf numFmtId="9" fontId="12" fillId="0" borderId="0" xfId="0" applyNumberFormat="1" applyFont="1" applyAlignment="1">
      <alignment horizontal="center"/>
    </xf>
    <xf numFmtId="3" fontId="5" fillId="0" borderId="0" xfId="0" applyNumberFormat="1" applyFont="1"/>
    <xf numFmtId="3" fontId="17" fillId="14" borderId="0" xfId="0" applyNumberFormat="1" applyFont="1" applyFill="1" applyAlignment="1">
      <alignment horizontal="center"/>
    </xf>
    <xf numFmtId="0" fontId="13" fillId="0" borderId="0" xfId="0" applyFont="1" applyAlignment="1">
      <alignment horizontal="center" vertical="center"/>
    </xf>
    <xf numFmtId="0" fontId="10" fillId="2" borderId="2" xfId="0" applyFont="1" applyFill="1" applyBorder="1" applyAlignment="1">
      <alignment horizontal="center"/>
    </xf>
    <xf numFmtId="0" fontId="10" fillId="2" borderId="0" xfId="0" applyFont="1" applyFill="1" applyAlignment="1">
      <alignment horizontal="center"/>
    </xf>
    <xf numFmtId="0" fontId="10" fillId="2" borderId="3" xfId="0" applyFont="1" applyFill="1" applyBorder="1" applyAlignment="1">
      <alignment horizontal="center"/>
    </xf>
    <xf numFmtId="0" fontId="63" fillId="0" borderId="1" xfId="0" applyFont="1" applyBorder="1" applyAlignment="1">
      <alignment horizontal="center"/>
    </xf>
    <xf numFmtId="0" fontId="11" fillId="0" borderId="1" xfId="0" applyFont="1" applyBorder="1" applyAlignment="1">
      <alignment horizontal="center"/>
    </xf>
    <xf numFmtId="0" fontId="13" fillId="2" borderId="0" xfId="0" applyFont="1" applyFill="1" applyAlignment="1">
      <alignment horizontal="left"/>
    </xf>
    <xf numFmtId="0" fontId="13" fillId="2" borderId="1" xfId="0" applyFont="1" applyFill="1" applyBorder="1" applyAlignment="1">
      <alignment horizontal="left"/>
    </xf>
    <xf numFmtId="0" fontId="6" fillId="0" borderId="1" xfId="0" applyFont="1" applyBorder="1" applyAlignment="1">
      <alignment horizontal="left" vertical="center"/>
    </xf>
    <xf numFmtId="0" fontId="6" fillId="2" borderId="1" xfId="0" applyFont="1" applyFill="1" applyBorder="1" applyAlignment="1">
      <alignment horizontal="left"/>
    </xf>
    <xf numFmtId="0" fontId="6" fillId="2" borderId="2" xfId="0" applyFont="1" applyFill="1" applyBorder="1" applyAlignment="1">
      <alignment horizontal="left"/>
    </xf>
    <xf numFmtId="0" fontId="64" fillId="2" borderId="0" xfId="0" applyFont="1" applyFill="1" applyAlignment="1">
      <alignment horizontal="center" vertical="center" wrapText="1"/>
    </xf>
    <xf numFmtId="0" fontId="65" fillId="2" borderId="0" xfId="0" applyFont="1" applyFill="1" applyAlignment="1">
      <alignment horizontal="center" vertical="center" wrapText="1"/>
    </xf>
    <xf numFmtId="2" fontId="66" fillId="2" borderId="0" xfId="0" applyNumberFormat="1" applyFont="1" applyFill="1" applyAlignment="1">
      <alignment horizontal="center"/>
    </xf>
    <xf numFmtId="10" fontId="67" fillId="2" borderId="0" xfId="0" applyNumberFormat="1" applyFont="1" applyFill="1" applyAlignment="1">
      <alignment horizontal="center"/>
    </xf>
    <xf numFmtId="0" fontId="68" fillId="19" borderId="1" xfId="0" applyFont="1" applyFill="1" applyBorder="1" applyAlignment="1">
      <alignment horizontal="center"/>
    </xf>
    <xf numFmtId="0" fontId="12" fillId="2" borderId="0" xfId="0" applyFont="1" applyFill="1"/>
    <xf numFmtId="0" fontId="17" fillId="0" borderId="1" xfId="0" applyFont="1" applyBorder="1" applyAlignment="1">
      <alignment horizontal="right"/>
    </xf>
    <xf numFmtId="0" fontId="17" fillId="0" borderId="1" xfId="0" applyFont="1" applyBorder="1" applyAlignment="1">
      <alignment horizontal="center"/>
    </xf>
    <xf numFmtId="0" fontId="6" fillId="2" borderId="0" xfId="0" applyFont="1" applyFill="1" applyAlignment="1">
      <alignment horizontal="left" vertical="center"/>
    </xf>
    <xf numFmtId="0" fontId="6" fillId="2" borderId="0" xfId="0" applyFont="1" applyFill="1" applyAlignment="1">
      <alignment horizontal="left"/>
    </xf>
    <xf numFmtId="0" fontId="13" fillId="2" borderId="0" xfId="0" applyFont="1" applyFill="1"/>
    <xf numFmtId="0" fontId="69" fillId="20" borderId="2" xfId="0" applyFont="1" applyFill="1" applyBorder="1" applyAlignment="1">
      <alignment horizontal="center"/>
    </xf>
    <xf numFmtId="0" fontId="70" fillId="20" borderId="2" xfId="0" applyFont="1" applyFill="1" applyBorder="1" applyAlignment="1">
      <alignment horizontal="center"/>
    </xf>
    <xf numFmtId="0" fontId="71" fillId="0" borderId="1" xfId="0" applyFont="1" applyBorder="1" applyAlignment="1">
      <alignment horizontal="center"/>
    </xf>
    <xf numFmtId="0" fontId="72" fillId="2" borderId="4" xfId="0" applyFont="1" applyFill="1" applyBorder="1" applyAlignment="1">
      <alignment horizontal="center"/>
    </xf>
    <xf numFmtId="0" fontId="17" fillId="0" borderId="0" xfId="0" applyFont="1" applyAlignment="1">
      <alignment horizontal="center"/>
    </xf>
    <xf numFmtId="0" fontId="73" fillId="2" borderId="0" xfId="0" applyFont="1" applyFill="1" applyAlignment="1">
      <alignment horizontal="center" vertical="center"/>
    </xf>
    <xf numFmtId="0" fontId="74" fillId="0" borderId="0" xfId="0" applyFont="1" applyAlignment="1">
      <alignment horizontal="center" vertical="center"/>
    </xf>
    <xf numFmtId="4" fontId="75" fillId="2" borderId="0" xfId="0" applyNumberFormat="1" applyFont="1" applyFill="1" applyAlignment="1">
      <alignment horizontal="center" vertical="center"/>
    </xf>
    <xf numFmtId="2" fontId="76" fillId="2" borderId="0" xfId="0" applyNumberFormat="1" applyFont="1" applyFill="1" applyAlignment="1">
      <alignment horizontal="center" vertical="center"/>
    </xf>
    <xf numFmtId="0" fontId="77" fillId="2" borderId="0" xfId="0" applyFont="1" applyFill="1" applyAlignment="1">
      <alignment horizontal="center" vertical="center"/>
    </xf>
    <xf numFmtId="0" fontId="78" fillId="2" borderId="0" xfId="0" applyFont="1" applyFill="1"/>
    <xf numFmtId="11" fontId="6" fillId="2" borderId="0" xfId="0" applyNumberFormat="1" applyFont="1" applyFill="1" applyAlignment="1">
      <alignment horizontal="center" vertical="center"/>
    </xf>
    <xf numFmtId="178" fontId="6" fillId="2" borderId="0" xfId="0" applyNumberFormat="1" applyFont="1" applyFill="1" applyAlignment="1">
      <alignment horizontal="center" vertical="center"/>
    </xf>
    <xf numFmtId="0" fontId="6" fillId="6" borderId="0" xfId="0" applyFont="1" applyFill="1" applyAlignment="1">
      <alignment horizontal="center" vertical="center"/>
    </xf>
    <xf numFmtId="178" fontId="4" fillId="2" borderId="0" xfId="0" applyNumberFormat="1" applyFont="1" applyFill="1" applyAlignment="1">
      <alignment horizontal="center" vertical="center"/>
    </xf>
    <xf numFmtId="0" fontId="79" fillId="2" borderId="0" xfId="0" applyFont="1" applyFill="1" applyAlignment="1">
      <alignment horizontal="center" vertical="center"/>
    </xf>
    <xf numFmtId="0" fontId="80" fillId="0" borderId="0" xfId="0" applyFont="1"/>
    <xf numFmtId="0" fontId="81" fillId="2" borderId="0" xfId="0" applyFont="1" applyFill="1" applyAlignment="1">
      <alignment horizontal="center" vertical="center"/>
    </xf>
    <xf numFmtId="0" fontId="82" fillId="0" borderId="0" xfId="0" applyFont="1"/>
    <xf numFmtId="0" fontId="10" fillId="2" borderId="0" xfId="0" applyFont="1" applyFill="1" applyAlignment="1">
      <alignment horizontal="center" vertical="center"/>
    </xf>
    <xf numFmtId="0" fontId="10" fillId="6" borderId="0" xfId="0" applyFont="1" applyFill="1" applyAlignment="1">
      <alignment horizontal="center" vertical="center"/>
    </xf>
    <xf numFmtId="0" fontId="10" fillId="0" borderId="0" xfId="0" applyFont="1" applyAlignment="1">
      <alignment horizontal="center" vertical="center"/>
    </xf>
    <xf numFmtId="178" fontId="10" fillId="2" borderId="0" xfId="0" applyNumberFormat="1" applyFont="1" applyFill="1" applyAlignment="1">
      <alignment horizontal="center" vertical="center"/>
    </xf>
    <xf numFmtId="178" fontId="83" fillId="2" borderId="0" xfId="0" applyNumberFormat="1" applyFont="1" applyFill="1" applyAlignment="1">
      <alignment horizontal="center" vertical="center"/>
    </xf>
    <xf numFmtId="10" fontId="10" fillId="2" borderId="0" xfId="0" applyNumberFormat="1" applyFont="1" applyFill="1" applyAlignment="1">
      <alignment horizontal="center" vertical="center"/>
    </xf>
    <xf numFmtId="0" fontId="84" fillId="2" borderId="0" xfId="0" applyFont="1" applyFill="1" applyAlignment="1">
      <alignment horizontal="center" vertical="center"/>
    </xf>
    <xf numFmtId="0" fontId="11" fillId="0" borderId="0" xfId="0" applyFont="1"/>
    <xf numFmtId="0" fontId="10" fillId="7" borderId="0" xfId="0" applyFont="1" applyFill="1" applyAlignment="1">
      <alignment horizontal="center" vertical="center"/>
    </xf>
    <xf numFmtId="4" fontId="10" fillId="2" borderId="0" xfId="0" applyNumberFormat="1" applyFont="1" applyFill="1" applyAlignment="1">
      <alignment horizontal="center" vertical="center"/>
    </xf>
    <xf numFmtId="0" fontId="85" fillId="0" borderId="0" xfId="0" applyFont="1"/>
    <xf numFmtId="0" fontId="86" fillId="0" borderId="0" xfId="0" applyFont="1"/>
    <xf numFmtId="0" fontId="87" fillId="0" borderId="0" xfId="0" applyFont="1"/>
    <xf numFmtId="178" fontId="4" fillId="21" borderId="0" xfId="0" applyNumberFormat="1" applyFont="1" applyFill="1" applyAlignment="1">
      <alignment horizontal="center" vertical="center"/>
    </xf>
    <xf numFmtId="0" fontId="88" fillId="2" borderId="0" xfId="0" applyFont="1" applyFill="1"/>
    <xf numFmtId="0" fontId="89" fillId="2" borderId="0" xfId="0" applyFont="1" applyFill="1"/>
    <xf numFmtId="0" fontId="90" fillId="0" borderId="0" xfId="0" applyFont="1"/>
    <xf numFmtId="0" fontId="91" fillId="2" borderId="0" xfId="0" applyFont="1" applyFill="1" applyAlignment="1">
      <alignment horizontal="center" vertical="center"/>
    </xf>
    <xf numFmtId="178" fontId="4" fillId="10" borderId="0" xfId="0" applyNumberFormat="1" applyFont="1" applyFill="1" applyAlignment="1">
      <alignment horizontal="center" vertical="center"/>
    </xf>
    <xf numFmtId="0" fontId="13" fillId="2" borderId="1" xfId="0" applyFont="1" applyFill="1" applyBorder="1" applyAlignment="1">
      <alignment horizontal="center" vertical="center"/>
    </xf>
    <xf numFmtId="0" fontId="6" fillId="2" borderId="2" xfId="0" applyFont="1" applyFill="1" applyBorder="1" applyAlignment="1">
      <alignment horizontal="center" vertical="center"/>
    </xf>
    <xf numFmtId="178" fontId="6" fillId="2" borderId="1" xfId="0" applyNumberFormat="1" applyFont="1" applyFill="1" applyBorder="1" applyAlignment="1">
      <alignment horizontal="center" vertical="center"/>
    </xf>
    <xf numFmtId="178" fontId="83" fillId="10" borderId="0" xfId="0" applyNumberFormat="1" applyFont="1" applyFill="1" applyAlignment="1">
      <alignment horizontal="center" vertical="center"/>
    </xf>
    <xf numFmtId="178" fontId="10" fillId="21" borderId="0" xfId="0" applyNumberFormat="1" applyFont="1" applyFill="1" applyAlignment="1">
      <alignment horizontal="center" vertical="center"/>
    </xf>
    <xf numFmtId="0" fontId="92" fillId="2" borderId="0" xfId="0" applyFont="1" applyFill="1" applyAlignment="1">
      <alignment horizontal="center" vertical="center"/>
    </xf>
    <xf numFmtId="178" fontId="83" fillId="21" borderId="0" xfId="0" applyNumberFormat="1" applyFont="1" applyFill="1" applyAlignment="1">
      <alignment horizontal="center" vertical="center"/>
    </xf>
    <xf numFmtId="0" fontId="93" fillId="2" borderId="0" xfId="0" applyFont="1" applyFill="1" applyAlignment="1">
      <alignment horizontal="center" vertical="center"/>
    </xf>
    <xf numFmtId="0" fontId="94" fillId="2" borderId="0" xfId="0" applyFont="1" applyFill="1"/>
    <xf numFmtId="0" fontId="95" fillId="2" borderId="0" xfId="0" applyFont="1" applyFill="1"/>
    <xf numFmtId="0" fontId="96" fillId="2" borderId="0" xfId="0" applyFont="1" applyFill="1"/>
    <xf numFmtId="0" fontId="11" fillId="2" borderId="0" xfId="0" applyFont="1" applyFill="1"/>
    <xf numFmtId="0" fontId="7" fillId="2" borderId="3" xfId="0" applyFont="1" applyFill="1" applyBorder="1" applyAlignment="1">
      <alignment horizontal="center"/>
    </xf>
    <xf numFmtId="0" fontId="7" fillId="2" borderId="0" xfId="0" applyFont="1" applyFill="1" applyAlignment="1">
      <alignment horizontal="center" vertical="center"/>
    </xf>
    <xf numFmtId="178" fontId="7" fillId="2" borderId="0" xfId="0" applyNumberFormat="1" applyFont="1" applyFill="1" applyAlignment="1">
      <alignment horizontal="center" vertical="center"/>
    </xf>
    <xf numFmtId="10" fontId="7" fillId="2" borderId="0" xfId="0" applyNumberFormat="1" applyFont="1" applyFill="1" applyAlignment="1">
      <alignment horizontal="center" vertical="center"/>
    </xf>
    <xf numFmtId="0" fontId="7" fillId="2" borderId="0" xfId="0" applyFont="1" applyFill="1"/>
    <xf numFmtId="0" fontId="6" fillId="2" borderId="0" xfId="0" applyFont="1" applyFill="1"/>
    <xf numFmtId="0" fontId="97" fillId="0" borderId="0" xfId="0" applyFont="1"/>
    <xf numFmtId="178" fontId="7" fillId="2" borderId="1" xfId="0" applyNumberFormat="1" applyFont="1" applyFill="1" applyBorder="1" applyAlignment="1">
      <alignment horizontal="center" vertical="center"/>
    </xf>
    <xf numFmtId="0" fontId="98" fillId="0" borderId="1" xfId="0" applyFont="1" applyBorder="1"/>
    <xf numFmtId="0" fontId="99" fillId="0" borderId="1" xfId="0" applyFont="1" applyBorder="1"/>
    <xf numFmtId="0" fontId="100" fillId="0" borderId="1" xfId="0" applyFont="1" applyBorder="1"/>
    <xf numFmtId="0" fontId="6" fillId="7" borderId="0" xfId="0" applyFont="1" applyFill="1" applyAlignment="1">
      <alignment horizontal="center" vertical="center" wrapText="1"/>
    </xf>
    <xf numFmtId="10" fontId="6" fillId="22" borderId="0" xfId="0" applyNumberFormat="1" applyFont="1" applyFill="1" applyAlignment="1">
      <alignment horizontal="center" vertical="center" wrapText="1"/>
    </xf>
    <xf numFmtId="1" fontId="6" fillId="22" borderId="0" xfId="0" applyNumberFormat="1" applyFont="1" applyFill="1" applyAlignment="1">
      <alignment horizontal="center" vertical="center" wrapText="1"/>
    </xf>
    <xf numFmtId="0" fontId="6" fillId="22" borderId="0" xfId="0" applyFont="1" applyFill="1" applyAlignment="1">
      <alignment horizontal="center" vertical="center" wrapText="1"/>
    </xf>
    <xf numFmtId="0" fontId="6" fillId="7" borderId="0" xfId="0" applyFont="1" applyFill="1" applyAlignment="1">
      <alignment horizontal="left"/>
    </xf>
    <xf numFmtId="172" fontId="6" fillId="7" borderId="0" xfId="0" applyNumberFormat="1" applyFont="1" applyFill="1" applyAlignment="1">
      <alignment horizontal="left"/>
    </xf>
    <xf numFmtId="0" fontId="12" fillId="7" borderId="0" xfId="0" applyFont="1" applyFill="1" applyAlignment="1">
      <alignment horizontal="left"/>
    </xf>
    <xf numFmtId="0" fontId="13" fillId="7" borderId="0" xfId="0" applyFont="1" applyFill="1" applyAlignment="1">
      <alignment horizontal="left"/>
    </xf>
    <xf numFmtId="2" fontId="6" fillId="7" borderId="0" xfId="0" applyNumberFormat="1" applyFont="1" applyFill="1" applyAlignment="1">
      <alignment horizontal="left" vertical="center"/>
    </xf>
    <xf numFmtId="0" fontId="6" fillId="7" borderId="0" xfId="0" applyFont="1" applyFill="1" applyAlignment="1">
      <alignment horizontal="left" vertical="center"/>
    </xf>
    <xf numFmtId="168" fontId="6" fillId="7" borderId="0" xfId="0" applyNumberFormat="1" applyFont="1" applyFill="1" applyAlignment="1">
      <alignment horizontal="left" vertical="center"/>
    </xf>
    <xf numFmtId="169" fontId="6" fillId="7" borderId="0" xfId="0" applyNumberFormat="1" applyFont="1" applyFill="1" applyAlignment="1">
      <alignment horizontal="left" vertical="center"/>
    </xf>
    <xf numFmtId="170" fontId="6" fillId="7" borderId="0" xfId="0" applyNumberFormat="1" applyFont="1" applyFill="1" applyAlignment="1">
      <alignment horizontal="left" vertical="center"/>
    </xf>
    <xf numFmtId="171" fontId="6" fillId="7" borderId="0" xfId="0" applyNumberFormat="1" applyFont="1" applyFill="1" applyAlignment="1">
      <alignment horizontal="left" vertical="center"/>
    </xf>
    <xf numFmtId="10" fontId="6" fillId="22" borderId="0" xfId="0" applyNumberFormat="1" applyFont="1" applyFill="1" applyAlignment="1">
      <alignment horizontal="left" vertical="center"/>
    </xf>
    <xf numFmtId="1" fontId="6" fillId="22" borderId="0" xfId="0" applyNumberFormat="1" applyFont="1" applyFill="1" applyAlignment="1">
      <alignment horizontal="left"/>
    </xf>
    <xf numFmtId="1" fontId="6" fillId="22" borderId="0" xfId="0" applyNumberFormat="1" applyFont="1" applyFill="1" applyAlignment="1">
      <alignment horizontal="center"/>
    </xf>
    <xf numFmtId="3" fontId="6" fillId="7" borderId="0" xfId="0" applyNumberFormat="1" applyFont="1" applyFill="1" applyAlignment="1">
      <alignment horizontal="left"/>
    </xf>
    <xf numFmtId="173" fontId="6" fillId="7" borderId="0" xfId="0" applyNumberFormat="1" applyFont="1" applyFill="1" applyAlignment="1">
      <alignment horizontal="left"/>
    </xf>
    <xf numFmtId="2" fontId="12" fillId="7" borderId="0" xfId="0" applyNumberFormat="1" applyFont="1" applyFill="1" applyAlignment="1">
      <alignment horizontal="left"/>
    </xf>
    <xf numFmtId="168" fontId="6" fillId="7" borderId="0" xfId="0" applyNumberFormat="1" applyFont="1" applyFill="1" applyAlignment="1">
      <alignment horizontal="center" vertical="center"/>
    </xf>
    <xf numFmtId="169" fontId="6" fillId="7" borderId="0" xfId="0" applyNumberFormat="1" applyFont="1" applyFill="1" applyAlignment="1">
      <alignment horizontal="center" vertical="center"/>
    </xf>
    <xf numFmtId="170" fontId="6" fillId="7" borderId="0" xfId="0" applyNumberFormat="1" applyFont="1" applyFill="1" applyAlignment="1">
      <alignment horizontal="center" vertical="center"/>
    </xf>
    <xf numFmtId="171" fontId="6" fillId="7" borderId="0" xfId="0" applyNumberFormat="1" applyFont="1" applyFill="1" applyAlignment="1">
      <alignment horizontal="center" vertical="center"/>
    </xf>
    <xf numFmtId="10" fontId="6" fillId="15" borderId="0" xfId="0" applyNumberFormat="1" applyFont="1" applyFill="1" applyAlignment="1">
      <alignment horizontal="center" vertical="center"/>
    </xf>
    <xf numFmtId="3" fontId="6" fillId="7" borderId="0" xfId="0" applyNumberFormat="1" applyFont="1" applyFill="1" applyAlignment="1">
      <alignment horizontal="center"/>
    </xf>
    <xf numFmtId="2" fontId="12" fillId="7" borderId="0" xfId="0" applyNumberFormat="1" applyFont="1" applyFill="1" applyAlignment="1">
      <alignment horizontal="center"/>
    </xf>
    <xf numFmtId="9" fontId="6" fillId="7" borderId="0" xfId="0" applyNumberFormat="1" applyFont="1" applyFill="1" applyAlignment="1">
      <alignment horizontal="left"/>
    </xf>
    <xf numFmtId="9" fontId="6" fillId="7" borderId="0" xfId="0" applyNumberFormat="1" applyFont="1" applyFill="1" applyAlignment="1">
      <alignment horizontal="center"/>
    </xf>
    <xf numFmtId="2" fontId="6" fillId="7" borderId="0" xfId="0" applyNumberFormat="1" applyFont="1" applyFill="1" applyAlignment="1">
      <alignment horizontal="center" vertical="center"/>
    </xf>
    <xf numFmtId="166" fontId="6" fillId="7" borderId="0" xfId="0" applyNumberFormat="1" applyFont="1" applyFill="1" applyAlignment="1">
      <alignment horizontal="left"/>
    </xf>
    <xf numFmtId="10" fontId="6" fillId="22" borderId="0" xfId="0" applyNumberFormat="1" applyFont="1" applyFill="1" applyAlignment="1">
      <alignment horizontal="center" vertical="center"/>
    </xf>
    <xf numFmtId="174" fontId="6" fillId="7" borderId="0" xfId="0" applyNumberFormat="1" applyFont="1" applyFill="1" applyAlignment="1">
      <alignment horizontal="center" vertical="center"/>
    </xf>
    <xf numFmtId="9" fontId="12" fillId="7" borderId="0" xfId="0" applyNumberFormat="1" applyFont="1" applyFill="1" applyAlignment="1">
      <alignment horizontal="left"/>
    </xf>
    <xf numFmtId="9" fontId="12" fillId="7" borderId="0" xfId="0" applyNumberFormat="1" applyFont="1" applyFill="1" applyAlignment="1">
      <alignment horizontal="center"/>
    </xf>
    <xf numFmtId="170" fontId="12" fillId="7" borderId="0" xfId="0" applyNumberFormat="1" applyFont="1" applyFill="1" applyAlignment="1">
      <alignment horizontal="center"/>
    </xf>
    <xf numFmtId="170" fontId="12" fillId="7" borderId="0" xfId="0" applyNumberFormat="1" applyFont="1" applyFill="1" applyAlignment="1">
      <alignment horizontal="left"/>
    </xf>
    <xf numFmtId="175" fontId="12" fillId="7" borderId="0" xfId="0" applyNumberFormat="1" applyFont="1" applyFill="1" applyAlignment="1">
      <alignment horizontal="center"/>
    </xf>
    <xf numFmtId="174" fontId="12" fillId="7" borderId="0" xfId="0" applyNumberFormat="1" applyFont="1" applyFill="1" applyAlignment="1">
      <alignment horizontal="center"/>
    </xf>
    <xf numFmtId="2" fontId="6" fillId="7" borderId="0" xfId="0" applyNumberFormat="1" applyFont="1" applyFill="1" applyAlignment="1">
      <alignment horizontal="left"/>
    </xf>
    <xf numFmtId="168" fontId="6" fillId="7" borderId="0" xfId="0" applyNumberFormat="1" applyFont="1" applyFill="1" applyAlignment="1">
      <alignment horizontal="left"/>
    </xf>
    <xf numFmtId="2" fontId="6" fillId="7" borderId="0" xfId="0" applyNumberFormat="1" applyFont="1" applyFill="1" applyAlignment="1">
      <alignment horizontal="center"/>
    </xf>
    <xf numFmtId="168" fontId="6" fillId="7" borderId="0" xfId="0" applyNumberFormat="1" applyFont="1" applyFill="1" applyAlignment="1">
      <alignment horizontal="center"/>
    </xf>
    <xf numFmtId="166" fontId="12" fillId="7" borderId="0" xfId="0" applyNumberFormat="1" applyFont="1" applyFill="1" applyAlignment="1">
      <alignment horizontal="center"/>
    </xf>
    <xf numFmtId="177" fontId="101" fillId="0" borderId="0" xfId="0" applyNumberFormat="1" applyFont="1"/>
    <xf numFmtId="4" fontId="102" fillId="0" borderId="0" xfId="0" applyNumberFormat="1" applyFont="1"/>
    <xf numFmtId="0" fontId="103" fillId="0" borderId="0" xfId="0" applyFont="1"/>
    <xf numFmtId="177" fontId="5" fillId="0" borderId="0" xfId="0" applyNumberFormat="1" applyFont="1"/>
    <xf numFmtId="4" fontId="5" fillId="0" borderId="0" xfId="0" applyNumberFormat="1" applyFont="1"/>
    <xf numFmtId="0" fontId="7" fillId="0" borderId="0" xfId="0" applyFont="1" applyAlignment="1">
      <alignment horizontal="right"/>
    </xf>
    <xf numFmtId="0" fontId="6" fillId="0" borderId="0" xfId="0" applyFont="1" applyAlignment="1">
      <alignment horizontal="left"/>
    </xf>
    <xf numFmtId="0" fontId="12" fillId="0" borderId="0" xfId="0" applyFont="1" applyAlignment="1">
      <alignment horizontal="left"/>
    </xf>
    <xf numFmtId="0" fontId="104" fillId="0" borderId="0" xfId="0" applyFont="1" applyAlignment="1">
      <alignment horizontal="center"/>
    </xf>
    <xf numFmtId="0" fontId="105" fillId="0" borderId="0" xfId="0" applyFont="1" applyAlignment="1">
      <alignment horizontal="center"/>
    </xf>
    <xf numFmtId="2" fontId="106" fillId="0" borderId="0" xfId="0" applyNumberFormat="1" applyFont="1" applyAlignment="1">
      <alignment horizontal="center"/>
    </xf>
    <xf numFmtId="0" fontId="107" fillId="0" borderId="0" xfId="0" applyFont="1" applyAlignment="1">
      <alignment horizontal="center"/>
    </xf>
    <xf numFmtId="2" fontId="108" fillId="22" borderId="0" xfId="0" applyNumberFormat="1" applyFont="1" applyFill="1" applyAlignment="1">
      <alignment horizontal="center"/>
    </xf>
    <xf numFmtId="0" fontId="109" fillId="22" borderId="0" xfId="0" applyFont="1" applyFill="1" applyAlignment="1">
      <alignment horizontal="center"/>
    </xf>
    <xf numFmtId="2" fontId="110" fillId="13" borderId="0" xfId="0" applyNumberFormat="1" applyFont="1" applyFill="1" applyAlignment="1">
      <alignment horizontal="center"/>
    </xf>
    <xf numFmtId="10" fontId="111" fillId="13" borderId="0" xfId="0" applyNumberFormat="1" applyFont="1" applyFill="1" applyAlignment="1">
      <alignment horizontal="center"/>
    </xf>
    <xf numFmtId="2" fontId="5" fillId="22" borderId="0" xfId="0" applyNumberFormat="1" applyFont="1" applyFill="1" applyAlignment="1">
      <alignment horizontal="center"/>
    </xf>
    <xf numFmtId="0" fontId="5" fillId="22" borderId="0" xfId="0" applyFont="1" applyFill="1" applyAlignment="1">
      <alignment horizontal="center"/>
    </xf>
    <xf numFmtId="10" fontId="5" fillId="22" borderId="0" xfId="0" applyNumberFormat="1" applyFont="1" applyFill="1" applyAlignment="1">
      <alignment horizontal="center"/>
    </xf>
    <xf numFmtId="4" fontId="5" fillId="13" borderId="0" xfId="0" applyNumberFormat="1" applyFont="1" applyFill="1" applyAlignment="1">
      <alignment horizontal="center"/>
    </xf>
    <xf numFmtId="2" fontId="5" fillId="13" borderId="0" xfId="0" applyNumberFormat="1" applyFont="1" applyFill="1" applyAlignment="1">
      <alignment horizontal="center"/>
    </xf>
    <xf numFmtId="10" fontId="5" fillId="13" borderId="0" xfId="0" applyNumberFormat="1" applyFont="1" applyFill="1" applyAlignment="1">
      <alignment horizontal="center"/>
    </xf>
    <xf numFmtId="4" fontId="5" fillId="22" borderId="0" xfId="0" applyNumberFormat="1" applyFont="1" applyFill="1" applyAlignment="1">
      <alignment horizontal="center"/>
    </xf>
    <xf numFmtId="0" fontId="112" fillId="0" borderId="0" xfId="0" applyFont="1" applyAlignment="1">
      <alignment horizontal="center"/>
    </xf>
    <xf numFmtId="4" fontId="113" fillId="0" borderId="0" xfId="0" applyNumberFormat="1" applyFont="1" applyAlignment="1">
      <alignment horizontal="center"/>
    </xf>
    <xf numFmtId="0" fontId="114" fillId="0" borderId="0" xfId="0" applyFont="1" applyAlignment="1">
      <alignment horizontal="center"/>
    </xf>
    <xf numFmtId="4" fontId="7" fillId="22" borderId="0" xfId="0" applyNumberFormat="1" applyFont="1" applyFill="1" applyAlignment="1">
      <alignment horizontal="center"/>
    </xf>
    <xf numFmtId="0" fontId="115" fillId="9" borderId="2" xfId="0" applyFont="1" applyFill="1" applyBorder="1" applyAlignment="1">
      <alignment horizontal="center"/>
    </xf>
    <xf numFmtId="0" fontId="115" fillId="9" borderId="5" xfId="0" applyFont="1" applyFill="1" applyBorder="1" applyAlignment="1">
      <alignment horizontal="center"/>
    </xf>
    <xf numFmtId="0" fontId="27" fillId="9" borderId="1" xfId="0" applyFont="1" applyFill="1" applyBorder="1" applyAlignment="1">
      <alignment horizontal="center"/>
    </xf>
    <xf numFmtId="0" fontId="27" fillId="9" borderId="2" xfId="0" applyFont="1" applyFill="1" applyBorder="1" applyAlignment="1">
      <alignment horizontal="center"/>
    </xf>
    <xf numFmtId="0" fontId="27" fillId="6" borderId="2" xfId="0" applyFont="1" applyFill="1" applyBorder="1" applyAlignment="1">
      <alignment horizontal="center"/>
    </xf>
    <xf numFmtId="0" fontId="116" fillId="0" borderId="0" xfId="0" applyFont="1" applyAlignment="1">
      <alignment horizontal="center"/>
    </xf>
    <xf numFmtId="0" fontId="4" fillId="23" borderId="6" xfId="0" applyFont="1" applyFill="1" applyBorder="1"/>
    <xf numFmtId="0" fontId="6" fillId="24" borderId="0" xfId="0" applyFont="1" applyFill="1"/>
    <xf numFmtId="0" fontId="27" fillId="24" borderId="1" xfId="0" applyFont="1" applyFill="1" applyBorder="1" applyAlignment="1">
      <alignment horizontal="center"/>
    </xf>
    <xf numFmtId="0" fontId="6" fillId="0" borderId="1" xfId="0" applyFont="1" applyBorder="1" applyAlignment="1">
      <alignment horizontal="left" vertical="center" wrapText="1"/>
    </xf>
    <xf numFmtId="0" fontId="27" fillId="24" borderId="2" xfId="0" applyFont="1" applyFill="1" applyBorder="1" applyAlignment="1">
      <alignment horizontal="center"/>
    </xf>
    <xf numFmtId="0" fontId="7" fillId="0" borderId="4" xfId="0" applyFont="1" applyBorder="1" applyAlignment="1">
      <alignment horizontal="center"/>
    </xf>
    <xf numFmtId="0" fontId="6" fillId="6" borderId="4" xfId="0" applyFont="1" applyFill="1" applyBorder="1" applyAlignment="1">
      <alignment horizontal="center"/>
    </xf>
    <xf numFmtId="0" fontId="6" fillId="0" borderId="0" xfId="0" applyFont="1" applyAlignment="1">
      <alignment horizontal="right"/>
    </xf>
    <xf numFmtId="0" fontId="6" fillId="4" borderId="0" xfId="0" applyFont="1" applyFill="1" applyAlignment="1">
      <alignment horizontal="center"/>
    </xf>
    <xf numFmtId="0" fontId="117" fillId="25" borderId="3" xfId="0" applyFont="1" applyFill="1" applyBorder="1" applyAlignment="1">
      <alignment horizontal="center"/>
    </xf>
    <xf numFmtId="0" fontId="10" fillId="0" borderId="1" xfId="0" applyFont="1" applyBorder="1"/>
    <xf numFmtId="0" fontId="117" fillId="4" borderId="3" xfId="0" applyFont="1" applyFill="1" applyBorder="1" applyAlignment="1">
      <alignment horizontal="center"/>
    </xf>
    <xf numFmtId="0" fontId="117" fillId="4" borderId="4" xfId="0" applyFont="1" applyFill="1" applyBorder="1" applyAlignment="1">
      <alignment horizontal="center"/>
    </xf>
    <xf numFmtId="0" fontId="117" fillId="26" borderId="4" xfId="0" applyFont="1" applyFill="1" applyBorder="1" applyAlignment="1">
      <alignment horizontal="center"/>
    </xf>
    <xf numFmtId="0" fontId="117" fillId="27" borderId="4" xfId="0" applyFont="1" applyFill="1" applyBorder="1" applyAlignment="1">
      <alignment horizontal="center"/>
    </xf>
    <xf numFmtId="0" fontId="13" fillId="0" borderId="3" xfId="0" applyFont="1" applyBorder="1" applyAlignment="1">
      <alignment horizontal="center"/>
    </xf>
    <xf numFmtId="0" fontId="6" fillId="0" borderId="1" xfId="0" applyFont="1" applyBorder="1"/>
    <xf numFmtId="0" fontId="11" fillId="0" borderId="1" xfId="0" applyFont="1" applyBorder="1"/>
    <xf numFmtId="0" fontId="12" fillId="0" borderId="1" xfId="0" applyFont="1" applyBorder="1"/>
    <xf numFmtId="0" fontId="14" fillId="0" borderId="1" xfId="0" applyFont="1" applyBorder="1"/>
    <xf numFmtId="0" fontId="118" fillId="28" borderId="1" xfId="0" applyFont="1" applyFill="1" applyBorder="1" applyAlignment="1">
      <alignment horizontal="center"/>
    </xf>
    <xf numFmtId="0" fontId="4" fillId="23" borderId="7" xfId="0" applyFont="1" applyFill="1" applyBorder="1" applyAlignment="1">
      <alignment horizontal="left"/>
    </xf>
    <xf numFmtId="0" fontId="4" fillId="23" borderId="7" xfId="0" applyFont="1" applyFill="1" applyBorder="1" applyAlignment="1">
      <alignment horizontal="right"/>
    </xf>
    <xf numFmtId="0" fontId="6" fillId="0" borderId="8" xfId="0" applyFont="1" applyBorder="1" applyAlignment="1">
      <alignment horizontal="center"/>
    </xf>
    <xf numFmtId="0" fontId="71" fillId="0" borderId="4" xfId="0" applyFont="1" applyBorder="1" applyAlignment="1">
      <alignment horizontal="center"/>
    </xf>
    <xf numFmtId="0" fontId="119" fillId="2" borderId="4" xfId="0" applyFont="1" applyFill="1" applyBorder="1" applyAlignment="1">
      <alignment horizontal="center"/>
    </xf>
    <xf numFmtId="0" fontId="4" fillId="0" borderId="0" xfId="0" applyFont="1"/>
    <xf numFmtId="0" fontId="4" fillId="0" borderId="3" xfId="0" applyFont="1" applyBorder="1" applyAlignment="1">
      <alignment horizontal="center"/>
    </xf>
    <xf numFmtId="0" fontId="120" fillId="0" borderId="4" xfId="0" applyFont="1" applyBorder="1" applyAlignment="1">
      <alignment horizontal="center"/>
    </xf>
    <xf numFmtId="0" fontId="4" fillId="0" borderId="4" xfId="0" applyFont="1" applyBorder="1" applyAlignment="1">
      <alignment horizontal="center"/>
    </xf>
    <xf numFmtId="0" fontId="13" fillId="0" borderId="0" xfId="0" applyFont="1"/>
    <xf numFmtId="0" fontId="6" fillId="0" borderId="1" xfId="0" applyFont="1" applyBorder="1" applyAlignment="1">
      <alignment horizontal="right"/>
    </xf>
    <xf numFmtId="0" fontId="7" fillId="0" borderId="1" xfId="0" applyFont="1" applyBorder="1" applyAlignment="1">
      <alignment horizontal="right"/>
    </xf>
    <xf numFmtId="0" fontId="17" fillId="0" borderId="4" xfId="0" applyFont="1" applyBorder="1" applyAlignment="1">
      <alignment horizontal="center"/>
    </xf>
    <xf numFmtId="9" fontId="6" fillId="0" borderId="0" xfId="0" applyNumberFormat="1" applyFont="1" applyAlignment="1">
      <alignment horizontal="right"/>
    </xf>
    <xf numFmtId="0" fontId="6" fillId="4" borderId="4" xfId="0" applyFont="1" applyFill="1" applyBorder="1" applyAlignment="1">
      <alignment horizontal="center"/>
    </xf>
    <xf numFmtId="0" fontId="6" fillId="27" borderId="2" xfId="0" applyFont="1" applyFill="1" applyBorder="1" applyAlignment="1">
      <alignment horizontal="center"/>
    </xf>
    <xf numFmtId="0" fontId="6" fillId="25" borderId="2" xfId="0" applyFont="1" applyFill="1" applyBorder="1" applyAlignment="1">
      <alignment horizontal="center"/>
    </xf>
    <xf numFmtId="10" fontId="6" fillId="0" borderId="4" xfId="0" applyNumberFormat="1" applyFont="1" applyBorder="1" applyAlignment="1">
      <alignment horizontal="center"/>
    </xf>
    <xf numFmtId="0" fontId="6" fillId="27" borderId="4" xfId="0" applyFont="1" applyFill="1" applyBorder="1" applyAlignment="1">
      <alignment horizontal="center"/>
    </xf>
    <xf numFmtId="9" fontId="6" fillId="27" borderId="4" xfId="0" applyNumberFormat="1" applyFont="1" applyFill="1" applyBorder="1" applyAlignment="1">
      <alignment horizontal="center"/>
    </xf>
    <xf numFmtId="0" fontId="6" fillId="25" borderId="4" xfId="0" applyFont="1" applyFill="1" applyBorder="1" applyAlignment="1">
      <alignment horizontal="center"/>
    </xf>
    <xf numFmtId="0" fontId="6" fillId="0" borderId="4" xfId="0" applyFont="1" applyBorder="1"/>
    <xf numFmtId="0" fontId="122"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0" fontId="7" fillId="2" borderId="11" xfId="0" applyFont="1" applyFill="1" applyBorder="1"/>
    <xf numFmtId="0" fontId="122" fillId="2" borderId="11" xfId="0" applyFont="1" applyFill="1" applyBorder="1" applyAlignment="1">
      <alignment horizontal="center"/>
    </xf>
    <xf numFmtId="0" fontId="7" fillId="0" borderId="11" xfId="0" applyFont="1" applyBorder="1"/>
    <xf numFmtId="0" fontId="122" fillId="29" borderId="3" xfId="0" applyFont="1" applyFill="1" applyBorder="1" applyAlignment="1">
      <alignment horizontal="center"/>
    </xf>
    <xf numFmtId="0" fontId="122" fillId="29" borderId="4" xfId="0" applyFont="1" applyFill="1" applyBorder="1" applyAlignment="1">
      <alignment horizontal="center"/>
    </xf>
    <xf numFmtId="0" fontId="7" fillId="0" borderId="3" xfId="0" applyFont="1" applyBorder="1"/>
    <xf numFmtId="0" fontId="7" fillId="0" borderId="4" xfId="0" applyFont="1" applyBorder="1" applyAlignment="1">
      <alignment horizontal="left"/>
    </xf>
    <xf numFmtId="0" fontId="7" fillId="0" borderId="4" xfId="0" applyFont="1" applyBorder="1"/>
    <xf numFmtId="0" fontId="7" fillId="2" borderId="2" xfId="0" applyFont="1" applyFill="1" applyBorder="1"/>
    <xf numFmtId="0" fontId="7" fillId="0" borderId="2" xfId="0" applyFont="1" applyBorder="1"/>
    <xf numFmtId="0" fontId="7" fillId="0" borderId="2" xfId="0" applyFont="1" applyBorder="1" applyAlignment="1">
      <alignment horizontal="center"/>
    </xf>
    <xf numFmtId="0" fontId="7" fillId="2" borderId="4" xfId="0" applyFont="1" applyFill="1" applyBorder="1"/>
    <xf numFmtId="4" fontId="6" fillId="2" borderId="1" xfId="0" applyNumberFormat="1" applyFont="1" applyFill="1" applyBorder="1" applyAlignment="1">
      <alignment horizontal="center" vertical="center"/>
    </xf>
    <xf numFmtId="4" fontId="6" fillId="2" borderId="2" xfId="0" applyNumberFormat="1" applyFont="1" applyFill="1" applyBorder="1" applyAlignment="1">
      <alignment horizontal="center" vertical="center"/>
    </xf>
    <xf numFmtId="0" fontId="73" fillId="2" borderId="0" xfId="0" applyFont="1" applyFill="1" applyAlignment="1">
      <alignment horizontal="left" vertical="center"/>
    </xf>
    <xf numFmtId="0" fontId="6" fillId="2" borderId="1" xfId="0" applyFont="1" applyFill="1" applyBorder="1" applyAlignment="1">
      <alignment horizontal="left" vertical="center"/>
    </xf>
    <xf numFmtId="0" fontId="5" fillId="2" borderId="0" xfId="0" applyFont="1" applyFill="1" applyAlignment="1">
      <alignment horizontal="left"/>
    </xf>
    <xf numFmtId="0" fontId="0" fillId="0" borderId="0" xfId="0" applyAlignment="1">
      <alignment horizontal="left"/>
    </xf>
    <xf numFmtId="0" fontId="6" fillId="30" borderId="0" xfId="0" applyFont="1" applyFill="1" applyAlignment="1">
      <alignment horizontal="center" vertical="center"/>
    </xf>
    <xf numFmtId="0" fontId="6" fillId="31" borderId="0" xfId="0" applyFont="1" applyFill="1" applyAlignment="1">
      <alignment horizontal="center" vertical="center"/>
    </xf>
    <xf numFmtId="0" fontId="3" fillId="2" borderId="0" xfId="0" applyFont="1" applyFill="1"/>
    <xf numFmtId="179" fontId="0" fillId="0" borderId="0" xfId="0" applyNumberFormat="1"/>
    <xf numFmtId="0" fontId="2" fillId="0" borderId="0" xfId="0" applyFont="1"/>
    <xf numFmtId="0" fontId="0" fillId="31" borderId="0" xfId="0" applyFill="1"/>
    <xf numFmtId="0" fontId="6" fillId="0" borderId="12" xfId="0" applyFont="1" applyBorder="1" applyAlignment="1">
      <alignment horizontal="center" vertical="center" wrapText="1"/>
    </xf>
    <xf numFmtId="0" fontId="1" fillId="0" borderId="0" xfId="0" applyFont="1"/>
    <xf numFmtId="179" fontId="0" fillId="31" borderId="0" xfId="0" applyNumberFormat="1" applyFill="1"/>
    <xf numFmtId="178" fontId="6" fillId="0" borderId="0" xfId="0" applyNumberFormat="1" applyFont="1" applyAlignment="1">
      <alignment horizontal="center" vertical="center"/>
    </xf>
    <xf numFmtId="0" fontId="8" fillId="0" borderId="0" xfId="0" applyFont="1" applyAlignment="1">
      <alignment horizontal="center" vertical="center"/>
    </xf>
    <xf numFmtId="0" fontId="0" fillId="0" borderId="0" xfId="0"/>
    <xf numFmtId="2" fontId="28" fillId="22" borderId="0" xfId="0" applyNumberFormat="1" applyFont="1" applyFill="1" applyAlignment="1">
      <alignment horizontal="center"/>
    </xf>
    <xf numFmtId="2" fontId="28" fillId="13" borderId="0" xfId="0" applyNumberFormat="1" applyFont="1" applyFill="1" applyAlignment="1">
      <alignment horizontal="center"/>
    </xf>
    <xf numFmtId="0" fontId="58" fillId="0" borderId="0" xfId="0" applyFont="1" applyAlignment="1">
      <alignment horizontal="center" vertical="center"/>
    </xf>
    <xf numFmtId="0" fontId="105" fillId="0" borderId="0" xfId="0" applyFont="1" applyAlignment="1">
      <alignment horizontal="center"/>
    </xf>
    <xf numFmtId="0" fontId="6" fillId="4" borderId="9" xfId="0" applyFont="1" applyFill="1" applyBorder="1" applyAlignment="1">
      <alignment horizontal="center"/>
    </xf>
    <xf numFmtId="0" fontId="121" fillId="0" borderId="10" xfId="0" applyFont="1" applyBorder="1"/>
    <xf numFmtId="0" fontId="12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ambi\Downloads\margin_exportAA.xlsx" TargetMode="External"/><Relationship Id="rId1" Type="http://schemas.openxmlformats.org/officeDocument/2006/relationships/externalLinkPath" Target="file:///C:\Users\Cambi\Downloads\margin_exportA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aabf7dc1281daf1a/Desktop/Tushar/AA%20%5e0%20NexLev%20MRP.xlsx" TargetMode="External"/><Relationship Id="rId1" Type="http://schemas.openxmlformats.org/officeDocument/2006/relationships/externalLinkPath" Target="https://d.docs.live.net/aabf7dc1281daf1a/Desktop/Tushar/AA%20%5e0%20NexLev%20MR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usha\Downloads\BusinessReport-01-10-22.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rgin Data"/>
    </sheetNames>
    <sheetDataSet>
      <sheetData sheetId="0">
        <row r="1">
          <cell r="C1" t="str">
            <v>Model</v>
          </cell>
          <cell r="D1" t="str">
            <v>Category - L1</v>
          </cell>
          <cell r="E1" t="str">
            <v>Category - L2</v>
          </cell>
          <cell r="F1" t="str">
            <v>Fee Category</v>
          </cell>
          <cell r="G1" t="str">
            <v>Product Name</v>
          </cell>
          <cell r="H1" t="str">
            <v>HSN</v>
          </cell>
          <cell r="I1" t="str">
            <v>Latest FOB</v>
          </cell>
          <cell r="J1" t="str">
            <v>Freight+Clearance</v>
          </cell>
          <cell r="K1" t="str">
            <v>L (cm)</v>
          </cell>
          <cell r="L1" t="str">
            <v>B (cm)</v>
          </cell>
          <cell r="M1" t="str">
            <v>H (cm)</v>
          </cell>
          <cell r="N1" t="str">
            <v>CBM per unit</v>
          </cell>
          <cell r="O1" t="str">
            <v>Import Duty %</v>
          </cell>
          <cell r="P1" t="str">
            <v>Duty and Surcharge</v>
          </cell>
          <cell r="Q1" t="str">
            <v>DP</v>
          </cell>
          <cell r="R1" t="str">
            <v>NLC</v>
          </cell>
          <cell r="S1" t="str">
            <v>Referral Fee %</v>
          </cell>
          <cell r="T1" t="str">
            <v>Fixed Closing Fee</v>
          </cell>
          <cell r="U1" t="str">
            <v>Fulfillment Fees</v>
          </cell>
          <cell r="V1" t="str">
            <v>AMS %</v>
          </cell>
          <cell r="W1" t="str">
            <v>Coupon %</v>
          </cell>
          <cell r="X1" t="str">
            <v>Returns Loss %</v>
          </cell>
          <cell r="Y1" t="str">
            <v>SMM</v>
          </cell>
          <cell r="Z1" t="str">
            <v>GST Slab</v>
          </cell>
          <cell r="AA1" t="str">
            <v>GST in SP</v>
          </cell>
          <cell r="AB1" t="str">
            <v>Business overhead expenses</v>
          </cell>
          <cell r="AC1" t="str">
            <v>Cost of finance</v>
          </cell>
          <cell r="AD1" t="str">
            <v>Additional Cost</v>
          </cell>
          <cell r="AE1" t="str">
            <v>BAU Deal SP</v>
          </cell>
          <cell r="AF1" t="str">
            <v>MRP</v>
          </cell>
        </row>
        <row r="2">
          <cell r="C2" t="str">
            <v>AM-C1</v>
          </cell>
          <cell r="D2" t="str">
            <v>Microphone</v>
          </cell>
          <cell r="E2" t="str">
            <v>Condenser Mic with Boom Arm</v>
          </cell>
          <cell r="F2">
            <v>0.11</v>
          </cell>
          <cell r="G2" t="str">
            <v>AM-C1</v>
          </cell>
          <cell r="H2">
            <v>85181000</v>
          </cell>
          <cell r="I2">
            <v>11</v>
          </cell>
          <cell r="J2">
            <v>0.22826164705882351</v>
          </cell>
          <cell r="K2">
            <v>42.4</v>
          </cell>
          <cell r="L2">
            <v>20.8</v>
          </cell>
          <cell r="M2">
            <v>8.8000000000000007</v>
          </cell>
          <cell r="N2">
            <v>7.7608960000000006E-3</v>
          </cell>
          <cell r="O2">
            <v>15</v>
          </cell>
          <cell r="P2">
            <v>1.852663171764706</v>
          </cell>
          <cell r="Q2">
            <v>1177.28</v>
          </cell>
          <cell r="R2">
            <v>1389.194215759059</v>
          </cell>
          <cell r="S2">
            <v>11</v>
          </cell>
          <cell r="T2">
            <v>51</v>
          </cell>
          <cell r="U2">
            <v>114</v>
          </cell>
          <cell r="V2">
            <v>10</v>
          </cell>
          <cell r="W2">
            <v>2</v>
          </cell>
          <cell r="X2">
            <v>5</v>
          </cell>
          <cell r="Y2">
            <v>0</v>
          </cell>
          <cell r="Z2">
            <v>18</v>
          </cell>
          <cell r="AA2">
            <v>411.71186440677963</v>
          </cell>
          <cell r="AB2">
            <v>69.459710787952929</v>
          </cell>
          <cell r="AC2">
            <v>41.675826472771753</v>
          </cell>
          <cell r="AD2">
            <v>0</v>
          </cell>
          <cell r="AE2">
            <v>2699</v>
          </cell>
          <cell r="AF2">
            <v>4999</v>
          </cell>
        </row>
        <row r="3">
          <cell r="C3" t="str">
            <v>AI-04 Red</v>
          </cell>
          <cell r="D3" t="str">
            <v>Audio Interface</v>
          </cell>
          <cell r="E3" t="str">
            <v>4 Channel Audio Interface</v>
          </cell>
          <cell r="F3">
            <v>0.11</v>
          </cell>
          <cell r="G3" t="str">
            <v>AI-04 Red</v>
          </cell>
          <cell r="H3">
            <v>85437029</v>
          </cell>
          <cell r="I3">
            <v>18</v>
          </cell>
          <cell r="J3">
            <v>7.6094117647058826E-2</v>
          </cell>
          <cell r="K3">
            <v>26.4</v>
          </cell>
          <cell r="L3">
            <v>14</v>
          </cell>
          <cell r="M3">
            <v>7</v>
          </cell>
          <cell r="N3">
            <v>2.5872E-3</v>
          </cell>
          <cell r="O3">
            <v>7.5</v>
          </cell>
          <cell r="P3">
            <v>1.4912777647058819</v>
          </cell>
          <cell r="Q3">
            <v>1761.06</v>
          </cell>
          <cell r="R3">
            <v>2078.0548939058822</v>
          </cell>
          <cell r="S3">
            <v>11</v>
          </cell>
          <cell r="T3">
            <v>51</v>
          </cell>
          <cell r="U3">
            <v>76.000000000000014</v>
          </cell>
          <cell r="V3">
            <v>10</v>
          </cell>
          <cell r="W3">
            <v>2</v>
          </cell>
          <cell r="X3">
            <v>5</v>
          </cell>
          <cell r="Y3">
            <v>0</v>
          </cell>
          <cell r="Z3">
            <v>18</v>
          </cell>
          <cell r="AA3">
            <v>670.88135593220341</v>
          </cell>
          <cell r="AB3">
            <v>103.9027446952941</v>
          </cell>
          <cell r="AC3">
            <v>62.341646817176461</v>
          </cell>
          <cell r="AD3">
            <v>0</v>
          </cell>
          <cell r="AE3">
            <v>4398</v>
          </cell>
          <cell r="AF3">
            <v>9999</v>
          </cell>
        </row>
        <row r="4">
          <cell r="C4" t="str">
            <v>AM-S1</v>
          </cell>
          <cell r="D4" t="str">
            <v>Speaker</v>
          </cell>
          <cell r="E4" t="str">
            <v>Studio Monitor Speaker</v>
          </cell>
          <cell r="F4">
            <v>0.11</v>
          </cell>
          <cell r="G4" t="str">
            <v>AM-S1</v>
          </cell>
          <cell r="H4">
            <v>85182290</v>
          </cell>
          <cell r="I4">
            <v>32.85</v>
          </cell>
          <cell r="J4">
            <v>0.7042782352941177</v>
          </cell>
          <cell r="K4">
            <v>38.5</v>
          </cell>
          <cell r="L4">
            <v>29.2</v>
          </cell>
          <cell r="M4">
            <v>21.3</v>
          </cell>
          <cell r="N4">
            <v>2.3945459999999998E-2</v>
          </cell>
          <cell r="O4">
            <v>20</v>
          </cell>
          <cell r="P4">
            <v>7.3819412117647074</v>
          </cell>
          <cell r="Q4">
            <v>3684.26</v>
          </cell>
          <cell r="R4">
            <v>4347.4265052776473</v>
          </cell>
          <cell r="S4">
            <v>11</v>
          </cell>
          <cell r="T4">
            <v>51</v>
          </cell>
          <cell r="U4">
            <v>213</v>
          </cell>
          <cell r="V4">
            <v>10</v>
          </cell>
          <cell r="W4">
            <v>2</v>
          </cell>
          <cell r="X4">
            <v>5</v>
          </cell>
          <cell r="Y4">
            <v>0</v>
          </cell>
          <cell r="Z4">
            <v>18</v>
          </cell>
          <cell r="AA4">
            <v>1220.1864406779659</v>
          </cell>
          <cell r="AB4">
            <v>217.3713252638824</v>
          </cell>
          <cell r="AC4">
            <v>130.42279515832939</v>
          </cell>
          <cell r="AD4">
            <v>0</v>
          </cell>
          <cell r="AE4">
            <v>7999</v>
          </cell>
          <cell r="AF4">
            <v>12999</v>
          </cell>
        </row>
        <row r="5">
          <cell r="C5" t="str">
            <v>AI-10</v>
          </cell>
          <cell r="D5" t="str">
            <v>Audio Interface</v>
          </cell>
          <cell r="E5" t="str">
            <v>Audio Interface</v>
          </cell>
          <cell r="F5">
            <v>0.11</v>
          </cell>
          <cell r="G5" t="str">
            <v>AI-10</v>
          </cell>
          <cell r="H5">
            <v>85437029</v>
          </cell>
          <cell r="I5">
            <v>11.5</v>
          </cell>
          <cell r="J5">
            <v>6.3622058823529407E-2</v>
          </cell>
          <cell r="K5">
            <v>25.3</v>
          </cell>
          <cell r="L5">
            <v>15</v>
          </cell>
          <cell r="M5">
            <v>5.7</v>
          </cell>
          <cell r="N5">
            <v>2.16315E-3</v>
          </cell>
          <cell r="O5">
            <v>7.5</v>
          </cell>
          <cell r="P5">
            <v>0.9539988198529411</v>
          </cell>
          <cell r="Q5">
            <v>1126.5899999999999</v>
          </cell>
          <cell r="R5">
            <v>1329.371337315441</v>
          </cell>
          <cell r="S5">
            <v>11</v>
          </cell>
          <cell r="T5">
            <v>51</v>
          </cell>
          <cell r="U5">
            <v>76.000000000000014</v>
          </cell>
          <cell r="V5">
            <v>10</v>
          </cell>
          <cell r="W5">
            <v>2</v>
          </cell>
          <cell r="X5">
            <v>5</v>
          </cell>
          <cell r="Y5">
            <v>0</v>
          </cell>
          <cell r="Z5">
            <v>18</v>
          </cell>
          <cell r="AA5">
            <v>419.33898305084722</v>
          </cell>
          <cell r="AB5">
            <v>66.468566865772061</v>
          </cell>
          <cell r="AC5">
            <v>39.881140119463232</v>
          </cell>
          <cell r="AD5">
            <v>0</v>
          </cell>
          <cell r="AE5">
            <v>2749</v>
          </cell>
          <cell r="AF5">
            <v>6999</v>
          </cell>
        </row>
        <row r="6">
          <cell r="C6" t="str">
            <v>AM-W22</v>
          </cell>
          <cell r="D6" t="str">
            <v>Microphone</v>
          </cell>
          <cell r="E6" t="str">
            <v>Wireless Lapel Microphone</v>
          </cell>
          <cell r="F6">
            <v>0.11</v>
          </cell>
          <cell r="G6" t="str">
            <v>AM-W22</v>
          </cell>
          <cell r="H6">
            <v>85181000</v>
          </cell>
          <cell r="I6">
            <v>12.88</v>
          </cell>
          <cell r="J6">
            <v>1.918799999999999E-2</v>
          </cell>
          <cell r="K6">
            <v>11.7</v>
          </cell>
          <cell r="L6">
            <v>8.1999999999999993</v>
          </cell>
          <cell r="M6">
            <v>6.8</v>
          </cell>
          <cell r="N6">
            <v>6.5239199999999979E-4</v>
          </cell>
          <cell r="O6">
            <v>15</v>
          </cell>
          <cell r="P6">
            <v>2.1283660200000001</v>
          </cell>
          <cell r="Q6">
            <v>1352.48</v>
          </cell>
          <cell r="R6">
            <v>1595.926236924</v>
          </cell>
          <cell r="S6">
            <v>11</v>
          </cell>
          <cell r="T6">
            <v>51</v>
          </cell>
          <cell r="U6">
            <v>59.000000000000007</v>
          </cell>
          <cell r="V6">
            <v>10</v>
          </cell>
          <cell r="W6">
            <v>2</v>
          </cell>
          <cell r="X6">
            <v>5</v>
          </cell>
          <cell r="Y6">
            <v>0</v>
          </cell>
          <cell r="Z6">
            <v>18</v>
          </cell>
          <cell r="AA6">
            <v>457.47457627118638</v>
          </cell>
          <cell r="AB6">
            <v>79.796311846199998</v>
          </cell>
          <cell r="AC6">
            <v>47.877787107719989</v>
          </cell>
          <cell r="AD6">
            <v>0</v>
          </cell>
          <cell r="AE6">
            <v>2999</v>
          </cell>
          <cell r="AF6">
            <v>6499</v>
          </cell>
        </row>
        <row r="7">
          <cell r="C7" t="str">
            <v>AM-W45</v>
          </cell>
          <cell r="D7" t="str">
            <v>Microphone</v>
          </cell>
          <cell r="E7" t="str">
            <v>Wireless Conference Microphone</v>
          </cell>
          <cell r="F7">
            <v>0.11</v>
          </cell>
          <cell r="G7" t="str">
            <v>AM-W45</v>
          </cell>
          <cell r="H7">
            <v>85181000</v>
          </cell>
          <cell r="I7">
            <v>21.7</v>
          </cell>
          <cell r="J7">
            <v>5.0394705882352932E-2</v>
          </cell>
          <cell r="K7">
            <v>18</v>
          </cell>
          <cell r="L7">
            <v>16.7</v>
          </cell>
          <cell r="M7">
            <v>5.7</v>
          </cell>
          <cell r="N7">
            <v>1.71342E-3</v>
          </cell>
          <cell r="O7">
            <v>15</v>
          </cell>
          <cell r="P7">
            <v>3.5888151264705881</v>
          </cell>
          <cell r="Q7">
            <v>2280.5300000000002</v>
          </cell>
          <cell r="R7">
            <v>2691.0240841958821</v>
          </cell>
          <cell r="S7">
            <v>11</v>
          </cell>
          <cell r="T7">
            <v>51</v>
          </cell>
          <cell r="U7">
            <v>143.9491525423729</v>
          </cell>
          <cell r="V7">
            <v>10</v>
          </cell>
          <cell r="W7">
            <v>2</v>
          </cell>
          <cell r="X7">
            <v>5</v>
          </cell>
          <cell r="Y7">
            <v>0</v>
          </cell>
          <cell r="Z7">
            <v>18</v>
          </cell>
          <cell r="AA7">
            <v>761.18644067796595</v>
          </cell>
          <cell r="AB7">
            <v>134.55120420979409</v>
          </cell>
          <cell r="AC7">
            <v>80.730722525876459</v>
          </cell>
          <cell r="AD7">
            <v>0</v>
          </cell>
          <cell r="AE7">
            <v>4990</v>
          </cell>
          <cell r="AF7">
            <v>9999</v>
          </cell>
        </row>
        <row r="8">
          <cell r="C8" t="str">
            <v>AM-C46</v>
          </cell>
          <cell r="D8" t="str">
            <v>Microphone</v>
          </cell>
          <cell r="E8" t="str">
            <v>RGB Condenser Mic with Boom Arm</v>
          </cell>
          <cell r="F8">
            <v>0.11</v>
          </cell>
          <cell r="G8" t="str">
            <v>AM-C46</v>
          </cell>
          <cell r="H8">
            <v>85181000</v>
          </cell>
          <cell r="I8">
            <v>15.5</v>
          </cell>
          <cell r="J8">
            <v>0.22672</v>
          </cell>
          <cell r="K8">
            <v>43.6</v>
          </cell>
          <cell r="L8">
            <v>17</v>
          </cell>
          <cell r="M8">
            <v>10.4</v>
          </cell>
          <cell r="N8">
            <v>7.7084800000000002E-3</v>
          </cell>
          <cell r="O8">
            <v>15</v>
          </cell>
          <cell r="P8">
            <v>2.5949087999999998</v>
          </cell>
          <cell r="Q8">
            <v>1648.95</v>
          </cell>
          <cell r="R8">
            <v>1945.7569785600001</v>
          </cell>
          <cell r="S8">
            <v>11</v>
          </cell>
          <cell r="T8">
            <v>51</v>
          </cell>
          <cell r="U8">
            <v>114</v>
          </cell>
          <cell r="V8">
            <v>10</v>
          </cell>
          <cell r="W8">
            <v>2</v>
          </cell>
          <cell r="X8">
            <v>5</v>
          </cell>
          <cell r="Y8">
            <v>0</v>
          </cell>
          <cell r="Z8">
            <v>18</v>
          </cell>
          <cell r="AA8">
            <v>549</v>
          </cell>
          <cell r="AB8">
            <v>97.287848928000003</v>
          </cell>
          <cell r="AC8">
            <v>58.372709356799987</v>
          </cell>
          <cell r="AD8">
            <v>0</v>
          </cell>
          <cell r="AE8">
            <v>3599</v>
          </cell>
          <cell r="AF8">
            <v>7999</v>
          </cell>
        </row>
        <row r="9">
          <cell r="C9" t="str">
            <v>AA-21</v>
          </cell>
          <cell r="D9" t="str">
            <v>Speaker Accessories</v>
          </cell>
          <cell r="E9" t="str">
            <v>Speaker Stand</v>
          </cell>
          <cell r="F9">
            <v>0.11</v>
          </cell>
          <cell r="G9" t="str">
            <v>AA-21</v>
          </cell>
          <cell r="H9">
            <v>85189000</v>
          </cell>
          <cell r="I9">
            <v>12.8</v>
          </cell>
          <cell r="J9">
            <v>0.24871102941176479</v>
          </cell>
          <cell r="K9">
            <v>29.5</v>
          </cell>
          <cell r="L9">
            <v>27.3</v>
          </cell>
          <cell r="M9">
            <v>10.5</v>
          </cell>
          <cell r="N9">
            <v>8.4561750000000015E-3</v>
          </cell>
          <cell r="O9">
            <v>15</v>
          </cell>
          <cell r="P9">
            <v>2.1530373198529409</v>
          </cell>
          <cell r="Q9">
            <v>1368.16</v>
          </cell>
          <cell r="R9">
            <v>1614.425674691912</v>
          </cell>
          <cell r="S9">
            <v>11</v>
          </cell>
          <cell r="T9">
            <v>51</v>
          </cell>
          <cell r="U9">
            <v>214</v>
          </cell>
          <cell r="V9">
            <v>10</v>
          </cell>
          <cell r="W9">
            <v>2</v>
          </cell>
          <cell r="X9">
            <v>5</v>
          </cell>
          <cell r="Y9">
            <v>0</v>
          </cell>
          <cell r="Z9">
            <v>18</v>
          </cell>
          <cell r="AA9">
            <v>579.50847457627106</v>
          </cell>
          <cell r="AB9">
            <v>80.721283734595602</v>
          </cell>
          <cell r="AC9">
            <v>48.432770240757357</v>
          </cell>
          <cell r="AD9">
            <v>0</v>
          </cell>
          <cell r="AE9">
            <v>3799</v>
          </cell>
          <cell r="AF9">
            <v>7399</v>
          </cell>
        </row>
        <row r="10">
          <cell r="C10" t="str">
            <v>AM-W19</v>
          </cell>
          <cell r="D10" t="str">
            <v>Microphone</v>
          </cell>
          <cell r="E10" t="str">
            <v>Wireless Lapel Microphone</v>
          </cell>
          <cell r="F10">
            <v>0.11</v>
          </cell>
          <cell r="G10" t="str">
            <v>AM-W19</v>
          </cell>
          <cell r="H10">
            <v>85181000</v>
          </cell>
          <cell r="I10">
            <v>8.89</v>
          </cell>
          <cell r="J10">
            <v>9.9219999999999985E-3</v>
          </cell>
          <cell r="K10">
            <v>12.1</v>
          </cell>
          <cell r="L10">
            <v>8.1999999999999993</v>
          </cell>
          <cell r="M10">
            <v>3.4</v>
          </cell>
          <cell r="N10">
            <v>3.3734800000000001E-4</v>
          </cell>
          <cell r="O10">
            <v>15</v>
          </cell>
          <cell r="P10">
            <v>1.46848713</v>
          </cell>
          <cell r="Q10">
            <v>933.16</v>
          </cell>
          <cell r="R10">
            <v>1101.1250496059999</v>
          </cell>
          <cell r="S10">
            <v>11</v>
          </cell>
          <cell r="T10">
            <v>51</v>
          </cell>
          <cell r="U10">
            <v>59.000000000000007</v>
          </cell>
          <cell r="V10">
            <v>10</v>
          </cell>
          <cell r="W10">
            <v>2</v>
          </cell>
          <cell r="X10">
            <v>5</v>
          </cell>
          <cell r="Y10">
            <v>0</v>
          </cell>
          <cell r="Z10">
            <v>18</v>
          </cell>
          <cell r="AA10">
            <v>335.4406779661017</v>
          </cell>
          <cell r="AB10">
            <v>55.056252480300003</v>
          </cell>
          <cell r="AC10">
            <v>33.033751488179988</v>
          </cell>
          <cell r="AD10">
            <v>0</v>
          </cell>
          <cell r="AE10">
            <v>2199</v>
          </cell>
          <cell r="AF10">
            <v>3999</v>
          </cell>
        </row>
        <row r="11">
          <cell r="C11" t="str">
            <v>AM-C45</v>
          </cell>
          <cell r="D11" t="str">
            <v>Microphone</v>
          </cell>
          <cell r="E11" t="str">
            <v>RGB Dynamic Microphone</v>
          </cell>
          <cell r="F11">
            <v>0.11</v>
          </cell>
          <cell r="G11" t="str">
            <v>AM-C45</v>
          </cell>
          <cell r="H11">
            <v>85181000</v>
          </cell>
          <cell r="I11">
            <v>15.5</v>
          </cell>
          <cell r="J11">
            <v>0.1004345588235294</v>
          </cell>
          <cell r="K11">
            <v>24.7</v>
          </cell>
          <cell r="L11">
            <v>17.5</v>
          </cell>
          <cell r="M11">
            <v>7.9</v>
          </cell>
          <cell r="N11">
            <v>3.4147750000000001E-3</v>
          </cell>
          <cell r="O11">
            <v>15</v>
          </cell>
          <cell r="P11">
            <v>2.5740717022058819</v>
          </cell>
          <cell r="Q11">
            <v>1635.71</v>
          </cell>
          <cell r="R11">
            <v>1930.1325649213229</v>
          </cell>
          <cell r="S11">
            <v>11</v>
          </cell>
          <cell r="T11">
            <v>51</v>
          </cell>
          <cell r="U11">
            <v>76.000000000000014</v>
          </cell>
          <cell r="V11">
            <v>10</v>
          </cell>
          <cell r="W11">
            <v>2</v>
          </cell>
          <cell r="X11">
            <v>5</v>
          </cell>
          <cell r="Y11">
            <v>0</v>
          </cell>
          <cell r="Z11">
            <v>18</v>
          </cell>
          <cell r="AA11">
            <v>533.74576271186424</v>
          </cell>
          <cell r="AB11">
            <v>96.506628246066157</v>
          </cell>
          <cell r="AC11">
            <v>57.903976947639691</v>
          </cell>
          <cell r="AD11">
            <v>0</v>
          </cell>
          <cell r="AE11">
            <v>3499</v>
          </cell>
          <cell r="AF11">
            <v>7499</v>
          </cell>
        </row>
        <row r="12">
          <cell r="C12" t="str">
            <v>AM-C43</v>
          </cell>
          <cell r="D12" t="str">
            <v>Microphone</v>
          </cell>
          <cell r="E12" t="str">
            <v>XLR Condenser Microphone Kit - Boomarm</v>
          </cell>
          <cell r="F12">
            <v>0.11</v>
          </cell>
          <cell r="G12" t="str">
            <v>AM-C43</v>
          </cell>
          <cell r="H12">
            <v>85181000</v>
          </cell>
          <cell r="I12">
            <v>10</v>
          </cell>
          <cell r="J12">
            <v>0.18888750000000001</v>
          </cell>
          <cell r="K12">
            <v>42.5</v>
          </cell>
          <cell r="L12">
            <v>20.7</v>
          </cell>
          <cell r="M12">
            <v>7.3</v>
          </cell>
          <cell r="N12">
            <v>6.4221749999999996E-3</v>
          </cell>
          <cell r="O12">
            <v>15</v>
          </cell>
          <cell r="P12">
            <v>1.6811664374999999</v>
          </cell>
          <cell r="Q12">
            <v>1068.3</v>
          </cell>
          <cell r="R12">
            <v>1260.5997281625</v>
          </cell>
          <cell r="S12">
            <v>11</v>
          </cell>
          <cell r="T12">
            <v>51</v>
          </cell>
          <cell r="U12">
            <v>114</v>
          </cell>
          <cell r="V12">
            <v>10</v>
          </cell>
          <cell r="W12">
            <v>2</v>
          </cell>
          <cell r="X12">
            <v>5</v>
          </cell>
          <cell r="Y12">
            <v>0</v>
          </cell>
          <cell r="Z12">
            <v>18</v>
          </cell>
          <cell r="AA12">
            <v>381.20338983050851</v>
          </cell>
          <cell r="AB12">
            <v>63.029986408124991</v>
          </cell>
          <cell r="AC12">
            <v>37.817991844874989</v>
          </cell>
          <cell r="AD12">
            <v>0</v>
          </cell>
          <cell r="AE12">
            <v>2499</v>
          </cell>
          <cell r="AF12">
            <v>5999</v>
          </cell>
        </row>
        <row r="13">
          <cell r="C13" t="str">
            <v>AM-W33</v>
          </cell>
          <cell r="D13" t="str">
            <v>Microphone</v>
          </cell>
          <cell r="E13" t="str">
            <v>Wireless UHF Microphone</v>
          </cell>
          <cell r="F13">
            <v>0.11</v>
          </cell>
          <cell r="G13" t="str">
            <v>AM-W33</v>
          </cell>
          <cell r="H13">
            <v>85181000</v>
          </cell>
          <cell r="I13">
            <v>9.16</v>
          </cell>
          <cell r="J13">
            <v>7.1627294117647067E-2</v>
          </cell>
          <cell r="K13">
            <v>30.2</v>
          </cell>
          <cell r="L13">
            <v>12.8</v>
          </cell>
          <cell r="M13">
            <v>6.3</v>
          </cell>
          <cell r="N13">
            <v>2.4353280000000001E-3</v>
          </cell>
          <cell r="O13">
            <v>15</v>
          </cell>
          <cell r="P13">
            <v>1.5232185035294119</v>
          </cell>
          <cell r="Q13">
            <v>967.94</v>
          </cell>
          <cell r="R13">
            <v>1142.1646237101179</v>
          </cell>
          <cell r="S13">
            <v>11</v>
          </cell>
          <cell r="T13">
            <v>51</v>
          </cell>
          <cell r="U13">
            <v>76.000000000000014</v>
          </cell>
          <cell r="V13">
            <v>10</v>
          </cell>
          <cell r="W13">
            <v>2</v>
          </cell>
          <cell r="X13">
            <v>5</v>
          </cell>
          <cell r="Y13">
            <v>0</v>
          </cell>
          <cell r="Z13">
            <v>18</v>
          </cell>
          <cell r="AA13">
            <v>274.42372881355908</v>
          </cell>
          <cell r="AB13">
            <v>57.108231185505893</v>
          </cell>
          <cell r="AC13">
            <v>34.264938711303529</v>
          </cell>
          <cell r="AD13">
            <v>0</v>
          </cell>
          <cell r="AE13">
            <v>1799</v>
          </cell>
          <cell r="AF13">
            <v>3299</v>
          </cell>
        </row>
        <row r="14">
          <cell r="C14" t="str">
            <v>AI-11</v>
          </cell>
          <cell r="D14" t="str">
            <v>Audio Interface</v>
          </cell>
          <cell r="E14" t="str">
            <v>Audio Interface</v>
          </cell>
          <cell r="F14">
            <v>0.11</v>
          </cell>
          <cell r="G14" t="str">
            <v>AI-11</v>
          </cell>
          <cell r="H14">
            <v>85437029</v>
          </cell>
          <cell r="I14">
            <v>6.5</v>
          </cell>
          <cell r="J14">
            <v>3.9053411764705892E-2</v>
          </cell>
          <cell r="K14">
            <v>18.100000000000001</v>
          </cell>
          <cell r="L14">
            <v>13.1</v>
          </cell>
          <cell r="M14">
            <v>5.6</v>
          </cell>
          <cell r="N14">
            <v>1.3278159999999999E-3</v>
          </cell>
          <cell r="O14">
            <v>7.5</v>
          </cell>
          <cell r="P14">
            <v>0.53947190647058818</v>
          </cell>
          <cell r="Q14">
            <v>637.07000000000005</v>
          </cell>
          <cell r="R14">
            <v>751.73938879658817</v>
          </cell>
          <cell r="S14">
            <v>11</v>
          </cell>
          <cell r="T14">
            <v>51</v>
          </cell>
          <cell r="U14">
            <v>58</v>
          </cell>
          <cell r="V14">
            <v>10</v>
          </cell>
          <cell r="W14">
            <v>2</v>
          </cell>
          <cell r="X14">
            <v>5</v>
          </cell>
          <cell r="Y14">
            <v>0</v>
          </cell>
          <cell r="Z14">
            <v>18</v>
          </cell>
          <cell r="AA14">
            <v>240.10169491525431</v>
          </cell>
          <cell r="AB14">
            <v>37.58696943982941</v>
          </cell>
          <cell r="AC14">
            <v>22.552181663897649</v>
          </cell>
          <cell r="AD14">
            <v>0</v>
          </cell>
          <cell r="AE14">
            <v>1574</v>
          </cell>
          <cell r="AF14">
            <v>4999</v>
          </cell>
        </row>
        <row r="15">
          <cell r="C15" t="str">
            <v>AA-19</v>
          </cell>
          <cell r="D15" t="str">
            <v>Microphone Accessories</v>
          </cell>
          <cell r="E15" t="str">
            <v>Boom Arm</v>
          </cell>
          <cell r="F15">
            <v>0.11</v>
          </cell>
          <cell r="G15" t="str">
            <v>AA-19</v>
          </cell>
          <cell r="H15">
            <v>85189000</v>
          </cell>
          <cell r="I15">
            <v>15</v>
          </cell>
          <cell r="J15">
            <v>0.1186796470588235</v>
          </cell>
          <cell r="K15">
            <v>39.700000000000003</v>
          </cell>
          <cell r="L15">
            <v>12.1</v>
          </cell>
          <cell r="M15">
            <v>8.4</v>
          </cell>
          <cell r="N15">
            <v>4.0351079999999999E-3</v>
          </cell>
          <cell r="O15">
            <v>15</v>
          </cell>
          <cell r="P15">
            <v>2.4945821417647061</v>
          </cell>
          <cell r="Q15">
            <v>1585.19</v>
          </cell>
          <cell r="R15">
            <v>1870.5284019730591</v>
          </cell>
          <cell r="S15">
            <v>11</v>
          </cell>
          <cell r="T15">
            <v>51</v>
          </cell>
          <cell r="U15">
            <v>22</v>
          </cell>
          <cell r="V15">
            <v>10</v>
          </cell>
          <cell r="W15">
            <v>2</v>
          </cell>
          <cell r="X15">
            <v>5</v>
          </cell>
          <cell r="Y15">
            <v>0</v>
          </cell>
          <cell r="Z15">
            <v>18</v>
          </cell>
          <cell r="AA15">
            <v>579.50847457627106</v>
          </cell>
          <cell r="AB15">
            <v>93.526420098652935</v>
          </cell>
          <cell r="AC15">
            <v>56.115852059191759</v>
          </cell>
          <cell r="AD15">
            <v>0</v>
          </cell>
          <cell r="AE15">
            <v>3799</v>
          </cell>
          <cell r="AF15">
            <v>8799</v>
          </cell>
        </row>
        <row r="16">
          <cell r="C16" t="str">
            <v>AM-C44</v>
          </cell>
          <cell r="D16" t="str">
            <v>Microphone</v>
          </cell>
          <cell r="E16" t="str">
            <v>Dynamic Microphone</v>
          </cell>
          <cell r="F16">
            <v>0.11</v>
          </cell>
          <cell r="G16" t="str">
            <v>AM-C44</v>
          </cell>
          <cell r="H16">
            <v>85181000</v>
          </cell>
          <cell r="I16">
            <v>21</v>
          </cell>
          <cell r="J16">
            <v>9.8270117647058841E-2</v>
          </cell>
          <cell r="K16">
            <v>22.6</v>
          </cell>
          <cell r="L16">
            <v>17.600000000000001</v>
          </cell>
          <cell r="M16">
            <v>8.4</v>
          </cell>
          <cell r="N16">
            <v>3.3411840000000009E-3</v>
          </cell>
          <cell r="O16">
            <v>15</v>
          </cell>
          <cell r="P16">
            <v>3.481214569411764</v>
          </cell>
          <cell r="Q16">
            <v>2212.15</v>
          </cell>
          <cell r="R16">
            <v>2610.3412737656472</v>
          </cell>
          <cell r="S16">
            <v>11</v>
          </cell>
          <cell r="T16">
            <v>51</v>
          </cell>
          <cell r="U16">
            <v>110</v>
          </cell>
          <cell r="V16">
            <v>10</v>
          </cell>
          <cell r="W16">
            <v>2</v>
          </cell>
          <cell r="X16">
            <v>5</v>
          </cell>
          <cell r="Y16">
            <v>0</v>
          </cell>
          <cell r="Z16">
            <v>18</v>
          </cell>
          <cell r="AA16">
            <v>777.81355932203405</v>
          </cell>
          <cell r="AB16">
            <v>130.51706368828229</v>
          </cell>
          <cell r="AC16">
            <v>78.310238212969395</v>
          </cell>
          <cell r="AD16">
            <v>0</v>
          </cell>
          <cell r="AE16">
            <v>5099</v>
          </cell>
          <cell r="AF16">
            <v>10999</v>
          </cell>
        </row>
        <row r="17">
          <cell r="C17" t="str">
            <v>AM-W18</v>
          </cell>
          <cell r="D17" t="str">
            <v>Speaker</v>
          </cell>
          <cell r="E17" t="str">
            <v>Karaoke Speaker With Mic</v>
          </cell>
          <cell r="F17">
            <v>0.11</v>
          </cell>
          <cell r="G17" t="str">
            <v>AM-W18</v>
          </cell>
          <cell r="H17">
            <v>85182290</v>
          </cell>
          <cell r="I17">
            <v>4.7</v>
          </cell>
          <cell r="J17">
            <v>4.5591617647058817E-2</v>
          </cell>
          <cell r="K17">
            <v>14.7</v>
          </cell>
          <cell r="L17">
            <v>11.1</v>
          </cell>
          <cell r="M17">
            <v>9.5</v>
          </cell>
          <cell r="N17">
            <v>1.5501149999999999E-3</v>
          </cell>
          <cell r="O17">
            <v>20</v>
          </cell>
          <cell r="P17">
            <v>1.044030155882353</v>
          </cell>
          <cell r="Q17">
            <v>521.07000000000005</v>
          </cell>
          <cell r="R17">
            <v>614.85783234882354</v>
          </cell>
          <cell r="S17">
            <v>11</v>
          </cell>
          <cell r="T17">
            <v>51</v>
          </cell>
          <cell r="U17">
            <v>77</v>
          </cell>
          <cell r="V17">
            <v>10</v>
          </cell>
          <cell r="W17">
            <v>2</v>
          </cell>
          <cell r="X17">
            <v>5</v>
          </cell>
          <cell r="Y17">
            <v>0</v>
          </cell>
          <cell r="Z17">
            <v>18</v>
          </cell>
          <cell r="AA17">
            <v>198.1525423728813</v>
          </cell>
          <cell r="AB17">
            <v>30.742891617441181</v>
          </cell>
          <cell r="AC17">
            <v>18.445734970464709</v>
          </cell>
          <cell r="AD17">
            <v>0</v>
          </cell>
          <cell r="AE17">
            <v>1299</v>
          </cell>
          <cell r="AF17">
            <v>2999</v>
          </cell>
        </row>
        <row r="18">
          <cell r="C18" t="str">
            <v>AM-W13</v>
          </cell>
          <cell r="D18" t="str">
            <v>Microphone</v>
          </cell>
          <cell r="E18" t="str">
            <v>Wireless UHF Microphone</v>
          </cell>
          <cell r="F18">
            <v>0.11</v>
          </cell>
          <cell r="G18" t="str">
            <v>AM-W13</v>
          </cell>
          <cell r="H18">
            <v>85181000</v>
          </cell>
          <cell r="I18">
            <v>10</v>
          </cell>
          <cell r="J18">
            <v>6.7420588235294121E-2</v>
          </cell>
          <cell r="K18">
            <v>28.3</v>
          </cell>
          <cell r="L18">
            <v>10.8</v>
          </cell>
          <cell r="M18">
            <v>7.5</v>
          </cell>
          <cell r="N18">
            <v>2.2923000000000002E-3</v>
          </cell>
          <cell r="O18">
            <v>15</v>
          </cell>
          <cell r="P18">
            <v>1.661124397058823</v>
          </cell>
          <cell r="Q18">
            <v>1055.57</v>
          </cell>
          <cell r="R18">
            <v>1245.571477438235</v>
          </cell>
          <cell r="S18">
            <v>11</v>
          </cell>
          <cell r="T18">
            <v>51</v>
          </cell>
          <cell r="U18">
            <v>76.000000000000014</v>
          </cell>
          <cell r="V18">
            <v>10</v>
          </cell>
          <cell r="W18">
            <v>2</v>
          </cell>
          <cell r="X18">
            <v>5</v>
          </cell>
          <cell r="Y18">
            <v>0</v>
          </cell>
          <cell r="Z18">
            <v>18</v>
          </cell>
          <cell r="AA18">
            <v>289.67796610169489</v>
          </cell>
          <cell r="AB18">
            <v>62.27857387191176</v>
          </cell>
          <cell r="AC18">
            <v>37.367144323147052</v>
          </cell>
          <cell r="AD18">
            <v>0</v>
          </cell>
          <cell r="AE18">
            <v>1899</v>
          </cell>
          <cell r="AF18">
            <v>7999</v>
          </cell>
        </row>
        <row r="19">
          <cell r="C19" t="str">
            <v>AM-C28</v>
          </cell>
          <cell r="D19" t="str">
            <v>Microphone</v>
          </cell>
          <cell r="E19" t="str">
            <v>Conference Microphone</v>
          </cell>
          <cell r="F19">
            <v>0.11</v>
          </cell>
          <cell r="G19" t="str">
            <v>AM-C28</v>
          </cell>
          <cell r="H19">
            <v>85181000</v>
          </cell>
          <cell r="I19">
            <v>6.8</v>
          </cell>
          <cell r="J19">
            <v>1.4448000000000001E-2</v>
          </cell>
          <cell r="K19">
            <v>12.9</v>
          </cell>
          <cell r="L19">
            <v>11.2</v>
          </cell>
          <cell r="M19">
            <v>3.4</v>
          </cell>
          <cell r="N19">
            <v>4.9123199999999998E-4</v>
          </cell>
          <cell r="O19">
            <v>15</v>
          </cell>
          <cell r="P19">
            <v>1.1243839200000001</v>
          </cell>
          <cell r="Q19">
            <v>714.49</v>
          </cell>
          <cell r="R19">
            <v>843.10394990399993</v>
          </cell>
          <cell r="S19">
            <v>11</v>
          </cell>
          <cell r="T19">
            <v>51</v>
          </cell>
          <cell r="U19">
            <v>58</v>
          </cell>
          <cell r="V19">
            <v>10</v>
          </cell>
          <cell r="W19">
            <v>2</v>
          </cell>
          <cell r="X19">
            <v>5</v>
          </cell>
          <cell r="Y19">
            <v>0</v>
          </cell>
          <cell r="Z19">
            <v>18</v>
          </cell>
          <cell r="AA19">
            <v>243.76271186440681</v>
          </cell>
          <cell r="AB19">
            <v>42.155197495199999</v>
          </cell>
          <cell r="AC19">
            <v>25.293118497119998</v>
          </cell>
          <cell r="AD19">
            <v>0</v>
          </cell>
          <cell r="AE19">
            <v>1598</v>
          </cell>
          <cell r="AF19">
            <v>3399</v>
          </cell>
        </row>
        <row r="20">
          <cell r="C20" t="str">
            <v>AM-W36</v>
          </cell>
          <cell r="D20" t="str">
            <v>Microphone</v>
          </cell>
          <cell r="E20" t="str">
            <v>Wireless UHF Microphone</v>
          </cell>
          <cell r="F20">
            <v>0.11</v>
          </cell>
          <cell r="G20" t="str">
            <v>AM-W36</v>
          </cell>
          <cell r="H20">
            <v>85181000</v>
          </cell>
          <cell r="I20">
            <v>31</v>
          </cell>
          <cell r="J20">
            <v>0.25864941176470579</v>
          </cell>
          <cell r="K20">
            <v>39.4</v>
          </cell>
          <cell r="L20">
            <v>37.200000000000003</v>
          </cell>
          <cell r="M20">
            <v>6</v>
          </cell>
          <cell r="N20">
            <v>8.7940799999999993E-3</v>
          </cell>
          <cell r="O20">
            <v>15</v>
          </cell>
          <cell r="P20">
            <v>5.1576771529411758</v>
          </cell>
          <cell r="Q20">
            <v>3277.47</v>
          </cell>
          <cell r="R20">
            <v>3867.4138811717639</v>
          </cell>
          <cell r="S20">
            <v>11</v>
          </cell>
          <cell r="T20">
            <v>51</v>
          </cell>
          <cell r="U20">
            <v>114</v>
          </cell>
          <cell r="V20">
            <v>10</v>
          </cell>
          <cell r="W20">
            <v>2</v>
          </cell>
          <cell r="X20">
            <v>5</v>
          </cell>
          <cell r="Y20">
            <v>0</v>
          </cell>
          <cell r="Z20">
            <v>18</v>
          </cell>
          <cell r="AA20">
            <v>899.84745762711827</v>
          </cell>
          <cell r="AB20">
            <v>193.37069405858821</v>
          </cell>
          <cell r="AC20">
            <v>116.02241643515291</v>
          </cell>
          <cell r="AD20">
            <v>0</v>
          </cell>
          <cell r="AE20">
            <v>5899</v>
          </cell>
          <cell r="AF20">
            <v>9999</v>
          </cell>
        </row>
        <row r="21">
          <cell r="C21" t="str">
            <v>AM-C11</v>
          </cell>
          <cell r="D21" t="str">
            <v>Microphone</v>
          </cell>
          <cell r="E21" t="str">
            <v>USB/XLR Dynamic Mic</v>
          </cell>
          <cell r="F21">
            <v>0.11</v>
          </cell>
          <cell r="G21" t="str">
            <v>AM-C11</v>
          </cell>
          <cell r="H21">
            <v>85181000</v>
          </cell>
          <cell r="I21">
            <v>23</v>
          </cell>
          <cell r="J21">
            <v>9.8144117647058826E-2</v>
          </cell>
          <cell r="K21">
            <v>22.7</v>
          </cell>
          <cell r="L21">
            <v>17.5</v>
          </cell>
          <cell r="M21">
            <v>8.4</v>
          </cell>
          <cell r="N21">
            <v>3.3368999999999998E-3</v>
          </cell>
          <cell r="O21">
            <v>15</v>
          </cell>
          <cell r="P21">
            <v>3.8111937794117638</v>
          </cell>
          <cell r="Q21">
            <v>2421.84</v>
          </cell>
          <cell r="R21">
            <v>2857.7716846676472</v>
          </cell>
          <cell r="S21">
            <v>11</v>
          </cell>
          <cell r="T21">
            <v>51</v>
          </cell>
          <cell r="U21">
            <v>109</v>
          </cell>
          <cell r="V21">
            <v>10</v>
          </cell>
          <cell r="W21">
            <v>2</v>
          </cell>
          <cell r="X21">
            <v>5</v>
          </cell>
          <cell r="Y21">
            <v>0</v>
          </cell>
          <cell r="Z21">
            <v>18</v>
          </cell>
          <cell r="AA21">
            <v>793.06779661016935</v>
          </cell>
          <cell r="AB21">
            <v>142.88858423338229</v>
          </cell>
          <cell r="AC21">
            <v>85.733150540029399</v>
          </cell>
          <cell r="AD21">
            <v>0</v>
          </cell>
          <cell r="AE21">
            <v>5199</v>
          </cell>
          <cell r="AF21">
            <v>10999</v>
          </cell>
        </row>
        <row r="22">
          <cell r="C22" t="str">
            <v>AA-19BL</v>
          </cell>
          <cell r="D22" t="str">
            <v>Microphone Accessories</v>
          </cell>
          <cell r="E22" t="str">
            <v>RGB Boom Arm</v>
          </cell>
          <cell r="F22">
            <v>0.11</v>
          </cell>
          <cell r="G22" t="str">
            <v>AA-19BL</v>
          </cell>
          <cell r="H22">
            <v>85189000</v>
          </cell>
          <cell r="I22">
            <v>22.8</v>
          </cell>
          <cell r="J22">
            <v>0.1574407058823529</v>
          </cell>
          <cell r="K22">
            <v>39.9</v>
          </cell>
          <cell r="L22">
            <v>17.2</v>
          </cell>
          <cell r="M22">
            <v>7.8</v>
          </cell>
          <cell r="N22">
            <v>5.3529839999999999E-3</v>
          </cell>
          <cell r="O22">
            <v>15</v>
          </cell>
          <cell r="P22">
            <v>3.7879777164705879</v>
          </cell>
          <cell r="Q22">
            <v>2407.09</v>
          </cell>
          <cell r="R22">
            <v>2840.363436453883</v>
          </cell>
          <cell r="S22">
            <v>11</v>
          </cell>
          <cell r="T22">
            <v>51</v>
          </cell>
          <cell r="U22">
            <v>131.12711864406779</v>
          </cell>
          <cell r="V22">
            <v>10</v>
          </cell>
          <cell r="W22">
            <v>2</v>
          </cell>
          <cell r="X22">
            <v>5</v>
          </cell>
          <cell r="Y22">
            <v>0</v>
          </cell>
          <cell r="Z22">
            <v>18</v>
          </cell>
          <cell r="AA22">
            <v>762.55932203389784</v>
          </cell>
          <cell r="AB22">
            <v>142.01817182269409</v>
          </cell>
          <cell r="AC22">
            <v>85.210903093616466</v>
          </cell>
          <cell r="AD22">
            <v>0</v>
          </cell>
          <cell r="AE22">
            <v>4999</v>
          </cell>
          <cell r="AF22">
            <v>9999</v>
          </cell>
        </row>
        <row r="23">
          <cell r="C23" t="str">
            <v>AM-C11 Pro</v>
          </cell>
          <cell r="D23" t="str">
            <v>Bundles</v>
          </cell>
          <cell r="E23" t="str">
            <v>Bundles</v>
          </cell>
          <cell r="F23">
            <v>0.11</v>
          </cell>
          <cell r="G23" t="str">
            <v>AM-C11 Pro</v>
          </cell>
          <cell r="H23">
            <v>85181000</v>
          </cell>
          <cell r="I23">
            <v>23</v>
          </cell>
          <cell r="J23">
            <v>0.37458070588235298</v>
          </cell>
          <cell r="K23">
            <v>41.2</v>
          </cell>
          <cell r="L23">
            <v>19.2</v>
          </cell>
          <cell r="M23">
            <v>16.100000000000001</v>
          </cell>
          <cell r="N23">
            <v>1.2735744E-2</v>
          </cell>
          <cell r="O23">
            <v>15</v>
          </cell>
          <cell r="P23">
            <v>3.8568058164705881</v>
          </cell>
          <cell r="Q23">
            <v>2450.8200000000002</v>
          </cell>
          <cell r="R23">
            <v>2891.9732486738822</v>
          </cell>
          <cell r="S23">
            <v>11</v>
          </cell>
          <cell r="T23">
            <v>51</v>
          </cell>
          <cell r="U23">
            <v>27</v>
          </cell>
          <cell r="V23">
            <v>10</v>
          </cell>
          <cell r="W23">
            <v>2</v>
          </cell>
          <cell r="X23">
            <v>5</v>
          </cell>
          <cell r="Y23">
            <v>0</v>
          </cell>
          <cell r="Z23">
            <v>18</v>
          </cell>
          <cell r="AA23">
            <v>838.83050847457616</v>
          </cell>
          <cell r="AB23">
            <v>144.5986624336941</v>
          </cell>
          <cell r="AC23">
            <v>86.759197460216441</v>
          </cell>
          <cell r="AD23">
            <v>0</v>
          </cell>
          <cell r="AE23">
            <v>5499</v>
          </cell>
          <cell r="AF23">
            <v>9999</v>
          </cell>
        </row>
        <row r="24">
          <cell r="C24" t="str">
            <v>AM-C5</v>
          </cell>
          <cell r="D24" t="str">
            <v>Microphone</v>
          </cell>
          <cell r="E24" t="str">
            <v>Conference Microphone</v>
          </cell>
          <cell r="F24">
            <v>0.11</v>
          </cell>
          <cell r="G24" t="str">
            <v>AM-C5</v>
          </cell>
          <cell r="H24">
            <v>85181000</v>
          </cell>
          <cell r="I24">
            <v>10</v>
          </cell>
          <cell r="J24">
            <v>6.4773176470588237E-2</v>
          </cell>
          <cell r="K24">
            <v>25.8</v>
          </cell>
          <cell r="L24">
            <v>19.399999999999999</v>
          </cell>
          <cell r="M24">
            <v>4.4000000000000004</v>
          </cell>
          <cell r="N24">
            <v>2.2022880000000002E-3</v>
          </cell>
          <cell r="O24">
            <v>15</v>
          </cell>
          <cell r="P24">
            <v>1.660687574117647</v>
          </cell>
          <cell r="Q24">
            <v>1055.29</v>
          </cell>
          <cell r="R24">
            <v>1245.2439317124711</v>
          </cell>
          <cell r="S24">
            <v>11</v>
          </cell>
          <cell r="T24">
            <v>51</v>
          </cell>
          <cell r="U24">
            <v>76.000000000000014</v>
          </cell>
          <cell r="V24">
            <v>10</v>
          </cell>
          <cell r="W24">
            <v>2</v>
          </cell>
          <cell r="X24">
            <v>5</v>
          </cell>
          <cell r="Y24">
            <v>0</v>
          </cell>
          <cell r="Z24">
            <v>18</v>
          </cell>
          <cell r="AA24">
            <v>381.20338983050851</v>
          </cell>
          <cell r="AB24">
            <v>62.262196585623528</v>
          </cell>
          <cell r="AC24">
            <v>37.357317951374107</v>
          </cell>
          <cell r="AD24">
            <v>0</v>
          </cell>
          <cell r="AE24">
            <v>2499</v>
          </cell>
          <cell r="AF24">
            <v>5999</v>
          </cell>
        </row>
        <row r="25">
          <cell r="C25" t="str">
            <v>AM-C7</v>
          </cell>
          <cell r="D25" t="str">
            <v>Microphone</v>
          </cell>
          <cell r="E25" t="str">
            <v>USB Microphone Kit - Boomarm</v>
          </cell>
          <cell r="F25">
            <v>0.11</v>
          </cell>
          <cell r="G25" t="str">
            <v>AM-C7</v>
          </cell>
          <cell r="H25">
            <v>85181000</v>
          </cell>
          <cell r="I25">
            <v>15.5</v>
          </cell>
          <cell r="J25">
            <v>0.14266352941176469</v>
          </cell>
          <cell r="K25">
            <v>42.4</v>
          </cell>
          <cell r="L25">
            <v>22</v>
          </cell>
          <cell r="M25">
            <v>5.2</v>
          </cell>
          <cell r="N25">
            <v>4.8505599999999994E-3</v>
          </cell>
          <cell r="O25">
            <v>15</v>
          </cell>
          <cell r="P25">
            <v>2.5810394823529408</v>
          </cell>
          <cell r="Q25">
            <v>1640.13</v>
          </cell>
          <cell r="R25">
            <v>1935.357259849412</v>
          </cell>
          <cell r="S25">
            <v>11</v>
          </cell>
          <cell r="T25">
            <v>51</v>
          </cell>
          <cell r="U25">
            <v>109</v>
          </cell>
          <cell r="V25">
            <v>10</v>
          </cell>
          <cell r="W25">
            <v>2</v>
          </cell>
          <cell r="X25">
            <v>5</v>
          </cell>
          <cell r="Y25">
            <v>0</v>
          </cell>
          <cell r="Z25">
            <v>18</v>
          </cell>
          <cell r="AA25">
            <v>426.96610169491532</v>
          </cell>
          <cell r="AB25">
            <v>96.767862992470597</v>
          </cell>
          <cell r="AC25">
            <v>58.060717795482347</v>
          </cell>
          <cell r="AD25">
            <v>0</v>
          </cell>
          <cell r="AE25">
            <v>2799</v>
          </cell>
          <cell r="AF25">
            <v>6999</v>
          </cell>
        </row>
        <row r="26">
          <cell r="C26" t="str">
            <v>AA-19WL</v>
          </cell>
          <cell r="D26" t="str">
            <v>Microphone Accessories</v>
          </cell>
          <cell r="E26" t="str">
            <v>RGB Boom Arm</v>
          </cell>
          <cell r="F26">
            <v>0.11</v>
          </cell>
          <cell r="G26" t="str">
            <v>AA-19WL</v>
          </cell>
          <cell r="H26">
            <v>85189000</v>
          </cell>
          <cell r="I26">
            <v>22.8</v>
          </cell>
          <cell r="J26">
            <v>0.1593267352941177</v>
          </cell>
          <cell r="K26">
            <v>40.1</v>
          </cell>
          <cell r="L26">
            <v>17.100000000000001</v>
          </cell>
          <cell r="M26">
            <v>7.9</v>
          </cell>
          <cell r="N26">
            <v>5.4171090000000007E-3</v>
          </cell>
          <cell r="O26">
            <v>15</v>
          </cell>
          <cell r="P26">
            <v>3.7882889113235292</v>
          </cell>
          <cell r="Q26">
            <v>2407.29</v>
          </cell>
          <cell r="R26">
            <v>2840.5967816707939</v>
          </cell>
          <cell r="S26">
            <v>11</v>
          </cell>
          <cell r="T26">
            <v>51</v>
          </cell>
          <cell r="U26">
            <v>230.89830508474569</v>
          </cell>
          <cell r="V26">
            <v>10</v>
          </cell>
          <cell r="W26">
            <v>2</v>
          </cell>
          <cell r="X26">
            <v>5</v>
          </cell>
          <cell r="Y26">
            <v>0</v>
          </cell>
          <cell r="Z26">
            <v>18</v>
          </cell>
          <cell r="AA26">
            <v>762.55932203389784</v>
          </cell>
          <cell r="AB26">
            <v>142.02983908353971</v>
          </cell>
          <cell r="AC26">
            <v>85.217903450123828</v>
          </cell>
          <cell r="AD26">
            <v>0</v>
          </cell>
          <cell r="AE26">
            <v>4999</v>
          </cell>
          <cell r="AF26">
            <v>9999</v>
          </cell>
        </row>
        <row r="27">
          <cell r="C27" t="str">
            <v>AM-W12</v>
          </cell>
          <cell r="D27" t="str">
            <v>Microphone</v>
          </cell>
          <cell r="E27" t="str">
            <v>Wireless UHF Microphone</v>
          </cell>
          <cell r="F27">
            <v>0.11</v>
          </cell>
          <cell r="G27" t="str">
            <v>AM-W12</v>
          </cell>
          <cell r="H27">
            <v>85181000</v>
          </cell>
          <cell r="I27">
            <v>15</v>
          </cell>
          <cell r="J27">
            <v>9.8883529411764703E-2</v>
          </cell>
          <cell r="K27">
            <v>28.3</v>
          </cell>
          <cell r="L27">
            <v>16.5</v>
          </cell>
          <cell r="M27">
            <v>7.2</v>
          </cell>
          <cell r="N27">
            <v>3.3620400000000002E-3</v>
          </cell>
          <cell r="O27">
            <v>15</v>
          </cell>
          <cell r="P27">
            <v>2.4913157823529408</v>
          </cell>
          <cell r="Q27">
            <v>1583.12</v>
          </cell>
          <cell r="R27">
            <v>1868.0791669094119</v>
          </cell>
          <cell r="S27">
            <v>11</v>
          </cell>
          <cell r="T27">
            <v>51</v>
          </cell>
          <cell r="U27">
            <v>17</v>
          </cell>
          <cell r="V27">
            <v>10</v>
          </cell>
          <cell r="W27">
            <v>2</v>
          </cell>
          <cell r="X27">
            <v>5</v>
          </cell>
          <cell r="Y27">
            <v>0</v>
          </cell>
          <cell r="Z27">
            <v>18</v>
          </cell>
          <cell r="AA27">
            <v>610.01694915254211</v>
          </cell>
          <cell r="AB27">
            <v>93.403958345470599</v>
          </cell>
          <cell r="AC27">
            <v>56.042375007282352</v>
          </cell>
          <cell r="AD27">
            <v>0</v>
          </cell>
          <cell r="AE27">
            <v>3999</v>
          </cell>
          <cell r="AF27">
            <v>11999</v>
          </cell>
        </row>
        <row r="28">
          <cell r="C28" t="str">
            <v>AM-C10</v>
          </cell>
          <cell r="D28" t="str">
            <v>Microphone</v>
          </cell>
          <cell r="E28" t="str">
            <v>Conference Microphone</v>
          </cell>
          <cell r="F28">
            <v>0.11</v>
          </cell>
          <cell r="G28" t="str">
            <v>AM-C10</v>
          </cell>
          <cell r="H28">
            <v>85181000</v>
          </cell>
          <cell r="I28">
            <v>18</v>
          </cell>
          <cell r="J28">
            <v>2.7436499999999999E-2</v>
          </cell>
          <cell r="K28">
            <v>11.9</v>
          </cell>
          <cell r="L28">
            <v>11.7</v>
          </cell>
          <cell r="M28">
            <v>6.7</v>
          </cell>
          <cell r="N28">
            <v>9.3284100000000001E-4</v>
          </cell>
          <cell r="O28">
            <v>15</v>
          </cell>
          <cell r="P28">
            <v>2.9745270224999998</v>
          </cell>
          <cell r="Q28">
            <v>1890.18</v>
          </cell>
          <cell r="R28">
            <v>2230.408526089499</v>
          </cell>
          <cell r="S28">
            <v>11</v>
          </cell>
          <cell r="T28">
            <v>51</v>
          </cell>
          <cell r="U28">
            <v>76.000000000000014</v>
          </cell>
          <cell r="V28">
            <v>10</v>
          </cell>
          <cell r="W28">
            <v>2</v>
          </cell>
          <cell r="X28">
            <v>5</v>
          </cell>
          <cell r="Y28">
            <v>0</v>
          </cell>
          <cell r="Z28">
            <v>18</v>
          </cell>
          <cell r="AA28">
            <v>640.52542372881317</v>
          </cell>
          <cell r="AB28">
            <v>111.520426304475</v>
          </cell>
          <cell r="AC28">
            <v>66.91225578268498</v>
          </cell>
          <cell r="AD28">
            <v>0</v>
          </cell>
          <cell r="AE28">
            <v>4199</v>
          </cell>
          <cell r="AF28">
            <v>6999</v>
          </cell>
        </row>
        <row r="29">
          <cell r="C29" t="str">
            <v>AI-12</v>
          </cell>
          <cell r="D29" t="str">
            <v>Audio Interface</v>
          </cell>
          <cell r="E29" t="str">
            <v>Audio Interface</v>
          </cell>
          <cell r="F29">
            <v>0.11</v>
          </cell>
          <cell r="G29" t="str">
            <v>AI-12</v>
          </cell>
          <cell r="H29">
            <v>85437029</v>
          </cell>
          <cell r="I29">
            <v>5.2</v>
          </cell>
          <cell r="J29">
            <v>3.2776970588235303E-2</v>
          </cell>
          <cell r="K29">
            <v>18.100000000000001</v>
          </cell>
          <cell r="L29">
            <v>13.1</v>
          </cell>
          <cell r="M29">
            <v>4.7</v>
          </cell>
          <cell r="N29">
            <v>1.1144169999999999E-3</v>
          </cell>
          <cell r="O29">
            <v>7.5</v>
          </cell>
          <cell r="P29">
            <v>0.43170410007352938</v>
          </cell>
          <cell r="Q29">
            <v>509.8</v>
          </cell>
          <cell r="R29">
            <v>601.56788970427942</v>
          </cell>
          <cell r="S29">
            <v>11</v>
          </cell>
          <cell r="T29">
            <v>51</v>
          </cell>
          <cell r="U29">
            <v>58</v>
          </cell>
          <cell r="V29">
            <v>10</v>
          </cell>
          <cell r="W29">
            <v>2</v>
          </cell>
          <cell r="X29">
            <v>5</v>
          </cell>
          <cell r="Y29">
            <v>0</v>
          </cell>
          <cell r="Z29">
            <v>18</v>
          </cell>
          <cell r="AA29">
            <v>205.77966101694909</v>
          </cell>
          <cell r="AB29">
            <v>30.07839448521397</v>
          </cell>
          <cell r="AC29">
            <v>18.04703669112838</v>
          </cell>
          <cell r="AD29">
            <v>0</v>
          </cell>
          <cell r="AE29">
            <v>1349</v>
          </cell>
          <cell r="AF29">
            <v>3999</v>
          </cell>
        </row>
        <row r="30">
          <cell r="C30" t="str">
            <v>AM-C2</v>
          </cell>
          <cell r="D30" t="str">
            <v>Microphone</v>
          </cell>
          <cell r="E30" t="str">
            <v>XLR Condenser Microphone Kit - Boomarm</v>
          </cell>
          <cell r="F30">
            <v>0.11</v>
          </cell>
          <cell r="G30" t="str">
            <v>AM-C2</v>
          </cell>
          <cell r="H30">
            <v>85181000</v>
          </cell>
          <cell r="I30">
            <v>15.5</v>
          </cell>
          <cell r="J30">
            <v>0.36754941176470579</v>
          </cell>
          <cell r="K30">
            <v>43.5</v>
          </cell>
          <cell r="L30">
            <v>22.8</v>
          </cell>
          <cell r="M30">
            <v>12.6</v>
          </cell>
          <cell r="N30">
            <v>1.249668E-2</v>
          </cell>
          <cell r="O30">
            <v>15</v>
          </cell>
          <cell r="P30">
            <v>2.618145652941176</v>
          </cell>
          <cell r="Q30">
            <v>1663.71</v>
          </cell>
          <cell r="R30">
            <v>1963.1808158717649</v>
          </cell>
          <cell r="S30">
            <v>11</v>
          </cell>
          <cell r="T30">
            <v>51</v>
          </cell>
          <cell r="U30">
            <v>147</v>
          </cell>
          <cell r="V30">
            <v>10</v>
          </cell>
          <cell r="W30">
            <v>2</v>
          </cell>
          <cell r="X30">
            <v>5</v>
          </cell>
          <cell r="Y30">
            <v>0</v>
          </cell>
          <cell r="Z30">
            <v>18</v>
          </cell>
          <cell r="AA30">
            <v>610.01694915254211</v>
          </cell>
          <cell r="AB30">
            <v>98.159040793588247</v>
          </cell>
          <cell r="AC30">
            <v>58.89542447615294</v>
          </cell>
          <cell r="AD30">
            <v>0</v>
          </cell>
          <cell r="AE30">
            <v>3999</v>
          </cell>
          <cell r="AF30">
            <v>8999</v>
          </cell>
        </row>
        <row r="31">
          <cell r="C31" t="str">
            <v>AI-03</v>
          </cell>
          <cell r="D31" t="str">
            <v>Audio Interface</v>
          </cell>
          <cell r="E31" t="str">
            <v>Audio Interface</v>
          </cell>
          <cell r="F31">
            <v>0.11</v>
          </cell>
          <cell r="G31" t="str">
            <v>AI-03</v>
          </cell>
          <cell r="H31">
            <v>85437029</v>
          </cell>
          <cell r="I31">
            <v>18</v>
          </cell>
          <cell r="J31">
            <v>0.1244922352941176</v>
          </cell>
          <cell r="K31">
            <v>28.8</v>
          </cell>
          <cell r="L31">
            <v>20.7</v>
          </cell>
          <cell r="M31">
            <v>7.1</v>
          </cell>
          <cell r="N31">
            <v>4.232736E-3</v>
          </cell>
          <cell r="O31">
            <v>7.5</v>
          </cell>
          <cell r="P31">
            <v>1.495270609411764</v>
          </cell>
          <cell r="Q31">
            <v>1765.78</v>
          </cell>
          <cell r="R31">
            <v>2083.618814107765</v>
          </cell>
          <cell r="S31">
            <v>11</v>
          </cell>
          <cell r="T31">
            <v>51</v>
          </cell>
          <cell r="U31">
            <v>76.000000000000014</v>
          </cell>
          <cell r="V31">
            <v>10</v>
          </cell>
          <cell r="W31">
            <v>2</v>
          </cell>
          <cell r="X31">
            <v>5</v>
          </cell>
          <cell r="Y31">
            <v>0</v>
          </cell>
          <cell r="Z31">
            <v>18</v>
          </cell>
          <cell r="AA31">
            <v>610.01694915254211</v>
          </cell>
          <cell r="AB31">
            <v>104.1809407053882</v>
          </cell>
          <cell r="AC31">
            <v>62.508564423232933</v>
          </cell>
          <cell r="AD31">
            <v>0</v>
          </cell>
          <cell r="AE31">
            <v>3999</v>
          </cell>
          <cell r="AF31">
            <v>10999</v>
          </cell>
        </row>
        <row r="32">
          <cell r="C32" t="str">
            <v>AH-50</v>
          </cell>
          <cell r="D32" t="str">
            <v>Headphone</v>
          </cell>
          <cell r="E32" t="str">
            <v>DJ Headphone</v>
          </cell>
          <cell r="F32">
            <v>0.11</v>
          </cell>
          <cell r="G32" t="str">
            <v>AH-50</v>
          </cell>
          <cell r="H32">
            <v>85183020</v>
          </cell>
          <cell r="I32">
            <v>8.8000000000000007</v>
          </cell>
          <cell r="J32">
            <v>7.4176941176470584E-2</v>
          </cell>
          <cell r="K32">
            <v>16.8</v>
          </cell>
          <cell r="L32">
            <v>13.9</v>
          </cell>
          <cell r="M32">
            <v>10.8</v>
          </cell>
          <cell r="N32">
            <v>2.5220160000000002E-3</v>
          </cell>
          <cell r="O32">
            <v>20</v>
          </cell>
          <cell r="P32">
            <v>1.9523189270588239</v>
          </cell>
          <cell r="Q32">
            <v>974.38</v>
          </cell>
          <cell r="R32">
            <v>1149.773861206588</v>
          </cell>
          <cell r="S32">
            <v>11</v>
          </cell>
          <cell r="T32">
            <v>51</v>
          </cell>
          <cell r="U32">
            <v>77</v>
          </cell>
          <cell r="V32">
            <v>10</v>
          </cell>
          <cell r="W32">
            <v>2</v>
          </cell>
          <cell r="X32">
            <v>5</v>
          </cell>
          <cell r="Y32">
            <v>0</v>
          </cell>
          <cell r="Z32">
            <v>18</v>
          </cell>
          <cell r="AA32">
            <v>335.4406779661017</v>
          </cell>
          <cell r="AB32">
            <v>57.488693060329418</v>
          </cell>
          <cell r="AC32">
            <v>34.493215836197649</v>
          </cell>
          <cell r="AD32">
            <v>0</v>
          </cell>
          <cell r="AE32">
            <v>2199</v>
          </cell>
          <cell r="AF32">
            <v>3499</v>
          </cell>
        </row>
        <row r="33">
          <cell r="C33" t="str">
            <v>AH-45 BK</v>
          </cell>
          <cell r="D33" t="str">
            <v>Headphone</v>
          </cell>
          <cell r="E33" t="str">
            <v>DJ Headphone</v>
          </cell>
          <cell r="F33">
            <v>0.11</v>
          </cell>
          <cell r="G33" t="str">
            <v>AH-45 BK</v>
          </cell>
          <cell r="H33">
            <v>85183020</v>
          </cell>
          <cell r="I33">
            <v>4.5</v>
          </cell>
          <cell r="J33">
            <v>0.1338420588235294</v>
          </cell>
          <cell r="K33">
            <v>25.1</v>
          </cell>
          <cell r="L33">
            <v>18.5</v>
          </cell>
          <cell r="M33">
            <v>9.8000000000000007</v>
          </cell>
          <cell r="N33">
            <v>4.55063E-3</v>
          </cell>
          <cell r="O33">
            <v>20</v>
          </cell>
          <cell r="P33">
            <v>1.019445252941177</v>
          </cell>
          <cell r="Q33">
            <v>508.8</v>
          </cell>
          <cell r="R33">
            <v>600.37911250941181</v>
          </cell>
          <cell r="S33">
            <v>11</v>
          </cell>
          <cell r="T33">
            <v>51</v>
          </cell>
          <cell r="U33">
            <v>110</v>
          </cell>
          <cell r="V33">
            <v>10</v>
          </cell>
          <cell r="W33">
            <v>2</v>
          </cell>
          <cell r="X33">
            <v>5</v>
          </cell>
          <cell r="Y33">
            <v>0</v>
          </cell>
          <cell r="Z33">
            <v>18</v>
          </cell>
          <cell r="AA33">
            <v>228.66101694915261</v>
          </cell>
          <cell r="AB33">
            <v>30.018955625470589</v>
          </cell>
          <cell r="AC33">
            <v>18.01137337528235</v>
          </cell>
          <cell r="AD33">
            <v>0</v>
          </cell>
          <cell r="AE33">
            <v>1499</v>
          </cell>
          <cell r="AF33">
            <v>2499</v>
          </cell>
        </row>
        <row r="34">
          <cell r="C34" t="str">
            <v>AA-22</v>
          </cell>
          <cell r="D34" t="str">
            <v>Speaker Accessories</v>
          </cell>
          <cell r="E34" t="str">
            <v>Speaker Stand</v>
          </cell>
          <cell r="F34">
            <v>0.11</v>
          </cell>
          <cell r="G34" t="str">
            <v>AA-22</v>
          </cell>
          <cell r="H34">
            <v>85189000</v>
          </cell>
          <cell r="I34">
            <v>12.8</v>
          </cell>
          <cell r="J34">
            <v>0.24968382352941179</v>
          </cell>
          <cell r="K34">
            <v>29.4</v>
          </cell>
          <cell r="L34">
            <v>27.5</v>
          </cell>
          <cell r="M34">
            <v>10.5</v>
          </cell>
          <cell r="N34">
            <v>8.4892500000000003E-3</v>
          </cell>
          <cell r="O34">
            <v>15</v>
          </cell>
          <cell r="P34">
            <v>2.1531978308823532</v>
          </cell>
          <cell r="Q34">
            <v>1368.26</v>
          </cell>
          <cell r="R34">
            <v>1614.5460316985291</v>
          </cell>
          <cell r="S34">
            <v>11</v>
          </cell>
          <cell r="T34">
            <v>51</v>
          </cell>
          <cell r="U34">
            <v>213</v>
          </cell>
          <cell r="V34">
            <v>10</v>
          </cell>
          <cell r="W34">
            <v>2</v>
          </cell>
          <cell r="X34">
            <v>5</v>
          </cell>
          <cell r="Y34">
            <v>0</v>
          </cell>
          <cell r="Z34">
            <v>18</v>
          </cell>
          <cell r="AA34">
            <v>533.74576271186424</v>
          </cell>
          <cell r="AB34">
            <v>80.727301584926465</v>
          </cell>
          <cell r="AC34">
            <v>48.436380950955879</v>
          </cell>
          <cell r="AD34">
            <v>0</v>
          </cell>
          <cell r="AE34">
            <v>3499</v>
          </cell>
          <cell r="AF34">
            <v>7399</v>
          </cell>
        </row>
        <row r="35">
          <cell r="C35" t="str">
            <v>AM-C20</v>
          </cell>
          <cell r="D35" t="str">
            <v>Microphone</v>
          </cell>
          <cell r="E35" t="str">
            <v>USB Microphone Kit - Tripod</v>
          </cell>
          <cell r="F35">
            <v>0.11</v>
          </cell>
          <cell r="G35" t="str">
            <v>AM-C20</v>
          </cell>
          <cell r="H35">
            <v>85181000</v>
          </cell>
          <cell r="I35">
            <v>9.52</v>
          </cell>
          <cell r="J35">
            <v>5.0000647058823518E-2</v>
          </cell>
          <cell r="K35">
            <v>19.399999999999999</v>
          </cell>
          <cell r="L35">
            <v>12.7</v>
          </cell>
          <cell r="M35">
            <v>6.9</v>
          </cell>
          <cell r="N35">
            <v>1.700022E-3</v>
          </cell>
          <cell r="O35">
            <v>15</v>
          </cell>
          <cell r="P35">
            <v>1.579050106764706</v>
          </cell>
          <cell r="Q35">
            <v>1003.41</v>
          </cell>
          <cell r="R35">
            <v>1184.029190056059</v>
          </cell>
          <cell r="S35">
            <v>11</v>
          </cell>
          <cell r="T35">
            <v>51</v>
          </cell>
          <cell r="U35">
            <v>143.9491525423729</v>
          </cell>
          <cell r="V35">
            <v>10</v>
          </cell>
          <cell r="W35">
            <v>2</v>
          </cell>
          <cell r="X35">
            <v>5</v>
          </cell>
          <cell r="Y35">
            <v>0</v>
          </cell>
          <cell r="Z35">
            <v>18</v>
          </cell>
          <cell r="AA35">
            <v>228.66101694915261</v>
          </cell>
          <cell r="AB35">
            <v>59.20145950280294</v>
          </cell>
          <cell r="AC35">
            <v>35.52087570168176</v>
          </cell>
          <cell r="AD35">
            <v>0</v>
          </cell>
          <cell r="AE35">
            <v>1499</v>
          </cell>
          <cell r="AF35">
            <v>3999</v>
          </cell>
        </row>
        <row r="36">
          <cell r="C36" t="str">
            <v>AH-40 SL</v>
          </cell>
          <cell r="D36" t="str">
            <v>Headphone</v>
          </cell>
          <cell r="E36" t="str">
            <v>DJ Headphone</v>
          </cell>
          <cell r="F36">
            <v>0.11</v>
          </cell>
          <cell r="G36" t="str">
            <v>AH-40 SL</v>
          </cell>
          <cell r="H36">
            <v>85183020</v>
          </cell>
          <cell r="I36">
            <v>3.5</v>
          </cell>
          <cell r="J36">
            <v>8.0147117647058813E-2</v>
          </cell>
          <cell r="K36">
            <v>18.899999999999999</v>
          </cell>
          <cell r="L36">
            <v>16.2</v>
          </cell>
          <cell r="M36">
            <v>8.9</v>
          </cell>
          <cell r="N36">
            <v>2.7250019999999989E-3</v>
          </cell>
          <cell r="O36">
            <v>20</v>
          </cell>
          <cell r="P36">
            <v>0.78763236588235308</v>
          </cell>
          <cell r="Q36">
            <v>393.1</v>
          </cell>
          <cell r="R36">
            <v>463.8581811508235</v>
          </cell>
          <cell r="S36">
            <v>11</v>
          </cell>
          <cell r="T36">
            <v>51</v>
          </cell>
          <cell r="U36">
            <v>144</v>
          </cell>
          <cell r="V36">
            <v>10</v>
          </cell>
          <cell r="W36">
            <v>2</v>
          </cell>
          <cell r="X36">
            <v>5</v>
          </cell>
          <cell r="Y36">
            <v>0</v>
          </cell>
          <cell r="Z36">
            <v>18</v>
          </cell>
          <cell r="AA36">
            <v>182.89830508474569</v>
          </cell>
          <cell r="AB36">
            <v>23.192909057541179</v>
          </cell>
          <cell r="AC36">
            <v>13.9157454345247</v>
          </cell>
          <cell r="AD36">
            <v>0</v>
          </cell>
          <cell r="AE36">
            <v>1199</v>
          </cell>
          <cell r="AF36">
            <v>1999</v>
          </cell>
        </row>
        <row r="37">
          <cell r="C37" t="str">
            <v>PB-08 (AM-C1 + AI-04)</v>
          </cell>
          <cell r="D37" t="str">
            <v>Bundles</v>
          </cell>
          <cell r="E37" t="str">
            <v>PB-08</v>
          </cell>
          <cell r="F37">
            <v>0.11</v>
          </cell>
          <cell r="G37" t="str">
            <v>PB-08 (AM-C1 + AI-04)</v>
          </cell>
          <cell r="H37">
            <v>85181000</v>
          </cell>
          <cell r="I37">
            <v>29</v>
          </cell>
          <cell r="J37">
            <v>0.64704294117647054</v>
          </cell>
          <cell r="K37">
            <v>43.4</v>
          </cell>
          <cell r="L37">
            <v>27.4</v>
          </cell>
          <cell r="M37">
            <v>18.5</v>
          </cell>
          <cell r="N37">
            <v>2.1999459999999998E-2</v>
          </cell>
          <cell r="O37">
            <v>15</v>
          </cell>
          <cell r="P37">
            <v>4.8917620852941166</v>
          </cell>
          <cell r="Q37">
            <v>3108.49</v>
          </cell>
          <cell r="R37">
            <v>3668.0210938111759</v>
          </cell>
          <cell r="S37">
            <v>11</v>
          </cell>
          <cell r="T37">
            <v>51</v>
          </cell>
          <cell r="U37">
            <v>214</v>
          </cell>
          <cell r="V37">
            <v>10</v>
          </cell>
          <cell r="W37">
            <v>2</v>
          </cell>
          <cell r="X37">
            <v>5</v>
          </cell>
          <cell r="Y37">
            <v>0</v>
          </cell>
          <cell r="Z37">
            <v>18</v>
          </cell>
          <cell r="AA37">
            <v>1067.64406779661</v>
          </cell>
          <cell r="AB37">
            <v>183.40105469055879</v>
          </cell>
          <cell r="AC37">
            <v>110.0406328143353</v>
          </cell>
          <cell r="AD37">
            <v>0</v>
          </cell>
          <cell r="AE37">
            <v>6999</v>
          </cell>
          <cell r="AF37" t="str">
            <v>₹ 11,999.00</v>
          </cell>
        </row>
        <row r="38">
          <cell r="C38" t="str">
            <v>AA-26</v>
          </cell>
          <cell r="D38" t="str">
            <v>Microphone Accessories</v>
          </cell>
          <cell r="E38" t="str">
            <v>Microphone Stand</v>
          </cell>
          <cell r="F38">
            <v>7.0000000000000007E-2</v>
          </cell>
          <cell r="G38" t="str">
            <v>AA-26</v>
          </cell>
          <cell r="H38">
            <v>85189000</v>
          </cell>
          <cell r="I38">
            <v>2</v>
          </cell>
          <cell r="J38">
            <v>1.37658705882353E-2</v>
          </cell>
          <cell r="K38">
            <v>12.6</v>
          </cell>
          <cell r="L38">
            <v>12.3</v>
          </cell>
          <cell r="M38">
            <v>3.02</v>
          </cell>
          <cell r="N38">
            <v>4.6803960000000011E-4</v>
          </cell>
          <cell r="O38">
            <v>15</v>
          </cell>
          <cell r="P38">
            <v>0.33227136864705881</v>
          </cell>
          <cell r="Q38">
            <v>211.14</v>
          </cell>
          <cell r="R38">
            <v>249.1491548067882</v>
          </cell>
          <cell r="S38">
            <v>7.0000000000000009</v>
          </cell>
          <cell r="T38">
            <v>26</v>
          </cell>
          <cell r="U38">
            <v>58</v>
          </cell>
          <cell r="V38">
            <v>10</v>
          </cell>
          <cell r="W38">
            <v>2</v>
          </cell>
          <cell r="X38">
            <v>5</v>
          </cell>
          <cell r="Y38">
            <v>0</v>
          </cell>
          <cell r="Z38">
            <v>18</v>
          </cell>
          <cell r="AA38">
            <v>76.118644067796595</v>
          </cell>
          <cell r="AB38">
            <v>12.457457740339409</v>
          </cell>
          <cell r="AC38">
            <v>7.4744746442036458</v>
          </cell>
          <cell r="AD38">
            <v>0</v>
          </cell>
          <cell r="AE38">
            <v>499</v>
          </cell>
          <cell r="AF38">
            <v>899</v>
          </cell>
        </row>
        <row r="39">
          <cell r="C39" t="str">
            <v>AM-C39</v>
          </cell>
          <cell r="D39" t="str">
            <v>Microphone</v>
          </cell>
          <cell r="E39" t="str">
            <v>XLR Condenser Microphone Kit - Tripod</v>
          </cell>
          <cell r="F39">
            <v>0.11</v>
          </cell>
          <cell r="G39" t="str">
            <v>AM-C39</v>
          </cell>
          <cell r="H39">
            <v>85181000</v>
          </cell>
          <cell r="I39">
            <v>5.5</v>
          </cell>
          <cell r="J39">
            <v>8.8424470588235313E-2</v>
          </cell>
          <cell r="K39">
            <v>20.8</v>
          </cell>
          <cell r="L39">
            <v>19.8</v>
          </cell>
          <cell r="M39">
            <v>7.3</v>
          </cell>
          <cell r="N39">
            <v>3.0064319999999999E-3</v>
          </cell>
          <cell r="O39">
            <v>15</v>
          </cell>
          <cell r="P39">
            <v>0.92209003764705866</v>
          </cell>
          <cell r="Q39">
            <v>585.95000000000005</v>
          </cell>
          <cell r="R39">
            <v>691.41664077458813</v>
          </cell>
          <cell r="S39">
            <v>11</v>
          </cell>
          <cell r="T39">
            <v>51</v>
          </cell>
          <cell r="U39">
            <v>101.42372881355929</v>
          </cell>
          <cell r="V39">
            <v>10</v>
          </cell>
          <cell r="W39">
            <v>2</v>
          </cell>
          <cell r="X39">
            <v>5</v>
          </cell>
          <cell r="Y39">
            <v>0</v>
          </cell>
          <cell r="Z39">
            <v>18</v>
          </cell>
          <cell r="AA39">
            <v>243.91525423728811</v>
          </cell>
          <cell r="AB39">
            <v>34.570832038729407</v>
          </cell>
          <cell r="AC39">
            <v>20.74249922323764</v>
          </cell>
          <cell r="AD39">
            <v>0</v>
          </cell>
          <cell r="AE39">
            <v>1599</v>
          </cell>
          <cell r="AF39">
            <v>3999</v>
          </cell>
        </row>
        <row r="40">
          <cell r="C40" t="str">
            <v>AA-02</v>
          </cell>
          <cell r="D40" t="str">
            <v>Microphone Accessories</v>
          </cell>
          <cell r="E40" t="str">
            <v>Sound Isolation Shield</v>
          </cell>
          <cell r="F40">
            <v>0.11</v>
          </cell>
          <cell r="G40" t="str">
            <v>AA-02</v>
          </cell>
          <cell r="H40">
            <v>85189000</v>
          </cell>
          <cell r="I40">
            <v>9.5</v>
          </cell>
          <cell r="J40">
            <v>0.29741717647058818</v>
          </cell>
          <cell r="K40">
            <v>33.4</v>
          </cell>
          <cell r="L40">
            <v>17.399999999999999</v>
          </cell>
          <cell r="M40">
            <v>17.399999999999999</v>
          </cell>
          <cell r="N40">
            <v>1.0112184E-2</v>
          </cell>
          <cell r="O40">
            <v>15</v>
          </cell>
          <cell r="P40">
            <v>1.616573834117647</v>
          </cell>
          <cell r="Q40">
            <v>1027.26</v>
          </cell>
          <cell r="R40">
            <v>1212.1658453244711</v>
          </cell>
          <cell r="S40">
            <v>11</v>
          </cell>
          <cell r="T40">
            <v>51</v>
          </cell>
          <cell r="U40">
            <v>147</v>
          </cell>
          <cell r="V40">
            <v>10</v>
          </cell>
          <cell r="W40">
            <v>2</v>
          </cell>
          <cell r="X40">
            <v>5</v>
          </cell>
          <cell r="Y40">
            <v>0</v>
          </cell>
          <cell r="Z40">
            <v>18</v>
          </cell>
          <cell r="AA40">
            <v>381.20338983050851</v>
          </cell>
          <cell r="AB40">
            <v>60.608292266223543</v>
          </cell>
          <cell r="AC40">
            <v>36.364975359734117</v>
          </cell>
          <cell r="AD40">
            <v>0</v>
          </cell>
          <cell r="AE40">
            <v>2499</v>
          </cell>
          <cell r="AF40">
            <v>5999</v>
          </cell>
        </row>
        <row r="41">
          <cell r="C41" t="str">
            <v>AM-W17</v>
          </cell>
          <cell r="D41" t="str">
            <v>Microphone</v>
          </cell>
          <cell r="E41" t="str">
            <v>Wireless Lapel Microphone</v>
          </cell>
          <cell r="F41">
            <v>0.115</v>
          </cell>
          <cell r="G41" t="str">
            <v>AM-W17</v>
          </cell>
          <cell r="H41">
            <v>85181000</v>
          </cell>
          <cell r="I41">
            <v>8</v>
          </cell>
          <cell r="J41">
            <v>1.1726E-2</v>
          </cell>
          <cell r="K41">
            <v>14.3</v>
          </cell>
          <cell r="L41">
            <v>8.1999999999999993</v>
          </cell>
          <cell r="M41">
            <v>3.4</v>
          </cell>
          <cell r="N41">
            <v>3.9868400000000001E-4</v>
          </cell>
          <cell r="O41">
            <v>15</v>
          </cell>
          <cell r="P41">
            <v>1.32193479</v>
          </cell>
          <cell r="Q41">
            <v>840.03</v>
          </cell>
          <cell r="R41">
            <v>991.23477589799995</v>
          </cell>
          <cell r="S41">
            <v>11.5</v>
          </cell>
          <cell r="T41">
            <v>51</v>
          </cell>
          <cell r="U41">
            <v>58</v>
          </cell>
          <cell r="V41">
            <v>10</v>
          </cell>
          <cell r="W41">
            <v>2</v>
          </cell>
          <cell r="X41">
            <v>5</v>
          </cell>
          <cell r="Y41">
            <v>0</v>
          </cell>
          <cell r="Z41">
            <v>18</v>
          </cell>
          <cell r="AA41">
            <v>289.67796610169489</v>
          </cell>
          <cell r="AB41">
            <v>49.561738794900002</v>
          </cell>
          <cell r="AC41">
            <v>29.73704327694</v>
          </cell>
          <cell r="AD41">
            <v>0</v>
          </cell>
          <cell r="AE41">
            <v>1899</v>
          </cell>
          <cell r="AF41">
            <v>4999</v>
          </cell>
        </row>
        <row r="42">
          <cell r="C42" t="str">
            <v>AM-C44 Pro</v>
          </cell>
          <cell r="D42" t="str">
            <v>Bundles</v>
          </cell>
          <cell r="E42" t="str">
            <v>Bundles</v>
          </cell>
          <cell r="F42">
            <v>0.11</v>
          </cell>
          <cell r="G42" t="str">
            <v>AM-C44 Pro</v>
          </cell>
          <cell r="H42">
            <v>85181000</v>
          </cell>
          <cell r="I42">
            <v>24</v>
          </cell>
          <cell r="J42">
            <v>0.38031988235294117</v>
          </cell>
          <cell r="K42">
            <v>41.4</v>
          </cell>
          <cell r="L42">
            <v>19.399999999999999</v>
          </cell>
          <cell r="M42">
            <v>16.100000000000001</v>
          </cell>
          <cell r="N42">
            <v>1.2930875999999999E-2</v>
          </cell>
          <cell r="O42">
            <v>15</v>
          </cell>
          <cell r="P42">
            <v>4.0227527805882346</v>
          </cell>
          <cell r="Q42">
            <v>2556.2800000000002</v>
          </cell>
          <cell r="R42">
            <v>3016.4063168043531</v>
          </cell>
          <cell r="S42">
            <v>11</v>
          </cell>
          <cell r="T42">
            <v>51</v>
          </cell>
          <cell r="U42">
            <v>27</v>
          </cell>
          <cell r="V42">
            <v>10</v>
          </cell>
          <cell r="W42">
            <v>2</v>
          </cell>
          <cell r="X42">
            <v>5</v>
          </cell>
          <cell r="Y42">
            <v>0</v>
          </cell>
          <cell r="Z42">
            <v>18</v>
          </cell>
          <cell r="AA42">
            <v>884.59322033898297</v>
          </cell>
          <cell r="AB42">
            <v>150.82031584021769</v>
          </cell>
          <cell r="AC42">
            <v>90.492189504130593</v>
          </cell>
          <cell r="AD42">
            <v>0</v>
          </cell>
          <cell r="AE42">
            <v>5799</v>
          </cell>
          <cell r="AF42">
            <v>9499</v>
          </cell>
        </row>
        <row r="43">
          <cell r="C43" t="str">
            <v>AH-60 BL</v>
          </cell>
          <cell r="D43" t="str">
            <v>Headphone</v>
          </cell>
          <cell r="E43" t="str">
            <v>DJ Headphone</v>
          </cell>
          <cell r="F43">
            <v>0.11</v>
          </cell>
          <cell r="G43" t="str">
            <v>AH-60 BL</v>
          </cell>
          <cell r="H43">
            <v>85183020</v>
          </cell>
          <cell r="I43">
            <v>8</v>
          </cell>
          <cell r="J43">
            <v>0.26191352941176471</v>
          </cell>
          <cell r="K43">
            <v>27.1</v>
          </cell>
          <cell r="L43">
            <v>26.5</v>
          </cell>
          <cell r="M43">
            <v>12.4</v>
          </cell>
          <cell r="N43">
            <v>8.9050600000000011E-3</v>
          </cell>
          <cell r="O43">
            <v>20</v>
          </cell>
          <cell r="P43">
            <v>1.817620976470588</v>
          </cell>
          <cell r="Q43">
            <v>907.16</v>
          </cell>
          <cell r="R43">
            <v>1070.446564524706</v>
          </cell>
          <cell r="S43">
            <v>11</v>
          </cell>
          <cell r="T43">
            <v>51</v>
          </cell>
          <cell r="U43">
            <v>115</v>
          </cell>
          <cell r="V43">
            <v>10</v>
          </cell>
          <cell r="W43">
            <v>2</v>
          </cell>
          <cell r="X43">
            <v>5</v>
          </cell>
          <cell r="Y43">
            <v>0</v>
          </cell>
          <cell r="Z43">
            <v>18</v>
          </cell>
          <cell r="AA43">
            <v>304.93220338983042</v>
          </cell>
          <cell r="AB43">
            <v>53.522328226235281</v>
          </cell>
          <cell r="AC43">
            <v>32.113396935741157</v>
          </cell>
          <cell r="AD43">
            <v>0</v>
          </cell>
          <cell r="AE43">
            <v>1999</v>
          </cell>
          <cell r="AF43">
            <v>3499</v>
          </cell>
        </row>
        <row r="44">
          <cell r="C44" t="str">
            <v>AA-04</v>
          </cell>
          <cell r="D44" t="str">
            <v>Microphone Accessories</v>
          </cell>
          <cell r="E44" t="str">
            <v>Shock Mount</v>
          </cell>
          <cell r="F44">
            <v>0.11</v>
          </cell>
          <cell r="G44" t="str">
            <v>AA-04</v>
          </cell>
          <cell r="H44">
            <v>85189000</v>
          </cell>
          <cell r="I44">
            <v>6.6</v>
          </cell>
          <cell r="J44">
            <v>7.5845147058823517E-2</v>
          </cell>
          <cell r="K44">
            <v>15.5</v>
          </cell>
          <cell r="L44">
            <v>13.1</v>
          </cell>
          <cell r="M44">
            <v>12.7</v>
          </cell>
          <cell r="N44">
            <v>2.578735E-3</v>
          </cell>
          <cell r="O44">
            <v>15</v>
          </cell>
          <cell r="P44">
            <v>1.101514449264706</v>
          </cell>
          <cell r="Q44">
            <v>699.96</v>
          </cell>
          <cell r="R44">
            <v>825.95558912955892</v>
          </cell>
          <cell r="S44">
            <v>11</v>
          </cell>
          <cell r="T44">
            <v>51</v>
          </cell>
          <cell r="U44">
            <v>76.000000000000014</v>
          </cell>
          <cell r="V44">
            <v>10</v>
          </cell>
          <cell r="W44">
            <v>2</v>
          </cell>
          <cell r="X44">
            <v>5</v>
          </cell>
          <cell r="Y44">
            <v>0</v>
          </cell>
          <cell r="Z44">
            <v>18</v>
          </cell>
          <cell r="AA44">
            <v>243.91525423728811</v>
          </cell>
          <cell r="AB44">
            <v>41.297779456477947</v>
          </cell>
          <cell r="AC44">
            <v>24.778667673886769</v>
          </cell>
          <cell r="AD44">
            <v>0</v>
          </cell>
          <cell r="AE44">
            <v>1599</v>
          </cell>
          <cell r="AF44">
            <v>2999</v>
          </cell>
        </row>
        <row r="45">
          <cell r="C45" t="str">
            <v>AI-06</v>
          </cell>
          <cell r="D45" t="str">
            <v>Audio Interface</v>
          </cell>
          <cell r="E45" t="str">
            <v>Audio Interface</v>
          </cell>
          <cell r="F45">
            <v>0.11</v>
          </cell>
          <cell r="G45" t="str">
            <v>AI-06</v>
          </cell>
          <cell r="H45">
            <v>85437029</v>
          </cell>
          <cell r="I45">
            <v>22.5</v>
          </cell>
          <cell r="J45">
            <v>8.4437058823529434E-2</v>
          </cell>
          <cell r="K45">
            <v>23</v>
          </cell>
          <cell r="L45">
            <v>15.8</v>
          </cell>
          <cell r="M45">
            <v>7.9</v>
          </cell>
          <cell r="N45">
            <v>2.8708600000000011E-3</v>
          </cell>
          <cell r="O45">
            <v>7.5</v>
          </cell>
          <cell r="P45">
            <v>1.863216057352941</v>
          </cell>
          <cell r="Q45">
            <v>2200.29</v>
          </cell>
          <cell r="R45">
            <v>2596.340760937941</v>
          </cell>
          <cell r="S45">
            <v>11</v>
          </cell>
          <cell r="T45">
            <v>51</v>
          </cell>
          <cell r="U45">
            <v>77</v>
          </cell>
          <cell r="V45">
            <v>10</v>
          </cell>
          <cell r="W45">
            <v>2</v>
          </cell>
          <cell r="X45">
            <v>5</v>
          </cell>
          <cell r="Y45">
            <v>0</v>
          </cell>
          <cell r="Z45">
            <v>18</v>
          </cell>
          <cell r="AA45">
            <v>610.01694915254211</v>
          </cell>
          <cell r="AB45">
            <v>129.8170380468971</v>
          </cell>
          <cell r="AC45">
            <v>77.890222828138221</v>
          </cell>
          <cell r="AD45">
            <v>0</v>
          </cell>
          <cell r="AE45">
            <v>3999</v>
          </cell>
          <cell r="AF45">
            <v>9999</v>
          </cell>
        </row>
        <row r="46">
          <cell r="C46" t="str">
            <v>AM-W32</v>
          </cell>
          <cell r="D46" t="str">
            <v>Microphone</v>
          </cell>
          <cell r="E46" t="str">
            <v>Wireless UHF Microphone</v>
          </cell>
          <cell r="F46">
            <v>0.11</v>
          </cell>
          <cell r="G46" t="str">
            <v>AM-W32</v>
          </cell>
          <cell r="H46">
            <v>85181000</v>
          </cell>
          <cell r="I46">
            <v>16.62</v>
          </cell>
          <cell r="J46">
            <v>0.10622970588235291</v>
          </cell>
          <cell r="K46">
            <v>30.5</v>
          </cell>
          <cell r="L46">
            <v>19.100000000000001</v>
          </cell>
          <cell r="M46">
            <v>6.2</v>
          </cell>
          <cell r="N46">
            <v>3.61181E-3</v>
          </cell>
          <cell r="O46">
            <v>15</v>
          </cell>
          <cell r="P46">
            <v>2.759827901470588</v>
          </cell>
          <cell r="Q46">
            <v>1753.75</v>
          </cell>
          <cell r="R46">
            <v>2069.4193179008821</v>
          </cell>
          <cell r="S46">
            <v>11</v>
          </cell>
          <cell r="T46">
            <v>51</v>
          </cell>
          <cell r="U46">
            <v>76.000000000000014</v>
          </cell>
          <cell r="V46">
            <v>10</v>
          </cell>
          <cell r="W46">
            <v>2</v>
          </cell>
          <cell r="X46">
            <v>5</v>
          </cell>
          <cell r="Y46">
            <v>0</v>
          </cell>
          <cell r="Z46">
            <v>18</v>
          </cell>
          <cell r="AA46">
            <v>594.76271186440681</v>
          </cell>
          <cell r="AB46">
            <v>103.4709658950441</v>
          </cell>
          <cell r="AC46">
            <v>62.082579537026461</v>
          </cell>
          <cell r="AD46">
            <v>0</v>
          </cell>
          <cell r="AE46">
            <v>3899</v>
          </cell>
          <cell r="AF46">
            <v>6999</v>
          </cell>
        </row>
        <row r="47">
          <cell r="C47" t="str">
            <v>AA-05</v>
          </cell>
          <cell r="D47" t="str">
            <v>Microphone Accessories</v>
          </cell>
          <cell r="E47" t="str">
            <v>Boom Arm</v>
          </cell>
          <cell r="F47">
            <v>0.105</v>
          </cell>
          <cell r="G47" t="str">
            <v>AA-05</v>
          </cell>
          <cell r="H47">
            <v>85189000</v>
          </cell>
          <cell r="I47">
            <v>2</v>
          </cell>
          <cell r="J47">
            <v>6.5372629411764707E-2</v>
          </cell>
          <cell r="K47">
            <v>39.79</v>
          </cell>
          <cell r="L47">
            <v>11.4</v>
          </cell>
          <cell r="M47">
            <v>4.9000000000000004</v>
          </cell>
          <cell r="N47">
            <v>2.2226694000000002E-3</v>
          </cell>
          <cell r="O47">
            <v>15</v>
          </cell>
          <cell r="P47">
            <v>0.34078648385294119</v>
          </cell>
          <cell r="Q47">
            <v>216.55</v>
          </cell>
          <cell r="R47">
            <v>255.53409782871179</v>
          </cell>
          <cell r="S47">
            <v>10.5</v>
          </cell>
          <cell r="T47">
            <v>26</v>
          </cell>
          <cell r="U47">
            <v>76.000000000000014</v>
          </cell>
          <cell r="V47">
            <v>10</v>
          </cell>
          <cell r="W47">
            <v>2</v>
          </cell>
          <cell r="X47">
            <v>5</v>
          </cell>
          <cell r="Y47">
            <v>0</v>
          </cell>
          <cell r="Z47">
            <v>18</v>
          </cell>
          <cell r="AA47">
            <v>103.57627118644059</v>
          </cell>
          <cell r="AB47">
            <v>12.776704891435591</v>
          </cell>
          <cell r="AC47">
            <v>7.6660229348613544</v>
          </cell>
          <cell r="AD47">
            <v>0</v>
          </cell>
          <cell r="AE47">
            <v>679</v>
          </cell>
          <cell r="AF47">
            <v>1999</v>
          </cell>
        </row>
        <row r="48">
          <cell r="C48" t="str">
            <v>AM-C3</v>
          </cell>
          <cell r="D48" t="str">
            <v>Microphone</v>
          </cell>
          <cell r="E48" t="str">
            <v>Wired Dynamic Mic</v>
          </cell>
          <cell r="F48">
            <v>5.5E-2</v>
          </cell>
          <cell r="G48" t="str">
            <v>AM-C3</v>
          </cell>
          <cell r="H48">
            <v>85181000</v>
          </cell>
          <cell r="I48">
            <v>5</v>
          </cell>
          <cell r="J48">
            <v>5.4750294117647057E-2</v>
          </cell>
          <cell r="K48">
            <v>24.5</v>
          </cell>
          <cell r="L48">
            <v>13.1</v>
          </cell>
          <cell r="M48">
            <v>5.8</v>
          </cell>
          <cell r="N48">
            <v>1.86151E-3</v>
          </cell>
          <cell r="O48">
            <v>15</v>
          </cell>
          <cell r="P48">
            <v>0.83403379852941162</v>
          </cell>
          <cell r="Q48">
            <v>529.99</v>
          </cell>
          <cell r="R48">
            <v>625.3888706391175</v>
          </cell>
          <cell r="S48">
            <v>5.5</v>
          </cell>
          <cell r="T48">
            <v>26</v>
          </cell>
          <cell r="U48">
            <v>17</v>
          </cell>
          <cell r="V48">
            <v>10</v>
          </cell>
          <cell r="W48">
            <v>2</v>
          </cell>
          <cell r="X48">
            <v>5</v>
          </cell>
          <cell r="Y48">
            <v>0</v>
          </cell>
          <cell r="Z48">
            <v>18</v>
          </cell>
          <cell r="AA48">
            <v>137.1355932203389</v>
          </cell>
          <cell r="AB48">
            <v>31.269443531955879</v>
          </cell>
          <cell r="AC48">
            <v>18.761666119173519</v>
          </cell>
          <cell r="AD48">
            <v>0</v>
          </cell>
          <cell r="AE48">
            <v>899</v>
          </cell>
          <cell r="AF48">
            <v>2999</v>
          </cell>
        </row>
        <row r="49">
          <cell r="C49" t="str">
            <v>AM-C47</v>
          </cell>
          <cell r="D49" t="str">
            <v>Microphone</v>
          </cell>
          <cell r="E49" t="str">
            <v>RGB Condenser Mic with Boom Arm</v>
          </cell>
          <cell r="F49">
            <v>0.11</v>
          </cell>
          <cell r="G49" t="str">
            <v>AM-C47</v>
          </cell>
          <cell r="H49">
            <v>85181000</v>
          </cell>
          <cell r="I49">
            <v>12.4</v>
          </cell>
          <cell r="J49">
            <v>0.26316000000000001</v>
          </cell>
          <cell r="K49">
            <v>43</v>
          </cell>
          <cell r="L49">
            <v>20.399999999999999</v>
          </cell>
          <cell r="M49">
            <v>10.199999999999999</v>
          </cell>
          <cell r="N49">
            <v>8.9474399999999992E-3</v>
          </cell>
          <cell r="O49">
            <v>15</v>
          </cell>
          <cell r="P49">
            <v>2.0894214</v>
          </cell>
          <cell r="Q49">
            <v>1327.73</v>
          </cell>
          <cell r="R49">
            <v>1566.7241446800001</v>
          </cell>
          <cell r="S49">
            <v>11</v>
          </cell>
          <cell r="T49">
            <v>51</v>
          </cell>
          <cell r="U49">
            <v>114</v>
          </cell>
          <cell r="V49">
            <v>10</v>
          </cell>
          <cell r="W49">
            <v>2</v>
          </cell>
          <cell r="X49">
            <v>5</v>
          </cell>
          <cell r="Y49">
            <v>0</v>
          </cell>
          <cell r="Z49">
            <v>18</v>
          </cell>
          <cell r="AA49">
            <v>457.47457627118638</v>
          </cell>
          <cell r="AB49">
            <v>78.336207233999986</v>
          </cell>
          <cell r="AC49">
            <v>47.001724340399988</v>
          </cell>
          <cell r="AD49">
            <v>0</v>
          </cell>
          <cell r="AE49">
            <v>2999</v>
          </cell>
          <cell r="AF49">
            <v>4999</v>
          </cell>
        </row>
        <row r="50">
          <cell r="C50" t="str">
            <v>PB-03 (AI-04 Red + AM-C11 x 2)</v>
          </cell>
          <cell r="D50" t="str">
            <v>Bundles</v>
          </cell>
          <cell r="E50" t="str">
            <v>PB-03</v>
          </cell>
          <cell r="F50">
            <v>0.11</v>
          </cell>
          <cell r="G50" t="str">
            <v>PB-03 (AI-04 Red + AM-C11 x 2)</v>
          </cell>
          <cell r="H50">
            <v>85181000</v>
          </cell>
          <cell r="I50">
            <v>64</v>
          </cell>
          <cell r="J50">
            <v>0.51832705882352936</v>
          </cell>
          <cell r="K50">
            <v>43.6</v>
          </cell>
          <cell r="L50">
            <v>21.5</v>
          </cell>
          <cell r="M50">
            <v>18.8</v>
          </cell>
          <cell r="N50">
            <v>1.7623119999999999E-2</v>
          </cell>
          <cell r="O50">
            <v>15</v>
          </cell>
          <cell r="P50">
            <v>10.64552396470588</v>
          </cell>
          <cell r="Q50">
            <v>6764.75</v>
          </cell>
          <cell r="R50">
            <v>7982.4009786988236</v>
          </cell>
          <cell r="S50">
            <v>11</v>
          </cell>
          <cell r="T50">
            <v>51</v>
          </cell>
          <cell r="U50">
            <v>246.9491525423729</v>
          </cell>
          <cell r="V50">
            <v>10</v>
          </cell>
          <cell r="W50">
            <v>2</v>
          </cell>
          <cell r="X50">
            <v>5</v>
          </cell>
          <cell r="Y50">
            <v>0</v>
          </cell>
          <cell r="Z50">
            <v>18</v>
          </cell>
          <cell r="AA50">
            <v>2135.4406779660999</v>
          </cell>
          <cell r="AB50">
            <v>399.12004893494122</v>
          </cell>
          <cell r="AC50">
            <v>239.47202936096471</v>
          </cell>
          <cell r="AD50">
            <v>0</v>
          </cell>
          <cell r="AE50">
            <v>13999</v>
          </cell>
          <cell r="AF50" t="str">
            <v>₹ 26,299.00</v>
          </cell>
        </row>
        <row r="51">
          <cell r="C51" t="str">
            <v>AC-6XL</v>
          </cell>
          <cell r="D51" t="str">
            <v>Microphone Accessories</v>
          </cell>
          <cell r="E51" t="str">
            <v>6m XLR to 6.35m Cable</v>
          </cell>
          <cell r="F51">
            <v>0.155</v>
          </cell>
          <cell r="G51" t="str">
            <v>AC-6XL</v>
          </cell>
          <cell r="H51">
            <v>85189000</v>
          </cell>
          <cell r="I51">
            <v>1.3</v>
          </cell>
          <cell r="J51">
            <v>6.0266470588235303E-2</v>
          </cell>
          <cell r="K51">
            <v>28.4</v>
          </cell>
          <cell r="L51">
            <v>19.5</v>
          </cell>
          <cell r="M51">
            <v>3.7</v>
          </cell>
          <cell r="N51">
            <v>2.0490600000000001E-3</v>
          </cell>
          <cell r="O51">
            <v>15</v>
          </cell>
          <cell r="P51">
            <v>0.22444396764705879</v>
          </cell>
          <cell r="Q51">
            <v>142.62</v>
          </cell>
          <cell r="R51">
            <v>168.29624854058821</v>
          </cell>
          <cell r="S51">
            <v>15.5</v>
          </cell>
          <cell r="T51">
            <v>26</v>
          </cell>
          <cell r="U51">
            <v>76.000000000000014</v>
          </cell>
          <cell r="V51">
            <v>10</v>
          </cell>
          <cell r="W51">
            <v>2</v>
          </cell>
          <cell r="X51">
            <v>5</v>
          </cell>
          <cell r="Y51">
            <v>0</v>
          </cell>
          <cell r="Z51">
            <v>18</v>
          </cell>
          <cell r="AA51">
            <v>76.118644067796595</v>
          </cell>
          <cell r="AB51">
            <v>8.4148124270294122</v>
          </cell>
          <cell r="AC51">
            <v>5.0488874562176473</v>
          </cell>
          <cell r="AD51">
            <v>0</v>
          </cell>
          <cell r="AE51">
            <v>499</v>
          </cell>
          <cell r="AF51">
            <v>999</v>
          </cell>
        </row>
        <row r="52">
          <cell r="C52" t="str">
            <v>AM-C45 Pro</v>
          </cell>
          <cell r="D52" t="str">
            <v>Bundles</v>
          </cell>
          <cell r="E52" t="str">
            <v>Bundles</v>
          </cell>
          <cell r="F52">
            <v>0.11</v>
          </cell>
          <cell r="G52" t="str">
            <v>AM-C45 Pro</v>
          </cell>
          <cell r="H52">
            <v>85181000</v>
          </cell>
          <cell r="I52">
            <v>17.5</v>
          </cell>
          <cell r="J52">
            <v>0.37691764705882358</v>
          </cell>
          <cell r="K52">
            <v>41.5</v>
          </cell>
          <cell r="L52">
            <v>19.3</v>
          </cell>
          <cell r="M52">
            <v>16</v>
          </cell>
          <cell r="N52">
            <v>1.2815200000000001E-2</v>
          </cell>
          <cell r="O52">
            <v>15</v>
          </cell>
          <cell r="P52">
            <v>2.949691411764706</v>
          </cell>
          <cell r="Q52">
            <v>1874.39</v>
          </cell>
          <cell r="R52">
            <v>2211.7858820470592</v>
          </cell>
          <cell r="S52">
            <v>11</v>
          </cell>
          <cell r="T52">
            <v>51</v>
          </cell>
          <cell r="U52">
            <v>27</v>
          </cell>
          <cell r="V52">
            <v>10</v>
          </cell>
          <cell r="W52">
            <v>2</v>
          </cell>
          <cell r="X52">
            <v>5</v>
          </cell>
          <cell r="Y52">
            <v>0</v>
          </cell>
          <cell r="Z52">
            <v>18</v>
          </cell>
          <cell r="AA52">
            <v>686.28813559321998</v>
          </cell>
          <cell r="AB52">
            <v>110.58929410235299</v>
          </cell>
          <cell r="AC52">
            <v>66.353576461411777</v>
          </cell>
          <cell r="AD52">
            <v>0</v>
          </cell>
          <cell r="AE52">
            <v>4499</v>
          </cell>
          <cell r="AF52">
            <v>8999</v>
          </cell>
        </row>
        <row r="53">
          <cell r="C53" t="str">
            <v>GB-02 (AM-C43 + AI-11)</v>
          </cell>
          <cell r="D53" t="str">
            <v>Bundles</v>
          </cell>
          <cell r="E53" t="str">
            <v>GB-02</v>
          </cell>
          <cell r="F53">
            <v>0.11</v>
          </cell>
          <cell r="G53" t="str">
            <v>GB-02 (AM-C43 + AI-11)</v>
          </cell>
          <cell r="H53">
            <v>85181000</v>
          </cell>
          <cell r="I53">
            <v>16.5</v>
          </cell>
          <cell r="J53">
            <v>0.5151073235294118</v>
          </cell>
          <cell r="K53">
            <v>43.7</v>
          </cell>
          <cell r="L53">
            <v>21.9</v>
          </cell>
          <cell r="M53">
            <v>18.3</v>
          </cell>
          <cell r="N53">
            <v>1.7513648999999999E-2</v>
          </cell>
          <cell r="O53">
            <v>15</v>
          </cell>
          <cell r="P53">
            <v>2.8074927083823531</v>
          </cell>
          <cell r="Q53">
            <v>1784.03</v>
          </cell>
          <cell r="R53">
            <v>2105.1601233890292</v>
          </cell>
          <cell r="S53">
            <v>11</v>
          </cell>
          <cell r="T53">
            <v>51</v>
          </cell>
          <cell r="U53">
            <v>247.9491525423729</v>
          </cell>
          <cell r="V53">
            <v>10</v>
          </cell>
          <cell r="W53">
            <v>2</v>
          </cell>
          <cell r="X53">
            <v>5</v>
          </cell>
          <cell r="Y53">
            <v>0</v>
          </cell>
          <cell r="Z53">
            <v>18</v>
          </cell>
          <cell r="AA53">
            <v>594.76271186440681</v>
          </cell>
          <cell r="AB53">
            <v>105.25800616945151</v>
          </cell>
          <cell r="AC53">
            <v>63.154803701670872</v>
          </cell>
          <cell r="AD53">
            <v>0</v>
          </cell>
          <cell r="AE53">
            <v>3899</v>
          </cell>
          <cell r="AF53" t="str">
            <v>₹ 12,499.00</v>
          </cell>
        </row>
        <row r="54">
          <cell r="C54" t="str">
            <v>AM-W11</v>
          </cell>
          <cell r="D54" t="str">
            <v>Microphone</v>
          </cell>
          <cell r="E54" t="str">
            <v>Wireless UHF Microphone</v>
          </cell>
          <cell r="F54">
            <v>0.11</v>
          </cell>
          <cell r="G54" t="str">
            <v>AM-W11</v>
          </cell>
          <cell r="H54">
            <v>85181000</v>
          </cell>
          <cell r="I54">
            <v>22.3</v>
          </cell>
          <cell r="J54">
            <v>2.0088000000000002E-2</v>
          </cell>
          <cell r="K54">
            <v>12.4</v>
          </cell>
          <cell r="L54">
            <v>10.199999999999999</v>
          </cell>
          <cell r="M54">
            <v>5.4</v>
          </cell>
          <cell r="N54">
            <v>6.82992E-4</v>
          </cell>
          <cell r="O54">
            <v>15</v>
          </cell>
          <cell r="P54">
            <v>3.68281452</v>
          </cell>
          <cell r="Q54">
            <v>2340.2600000000002</v>
          </cell>
          <cell r="R54">
            <v>2761.508247624</v>
          </cell>
          <cell r="S54">
            <v>11</v>
          </cell>
          <cell r="T54">
            <v>51</v>
          </cell>
          <cell r="U54">
            <v>58</v>
          </cell>
          <cell r="V54">
            <v>10</v>
          </cell>
          <cell r="W54">
            <v>2</v>
          </cell>
          <cell r="X54">
            <v>5</v>
          </cell>
          <cell r="Y54">
            <v>0</v>
          </cell>
          <cell r="Z54">
            <v>18</v>
          </cell>
          <cell r="AA54">
            <v>426.96610169491532</v>
          </cell>
          <cell r="AB54">
            <v>138.07541238120001</v>
          </cell>
          <cell r="AC54">
            <v>82.84524742872</v>
          </cell>
          <cell r="AD54">
            <v>0</v>
          </cell>
          <cell r="AE54">
            <v>2799</v>
          </cell>
          <cell r="AF54">
            <v>9999</v>
          </cell>
        </row>
        <row r="55">
          <cell r="C55" t="str">
            <v>AA-20</v>
          </cell>
          <cell r="D55" t="str">
            <v>Microphone Accessories</v>
          </cell>
          <cell r="E55" t="str">
            <v>Boom Arm</v>
          </cell>
          <cell r="F55">
            <v>0.11</v>
          </cell>
          <cell r="G55" t="str">
            <v>AA-20</v>
          </cell>
          <cell r="H55">
            <v>85189000</v>
          </cell>
          <cell r="I55">
            <v>8.1</v>
          </cell>
          <cell r="J55">
            <v>0.22397176470588229</v>
          </cell>
          <cell r="K55">
            <v>44.9</v>
          </cell>
          <cell r="L55">
            <v>16</v>
          </cell>
          <cell r="M55">
            <v>10.6</v>
          </cell>
          <cell r="N55">
            <v>7.6150399999999991E-3</v>
          </cell>
          <cell r="O55">
            <v>15</v>
          </cell>
          <cell r="P55">
            <v>1.3734553411764709</v>
          </cell>
          <cell r="Q55">
            <v>872.77</v>
          </cell>
          <cell r="R55">
            <v>1029.8667586447059</v>
          </cell>
          <cell r="S55">
            <v>11</v>
          </cell>
          <cell r="T55">
            <v>51</v>
          </cell>
          <cell r="U55">
            <v>114</v>
          </cell>
          <cell r="V55">
            <v>10</v>
          </cell>
          <cell r="W55">
            <v>2</v>
          </cell>
          <cell r="X55">
            <v>5</v>
          </cell>
          <cell r="Y55">
            <v>0</v>
          </cell>
          <cell r="Z55">
            <v>18</v>
          </cell>
          <cell r="AA55">
            <v>381.20338983050851</v>
          </cell>
          <cell r="AB55">
            <v>51.493337932235299</v>
          </cell>
          <cell r="AC55">
            <v>30.896002759341179</v>
          </cell>
          <cell r="AD55">
            <v>0</v>
          </cell>
          <cell r="AE55">
            <v>2499</v>
          </cell>
          <cell r="AF55">
            <v>4999</v>
          </cell>
        </row>
        <row r="56">
          <cell r="C56" t="str">
            <v>AM-C6</v>
          </cell>
          <cell r="D56" t="str">
            <v>Microphone</v>
          </cell>
          <cell r="E56" t="str">
            <v>USB Microphone Kit - Tripod</v>
          </cell>
          <cell r="F56">
            <v>0.11</v>
          </cell>
          <cell r="G56" t="str">
            <v>AM-C6</v>
          </cell>
          <cell r="H56">
            <v>85181000</v>
          </cell>
          <cell r="I56">
            <v>14</v>
          </cell>
          <cell r="J56">
            <v>6.5406352941176471E-2</v>
          </cell>
          <cell r="K56">
            <v>21.7</v>
          </cell>
          <cell r="L56">
            <v>12.2</v>
          </cell>
          <cell r="M56">
            <v>8.4</v>
          </cell>
          <cell r="N56">
            <v>2.223816E-3</v>
          </cell>
          <cell r="O56">
            <v>15</v>
          </cell>
          <cell r="P56">
            <v>2.3207920482352939</v>
          </cell>
          <cell r="Q56">
            <v>1474.76</v>
          </cell>
          <cell r="R56">
            <v>1740.2142702049409</v>
          </cell>
          <cell r="S56">
            <v>11</v>
          </cell>
          <cell r="T56">
            <v>51</v>
          </cell>
          <cell r="U56">
            <v>76.000000000000014</v>
          </cell>
          <cell r="V56">
            <v>10</v>
          </cell>
          <cell r="W56">
            <v>2</v>
          </cell>
          <cell r="X56">
            <v>5</v>
          </cell>
          <cell r="Y56">
            <v>0</v>
          </cell>
          <cell r="Z56">
            <v>18</v>
          </cell>
          <cell r="AA56">
            <v>396.45762711864381</v>
          </cell>
          <cell r="AB56">
            <v>87.010713510247058</v>
          </cell>
          <cell r="AC56">
            <v>52.20642810614823</v>
          </cell>
          <cell r="AD56">
            <v>0</v>
          </cell>
          <cell r="AE56">
            <v>2599</v>
          </cell>
          <cell r="AF56">
            <v>5999</v>
          </cell>
        </row>
        <row r="57">
          <cell r="C57" t="str">
            <v>AM-C41</v>
          </cell>
          <cell r="D57" t="str">
            <v>Microphone</v>
          </cell>
          <cell r="E57" t="str">
            <v>USB Microphone Kit - Tripod</v>
          </cell>
          <cell r="F57">
            <v>0.11</v>
          </cell>
          <cell r="G57" t="str">
            <v>AM-C41</v>
          </cell>
          <cell r="H57">
            <v>85181000</v>
          </cell>
          <cell r="I57">
            <v>8</v>
          </cell>
          <cell r="J57">
            <v>9.268235294117648E-2</v>
          </cell>
          <cell r="K57">
            <v>20.8</v>
          </cell>
          <cell r="L57">
            <v>20.2</v>
          </cell>
          <cell r="M57">
            <v>7.5</v>
          </cell>
          <cell r="N57">
            <v>3.1511999999999998E-3</v>
          </cell>
          <cell r="O57">
            <v>15</v>
          </cell>
          <cell r="P57">
            <v>1.335292588235294</v>
          </cell>
          <cell r="Q57">
            <v>848.52</v>
          </cell>
          <cell r="R57">
            <v>1001.250938752941</v>
          </cell>
          <cell r="S57">
            <v>11</v>
          </cell>
          <cell r="T57">
            <v>51</v>
          </cell>
          <cell r="U57">
            <v>17</v>
          </cell>
          <cell r="V57">
            <v>10</v>
          </cell>
          <cell r="W57">
            <v>2</v>
          </cell>
          <cell r="X57">
            <v>5</v>
          </cell>
          <cell r="Y57">
            <v>0</v>
          </cell>
          <cell r="Z57">
            <v>18</v>
          </cell>
          <cell r="AA57">
            <v>274.42372881355908</v>
          </cell>
          <cell r="AB57">
            <v>50.062546937647063</v>
          </cell>
          <cell r="AC57">
            <v>30.037528162588231</v>
          </cell>
          <cell r="AD57">
            <v>0</v>
          </cell>
          <cell r="AE57">
            <v>1799</v>
          </cell>
          <cell r="AF57">
            <v>3999</v>
          </cell>
        </row>
        <row r="58">
          <cell r="C58" t="str">
            <v>AM-C4</v>
          </cell>
          <cell r="D58" t="str">
            <v>Microphone</v>
          </cell>
          <cell r="E58" t="str">
            <v>USB Microphone Kit - Tripod</v>
          </cell>
          <cell r="F58">
            <v>0.11</v>
          </cell>
          <cell r="G58" t="str">
            <v>AM-C4</v>
          </cell>
          <cell r="H58">
            <v>85181000</v>
          </cell>
          <cell r="I58">
            <v>13</v>
          </cell>
          <cell r="J58">
            <v>0.10382891176470591</v>
          </cell>
          <cell r="K58">
            <v>23.3</v>
          </cell>
          <cell r="L58">
            <v>13.9</v>
          </cell>
          <cell r="M58">
            <v>10.9</v>
          </cell>
          <cell r="N58">
            <v>3.5301830000000001E-3</v>
          </cell>
          <cell r="O58">
            <v>15</v>
          </cell>
          <cell r="P58">
            <v>2.1621317704411762</v>
          </cell>
          <cell r="Q58">
            <v>1373.94</v>
          </cell>
          <cell r="R58">
            <v>1621.245024450265</v>
          </cell>
          <cell r="S58">
            <v>11</v>
          </cell>
          <cell r="T58">
            <v>51</v>
          </cell>
          <cell r="U58">
            <v>77</v>
          </cell>
          <cell r="V58">
            <v>10</v>
          </cell>
          <cell r="W58">
            <v>2</v>
          </cell>
          <cell r="X58">
            <v>5</v>
          </cell>
          <cell r="Y58">
            <v>0</v>
          </cell>
          <cell r="Z58">
            <v>18</v>
          </cell>
          <cell r="AA58">
            <v>381.20338983050851</v>
          </cell>
          <cell r="AB58">
            <v>81.06225122251324</v>
          </cell>
          <cell r="AC58">
            <v>48.637350733507937</v>
          </cell>
          <cell r="AD58">
            <v>0</v>
          </cell>
          <cell r="AE58">
            <v>2499</v>
          </cell>
          <cell r="AF58">
            <v>5999</v>
          </cell>
        </row>
        <row r="59">
          <cell r="C59" t="str">
            <v>AA-06</v>
          </cell>
          <cell r="D59" t="str">
            <v>Microphone Accessories</v>
          </cell>
          <cell r="E59" t="str">
            <v>Boom Arm Kit</v>
          </cell>
          <cell r="F59">
            <v>0.11</v>
          </cell>
          <cell r="G59" t="str">
            <v>AA-06</v>
          </cell>
          <cell r="H59">
            <v>85189000</v>
          </cell>
          <cell r="I59">
            <v>4.3</v>
          </cell>
          <cell r="J59">
            <v>0.14065411764705879</v>
          </cell>
          <cell r="K59">
            <v>40.5</v>
          </cell>
          <cell r="L59">
            <v>16.399999999999999</v>
          </cell>
          <cell r="M59">
            <v>7.2</v>
          </cell>
          <cell r="N59">
            <v>4.7822400000000001E-3</v>
          </cell>
          <cell r="O59">
            <v>15</v>
          </cell>
          <cell r="P59">
            <v>0.73270792941176455</v>
          </cell>
          <cell r="Q59">
            <v>465.6</v>
          </cell>
          <cell r="R59">
            <v>549.41104939764705</v>
          </cell>
          <cell r="S59">
            <v>11</v>
          </cell>
          <cell r="T59">
            <v>51</v>
          </cell>
          <cell r="U59">
            <v>109</v>
          </cell>
          <cell r="V59">
            <v>10</v>
          </cell>
          <cell r="W59">
            <v>2</v>
          </cell>
          <cell r="X59">
            <v>5</v>
          </cell>
          <cell r="Y59">
            <v>0</v>
          </cell>
          <cell r="Z59">
            <v>18</v>
          </cell>
          <cell r="AA59">
            <v>205.77966101694909</v>
          </cell>
          <cell r="AB59">
            <v>27.47055246988235</v>
          </cell>
          <cell r="AC59">
            <v>16.48233148192941</v>
          </cell>
          <cell r="AD59">
            <v>0</v>
          </cell>
          <cell r="AE59">
            <v>1349</v>
          </cell>
          <cell r="AF59">
            <v>2999</v>
          </cell>
        </row>
        <row r="60">
          <cell r="C60" t="str">
            <v>AM-C3a</v>
          </cell>
          <cell r="D60" t="str">
            <v>Microphone</v>
          </cell>
          <cell r="E60" t="str">
            <v>Wired Dynamic Mic</v>
          </cell>
          <cell r="F60">
            <v>5.5E-2</v>
          </cell>
          <cell r="G60" t="str">
            <v>AM-C3a</v>
          </cell>
          <cell r="H60">
            <v>85181000</v>
          </cell>
          <cell r="I60">
            <v>4</v>
          </cell>
          <cell r="J60">
            <v>5.6835705882352948E-2</v>
          </cell>
          <cell r="K60">
            <v>25.3</v>
          </cell>
          <cell r="L60">
            <v>13.4</v>
          </cell>
          <cell r="M60">
            <v>5.7</v>
          </cell>
          <cell r="N60">
            <v>1.9324139999999999E-3</v>
          </cell>
          <cell r="O60">
            <v>15</v>
          </cell>
          <cell r="P60">
            <v>0.66937789147058813</v>
          </cell>
          <cell r="Q60">
            <v>425.36</v>
          </cell>
          <cell r="R60">
            <v>501.92388403888231</v>
          </cell>
          <cell r="S60">
            <v>5.5</v>
          </cell>
          <cell r="T60">
            <v>26</v>
          </cell>
          <cell r="U60">
            <v>58</v>
          </cell>
          <cell r="V60">
            <v>10</v>
          </cell>
          <cell r="W60">
            <v>2</v>
          </cell>
          <cell r="X60">
            <v>5</v>
          </cell>
          <cell r="Y60">
            <v>0</v>
          </cell>
          <cell r="Z60">
            <v>18</v>
          </cell>
          <cell r="AA60">
            <v>137.1355932203389</v>
          </cell>
          <cell r="AB60">
            <v>25.096194201944119</v>
          </cell>
          <cell r="AC60">
            <v>15.057716521166469</v>
          </cell>
          <cell r="AD60">
            <v>0</v>
          </cell>
          <cell r="AE60">
            <v>899</v>
          </cell>
          <cell r="AF60">
            <v>1999</v>
          </cell>
        </row>
        <row r="61">
          <cell r="C61" t="str">
            <v>AM-W46</v>
          </cell>
          <cell r="D61" t="str">
            <v>Speaker</v>
          </cell>
          <cell r="E61" t="str">
            <v>Microphone with Speaker</v>
          </cell>
          <cell r="F61">
            <v>0.11</v>
          </cell>
          <cell r="G61" t="str">
            <v>AM-W46</v>
          </cell>
          <cell r="H61">
            <v>85182290</v>
          </cell>
          <cell r="I61">
            <v>32.799999999999997</v>
          </cell>
          <cell r="J61">
            <v>0.22836970588235289</v>
          </cell>
          <cell r="K61">
            <v>27.9</v>
          </cell>
          <cell r="L61">
            <v>23</v>
          </cell>
          <cell r="M61">
            <v>12.1</v>
          </cell>
          <cell r="N61">
            <v>7.7645699999999984E-3</v>
          </cell>
          <cell r="O61">
            <v>20</v>
          </cell>
          <cell r="P61">
            <v>7.2662413352941178</v>
          </cell>
          <cell r="Q61">
            <v>3626.51</v>
          </cell>
          <cell r="R61">
            <v>4279.2876925729406</v>
          </cell>
          <cell r="S61">
            <v>11</v>
          </cell>
          <cell r="T61">
            <v>51</v>
          </cell>
          <cell r="U61">
            <v>142</v>
          </cell>
          <cell r="V61">
            <v>10</v>
          </cell>
          <cell r="W61">
            <v>2</v>
          </cell>
          <cell r="X61">
            <v>5</v>
          </cell>
          <cell r="Y61">
            <v>0</v>
          </cell>
          <cell r="Z61">
            <v>18</v>
          </cell>
          <cell r="AA61">
            <v>915.10169491525357</v>
          </cell>
          <cell r="AB61">
            <v>213.96438462864711</v>
          </cell>
          <cell r="AC61">
            <v>128.37863077718819</v>
          </cell>
          <cell r="AD61">
            <v>0</v>
          </cell>
          <cell r="AE61">
            <v>5999</v>
          </cell>
          <cell r="AF61">
            <v>12999</v>
          </cell>
        </row>
        <row r="62">
          <cell r="C62" t="str">
            <v>AM-W35</v>
          </cell>
          <cell r="D62" t="str">
            <v>Microphone</v>
          </cell>
          <cell r="E62" t="str">
            <v>Wireless UHF Microphone</v>
          </cell>
          <cell r="F62">
            <v>0.11</v>
          </cell>
          <cell r="G62" t="str">
            <v>AM-W35</v>
          </cell>
          <cell r="H62">
            <v>85181000</v>
          </cell>
          <cell r="I62">
            <v>15.22</v>
          </cell>
          <cell r="J62">
            <v>7.309800000000001E-2</v>
          </cell>
          <cell r="K62">
            <v>26.2</v>
          </cell>
          <cell r="L62">
            <v>15.3</v>
          </cell>
          <cell r="M62">
            <v>6.2</v>
          </cell>
          <cell r="N62">
            <v>2.4853319999999998E-3</v>
          </cell>
          <cell r="O62">
            <v>15</v>
          </cell>
          <cell r="P62">
            <v>2.5233611699999998</v>
          </cell>
          <cell r="Q62">
            <v>1603.48</v>
          </cell>
          <cell r="R62">
            <v>1892.107963854</v>
          </cell>
          <cell r="S62">
            <v>11</v>
          </cell>
          <cell r="T62">
            <v>51</v>
          </cell>
          <cell r="U62">
            <v>76.000000000000014</v>
          </cell>
          <cell r="V62">
            <v>10</v>
          </cell>
          <cell r="W62">
            <v>2</v>
          </cell>
          <cell r="X62">
            <v>5</v>
          </cell>
          <cell r="Y62">
            <v>0</v>
          </cell>
          <cell r="Z62">
            <v>18</v>
          </cell>
          <cell r="AA62">
            <v>512.38983050847446</v>
          </cell>
          <cell r="AB62">
            <v>94.605398192700022</v>
          </cell>
          <cell r="AC62">
            <v>56.763238915620008</v>
          </cell>
          <cell r="AD62">
            <v>0</v>
          </cell>
          <cell r="AE62">
            <v>3359</v>
          </cell>
          <cell r="AF62">
            <v>6499</v>
          </cell>
        </row>
        <row r="63">
          <cell r="C63" t="str">
            <v>AM-W16</v>
          </cell>
          <cell r="D63" t="str">
            <v>Microphone</v>
          </cell>
          <cell r="E63" t="str">
            <v>Wireless Lapel Microphone</v>
          </cell>
          <cell r="F63">
            <v>0.11</v>
          </cell>
          <cell r="G63" t="str">
            <v>AM-W16</v>
          </cell>
          <cell r="H63">
            <v>85181000</v>
          </cell>
          <cell r="I63">
            <v>5.8</v>
          </cell>
          <cell r="J63">
            <v>1.1745E-2</v>
          </cell>
          <cell r="K63">
            <v>14.5</v>
          </cell>
          <cell r="L63">
            <v>8.1</v>
          </cell>
          <cell r="M63">
            <v>3.4</v>
          </cell>
          <cell r="N63">
            <v>3.9932999999999988E-4</v>
          </cell>
          <cell r="O63">
            <v>15</v>
          </cell>
          <cell r="P63">
            <v>0.95893792499999986</v>
          </cell>
          <cell r="Q63">
            <v>609.36</v>
          </cell>
          <cell r="R63">
            <v>719.04652663499996</v>
          </cell>
          <cell r="S63">
            <v>11</v>
          </cell>
          <cell r="T63">
            <v>51</v>
          </cell>
          <cell r="U63">
            <v>59.000000000000007</v>
          </cell>
          <cell r="V63">
            <v>10</v>
          </cell>
          <cell r="W63">
            <v>2</v>
          </cell>
          <cell r="X63">
            <v>5</v>
          </cell>
          <cell r="Y63">
            <v>0</v>
          </cell>
          <cell r="Z63">
            <v>18</v>
          </cell>
          <cell r="AA63">
            <v>213.4067796610168</v>
          </cell>
          <cell r="AB63">
            <v>35.952326331750001</v>
          </cell>
          <cell r="AC63">
            <v>21.571395799049998</v>
          </cell>
          <cell r="AD63">
            <v>0</v>
          </cell>
          <cell r="AE63">
            <v>1399</v>
          </cell>
          <cell r="AF63">
            <v>7999</v>
          </cell>
        </row>
        <row r="64">
          <cell r="C64" t="str">
            <v>AM-C40</v>
          </cell>
          <cell r="D64" t="str">
            <v>Microphone</v>
          </cell>
          <cell r="E64" t="str">
            <v>Condenser Mic with Boom Arm</v>
          </cell>
          <cell r="F64">
            <v>0.11</v>
          </cell>
          <cell r="G64" t="str">
            <v>AM-C40</v>
          </cell>
          <cell r="H64">
            <v>85181000</v>
          </cell>
          <cell r="I64">
            <v>24</v>
          </cell>
          <cell r="J64">
            <v>0.29566905882352951</v>
          </cell>
          <cell r="K64">
            <v>42.6</v>
          </cell>
          <cell r="L64">
            <v>20.7</v>
          </cell>
          <cell r="M64">
            <v>11.4</v>
          </cell>
          <cell r="N64">
            <v>1.0052748E-2</v>
          </cell>
          <cell r="O64">
            <v>15</v>
          </cell>
          <cell r="P64">
            <v>4.0087853947058818</v>
          </cell>
          <cell r="Q64">
            <v>2547.4</v>
          </cell>
          <cell r="R64">
            <v>3005.933062964823</v>
          </cell>
          <cell r="S64">
            <v>11</v>
          </cell>
          <cell r="T64">
            <v>51</v>
          </cell>
          <cell r="U64">
            <v>147</v>
          </cell>
          <cell r="V64">
            <v>10</v>
          </cell>
          <cell r="W64">
            <v>2</v>
          </cell>
          <cell r="X64">
            <v>5</v>
          </cell>
          <cell r="Y64">
            <v>0</v>
          </cell>
          <cell r="Z64">
            <v>18</v>
          </cell>
          <cell r="AA64">
            <v>533.74576271186424</v>
          </cell>
          <cell r="AB64">
            <v>150.29665314824121</v>
          </cell>
          <cell r="AC64">
            <v>90.177991888944703</v>
          </cell>
          <cell r="AD64">
            <v>0</v>
          </cell>
          <cell r="AE64">
            <v>3499</v>
          </cell>
          <cell r="AF64">
            <v>8999</v>
          </cell>
        </row>
        <row r="65">
          <cell r="C65" t="str">
            <v>AM-C42</v>
          </cell>
          <cell r="D65" t="str">
            <v>Microphone</v>
          </cell>
          <cell r="E65" t="str">
            <v>USB Microphone Kit - Boomarm</v>
          </cell>
          <cell r="F65">
            <v>0.11</v>
          </cell>
          <cell r="G65" t="str">
            <v>AM-C42</v>
          </cell>
          <cell r="H65">
            <v>85181000</v>
          </cell>
          <cell r="I65">
            <v>11.5</v>
          </cell>
          <cell r="J65">
            <v>0.18828647058823531</v>
          </cell>
          <cell r="K65">
            <v>42.2</v>
          </cell>
          <cell r="L65">
            <v>20.5</v>
          </cell>
          <cell r="M65">
            <v>7.4</v>
          </cell>
          <cell r="N65">
            <v>6.4017400000000004E-3</v>
          </cell>
          <cell r="O65">
            <v>15</v>
          </cell>
          <cell r="P65">
            <v>1.928567267647058</v>
          </cell>
          <cell r="Q65">
            <v>1225.52</v>
          </cell>
          <cell r="R65">
            <v>1446.1098670005881</v>
          </cell>
          <cell r="S65">
            <v>11</v>
          </cell>
          <cell r="T65">
            <v>51</v>
          </cell>
          <cell r="U65">
            <v>114</v>
          </cell>
          <cell r="V65">
            <v>10</v>
          </cell>
          <cell r="W65">
            <v>2</v>
          </cell>
          <cell r="X65">
            <v>5</v>
          </cell>
          <cell r="Y65">
            <v>0</v>
          </cell>
          <cell r="Z65">
            <v>18</v>
          </cell>
          <cell r="AA65">
            <v>411.71186440677963</v>
          </cell>
          <cell r="AB65">
            <v>72.305493350029408</v>
          </cell>
          <cell r="AC65">
            <v>43.383296010017652</v>
          </cell>
          <cell r="AD65">
            <v>0</v>
          </cell>
          <cell r="AE65">
            <v>2699</v>
          </cell>
          <cell r="AF65">
            <v>5999</v>
          </cell>
        </row>
        <row r="66">
          <cell r="C66" t="str">
            <v>AM-W21</v>
          </cell>
          <cell r="D66" t="str">
            <v>Microphone</v>
          </cell>
          <cell r="E66" t="str">
            <v>Wireless Lapel Microphone</v>
          </cell>
          <cell r="F66">
            <v>0.11</v>
          </cell>
          <cell r="G66" t="str">
            <v>AM-W21</v>
          </cell>
          <cell r="H66">
            <v>85181000</v>
          </cell>
          <cell r="I66">
            <v>21.5</v>
          </cell>
          <cell r="J66">
            <v>2.34135E-2</v>
          </cell>
          <cell r="K66">
            <v>15.3</v>
          </cell>
          <cell r="L66">
            <v>12.1</v>
          </cell>
          <cell r="M66">
            <v>4.3</v>
          </cell>
          <cell r="N66">
            <v>7.96059E-4</v>
          </cell>
          <cell r="O66">
            <v>15</v>
          </cell>
          <cell r="P66">
            <v>3.5513632275</v>
          </cell>
          <cell r="Q66">
            <v>2256.73</v>
          </cell>
          <cell r="R66">
            <v>2662.9412884604999</v>
          </cell>
          <cell r="S66">
            <v>11</v>
          </cell>
          <cell r="T66">
            <v>51</v>
          </cell>
          <cell r="U66">
            <v>17</v>
          </cell>
          <cell r="V66">
            <v>10</v>
          </cell>
          <cell r="W66">
            <v>2</v>
          </cell>
          <cell r="X66">
            <v>5</v>
          </cell>
          <cell r="Y66">
            <v>0</v>
          </cell>
          <cell r="Z66">
            <v>18</v>
          </cell>
          <cell r="AA66">
            <v>625.27118644067787</v>
          </cell>
          <cell r="AB66">
            <v>133.147064423025</v>
          </cell>
          <cell r="AC66">
            <v>79.888238653814994</v>
          </cell>
          <cell r="AD66">
            <v>0</v>
          </cell>
          <cell r="AE66">
            <v>4099</v>
          </cell>
          <cell r="AF66">
            <v>7999</v>
          </cell>
        </row>
        <row r="67">
          <cell r="C67" t="str">
            <v>AA-01</v>
          </cell>
          <cell r="D67" t="str">
            <v>Microphone Accessories</v>
          </cell>
          <cell r="E67" t="str">
            <v>Boom Arm Kit</v>
          </cell>
          <cell r="F67">
            <v>0.11</v>
          </cell>
          <cell r="G67" t="str">
            <v>AA-01</v>
          </cell>
          <cell r="H67">
            <v>85189000</v>
          </cell>
          <cell r="I67">
            <v>9</v>
          </cell>
          <cell r="J67">
            <v>0.2124507352941177</v>
          </cell>
          <cell r="K67">
            <v>41.1</v>
          </cell>
          <cell r="L67">
            <v>18.5</v>
          </cell>
          <cell r="M67">
            <v>9.5</v>
          </cell>
          <cell r="N67">
            <v>7.2233250000000001E-3</v>
          </cell>
          <cell r="O67">
            <v>15</v>
          </cell>
          <cell r="P67">
            <v>1.5200543713235291</v>
          </cell>
          <cell r="Q67">
            <v>965.93</v>
          </cell>
          <cell r="R67">
            <v>1139.792042322794</v>
          </cell>
          <cell r="S67">
            <v>11</v>
          </cell>
          <cell r="T67">
            <v>51</v>
          </cell>
          <cell r="U67">
            <v>114</v>
          </cell>
          <cell r="V67">
            <v>10</v>
          </cell>
          <cell r="W67">
            <v>2</v>
          </cell>
          <cell r="X67">
            <v>5</v>
          </cell>
          <cell r="Y67">
            <v>0</v>
          </cell>
          <cell r="Z67">
            <v>18</v>
          </cell>
          <cell r="AA67">
            <v>320.18644067796589</v>
          </cell>
          <cell r="AB67">
            <v>56.989602116139707</v>
          </cell>
          <cell r="AC67">
            <v>34.193761269683833</v>
          </cell>
          <cell r="AD67">
            <v>0</v>
          </cell>
          <cell r="AE67">
            <v>2099</v>
          </cell>
          <cell r="AF67">
            <v>4999</v>
          </cell>
        </row>
        <row r="68">
          <cell r="C68" t="str">
            <v>SB-01</v>
          </cell>
          <cell r="D68" t="str">
            <v>Speaker</v>
          </cell>
          <cell r="E68" t="str">
            <v>Sound Bar</v>
          </cell>
          <cell r="F68">
            <v>0.11</v>
          </cell>
          <cell r="G68" t="str">
            <v>SB-01</v>
          </cell>
          <cell r="H68">
            <v>85182290</v>
          </cell>
          <cell r="I68">
            <v>0</v>
          </cell>
          <cell r="J68">
            <v>0.17113314705882349</v>
          </cell>
          <cell r="K68">
            <v>41.1</v>
          </cell>
          <cell r="L68">
            <v>12.1</v>
          </cell>
          <cell r="M68">
            <v>11.7</v>
          </cell>
          <cell r="N68">
            <v>5.8185270000000004E-3</v>
          </cell>
          <cell r="O68">
            <v>0</v>
          </cell>
          <cell r="P68">
            <v>0</v>
          </cell>
          <cell r="Q68">
            <v>15.4</v>
          </cell>
          <cell r="R68">
            <v>18.17434021764706</v>
          </cell>
          <cell r="S68">
            <v>11</v>
          </cell>
          <cell r="T68">
            <v>51</v>
          </cell>
          <cell r="U68">
            <v>115</v>
          </cell>
          <cell r="V68">
            <v>10</v>
          </cell>
          <cell r="W68">
            <v>2</v>
          </cell>
          <cell r="X68">
            <v>5</v>
          </cell>
          <cell r="Y68">
            <v>0</v>
          </cell>
          <cell r="Z68">
            <v>18</v>
          </cell>
          <cell r="AB68">
            <v>0.9087170108823529</v>
          </cell>
          <cell r="AC68">
            <v>0.54523020652941168</v>
          </cell>
          <cell r="AD68">
            <v>0</v>
          </cell>
        </row>
        <row r="69">
          <cell r="C69" t="str">
            <v>AH-60 RD</v>
          </cell>
          <cell r="D69" t="str">
            <v>Headphone</v>
          </cell>
          <cell r="E69" t="str">
            <v>DJ Headphone</v>
          </cell>
          <cell r="F69">
            <v>0.11</v>
          </cell>
          <cell r="G69" t="str">
            <v>AH-60 RD</v>
          </cell>
          <cell r="H69">
            <v>85183020</v>
          </cell>
          <cell r="I69">
            <v>8</v>
          </cell>
          <cell r="J69">
            <v>0.26418350000000002</v>
          </cell>
          <cell r="K69">
            <v>28.7</v>
          </cell>
          <cell r="L69">
            <v>26.3</v>
          </cell>
          <cell r="M69">
            <v>11.9</v>
          </cell>
          <cell r="N69">
            <v>8.9822389999999995E-3</v>
          </cell>
          <cell r="O69">
            <v>20</v>
          </cell>
          <cell r="P69">
            <v>1.8181203699999999</v>
          </cell>
          <cell r="Q69">
            <v>907.41</v>
          </cell>
          <cell r="R69">
            <v>1070.7406709940001</v>
          </cell>
          <cell r="S69">
            <v>11</v>
          </cell>
          <cell r="T69">
            <v>51</v>
          </cell>
          <cell r="U69">
            <v>115</v>
          </cell>
          <cell r="V69">
            <v>10</v>
          </cell>
          <cell r="W69">
            <v>2</v>
          </cell>
          <cell r="X69">
            <v>5</v>
          </cell>
          <cell r="Y69">
            <v>0</v>
          </cell>
          <cell r="Z69">
            <v>18</v>
          </cell>
          <cell r="AA69">
            <v>304.93220338983042</v>
          </cell>
          <cell r="AB69">
            <v>53.537033549700013</v>
          </cell>
          <cell r="AC69">
            <v>32.122220129820001</v>
          </cell>
          <cell r="AD69">
            <v>0</v>
          </cell>
          <cell r="AE69">
            <v>1999</v>
          </cell>
          <cell r="AF69">
            <v>3499</v>
          </cell>
        </row>
        <row r="70">
          <cell r="C70" t="str">
            <v>AM-C11X</v>
          </cell>
          <cell r="D70" t="str">
            <v>Microphone</v>
          </cell>
          <cell r="E70" t="str">
            <v>XLR Dynamic Mic</v>
          </cell>
          <cell r="F70">
            <v>0.11</v>
          </cell>
          <cell r="G70" t="str">
            <v>AM-C11X</v>
          </cell>
          <cell r="H70">
            <v>85181000</v>
          </cell>
          <cell r="I70">
            <v>17</v>
          </cell>
          <cell r="J70">
            <v>9.7744999999999985E-2</v>
          </cell>
          <cell r="K70">
            <v>22.6</v>
          </cell>
          <cell r="L70">
            <v>17.3</v>
          </cell>
          <cell r="M70">
            <v>8.5</v>
          </cell>
          <cell r="N70">
            <v>3.3233300000000002E-3</v>
          </cell>
          <cell r="O70">
            <v>15</v>
          </cell>
          <cell r="P70">
            <v>2.821127924999999</v>
          </cell>
          <cell r="Q70">
            <v>1792.7</v>
          </cell>
          <cell r="R70">
            <v>2115.3843046349998</v>
          </cell>
          <cell r="S70">
            <v>11</v>
          </cell>
          <cell r="T70">
            <v>51</v>
          </cell>
          <cell r="U70">
            <v>110</v>
          </cell>
          <cell r="V70">
            <v>10</v>
          </cell>
          <cell r="W70">
            <v>2</v>
          </cell>
          <cell r="X70">
            <v>5</v>
          </cell>
          <cell r="Y70">
            <v>0</v>
          </cell>
          <cell r="Z70">
            <v>18</v>
          </cell>
          <cell r="AA70">
            <v>564.2542372881353</v>
          </cell>
          <cell r="AB70">
            <v>105.76921523175</v>
          </cell>
          <cell r="AC70">
            <v>63.461529139049993</v>
          </cell>
          <cell r="AD70">
            <v>0</v>
          </cell>
          <cell r="AE70">
            <v>3699</v>
          </cell>
          <cell r="AF70">
            <v>7599</v>
          </cell>
        </row>
        <row r="71">
          <cell r="C71" t="str">
            <v>AA-25M</v>
          </cell>
          <cell r="D71" t="str">
            <v>Microphone Accessories</v>
          </cell>
          <cell r="E71" t="str">
            <v>Lapel Mic Holder</v>
          </cell>
          <cell r="F71">
            <v>5.5E-2</v>
          </cell>
          <cell r="G71" t="str">
            <v>AA-25M</v>
          </cell>
          <cell r="H71">
            <v>85189000</v>
          </cell>
          <cell r="I71">
            <v>2.2999999999999998</v>
          </cell>
          <cell r="J71">
            <v>4.6988117647058833E-2</v>
          </cell>
          <cell r="K71">
            <v>26.6</v>
          </cell>
          <cell r="L71">
            <v>7.8</v>
          </cell>
          <cell r="M71">
            <v>7.7</v>
          </cell>
          <cell r="N71">
            <v>1.597596E-3</v>
          </cell>
          <cell r="O71">
            <v>15</v>
          </cell>
          <cell r="P71">
            <v>0.38725303941176459</v>
          </cell>
          <cell r="Q71">
            <v>246.08</v>
          </cell>
          <cell r="R71">
            <v>290.37641087964698</v>
          </cell>
          <cell r="S71">
            <v>5.5</v>
          </cell>
          <cell r="T71">
            <v>26</v>
          </cell>
          <cell r="U71">
            <v>59.000000000000007</v>
          </cell>
          <cell r="V71">
            <v>10</v>
          </cell>
          <cell r="W71">
            <v>2</v>
          </cell>
          <cell r="X71">
            <v>5</v>
          </cell>
          <cell r="Y71">
            <v>0</v>
          </cell>
          <cell r="Z71">
            <v>18</v>
          </cell>
          <cell r="AA71">
            <v>121.88135593220341</v>
          </cell>
          <cell r="AB71">
            <v>14.518820543982351</v>
          </cell>
          <cell r="AC71">
            <v>8.71129232638941</v>
          </cell>
          <cell r="AD71">
            <v>0</v>
          </cell>
          <cell r="AE71">
            <v>799</v>
          </cell>
          <cell r="AF71">
            <v>1799</v>
          </cell>
        </row>
        <row r="72">
          <cell r="C72" t="str">
            <v>AM-C27</v>
          </cell>
          <cell r="D72" t="str">
            <v>Microphone</v>
          </cell>
          <cell r="E72" t="str">
            <v>Wired Dynamic Mic</v>
          </cell>
          <cell r="F72">
            <v>0.11</v>
          </cell>
          <cell r="G72" t="str">
            <v>AM-C27</v>
          </cell>
          <cell r="H72">
            <v>85181000</v>
          </cell>
          <cell r="I72">
            <v>6.27</v>
          </cell>
          <cell r="J72">
            <v>7.4249999999999983E-2</v>
          </cell>
          <cell r="K72">
            <v>25.5</v>
          </cell>
          <cell r="L72">
            <v>13.2</v>
          </cell>
          <cell r="M72">
            <v>7.5</v>
          </cell>
          <cell r="N72">
            <v>2.524499999999999E-3</v>
          </cell>
          <cell r="O72">
            <v>15</v>
          </cell>
          <cell r="P72">
            <v>1.0468012499999999</v>
          </cell>
          <cell r="Q72">
            <v>665.19</v>
          </cell>
          <cell r="R72">
            <v>784.92964274999986</v>
          </cell>
          <cell r="S72">
            <v>11</v>
          </cell>
          <cell r="T72">
            <v>51</v>
          </cell>
          <cell r="U72">
            <v>17</v>
          </cell>
          <cell r="V72">
            <v>10</v>
          </cell>
          <cell r="W72">
            <v>2</v>
          </cell>
          <cell r="X72">
            <v>5</v>
          </cell>
          <cell r="Y72">
            <v>0</v>
          </cell>
          <cell r="Z72">
            <v>18</v>
          </cell>
          <cell r="AA72">
            <v>228.66101694915261</v>
          </cell>
          <cell r="AB72">
            <v>39.246482137500003</v>
          </cell>
          <cell r="AC72">
            <v>23.547889282499991</v>
          </cell>
          <cell r="AD72">
            <v>0</v>
          </cell>
          <cell r="AE72">
            <v>1499</v>
          </cell>
          <cell r="AF72">
            <v>3299</v>
          </cell>
        </row>
        <row r="73">
          <cell r="C73" t="str">
            <v>AA-25</v>
          </cell>
          <cell r="D73" t="str">
            <v>Microphone Accessories</v>
          </cell>
          <cell r="E73" t="str">
            <v>Lapel Mic Holder</v>
          </cell>
          <cell r="F73">
            <v>5.5E-2</v>
          </cell>
          <cell r="G73" t="str">
            <v>AA-25</v>
          </cell>
          <cell r="H73">
            <v>85189000</v>
          </cell>
          <cell r="I73">
            <v>2.5</v>
          </cell>
          <cell r="J73">
            <v>4.3404941176470591E-2</v>
          </cell>
          <cell r="K73">
            <v>26.6</v>
          </cell>
          <cell r="L73">
            <v>7.6</v>
          </cell>
          <cell r="M73">
            <v>7.3</v>
          </cell>
          <cell r="N73">
            <v>1.4757679999999999E-3</v>
          </cell>
          <cell r="O73">
            <v>15</v>
          </cell>
          <cell r="P73">
            <v>0.41966181529411761</v>
          </cell>
          <cell r="Q73">
            <v>266.68</v>
          </cell>
          <cell r="R73">
            <v>314.67768953717649</v>
          </cell>
          <cell r="S73">
            <v>5.5</v>
          </cell>
          <cell r="T73">
            <v>26</v>
          </cell>
          <cell r="U73">
            <v>58</v>
          </cell>
          <cell r="V73">
            <v>10</v>
          </cell>
          <cell r="W73">
            <v>2</v>
          </cell>
          <cell r="X73">
            <v>5</v>
          </cell>
          <cell r="Y73">
            <v>0</v>
          </cell>
          <cell r="Z73">
            <v>18</v>
          </cell>
          <cell r="AA73">
            <v>121.88135593220341</v>
          </cell>
          <cell r="AB73">
            <v>15.73388447685883</v>
          </cell>
          <cell r="AC73">
            <v>9.4403306861152938</v>
          </cell>
          <cell r="AD73">
            <v>0</v>
          </cell>
          <cell r="AE73">
            <v>799</v>
          </cell>
          <cell r="AF73">
            <v>1799</v>
          </cell>
        </row>
        <row r="74">
          <cell r="C74" t="str">
            <v>AA-03</v>
          </cell>
          <cell r="D74" t="str">
            <v>Microphone Accessories</v>
          </cell>
          <cell r="E74" t="str">
            <v>Pop Filter</v>
          </cell>
          <cell r="F74">
            <v>7.0000000000000007E-2</v>
          </cell>
          <cell r="G74" t="str">
            <v>AA-03</v>
          </cell>
          <cell r="H74">
            <v>85189000</v>
          </cell>
          <cell r="I74">
            <v>1.3</v>
          </cell>
          <cell r="J74">
            <v>3.9019764705882358E-2</v>
          </cell>
          <cell r="K74">
            <v>29.6</v>
          </cell>
          <cell r="L74">
            <v>16.600000000000001</v>
          </cell>
          <cell r="M74">
            <v>2.7</v>
          </cell>
          <cell r="N74">
            <v>1.3266720000000001E-3</v>
          </cell>
          <cell r="O74">
            <v>15</v>
          </cell>
          <cell r="P74">
            <v>0.22093826117647061</v>
          </cell>
          <cell r="Q74">
            <v>140.4</v>
          </cell>
          <cell r="R74">
            <v>165.66754234870589</v>
          </cell>
          <cell r="S74">
            <v>7.0000000000000009</v>
          </cell>
          <cell r="T74">
            <v>26</v>
          </cell>
          <cell r="U74">
            <v>58</v>
          </cell>
          <cell r="V74">
            <v>10</v>
          </cell>
          <cell r="W74">
            <v>2</v>
          </cell>
          <cell r="X74">
            <v>5</v>
          </cell>
          <cell r="Y74">
            <v>0</v>
          </cell>
          <cell r="Z74">
            <v>18</v>
          </cell>
          <cell r="AA74">
            <v>73.067796610169466</v>
          </cell>
          <cell r="AB74">
            <v>8.2833771174352933</v>
          </cell>
          <cell r="AC74">
            <v>4.970026270461176</v>
          </cell>
          <cell r="AD74">
            <v>0</v>
          </cell>
          <cell r="AE74">
            <v>479</v>
          </cell>
          <cell r="AF74">
            <v>1499</v>
          </cell>
        </row>
        <row r="75">
          <cell r="C75" t="str">
            <v>AC-3XL</v>
          </cell>
          <cell r="D75" t="str">
            <v>Microphone Accessories</v>
          </cell>
          <cell r="E75" t="str">
            <v>3m XLR to 6.35m Cable</v>
          </cell>
          <cell r="F75">
            <v>7.0000000000000007E-2</v>
          </cell>
          <cell r="G75" t="str">
            <v>AC-3XL</v>
          </cell>
          <cell r="H75">
            <v>85189000</v>
          </cell>
          <cell r="I75">
            <v>1</v>
          </cell>
          <cell r="J75">
            <v>4.6707058823529407E-2</v>
          </cell>
          <cell r="K75">
            <v>29.6</v>
          </cell>
          <cell r="L75">
            <v>18.5</v>
          </cell>
          <cell r="M75">
            <v>2.9</v>
          </cell>
          <cell r="N75">
            <v>1.58804E-3</v>
          </cell>
          <cell r="O75">
            <v>15</v>
          </cell>
          <cell r="P75">
            <v>0.17270666470588231</v>
          </cell>
          <cell r="Q75">
            <v>109.75</v>
          </cell>
          <cell r="R75">
            <v>129.50173743882351</v>
          </cell>
          <cell r="S75">
            <v>7.0000000000000009</v>
          </cell>
          <cell r="T75">
            <v>21</v>
          </cell>
          <cell r="U75">
            <v>59.000000000000007</v>
          </cell>
          <cell r="V75">
            <v>10</v>
          </cell>
          <cell r="W75">
            <v>2</v>
          </cell>
          <cell r="X75">
            <v>5</v>
          </cell>
          <cell r="Y75">
            <v>0</v>
          </cell>
          <cell r="Z75">
            <v>18</v>
          </cell>
          <cell r="AA75">
            <v>60.86440677966101</v>
          </cell>
          <cell r="AB75">
            <v>6.4750868719411772</v>
          </cell>
          <cell r="AC75">
            <v>3.8850521231647059</v>
          </cell>
          <cell r="AD75">
            <v>0</v>
          </cell>
          <cell r="AE75">
            <v>399</v>
          </cell>
          <cell r="AF75">
            <v>749</v>
          </cell>
        </row>
        <row r="76">
          <cell r="C76" t="str">
            <v>AM-W15</v>
          </cell>
          <cell r="D76" t="str">
            <v>Microphone</v>
          </cell>
          <cell r="E76" t="str">
            <v>Wireless Mic with Charging Case</v>
          </cell>
          <cell r="F76">
            <v>0.11</v>
          </cell>
          <cell r="G76" t="str">
            <v>AM-W15</v>
          </cell>
          <cell r="H76">
            <v>85181000</v>
          </cell>
          <cell r="I76">
            <v>92</v>
          </cell>
          <cell r="J76">
            <v>3.784023529411764E-2</v>
          </cell>
          <cell r="K76">
            <v>16.7</v>
          </cell>
          <cell r="L76">
            <v>10.7</v>
          </cell>
          <cell r="M76">
            <v>7.2</v>
          </cell>
          <cell r="N76">
            <v>1.2865680000000001E-3</v>
          </cell>
          <cell r="O76">
            <v>15</v>
          </cell>
          <cell r="P76">
            <v>15.18624363882353</v>
          </cell>
          <cell r="Q76">
            <v>9650.17</v>
          </cell>
          <cell r="R76">
            <v>11387.197707431291</v>
          </cell>
          <cell r="S76">
            <v>11</v>
          </cell>
          <cell r="T76">
            <v>51</v>
          </cell>
          <cell r="U76">
            <v>77</v>
          </cell>
          <cell r="V76">
            <v>10</v>
          </cell>
          <cell r="W76">
            <v>2</v>
          </cell>
          <cell r="X76">
            <v>5</v>
          </cell>
          <cell r="Y76">
            <v>0</v>
          </cell>
          <cell r="Z76">
            <v>18</v>
          </cell>
          <cell r="AA76">
            <v>2286.6101694915251</v>
          </cell>
          <cell r="AB76">
            <v>569.3598853715647</v>
          </cell>
          <cell r="AC76">
            <v>341.61593122293868</v>
          </cell>
          <cell r="AD76">
            <v>0</v>
          </cell>
          <cell r="AE76">
            <v>14990</v>
          </cell>
          <cell r="AF76">
            <v>34999</v>
          </cell>
        </row>
        <row r="77">
          <cell r="C77" t="str">
            <v>AM-W10</v>
          </cell>
          <cell r="D77" t="str">
            <v>Microphone</v>
          </cell>
          <cell r="E77" t="str">
            <v>Wireless Lavalier Microphone</v>
          </cell>
          <cell r="F77">
            <v>0.11</v>
          </cell>
          <cell r="G77" t="str">
            <v>AM-W10</v>
          </cell>
          <cell r="H77">
            <v>85181000</v>
          </cell>
          <cell r="I77">
            <v>38.5</v>
          </cell>
          <cell r="J77">
            <v>4.0017352941176483E-2</v>
          </cell>
          <cell r="K77">
            <v>18.600000000000001</v>
          </cell>
          <cell r="L77">
            <v>13.3</v>
          </cell>
          <cell r="M77">
            <v>5.5</v>
          </cell>
          <cell r="N77">
            <v>1.3605900000000001E-3</v>
          </cell>
          <cell r="O77">
            <v>15</v>
          </cell>
          <cell r="P77">
            <v>6.3591028632352931</v>
          </cell>
          <cell r="Q77">
            <v>4040.92</v>
          </cell>
          <cell r="R77">
            <v>4768.2865669579414</v>
          </cell>
          <cell r="S77">
            <v>11</v>
          </cell>
          <cell r="T77">
            <v>51</v>
          </cell>
          <cell r="U77">
            <v>17</v>
          </cell>
          <cell r="V77">
            <v>10</v>
          </cell>
          <cell r="W77">
            <v>2</v>
          </cell>
          <cell r="X77">
            <v>5</v>
          </cell>
          <cell r="Y77">
            <v>0</v>
          </cell>
          <cell r="Z77">
            <v>18</v>
          </cell>
          <cell r="AA77">
            <v>915.10169491525357</v>
          </cell>
          <cell r="AB77">
            <v>238.414328347897</v>
          </cell>
          <cell r="AC77">
            <v>143.0485970087382</v>
          </cell>
          <cell r="AD77">
            <v>0</v>
          </cell>
          <cell r="AE77">
            <v>5999</v>
          </cell>
          <cell r="AF77">
            <v>20999</v>
          </cell>
        </row>
        <row r="78">
          <cell r="C78" t="str">
            <v>PB-04 (AI-04 Red + AM-C44 x 2)</v>
          </cell>
          <cell r="D78" t="str">
            <v>Bundles</v>
          </cell>
          <cell r="E78" t="str">
            <v>PB-04</v>
          </cell>
          <cell r="F78">
            <v>0.11</v>
          </cell>
          <cell r="G78" t="str">
            <v>PB-04 (AI-04 Red + AM-C44 x 2)</v>
          </cell>
          <cell r="H78">
            <v>85181000</v>
          </cell>
          <cell r="I78">
            <v>60</v>
          </cell>
          <cell r="J78">
            <v>0.58836176470588242</v>
          </cell>
          <cell r="K78">
            <v>45</v>
          </cell>
          <cell r="L78">
            <v>23.9</v>
          </cell>
          <cell r="M78">
            <v>18.600000000000001</v>
          </cell>
          <cell r="N78">
            <v>2.0004299999999999E-2</v>
          </cell>
          <cell r="O78">
            <v>15</v>
          </cell>
          <cell r="P78">
            <v>9.9970796911764683</v>
          </cell>
          <cell r="Q78">
            <v>6352.69</v>
          </cell>
          <cell r="R78">
            <v>7496.1738826147057</v>
          </cell>
          <cell r="S78">
            <v>11</v>
          </cell>
          <cell r="T78">
            <v>51</v>
          </cell>
          <cell r="U78">
            <v>213</v>
          </cell>
          <cell r="V78">
            <v>10</v>
          </cell>
          <cell r="W78">
            <v>2</v>
          </cell>
          <cell r="X78">
            <v>5</v>
          </cell>
          <cell r="Y78">
            <v>0</v>
          </cell>
          <cell r="Z78">
            <v>18</v>
          </cell>
          <cell r="AA78">
            <v>2059.1694915254229</v>
          </cell>
          <cell r="AB78">
            <v>374.80869413073532</v>
          </cell>
          <cell r="AC78">
            <v>224.88521647844121</v>
          </cell>
          <cell r="AD78">
            <v>0</v>
          </cell>
          <cell r="AE78">
            <v>13499</v>
          </cell>
          <cell r="AF78" t="str">
            <v>₹ 24,499.00</v>
          </cell>
        </row>
        <row r="79">
          <cell r="C79" t="str">
            <v>AM-W34</v>
          </cell>
          <cell r="D79" t="str">
            <v>Microphone</v>
          </cell>
          <cell r="E79" t="str">
            <v>Wireless UHF Microphone</v>
          </cell>
          <cell r="F79">
            <v>0.11</v>
          </cell>
          <cell r="G79" t="str">
            <v>AM-W34</v>
          </cell>
          <cell r="H79">
            <v>85181000</v>
          </cell>
          <cell r="I79">
            <v>18.100000000000001</v>
          </cell>
          <cell r="J79">
            <v>0.1757696352941176</v>
          </cell>
          <cell r="K79">
            <v>36.79</v>
          </cell>
          <cell r="L79">
            <v>26.2</v>
          </cell>
          <cell r="M79">
            <v>6.2</v>
          </cell>
          <cell r="N79">
            <v>5.9761675999999986E-3</v>
          </cell>
          <cell r="O79">
            <v>15</v>
          </cell>
          <cell r="P79">
            <v>3.0155019898235289</v>
          </cell>
          <cell r="Q79">
            <v>1916.21</v>
          </cell>
          <cell r="R79">
            <v>2261.1330465874939</v>
          </cell>
          <cell r="S79">
            <v>11</v>
          </cell>
          <cell r="T79">
            <v>51</v>
          </cell>
          <cell r="U79">
            <v>114</v>
          </cell>
          <cell r="V79">
            <v>10</v>
          </cell>
          <cell r="W79">
            <v>2</v>
          </cell>
          <cell r="X79">
            <v>5</v>
          </cell>
          <cell r="Y79">
            <v>0</v>
          </cell>
          <cell r="Z79">
            <v>18</v>
          </cell>
          <cell r="AA79">
            <v>579.50847457627106</v>
          </cell>
          <cell r="AB79">
            <v>113.0566523293747</v>
          </cell>
          <cell r="AC79">
            <v>67.833991397624814</v>
          </cell>
          <cell r="AD79">
            <v>0</v>
          </cell>
          <cell r="AE79">
            <v>3799</v>
          </cell>
          <cell r="AF79">
            <v>7499</v>
          </cell>
        </row>
        <row r="80">
          <cell r="C80" t="str">
            <v>AM-W20</v>
          </cell>
          <cell r="D80" t="str">
            <v>Microphone</v>
          </cell>
          <cell r="E80" t="str">
            <v>Wireless Lapel Microphone</v>
          </cell>
          <cell r="F80">
            <v>0.11</v>
          </cell>
          <cell r="G80" t="str">
            <v>AM-W20</v>
          </cell>
          <cell r="H80">
            <v>85181000</v>
          </cell>
          <cell r="I80">
            <v>16.600000000000001</v>
          </cell>
          <cell r="J80">
            <v>1.6141176470588239E-2</v>
          </cell>
          <cell r="K80">
            <v>11.2</v>
          </cell>
          <cell r="L80">
            <v>10</v>
          </cell>
          <cell r="M80">
            <v>4.9000000000000004</v>
          </cell>
          <cell r="N80">
            <v>5.4880000000000011E-4</v>
          </cell>
          <cell r="O80">
            <v>15</v>
          </cell>
          <cell r="P80">
            <v>2.7416632941176471</v>
          </cell>
          <cell r="Q80">
            <v>1742.2</v>
          </cell>
          <cell r="R80">
            <v>2055.7988347764699</v>
          </cell>
          <cell r="S80">
            <v>11</v>
          </cell>
          <cell r="T80">
            <v>51</v>
          </cell>
          <cell r="U80">
            <v>59.000000000000007</v>
          </cell>
          <cell r="V80">
            <v>10</v>
          </cell>
          <cell r="W80">
            <v>2</v>
          </cell>
          <cell r="X80">
            <v>5</v>
          </cell>
          <cell r="Y80">
            <v>0</v>
          </cell>
          <cell r="Z80">
            <v>18</v>
          </cell>
          <cell r="AB80">
            <v>102.7899417388235</v>
          </cell>
          <cell r="AC80">
            <v>61.67396504329411</v>
          </cell>
          <cell r="AD80">
            <v>0</v>
          </cell>
        </row>
        <row r="81">
          <cell r="C81" t="str">
            <v>AM-W14</v>
          </cell>
          <cell r="D81" t="str">
            <v>Microphone</v>
          </cell>
          <cell r="E81" t="str">
            <v>Wireless UHF Microphone</v>
          </cell>
          <cell r="F81">
            <v>0.11</v>
          </cell>
          <cell r="G81" t="str">
            <v>AM-W14</v>
          </cell>
          <cell r="H81">
            <v>85181000</v>
          </cell>
          <cell r="I81">
            <v>25</v>
          </cell>
          <cell r="J81">
            <v>0.20638799999999999</v>
          </cell>
          <cell r="K81">
            <v>29.4</v>
          </cell>
          <cell r="L81">
            <v>20.399999999999999</v>
          </cell>
          <cell r="M81">
            <v>11.7</v>
          </cell>
          <cell r="N81">
            <v>7.0171919999999976E-3</v>
          </cell>
          <cell r="O81">
            <v>15</v>
          </cell>
          <cell r="P81">
            <v>4.1590540199999992</v>
          </cell>
          <cell r="Q81">
            <v>2642.89</v>
          </cell>
          <cell r="R81">
            <v>3118.609942524</v>
          </cell>
          <cell r="S81">
            <v>11</v>
          </cell>
          <cell r="T81">
            <v>51</v>
          </cell>
          <cell r="U81">
            <v>22</v>
          </cell>
          <cell r="V81">
            <v>10</v>
          </cell>
          <cell r="W81">
            <v>2</v>
          </cell>
          <cell r="X81">
            <v>5</v>
          </cell>
          <cell r="Y81">
            <v>0</v>
          </cell>
          <cell r="Z81">
            <v>18</v>
          </cell>
          <cell r="AA81">
            <v>1067.64406779661</v>
          </cell>
          <cell r="AB81">
            <v>155.93049712620001</v>
          </cell>
          <cell r="AC81">
            <v>93.558298275719991</v>
          </cell>
          <cell r="AD81">
            <v>0</v>
          </cell>
          <cell r="AE81">
            <v>6999</v>
          </cell>
          <cell r="AF81">
            <v>12999</v>
          </cell>
        </row>
        <row r="82">
          <cell r="C82" t="str">
            <v>AM-K1</v>
          </cell>
          <cell r="D82" t="str">
            <v>Microphone</v>
          </cell>
          <cell r="E82" t="str">
            <v>Instrument Microphone - Drum Kit</v>
          </cell>
          <cell r="F82">
            <v>0.11</v>
          </cell>
          <cell r="G82" t="str">
            <v>AM-K1</v>
          </cell>
          <cell r="H82">
            <v>85181000</v>
          </cell>
          <cell r="I82">
            <v>55.11</v>
          </cell>
          <cell r="J82">
            <v>0.21854117647058821</v>
          </cell>
          <cell r="K82">
            <v>28.8</v>
          </cell>
          <cell r="L82">
            <v>25.8</v>
          </cell>
          <cell r="M82">
            <v>10</v>
          </cell>
          <cell r="N82">
            <v>7.4304000000000002E-3</v>
          </cell>
          <cell r="O82">
            <v>15</v>
          </cell>
          <cell r="P82">
            <v>9.1292092941176453</v>
          </cell>
          <cell r="Q82">
            <v>5801.2</v>
          </cell>
          <cell r="R82">
            <v>6845.4130999764702</v>
          </cell>
          <cell r="S82">
            <v>11</v>
          </cell>
          <cell r="T82">
            <v>51</v>
          </cell>
          <cell r="U82">
            <v>114</v>
          </cell>
          <cell r="V82">
            <v>10</v>
          </cell>
          <cell r="W82">
            <v>2</v>
          </cell>
          <cell r="X82">
            <v>5</v>
          </cell>
          <cell r="Y82">
            <v>0</v>
          </cell>
          <cell r="Z82">
            <v>18</v>
          </cell>
          <cell r="AA82">
            <v>1449</v>
          </cell>
          <cell r="AB82">
            <v>342.27065499882349</v>
          </cell>
          <cell r="AC82">
            <v>205.36239299929409</v>
          </cell>
          <cell r="AD82">
            <v>0</v>
          </cell>
          <cell r="AE82">
            <v>9499</v>
          </cell>
          <cell r="AF82">
            <v>19999</v>
          </cell>
        </row>
        <row r="83">
          <cell r="C83" t="str">
            <v>GB-05 (AM-C43 + AI-06)</v>
          </cell>
          <cell r="D83" t="str">
            <v>Bundles</v>
          </cell>
          <cell r="E83" t="str">
            <v>GB-05</v>
          </cell>
          <cell r="F83">
            <v>0.11</v>
          </cell>
          <cell r="G83" t="str">
            <v>GB-05 (AM-C43 + AI-06)</v>
          </cell>
          <cell r="H83">
            <v>85181000</v>
          </cell>
          <cell r="I83">
            <v>32.5</v>
          </cell>
          <cell r="J83">
            <v>0.51342199999999993</v>
          </cell>
          <cell r="K83">
            <v>43.4</v>
          </cell>
          <cell r="L83">
            <v>22.1</v>
          </cell>
          <cell r="M83">
            <v>18.2</v>
          </cell>
          <cell r="N83">
            <v>1.7456348E-2</v>
          </cell>
          <cell r="O83">
            <v>15</v>
          </cell>
          <cell r="P83">
            <v>5.4472146300000004</v>
          </cell>
          <cell r="Q83">
            <v>3461.46</v>
          </cell>
          <cell r="R83">
            <v>4084.5196101059992</v>
          </cell>
          <cell r="S83">
            <v>11</v>
          </cell>
          <cell r="T83">
            <v>51</v>
          </cell>
          <cell r="U83">
            <v>32</v>
          </cell>
          <cell r="V83">
            <v>10</v>
          </cell>
          <cell r="W83">
            <v>2</v>
          </cell>
          <cell r="X83">
            <v>5</v>
          </cell>
          <cell r="Y83">
            <v>0</v>
          </cell>
          <cell r="Z83">
            <v>18</v>
          </cell>
          <cell r="AA83">
            <v>915.10169491525357</v>
          </cell>
          <cell r="AB83">
            <v>204.22598050529999</v>
          </cell>
          <cell r="AC83">
            <v>122.53558830318001</v>
          </cell>
          <cell r="AD83">
            <v>0</v>
          </cell>
          <cell r="AE83">
            <v>5999</v>
          </cell>
          <cell r="AF83" t="str">
            <v>₹ 13,299.00</v>
          </cell>
        </row>
        <row r="84">
          <cell r="C84" t="str">
            <v>AM-C18</v>
          </cell>
          <cell r="D84" t="str">
            <v>Microphone</v>
          </cell>
          <cell r="E84" t="str">
            <v>Vlogging Kit</v>
          </cell>
          <cell r="F84">
            <v>0.11</v>
          </cell>
          <cell r="G84" t="str">
            <v>AM-C18</v>
          </cell>
          <cell r="H84">
            <v>85181000</v>
          </cell>
          <cell r="I84">
            <v>20.5</v>
          </cell>
          <cell r="J84">
            <v>0.12821823529411761</v>
          </cell>
          <cell r="K84">
            <v>23.4</v>
          </cell>
          <cell r="L84">
            <v>23</v>
          </cell>
          <cell r="M84">
            <v>8.1</v>
          </cell>
          <cell r="N84">
            <v>4.3594199999999993E-3</v>
          </cell>
          <cell r="O84">
            <v>15</v>
          </cell>
          <cell r="P84">
            <v>3.4036560088235288</v>
          </cell>
          <cell r="Q84">
            <v>2162.87</v>
          </cell>
          <cell r="R84">
            <v>2552.1850447252941</v>
          </cell>
          <cell r="S84">
            <v>11</v>
          </cell>
          <cell r="T84">
            <v>51</v>
          </cell>
          <cell r="U84">
            <v>17</v>
          </cell>
          <cell r="V84">
            <v>10</v>
          </cell>
          <cell r="W84">
            <v>2</v>
          </cell>
          <cell r="X84">
            <v>5</v>
          </cell>
          <cell r="Y84">
            <v>0</v>
          </cell>
          <cell r="Z84">
            <v>18</v>
          </cell>
          <cell r="AA84">
            <v>411.71186440677963</v>
          </cell>
          <cell r="AB84">
            <v>127.60925223626469</v>
          </cell>
          <cell r="AC84">
            <v>76.565551341758805</v>
          </cell>
          <cell r="AD84">
            <v>0</v>
          </cell>
          <cell r="AE84">
            <v>2699</v>
          </cell>
          <cell r="AF84">
            <v>7799</v>
          </cell>
        </row>
        <row r="85">
          <cell r="C85" t="str">
            <v>AM-C11X Pro</v>
          </cell>
          <cell r="D85" t="str">
            <v>Bundles</v>
          </cell>
          <cell r="E85" t="str">
            <v>AM-C11X Pro</v>
          </cell>
          <cell r="F85">
            <v>0.11</v>
          </cell>
          <cell r="G85" t="str">
            <v>AM-C11X Pro</v>
          </cell>
          <cell r="H85">
            <v>85181000</v>
          </cell>
          <cell r="I85">
            <v>19</v>
          </cell>
          <cell r="J85">
            <v>0.56302130294117636</v>
          </cell>
          <cell r="K85">
            <v>45.29</v>
          </cell>
          <cell r="L85">
            <v>21.9</v>
          </cell>
          <cell r="M85">
            <v>19.3</v>
          </cell>
          <cell r="N85">
            <v>1.91427243E-2</v>
          </cell>
          <cell r="O85">
            <v>15</v>
          </cell>
          <cell r="P85">
            <v>3.2278985149852941</v>
          </cell>
          <cell r="Q85">
            <v>2051.1799999999998</v>
          </cell>
          <cell r="R85">
            <v>2420.3956846637911</v>
          </cell>
          <cell r="S85">
            <v>11</v>
          </cell>
          <cell r="T85">
            <v>51</v>
          </cell>
          <cell r="U85">
            <v>32</v>
          </cell>
          <cell r="V85">
            <v>10</v>
          </cell>
          <cell r="W85">
            <v>2</v>
          </cell>
          <cell r="X85">
            <v>5</v>
          </cell>
          <cell r="Y85">
            <v>0</v>
          </cell>
          <cell r="Z85">
            <v>18</v>
          </cell>
          <cell r="AA85">
            <v>686.28813559321998</v>
          </cell>
          <cell r="AB85">
            <v>121.0197842331896</v>
          </cell>
          <cell r="AC85">
            <v>72.611870539913738</v>
          </cell>
          <cell r="AD85">
            <v>0</v>
          </cell>
          <cell r="AE85">
            <v>4499</v>
          </cell>
          <cell r="AF85" t="str">
            <v>₹ 7,999.00</v>
          </cell>
        </row>
        <row r="86">
          <cell r="C86" t="str">
            <v>AM-W20</v>
          </cell>
          <cell r="D86" t="str">
            <v>Microphone</v>
          </cell>
          <cell r="E86" t="str">
            <v>Wireless Lapel Microphone</v>
          </cell>
          <cell r="F86">
            <v>0.11</v>
          </cell>
          <cell r="G86" t="str">
            <v>AM-W20</v>
          </cell>
          <cell r="H86">
            <v>85181000</v>
          </cell>
          <cell r="I86">
            <v>16.600000000000001</v>
          </cell>
          <cell r="J86">
            <v>4.7334000000000001E-2</v>
          </cell>
          <cell r="K86">
            <v>32.200000000000003</v>
          </cell>
          <cell r="L86">
            <v>10.199999999999999</v>
          </cell>
          <cell r="M86">
            <v>4.9000000000000004</v>
          </cell>
          <cell r="N86">
            <v>1.6093559999999999E-3</v>
          </cell>
          <cell r="O86">
            <v>15</v>
          </cell>
          <cell r="P86">
            <v>2.7468101100000002</v>
          </cell>
          <cell r="Q86">
            <v>1745.47</v>
          </cell>
          <cell r="R86">
            <v>2059.658104482</v>
          </cell>
          <cell r="S86">
            <v>11</v>
          </cell>
          <cell r="T86">
            <v>51</v>
          </cell>
          <cell r="U86">
            <v>17</v>
          </cell>
          <cell r="V86">
            <v>10</v>
          </cell>
          <cell r="W86">
            <v>2</v>
          </cell>
          <cell r="X86">
            <v>5</v>
          </cell>
          <cell r="Y86">
            <v>0</v>
          </cell>
          <cell r="Z86">
            <v>18</v>
          </cell>
          <cell r="AA86">
            <v>472.72881355932168</v>
          </cell>
          <cell r="AB86">
            <v>102.98290522409999</v>
          </cell>
          <cell r="AC86">
            <v>61.789743134459997</v>
          </cell>
          <cell r="AD86">
            <v>0</v>
          </cell>
          <cell r="AE86">
            <v>3099</v>
          </cell>
          <cell r="AF86">
            <v>7499</v>
          </cell>
        </row>
        <row r="87">
          <cell r="C87" t="str">
            <v>AM-C13</v>
          </cell>
          <cell r="D87" t="str">
            <v>Microphone</v>
          </cell>
          <cell r="E87" t="str">
            <v>WiredLavalier Microphone</v>
          </cell>
          <cell r="F87">
            <v>5.5E-2</v>
          </cell>
          <cell r="G87" t="str">
            <v>AM-C13</v>
          </cell>
          <cell r="H87">
            <v>85181000</v>
          </cell>
          <cell r="I87">
            <v>0</v>
          </cell>
          <cell r="J87">
            <v>1.1920999999999999E-2</v>
          </cell>
          <cell r="K87">
            <v>13.1</v>
          </cell>
          <cell r="L87">
            <v>9.1</v>
          </cell>
          <cell r="M87">
            <v>3.4</v>
          </cell>
          <cell r="N87">
            <v>4.0531399999999999E-4</v>
          </cell>
          <cell r="O87">
            <v>15</v>
          </cell>
          <cell r="P87">
            <v>1.9669650000000002E-3</v>
          </cell>
          <cell r="Q87">
            <v>1.25</v>
          </cell>
          <cell r="R87">
            <v>1.474901883</v>
          </cell>
          <cell r="S87">
            <v>5.5</v>
          </cell>
          <cell r="T87">
            <v>26</v>
          </cell>
          <cell r="U87">
            <v>76.000000000000014</v>
          </cell>
          <cell r="V87">
            <v>10</v>
          </cell>
          <cell r="W87">
            <v>2</v>
          </cell>
          <cell r="X87">
            <v>5</v>
          </cell>
          <cell r="Y87">
            <v>0</v>
          </cell>
          <cell r="Z87">
            <v>18</v>
          </cell>
          <cell r="AA87">
            <v>114.2542372881355</v>
          </cell>
          <cell r="AB87">
            <v>7.3745094149999996E-2</v>
          </cell>
          <cell r="AC87">
            <v>4.4247056489999992E-2</v>
          </cell>
          <cell r="AD87">
            <v>0</v>
          </cell>
          <cell r="AE87">
            <v>749</v>
          </cell>
          <cell r="AF87">
            <v>2299</v>
          </cell>
        </row>
        <row r="88">
          <cell r="C88" t="str">
            <v>AM-S2</v>
          </cell>
          <cell r="D88" t="str">
            <v>Speaker</v>
          </cell>
          <cell r="E88" t="str">
            <v>Studio Monitor Speaker</v>
          </cell>
          <cell r="F88">
            <v>0.11</v>
          </cell>
          <cell r="G88" t="str">
            <v>AM-S2</v>
          </cell>
          <cell r="H88">
            <v>85182290</v>
          </cell>
          <cell r="I88">
            <v>27.45</v>
          </cell>
          <cell r="N88">
            <v>0</v>
          </cell>
          <cell r="O88">
            <v>20</v>
          </cell>
          <cell r="Q88">
            <v>3014.01</v>
          </cell>
          <cell r="S88">
            <v>11</v>
          </cell>
          <cell r="U88">
            <v>0</v>
          </cell>
          <cell r="V88">
            <v>10</v>
          </cell>
          <cell r="W88">
            <v>2</v>
          </cell>
          <cell r="X88">
            <v>5</v>
          </cell>
          <cell r="Y88">
            <v>0</v>
          </cell>
          <cell r="Z88">
            <v>18</v>
          </cell>
          <cell r="AA88">
            <v>1067.64406779661</v>
          </cell>
          <cell r="AD88">
            <v>0</v>
          </cell>
          <cell r="AE88">
            <v>6999</v>
          </cell>
          <cell r="AF88">
            <v>0</v>
          </cell>
        </row>
        <row r="89">
          <cell r="C89" t="str">
            <v>AM-C41</v>
          </cell>
          <cell r="D89" t="str">
            <v>Microphone</v>
          </cell>
          <cell r="E89" t="str">
            <v>USB Microphone Kit - Tripod</v>
          </cell>
          <cell r="F89">
            <v>0.11</v>
          </cell>
          <cell r="G89" t="str">
            <v>AM-C41</v>
          </cell>
          <cell r="H89">
            <v>85181000</v>
          </cell>
          <cell r="I89">
            <v>8</v>
          </cell>
          <cell r="J89">
            <v>8.6793882352941179E-2</v>
          </cell>
          <cell r="K89">
            <v>20.7</v>
          </cell>
          <cell r="L89">
            <v>19.8</v>
          </cell>
          <cell r="M89">
            <v>7.2</v>
          </cell>
          <cell r="N89">
            <v>2.9509919999999999E-3</v>
          </cell>
          <cell r="O89">
            <v>15</v>
          </cell>
          <cell r="P89">
            <v>1.3343209905882349</v>
          </cell>
          <cell r="Q89">
            <v>847.9</v>
          </cell>
          <cell r="R89">
            <v>1000.5223995063531</v>
          </cell>
          <cell r="S89">
            <v>11</v>
          </cell>
          <cell r="T89">
            <v>51</v>
          </cell>
          <cell r="U89">
            <v>76.000000000000014</v>
          </cell>
          <cell r="V89">
            <v>10</v>
          </cell>
          <cell r="W89">
            <v>2</v>
          </cell>
          <cell r="X89">
            <v>5</v>
          </cell>
          <cell r="Y89">
            <v>0</v>
          </cell>
          <cell r="Z89">
            <v>18</v>
          </cell>
          <cell r="AB89">
            <v>50.026119975317641</v>
          </cell>
          <cell r="AC89">
            <v>30.015671985190579</v>
          </cell>
          <cell r="AD89">
            <v>0</v>
          </cell>
        </row>
        <row r="90">
          <cell r="C90" t="str">
            <v>AM-C25</v>
          </cell>
          <cell r="D90" t="str">
            <v>Microphone</v>
          </cell>
          <cell r="E90" t="str">
            <v>USB Microphone Kit - Boomarm</v>
          </cell>
          <cell r="F90">
            <v>0.11</v>
          </cell>
          <cell r="G90" t="str">
            <v>AM-C25</v>
          </cell>
          <cell r="H90">
            <v>85181000</v>
          </cell>
          <cell r="I90">
            <v>16.3</v>
          </cell>
          <cell r="J90">
            <v>0.18201388235294119</v>
          </cell>
          <cell r="K90">
            <v>44.4</v>
          </cell>
          <cell r="L90">
            <v>20.2</v>
          </cell>
          <cell r="M90">
            <v>6.9</v>
          </cell>
          <cell r="N90">
            <v>6.1884720000000004E-3</v>
          </cell>
          <cell r="O90">
            <v>15</v>
          </cell>
          <cell r="P90">
            <v>2.7195322905882349</v>
          </cell>
          <cell r="Q90">
            <v>1728.14</v>
          </cell>
          <cell r="R90">
            <v>2039.204203566353</v>
          </cell>
          <cell r="S90">
            <v>11</v>
          </cell>
          <cell r="T90">
            <v>51</v>
          </cell>
          <cell r="U90">
            <v>115</v>
          </cell>
          <cell r="V90">
            <v>10</v>
          </cell>
          <cell r="W90">
            <v>2</v>
          </cell>
          <cell r="X90">
            <v>5</v>
          </cell>
          <cell r="Y90">
            <v>0</v>
          </cell>
          <cell r="Z90">
            <v>18</v>
          </cell>
          <cell r="AA90">
            <v>426.96610169491532</v>
          </cell>
          <cell r="AB90">
            <v>101.96021017831769</v>
          </cell>
          <cell r="AC90">
            <v>61.17612610699058</v>
          </cell>
          <cell r="AD90">
            <v>0</v>
          </cell>
          <cell r="AE90">
            <v>2799</v>
          </cell>
          <cell r="AF90">
            <v>6699</v>
          </cell>
        </row>
        <row r="91">
          <cell r="C91" t="str">
            <v>AM-C37</v>
          </cell>
          <cell r="D91" t="str">
            <v>Microphone</v>
          </cell>
          <cell r="E91" t="str">
            <v>USB/XLR Dynamic Mic</v>
          </cell>
          <cell r="F91">
            <v>0.11</v>
          </cell>
          <cell r="G91" t="str">
            <v>AM-C37</v>
          </cell>
          <cell r="H91">
            <v>85181000</v>
          </cell>
          <cell r="I91">
            <v>24</v>
          </cell>
          <cell r="J91">
            <v>7.9606588235294137E-2</v>
          </cell>
          <cell r="K91">
            <v>25.4</v>
          </cell>
          <cell r="L91">
            <v>14.4</v>
          </cell>
          <cell r="M91">
            <v>7.4</v>
          </cell>
          <cell r="N91">
            <v>2.7066239999999999E-3</v>
          </cell>
          <cell r="O91">
            <v>15</v>
          </cell>
          <cell r="P91">
            <v>3.9731350870588229</v>
          </cell>
          <cell r="Q91">
            <v>2524.75</v>
          </cell>
          <cell r="R91">
            <v>2979.2011659162349</v>
          </cell>
          <cell r="S91">
            <v>11</v>
          </cell>
          <cell r="T91">
            <v>51</v>
          </cell>
          <cell r="U91">
            <v>77</v>
          </cell>
          <cell r="V91">
            <v>10</v>
          </cell>
          <cell r="W91">
            <v>2</v>
          </cell>
          <cell r="X91">
            <v>5</v>
          </cell>
          <cell r="Y91">
            <v>0</v>
          </cell>
          <cell r="Z91">
            <v>18</v>
          </cell>
          <cell r="AA91">
            <v>640.52542372881317</v>
          </cell>
          <cell r="AB91">
            <v>148.96005829581179</v>
          </cell>
          <cell r="AC91">
            <v>89.376034977487038</v>
          </cell>
          <cell r="AD91">
            <v>0</v>
          </cell>
          <cell r="AE91">
            <v>4199</v>
          </cell>
          <cell r="AF91">
            <v>9399</v>
          </cell>
        </row>
        <row r="92">
          <cell r="C92" t="str">
            <v>AM-C42</v>
          </cell>
          <cell r="D92" t="str">
            <v>Microphone</v>
          </cell>
          <cell r="E92" t="str">
            <v>USB Microphone Kit - Boomarm</v>
          </cell>
          <cell r="F92">
            <v>0.11</v>
          </cell>
          <cell r="G92" t="str">
            <v>AM-C42</v>
          </cell>
          <cell r="H92">
            <v>85181000</v>
          </cell>
          <cell r="I92">
            <v>11.5</v>
          </cell>
          <cell r="J92">
            <v>0.18325517647058831</v>
          </cell>
          <cell r="K92">
            <v>42.6</v>
          </cell>
          <cell r="L92">
            <v>20.6</v>
          </cell>
          <cell r="M92">
            <v>7.1</v>
          </cell>
          <cell r="N92">
            <v>6.2306760000000001E-3</v>
          </cell>
          <cell r="O92">
            <v>15</v>
          </cell>
          <cell r="P92">
            <v>1.927737104117647</v>
          </cell>
          <cell r="Q92">
            <v>1224.99</v>
          </cell>
          <cell r="R92">
            <v>1445.4873801984711</v>
          </cell>
          <cell r="S92">
            <v>11</v>
          </cell>
          <cell r="T92">
            <v>51</v>
          </cell>
          <cell r="U92">
            <v>114</v>
          </cell>
          <cell r="V92">
            <v>10</v>
          </cell>
          <cell r="W92">
            <v>2</v>
          </cell>
          <cell r="X92">
            <v>5</v>
          </cell>
          <cell r="Y92">
            <v>0</v>
          </cell>
          <cell r="Z92">
            <v>18</v>
          </cell>
          <cell r="AB92">
            <v>72.274369009923532</v>
          </cell>
          <cell r="AC92">
            <v>43.364621405954118</v>
          </cell>
          <cell r="AD92">
            <v>0</v>
          </cell>
        </row>
        <row r="93">
          <cell r="C93" t="str">
            <v>AM-C31</v>
          </cell>
          <cell r="D93" t="str">
            <v>Microphone</v>
          </cell>
          <cell r="E93" t="str">
            <v>USB Microphone Kit - Tripod</v>
          </cell>
          <cell r="F93">
            <v>0.11</v>
          </cell>
          <cell r="G93" t="str">
            <v>AM-C31</v>
          </cell>
          <cell r="H93">
            <v>85181000</v>
          </cell>
          <cell r="I93">
            <v>30</v>
          </cell>
          <cell r="J93">
            <v>0.12714705882352939</v>
          </cell>
          <cell r="K93">
            <v>26.2</v>
          </cell>
          <cell r="L93">
            <v>15</v>
          </cell>
          <cell r="M93">
            <v>11</v>
          </cell>
          <cell r="N93">
            <v>4.3229999999999996E-3</v>
          </cell>
          <cell r="O93">
            <v>15</v>
          </cell>
          <cell r="P93">
            <v>4.9709792647058819</v>
          </cell>
          <cell r="Q93">
            <v>3158.83</v>
          </cell>
          <cell r="R93">
            <v>3727.421015558823</v>
          </cell>
          <cell r="S93">
            <v>11</v>
          </cell>
          <cell r="T93">
            <v>51</v>
          </cell>
          <cell r="U93">
            <v>17</v>
          </cell>
          <cell r="V93">
            <v>10</v>
          </cell>
          <cell r="W93">
            <v>2</v>
          </cell>
          <cell r="X93">
            <v>5</v>
          </cell>
          <cell r="Y93">
            <v>0</v>
          </cell>
          <cell r="Z93">
            <v>18</v>
          </cell>
          <cell r="AA93">
            <v>610.01694915254211</v>
          </cell>
          <cell r="AB93">
            <v>186.37105077794121</v>
          </cell>
          <cell r="AC93">
            <v>111.82263046676471</v>
          </cell>
          <cell r="AD93">
            <v>0</v>
          </cell>
          <cell r="AE93">
            <v>3999</v>
          </cell>
          <cell r="AF93">
            <v>10999</v>
          </cell>
        </row>
        <row r="94">
          <cell r="C94" t="str">
            <v>AM-C19</v>
          </cell>
          <cell r="D94" t="str">
            <v>Microphone</v>
          </cell>
          <cell r="E94" t="str">
            <v>USB Microphone Kit - Tripod</v>
          </cell>
          <cell r="F94">
            <v>0.11</v>
          </cell>
          <cell r="G94" t="str">
            <v>AM-C19</v>
          </cell>
          <cell r="H94">
            <v>85181000</v>
          </cell>
          <cell r="I94">
            <v>12.52</v>
          </cell>
          <cell r="J94">
            <v>0.1164654117647059</v>
          </cell>
          <cell r="K94">
            <v>17.600000000000001</v>
          </cell>
          <cell r="L94">
            <v>15.1</v>
          </cell>
          <cell r="M94">
            <v>14.9</v>
          </cell>
          <cell r="N94">
            <v>3.9598239999999998E-3</v>
          </cell>
          <cell r="O94">
            <v>15</v>
          </cell>
          <cell r="P94">
            <v>2.0850167929411758</v>
          </cell>
          <cell r="Q94">
            <v>1324.93</v>
          </cell>
          <cell r="R94">
            <v>1563.4214101397649</v>
          </cell>
          <cell r="S94">
            <v>11</v>
          </cell>
          <cell r="T94">
            <v>51</v>
          </cell>
          <cell r="U94">
            <v>17</v>
          </cell>
          <cell r="V94">
            <v>10</v>
          </cell>
          <cell r="W94">
            <v>2</v>
          </cell>
          <cell r="X94">
            <v>5</v>
          </cell>
          <cell r="Y94">
            <v>0</v>
          </cell>
          <cell r="Z94">
            <v>18</v>
          </cell>
          <cell r="AA94">
            <v>251.54237288135599</v>
          </cell>
          <cell r="AB94">
            <v>78.171070506988244</v>
          </cell>
          <cell r="AC94">
            <v>46.902642304192938</v>
          </cell>
          <cell r="AD94">
            <v>0</v>
          </cell>
          <cell r="AE94">
            <v>1649</v>
          </cell>
          <cell r="AF94">
            <v>5199</v>
          </cell>
        </row>
        <row r="95">
          <cell r="C95" t="str">
            <v>AB-01</v>
          </cell>
          <cell r="D95" t="str">
            <v>Bundles</v>
          </cell>
          <cell r="E95" t="str">
            <v>Bundles</v>
          </cell>
          <cell r="F95">
            <v>0.11</v>
          </cell>
          <cell r="G95" t="str">
            <v>AB-01</v>
          </cell>
          <cell r="H95">
            <v>85181000</v>
          </cell>
          <cell r="I95">
            <v>32.5</v>
          </cell>
          <cell r="J95">
            <v>0.24637735294117649</v>
          </cell>
          <cell r="K95">
            <v>50.6</v>
          </cell>
          <cell r="L95">
            <v>21.5</v>
          </cell>
          <cell r="M95">
            <v>7.7</v>
          </cell>
          <cell r="N95">
            <v>8.3768300000000018E-3</v>
          </cell>
          <cell r="O95">
            <v>15</v>
          </cell>
          <cell r="P95">
            <v>5.4031522632352926</v>
          </cell>
          <cell r="Q95">
            <v>3433.46</v>
          </cell>
          <cell r="R95">
            <v>4051.48004523794</v>
          </cell>
          <cell r="S95">
            <v>11</v>
          </cell>
          <cell r="T95">
            <v>51</v>
          </cell>
          <cell r="U95">
            <v>22</v>
          </cell>
          <cell r="V95">
            <v>10</v>
          </cell>
          <cell r="W95">
            <v>2</v>
          </cell>
          <cell r="X95">
            <v>5</v>
          </cell>
          <cell r="Y95">
            <v>0</v>
          </cell>
          <cell r="Z95">
            <v>18</v>
          </cell>
          <cell r="AA95">
            <v>915.10169491525357</v>
          </cell>
          <cell r="AB95">
            <v>202.57400226189699</v>
          </cell>
          <cell r="AC95">
            <v>121.5444013571382</v>
          </cell>
          <cell r="AD95">
            <v>0</v>
          </cell>
          <cell r="AE95">
            <v>5999</v>
          </cell>
          <cell r="AF95">
            <v>13999</v>
          </cell>
        </row>
        <row r="96">
          <cell r="C96" t="str">
            <v>AM-W21</v>
          </cell>
          <cell r="D96" t="str">
            <v>Microphone</v>
          </cell>
          <cell r="E96" t="str">
            <v>Wireless Lapel Microphone</v>
          </cell>
          <cell r="F96">
            <v>0.11</v>
          </cell>
          <cell r="G96" t="str">
            <v>AM-W21</v>
          </cell>
          <cell r="H96">
            <v>85181000</v>
          </cell>
          <cell r="I96">
            <v>21.5</v>
          </cell>
          <cell r="J96">
            <v>2.2869E-2</v>
          </cell>
          <cell r="K96">
            <v>15.3</v>
          </cell>
          <cell r="L96">
            <v>12.1</v>
          </cell>
          <cell r="M96">
            <v>4.2</v>
          </cell>
          <cell r="N96">
            <v>7.7754600000000005E-4</v>
          </cell>
          <cell r="O96">
            <v>15</v>
          </cell>
          <cell r="P96">
            <v>3.551273385</v>
          </cell>
          <cell r="Q96">
            <v>2256.67</v>
          </cell>
          <cell r="R96">
            <v>2662.873921287</v>
          </cell>
          <cell r="S96">
            <v>11</v>
          </cell>
          <cell r="T96">
            <v>51</v>
          </cell>
          <cell r="U96">
            <v>17</v>
          </cell>
          <cell r="V96">
            <v>10</v>
          </cell>
          <cell r="W96">
            <v>2</v>
          </cell>
          <cell r="X96">
            <v>5</v>
          </cell>
          <cell r="Y96">
            <v>0</v>
          </cell>
          <cell r="Z96">
            <v>18</v>
          </cell>
          <cell r="AB96">
            <v>133.14369606435</v>
          </cell>
          <cell r="AC96">
            <v>79.886217638609992</v>
          </cell>
          <cell r="AD96">
            <v>0</v>
          </cell>
        </row>
        <row r="97">
          <cell r="C97" t="str">
            <v>AM-C32</v>
          </cell>
          <cell r="D97" t="str">
            <v>Microphone</v>
          </cell>
          <cell r="E97" t="str">
            <v>RGB USB Microphone Kit - Tripod</v>
          </cell>
          <cell r="F97">
            <v>0.11</v>
          </cell>
          <cell r="G97" t="str">
            <v>AM-C32</v>
          </cell>
          <cell r="H97">
            <v>85181000</v>
          </cell>
          <cell r="I97">
            <v>20.5</v>
          </cell>
          <cell r="J97">
            <v>6.7862117647058823E-2</v>
          </cell>
          <cell r="K97">
            <v>21.8</v>
          </cell>
          <cell r="L97">
            <v>12.6</v>
          </cell>
          <cell r="M97">
            <v>8.4</v>
          </cell>
          <cell r="N97">
            <v>2.3073120000000002E-3</v>
          </cell>
          <cell r="O97">
            <v>15</v>
          </cell>
          <cell r="P97">
            <v>3.393697249411765</v>
          </cell>
          <cell r="Q97">
            <v>2156.54</v>
          </cell>
          <cell r="R97">
            <v>2544.717604781647</v>
          </cell>
          <cell r="S97">
            <v>11</v>
          </cell>
          <cell r="T97">
            <v>51</v>
          </cell>
          <cell r="U97">
            <v>17</v>
          </cell>
          <cell r="V97">
            <v>10</v>
          </cell>
          <cell r="W97">
            <v>2</v>
          </cell>
          <cell r="X97">
            <v>5</v>
          </cell>
          <cell r="Y97">
            <v>0</v>
          </cell>
          <cell r="Z97">
            <v>18</v>
          </cell>
          <cell r="AA97">
            <v>503.23728813559319</v>
          </cell>
          <cell r="AB97">
            <v>127.23588023908241</v>
          </cell>
          <cell r="AC97">
            <v>76.341528143449423</v>
          </cell>
          <cell r="AD97">
            <v>0</v>
          </cell>
          <cell r="AE97">
            <v>3299</v>
          </cell>
          <cell r="AF97">
            <v>7499</v>
          </cell>
        </row>
        <row r="98">
          <cell r="C98" t="str">
            <v>AM-C30</v>
          </cell>
          <cell r="D98" t="str">
            <v>Microphone</v>
          </cell>
          <cell r="E98" t="str">
            <v>RGB USB Microphone Kit - Tripod</v>
          </cell>
          <cell r="F98">
            <v>0.11</v>
          </cell>
          <cell r="G98" t="str">
            <v>AM-C30</v>
          </cell>
          <cell r="H98">
            <v>85181000</v>
          </cell>
          <cell r="I98">
            <v>25</v>
          </cell>
          <cell r="J98">
            <v>0.1449317647058824</v>
          </cell>
          <cell r="K98">
            <v>23.6</v>
          </cell>
          <cell r="L98">
            <v>18</v>
          </cell>
          <cell r="M98">
            <v>11.6</v>
          </cell>
          <cell r="N98">
            <v>4.9276800000000003E-3</v>
          </cell>
          <cell r="O98">
            <v>15</v>
          </cell>
          <cell r="P98">
            <v>4.1489137411764707</v>
          </cell>
          <cell r="Q98">
            <v>2636.45</v>
          </cell>
          <cell r="R98">
            <v>3111.0063927247061</v>
          </cell>
          <cell r="S98">
            <v>11</v>
          </cell>
          <cell r="T98">
            <v>51</v>
          </cell>
          <cell r="U98">
            <v>17</v>
          </cell>
          <cell r="V98">
            <v>10</v>
          </cell>
          <cell r="W98">
            <v>2</v>
          </cell>
          <cell r="X98">
            <v>5</v>
          </cell>
          <cell r="Y98">
            <v>0</v>
          </cell>
          <cell r="Z98">
            <v>18</v>
          </cell>
          <cell r="AA98">
            <v>503.23728813559319</v>
          </cell>
          <cell r="AB98">
            <v>155.55031963623529</v>
          </cell>
          <cell r="AC98">
            <v>93.330191781741178</v>
          </cell>
          <cell r="AD98">
            <v>0</v>
          </cell>
          <cell r="AE98">
            <v>3299</v>
          </cell>
          <cell r="AF98">
            <v>8999</v>
          </cell>
        </row>
        <row r="99">
          <cell r="C99" t="str">
            <v>AM-K3</v>
          </cell>
          <cell r="D99" t="str">
            <v>Microphone</v>
          </cell>
          <cell r="E99" t="str">
            <v>Instrument Microphone - Drum Kit</v>
          </cell>
          <cell r="F99">
            <v>0.11</v>
          </cell>
          <cell r="G99" t="str">
            <v>AM-K3</v>
          </cell>
          <cell r="H99">
            <v>85181000</v>
          </cell>
          <cell r="I99">
            <v>76.8</v>
          </cell>
          <cell r="J99">
            <v>0.40021914705882361</v>
          </cell>
          <cell r="K99">
            <v>42.9</v>
          </cell>
          <cell r="L99">
            <v>32.700000000000003</v>
          </cell>
          <cell r="M99">
            <v>9.6999999999999993</v>
          </cell>
          <cell r="N99">
            <v>1.3607451E-2</v>
          </cell>
          <cell r="O99">
            <v>15</v>
          </cell>
          <cell r="P99">
            <v>12.7380361592647</v>
          </cell>
          <cell r="Q99">
            <v>8094.44</v>
          </cell>
          <cell r="R99">
            <v>9551.4427135315582</v>
          </cell>
          <cell r="S99">
            <v>11</v>
          </cell>
          <cell r="T99">
            <v>51</v>
          </cell>
          <cell r="U99">
            <v>32</v>
          </cell>
          <cell r="V99">
            <v>10</v>
          </cell>
          <cell r="W99">
            <v>2</v>
          </cell>
          <cell r="X99">
            <v>5</v>
          </cell>
          <cell r="Y99">
            <v>0</v>
          </cell>
          <cell r="Z99">
            <v>18</v>
          </cell>
          <cell r="AA99">
            <v>1906.6271186440681</v>
          </cell>
          <cell r="AB99">
            <v>477.57213567657789</v>
          </cell>
          <cell r="AC99">
            <v>286.54328140594669</v>
          </cell>
          <cell r="AD99">
            <v>0</v>
          </cell>
          <cell r="AE99">
            <v>12499</v>
          </cell>
          <cell r="AF99">
            <v>29999</v>
          </cell>
        </row>
        <row r="100">
          <cell r="C100" t="str">
            <v>SB-01</v>
          </cell>
          <cell r="D100" t="str">
            <v>Speaker</v>
          </cell>
          <cell r="E100" t="str">
            <v>Sound Bar</v>
          </cell>
          <cell r="F100">
            <v>0.14000000000000001</v>
          </cell>
          <cell r="G100" t="str">
            <v>SB-01</v>
          </cell>
          <cell r="H100">
            <v>85182290</v>
          </cell>
          <cell r="I100">
            <v>0</v>
          </cell>
          <cell r="J100">
            <v>0.1706564705882353</v>
          </cell>
          <cell r="K100">
            <v>41</v>
          </cell>
          <cell r="L100">
            <v>12.2</v>
          </cell>
          <cell r="M100">
            <v>11.6</v>
          </cell>
          <cell r="N100">
            <v>5.8023199999999997E-3</v>
          </cell>
          <cell r="O100">
            <v>0</v>
          </cell>
          <cell r="P100">
            <v>0</v>
          </cell>
          <cell r="Q100">
            <v>15.36</v>
          </cell>
          <cell r="R100">
            <v>18.123717176470588</v>
          </cell>
          <cell r="S100">
            <v>14</v>
          </cell>
          <cell r="T100">
            <v>51</v>
          </cell>
          <cell r="U100">
            <v>115</v>
          </cell>
          <cell r="V100">
            <v>10</v>
          </cell>
          <cell r="W100">
            <v>2</v>
          </cell>
          <cell r="X100">
            <v>5</v>
          </cell>
          <cell r="Y100">
            <v>0</v>
          </cell>
          <cell r="Z100">
            <v>18</v>
          </cell>
          <cell r="AB100">
            <v>0.90618585882352942</v>
          </cell>
          <cell r="AC100">
            <v>0.54371151529411765</v>
          </cell>
          <cell r="AD100">
            <v>0</v>
          </cell>
        </row>
        <row r="101">
          <cell r="C101" t="str">
            <v>AM-C29</v>
          </cell>
          <cell r="D101" t="str">
            <v>Microphone</v>
          </cell>
          <cell r="E101" t="str">
            <v>USB Microphone Kit - Tripod</v>
          </cell>
          <cell r="F101">
            <v>0.11</v>
          </cell>
          <cell r="G101" t="str">
            <v>AM-C29</v>
          </cell>
          <cell r="H101">
            <v>85181000</v>
          </cell>
          <cell r="I101">
            <v>27.5</v>
          </cell>
          <cell r="J101">
            <v>9.5286176470588235E-2</v>
          </cell>
          <cell r="K101">
            <v>21.3</v>
          </cell>
          <cell r="L101">
            <v>13</v>
          </cell>
          <cell r="M101">
            <v>11.7</v>
          </cell>
          <cell r="N101">
            <v>3.2397300000000001E-3</v>
          </cell>
          <cell r="O101">
            <v>15</v>
          </cell>
          <cell r="P101">
            <v>4.5532222191176466</v>
          </cell>
          <cell r="Q101">
            <v>2893.37</v>
          </cell>
          <cell r="R101">
            <v>3414.1715916114699</v>
          </cell>
          <cell r="S101">
            <v>11</v>
          </cell>
          <cell r="T101">
            <v>51</v>
          </cell>
          <cell r="U101">
            <v>17</v>
          </cell>
          <cell r="V101">
            <v>10</v>
          </cell>
          <cell r="W101">
            <v>2</v>
          </cell>
          <cell r="X101">
            <v>5</v>
          </cell>
          <cell r="Y101">
            <v>0</v>
          </cell>
          <cell r="Z101">
            <v>18</v>
          </cell>
          <cell r="AA101">
            <v>686.28813559321998</v>
          </cell>
          <cell r="AB101">
            <v>170.70857958057351</v>
          </cell>
          <cell r="AC101">
            <v>102.4251477483441</v>
          </cell>
          <cell r="AD101">
            <v>0</v>
          </cell>
          <cell r="AE101">
            <v>4499</v>
          </cell>
          <cell r="AF101">
            <v>9999</v>
          </cell>
        </row>
        <row r="102">
          <cell r="C102" t="str">
            <v>AM-K2</v>
          </cell>
          <cell r="D102" t="str">
            <v>Microphone</v>
          </cell>
          <cell r="E102" t="str">
            <v>Instrument Microphone - Drum Kit</v>
          </cell>
          <cell r="F102">
            <v>0.11</v>
          </cell>
          <cell r="G102" t="str">
            <v>AM-K2</v>
          </cell>
          <cell r="H102">
            <v>85181000</v>
          </cell>
          <cell r="I102">
            <v>66.2</v>
          </cell>
          <cell r="J102">
            <v>0.31513529411764701</v>
          </cell>
          <cell r="K102">
            <v>33.799999999999997</v>
          </cell>
          <cell r="L102">
            <v>31.7</v>
          </cell>
          <cell r="M102">
            <v>10</v>
          </cell>
          <cell r="N102">
            <v>1.0714599999999999E-2</v>
          </cell>
          <cell r="O102">
            <v>15</v>
          </cell>
          <cell r="P102">
            <v>10.97499732352941</v>
          </cell>
          <cell r="Q102">
            <v>6974.11</v>
          </cell>
          <cell r="R102">
            <v>8229.4520839941179</v>
          </cell>
          <cell r="S102">
            <v>11</v>
          </cell>
          <cell r="T102">
            <v>51</v>
          </cell>
          <cell r="U102">
            <v>27</v>
          </cell>
          <cell r="V102">
            <v>10</v>
          </cell>
          <cell r="W102">
            <v>2</v>
          </cell>
          <cell r="X102">
            <v>5</v>
          </cell>
          <cell r="Y102">
            <v>0</v>
          </cell>
          <cell r="Z102">
            <v>18</v>
          </cell>
          <cell r="AA102">
            <v>1601.542372881355</v>
          </cell>
          <cell r="AB102">
            <v>411.47260419970593</v>
          </cell>
          <cell r="AC102">
            <v>246.8835625198235</v>
          </cell>
          <cell r="AD102">
            <v>0</v>
          </cell>
          <cell r="AE102">
            <v>10499</v>
          </cell>
          <cell r="AF102">
            <v>24999</v>
          </cell>
        </row>
        <row r="103">
          <cell r="C103" t="str">
            <v>AI-02 2x2| Metallic Red</v>
          </cell>
          <cell r="D103" t="str">
            <v>Audio Interface</v>
          </cell>
          <cell r="E103" t="str">
            <v>Audio Interface</v>
          </cell>
          <cell r="F103">
            <v>0.11</v>
          </cell>
          <cell r="G103" t="str">
            <v>AI-02 2x2| Metallic Red</v>
          </cell>
          <cell r="H103">
            <v>85437029</v>
          </cell>
          <cell r="I103">
            <v>31</v>
          </cell>
          <cell r="J103">
            <v>5.9209970588235288E-2</v>
          </cell>
          <cell r="K103">
            <v>22.9</v>
          </cell>
          <cell r="L103">
            <v>14.9</v>
          </cell>
          <cell r="M103">
            <v>5.9</v>
          </cell>
          <cell r="N103">
            <v>2.0131390000000002E-3</v>
          </cell>
          <cell r="O103">
            <v>7.5</v>
          </cell>
          <cell r="P103">
            <v>2.5623848225735291</v>
          </cell>
          <cell r="Q103">
            <v>3025.94</v>
          </cell>
          <cell r="R103">
            <v>3570.613367033779</v>
          </cell>
          <cell r="S103">
            <v>11</v>
          </cell>
          <cell r="T103">
            <v>51</v>
          </cell>
          <cell r="U103">
            <v>17</v>
          </cell>
          <cell r="V103">
            <v>10</v>
          </cell>
          <cell r="W103">
            <v>2</v>
          </cell>
          <cell r="X103">
            <v>5</v>
          </cell>
          <cell r="Y103">
            <v>0</v>
          </cell>
          <cell r="Z103">
            <v>18</v>
          </cell>
          <cell r="AA103">
            <v>991.3728813559319</v>
          </cell>
          <cell r="AB103">
            <v>178.530668351689</v>
          </cell>
          <cell r="AC103">
            <v>107.1184010110134</v>
          </cell>
          <cell r="AD103">
            <v>0</v>
          </cell>
          <cell r="AE103">
            <v>6499</v>
          </cell>
          <cell r="AF103">
            <v>12499</v>
          </cell>
        </row>
        <row r="104">
          <cell r="C104" t="str">
            <v>AM-C33</v>
          </cell>
          <cell r="D104" t="str">
            <v>Microphone</v>
          </cell>
          <cell r="E104" t="str">
            <v>WiredLavalier Microphone</v>
          </cell>
          <cell r="F104">
            <v>4.4999999999999998E-2</v>
          </cell>
          <cell r="G104" t="str">
            <v>AM-C33</v>
          </cell>
          <cell r="H104">
            <v>85181000</v>
          </cell>
          <cell r="I104">
            <v>3.85</v>
          </cell>
          <cell r="J104">
            <v>1.211423529411765E-2</v>
          </cell>
          <cell r="K104">
            <v>12.1</v>
          </cell>
          <cell r="L104">
            <v>9.1999999999999993</v>
          </cell>
          <cell r="M104">
            <v>3.7</v>
          </cell>
          <cell r="N104">
            <v>4.11884E-4</v>
          </cell>
          <cell r="O104">
            <v>15</v>
          </cell>
          <cell r="P104">
            <v>0.63724884882352928</v>
          </cell>
          <cell r="Q104">
            <v>404.94</v>
          </cell>
          <cell r="R104">
            <v>477.8323595332941</v>
          </cell>
          <cell r="S104">
            <v>4.5</v>
          </cell>
          <cell r="T104">
            <v>21</v>
          </cell>
          <cell r="U104">
            <v>17</v>
          </cell>
          <cell r="V104">
            <v>10</v>
          </cell>
          <cell r="W104">
            <v>2</v>
          </cell>
          <cell r="X104">
            <v>5</v>
          </cell>
          <cell r="Y104">
            <v>0</v>
          </cell>
          <cell r="Z104">
            <v>18</v>
          </cell>
          <cell r="AA104">
            <v>76.118644067796595</v>
          </cell>
          <cell r="AB104">
            <v>23.891617976664701</v>
          </cell>
          <cell r="AC104">
            <v>14.33497078599882</v>
          </cell>
          <cell r="AD104">
            <v>0</v>
          </cell>
          <cell r="AE104">
            <v>499</v>
          </cell>
          <cell r="AF104">
            <v>1599</v>
          </cell>
        </row>
        <row r="105">
          <cell r="C105" t="str">
            <v>AH-50 Ear Cushion</v>
          </cell>
          <cell r="D105" t="str">
            <v>Headphone Accessories</v>
          </cell>
          <cell r="E105" t="str">
            <v>Headphone Accessories</v>
          </cell>
          <cell r="F105">
            <v>0.11</v>
          </cell>
          <cell r="G105" t="str">
            <v>AH-50 Ear Cushion</v>
          </cell>
          <cell r="H105">
            <v>85189000</v>
          </cell>
          <cell r="I105">
            <v>0.45</v>
          </cell>
          <cell r="N105">
            <v>0</v>
          </cell>
          <cell r="O105">
            <v>15</v>
          </cell>
          <cell r="Q105">
            <v>47.18</v>
          </cell>
          <cell r="S105">
            <v>11</v>
          </cell>
          <cell r="U105">
            <v>0</v>
          </cell>
          <cell r="V105">
            <v>10</v>
          </cell>
          <cell r="W105">
            <v>2</v>
          </cell>
          <cell r="X105">
            <v>5</v>
          </cell>
          <cell r="Y105">
            <v>0</v>
          </cell>
          <cell r="Z105">
            <v>18</v>
          </cell>
          <cell r="AA105">
            <v>76.118644067796595</v>
          </cell>
          <cell r="AD105">
            <v>0</v>
          </cell>
          <cell r="AE105">
            <v>499</v>
          </cell>
          <cell r="AF105">
            <v>799</v>
          </cell>
        </row>
        <row r="106">
          <cell r="C106" t="str">
            <v>AM-C8</v>
          </cell>
          <cell r="D106" t="str">
            <v>Microphone</v>
          </cell>
          <cell r="E106" t="str">
            <v>USB Microphone Kit - Tripod</v>
          </cell>
          <cell r="F106">
            <v>0.11</v>
          </cell>
          <cell r="G106" t="str">
            <v>AM-C8</v>
          </cell>
          <cell r="H106">
            <v>85181000</v>
          </cell>
          <cell r="I106">
            <v>26.5</v>
          </cell>
          <cell r="J106">
            <v>0.11919470588235299</v>
          </cell>
          <cell r="K106">
            <v>26</v>
          </cell>
          <cell r="L106">
            <v>14.3</v>
          </cell>
          <cell r="M106">
            <v>10.9</v>
          </cell>
          <cell r="N106">
            <v>4.0526200000000007E-3</v>
          </cell>
          <cell r="O106">
            <v>15</v>
          </cell>
          <cell r="P106">
            <v>4.3921671264705866</v>
          </cell>
          <cell r="Q106">
            <v>2791.02</v>
          </cell>
          <cell r="R106">
            <v>3293.4066265958818</v>
          </cell>
          <cell r="S106">
            <v>11</v>
          </cell>
          <cell r="T106">
            <v>51</v>
          </cell>
          <cell r="U106">
            <v>17</v>
          </cell>
          <cell r="V106">
            <v>10</v>
          </cell>
          <cell r="W106">
            <v>2</v>
          </cell>
          <cell r="X106">
            <v>5</v>
          </cell>
          <cell r="Y106">
            <v>0</v>
          </cell>
          <cell r="Z106">
            <v>18</v>
          </cell>
          <cell r="AA106">
            <v>762.55932203389784</v>
          </cell>
          <cell r="AB106">
            <v>164.6703313297941</v>
          </cell>
          <cell r="AC106">
            <v>98.802198797876457</v>
          </cell>
          <cell r="AD106">
            <v>0</v>
          </cell>
          <cell r="AE106">
            <v>4999</v>
          </cell>
          <cell r="AF106">
            <v>9999</v>
          </cell>
        </row>
        <row r="107">
          <cell r="C107" t="str">
            <v>AM-C9</v>
          </cell>
          <cell r="D107" t="str">
            <v>Microphone</v>
          </cell>
          <cell r="E107" t="str">
            <v>USB Microphone Kit - Tripod</v>
          </cell>
          <cell r="F107">
            <v>0.11</v>
          </cell>
          <cell r="G107" t="str">
            <v>AM-C9</v>
          </cell>
          <cell r="H107">
            <v>85181000</v>
          </cell>
          <cell r="I107">
            <v>26</v>
          </cell>
          <cell r="J107">
            <v>8.5104941176470592E-2</v>
          </cell>
          <cell r="K107">
            <v>17.8</v>
          </cell>
          <cell r="L107">
            <v>12.8</v>
          </cell>
          <cell r="M107">
            <v>12.7</v>
          </cell>
          <cell r="N107">
            <v>2.893568E-3</v>
          </cell>
          <cell r="O107">
            <v>15</v>
          </cell>
          <cell r="P107">
            <v>4.304042315294117</v>
          </cell>
          <cell r="Q107">
            <v>2735.02</v>
          </cell>
          <cell r="R107">
            <v>3227.3274386371759</v>
          </cell>
          <cell r="S107">
            <v>11</v>
          </cell>
          <cell r="T107">
            <v>51</v>
          </cell>
          <cell r="U107">
            <v>17</v>
          </cell>
          <cell r="V107">
            <v>10</v>
          </cell>
          <cell r="W107">
            <v>2</v>
          </cell>
          <cell r="X107">
            <v>5</v>
          </cell>
          <cell r="Y107">
            <v>0</v>
          </cell>
          <cell r="Z107">
            <v>18</v>
          </cell>
          <cell r="AA107">
            <v>686.28813559321998</v>
          </cell>
          <cell r="AB107">
            <v>161.36637193185879</v>
          </cell>
          <cell r="AC107">
            <v>96.819823159115273</v>
          </cell>
          <cell r="AD107">
            <v>0</v>
          </cell>
          <cell r="AE107">
            <v>4499</v>
          </cell>
          <cell r="AF107">
            <v>9999</v>
          </cell>
        </row>
        <row r="108">
          <cell r="C108" t="str">
            <v>AM-C38</v>
          </cell>
          <cell r="D108" t="str">
            <v>Microphone</v>
          </cell>
          <cell r="E108" t="str">
            <v>Condenser Shotgun Mic</v>
          </cell>
          <cell r="F108">
            <v>0.11</v>
          </cell>
          <cell r="G108" t="str">
            <v>AM-C38</v>
          </cell>
          <cell r="H108">
            <v>85181000</v>
          </cell>
          <cell r="I108">
            <v>10.32</v>
          </cell>
          <cell r="J108">
            <v>4.535647058823529E-2</v>
          </cell>
          <cell r="K108">
            <v>18.100000000000001</v>
          </cell>
          <cell r="L108">
            <v>14.2</v>
          </cell>
          <cell r="M108">
            <v>6</v>
          </cell>
          <cell r="N108">
            <v>1.5421199999999999E-3</v>
          </cell>
          <cell r="O108">
            <v>15</v>
          </cell>
          <cell r="P108">
            <v>1.7102838176470589</v>
          </cell>
          <cell r="Q108">
            <v>1086.81</v>
          </cell>
          <cell r="R108">
            <v>1282.4329986105879</v>
          </cell>
          <cell r="S108">
            <v>11</v>
          </cell>
          <cell r="T108">
            <v>51</v>
          </cell>
          <cell r="U108">
            <v>17</v>
          </cell>
          <cell r="V108">
            <v>10</v>
          </cell>
          <cell r="W108">
            <v>2</v>
          </cell>
          <cell r="X108">
            <v>5</v>
          </cell>
          <cell r="Y108">
            <v>0</v>
          </cell>
          <cell r="Z108">
            <v>18</v>
          </cell>
          <cell r="AA108">
            <v>304.93220338983042</v>
          </cell>
          <cell r="AB108">
            <v>64.121649930529415</v>
          </cell>
          <cell r="AC108">
            <v>38.47298995831764</v>
          </cell>
          <cell r="AD108">
            <v>0</v>
          </cell>
          <cell r="AE108">
            <v>1999</v>
          </cell>
          <cell r="AF108">
            <v>4399</v>
          </cell>
        </row>
        <row r="109">
          <cell r="C109" t="str">
            <v>AM-C23</v>
          </cell>
          <cell r="D109" t="str">
            <v>Microphone</v>
          </cell>
          <cell r="E109" t="str">
            <v>USB Microphone Kit - Tripod</v>
          </cell>
          <cell r="F109">
            <v>0.11</v>
          </cell>
          <cell r="G109" t="str">
            <v>AM-C23</v>
          </cell>
          <cell r="H109">
            <v>85181000</v>
          </cell>
          <cell r="I109">
            <v>13.02</v>
          </cell>
          <cell r="J109">
            <v>0.11172</v>
          </cell>
          <cell r="K109">
            <v>24</v>
          </cell>
          <cell r="L109">
            <v>13.3</v>
          </cell>
          <cell r="M109">
            <v>11.9</v>
          </cell>
          <cell r="N109">
            <v>3.7984799999999999E-3</v>
          </cell>
          <cell r="O109">
            <v>15</v>
          </cell>
          <cell r="P109">
            <v>2.1667337999999998</v>
          </cell>
          <cell r="Q109">
            <v>1376.86</v>
          </cell>
          <cell r="R109">
            <v>1624.6957935600001</v>
          </cell>
          <cell r="S109">
            <v>11</v>
          </cell>
          <cell r="T109">
            <v>51</v>
          </cell>
          <cell r="U109">
            <v>17</v>
          </cell>
          <cell r="V109">
            <v>10</v>
          </cell>
          <cell r="W109">
            <v>2</v>
          </cell>
          <cell r="X109">
            <v>5</v>
          </cell>
          <cell r="Y109">
            <v>0</v>
          </cell>
          <cell r="Z109">
            <v>18</v>
          </cell>
          <cell r="AA109">
            <v>365.94915254237281</v>
          </cell>
          <cell r="AB109">
            <v>81.234789677999984</v>
          </cell>
          <cell r="AC109">
            <v>48.740873806799989</v>
          </cell>
          <cell r="AD109">
            <v>0</v>
          </cell>
          <cell r="AE109">
            <v>2399</v>
          </cell>
          <cell r="AF109">
            <v>5799</v>
          </cell>
        </row>
        <row r="110">
          <cell r="C110" t="str">
            <v>AA-12</v>
          </cell>
          <cell r="D110" t="str">
            <v>Microphone Accessories</v>
          </cell>
          <cell r="E110" t="str">
            <v>Boom Arm</v>
          </cell>
          <cell r="F110">
            <v>0.11</v>
          </cell>
          <cell r="G110" t="str">
            <v>AA-12</v>
          </cell>
          <cell r="H110">
            <v>85189000</v>
          </cell>
          <cell r="I110">
            <v>11.67</v>
          </cell>
          <cell r="J110">
            <v>0.1952192647058823</v>
          </cell>
          <cell r="K110">
            <v>58.3</v>
          </cell>
          <cell r="L110">
            <v>20.7</v>
          </cell>
          <cell r="M110">
            <v>5.5</v>
          </cell>
          <cell r="N110">
            <v>6.6374549999999996E-3</v>
          </cell>
          <cell r="O110">
            <v>15</v>
          </cell>
          <cell r="P110">
            <v>1.9577611786764699</v>
          </cell>
          <cell r="Q110">
            <v>1244.07</v>
          </cell>
          <cell r="R110">
            <v>1468.0005230872059</v>
          </cell>
          <cell r="S110">
            <v>11</v>
          </cell>
          <cell r="T110">
            <v>51</v>
          </cell>
          <cell r="U110">
            <v>22</v>
          </cell>
          <cell r="V110">
            <v>10</v>
          </cell>
          <cell r="W110">
            <v>2</v>
          </cell>
          <cell r="X110">
            <v>5</v>
          </cell>
          <cell r="Y110">
            <v>0</v>
          </cell>
          <cell r="Z110">
            <v>18</v>
          </cell>
          <cell r="AA110">
            <v>411.71186440677963</v>
          </cell>
          <cell r="AB110">
            <v>73.40002615436029</v>
          </cell>
          <cell r="AC110">
            <v>44.040015692616173</v>
          </cell>
          <cell r="AD110">
            <v>0</v>
          </cell>
          <cell r="AE110">
            <v>2699</v>
          </cell>
          <cell r="AF110">
            <v>5399</v>
          </cell>
        </row>
        <row r="111">
          <cell r="C111" t="str">
            <v>AI-09</v>
          </cell>
          <cell r="D111" t="str">
            <v>Pro Audio Tools</v>
          </cell>
          <cell r="E111" t="str">
            <v>DI box</v>
          </cell>
          <cell r="F111">
            <v>0.11</v>
          </cell>
          <cell r="G111" t="str">
            <v>AI-09</v>
          </cell>
          <cell r="H111">
            <v>85437029</v>
          </cell>
          <cell r="I111">
            <v>28.8</v>
          </cell>
          <cell r="J111">
            <v>7.9949999999999993E-2</v>
          </cell>
          <cell r="K111">
            <v>22.1</v>
          </cell>
          <cell r="L111">
            <v>15</v>
          </cell>
          <cell r="M111">
            <v>8.1999999999999993</v>
          </cell>
          <cell r="N111">
            <v>2.7182999999999999E-3</v>
          </cell>
          <cell r="O111">
            <v>7.5</v>
          </cell>
          <cell r="P111">
            <v>2.3825958749999998</v>
          </cell>
          <cell r="Q111">
            <v>2813.63</v>
          </cell>
          <cell r="R111">
            <v>3320.0823719250002</v>
          </cell>
          <cell r="S111">
            <v>11</v>
          </cell>
          <cell r="T111">
            <v>51</v>
          </cell>
          <cell r="U111">
            <v>17</v>
          </cell>
          <cell r="V111">
            <v>10</v>
          </cell>
          <cell r="W111">
            <v>2</v>
          </cell>
          <cell r="X111">
            <v>5</v>
          </cell>
          <cell r="Y111">
            <v>0</v>
          </cell>
          <cell r="Z111">
            <v>18</v>
          </cell>
          <cell r="AA111">
            <v>838.83050847457616</v>
          </cell>
          <cell r="AB111">
            <v>166.00411859625001</v>
          </cell>
          <cell r="AC111">
            <v>99.602471157749989</v>
          </cell>
          <cell r="AD111">
            <v>0</v>
          </cell>
          <cell r="AE111">
            <v>5499</v>
          </cell>
          <cell r="AF111">
            <v>14299</v>
          </cell>
        </row>
        <row r="112">
          <cell r="C112" t="str">
            <v>AM-C15</v>
          </cell>
          <cell r="D112" t="str">
            <v>Microphone</v>
          </cell>
          <cell r="E112" t="str">
            <v>WiredLavalier Microphone</v>
          </cell>
          <cell r="F112">
            <v>0.11</v>
          </cell>
          <cell r="G112" t="str">
            <v>AM-C15</v>
          </cell>
          <cell r="H112">
            <v>85181000</v>
          </cell>
          <cell r="I112">
            <v>11.11</v>
          </cell>
          <cell r="J112">
            <v>1.3417411764705881E-2</v>
          </cell>
          <cell r="K112">
            <v>13.2</v>
          </cell>
          <cell r="L112">
            <v>9.6</v>
          </cell>
          <cell r="M112">
            <v>3.6</v>
          </cell>
          <cell r="N112">
            <v>4.5619200000000001E-4</v>
          </cell>
          <cell r="O112">
            <v>15</v>
          </cell>
          <cell r="P112">
            <v>1.8353638729411761</v>
          </cell>
          <cell r="Q112">
            <v>1166.29</v>
          </cell>
          <cell r="R112">
            <v>1376.222572435765</v>
          </cell>
          <cell r="S112">
            <v>11</v>
          </cell>
          <cell r="T112">
            <v>51</v>
          </cell>
          <cell r="U112">
            <v>17</v>
          </cell>
          <cell r="V112">
            <v>10</v>
          </cell>
          <cell r="W112">
            <v>2</v>
          </cell>
          <cell r="X112">
            <v>5</v>
          </cell>
          <cell r="Y112">
            <v>0</v>
          </cell>
          <cell r="Z112">
            <v>18</v>
          </cell>
          <cell r="AA112">
            <v>304.93220338983042</v>
          </cell>
          <cell r="AB112">
            <v>68.811128621788228</v>
          </cell>
          <cell r="AC112">
            <v>41.286677173072931</v>
          </cell>
          <cell r="AD112">
            <v>0</v>
          </cell>
          <cell r="AE112">
            <v>1999</v>
          </cell>
          <cell r="AF112">
            <v>5399</v>
          </cell>
        </row>
        <row r="113">
          <cell r="C113" t="str">
            <v>AA-07</v>
          </cell>
          <cell r="D113" t="str">
            <v>Microphone Accessories</v>
          </cell>
          <cell r="E113" t="str">
            <v>Boom Arm</v>
          </cell>
          <cell r="F113">
            <v>0.11</v>
          </cell>
          <cell r="G113" t="str">
            <v>AA-07</v>
          </cell>
          <cell r="H113">
            <v>85189000</v>
          </cell>
          <cell r="I113">
            <v>8</v>
          </cell>
          <cell r="J113">
            <v>0.3014939117647058</v>
          </cell>
          <cell r="K113">
            <v>30.3</v>
          </cell>
          <cell r="L113">
            <v>18.899999999999999</v>
          </cell>
          <cell r="M113">
            <v>17.899999999999999</v>
          </cell>
          <cell r="N113">
            <v>1.0250792999999999E-2</v>
          </cell>
          <cell r="O113">
            <v>15</v>
          </cell>
          <cell r="P113">
            <v>1.369746495441176</v>
          </cell>
          <cell r="Q113">
            <v>870.41</v>
          </cell>
          <cell r="R113">
            <v>1027.0857312452649</v>
          </cell>
          <cell r="S113">
            <v>11</v>
          </cell>
          <cell r="T113">
            <v>51</v>
          </cell>
          <cell r="U113">
            <v>27</v>
          </cell>
          <cell r="V113">
            <v>10</v>
          </cell>
          <cell r="W113">
            <v>2</v>
          </cell>
          <cell r="X113">
            <v>5</v>
          </cell>
          <cell r="Y113">
            <v>0</v>
          </cell>
          <cell r="Z113">
            <v>18</v>
          </cell>
          <cell r="AA113">
            <v>335.4406779661017</v>
          </cell>
          <cell r="AB113">
            <v>51.354286562263241</v>
          </cell>
          <cell r="AC113">
            <v>30.812571937357941</v>
          </cell>
          <cell r="AD113">
            <v>0</v>
          </cell>
          <cell r="AE113">
            <v>2199</v>
          </cell>
          <cell r="AF113">
            <v>4699</v>
          </cell>
        </row>
        <row r="114">
          <cell r="C114" t="str">
            <v>AM-A1</v>
          </cell>
          <cell r="D114" t="str">
            <v>Microphone Accessories</v>
          </cell>
          <cell r="E114" t="str">
            <v>Mic Activator</v>
          </cell>
          <cell r="F114">
            <v>0.11</v>
          </cell>
          <cell r="G114" t="str">
            <v>AM-A1</v>
          </cell>
          <cell r="H114">
            <v>85437029</v>
          </cell>
          <cell r="I114">
            <v>14.5</v>
          </cell>
          <cell r="J114">
            <v>1.405552941176471E-2</v>
          </cell>
          <cell r="K114">
            <v>13.1</v>
          </cell>
          <cell r="L114">
            <v>6.4</v>
          </cell>
          <cell r="M114">
            <v>5.7</v>
          </cell>
          <cell r="N114">
            <v>4.7788799999999999E-4</v>
          </cell>
          <cell r="O114">
            <v>15</v>
          </cell>
          <cell r="P114">
            <v>2.3948191623529409</v>
          </cell>
          <cell r="Q114">
            <v>1521.8</v>
          </cell>
          <cell r="R114">
            <v>1795.722492265412</v>
          </cell>
          <cell r="S114">
            <v>11</v>
          </cell>
          <cell r="T114">
            <v>51</v>
          </cell>
          <cell r="U114">
            <v>17</v>
          </cell>
          <cell r="V114">
            <v>10</v>
          </cell>
          <cell r="W114">
            <v>2</v>
          </cell>
          <cell r="X114">
            <v>5</v>
          </cell>
          <cell r="Y114">
            <v>0</v>
          </cell>
          <cell r="Z114">
            <v>18</v>
          </cell>
          <cell r="AA114">
            <v>335.4406779661017</v>
          </cell>
          <cell r="AB114">
            <v>89.786124613270601</v>
          </cell>
          <cell r="AC114">
            <v>53.871674767962347</v>
          </cell>
          <cell r="AD114">
            <v>0</v>
          </cell>
          <cell r="AE114">
            <v>2199</v>
          </cell>
          <cell r="AF114">
            <v>5999</v>
          </cell>
        </row>
        <row r="115">
          <cell r="C115" t="str">
            <v>AA-18</v>
          </cell>
          <cell r="D115" t="str">
            <v>Microphone Accessories</v>
          </cell>
          <cell r="E115" t="str">
            <v>Boom Arm</v>
          </cell>
          <cell r="F115">
            <v>0.11</v>
          </cell>
          <cell r="G115" t="str">
            <v>AA-18</v>
          </cell>
          <cell r="H115">
            <v>85189000</v>
          </cell>
          <cell r="I115">
            <v>13</v>
          </cell>
          <cell r="J115">
            <v>0.23842823529411769</v>
          </cell>
          <cell r="K115">
            <v>65.8</v>
          </cell>
          <cell r="L115">
            <v>17.600000000000001</v>
          </cell>
          <cell r="M115">
            <v>7</v>
          </cell>
          <cell r="N115">
            <v>8.1065600000000005E-3</v>
          </cell>
          <cell r="O115">
            <v>15</v>
          </cell>
          <cell r="P115">
            <v>2.1843406588235288</v>
          </cell>
          <cell r="Q115">
            <v>1388.05</v>
          </cell>
          <cell r="R115">
            <v>1637.898056555294</v>
          </cell>
          <cell r="S115">
            <v>11</v>
          </cell>
          <cell r="T115">
            <v>51</v>
          </cell>
          <cell r="U115">
            <v>22</v>
          </cell>
          <cell r="V115">
            <v>10</v>
          </cell>
          <cell r="W115">
            <v>2</v>
          </cell>
          <cell r="X115">
            <v>5</v>
          </cell>
          <cell r="Y115">
            <v>0</v>
          </cell>
          <cell r="Z115">
            <v>18</v>
          </cell>
          <cell r="AA115">
            <v>564.2542372881353</v>
          </cell>
          <cell r="AB115">
            <v>81.89490282776471</v>
          </cell>
          <cell r="AC115">
            <v>49.136941696658823</v>
          </cell>
          <cell r="AD115">
            <v>0</v>
          </cell>
          <cell r="AE115">
            <v>3699</v>
          </cell>
          <cell r="AF115">
            <v>7399</v>
          </cell>
        </row>
        <row r="116">
          <cell r="C116" t="str">
            <v>AM-C36</v>
          </cell>
          <cell r="D116" t="str">
            <v>Microphone</v>
          </cell>
          <cell r="E116" t="str">
            <v>WiredLavalier Microphone</v>
          </cell>
          <cell r="F116">
            <v>5.5E-2</v>
          </cell>
          <cell r="G116" t="str">
            <v>AM-C36</v>
          </cell>
          <cell r="H116">
            <v>85181000</v>
          </cell>
          <cell r="I116">
            <v>3.52</v>
          </cell>
          <cell r="J116">
            <v>1.211423529411765E-2</v>
          </cell>
          <cell r="K116">
            <v>12.1</v>
          </cell>
          <cell r="L116">
            <v>9.1999999999999993</v>
          </cell>
          <cell r="M116">
            <v>3.7</v>
          </cell>
          <cell r="N116">
            <v>4.11884E-4</v>
          </cell>
          <cell r="O116">
            <v>15</v>
          </cell>
          <cell r="P116">
            <v>0.58279884882352928</v>
          </cell>
          <cell r="Q116">
            <v>370.34</v>
          </cell>
          <cell r="R116">
            <v>437.00376953329408</v>
          </cell>
          <cell r="S116">
            <v>5.5</v>
          </cell>
          <cell r="T116">
            <v>51</v>
          </cell>
          <cell r="U116">
            <v>17</v>
          </cell>
          <cell r="V116">
            <v>10</v>
          </cell>
          <cell r="W116">
            <v>2</v>
          </cell>
          <cell r="X116">
            <v>5</v>
          </cell>
          <cell r="Y116">
            <v>0</v>
          </cell>
          <cell r="Z116">
            <v>18</v>
          </cell>
          <cell r="AA116">
            <v>106.62711864406781</v>
          </cell>
          <cell r="AB116">
            <v>21.850188476664709</v>
          </cell>
          <cell r="AC116">
            <v>13.110113085998821</v>
          </cell>
          <cell r="AD116">
            <v>0</v>
          </cell>
          <cell r="AE116">
            <v>699</v>
          </cell>
          <cell r="AF116">
            <v>1999</v>
          </cell>
        </row>
        <row r="117">
          <cell r="C117" t="str">
            <v>AM-C12</v>
          </cell>
          <cell r="D117" t="str">
            <v>Microphone</v>
          </cell>
          <cell r="E117" t="str">
            <v>WiredLavalier Microphone</v>
          </cell>
          <cell r="F117">
            <v>5.5E-2</v>
          </cell>
          <cell r="G117" t="str">
            <v>AM-C12</v>
          </cell>
          <cell r="H117">
            <v>85181000</v>
          </cell>
          <cell r="I117">
            <v>4.25</v>
          </cell>
          <cell r="J117">
            <v>1.6604823529411759E-2</v>
          </cell>
          <cell r="K117">
            <v>13.2</v>
          </cell>
          <cell r="L117">
            <v>9.1</v>
          </cell>
          <cell r="M117">
            <v>4.7</v>
          </cell>
          <cell r="N117">
            <v>5.6456399999999993E-4</v>
          </cell>
          <cell r="O117">
            <v>15</v>
          </cell>
          <cell r="P117">
            <v>0.70398979588235289</v>
          </cell>
          <cell r="Q117">
            <v>447.35</v>
          </cell>
          <cell r="R117">
            <v>527.87714858152947</v>
          </cell>
          <cell r="S117">
            <v>5.5</v>
          </cell>
          <cell r="T117">
            <v>51</v>
          </cell>
          <cell r="U117">
            <v>17</v>
          </cell>
          <cell r="V117">
            <v>10</v>
          </cell>
          <cell r="W117">
            <v>2</v>
          </cell>
          <cell r="X117">
            <v>5</v>
          </cell>
          <cell r="Y117">
            <v>0</v>
          </cell>
          <cell r="Z117">
            <v>18</v>
          </cell>
          <cell r="AA117">
            <v>137.1355932203389</v>
          </cell>
          <cell r="AB117">
            <v>26.39385742907648</v>
          </cell>
          <cell r="AC117">
            <v>15.83631445744588</v>
          </cell>
          <cell r="AD117">
            <v>0</v>
          </cell>
          <cell r="AE117">
            <v>899</v>
          </cell>
          <cell r="AF117">
            <v>2999</v>
          </cell>
        </row>
        <row r="118">
          <cell r="C118" t="str">
            <v>AA-17</v>
          </cell>
          <cell r="D118" t="str">
            <v>Microphone Accessories</v>
          </cell>
          <cell r="E118" t="str">
            <v>Boom Arm</v>
          </cell>
          <cell r="F118">
            <v>0.11</v>
          </cell>
          <cell r="G118" t="str">
            <v>AA-17</v>
          </cell>
          <cell r="H118">
            <v>85189000</v>
          </cell>
          <cell r="I118">
            <v>13</v>
          </cell>
          <cell r="J118">
            <v>0.2081358823529412</v>
          </cell>
          <cell r="K118">
            <v>65.5</v>
          </cell>
          <cell r="L118">
            <v>14.6</v>
          </cell>
          <cell r="M118">
            <v>7.4</v>
          </cell>
          <cell r="N118">
            <v>7.0766199999999996E-3</v>
          </cell>
          <cell r="O118">
            <v>15</v>
          </cell>
          <cell r="P118">
            <v>2.179342420588235</v>
          </cell>
          <cell r="Q118">
            <v>1384.87</v>
          </cell>
          <cell r="R118">
            <v>1634.1501957723531</v>
          </cell>
          <cell r="S118">
            <v>11</v>
          </cell>
          <cell r="T118">
            <v>51</v>
          </cell>
          <cell r="U118">
            <v>27</v>
          </cell>
          <cell r="V118">
            <v>10</v>
          </cell>
          <cell r="W118">
            <v>2</v>
          </cell>
          <cell r="X118">
            <v>5</v>
          </cell>
          <cell r="Y118">
            <v>0</v>
          </cell>
          <cell r="Z118">
            <v>18</v>
          </cell>
          <cell r="AA118">
            <v>503.23728813559319</v>
          </cell>
          <cell r="AB118">
            <v>81.707509788617642</v>
          </cell>
          <cell r="AC118">
            <v>49.024505873170583</v>
          </cell>
          <cell r="AD118">
            <v>0</v>
          </cell>
          <cell r="AE118">
            <v>3299</v>
          </cell>
          <cell r="AF118">
            <v>7399</v>
          </cell>
        </row>
        <row r="119">
          <cell r="C119" t="str">
            <v>AA-08</v>
          </cell>
          <cell r="D119" t="str">
            <v>Microphone Accessories</v>
          </cell>
          <cell r="E119" t="str">
            <v>Sound Isolation Shield</v>
          </cell>
          <cell r="F119">
            <v>0.11</v>
          </cell>
          <cell r="G119" t="str">
            <v>AA-08</v>
          </cell>
          <cell r="H119">
            <v>85189000</v>
          </cell>
          <cell r="I119">
            <v>12.2</v>
          </cell>
          <cell r="J119">
            <v>0.30816882352941177</v>
          </cell>
          <cell r="K119">
            <v>30.3</v>
          </cell>
          <cell r="L119">
            <v>19</v>
          </cell>
          <cell r="M119">
            <v>18.2</v>
          </cell>
          <cell r="N119">
            <v>1.0477739999999999E-2</v>
          </cell>
          <cell r="O119">
            <v>15</v>
          </cell>
          <cell r="P119">
            <v>2.063847855882353</v>
          </cell>
          <cell r="Q119">
            <v>1311.48</v>
          </cell>
          <cell r="R119">
            <v>1547.5481713535289</v>
          </cell>
          <cell r="S119">
            <v>11</v>
          </cell>
          <cell r="T119">
            <v>51</v>
          </cell>
          <cell r="U119">
            <v>27</v>
          </cell>
          <cell r="V119">
            <v>10</v>
          </cell>
          <cell r="W119">
            <v>2</v>
          </cell>
          <cell r="X119">
            <v>5</v>
          </cell>
          <cell r="Y119">
            <v>0</v>
          </cell>
          <cell r="Z119">
            <v>18</v>
          </cell>
          <cell r="AA119">
            <v>365.94915254237281</v>
          </cell>
          <cell r="AB119">
            <v>77.377408567676468</v>
          </cell>
          <cell r="AC119">
            <v>46.426445140605871</v>
          </cell>
          <cell r="AD119">
            <v>0</v>
          </cell>
          <cell r="AE119">
            <v>2399</v>
          </cell>
          <cell r="AF119">
            <v>5699</v>
          </cell>
        </row>
        <row r="120">
          <cell r="C120" t="str">
            <v>AI-01</v>
          </cell>
          <cell r="D120" t="str">
            <v>Audio Interface</v>
          </cell>
          <cell r="E120" t="str">
            <v>Audio Interface</v>
          </cell>
          <cell r="F120">
            <v>0.06</v>
          </cell>
          <cell r="G120" t="str">
            <v>AI-01</v>
          </cell>
          <cell r="H120">
            <v>85437029</v>
          </cell>
          <cell r="I120">
            <v>23.02</v>
          </cell>
          <cell r="J120">
            <v>0.11685</v>
          </cell>
          <cell r="K120">
            <v>28.5</v>
          </cell>
          <cell r="L120">
            <v>20.5</v>
          </cell>
          <cell r="M120">
            <v>6.8</v>
          </cell>
          <cell r="N120">
            <v>3.9728999999999997E-3</v>
          </cell>
          <cell r="O120">
            <v>7.5</v>
          </cell>
          <cell r="P120">
            <v>1.9087901249999999</v>
          </cell>
          <cell r="Q120">
            <v>2254.11</v>
          </cell>
          <cell r="R120">
            <v>2659.846981275</v>
          </cell>
          <cell r="S120">
            <v>6</v>
          </cell>
          <cell r="T120">
            <v>51</v>
          </cell>
          <cell r="U120">
            <v>17</v>
          </cell>
          <cell r="V120">
            <v>10</v>
          </cell>
          <cell r="W120">
            <v>2</v>
          </cell>
          <cell r="X120">
            <v>5</v>
          </cell>
          <cell r="Y120">
            <v>0</v>
          </cell>
          <cell r="Z120">
            <v>18</v>
          </cell>
          <cell r="AB120">
            <v>132.99234906375</v>
          </cell>
          <cell r="AC120">
            <v>79.79540943824999</v>
          </cell>
          <cell r="AD120">
            <v>0</v>
          </cell>
          <cell r="AF120">
            <v>8399</v>
          </cell>
        </row>
        <row r="121">
          <cell r="C121" t="str">
            <v>AM-C17</v>
          </cell>
          <cell r="D121" t="str">
            <v>Microphone</v>
          </cell>
          <cell r="E121" t="str">
            <v>WiredLavalier Microphone</v>
          </cell>
          <cell r="F121">
            <v>4.4999999999999998E-2</v>
          </cell>
          <cell r="G121" t="str">
            <v>AM-C17</v>
          </cell>
          <cell r="H121">
            <v>85181000</v>
          </cell>
          <cell r="I121">
            <v>2.9</v>
          </cell>
          <cell r="J121">
            <v>1.1883529411764709E-2</v>
          </cell>
          <cell r="K121">
            <v>12</v>
          </cell>
          <cell r="L121">
            <v>9.1</v>
          </cell>
          <cell r="M121">
            <v>3.7</v>
          </cell>
          <cell r="N121">
            <v>4.0403999999999999E-4</v>
          </cell>
          <cell r="O121">
            <v>15</v>
          </cell>
          <cell r="P121">
            <v>0.4804607823529411</v>
          </cell>
          <cell r="Q121">
            <v>305.31</v>
          </cell>
          <cell r="R121">
            <v>360.26696590941168</v>
          </cell>
          <cell r="S121">
            <v>4.5</v>
          </cell>
          <cell r="T121">
            <v>51</v>
          </cell>
          <cell r="U121">
            <v>17</v>
          </cell>
          <cell r="V121">
            <v>10</v>
          </cell>
          <cell r="W121">
            <v>2</v>
          </cell>
          <cell r="X121">
            <v>5</v>
          </cell>
          <cell r="Y121">
            <v>0</v>
          </cell>
          <cell r="Z121">
            <v>18</v>
          </cell>
          <cell r="AA121">
            <v>64.830508474576277</v>
          </cell>
          <cell r="AB121">
            <v>18.013348295470589</v>
          </cell>
          <cell r="AC121">
            <v>10.80800897728235</v>
          </cell>
          <cell r="AD121">
            <v>0</v>
          </cell>
          <cell r="AE121">
            <v>425</v>
          </cell>
          <cell r="AF121">
            <v>1699</v>
          </cell>
        </row>
        <row r="122">
          <cell r="C122" t="str">
            <v>AM-C22</v>
          </cell>
          <cell r="D122" t="str">
            <v>Microphone</v>
          </cell>
          <cell r="E122" t="str">
            <v>USB Microphone Kit - Tripod</v>
          </cell>
          <cell r="F122">
            <v>0.11</v>
          </cell>
          <cell r="G122" t="str">
            <v>AM-C22</v>
          </cell>
          <cell r="H122">
            <v>85181000</v>
          </cell>
          <cell r="I122">
            <v>6.5</v>
          </cell>
          <cell r="J122">
            <v>4.9570147058823538E-2</v>
          </cell>
          <cell r="K122">
            <v>19.5</v>
          </cell>
          <cell r="L122">
            <v>12.9</v>
          </cell>
          <cell r="M122">
            <v>6.7</v>
          </cell>
          <cell r="N122">
            <v>1.685385E-3</v>
          </cell>
          <cell r="O122">
            <v>15</v>
          </cell>
          <cell r="P122">
            <v>1.0806790742647061</v>
          </cell>
          <cell r="Q122">
            <v>686.72</v>
          </cell>
          <cell r="R122">
            <v>810.3324673045588</v>
          </cell>
          <cell r="S122">
            <v>11</v>
          </cell>
          <cell r="T122">
            <v>51</v>
          </cell>
          <cell r="U122">
            <v>17</v>
          </cell>
          <cell r="V122">
            <v>10</v>
          </cell>
          <cell r="W122">
            <v>2</v>
          </cell>
          <cell r="X122">
            <v>5</v>
          </cell>
          <cell r="Y122">
            <v>0</v>
          </cell>
          <cell r="Z122">
            <v>18</v>
          </cell>
          <cell r="AA122">
            <v>228.66101694915261</v>
          </cell>
          <cell r="AB122">
            <v>40.516623365227943</v>
          </cell>
          <cell r="AC122">
            <v>24.30997401913676</v>
          </cell>
          <cell r="AD122">
            <v>0</v>
          </cell>
          <cell r="AE122">
            <v>1499</v>
          </cell>
          <cell r="AF122">
            <v>5299</v>
          </cell>
        </row>
        <row r="123">
          <cell r="C123" t="str">
            <v>AM-C35</v>
          </cell>
          <cell r="D123" t="str">
            <v>Microphone</v>
          </cell>
          <cell r="E123" t="str">
            <v>WiredLavalier Microphone</v>
          </cell>
          <cell r="F123">
            <v>4.4999999999999998E-2</v>
          </cell>
          <cell r="G123" t="str">
            <v>AM-C35</v>
          </cell>
          <cell r="H123">
            <v>85181000</v>
          </cell>
          <cell r="I123">
            <v>2.82</v>
          </cell>
          <cell r="J123">
            <v>1.211423529411765E-2</v>
          </cell>
          <cell r="K123">
            <v>12.1</v>
          </cell>
          <cell r="L123">
            <v>9.1999999999999993</v>
          </cell>
          <cell r="M123">
            <v>3.7</v>
          </cell>
          <cell r="N123">
            <v>4.11884E-4</v>
          </cell>
          <cell r="O123">
            <v>15</v>
          </cell>
          <cell r="P123">
            <v>0.46729884882352929</v>
          </cell>
          <cell r="Q123">
            <v>296.95</v>
          </cell>
          <cell r="R123">
            <v>350.39766953329399</v>
          </cell>
          <cell r="S123">
            <v>4.5</v>
          </cell>
          <cell r="T123">
            <v>51</v>
          </cell>
          <cell r="U123">
            <v>17</v>
          </cell>
          <cell r="V123">
            <v>10</v>
          </cell>
          <cell r="W123">
            <v>2</v>
          </cell>
          <cell r="X123">
            <v>5</v>
          </cell>
          <cell r="Y123">
            <v>0</v>
          </cell>
          <cell r="Z123">
            <v>18</v>
          </cell>
          <cell r="AA123">
            <v>91.372881355932179</v>
          </cell>
          <cell r="AB123">
            <v>17.519883476664699</v>
          </cell>
          <cell r="AC123">
            <v>10.51193008599882</v>
          </cell>
          <cell r="AD123">
            <v>0</v>
          </cell>
          <cell r="AE123">
            <v>599</v>
          </cell>
          <cell r="AF123">
            <v>1799</v>
          </cell>
        </row>
        <row r="124">
          <cell r="C124" t="str">
            <v>AI-08</v>
          </cell>
          <cell r="D124" t="str">
            <v>Pro Audio Tools</v>
          </cell>
          <cell r="E124" t="str">
            <v>Line Mixer</v>
          </cell>
          <cell r="F124">
            <v>0.11</v>
          </cell>
          <cell r="G124" t="str">
            <v>AI-08</v>
          </cell>
          <cell r="H124">
            <v>85437029</v>
          </cell>
          <cell r="I124">
            <v>11.3</v>
          </cell>
          <cell r="J124">
            <v>4.4799999999999993E-2</v>
          </cell>
          <cell r="K124">
            <v>20</v>
          </cell>
          <cell r="L124">
            <v>13.6</v>
          </cell>
          <cell r="M124">
            <v>5.6</v>
          </cell>
          <cell r="N124">
            <v>1.5231999999999999E-3</v>
          </cell>
          <cell r="O124">
            <v>7.5</v>
          </cell>
          <cell r="P124">
            <v>0.93594599999999994</v>
          </cell>
          <cell r="Q124">
            <v>1105.27</v>
          </cell>
          <cell r="R124">
            <v>1304.2152252000001</v>
          </cell>
          <cell r="S124">
            <v>11</v>
          </cell>
          <cell r="T124">
            <v>51</v>
          </cell>
          <cell r="U124">
            <v>17</v>
          </cell>
          <cell r="V124">
            <v>10</v>
          </cell>
          <cell r="W124">
            <v>2</v>
          </cell>
          <cell r="X124">
            <v>5</v>
          </cell>
          <cell r="Y124">
            <v>0</v>
          </cell>
          <cell r="Z124">
            <v>18</v>
          </cell>
          <cell r="AA124">
            <v>396.45762711864381</v>
          </cell>
          <cell r="AB124">
            <v>65.210761260000012</v>
          </cell>
          <cell r="AC124">
            <v>39.126456756000003</v>
          </cell>
          <cell r="AD124">
            <v>0</v>
          </cell>
          <cell r="AE124">
            <v>2599</v>
          </cell>
          <cell r="AF124">
            <v>5599</v>
          </cell>
        </row>
        <row r="125">
          <cell r="C125" t="str">
            <v>AI-07</v>
          </cell>
          <cell r="D125" t="str">
            <v>Pro Audio Tools</v>
          </cell>
          <cell r="E125" t="str">
            <v>Headphone Splitter</v>
          </cell>
          <cell r="F125">
            <v>0.11</v>
          </cell>
          <cell r="G125" t="str">
            <v>AI-07</v>
          </cell>
          <cell r="H125">
            <v>85437029</v>
          </cell>
          <cell r="I125">
            <v>11.3</v>
          </cell>
          <cell r="J125">
            <v>4.1074941176470599E-2</v>
          </cell>
          <cell r="K125">
            <v>19.3</v>
          </cell>
          <cell r="L125">
            <v>13.4</v>
          </cell>
          <cell r="M125">
            <v>5.4</v>
          </cell>
          <cell r="N125">
            <v>1.3965480000000001E-3</v>
          </cell>
          <cell r="O125">
            <v>7.5</v>
          </cell>
          <cell r="P125">
            <v>0.93563868264705874</v>
          </cell>
          <cell r="Q125">
            <v>1104.9000000000001</v>
          </cell>
          <cell r="R125">
            <v>1303.7869868500591</v>
          </cell>
          <cell r="S125">
            <v>11</v>
          </cell>
          <cell r="T125">
            <v>51</v>
          </cell>
          <cell r="U125">
            <v>17</v>
          </cell>
          <cell r="V125">
            <v>10</v>
          </cell>
          <cell r="W125">
            <v>2</v>
          </cell>
          <cell r="X125">
            <v>5</v>
          </cell>
          <cell r="Y125">
            <v>0</v>
          </cell>
          <cell r="Z125">
            <v>18</v>
          </cell>
          <cell r="AA125">
            <v>396.45762711864381</v>
          </cell>
          <cell r="AB125">
            <v>65.189349342502936</v>
          </cell>
          <cell r="AC125">
            <v>39.113609605501757</v>
          </cell>
          <cell r="AD125">
            <v>0</v>
          </cell>
          <cell r="AE125">
            <v>2599</v>
          </cell>
          <cell r="AF125">
            <v>5599</v>
          </cell>
        </row>
        <row r="126">
          <cell r="C126" t="str">
            <v>AM-C34</v>
          </cell>
          <cell r="D126" t="str">
            <v>Microphone</v>
          </cell>
          <cell r="E126" t="str">
            <v>WiredLavalier Microphone</v>
          </cell>
          <cell r="F126">
            <v>4.4999999999999998E-2</v>
          </cell>
          <cell r="G126" t="str">
            <v>AM-C34</v>
          </cell>
          <cell r="H126">
            <v>85181000</v>
          </cell>
          <cell r="I126">
            <v>2.02</v>
          </cell>
          <cell r="J126">
            <v>1.221435294117647E-2</v>
          </cell>
          <cell r="K126">
            <v>12.2</v>
          </cell>
          <cell r="L126">
            <v>9.1999999999999993</v>
          </cell>
          <cell r="M126">
            <v>3.7</v>
          </cell>
          <cell r="N126">
            <v>4.1528799999999988E-4</v>
          </cell>
          <cell r="O126">
            <v>15</v>
          </cell>
          <cell r="P126">
            <v>0.33531536823529412</v>
          </cell>
          <cell r="Q126">
            <v>213.08</v>
          </cell>
          <cell r="R126">
            <v>251.43165638894121</v>
          </cell>
          <cell r="S126">
            <v>4.5</v>
          </cell>
          <cell r="T126">
            <v>51</v>
          </cell>
          <cell r="U126">
            <v>17</v>
          </cell>
          <cell r="V126">
            <v>10</v>
          </cell>
          <cell r="W126">
            <v>2</v>
          </cell>
          <cell r="X126">
            <v>5</v>
          </cell>
          <cell r="Y126">
            <v>0</v>
          </cell>
          <cell r="Z126">
            <v>18</v>
          </cell>
          <cell r="AA126">
            <v>57.813559322033882</v>
          </cell>
          <cell r="AB126">
            <v>12.571582819447061</v>
          </cell>
          <cell r="AC126">
            <v>7.5429496916682348</v>
          </cell>
          <cell r="AD126">
            <v>0</v>
          </cell>
          <cell r="AE126">
            <v>379</v>
          </cell>
          <cell r="AF126">
            <v>1599</v>
          </cell>
        </row>
        <row r="127">
          <cell r="C127" t="str">
            <v>AM-C24</v>
          </cell>
          <cell r="D127" t="str">
            <v>Microphone</v>
          </cell>
          <cell r="E127" t="str">
            <v>USB Microphone Kit - Tripod</v>
          </cell>
          <cell r="F127">
            <v>0.11</v>
          </cell>
          <cell r="G127" t="str">
            <v>AM-C24</v>
          </cell>
          <cell r="H127">
            <v>85181000</v>
          </cell>
          <cell r="I127">
            <v>12.9</v>
          </cell>
          <cell r="J127">
            <v>8.2232029411764704E-2</v>
          </cell>
          <cell r="K127">
            <v>25.1</v>
          </cell>
          <cell r="L127">
            <v>14.1</v>
          </cell>
          <cell r="M127">
            <v>7.9</v>
          </cell>
          <cell r="N127">
            <v>2.7958890000000002E-3</v>
          </cell>
          <cell r="O127">
            <v>15</v>
          </cell>
          <cell r="P127">
            <v>2.1420682848529409</v>
          </cell>
          <cell r="Q127">
            <v>1361.19</v>
          </cell>
          <cell r="R127">
            <v>1606.2006933749119</v>
          </cell>
          <cell r="S127">
            <v>11</v>
          </cell>
          <cell r="T127">
            <v>51</v>
          </cell>
          <cell r="U127">
            <v>17</v>
          </cell>
          <cell r="V127">
            <v>10</v>
          </cell>
          <cell r="W127">
            <v>2</v>
          </cell>
          <cell r="X127">
            <v>5</v>
          </cell>
          <cell r="Y127">
            <v>0</v>
          </cell>
          <cell r="Z127">
            <v>18</v>
          </cell>
          <cell r="AA127">
            <v>365.94915254237281</v>
          </cell>
          <cell r="AB127">
            <v>80.310034668745587</v>
          </cell>
          <cell r="AC127">
            <v>48.186020801247352</v>
          </cell>
          <cell r="AD127">
            <v>0</v>
          </cell>
          <cell r="AE127">
            <v>2399</v>
          </cell>
          <cell r="AF127">
            <v>5399</v>
          </cell>
        </row>
        <row r="128">
          <cell r="C128" t="str">
            <v>AA-10</v>
          </cell>
          <cell r="D128" t="str">
            <v>Microphone Accessories</v>
          </cell>
          <cell r="E128" t="str">
            <v>Boom Arm</v>
          </cell>
          <cell r="F128">
            <v>0.11</v>
          </cell>
          <cell r="G128" t="str">
            <v>AA-10</v>
          </cell>
          <cell r="H128">
            <v>85189000</v>
          </cell>
          <cell r="I128">
            <v>17.5</v>
          </cell>
          <cell r="J128">
            <v>0.227717794117647</v>
          </cell>
          <cell r="K128">
            <v>58.9</v>
          </cell>
          <cell r="L128">
            <v>23.9</v>
          </cell>
          <cell r="M128">
            <v>5.5</v>
          </cell>
          <cell r="N128">
            <v>7.7424049999999991E-3</v>
          </cell>
          <cell r="O128">
            <v>15</v>
          </cell>
          <cell r="P128">
            <v>2.9250734360294111</v>
          </cell>
          <cell r="Q128">
            <v>1858.75</v>
          </cell>
          <cell r="R128">
            <v>2193.3264286416179</v>
          </cell>
          <cell r="S128">
            <v>11</v>
          </cell>
          <cell r="T128">
            <v>51</v>
          </cell>
          <cell r="U128">
            <v>27</v>
          </cell>
          <cell r="V128">
            <v>10</v>
          </cell>
          <cell r="W128">
            <v>2</v>
          </cell>
          <cell r="X128">
            <v>5</v>
          </cell>
          <cell r="Y128">
            <v>0</v>
          </cell>
          <cell r="Z128">
            <v>18</v>
          </cell>
          <cell r="AA128">
            <v>487.98305084745738</v>
          </cell>
          <cell r="AB128">
            <v>109.66632143208091</v>
          </cell>
          <cell r="AC128">
            <v>65.799792859248541</v>
          </cell>
          <cell r="AD128">
            <v>0</v>
          </cell>
          <cell r="AE128">
            <v>3199</v>
          </cell>
          <cell r="AF128">
            <v>7399</v>
          </cell>
        </row>
        <row r="129">
          <cell r="C129" t="str">
            <v>AM-C14</v>
          </cell>
          <cell r="D129" t="str">
            <v>Microphone</v>
          </cell>
          <cell r="E129" t="str">
            <v>Condenser Shotgun Mic</v>
          </cell>
          <cell r="F129">
            <v>0.11</v>
          </cell>
          <cell r="G129" t="str">
            <v>AM-C14</v>
          </cell>
          <cell r="H129">
            <v>85181000</v>
          </cell>
          <cell r="I129">
            <v>7.62</v>
          </cell>
          <cell r="J129">
            <v>6.8272941176470592E-2</v>
          </cell>
          <cell r="K129">
            <v>19.2</v>
          </cell>
          <cell r="L129">
            <v>13</v>
          </cell>
          <cell r="M129">
            <v>9.3000000000000007</v>
          </cell>
          <cell r="N129">
            <v>2.3212799999999998E-3</v>
          </cell>
          <cell r="O129">
            <v>15</v>
          </cell>
          <cell r="P129">
            <v>1.268565035294118</v>
          </cell>
          <cell r="Q129">
            <v>806.12</v>
          </cell>
          <cell r="R129">
            <v>951.21619310117649</v>
          </cell>
          <cell r="S129">
            <v>11</v>
          </cell>
          <cell r="T129">
            <v>51</v>
          </cell>
          <cell r="U129">
            <v>17</v>
          </cell>
          <cell r="V129">
            <v>10</v>
          </cell>
          <cell r="W129">
            <v>2</v>
          </cell>
          <cell r="X129">
            <v>5</v>
          </cell>
          <cell r="Y129">
            <v>0</v>
          </cell>
          <cell r="Z129">
            <v>18</v>
          </cell>
          <cell r="AA129">
            <v>259.16949152542361</v>
          </cell>
          <cell r="AB129">
            <v>47.560809655058833</v>
          </cell>
          <cell r="AC129">
            <v>28.53648579303529</v>
          </cell>
          <cell r="AD129">
            <v>0</v>
          </cell>
          <cell r="AE129">
            <v>1699</v>
          </cell>
          <cell r="AF129">
            <v>3599</v>
          </cell>
        </row>
        <row r="130">
          <cell r="C130" t="str">
            <v>AA-11</v>
          </cell>
          <cell r="D130" t="str">
            <v>Microphone Accessories</v>
          </cell>
          <cell r="E130" t="str">
            <v>Boom Arm</v>
          </cell>
          <cell r="F130">
            <v>0.11</v>
          </cell>
          <cell r="G130" t="str">
            <v>AA-11</v>
          </cell>
          <cell r="H130">
            <v>85189000</v>
          </cell>
          <cell r="I130">
            <v>10.79</v>
          </cell>
          <cell r="J130">
            <v>0.156585</v>
          </cell>
          <cell r="K130">
            <v>44.2</v>
          </cell>
          <cell r="L130">
            <v>21.9</v>
          </cell>
          <cell r="M130">
            <v>5.5</v>
          </cell>
          <cell r="N130">
            <v>5.3238900000000004E-3</v>
          </cell>
          <cell r="O130">
            <v>15</v>
          </cell>
          <cell r="P130">
            <v>1.806186525</v>
          </cell>
          <cell r="Q130">
            <v>1147.75</v>
          </cell>
          <cell r="R130">
            <v>1354.3443359549999</v>
          </cell>
          <cell r="S130">
            <v>11</v>
          </cell>
          <cell r="T130">
            <v>51</v>
          </cell>
          <cell r="U130">
            <v>22</v>
          </cell>
          <cell r="V130">
            <v>10</v>
          </cell>
          <cell r="W130">
            <v>2</v>
          </cell>
          <cell r="X130">
            <v>5</v>
          </cell>
          <cell r="Y130">
            <v>0</v>
          </cell>
          <cell r="Z130">
            <v>18</v>
          </cell>
          <cell r="AA130">
            <v>381.20338983050851</v>
          </cell>
          <cell r="AB130">
            <v>67.717216797749984</v>
          </cell>
          <cell r="AC130">
            <v>40.63033007864999</v>
          </cell>
          <cell r="AD130">
            <v>0</v>
          </cell>
          <cell r="AE130">
            <v>2499</v>
          </cell>
          <cell r="AF130">
            <v>4999</v>
          </cell>
        </row>
        <row r="131">
          <cell r="C131" t="str">
            <v>AM-C26</v>
          </cell>
          <cell r="D131" t="str">
            <v>Microphone</v>
          </cell>
          <cell r="E131" t="str">
            <v>USB Microphone Kit - Boomarm</v>
          </cell>
          <cell r="F131">
            <v>0.11</v>
          </cell>
          <cell r="G131" t="str">
            <v>AM-C26</v>
          </cell>
          <cell r="H131">
            <v>85181000</v>
          </cell>
          <cell r="I131">
            <v>14.7</v>
          </cell>
          <cell r="J131">
            <v>0.18991247058823529</v>
          </cell>
          <cell r="K131">
            <v>44.8</v>
          </cell>
          <cell r="L131">
            <v>20.3</v>
          </cell>
          <cell r="M131">
            <v>7.1</v>
          </cell>
          <cell r="N131">
            <v>6.4570239999999996E-3</v>
          </cell>
          <cell r="O131">
            <v>15</v>
          </cell>
          <cell r="P131">
            <v>2.4568355576470582</v>
          </cell>
          <cell r="Q131">
            <v>1561.21</v>
          </cell>
          <cell r="R131">
            <v>1842.2246405985879</v>
          </cell>
          <cell r="S131">
            <v>11</v>
          </cell>
          <cell r="T131">
            <v>51</v>
          </cell>
          <cell r="U131">
            <v>22</v>
          </cell>
          <cell r="V131">
            <v>10</v>
          </cell>
          <cell r="W131">
            <v>2</v>
          </cell>
          <cell r="X131">
            <v>5</v>
          </cell>
          <cell r="Y131">
            <v>0</v>
          </cell>
          <cell r="Z131">
            <v>18</v>
          </cell>
          <cell r="AA131">
            <v>327.81355932203383</v>
          </cell>
          <cell r="AB131">
            <v>92.111232029929397</v>
          </cell>
          <cell r="AC131">
            <v>55.266739217957642</v>
          </cell>
          <cell r="AD131">
            <v>0</v>
          </cell>
          <cell r="AE131">
            <v>2149</v>
          </cell>
          <cell r="AF131">
            <v>6499</v>
          </cell>
        </row>
        <row r="132">
          <cell r="C132" t="str">
            <v>AI-04 Black</v>
          </cell>
          <cell r="D132" t="str">
            <v>Audio Interface</v>
          </cell>
          <cell r="E132" t="str">
            <v>4 Channel Audio Interface</v>
          </cell>
          <cell r="F132">
            <v>0.11</v>
          </cell>
          <cell r="G132" t="str">
            <v>AI-04 Black</v>
          </cell>
          <cell r="H132">
            <v>85437029</v>
          </cell>
          <cell r="I132">
            <v>20.2</v>
          </cell>
          <cell r="J132">
            <v>7.9945411764705862E-2</v>
          </cell>
          <cell r="K132">
            <v>26.4</v>
          </cell>
          <cell r="L132">
            <v>14.3</v>
          </cell>
          <cell r="M132">
            <v>7.2</v>
          </cell>
          <cell r="N132">
            <v>2.718144E-3</v>
          </cell>
          <cell r="O132">
            <v>7.5</v>
          </cell>
          <cell r="P132">
            <v>1.673095496470588</v>
          </cell>
          <cell r="Q132">
            <v>1975.77</v>
          </cell>
          <cell r="R132">
            <v>2331.4129444545879</v>
          </cell>
          <cell r="S132">
            <v>11</v>
          </cell>
          <cell r="T132">
            <v>51</v>
          </cell>
          <cell r="U132">
            <v>17</v>
          </cell>
          <cell r="V132">
            <v>10</v>
          </cell>
          <cell r="W132">
            <v>2</v>
          </cell>
          <cell r="X132">
            <v>5</v>
          </cell>
          <cell r="Y132">
            <v>0</v>
          </cell>
          <cell r="Z132">
            <v>18</v>
          </cell>
          <cell r="AA132">
            <v>610.01694915254211</v>
          </cell>
          <cell r="AB132">
            <v>116.57064722272941</v>
          </cell>
          <cell r="AC132">
            <v>69.942388333637638</v>
          </cell>
          <cell r="AD132">
            <v>0</v>
          </cell>
          <cell r="AE132">
            <v>3999</v>
          </cell>
          <cell r="AF132">
            <v>9999</v>
          </cell>
        </row>
        <row r="133">
          <cell r="C133" t="str">
            <v>AM-C1</v>
          </cell>
          <cell r="D133" t="str">
            <v>Microphone</v>
          </cell>
          <cell r="E133" t="str">
            <v>Condenser Mic with Boom Arm</v>
          </cell>
          <cell r="F133">
            <v>0.11</v>
          </cell>
          <cell r="G133" t="str">
            <v>AM-C1</v>
          </cell>
          <cell r="H133">
            <v>85181000</v>
          </cell>
          <cell r="I133">
            <v>11</v>
          </cell>
          <cell r="J133">
            <v>0.22826164705882351</v>
          </cell>
          <cell r="K133">
            <v>42.4</v>
          </cell>
          <cell r="L133">
            <v>20.8</v>
          </cell>
          <cell r="M133">
            <v>8.8000000000000007</v>
          </cell>
          <cell r="N133">
            <v>7.7608960000000006E-3</v>
          </cell>
          <cell r="O133">
            <v>15</v>
          </cell>
          <cell r="P133">
            <v>1.852663171764706</v>
          </cell>
          <cell r="Q133">
            <v>1177.28</v>
          </cell>
          <cell r="R133">
            <v>1389.194215759059</v>
          </cell>
          <cell r="S133">
            <v>11</v>
          </cell>
          <cell r="T133">
            <v>51</v>
          </cell>
          <cell r="U133">
            <v>22</v>
          </cell>
          <cell r="V133">
            <v>10</v>
          </cell>
          <cell r="W133">
            <v>2</v>
          </cell>
          <cell r="X133">
            <v>5</v>
          </cell>
          <cell r="Y133">
            <v>0</v>
          </cell>
          <cell r="Z133">
            <v>18</v>
          </cell>
          <cell r="AB133">
            <v>69.459710787952929</v>
          </cell>
          <cell r="AC133">
            <v>41.675826472771753</v>
          </cell>
          <cell r="AD133">
            <v>0</v>
          </cell>
        </row>
        <row r="134">
          <cell r="C134" t="str">
            <v>AM-C16</v>
          </cell>
          <cell r="D134" t="str">
            <v>Microphone</v>
          </cell>
          <cell r="E134" t="str">
            <v>WiredLavalier Microphone</v>
          </cell>
          <cell r="F134">
            <v>4.4999999999999998E-2</v>
          </cell>
          <cell r="G134" t="str">
            <v>AM-C16</v>
          </cell>
          <cell r="H134">
            <v>85181000</v>
          </cell>
          <cell r="I134">
            <v>2.2200000000000002</v>
          </cell>
          <cell r="J134">
            <v>1.211423529411765E-2</v>
          </cell>
          <cell r="K134">
            <v>12.1</v>
          </cell>
          <cell r="L134">
            <v>9.1999999999999993</v>
          </cell>
          <cell r="M134">
            <v>3.7</v>
          </cell>
          <cell r="N134">
            <v>4.11884E-4</v>
          </cell>
          <cell r="O134">
            <v>15</v>
          </cell>
          <cell r="P134">
            <v>0.36829884882352942</v>
          </cell>
          <cell r="Q134">
            <v>234.04</v>
          </cell>
          <cell r="R134">
            <v>276.16386953329408</v>
          </cell>
          <cell r="S134">
            <v>4.5</v>
          </cell>
          <cell r="T134">
            <v>51</v>
          </cell>
          <cell r="U134">
            <v>17</v>
          </cell>
          <cell r="V134">
            <v>10</v>
          </cell>
          <cell r="W134">
            <v>2</v>
          </cell>
          <cell r="X134">
            <v>5</v>
          </cell>
          <cell r="Y134">
            <v>0</v>
          </cell>
          <cell r="Z134">
            <v>18</v>
          </cell>
          <cell r="AA134">
            <v>68.491525423728774</v>
          </cell>
          <cell r="AB134">
            <v>13.808193476664711</v>
          </cell>
          <cell r="AC134">
            <v>8.2849160859988231</v>
          </cell>
          <cell r="AD134">
            <v>0</v>
          </cell>
          <cell r="AE134">
            <v>449</v>
          </cell>
          <cell r="AF134">
            <v>1299</v>
          </cell>
        </row>
        <row r="135">
          <cell r="C135" t="str">
            <v>AM-C21</v>
          </cell>
          <cell r="D135" t="str">
            <v>Microphone</v>
          </cell>
          <cell r="E135" t="str">
            <v>USB Microphone Kit - Tripod</v>
          </cell>
          <cell r="F135">
            <v>0.11</v>
          </cell>
          <cell r="G135" t="str">
            <v>AM-C21</v>
          </cell>
          <cell r="H135">
            <v>85181000</v>
          </cell>
          <cell r="I135">
            <v>11.43</v>
          </cell>
          <cell r="J135">
            <v>4.9742911764705883E-2</v>
          </cell>
          <cell r="K135">
            <v>19.3</v>
          </cell>
          <cell r="L135">
            <v>12.7</v>
          </cell>
          <cell r="M135">
            <v>6.9</v>
          </cell>
          <cell r="N135">
            <v>1.6912590000000001E-3</v>
          </cell>
          <cell r="O135">
            <v>15</v>
          </cell>
          <cell r="P135">
            <v>1.8941575804411761</v>
          </cell>
          <cell r="Q135">
            <v>1203.6500000000001</v>
          </cell>
          <cell r="R135">
            <v>1420.3082322722651</v>
          </cell>
          <cell r="S135">
            <v>11</v>
          </cell>
          <cell r="T135">
            <v>51</v>
          </cell>
          <cell r="U135">
            <v>17</v>
          </cell>
          <cell r="V135">
            <v>10</v>
          </cell>
          <cell r="W135">
            <v>2</v>
          </cell>
          <cell r="X135">
            <v>5</v>
          </cell>
          <cell r="Y135">
            <v>0</v>
          </cell>
          <cell r="Z135">
            <v>18</v>
          </cell>
          <cell r="AA135">
            <v>381.20338983050851</v>
          </cell>
          <cell r="AB135">
            <v>71.015411613613239</v>
          </cell>
          <cell r="AC135">
            <v>42.609246968167938</v>
          </cell>
          <cell r="AD135">
            <v>0</v>
          </cell>
          <cell r="AE135">
            <v>2499</v>
          </cell>
          <cell r="AF135">
            <v>5199</v>
          </cell>
        </row>
        <row r="136">
          <cell r="C136" t="str">
            <v>AI-02</v>
          </cell>
          <cell r="D136" t="str">
            <v>Audio Interface</v>
          </cell>
          <cell r="E136" t="str">
            <v>4 Channel Audio Interface</v>
          </cell>
          <cell r="F136">
            <v>0.11</v>
          </cell>
          <cell r="G136" t="str">
            <v>AI-02</v>
          </cell>
          <cell r="H136">
            <v>85437029</v>
          </cell>
          <cell r="I136">
            <v>31</v>
          </cell>
          <cell r="J136">
            <v>6.0127941176470599E-2</v>
          </cell>
          <cell r="K136">
            <v>23.1</v>
          </cell>
          <cell r="L136">
            <v>15</v>
          </cell>
          <cell r="M136">
            <v>5.9</v>
          </cell>
          <cell r="N136">
            <v>2.0443499999999999E-3</v>
          </cell>
          <cell r="O136">
            <v>7.5</v>
          </cell>
          <cell r="P136">
            <v>2.5624605551470592</v>
          </cell>
          <cell r="Q136">
            <v>3026.03</v>
          </cell>
          <cell r="R136">
            <v>3570.718898309558</v>
          </cell>
          <cell r="S136">
            <v>11</v>
          </cell>
          <cell r="T136">
            <v>51</v>
          </cell>
          <cell r="U136">
            <v>17</v>
          </cell>
          <cell r="V136">
            <v>10</v>
          </cell>
          <cell r="W136">
            <v>2</v>
          </cell>
          <cell r="X136">
            <v>5</v>
          </cell>
          <cell r="Y136">
            <v>0</v>
          </cell>
          <cell r="Z136">
            <v>18</v>
          </cell>
          <cell r="AA136">
            <v>1067.64406779661</v>
          </cell>
          <cell r="AB136">
            <v>178.5359449154779</v>
          </cell>
          <cell r="AC136">
            <v>107.1215669492867</v>
          </cell>
          <cell r="AD136">
            <v>0</v>
          </cell>
          <cell r="AE136">
            <v>6999</v>
          </cell>
          <cell r="AF136">
            <v>12499</v>
          </cell>
        </row>
        <row r="137">
          <cell r="C137" t="str">
            <v>AA-09</v>
          </cell>
          <cell r="D137" t="str">
            <v>Microphone Accessories</v>
          </cell>
          <cell r="E137" t="str">
            <v>Boom Arm</v>
          </cell>
          <cell r="F137">
            <v>0.11</v>
          </cell>
          <cell r="G137" t="str">
            <v>AA-09</v>
          </cell>
          <cell r="H137">
            <v>85189000</v>
          </cell>
          <cell r="I137">
            <v>14.6</v>
          </cell>
          <cell r="J137">
            <v>0.14601600000000001</v>
          </cell>
          <cell r="K137">
            <v>44.2</v>
          </cell>
          <cell r="L137">
            <v>21.6</v>
          </cell>
          <cell r="M137">
            <v>5.2</v>
          </cell>
          <cell r="N137">
            <v>4.9645440000000004E-3</v>
          </cell>
          <cell r="O137">
            <v>15</v>
          </cell>
          <cell r="P137">
            <v>2.433092639999999</v>
          </cell>
          <cell r="Q137">
            <v>1546.12</v>
          </cell>
          <cell r="R137">
            <v>1824.4213375679999</v>
          </cell>
          <cell r="S137">
            <v>11</v>
          </cell>
          <cell r="T137">
            <v>51</v>
          </cell>
          <cell r="U137">
            <v>22</v>
          </cell>
          <cell r="V137">
            <v>10</v>
          </cell>
          <cell r="W137">
            <v>2</v>
          </cell>
          <cell r="X137">
            <v>5</v>
          </cell>
          <cell r="Y137">
            <v>0</v>
          </cell>
          <cell r="Z137">
            <v>18</v>
          </cell>
          <cell r="AA137">
            <v>457.47457627118638</v>
          </cell>
          <cell r="AB137">
            <v>91.221066878399995</v>
          </cell>
          <cell r="AC137">
            <v>54.732640127039993</v>
          </cell>
          <cell r="AD137">
            <v>0</v>
          </cell>
          <cell r="AE137">
            <v>2999</v>
          </cell>
          <cell r="AF137">
            <v>6399</v>
          </cell>
        </row>
        <row r="138">
          <cell r="C138" t="str">
            <v>AA-13</v>
          </cell>
          <cell r="D138" t="str">
            <v>Microphone Accessories</v>
          </cell>
          <cell r="E138" t="str">
            <v>Boom Arm</v>
          </cell>
          <cell r="F138">
            <v>0.11</v>
          </cell>
          <cell r="G138" t="str">
            <v>AA-13</v>
          </cell>
          <cell r="H138">
            <v>85189000</v>
          </cell>
          <cell r="I138">
            <v>8.98</v>
          </cell>
          <cell r="J138">
            <v>0.26053914705882347</v>
          </cell>
          <cell r="K138">
            <v>41.7</v>
          </cell>
          <cell r="L138">
            <v>21.9</v>
          </cell>
          <cell r="M138">
            <v>9.6999999999999993</v>
          </cell>
          <cell r="N138">
            <v>8.8583310000000005E-3</v>
          </cell>
          <cell r="O138">
            <v>15</v>
          </cell>
          <cell r="P138">
            <v>1.5246889592647059</v>
          </cell>
          <cell r="Q138">
            <v>968.87</v>
          </cell>
          <cell r="R138">
            <v>1143.267224891559</v>
          </cell>
          <cell r="S138">
            <v>11</v>
          </cell>
          <cell r="T138">
            <v>51</v>
          </cell>
          <cell r="U138">
            <v>22</v>
          </cell>
          <cell r="V138">
            <v>10</v>
          </cell>
          <cell r="W138">
            <v>2</v>
          </cell>
          <cell r="X138">
            <v>5</v>
          </cell>
          <cell r="Y138">
            <v>0</v>
          </cell>
          <cell r="Z138">
            <v>18</v>
          </cell>
          <cell r="AA138">
            <v>320.18644067796589</v>
          </cell>
          <cell r="AB138">
            <v>57.163361244577942</v>
          </cell>
          <cell r="AC138">
            <v>34.298016746746761</v>
          </cell>
          <cell r="AD138">
            <v>0</v>
          </cell>
          <cell r="AE138">
            <v>2099</v>
          </cell>
          <cell r="AF138">
            <v>3999</v>
          </cell>
        </row>
        <row r="139">
          <cell r="C139" t="str">
            <v>AA-14</v>
          </cell>
          <cell r="D139" t="str">
            <v>Microphone Accessories</v>
          </cell>
          <cell r="E139" t="str">
            <v>Boom Arm</v>
          </cell>
          <cell r="F139">
            <v>0.11</v>
          </cell>
          <cell r="G139" t="str">
            <v>AA-14</v>
          </cell>
          <cell r="H139">
            <v>85189000</v>
          </cell>
          <cell r="I139">
            <v>9.86</v>
          </cell>
          <cell r="J139">
            <v>0.30391447058823529</v>
          </cell>
          <cell r="K139">
            <v>58.3</v>
          </cell>
          <cell r="L139">
            <v>21.1</v>
          </cell>
          <cell r="M139">
            <v>8.4</v>
          </cell>
          <cell r="N139">
            <v>1.0333092E-2</v>
          </cell>
          <cell r="O139">
            <v>15</v>
          </cell>
          <cell r="P139">
            <v>1.6770458876470591</v>
          </cell>
          <cell r="Q139">
            <v>1065.69</v>
          </cell>
          <cell r="R139">
            <v>1257.509990044588</v>
          </cell>
          <cell r="S139">
            <v>11</v>
          </cell>
          <cell r="T139">
            <v>51</v>
          </cell>
          <cell r="U139">
            <v>27</v>
          </cell>
          <cell r="V139">
            <v>10</v>
          </cell>
          <cell r="W139">
            <v>2</v>
          </cell>
          <cell r="X139">
            <v>5</v>
          </cell>
          <cell r="Y139">
            <v>0</v>
          </cell>
          <cell r="Z139">
            <v>18</v>
          </cell>
          <cell r="AA139">
            <v>350.69491525423717</v>
          </cell>
          <cell r="AB139">
            <v>62.875499502229403</v>
          </cell>
          <cell r="AC139">
            <v>37.72529970133764</v>
          </cell>
          <cell r="AD139">
            <v>0</v>
          </cell>
          <cell r="AE139">
            <v>2299</v>
          </cell>
          <cell r="AF139">
            <v>4299</v>
          </cell>
        </row>
        <row r="140">
          <cell r="C140" t="str">
            <v>AA-15</v>
          </cell>
          <cell r="D140" t="str">
            <v>Microphone Accessories</v>
          </cell>
          <cell r="E140" t="str">
            <v>Boom Arm</v>
          </cell>
          <cell r="F140">
            <v>0.11</v>
          </cell>
          <cell r="G140" t="str">
            <v>AA-15</v>
          </cell>
          <cell r="H140">
            <v>85189000</v>
          </cell>
          <cell r="I140">
            <v>15</v>
          </cell>
          <cell r="J140">
            <v>0.35214352941176469</v>
          </cell>
          <cell r="K140">
            <v>96.4</v>
          </cell>
          <cell r="L140">
            <v>13.8</v>
          </cell>
          <cell r="M140">
            <v>9</v>
          </cell>
          <cell r="N140">
            <v>1.197288E-2</v>
          </cell>
          <cell r="O140">
            <v>15</v>
          </cell>
          <cell r="P140">
            <v>2.5331036823529409</v>
          </cell>
          <cell r="Q140">
            <v>1609.67</v>
          </cell>
          <cell r="R140">
            <v>1899.4132538894121</v>
          </cell>
          <cell r="S140">
            <v>11</v>
          </cell>
          <cell r="T140">
            <v>51</v>
          </cell>
          <cell r="U140">
            <v>27</v>
          </cell>
          <cell r="V140">
            <v>10</v>
          </cell>
          <cell r="W140">
            <v>2</v>
          </cell>
          <cell r="X140">
            <v>5</v>
          </cell>
          <cell r="Y140">
            <v>0</v>
          </cell>
          <cell r="Z140">
            <v>18</v>
          </cell>
          <cell r="AA140">
            <v>610.01694915254211</v>
          </cell>
          <cell r="AB140">
            <v>94.97066269447059</v>
          </cell>
          <cell r="AC140">
            <v>56.982397616682348</v>
          </cell>
          <cell r="AD140">
            <v>0</v>
          </cell>
          <cell r="AE140">
            <v>3999</v>
          </cell>
          <cell r="AF140">
            <v>9999</v>
          </cell>
        </row>
        <row r="141">
          <cell r="C141" t="str">
            <v>AA-16</v>
          </cell>
          <cell r="D141" t="str">
            <v>Microphone Accessories</v>
          </cell>
          <cell r="E141" t="str">
            <v>Boom Arm</v>
          </cell>
          <cell r="F141">
            <v>0.11</v>
          </cell>
          <cell r="G141" t="str">
            <v>AA-16</v>
          </cell>
          <cell r="H141">
            <v>85189000</v>
          </cell>
          <cell r="I141">
            <v>16.2</v>
          </cell>
          <cell r="N141">
            <v>0</v>
          </cell>
          <cell r="O141">
            <v>15</v>
          </cell>
          <cell r="Q141">
            <v>1698.57</v>
          </cell>
          <cell r="S141">
            <v>11</v>
          </cell>
          <cell r="U141">
            <v>0</v>
          </cell>
          <cell r="V141">
            <v>10</v>
          </cell>
          <cell r="W141">
            <v>2</v>
          </cell>
          <cell r="X141">
            <v>5</v>
          </cell>
          <cell r="Y141">
            <v>0</v>
          </cell>
          <cell r="Z141">
            <v>18</v>
          </cell>
          <cell r="AA141">
            <v>686.28813559321998</v>
          </cell>
          <cell r="AD141">
            <v>0</v>
          </cell>
          <cell r="AE141">
            <v>4499</v>
          </cell>
          <cell r="AF141">
            <v>8999</v>
          </cell>
        </row>
        <row r="142">
          <cell r="C142" t="str">
            <v>AA-23</v>
          </cell>
          <cell r="D142" t="str">
            <v>Microphone Accessories</v>
          </cell>
          <cell r="E142" t="str">
            <v>Accessories</v>
          </cell>
          <cell r="F142">
            <v>0.11</v>
          </cell>
          <cell r="G142" t="str">
            <v>AA-23</v>
          </cell>
          <cell r="H142">
            <v>85189000</v>
          </cell>
          <cell r="I142">
            <v>25.5</v>
          </cell>
          <cell r="N142">
            <v>0</v>
          </cell>
          <cell r="O142">
            <v>15</v>
          </cell>
          <cell r="Q142">
            <v>2673.68</v>
          </cell>
          <cell r="S142">
            <v>11</v>
          </cell>
          <cell r="U142">
            <v>0</v>
          </cell>
          <cell r="V142">
            <v>10</v>
          </cell>
          <cell r="W142">
            <v>2</v>
          </cell>
          <cell r="X142">
            <v>5</v>
          </cell>
          <cell r="Y142">
            <v>0</v>
          </cell>
          <cell r="Z142">
            <v>18</v>
          </cell>
          <cell r="AA142">
            <v>991.3728813559319</v>
          </cell>
          <cell r="AD142">
            <v>0</v>
          </cell>
          <cell r="AE142">
            <v>6499</v>
          </cell>
          <cell r="AF142">
            <v>12999</v>
          </cell>
        </row>
        <row r="143">
          <cell r="C143" t="str">
            <v>AA-24</v>
          </cell>
          <cell r="D143" t="str">
            <v>Microphone Accessories</v>
          </cell>
          <cell r="E143" t="str">
            <v>Accessories</v>
          </cell>
          <cell r="F143">
            <v>0.11</v>
          </cell>
          <cell r="G143" t="str">
            <v>AA-24</v>
          </cell>
          <cell r="H143">
            <v>85189000</v>
          </cell>
          <cell r="I143">
            <v>29</v>
          </cell>
          <cell r="N143">
            <v>0</v>
          </cell>
          <cell r="O143">
            <v>15</v>
          </cell>
          <cell r="Q143">
            <v>3040.65</v>
          </cell>
          <cell r="S143">
            <v>11</v>
          </cell>
          <cell r="U143">
            <v>0</v>
          </cell>
          <cell r="V143">
            <v>10</v>
          </cell>
          <cell r="W143">
            <v>2</v>
          </cell>
          <cell r="X143">
            <v>5</v>
          </cell>
          <cell r="Y143">
            <v>0</v>
          </cell>
          <cell r="Z143">
            <v>18</v>
          </cell>
          <cell r="AA143">
            <v>991.3728813559319</v>
          </cell>
          <cell r="AD143">
            <v>0</v>
          </cell>
          <cell r="AE143">
            <v>6499</v>
          </cell>
          <cell r="AF143">
            <v>14999</v>
          </cell>
        </row>
        <row r="144">
          <cell r="C144" t="str">
            <v>AI-05</v>
          </cell>
          <cell r="D144" t="str">
            <v>Audio Interface</v>
          </cell>
          <cell r="E144" t="str">
            <v>5 Channel Audio Interface</v>
          </cell>
          <cell r="F144">
            <v>0.11</v>
          </cell>
          <cell r="G144" t="str">
            <v>AI-05</v>
          </cell>
          <cell r="H144">
            <v>85437029</v>
          </cell>
          <cell r="I144">
            <v>40</v>
          </cell>
          <cell r="J144">
            <v>0.1260527058823529</v>
          </cell>
          <cell r="K144">
            <v>37.1</v>
          </cell>
          <cell r="L144">
            <v>15.2</v>
          </cell>
          <cell r="M144">
            <v>7.6</v>
          </cell>
          <cell r="N144">
            <v>4.2857919999999992E-3</v>
          </cell>
          <cell r="O144">
            <v>7.5</v>
          </cell>
          <cell r="P144">
            <v>3.3103993482352929</v>
          </cell>
          <cell r="Q144">
            <v>3909.28</v>
          </cell>
          <cell r="R144">
            <v>4612.951208147294</v>
          </cell>
          <cell r="S144">
            <v>11</v>
          </cell>
          <cell r="T144">
            <v>51</v>
          </cell>
          <cell r="U144">
            <v>22</v>
          </cell>
          <cell r="V144">
            <v>10</v>
          </cell>
          <cell r="W144">
            <v>2</v>
          </cell>
          <cell r="X144">
            <v>5</v>
          </cell>
          <cell r="Y144">
            <v>0</v>
          </cell>
          <cell r="Z144">
            <v>18</v>
          </cell>
          <cell r="AA144">
            <v>1525.271186440677</v>
          </cell>
          <cell r="AB144">
            <v>230.64756040736469</v>
          </cell>
          <cell r="AC144">
            <v>138.38853624441879</v>
          </cell>
          <cell r="AD144">
            <v>0</v>
          </cell>
          <cell r="AE144">
            <v>9999</v>
          </cell>
          <cell r="AF144">
            <v>19999</v>
          </cell>
        </row>
        <row r="145">
          <cell r="C145" t="str">
            <v>AB-02 (AI-04 Red + AM-C2)</v>
          </cell>
          <cell r="D145" t="str">
            <v>Bundles</v>
          </cell>
          <cell r="E145" t="str">
            <v>Bundles</v>
          </cell>
          <cell r="F145">
            <v>0.11</v>
          </cell>
          <cell r="G145" t="str">
            <v>AB-02 (AI-04 Red + AM-C2)</v>
          </cell>
          <cell r="H145">
            <v>85181000</v>
          </cell>
          <cell r="I145">
            <v>0</v>
          </cell>
          <cell r="N145">
            <v>0</v>
          </cell>
          <cell r="O145">
            <v>15</v>
          </cell>
          <cell r="Q145">
            <v>0</v>
          </cell>
          <cell r="S145">
            <v>11</v>
          </cell>
          <cell r="U145">
            <v>0</v>
          </cell>
          <cell r="V145">
            <v>10</v>
          </cell>
          <cell r="W145">
            <v>2</v>
          </cell>
          <cell r="X145">
            <v>5</v>
          </cell>
          <cell r="Y145">
            <v>0</v>
          </cell>
          <cell r="Z145">
            <v>18</v>
          </cell>
          <cell r="AA145">
            <v>0</v>
          </cell>
          <cell r="AD145">
            <v>0</v>
          </cell>
          <cell r="AE145">
            <v>0</v>
          </cell>
          <cell r="AF145">
            <v>18998</v>
          </cell>
        </row>
        <row r="146">
          <cell r="C146" t="str">
            <v>AB-03 (AM-C11+ AI-04 + AA-05)</v>
          </cell>
          <cell r="D146" t="str">
            <v>Bundles</v>
          </cell>
          <cell r="E146" t="str">
            <v>Bundles</v>
          </cell>
          <cell r="F146">
            <v>0.11</v>
          </cell>
          <cell r="G146" t="str">
            <v>AB-03 (AM-C11+ AI-04 + AA-05)</v>
          </cell>
          <cell r="H146">
            <v>85181000</v>
          </cell>
          <cell r="I146">
            <v>0</v>
          </cell>
          <cell r="N146">
            <v>0</v>
          </cell>
          <cell r="O146">
            <v>15</v>
          </cell>
          <cell r="Q146">
            <v>0</v>
          </cell>
          <cell r="S146">
            <v>11</v>
          </cell>
          <cell r="U146">
            <v>0</v>
          </cell>
          <cell r="V146">
            <v>10</v>
          </cell>
          <cell r="W146">
            <v>2</v>
          </cell>
          <cell r="X146">
            <v>5</v>
          </cell>
          <cell r="Y146">
            <v>0</v>
          </cell>
          <cell r="Z146">
            <v>18</v>
          </cell>
          <cell r="AA146">
            <v>0</v>
          </cell>
          <cell r="AD146">
            <v>0</v>
          </cell>
          <cell r="AE146">
            <v>0</v>
          </cell>
          <cell r="AF146">
            <v>22997</v>
          </cell>
        </row>
        <row r="147">
          <cell r="C147" t="str">
            <v>AB-04 (2xAM-C2 + AI-04 Red)</v>
          </cell>
          <cell r="D147" t="str">
            <v>Bundles</v>
          </cell>
          <cell r="E147" t="str">
            <v>Bundles</v>
          </cell>
          <cell r="F147">
            <v>0.11</v>
          </cell>
          <cell r="G147" t="str">
            <v>AB-04 (2xAM-C2 + AI-04 Red)</v>
          </cell>
          <cell r="H147">
            <v>85181000</v>
          </cell>
          <cell r="I147">
            <v>0</v>
          </cell>
          <cell r="N147">
            <v>0</v>
          </cell>
          <cell r="O147">
            <v>15</v>
          </cell>
          <cell r="Q147">
            <v>0</v>
          </cell>
          <cell r="S147">
            <v>11</v>
          </cell>
          <cell r="U147">
            <v>0</v>
          </cell>
          <cell r="V147">
            <v>10</v>
          </cell>
          <cell r="W147">
            <v>2</v>
          </cell>
          <cell r="X147">
            <v>5</v>
          </cell>
          <cell r="Y147">
            <v>0</v>
          </cell>
          <cell r="Z147">
            <v>18</v>
          </cell>
          <cell r="AA147">
            <v>0</v>
          </cell>
          <cell r="AD147">
            <v>0</v>
          </cell>
          <cell r="AE147">
            <v>0</v>
          </cell>
          <cell r="AF147">
            <v>27997</v>
          </cell>
        </row>
        <row r="148">
          <cell r="C148" t="str">
            <v>AB-05 (2xAM-C11+AI-04Red+2xAA-05)</v>
          </cell>
          <cell r="D148" t="str">
            <v>Bundles</v>
          </cell>
          <cell r="E148" t="str">
            <v>Bundles</v>
          </cell>
          <cell r="F148">
            <v>0.11</v>
          </cell>
          <cell r="G148" t="str">
            <v>AB-05 (2xAM-C11+AI-04Red+2xAA-05)</v>
          </cell>
          <cell r="H148">
            <v>85181000</v>
          </cell>
          <cell r="I148">
            <v>0</v>
          </cell>
          <cell r="N148">
            <v>0</v>
          </cell>
          <cell r="O148">
            <v>15</v>
          </cell>
          <cell r="Q148">
            <v>0</v>
          </cell>
          <cell r="S148">
            <v>11</v>
          </cell>
          <cell r="U148">
            <v>0</v>
          </cell>
          <cell r="V148">
            <v>10</v>
          </cell>
          <cell r="W148">
            <v>2</v>
          </cell>
          <cell r="X148">
            <v>5</v>
          </cell>
          <cell r="Y148">
            <v>0</v>
          </cell>
          <cell r="Z148">
            <v>18</v>
          </cell>
          <cell r="AA148">
            <v>0</v>
          </cell>
          <cell r="AD148">
            <v>0</v>
          </cell>
          <cell r="AE148">
            <v>0</v>
          </cell>
          <cell r="AF148">
            <v>35995</v>
          </cell>
        </row>
        <row r="149">
          <cell r="C149" t="str">
            <v>AM-C48</v>
          </cell>
          <cell r="D149" t="str">
            <v>Microphone</v>
          </cell>
          <cell r="E149" t="str">
            <v>RGB Dynamic Mic with Boom Arm</v>
          </cell>
          <cell r="F149">
            <v>0.11</v>
          </cell>
          <cell r="G149" t="str">
            <v>AM-C48</v>
          </cell>
          <cell r="H149">
            <v>85181000</v>
          </cell>
          <cell r="I149">
            <v>15</v>
          </cell>
          <cell r="N149">
            <v>0</v>
          </cell>
          <cell r="O149">
            <v>15</v>
          </cell>
          <cell r="Q149">
            <v>1572.75</v>
          </cell>
          <cell r="S149">
            <v>11</v>
          </cell>
          <cell r="U149">
            <v>0</v>
          </cell>
          <cell r="V149">
            <v>10</v>
          </cell>
          <cell r="W149">
            <v>2</v>
          </cell>
          <cell r="X149">
            <v>5</v>
          </cell>
          <cell r="Y149">
            <v>0</v>
          </cell>
          <cell r="Z149">
            <v>18</v>
          </cell>
          <cell r="AA149">
            <v>533.74576271186424</v>
          </cell>
          <cell r="AD149">
            <v>0</v>
          </cell>
          <cell r="AE149">
            <v>3499</v>
          </cell>
          <cell r="AF149">
            <v>5999</v>
          </cell>
        </row>
        <row r="150">
          <cell r="C150" t="str">
            <v>UB-01 (AI-04, AM-S1, AA-21, AM-C2)</v>
          </cell>
          <cell r="D150" t="str">
            <v>Bundles</v>
          </cell>
          <cell r="E150" t="str">
            <v>UB-01</v>
          </cell>
          <cell r="F150">
            <v>0.11</v>
          </cell>
          <cell r="G150" t="str">
            <v>UB-01 (AI-04, AM-S1, AA-21, AM-C2)</v>
          </cell>
          <cell r="H150">
            <v>85181000</v>
          </cell>
          <cell r="I150">
            <v>79.150000000000006</v>
          </cell>
          <cell r="J150">
            <v>2.972138523529412</v>
          </cell>
          <cell r="K150">
            <v>58.29</v>
          </cell>
          <cell r="L150">
            <v>42.7</v>
          </cell>
          <cell r="M150">
            <v>40.6</v>
          </cell>
          <cell r="N150">
            <v>0.1010527098</v>
          </cell>
          <cell r="O150">
            <v>15</v>
          </cell>
          <cell r="P150">
            <v>13.550152856382351</v>
          </cell>
          <cell r="Q150">
            <v>8610.51</v>
          </cell>
          <cell r="R150">
            <v>10160.397344546631</v>
          </cell>
          <cell r="S150">
            <v>11</v>
          </cell>
          <cell r="T150">
            <v>51</v>
          </cell>
          <cell r="U150">
            <v>43</v>
          </cell>
          <cell r="V150">
            <v>10</v>
          </cell>
          <cell r="W150">
            <v>2</v>
          </cell>
          <cell r="X150">
            <v>5</v>
          </cell>
          <cell r="Y150">
            <v>0</v>
          </cell>
          <cell r="Z150">
            <v>18</v>
          </cell>
          <cell r="AA150">
            <v>2821.881355932202</v>
          </cell>
          <cell r="AB150">
            <v>508.01986722733147</v>
          </cell>
          <cell r="AC150">
            <v>304.81192033639888</v>
          </cell>
          <cell r="AD150">
            <v>0</v>
          </cell>
          <cell r="AE150">
            <v>18499</v>
          </cell>
          <cell r="AF150" t="str">
            <v>₹ 32,299.00</v>
          </cell>
        </row>
        <row r="151">
          <cell r="C151" t="str">
            <v>KB-01 (AM-W32 + AI-12)</v>
          </cell>
          <cell r="D151" t="str">
            <v>Bundles</v>
          </cell>
          <cell r="E151" t="str">
            <v>KB-01</v>
          </cell>
          <cell r="F151">
            <v>0.11</v>
          </cell>
          <cell r="G151" t="str">
            <v>KB-01 (AM-W32 + AI-12)</v>
          </cell>
          <cell r="H151">
            <v>85181000</v>
          </cell>
          <cell r="I151">
            <v>21.8</v>
          </cell>
          <cell r="J151">
            <v>0.50669788235294111</v>
          </cell>
          <cell r="K151">
            <v>43.2</v>
          </cell>
          <cell r="L151">
            <v>21.1</v>
          </cell>
          <cell r="M151">
            <v>18.899999999999999</v>
          </cell>
          <cell r="N151">
            <v>1.7227728000000001E-2</v>
          </cell>
          <cell r="O151">
            <v>15</v>
          </cell>
          <cell r="P151">
            <v>3.6806051505882351</v>
          </cell>
          <cell r="Q151">
            <v>2338.86</v>
          </cell>
          <cell r="R151">
            <v>2759.851582098353</v>
          </cell>
          <cell r="S151">
            <v>11</v>
          </cell>
          <cell r="T151">
            <v>51</v>
          </cell>
          <cell r="U151">
            <v>181</v>
          </cell>
          <cell r="V151">
            <v>10</v>
          </cell>
          <cell r="W151">
            <v>2</v>
          </cell>
          <cell r="X151">
            <v>5</v>
          </cell>
          <cell r="Y151">
            <v>0</v>
          </cell>
          <cell r="Z151">
            <v>18</v>
          </cell>
          <cell r="AA151">
            <v>762.55932203389784</v>
          </cell>
          <cell r="AB151">
            <v>137.99257910491761</v>
          </cell>
          <cell r="AC151">
            <v>82.79554746295058</v>
          </cell>
          <cell r="AD151">
            <v>0</v>
          </cell>
          <cell r="AE151">
            <v>4999</v>
          </cell>
          <cell r="AF151" t="str">
            <v>₹ 8,999.00</v>
          </cell>
        </row>
        <row r="152">
          <cell r="C152" t="str">
            <v>PB-01 (AM-C11 + AI-04)</v>
          </cell>
          <cell r="D152" t="str">
            <v>Bundles</v>
          </cell>
          <cell r="E152" t="str">
            <v>PB-01</v>
          </cell>
          <cell r="F152">
            <v>0.11</v>
          </cell>
          <cell r="G152" t="str">
            <v>PB-01 (AM-C11 + AI-04)</v>
          </cell>
          <cell r="H152">
            <v>85181000</v>
          </cell>
          <cell r="I152">
            <v>41</v>
          </cell>
          <cell r="J152">
            <v>0.60535111764705885</v>
          </cell>
          <cell r="K152">
            <v>33.700000000000003</v>
          </cell>
          <cell r="L152">
            <v>26.1</v>
          </cell>
          <cell r="M152">
            <v>23.4</v>
          </cell>
          <cell r="N152">
            <v>2.0581938000000001E-2</v>
          </cell>
          <cell r="O152">
            <v>15</v>
          </cell>
          <cell r="P152">
            <v>6.8648829344117646</v>
          </cell>
          <cell r="Q152">
            <v>4362.32</v>
          </cell>
          <cell r="R152">
            <v>5147.5388563286479</v>
          </cell>
          <cell r="S152">
            <v>11</v>
          </cell>
          <cell r="T152">
            <v>51</v>
          </cell>
          <cell r="U152">
            <v>214</v>
          </cell>
          <cell r="V152">
            <v>10</v>
          </cell>
          <cell r="W152">
            <v>2</v>
          </cell>
          <cell r="X152">
            <v>5</v>
          </cell>
          <cell r="Y152">
            <v>0</v>
          </cell>
          <cell r="Z152">
            <v>18</v>
          </cell>
          <cell r="AA152">
            <v>1372.7288135593219</v>
          </cell>
          <cell r="AB152">
            <v>257.3769428164324</v>
          </cell>
          <cell r="AC152">
            <v>154.4261656898594</v>
          </cell>
          <cell r="AD152">
            <v>0</v>
          </cell>
          <cell r="AE152">
            <v>8999</v>
          </cell>
          <cell r="AF152" t="str">
            <v>₹ 16,499.00</v>
          </cell>
        </row>
        <row r="153">
          <cell r="C153" t="str">
            <v>GB-01 (AM-C43 +AI-10)</v>
          </cell>
          <cell r="D153" t="str">
            <v>Bundles</v>
          </cell>
          <cell r="E153" t="str">
            <v>GB-01</v>
          </cell>
          <cell r="F153">
            <v>0.11</v>
          </cell>
          <cell r="G153" t="str">
            <v>GB-01 (AM-C43 +AI-10)</v>
          </cell>
          <cell r="H153">
            <v>85181000</v>
          </cell>
          <cell r="I153">
            <v>21.5</v>
          </cell>
          <cell r="J153">
            <v>0.46786047058823521</v>
          </cell>
          <cell r="K153">
            <v>45.7</v>
          </cell>
          <cell r="L153">
            <v>22.9</v>
          </cell>
          <cell r="M153">
            <v>15.2</v>
          </cell>
          <cell r="N153">
            <v>1.5907256000000002E-2</v>
          </cell>
          <cell r="O153">
            <v>15</v>
          </cell>
          <cell r="P153">
            <v>3.6246969776470581</v>
          </cell>
          <cell r="Q153">
            <v>2303.33</v>
          </cell>
          <cell r="R153">
            <v>2717.9296010025878</v>
          </cell>
          <cell r="S153">
            <v>11</v>
          </cell>
          <cell r="T153">
            <v>51</v>
          </cell>
          <cell r="U153">
            <v>32</v>
          </cell>
          <cell r="V153">
            <v>10</v>
          </cell>
          <cell r="W153">
            <v>2</v>
          </cell>
          <cell r="X153">
            <v>5</v>
          </cell>
          <cell r="Y153">
            <v>0</v>
          </cell>
          <cell r="Z153">
            <v>18</v>
          </cell>
          <cell r="AA153">
            <v>762.55932203389784</v>
          </cell>
          <cell r="AB153">
            <v>135.89648005012941</v>
          </cell>
          <cell r="AC153">
            <v>81.537888030077625</v>
          </cell>
          <cell r="AD153">
            <v>0</v>
          </cell>
          <cell r="AE153">
            <v>4999</v>
          </cell>
          <cell r="AF153" t="str">
            <v>₹ 8,799.00</v>
          </cell>
        </row>
        <row r="154">
          <cell r="C154" t="str">
            <v>PB-02 (AI-04 Red + AM-C11 + AA-05)</v>
          </cell>
          <cell r="D154" t="str">
            <v>Bundles</v>
          </cell>
          <cell r="E154" t="str">
            <v>PB-02</v>
          </cell>
          <cell r="F154">
            <v>0.11</v>
          </cell>
          <cell r="G154" t="str">
            <v>PB-02 (AI-04 Red + AM-C11 + AA-05)</v>
          </cell>
          <cell r="H154">
            <v>85181000</v>
          </cell>
          <cell r="I154">
            <v>43</v>
          </cell>
          <cell r="J154">
            <v>0.55500882352941183</v>
          </cell>
          <cell r="K154">
            <v>43.5</v>
          </cell>
          <cell r="L154">
            <v>24.1</v>
          </cell>
          <cell r="M154">
            <v>18</v>
          </cell>
          <cell r="N154">
            <v>1.88703E-2</v>
          </cell>
          <cell r="O154">
            <v>15</v>
          </cell>
          <cell r="P154">
            <v>7.1865764558823519</v>
          </cell>
          <cell r="Q154">
            <v>4566.74</v>
          </cell>
          <cell r="R154">
            <v>5388.7563566735298</v>
          </cell>
          <cell r="S154">
            <v>11</v>
          </cell>
          <cell r="T154">
            <v>51</v>
          </cell>
          <cell r="U154">
            <v>32</v>
          </cell>
          <cell r="V154">
            <v>10</v>
          </cell>
          <cell r="W154">
            <v>2</v>
          </cell>
          <cell r="X154">
            <v>5</v>
          </cell>
          <cell r="Y154">
            <v>0</v>
          </cell>
          <cell r="Z154">
            <v>18</v>
          </cell>
          <cell r="AA154">
            <v>1525.271186440677</v>
          </cell>
          <cell r="AB154">
            <v>269.43781783367649</v>
          </cell>
          <cell r="AC154">
            <v>161.6626907002059</v>
          </cell>
          <cell r="AD154">
            <v>0</v>
          </cell>
          <cell r="AE154">
            <v>9999</v>
          </cell>
          <cell r="AF154" t="str">
            <v>₹ 17,499.00</v>
          </cell>
        </row>
        <row r="155">
          <cell r="C155" t="str">
            <v>GB-03 (AI-12 + AM-C43)</v>
          </cell>
          <cell r="D155" t="str">
            <v>Bundles</v>
          </cell>
          <cell r="E155" t="str">
            <v>GB-03</v>
          </cell>
          <cell r="F155">
            <v>0.11</v>
          </cell>
          <cell r="G155" t="str">
            <v>GB-03 (AI-12 + AM-C43)</v>
          </cell>
          <cell r="H155">
            <v>85181000</v>
          </cell>
          <cell r="I155">
            <v>15.2</v>
          </cell>
          <cell r="J155">
            <v>0.54782205882352941</v>
          </cell>
          <cell r="K155">
            <v>45</v>
          </cell>
          <cell r="L155">
            <v>21.9</v>
          </cell>
          <cell r="M155">
            <v>18.899999999999999</v>
          </cell>
          <cell r="N155">
            <v>1.8625949999999999E-2</v>
          </cell>
          <cell r="O155">
            <v>15</v>
          </cell>
          <cell r="P155">
            <v>2.5983906397058818</v>
          </cell>
          <cell r="Q155">
            <v>1651.16</v>
          </cell>
          <cell r="R155">
            <v>1948.3677885838231</v>
          </cell>
          <cell r="S155">
            <v>11</v>
          </cell>
          <cell r="T155">
            <v>51</v>
          </cell>
          <cell r="U155">
            <v>32</v>
          </cell>
          <cell r="V155">
            <v>10</v>
          </cell>
          <cell r="W155">
            <v>2</v>
          </cell>
          <cell r="X155">
            <v>5</v>
          </cell>
          <cell r="Y155">
            <v>0</v>
          </cell>
          <cell r="Z155">
            <v>18</v>
          </cell>
          <cell r="AA155">
            <v>536.79661016949149</v>
          </cell>
          <cell r="AB155">
            <v>97.418389429191166</v>
          </cell>
          <cell r="AC155">
            <v>58.451033657514692</v>
          </cell>
          <cell r="AD155">
            <v>0</v>
          </cell>
          <cell r="AE155">
            <v>3519</v>
          </cell>
          <cell r="AF155" t="str">
            <v>₹ 6,299.00</v>
          </cell>
        </row>
        <row r="156">
          <cell r="C156" t="str">
            <v>GB-04 (AM-C45 + AI-06)</v>
          </cell>
          <cell r="D156" t="str">
            <v>Bundles</v>
          </cell>
          <cell r="E156" t="str">
            <v>GB-04</v>
          </cell>
          <cell r="F156">
            <v>0.11</v>
          </cell>
          <cell r="G156" t="str">
            <v>GB-04 (AM-C45 + AI-06)</v>
          </cell>
          <cell r="H156">
            <v>85181000</v>
          </cell>
          <cell r="I156">
            <v>38</v>
          </cell>
          <cell r="J156">
            <v>0.52074894117647064</v>
          </cell>
          <cell r="K156">
            <v>43.4</v>
          </cell>
          <cell r="L156">
            <v>21.7</v>
          </cell>
          <cell r="M156">
            <v>18.8</v>
          </cell>
          <cell r="N156">
            <v>1.7705464000000001E-2</v>
          </cell>
          <cell r="O156">
            <v>15</v>
          </cell>
          <cell r="P156">
            <v>6.355923575294117</v>
          </cell>
          <cell r="Q156">
            <v>4038.9</v>
          </cell>
          <cell r="R156">
            <v>4765.9026212491763</v>
          </cell>
          <cell r="S156">
            <v>11</v>
          </cell>
          <cell r="T156">
            <v>51</v>
          </cell>
          <cell r="U156">
            <v>32</v>
          </cell>
          <cell r="V156">
            <v>10</v>
          </cell>
          <cell r="W156">
            <v>2</v>
          </cell>
          <cell r="X156">
            <v>5</v>
          </cell>
          <cell r="Y156">
            <v>0</v>
          </cell>
          <cell r="Z156">
            <v>18</v>
          </cell>
          <cell r="AA156">
            <v>1220.1864406779659</v>
          </cell>
          <cell r="AB156">
            <v>238.29513106245881</v>
          </cell>
          <cell r="AC156">
            <v>142.9770786374753</v>
          </cell>
          <cell r="AD156">
            <v>0</v>
          </cell>
          <cell r="AE156">
            <v>7999</v>
          </cell>
          <cell r="AF156" t="str">
            <v>₹ 15,499.00</v>
          </cell>
        </row>
        <row r="157">
          <cell r="C157" t="str">
            <v>PB-05 (AA-05 + AM-C11 + AI-04)</v>
          </cell>
          <cell r="D157" t="str">
            <v>Bundles</v>
          </cell>
          <cell r="E157" t="str">
            <v>PB-05</v>
          </cell>
          <cell r="F157">
            <v>0.11</v>
          </cell>
          <cell r="G157" t="str">
            <v>PB-05 (AA-05 + AM-C11 + AI-04)</v>
          </cell>
          <cell r="H157">
            <v>85181000</v>
          </cell>
          <cell r="I157">
            <v>43</v>
          </cell>
          <cell r="J157">
            <v>0.54733235294117655</v>
          </cell>
          <cell r="K157">
            <v>43.5</v>
          </cell>
          <cell r="L157">
            <v>23</v>
          </cell>
          <cell r="M157">
            <v>18.600000000000001</v>
          </cell>
          <cell r="N157">
            <v>1.8609299999999999E-2</v>
          </cell>
          <cell r="O157">
            <v>15</v>
          </cell>
          <cell r="P157">
            <v>7.1853098382352929</v>
          </cell>
          <cell r="Q157">
            <v>4565.9399999999996</v>
          </cell>
          <cell r="R157">
            <v>5387.8066007029402</v>
          </cell>
          <cell r="S157">
            <v>11</v>
          </cell>
          <cell r="T157">
            <v>51</v>
          </cell>
          <cell r="U157">
            <v>32</v>
          </cell>
          <cell r="V157">
            <v>10</v>
          </cell>
          <cell r="W157">
            <v>2</v>
          </cell>
          <cell r="X157">
            <v>5</v>
          </cell>
          <cell r="Y157">
            <v>0</v>
          </cell>
          <cell r="Z157">
            <v>18</v>
          </cell>
          <cell r="AA157">
            <v>1525.271186440677</v>
          </cell>
          <cell r="AB157">
            <v>269.39033003514697</v>
          </cell>
          <cell r="AC157">
            <v>161.6341980210882</v>
          </cell>
          <cell r="AD157">
            <v>0</v>
          </cell>
          <cell r="AE157">
            <v>9999</v>
          </cell>
          <cell r="AF157" t="str">
            <v>₹ 17,499.00</v>
          </cell>
        </row>
        <row r="158">
          <cell r="C158" t="str">
            <v>PB-06 (AA-05 + AM-C44 + AI-04)</v>
          </cell>
          <cell r="D158" t="str">
            <v>Bundles</v>
          </cell>
          <cell r="E158" t="str">
            <v>PB-06</v>
          </cell>
          <cell r="F158">
            <v>0.11</v>
          </cell>
          <cell r="G158" t="str">
            <v>PB-06 (AA-05 + AM-C44 + AI-04)</v>
          </cell>
          <cell r="H158">
            <v>85181000</v>
          </cell>
          <cell r="I158">
            <v>41</v>
          </cell>
          <cell r="J158">
            <v>0.53927588235294122</v>
          </cell>
          <cell r="K158">
            <v>42.7</v>
          </cell>
          <cell r="L158">
            <v>22.6</v>
          </cell>
          <cell r="M158">
            <v>19</v>
          </cell>
          <cell r="N158">
            <v>1.8335379999999998E-2</v>
          </cell>
          <cell r="O158">
            <v>15</v>
          </cell>
          <cell r="P158">
            <v>6.8539805205882338</v>
          </cell>
          <cell r="Q158">
            <v>4355.3900000000003</v>
          </cell>
          <cell r="R158">
            <v>5139.3638299923532</v>
          </cell>
          <cell r="S158">
            <v>11</v>
          </cell>
          <cell r="T158">
            <v>51</v>
          </cell>
          <cell r="U158">
            <v>32</v>
          </cell>
          <cell r="V158">
            <v>10</v>
          </cell>
          <cell r="W158">
            <v>2</v>
          </cell>
          <cell r="X158">
            <v>5</v>
          </cell>
          <cell r="Y158">
            <v>0</v>
          </cell>
          <cell r="Z158">
            <v>18</v>
          </cell>
          <cell r="AA158">
            <v>1449</v>
          </cell>
          <cell r="AB158">
            <v>256.96819149961772</v>
          </cell>
          <cell r="AC158">
            <v>154.18091489977061</v>
          </cell>
          <cell r="AD158">
            <v>0</v>
          </cell>
          <cell r="AE158">
            <v>9499</v>
          </cell>
          <cell r="AF158" t="str">
            <v>₹ 16,499.00</v>
          </cell>
        </row>
        <row r="159">
          <cell r="C159" t="str">
            <v>PB-07 (AA-05 + AM-C45 + AI-04)</v>
          </cell>
          <cell r="D159" t="str">
            <v>Bundles</v>
          </cell>
          <cell r="E159" t="str">
            <v>PB-07</v>
          </cell>
          <cell r="F159">
            <v>0.11</v>
          </cell>
          <cell r="G159" t="str">
            <v>PB-07 (AA-05 + AM-C45 + AI-04)</v>
          </cell>
          <cell r="H159">
            <v>85181000</v>
          </cell>
          <cell r="I159">
            <v>35.5</v>
          </cell>
          <cell r="J159">
            <v>0.55258411764705884</v>
          </cell>
          <cell r="K159">
            <v>43.4</v>
          </cell>
          <cell r="L159">
            <v>23.4</v>
          </cell>
          <cell r="M159">
            <v>18.5</v>
          </cell>
          <cell r="N159">
            <v>1.878786E-2</v>
          </cell>
          <cell r="O159">
            <v>15</v>
          </cell>
          <cell r="P159">
            <v>5.9486763794117641</v>
          </cell>
          <cell r="Q159">
            <v>3780.11</v>
          </cell>
          <cell r="R159">
            <v>4460.533864787647</v>
          </cell>
          <cell r="S159">
            <v>11</v>
          </cell>
          <cell r="T159">
            <v>51</v>
          </cell>
          <cell r="U159">
            <v>32</v>
          </cell>
          <cell r="V159">
            <v>10</v>
          </cell>
          <cell r="W159">
            <v>2</v>
          </cell>
          <cell r="X159">
            <v>5</v>
          </cell>
          <cell r="Y159">
            <v>0</v>
          </cell>
          <cell r="Z159">
            <v>18</v>
          </cell>
          <cell r="AA159">
            <v>1220.1864406779659</v>
          </cell>
          <cell r="AB159">
            <v>223.02669323938241</v>
          </cell>
          <cell r="AC159">
            <v>133.8160159436294</v>
          </cell>
          <cell r="AD159">
            <v>0</v>
          </cell>
          <cell r="AE159">
            <v>7999</v>
          </cell>
          <cell r="AF159" t="str">
            <v>₹ 14,299.00</v>
          </cell>
        </row>
        <row r="160">
          <cell r="C160" t="str">
            <v>AI-06 + AM-C45</v>
          </cell>
          <cell r="D160" t="str">
            <v>Bundles</v>
          </cell>
          <cell r="E160" t="str">
            <v>Bundles</v>
          </cell>
          <cell r="F160">
            <v>0.11</v>
          </cell>
          <cell r="G160" t="str">
            <v>AI-06 + AM-C45</v>
          </cell>
          <cell r="H160">
            <v>85181000</v>
          </cell>
          <cell r="I160">
            <v>38</v>
          </cell>
          <cell r="N160">
            <v>0</v>
          </cell>
          <cell r="O160">
            <v>15</v>
          </cell>
          <cell r="Q160">
            <v>3984.3</v>
          </cell>
          <cell r="S160">
            <v>11</v>
          </cell>
          <cell r="U160">
            <v>0</v>
          </cell>
          <cell r="V160">
            <v>10</v>
          </cell>
          <cell r="W160">
            <v>2</v>
          </cell>
          <cell r="X160">
            <v>5</v>
          </cell>
          <cell r="Y160">
            <v>0</v>
          </cell>
          <cell r="Z160">
            <v>18</v>
          </cell>
          <cell r="AA160">
            <v>1143.9152542372881</v>
          </cell>
          <cell r="AD160">
            <v>0</v>
          </cell>
          <cell r="AE160">
            <v>7499</v>
          </cell>
          <cell r="AF160" t="str">
            <v>₹ 15,699.00</v>
          </cell>
        </row>
        <row r="161">
          <cell r="C161" t="str">
            <v>UB-02 (AM-S1 + AA-21)</v>
          </cell>
          <cell r="D161" t="str">
            <v>Bundles</v>
          </cell>
          <cell r="E161" t="str">
            <v>UB-02</v>
          </cell>
          <cell r="F161">
            <v>0.11</v>
          </cell>
          <cell r="G161" t="str">
            <v>UB-02 (AM-S1 + AA-21)</v>
          </cell>
          <cell r="H161">
            <v>85181000</v>
          </cell>
          <cell r="I161">
            <v>45.650000000000013</v>
          </cell>
          <cell r="J161">
            <v>2.521857352941177</v>
          </cell>
          <cell r="K161">
            <v>58.2</v>
          </cell>
          <cell r="L161">
            <v>41.5</v>
          </cell>
          <cell r="M161">
            <v>35.5</v>
          </cell>
          <cell r="N161">
            <v>8.5743150000000004E-2</v>
          </cell>
          <cell r="O161">
            <v>15</v>
          </cell>
          <cell r="P161">
            <v>7.9483564632352941</v>
          </cell>
          <cell r="Q161">
            <v>5050.82</v>
          </cell>
          <cell r="R161">
            <v>5959.9667072779412</v>
          </cell>
          <cell r="S161">
            <v>11</v>
          </cell>
          <cell r="T161">
            <v>51</v>
          </cell>
          <cell r="U161">
            <v>41.85</v>
          </cell>
          <cell r="V161">
            <v>10</v>
          </cell>
          <cell r="W161">
            <v>2</v>
          </cell>
          <cell r="X161">
            <v>5</v>
          </cell>
          <cell r="Y161">
            <v>0</v>
          </cell>
          <cell r="Z161">
            <v>18</v>
          </cell>
          <cell r="AA161">
            <v>1906.6271186440681</v>
          </cell>
          <cell r="AB161">
            <v>297.99833536389713</v>
          </cell>
          <cell r="AC161">
            <v>178.79900121833819</v>
          </cell>
          <cell r="AD161">
            <v>0</v>
          </cell>
          <cell r="AE161">
            <v>12499</v>
          </cell>
          <cell r="AF161" t="str">
            <v>₹ 18,999.00</v>
          </cell>
        </row>
        <row r="162">
          <cell r="C162" t="str">
            <v>PB-09 (AM-C45 + AI-06 + AA-05)</v>
          </cell>
          <cell r="D162" t="str">
            <v>Bundles</v>
          </cell>
          <cell r="E162" t="str">
            <v>PB-09</v>
          </cell>
          <cell r="F162">
            <v>0.11</v>
          </cell>
          <cell r="G162" t="str">
            <v>PB-09 (AM-C45 + AI-06 + AA-05)</v>
          </cell>
          <cell r="H162">
            <v>85181000</v>
          </cell>
          <cell r="I162">
            <v>40</v>
          </cell>
          <cell r="J162">
            <v>0.53182870588235287</v>
          </cell>
          <cell r="K162">
            <v>43.4</v>
          </cell>
          <cell r="L162">
            <v>22.4</v>
          </cell>
          <cell r="M162">
            <v>18.600000000000001</v>
          </cell>
          <cell r="N162">
            <v>1.8082175999999998E-2</v>
          </cell>
          <cell r="O162">
            <v>15</v>
          </cell>
          <cell r="P162">
            <v>6.6877517364705881</v>
          </cell>
          <cell r="Q162">
            <v>4249.76</v>
          </cell>
          <cell r="R162">
            <v>5014.719442977882</v>
          </cell>
          <cell r="S162">
            <v>11</v>
          </cell>
          <cell r="T162">
            <v>51</v>
          </cell>
          <cell r="U162">
            <v>32</v>
          </cell>
          <cell r="V162">
            <v>10</v>
          </cell>
          <cell r="W162">
            <v>2</v>
          </cell>
          <cell r="X162">
            <v>5</v>
          </cell>
          <cell r="Y162">
            <v>0</v>
          </cell>
          <cell r="Z162">
            <v>18</v>
          </cell>
          <cell r="AA162">
            <v>1174.4237288135589</v>
          </cell>
          <cell r="AB162">
            <v>250.73597214889409</v>
          </cell>
          <cell r="AC162">
            <v>150.44158328933639</v>
          </cell>
          <cell r="AD162">
            <v>0</v>
          </cell>
          <cell r="AE162">
            <v>7699</v>
          </cell>
          <cell r="AF162" t="str">
            <v>₹ 16,999.00</v>
          </cell>
        </row>
        <row r="163">
          <cell r="C163" t="str">
            <v>PB-10 (AM-C2+AI-04+AH-60-BL)</v>
          </cell>
          <cell r="D163" t="str">
            <v>Bundles</v>
          </cell>
          <cell r="E163" t="str">
            <v>PB-10</v>
          </cell>
          <cell r="F163">
            <v>0.11</v>
          </cell>
          <cell r="G163" t="str">
            <v>PB-10 (AM-C2+AI-04+AH-60-BL)</v>
          </cell>
          <cell r="H163">
            <v>85181000</v>
          </cell>
          <cell r="I163">
            <v>41.5</v>
          </cell>
          <cell r="J163">
            <v>1.499848411764706</v>
          </cell>
          <cell r="K163">
            <v>57.9</v>
          </cell>
          <cell r="L163">
            <v>37.799999999999997</v>
          </cell>
          <cell r="M163">
            <v>23.3</v>
          </cell>
          <cell r="N163">
            <v>5.0994846000000003E-2</v>
          </cell>
          <cell r="O163">
            <v>15</v>
          </cell>
          <cell r="P163">
            <v>7.0949749879411748</v>
          </cell>
          <cell r="Q163">
            <v>4508.53</v>
          </cell>
          <cell r="R163">
            <v>5320.0702450487634</v>
          </cell>
          <cell r="S163">
            <v>11</v>
          </cell>
          <cell r="T163">
            <v>51</v>
          </cell>
          <cell r="U163">
            <v>39.08</v>
          </cell>
          <cell r="V163">
            <v>10</v>
          </cell>
          <cell r="W163">
            <v>2</v>
          </cell>
          <cell r="X163">
            <v>5</v>
          </cell>
          <cell r="Y163">
            <v>0</v>
          </cell>
          <cell r="Z163">
            <v>18</v>
          </cell>
          <cell r="AA163">
            <v>1830.3559322033891</v>
          </cell>
          <cell r="AB163">
            <v>266.00351225243821</v>
          </cell>
          <cell r="AC163">
            <v>159.60210735146291</v>
          </cell>
          <cell r="AD163">
            <v>0</v>
          </cell>
          <cell r="AE163">
            <v>11999</v>
          </cell>
          <cell r="AF163">
            <v>17999</v>
          </cell>
        </row>
        <row r="164">
          <cell r="C164" t="str">
            <v>PB-11 (AM-C44+AA-05+AH-45-BK)</v>
          </cell>
          <cell r="D164" t="str">
            <v>Bundles</v>
          </cell>
          <cell r="E164" t="str">
            <v>PB-11</v>
          </cell>
          <cell r="F164">
            <v>0.11</v>
          </cell>
          <cell r="G164" t="str">
            <v>PB-11 (AM-C44+AA-05+AH-45-BK)</v>
          </cell>
          <cell r="H164">
            <v>85181000</v>
          </cell>
          <cell r="I164">
            <v>27.5</v>
          </cell>
          <cell r="J164">
            <v>0.53992658823529405</v>
          </cell>
          <cell r="K164">
            <v>45.1</v>
          </cell>
          <cell r="L164">
            <v>21.2</v>
          </cell>
          <cell r="M164">
            <v>19.2</v>
          </cell>
          <cell r="N164">
            <v>1.8357504E-2</v>
          </cell>
          <cell r="O164">
            <v>15</v>
          </cell>
          <cell r="P164">
            <v>4.6265878870588226</v>
          </cell>
          <cell r="Q164">
            <v>2939.99</v>
          </cell>
          <cell r="R164">
            <v>3469.183837276235</v>
          </cell>
          <cell r="S164">
            <v>11</v>
          </cell>
          <cell r="T164">
            <v>51</v>
          </cell>
          <cell r="U164">
            <v>32</v>
          </cell>
          <cell r="V164">
            <v>10</v>
          </cell>
          <cell r="W164">
            <v>2</v>
          </cell>
          <cell r="X164">
            <v>5</v>
          </cell>
          <cell r="Y164">
            <v>0</v>
          </cell>
          <cell r="Z164">
            <v>18</v>
          </cell>
          <cell r="AA164">
            <v>1220.1864406779659</v>
          </cell>
          <cell r="AB164">
            <v>173.45919186381181</v>
          </cell>
          <cell r="AC164">
            <v>104.075515118287</v>
          </cell>
          <cell r="AD164">
            <v>0</v>
          </cell>
          <cell r="AE164">
            <v>7999</v>
          </cell>
          <cell r="AF164">
            <v>12999</v>
          </cell>
        </row>
        <row r="165">
          <cell r="C165" t="str">
            <v>PB-12 (AM-C11+AA-05+AI-04+AH-60-RD)</v>
          </cell>
          <cell r="D165" t="str">
            <v>Bundles</v>
          </cell>
          <cell r="E165" t="str">
            <v>PB-12</v>
          </cell>
          <cell r="F165">
            <v>0.11</v>
          </cell>
          <cell r="G165" t="str">
            <v>PB-12 (AM-C11+AA-05+AI-04+AH-60-RD)</v>
          </cell>
          <cell r="H165">
            <v>85181000</v>
          </cell>
          <cell r="I165">
            <v>51</v>
          </cell>
          <cell r="J165">
            <v>0.95030682352941176</v>
          </cell>
          <cell r="K165">
            <v>56.4</v>
          </cell>
          <cell r="L165">
            <v>37.200000000000003</v>
          </cell>
          <cell r="M165">
            <v>15.4</v>
          </cell>
          <cell r="N165">
            <v>3.2310432E-2</v>
          </cell>
          <cell r="O165">
            <v>15</v>
          </cell>
          <cell r="P165">
            <v>8.5718006258823518</v>
          </cell>
          <cell r="Q165">
            <v>5446.99</v>
          </cell>
          <cell r="R165">
            <v>6427.4478111275284</v>
          </cell>
          <cell r="S165">
            <v>11</v>
          </cell>
          <cell r="T165">
            <v>51</v>
          </cell>
          <cell r="U165">
            <v>37.58</v>
          </cell>
          <cell r="V165">
            <v>10</v>
          </cell>
          <cell r="W165">
            <v>2</v>
          </cell>
          <cell r="X165">
            <v>5</v>
          </cell>
          <cell r="Y165">
            <v>0</v>
          </cell>
          <cell r="Z165">
            <v>18</v>
          </cell>
          <cell r="AA165">
            <v>1982.898305084746</v>
          </cell>
          <cell r="AB165">
            <v>321.37239055637639</v>
          </cell>
          <cell r="AC165">
            <v>192.82343433382579</v>
          </cell>
          <cell r="AD165">
            <v>0</v>
          </cell>
          <cell r="AE165">
            <v>12999</v>
          </cell>
          <cell r="AF165">
            <v>20999</v>
          </cell>
        </row>
        <row r="166">
          <cell r="C166" t="str">
            <v>PB-13 (AM-C43+AH-40-SL+AI-11)</v>
          </cell>
          <cell r="D166" t="str">
            <v>Bundles</v>
          </cell>
          <cell r="E166" t="str">
            <v>PB-13</v>
          </cell>
          <cell r="F166">
            <v>0.11</v>
          </cell>
          <cell r="G166" t="str">
            <v>PB-13 (AM-C43+AH-40-SL+AI-11)</v>
          </cell>
          <cell r="H166">
            <v>85181000</v>
          </cell>
          <cell r="I166">
            <v>20</v>
          </cell>
          <cell r="J166">
            <v>7.9889705882352932E-2</v>
          </cell>
          <cell r="K166">
            <v>41</v>
          </cell>
          <cell r="L166">
            <v>12.5</v>
          </cell>
          <cell r="M166">
            <v>5.3</v>
          </cell>
          <cell r="N166">
            <v>2.7162499999999999E-3</v>
          </cell>
          <cell r="O166">
            <v>15</v>
          </cell>
          <cell r="P166">
            <v>3.3131818014705869</v>
          </cell>
          <cell r="Q166">
            <v>2105.38</v>
          </cell>
          <cell r="R166">
            <v>2484.3441940808821</v>
          </cell>
          <cell r="S166">
            <v>11</v>
          </cell>
          <cell r="T166">
            <v>51</v>
          </cell>
          <cell r="U166">
            <v>22</v>
          </cell>
          <cell r="V166">
            <v>10</v>
          </cell>
          <cell r="W166">
            <v>2</v>
          </cell>
          <cell r="X166">
            <v>5</v>
          </cell>
          <cell r="Y166">
            <v>0</v>
          </cell>
          <cell r="Z166">
            <v>18</v>
          </cell>
          <cell r="AA166">
            <v>762.55932203389784</v>
          </cell>
          <cell r="AB166">
            <v>124.21720970404409</v>
          </cell>
          <cell r="AC166">
            <v>74.530325822426462</v>
          </cell>
          <cell r="AD166">
            <v>0</v>
          </cell>
          <cell r="AE166">
            <v>4999</v>
          </cell>
          <cell r="AF166">
            <v>8999</v>
          </cell>
        </row>
        <row r="167">
          <cell r="C167" t="str">
            <v>PB-14 (AM-C43+AH-40-SL+AI-12)</v>
          </cell>
          <cell r="D167" t="str">
            <v>Bundles</v>
          </cell>
          <cell r="E167" t="str">
            <v>PB-14</v>
          </cell>
          <cell r="F167">
            <v>0.11</v>
          </cell>
          <cell r="G167" t="str">
            <v>PB-14 (AM-C43+AH-40-SL+AI-12)</v>
          </cell>
          <cell r="H167">
            <v>85181000</v>
          </cell>
          <cell r="I167">
            <v>18.7</v>
          </cell>
          <cell r="J167">
            <v>0.51639070588235292</v>
          </cell>
          <cell r="K167">
            <v>43.3</v>
          </cell>
          <cell r="L167">
            <v>21.8</v>
          </cell>
          <cell r="M167">
            <v>18.600000000000001</v>
          </cell>
          <cell r="N167">
            <v>1.7557283999999999E-2</v>
          </cell>
          <cell r="O167">
            <v>15</v>
          </cell>
          <cell r="P167">
            <v>3.1707044664705881</v>
          </cell>
          <cell r="Q167">
            <v>2014.84</v>
          </cell>
          <cell r="R167">
            <v>2377.5095073038819</v>
          </cell>
          <cell r="S167">
            <v>11</v>
          </cell>
          <cell r="T167">
            <v>51</v>
          </cell>
          <cell r="U167">
            <v>32</v>
          </cell>
          <cell r="V167">
            <v>10</v>
          </cell>
          <cell r="W167">
            <v>2</v>
          </cell>
          <cell r="X167">
            <v>5</v>
          </cell>
          <cell r="Y167">
            <v>0</v>
          </cell>
          <cell r="Z167">
            <v>18</v>
          </cell>
          <cell r="AA167">
            <v>686.28813559321998</v>
          </cell>
          <cell r="AB167">
            <v>118.87547536519411</v>
          </cell>
          <cell r="AC167">
            <v>71.325285219116466</v>
          </cell>
          <cell r="AD167">
            <v>0</v>
          </cell>
          <cell r="AE167">
            <v>4499</v>
          </cell>
          <cell r="AF167">
            <v>7999</v>
          </cell>
        </row>
        <row r="168">
          <cell r="C168" t="str">
            <v>AWB-01</v>
          </cell>
          <cell r="D168" t="str">
            <v>Bundles</v>
          </cell>
          <cell r="E168" t="str">
            <v>Bundles</v>
          </cell>
          <cell r="F168">
            <v>0.11</v>
          </cell>
          <cell r="G168" t="str">
            <v>AWB-01</v>
          </cell>
          <cell r="H168">
            <v>85181000</v>
          </cell>
          <cell r="I168">
            <v>41</v>
          </cell>
          <cell r="N168">
            <v>0</v>
          </cell>
          <cell r="O168">
            <v>15</v>
          </cell>
          <cell r="Q168">
            <v>4298.8500000000004</v>
          </cell>
          <cell r="S168">
            <v>11</v>
          </cell>
          <cell r="U168">
            <v>0</v>
          </cell>
          <cell r="V168">
            <v>10</v>
          </cell>
          <cell r="W168">
            <v>2</v>
          </cell>
          <cell r="X168">
            <v>5</v>
          </cell>
          <cell r="Y168">
            <v>0</v>
          </cell>
          <cell r="Z168">
            <v>18</v>
          </cell>
          <cell r="AA168">
            <v>1265.949152542373</v>
          </cell>
          <cell r="AD168">
            <v>0</v>
          </cell>
          <cell r="AE168">
            <v>8299</v>
          </cell>
          <cell r="AF168">
            <v>19999</v>
          </cell>
        </row>
        <row r="169">
          <cell r="C169" t="str">
            <v>A3-XLR</v>
          </cell>
          <cell r="D169" t="str">
            <v>Microphone Accessories</v>
          </cell>
          <cell r="E169" t="str">
            <v>Accessories</v>
          </cell>
          <cell r="F169">
            <v>7.0000000000000007E-2</v>
          </cell>
          <cell r="G169" t="str">
            <v>A3-XLR</v>
          </cell>
          <cell r="H169">
            <v>85189000</v>
          </cell>
          <cell r="I169">
            <v>1.5</v>
          </cell>
          <cell r="N169">
            <v>0</v>
          </cell>
          <cell r="O169">
            <v>15</v>
          </cell>
          <cell r="Q169">
            <v>157.28</v>
          </cell>
          <cell r="S169">
            <v>7.0000000000000009</v>
          </cell>
          <cell r="U169">
            <v>0</v>
          </cell>
          <cell r="V169">
            <v>10</v>
          </cell>
          <cell r="W169">
            <v>2</v>
          </cell>
          <cell r="X169">
            <v>5</v>
          </cell>
          <cell r="Y169">
            <v>0</v>
          </cell>
          <cell r="Z169">
            <v>18</v>
          </cell>
          <cell r="AA169">
            <v>91.372881355932179</v>
          </cell>
          <cell r="AD169">
            <v>0</v>
          </cell>
          <cell r="AE169">
            <v>599</v>
          </cell>
          <cell r="AF169">
            <v>999</v>
          </cell>
        </row>
        <row r="170">
          <cell r="C170" t="str">
            <v>AM-W23</v>
          </cell>
          <cell r="D170" t="str">
            <v>Microphone</v>
          </cell>
          <cell r="E170" t="str">
            <v>Wireless Lapel Microphone</v>
          </cell>
          <cell r="F170">
            <v>0.11</v>
          </cell>
          <cell r="G170" t="str">
            <v>AM-W23</v>
          </cell>
          <cell r="H170">
            <v>85181000</v>
          </cell>
          <cell r="I170">
            <v>12.01</v>
          </cell>
          <cell r="N170">
            <v>0</v>
          </cell>
          <cell r="O170">
            <v>15</v>
          </cell>
          <cell r="Q170">
            <v>1259.25</v>
          </cell>
          <cell r="S170">
            <v>11</v>
          </cell>
          <cell r="U170">
            <v>0</v>
          </cell>
          <cell r="V170">
            <v>10</v>
          </cell>
          <cell r="W170">
            <v>2</v>
          </cell>
          <cell r="X170">
            <v>5</v>
          </cell>
          <cell r="Y170">
            <v>0</v>
          </cell>
          <cell r="Z170">
            <v>18</v>
          </cell>
          <cell r="AA170">
            <v>457.47457627118638</v>
          </cell>
          <cell r="AD170">
            <v>0</v>
          </cell>
          <cell r="AE170">
            <v>2999</v>
          </cell>
          <cell r="AF170">
            <v>5499</v>
          </cell>
        </row>
        <row r="171">
          <cell r="C171" t="str">
            <v>AM-W24</v>
          </cell>
          <cell r="D171" t="str">
            <v>Microphone</v>
          </cell>
          <cell r="E171" t="str">
            <v>Wireless Lapel Microphone</v>
          </cell>
          <cell r="F171">
            <v>0.11</v>
          </cell>
          <cell r="G171" t="str">
            <v>AM-W24</v>
          </cell>
          <cell r="H171">
            <v>85181000</v>
          </cell>
          <cell r="I171">
            <v>6.94</v>
          </cell>
          <cell r="N171">
            <v>0</v>
          </cell>
          <cell r="O171">
            <v>15</v>
          </cell>
          <cell r="Q171">
            <v>727.66</v>
          </cell>
          <cell r="S171">
            <v>11</v>
          </cell>
          <cell r="U171">
            <v>0</v>
          </cell>
          <cell r="V171">
            <v>10</v>
          </cell>
          <cell r="W171">
            <v>2</v>
          </cell>
          <cell r="X171">
            <v>5</v>
          </cell>
          <cell r="Y171">
            <v>0</v>
          </cell>
          <cell r="Z171">
            <v>18</v>
          </cell>
          <cell r="AA171">
            <v>289.67796610169489</v>
          </cell>
          <cell r="AD171">
            <v>0</v>
          </cell>
          <cell r="AE171">
            <v>1899</v>
          </cell>
          <cell r="AF171">
            <v>2999</v>
          </cell>
        </row>
        <row r="172">
          <cell r="C172" t="str">
            <v>AM-W47 Wired</v>
          </cell>
          <cell r="D172" t="str">
            <v>Voice Amplifier</v>
          </cell>
          <cell r="E172" t="str">
            <v>Wired Voice Amplifier</v>
          </cell>
          <cell r="F172">
            <v>0.11</v>
          </cell>
          <cell r="G172" t="str">
            <v>AM-W47 Wired</v>
          </cell>
          <cell r="H172">
            <v>85181000</v>
          </cell>
          <cell r="I172">
            <v>3.86</v>
          </cell>
          <cell r="J172">
            <v>3.5119117647058821E-2</v>
          </cell>
          <cell r="K172">
            <v>16.7</v>
          </cell>
          <cell r="L172">
            <v>13</v>
          </cell>
          <cell r="M172">
            <v>5.5</v>
          </cell>
          <cell r="N172">
            <v>1.1940500000000001E-3</v>
          </cell>
          <cell r="O172">
            <v>15</v>
          </cell>
          <cell r="P172">
            <v>0.64269465441176454</v>
          </cell>
          <cell r="Q172">
            <v>408.4</v>
          </cell>
          <cell r="R172">
            <v>481.91582259264698</v>
          </cell>
          <cell r="S172">
            <v>11</v>
          </cell>
          <cell r="T172">
            <v>51</v>
          </cell>
          <cell r="U172">
            <v>59</v>
          </cell>
          <cell r="V172">
            <v>10</v>
          </cell>
          <cell r="W172">
            <v>2</v>
          </cell>
          <cell r="X172">
            <v>5</v>
          </cell>
          <cell r="Y172">
            <v>0</v>
          </cell>
          <cell r="Z172">
            <v>18</v>
          </cell>
          <cell r="AA172">
            <v>228.66101694915261</v>
          </cell>
          <cell r="AB172">
            <v>24.095791129632349</v>
          </cell>
          <cell r="AC172">
            <v>14.457474677779411</v>
          </cell>
          <cell r="AD172">
            <v>0</v>
          </cell>
          <cell r="AE172">
            <v>1499</v>
          </cell>
          <cell r="AF172">
            <v>2999</v>
          </cell>
        </row>
        <row r="173">
          <cell r="C173" t="str">
            <v>AM-W47 Wireless</v>
          </cell>
          <cell r="D173" t="str">
            <v>Voice Amplifier</v>
          </cell>
          <cell r="E173" t="str">
            <v>Wireless Voice Amplifier</v>
          </cell>
          <cell r="F173">
            <v>0.11</v>
          </cell>
          <cell r="G173" t="str">
            <v>AM-W47 Wireless</v>
          </cell>
          <cell r="H173">
            <v>85181000</v>
          </cell>
          <cell r="I173">
            <v>7.06</v>
          </cell>
          <cell r="J173">
            <v>3.5119117647058821E-2</v>
          </cell>
          <cell r="K173">
            <v>16.7</v>
          </cell>
          <cell r="L173">
            <v>13</v>
          </cell>
          <cell r="M173">
            <v>5.5</v>
          </cell>
          <cell r="N173">
            <v>1.1940500000000001E-3</v>
          </cell>
          <cell r="O173">
            <v>15</v>
          </cell>
          <cell r="P173">
            <v>1.170694654411764</v>
          </cell>
          <cell r="Q173">
            <v>743.92</v>
          </cell>
          <cell r="R173">
            <v>877.82942259264712</v>
          </cell>
          <cell r="S173">
            <v>11</v>
          </cell>
          <cell r="T173">
            <v>51</v>
          </cell>
          <cell r="U173">
            <v>59</v>
          </cell>
          <cell r="V173">
            <v>10</v>
          </cell>
          <cell r="W173">
            <v>2</v>
          </cell>
          <cell r="X173">
            <v>5</v>
          </cell>
          <cell r="Y173">
            <v>0</v>
          </cell>
          <cell r="Z173">
            <v>18</v>
          </cell>
          <cell r="AA173">
            <v>335.4406779661017</v>
          </cell>
          <cell r="AB173">
            <v>43.891471129632357</v>
          </cell>
          <cell r="AC173">
            <v>26.334882677779412</v>
          </cell>
          <cell r="AD173">
            <v>0</v>
          </cell>
          <cell r="AE173">
            <v>2199</v>
          </cell>
          <cell r="AF173">
            <v>3999</v>
          </cell>
        </row>
        <row r="174">
          <cell r="C174" t="str">
            <v>AI-13</v>
          </cell>
          <cell r="D174" t="str">
            <v>Mixers</v>
          </cell>
          <cell r="E174" t="str">
            <v>4 channels Mixer</v>
          </cell>
          <cell r="F174">
            <v>0.11</v>
          </cell>
          <cell r="G174" t="str">
            <v>AI-13</v>
          </cell>
          <cell r="H174">
            <v>85437022</v>
          </cell>
          <cell r="I174">
            <v>13.06</v>
          </cell>
          <cell r="N174">
            <v>0</v>
          </cell>
          <cell r="O174">
            <v>7.5</v>
          </cell>
          <cell r="Q174">
            <v>1272.3699999999999</v>
          </cell>
          <cell r="S174">
            <v>11</v>
          </cell>
          <cell r="U174">
            <v>0</v>
          </cell>
          <cell r="V174">
            <v>10</v>
          </cell>
          <cell r="W174">
            <v>2</v>
          </cell>
          <cell r="X174">
            <v>5</v>
          </cell>
          <cell r="Y174">
            <v>0</v>
          </cell>
          <cell r="Z174">
            <v>18</v>
          </cell>
          <cell r="AA174">
            <v>442.22033898305062</v>
          </cell>
          <cell r="AD174">
            <v>0</v>
          </cell>
          <cell r="AE174">
            <v>2899</v>
          </cell>
          <cell r="AF174">
            <v>5499</v>
          </cell>
        </row>
        <row r="175">
          <cell r="C175" t="str">
            <v>AM-Mix4 OTG</v>
          </cell>
          <cell r="D175" t="str">
            <v>Mixers</v>
          </cell>
          <cell r="E175" t="str">
            <v>4 channels mixer with OTG</v>
          </cell>
          <cell r="F175">
            <v>0.11</v>
          </cell>
          <cell r="G175" t="str">
            <v>AM-Mix4 OTG</v>
          </cell>
          <cell r="H175">
            <v>85437022</v>
          </cell>
          <cell r="I175">
            <v>25.09</v>
          </cell>
          <cell r="N175">
            <v>0</v>
          </cell>
          <cell r="O175">
            <v>7.5</v>
          </cell>
          <cell r="Q175">
            <v>2444.39</v>
          </cell>
          <cell r="S175">
            <v>11</v>
          </cell>
          <cell r="U175">
            <v>0</v>
          </cell>
          <cell r="V175">
            <v>10</v>
          </cell>
          <cell r="W175">
            <v>2</v>
          </cell>
          <cell r="X175">
            <v>5</v>
          </cell>
          <cell r="Y175">
            <v>0</v>
          </cell>
          <cell r="Z175">
            <v>18</v>
          </cell>
          <cell r="AA175">
            <v>838.83050847457616</v>
          </cell>
          <cell r="AD175">
            <v>0</v>
          </cell>
          <cell r="AE175">
            <v>5499</v>
          </cell>
          <cell r="AF175">
            <v>7999</v>
          </cell>
        </row>
        <row r="176">
          <cell r="C176" t="str">
            <v>AM-Mix8</v>
          </cell>
          <cell r="D176" t="str">
            <v>Mixers</v>
          </cell>
          <cell r="E176" t="str">
            <v>8 channels Mixer</v>
          </cell>
          <cell r="F176">
            <v>0.11</v>
          </cell>
          <cell r="G176" t="str">
            <v>AM-Mix8</v>
          </cell>
          <cell r="H176">
            <v>85437022</v>
          </cell>
          <cell r="I176">
            <v>99.96</v>
          </cell>
          <cell r="N176">
            <v>0</v>
          </cell>
          <cell r="O176">
            <v>7.5</v>
          </cell>
          <cell r="Q176">
            <v>9738.6</v>
          </cell>
          <cell r="S176">
            <v>11</v>
          </cell>
          <cell r="U176">
            <v>0</v>
          </cell>
          <cell r="V176">
            <v>10</v>
          </cell>
          <cell r="W176">
            <v>2</v>
          </cell>
          <cell r="X176">
            <v>5</v>
          </cell>
          <cell r="Y176">
            <v>0</v>
          </cell>
          <cell r="Z176">
            <v>18</v>
          </cell>
          <cell r="AA176">
            <v>3203.2372881355909</v>
          </cell>
          <cell r="AD176">
            <v>0</v>
          </cell>
          <cell r="AE176">
            <v>20999</v>
          </cell>
          <cell r="AF176">
            <v>29999</v>
          </cell>
        </row>
        <row r="177">
          <cell r="C177" t="str">
            <v>AM-Pro12</v>
          </cell>
          <cell r="D177" t="str">
            <v>Mixers</v>
          </cell>
          <cell r="E177" t="str">
            <v>12 channels Mixer</v>
          </cell>
          <cell r="F177">
            <v>0.11</v>
          </cell>
          <cell r="G177" t="str">
            <v>AM-Pro12</v>
          </cell>
          <cell r="H177">
            <v>85437022</v>
          </cell>
          <cell r="I177">
            <v>108.63</v>
          </cell>
          <cell r="J177">
            <v>6.3622058823529407E-2</v>
          </cell>
          <cell r="K177">
            <v>25.3</v>
          </cell>
          <cell r="L177">
            <v>15</v>
          </cell>
          <cell r="M177">
            <v>5.7</v>
          </cell>
          <cell r="N177">
            <v>2.16315E-3</v>
          </cell>
          <cell r="O177">
            <v>7.5</v>
          </cell>
          <cell r="P177">
            <v>8.9672238198529399</v>
          </cell>
          <cell r="Q177">
            <v>10589.48</v>
          </cell>
          <cell r="R177">
            <v>12495.58183231544</v>
          </cell>
          <cell r="S177">
            <v>11</v>
          </cell>
          <cell r="U177">
            <v>0</v>
          </cell>
          <cell r="V177">
            <v>10</v>
          </cell>
          <cell r="W177">
            <v>2</v>
          </cell>
          <cell r="X177">
            <v>5</v>
          </cell>
          <cell r="Y177">
            <v>0</v>
          </cell>
          <cell r="Z177">
            <v>18</v>
          </cell>
          <cell r="AA177">
            <v>3813.4067796610138</v>
          </cell>
          <cell r="AB177">
            <v>624.77909161577202</v>
          </cell>
          <cell r="AC177">
            <v>374.86745496946321</v>
          </cell>
          <cell r="AD177">
            <v>0</v>
          </cell>
          <cell r="AE177">
            <v>24999</v>
          </cell>
          <cell r="AF177">
            <v>34999</v>
          </cell>
        </row>
        <row r="178">
          <cell r="C178" t="str">
            <v>AM-Mix6</v>
          </cell>
          <cell r="D178" t="str">
            <v>Mixers</v>
          </cell>
          <cell r="E178" t="str">
            <v>6 channels mixer</v>
          </cell>
          <cell r="F178">
            <v>0.11</v>
          </cell>
          <cell r="G178" t="str">
            <v>AM-Mix6</v>
          </cell>
          <cell r="H178">
            <v>85437022</v>
          </cell>
          <cell r="I178">
            <v>38.76</v>
          </cell>
          <cell r="N178">
            <v>0</v>
          </cell>
          <cell r="O178">
            <v>7.5</v>
          </cell>
          <cell r="Q178">
            <v>3776.19</v>
          </cell>
          <cell r="S178">
            <v>11</v>
          </cell>
          <cell r="U178">
            <v>0</v>
          </cell>
          <cell r="V178">
            <v>10</v>
          </cell>
          <cell r="W178">
            <v>2</v>
          </cell>
          <cell r="X178">
            <v>5</v>
          </cell>
          <cell r="Y178">
            <v>0</v>
          </cell>
          <cell r="Z178">
            <v>18</v>
          </cell>
          <cell r="AA178">
            <v>1296.4576271186429</v>
          </cell>
          <cell r="AD178">
            <v>0</v>
          </cell>
          <cell r="AE178">
            <v>8499</v>
          </cell>
          <cell r="AF178">
            <v>14999</v>
          </cell>
        </row>
        <row r="179">
          <cell r="C179" t="str">
            <v>AM-Mix10</v>
          </cell>
          <cell r="D179" t="str">
            <v>Mixers</v>
          </cell>
          <cell r="E179" t="str">
            <v>10 channels mixer</v>
          </cell>
          <cell r="F179">
            <v>0.11</v>
          </cell>
          <cell r="G179" t="str">
            <v>AM-Mix10</v>
          </cell>
          <cell r="H179">
            <v>85437022</v>
          </cell>
          <cell r="I179">
            <v>47.94</v>
          </cell>
          <cell r="N179">
            <v>0</v>
          </cell>
          <cell r="O179">
            <v>7.5</v>
          </cell>
          <cell r="Q179">
            <v>4670.55</v>
          </cell>
          <cell r="S179">
            <v>11</v>
          </cell>
          <cell r="U179">
            <v>0</v>
          </cell>
          <cell r="V179">
            <v>10</v>
          </cell>
          <cell r="W179">
            <v>2</v>
          </cell>
          <cell r="X179">
            <v>5</v>
          </cell>
          <cell r="Y179">
            <v>0</v>
          </cell>
          <cell r="Z179">
            <v>18</v>
          </cell>
          <cell r="AA179">
            <v>1830.3559322033891</v>
          </cell>
          <cell r="AD179">
            <v>0</v>
          </cell>
          <cell r="AE179">
            <v>11999</v>
          </cell>
          <cell r="AF179">
            <v>18999</v>
          </cell>
        </row>
        <row r="180">
          <cell r="C180" t="str">
            <v>GS-02</v>
          </cell>
          <cell r="D180" t="str">
            <v>Home &amp; Kitchen</v>
          </cell>
          <cell r="E180" t="str">
            <v>Fabric Care</v>
          </cell>
          <cell r="F180">
            <v>4.4999999999999998E-2</v>
          </cell>
          <cell r="G180" t="str">
            <v>Nexlev Garment Steamer - Swift</v>
          </cell>
          <cell r="H180">
            <v>85167990</v>
          </cell>
          <cell r="I180">
            <v>9.4499999999999993</v>
          </cell>
          <cell r="J180">
            <v>0.27386882352941178</v>
          </cell>
          <cell r="K180">
            <v>29.3</v>
          </cell>
          <cell r="L180">
            <v>22.7</v>
          </cell>
          <cell r="M180">
            <v>14</v>
          </cell>
          <cell r="N180">
            <v>9.3115400000000001E-3</v>
          </cell>
          <cell r="O180">
            <v>20</v>
          </cell>
          <cell r="P180">
            <v>2.1392511411764712</v>
          </cell>
          <cell r="Q180">
            <v>1067.68</v>
          </cell>
          <cell r="R180">
            <v>1259.8633402517651</v>
          </cell>
          <cell r="S180">
            <v>4.5</v>
          </cell>
          <cell r="T180">
            <v>51</v>
          </cell>
          <cell r="U180">
            <v>115</v>
          </cell>
          <cell r="V180">
            <v>15</v>
          </cell>
          <cell r="W180">
            <v>2</v>
          </cell>
          <cell r="X180">
            <v>5</v>
          </cell>
          <cell r="Y180">
            <v>2</v>
          </cell>
          <cell r="Z180">
            <v>18</v>
          </cell>
          <cell r="AA180">
            <v>327.81355932203383</v>
          </cell>
          <cell r="AB180">
            <v>62.993167012588231</v>
          </cell>
          <cell r="AC180">
            <v>37.79590020755294</v>
          </cell>
          <cell r="AD180">
            <v>0</v>
          </cell>
          <cell r="AE180">
            <v>2149</v>
          </cell>
          <cell r="AF180">
            <v>4999</v>
          </cell>
        </row>
        <row r="181">
          <cell r="C181" t="str">
            <v>SC-01</v>
          </cell>
          <cell r="D181" t="str">
            <v>Home &amp; Kitchen</v>
          </cell>
          <cell r="E181" t="str">
            <v>Cleaning &amp; Vacumming</v>
          </cell>
          <cell r="F181">
            <v>4.4999999999999998E-2</v>
          </cell>
          <cell r="G181" t="str">
            <v>Nexlev Steam Cleaner</v>
          </cell>
          <cell r="H181">
            <v>85098000</v>
          </cell>
          <cell r="I181">
            <v>13.4</v>
          </cell>
          <cell r="J181">
            <v>0.38359800000000011</v>
          </cell>
          <cell r="K181">
            <v>30.6</v>
          </cell>
          <cell r="L181">
            <v>21.1</v>
          </cell>
          <cell r="M181">
            <v>20.2</v>
          </cell>
          <cell r="N181">
            <v>1.3042332E-2</v>
          </cell>
          <cell r="O181">
            <v>20</v>
          </cell>
          <cell r="P181">
            <v>3.0323915600000002</v>
          </cell>
          <cell r="Q181">
            <v>1513.44</v>
          </cell>
          <cell r="R181">
            <v>1785.8580912719999</v>
          </cell>
          <cell r="S181">
            <v>4.5</v>
          </cell>
          <cell r="T181">
            <v>51</v>
          </cell>
          <cell r="U181">
            <v>148</v>
          </cell>
          <cell r="V181">
            <v>15</v>
          </cell>
          <cell r="W181">
            <v>2</v>
          </cell>
          <cell r="X181">
            <v>5</v>
          </cell>
          <cell r="Y181">
            <v>2</v>
          </cell>
          <cell r="Z181">
            <v>18</v>
          </cell>
          <cell r="AA181">
            <v>587.13559322033871</v>
          </cell>
          <cell r="AB181">
            <v>89.29290456359999</v>
          </cell>
          <cell r="AC181">
            <v>53.575742738159988</v>
          </cell>
          <cell r="AD181">
            <v>0</v>
          </cell>
          <cell r="AE181">
            <v>3849</v>
          </cell>
          <cell r="AF181">
            <v>9999</v>
          </cell>
        </row>
        <row r="182">
          <cell r="C182" t="str">
            <v>NP-01</v>
          </cell>
          <cell r="D182" t="str">
            <v>Home &amp; Kitchen</v>
          </cell>
          <cell r="E182" t="str">
            <v>Travel Accessories</v>
          </cell>
          <cell r="F182">
            <v>0.1</v>
          </cell>
          <cell r="G182" t="str">
            <v>Neck Pillow with Memory Foam and Striped Texture</v>
          </cell>
          <cell r="H182">
            <v>94043090</v>
          </cell>
          <cell r="I182">
            <v>2.95</v>
          </cell>
          <cell r="J182">
            <v>9.5991058823529415E-2</v>
          </cell>
          <cell r="K182">
            <v>14.9</v>
          </cell>
          <cell r="L182">
            <v>14.8</v>
          </cell>
          <cell r="M182">
            <v>14.8</v>
          </cell>
          <cell r="N182">
            <v>3.263696E-3</v>
          </cell>
          <cell r="O182">
            <v>25</v>
          </cell>
          <cell r="P182">
            <v>0.83764754117647067</v>
          </cell>
          <cell r="Q182">
            <v>349.53</v>
          </cell>
          <cell r="R182">
            <v>412.44241932</v>
          </cell>
          <cell r="S182">
            <v>10</v>
          </cell>
          <cell r="T182">
            <v>26</v>
          </cell>
          <cell r="U182">
            <v>77</v>
          </cell>
          <cell r="V182">
            <v>15</v>
          </cell>
          <cell r="W182">
            <v>2</v>
          </cell>
          <cell r="X182">
            <v>5</v>
          </cell>
          <cell r="Y182">
            <v>2</v>
          </cell>
          <cell r="Z182">
            <v>5</v>
          </cell>
          <cell r="AA182">
            <v>106.62711864406781</v>
          </cell>
          <cell r="AB182">
            <v>20.622120966000001</v>
          </cell>
          <cell r="AC182">
            <v>12.3732725796</v>
          </cell>
          <cell r="AD182">
            <v>0</v>
          </cell>
          <cell r="AE182">
            <v>699</v>
          </cell>
          <cell r="AF182">
            <v>1499</v>
          </cell>
        </row>
        <row r="183">
          <cell r="C183" t="str">
            <v>NP-02</v>
          </cell>
          <cell r="D183" t="str">
            <v>Home &amp; Kitchen</v>
          </cell>
          <cell r="E183" t="str">
            <v>Travel Accessories</v>
          </cell>
          <cell r="F183">
            <v>0.1</v>
          </cell>
          <cell r="G183" t="str">
            <v>Neck Pillow with Memory Foam (Dark Grey)</v>
          </cell>
          <cell r="H183">
            <v>94043090</v>
          </cell>
          <cell r="I183">
            <v>2.95</v>
          </cell>
          <cell r="J183">
            <v>0.13532705882352941</v>
          </cell>
          <cell r="K183">
            <v>19.3</v>
          </cell>
          <cell r="L183">
            <v>16</v>
          </cell>
          <cell r="M183">
            <v>14.9</v>
          </cell>
          <cell r="N183">
            <v>4.6011200000000002E-3</v>
          </cell>
          <cell r="O183">
            <v>25</v>
          </cell>
          <cell r="P183">
            <v>0.84846494117647064</v>
          </cell>
          <cell r="Q183">
            <v>354.04</v>
          </cell>
          <cell r="R183">
            <v>417.76871039999997</v>
          </cell>
          <cell r="S183">
            <v>10</v>
          </cell>
          <cell r="T183">
            <v>26</v>
          </cell>
          <cell r="U183">
            <v>109</v>
          </cell>
          <cell r="V183">
            <v>15</v>
          </cell>
          <cell r="W183">
            <v>2</v>
          </cell>
          <cell r="X183">
            <v>5</v>
          </cell>
          <cell r="Y183">
            <v>2</v>
          </cell>
          <cell r="Z183">
            <v>5</v>
          </cell>
          <cell r="AA183">
            <v>106.62711864406781</v>
          </cell>
          <cell r="AB183">
            <v>20.888435520000002</v>
          </cell>
          <cell r="AC183">
            <v>12.533061311999999</v>
          </cell>
          <cell r="AD183">
            <v>0</v>
          </cell>
          <cell r="AE183">
            <v>699</v>
          </cell>
          <cell r="AF183">
            <v>1999</v>
          </cell>
        </row>
        <row r="184">
          <cell r="C184" t="str">
            <v>NP-03</v>
          </cell>
          <cell r="D184" t="str">
            <v>Home &amp; Kitchen</v>
          </cell>
          <cell r="E184" t="str">
            <v>Travel Accessories</v>
          </cell>
          <cell r="F184">
            <v>0.1</v>
          </cell>
          <cell r="G184" t="str">
            <v>Neck Pillow with Memory Foam (Grey)</v>
          </cell>
          <cell r="H184">
            <v>94043090</v>
          </cell>
          <cell r="I184">
            <v>2.95</v>
          </cell>
          <cell r="J184">
            <v>9.921129411764705E-2</v>
          </cell>
          <cell r="K184">
            <v>15.2</v>
          </cell>
          <cell r="L184">
            <v>15.2</v>
          </cell>
          <cell r="M184">
            <v>14.6</v>
          </cell>
          <cell r="N184">
            <v>3.373184E-3</v>
          </cell>
          <cell r="O184">
            <v>25</v>
          </cell>
          <cell r="P184">
            <v>0.83853310588235308</v>
          </cell>
          <cell r="Q184">
            <v>349.9</v>
          </cell>
          <cell r="R184">
            <v>412.87845528000003</v>
          </cell>
          <cell r="S184">
            <v>10</v>
          </cell>
          <cell r="T184">
            <v>26</v>
          </cell>
          <cell r="U184">
            <v>76.000000000000014</v>
          </cell>
          <cell r="V184">
            <v>15</v>
          </cell>
          <cell r="W184">
            <v>2</v>
          </cell>
          <cell r="X184">
            <v>5</v>
          </cell>
          <cell r="Y184">
            <v>2</v>
          </cell>
          <cell r="Z184">
            <v>5</v>
          </cell>
          <cell r="AA184">
            <v>106.62711864406781</v>
          </cell>
          <cell r="AB184">
            <v>20.643922763999999</v>
          </cell>
          <cell r="AC184">
            <v>12.386353658399999</v>
          </cell>
          <cell r="AD184">
            <v>0</v>
          </cell>
          <cell r="AE184">
            <v>699</v>
          </cell>
          <cell r="AF184">
            <v>1499</v>
          </cell>
        </row>
        <row r="185">
          <cell r="C185" t="str">
            <v>NP-04</v>
          </cell>
          <cell r="D185" t="str">
            <v>Home &amp; Kitchen</v>
          </cell>
          <cell r="E185" t="str">
            <v>Travel Accessories</v>
          </cell>
          <cell r="F185">
            <v>0.1</v>
          </cell>
          <cell r="G185" t="str">
            <v>Neck Pillow with Memory Foam (Blue)</v>
          </cell>
          <cell r="H185">
            <v>94043090</v>
          </cell>
          <cell r="I185">
            <v>2.95</v>
          </cell>
          <cell r="J185">
            <v>9.594776470588233E-2</v>
          </cell>
          <cell r="K185">
            <v>15.2</v>
          </cell>
          <cell r="L185">
            <v>14.7</v>
          </cell>
          <cell r="M185">
            <v>14.6</v>
          </cell>
          <cell r="N185">
            <v>3.2622239999999989E-3</v>
          </cell>
          <cell r="O185">
            <v>25</v>
          </cell>
          <cell r="P185">
            <v>0.83763563529411778</v>
          </cell>
          <cell r="Q185">
            <v>349.52</v>
          </cell>
          <cell r="R185">
            <v>412.43655708</v>
          </cell>
          <cell r="S185">
            <v>10</v>
          </cell>
          <cell r="T185">
            <v>26</v>
          </cell>
          <cell r="U185">
            <v>77</v>
          </cell>
          <cell r="V185">
            <v>15</v>
          </cell>
          <cell r="W185">
            <v>2</v>
          </cell>
          <cell r="X185">
            <v>5</v>
          </cell>
          <cell r="Y185">
            <v>2</v>
          </cell>
          <cell r="Z185">
            <v>5</v>
          </cell>
          <cell r="AA185">
            <v>106.62711864406781</v>
          </cell>
          <cell r="AB185">
            <v>20.621827853999999</v>
          </cell>
          <cell r="AC185">
            <v>12.373096712400001</v>
          </cell>
          <cell r="AD185">
            <v>0</v>
          </cell>
          <cell r="AE185">
            <v>1199</v>
          </cell>
          <cell r="AF185">
            <v>1499</v>
          </cell>
        </row>
        <row r="186">
          <cell r="C186" t="str">
            <v>NP-05</v>
          </cell>
          <cell r="D186" t="str">
            <v>Home &amp; Kitchen</v>
          </cell>
          <cell r="E186" t="str">
            <v>Travel Accessories</v>
          </cell>
          <cell r="F186">
            <v>0.1</v>
          </cell>
          <cell r="G186" t="str">
            <v>Neck Pillow with Memory Foam (Pink)</v>
          </cell>
          <cell r="H186">
            <v>94043090</v>
          </cell>
          <cell r="I186">
            <v>3.9249999999999998</v>
          </cell>
          <cell r="J186">
            <v>0.1925992352941176</v>
          </cell>
          <cell r="K186">
            <v>25.4</v>
          </cell>
          <cell r="L186">
            <v>20.3</v>
          </cell>
          <cell r="M186">
            <v>12.7</v>
          </cell>
          <cell r="N186">
            <v>6.548374E-3</v>
          </cell>
          <cell r="O186">
            <v>25</v>
          </cell>
          <cell r="P186">
            <v>1.132339789705882</v>
          </cell>
          <cell r="Q186">
            <v>472.49</v>
          </cell>
          <cell r="R186">
            <v>557.5435244549999</v>
          </cell>
          <cell r="S186">
            <v>10</v>
          </cell>
          <cell r="T186">
            <v>26</v>
          </cell>
          <cell r="U186">
            <v>77</v>
          </cell>
          <cell r="V186">
            <v>15</v>
          </cell>
          <cell r="W186">
            <v>2</v>
          </cell>
          <cell r="X186">
            <v>5</v>
          </cell>
          <cell r="Y186">
            <v>2</v>
          </cell>
          <cell r="Z186">
            <v>5</v>
          </cell>
          <cell r="AA186">
            <v>106.62711864406781</v>
          </cell>
          <cell r="AB186">
            <v>27.877176222749991</v>
          </cell>
          <cell r="AC186">
            <v>16.726305733650001</v>
          </cell>
          <cell r="AD186">
            <v>0</v>
          </cell>
          <cell r="AE186">
            <v>1199</v>
          </cell>
          <cell r="AF186">
            <v>1999</v>
          </cell>
        </row>
        <row r="187">
          <cell r="C187" t="str">
            <v>GS-04</v>
          </cell>
          <cell r="D187" t="str">
            <v>Home &amp; Kitchen</v>
          </cell>
          <cell r="E187" t="str">
            <v>Fabric Care</v>
          </cell>
          <cell r="F187">
            <v>4.4999999999999998E-2</v>
          </cell>
          <cell r="G187" t="str">
            <v>Nexlev Garment Steamer with Touch Screen Breeze</v>
          </cell>
          <cell r="H187">
            <v>85167990</v>
          </cell>
          <cell r="I187">
            <v>11.38</v>
          </cell>
          <cell r="J187">
            <v>0.28402088235294121</v>
          </cell>
          <cell r="K187">
            <v>33.5</v>
          </cell>
          <cell r="L187">
            <v>20.3</v>
          </cell>
          <cell r="M187">
            <v>14.2</v>
          </cell>
          <cell r="N187">
            <v>9.6567100000000006E-3</v>
          </cell>
          <cell r="O187">
            <v>20</v>
          </cell>
          <cell r="P187">
            <v>2.566084594117648</v>
          </cell>
          <cell r="Q187">
            <v>1280.71</v>
          </cell>
          <cell r="R187">
            <v>1511.237201601177</v>
          </cell>
          <cell r="S187">
            <v>4.5</v>
          </cell>
          <cell r="T187">
            <v>51</v>
          </cell>
          <cell r="U187">
            <v>143</v>
          </cell>
          <cell r="V187">
            <v>15</v>
          </cell>
          <cell r="W187">
            <v>2</v>
          </cell>
          <cell r="X187">
            <v>5</v>
          </cell>
          <cell r="Y187">
            <v>2</v>
          </cell>
          <cell r="Z187">
            <v>18</v>
          </cell>
          <cell r="AA187">
            <v>335.4406779661017</v>
          </cell>
          <cell r="AB187">
            <v>75.561860080058835</v>
          </cell>
          <cell r="AC187">
            <v>45.337116048035298</v>
          </cell>
          <cell r="AD187">
            <v>0</v>
          </cell>
          <cell r="AE187">
            <v>2199</v>
          </cell>
          <cell r="AF187">
            <v>5999</v>
          </cell>
        </row>
        <row r="188">
          <cell r="C188" t="str">
            <v>ET-03-BL_NE</v>
          </cell>
          <cell r="D188" t="str">
            <v>HPC</v>
          </cell>
          <cell r="E188" t="str">
            <v>Oral Care</v>
          </cell>
          <cell r="F188">
            <v>4.4999999999999998E-2</v>
          </cell>
          <cell r="G188" t="str">
            <v>ET-03-BL_NE Nexlev Smart Smile Electric Toothbrush Skyblue</v>
          </cell>
          <cell r="H188">
            <v>85098000</v>
          </cell>
          <cell r="I188">
            <v>1.48</v>
          </cell>
          <cell r="J188">
            <v>7.3352941176470588E-3</v>
          </cell>
          <cell r="K188">
            <v>20</v>
          </cell>
          <cell r="L188">
            <v>4.3</v>
          </cell>
          <cell r="M188">
            <v>2.9</v>
          </cell>
          <cell r="N188">
            <v>2.4939999999999999E-4</v>
          </cell>
          <cell r="O188">
            <v>20</v>
          </cell>
          <cell r="P188">
            <v>0.32721376470588243</v>
          </cell>
          <cell r="Q188">
            <v>163.31</v>
          </cell>
          <cell r="R188">
            <v>192.70511004705881</v>
          </cell>
          <cell r="S188">
            <v>4.5</v>
          </cell>
          <cell r="T188">
            <v>26</v>
          </cell>
          <cell r="U188">
            <v>58</v>
          </cell>
          <cell r="V188">
            <v>20</v>
          </cell>
          <cell r="W188">
            <v>2</v>
          </cell>
          <cell r="X188">
            <v>5</v>
          </cell>
          <cell r="Y188">
            <v>2</v>
          </cell>
          <cell r="Z188">
            <v>18</v>
          </cell>
          <cell r="AA188">
            <v>45.610169491525397</v>
          </cell>
          <cell r="AB188">
            <v>9.6352555023529405</v>
          </cell>
          <cell r="AC188">
            <v>5.7811533014117629</v>
          </cell>
          <cell r="AD188">
            <v>0</v>
          </cell>
          <cell r="AE188">
            <v>299</v>
          </cell>
          <cell r="AF188">
            <v>699</v>
          </cell>
        </row>
        <row r="189">
          <cell r="C189" t="str">
            <v>ET-01-BK_NE</v>
          </cell>
          <cell r="D189" t="str">
            <v>HPC</v>
          </cell>
          <cell r="E189" t="str">
            <v>Oral Care</v>
          </cell>
          <cell r="F189">
            <v>4.4999999999999998E-2</v>
          </cell>
          <cell r="G189" t="str">
            <v>ET-01-BK_NE Nexlev Smart Smile Electric Toothbrush Black</v>
          </cell>
          <cell r="H189">
            <v>85098000</v>
          </cell>
          <cell r="I189">
            <v>2.25</v>
          </cell>
          <cell r="J189">
            <v>2.0583529411764709E-2</v>
          </cell>
          <cell r="K189">
            <v>24.3</v>
          </cell>
          <cell r="L189">
            <v>7.2</v>
          </cell>
          <cell r="M189">
            <v>4</v>
          </cell>
          <cell r="N189">
            <v>6.9984000000000008E-4</v>
          </cell>
          <cell r="O189">
            <v>20</v>
          </cell>
          <cell r="P189">
            <v>0.49952837647058829</v>
          </cell>
          <cell r="Q189">
            <v>249.31</v>
          </cell>
          <cell r="R189">
            <v>294.18588440470592</v>
          </cell>
          <cell r="S189">
            <v>4.5</v>
          </cell>
          <cell r="T189">
            <v>26</v>
          </cell>
          <cell r="U189">
            <v>59.000000000000007</v>
          </cell>
          <cell r="V189">
            <v>20</v>
          </cell>
          <cell r="W189">
            <v>2</v>
          </cell>
          <cell r="X189">
            <v>5</v>
          </cell>
          <cell r="Y189">
            <v>2</v>
          </cell>
          <cell r="Z189">
            <v>18</v>
          </cell>
          <cell r="AA189">
            <v>45.610169491525397</v>
          </cell>
          <cell r="AB189">
            <v>14.709294220235289</v>
          </cell>
          <cell r="AC189">
            <v>8.8255765321411754</v>
          </cell>
          <cell r="AD189">
            <v>0</v>
          </cell>
          <cell r="AE189">
            <v>299</v>
          </cell>
          <cell r="AF189">
            <v>1199</v>
          </cell>
        </row>
        <row r="190">
          <cell r="C190" t="str">
            <v>ET-02-GN_NE</v>
          </cell>
          <cell r="D190" t="str">
            <v>HPC</v>
          </cell>
          <cell r="E190" t="str">
            <v>Oral Care</v>
          </cell>
          <cell r="F190">
            <v>4.4999999999999998E-2</v>
          </cell>
          <cell r="G190" t="str">
            <v>ET-02-GN_NE Nexlev Smart Smile Electric Toothbrush Green</v>
          </cell>
          <cell r="H190">
            <v>85098000</v>
          </cell>
          <cell r="I190">
            <v>2.25</v>
          </cell>
          <cell r="J190">
            <v>1.9708764705882349E-2</v>
          </cell>
          <cell r="K190">
            <v>24.2</v>
          </cell>
          <cell r="L190">
            <v>7.1</v>
          </cell>
          <cell r="M190">
            <v>3.9</v>
          </cell>
          <cell r="N190">
            <v>6.7009799999999994E-4</v>
          </cell>
          <cell r="O190">
            <v>20</v>
          </cell>
          <cell r="P190">
            <v>0.49933592823529421</v>
          </cell>
          <cell r="Q190">
            <v>249.21</v>
          </cell>
          <cell r="R190">
            <v>294.07254639035301</v>
          </cell>
          <cell r="S190">
            <v>4.5</v>
          </cell>
          <cell r="T190">
            <v>26</v>
          </cell>
          <cell r="U190">
            <v>92.898305084745772</v>
          </cell>
          <cell r="V190">
            <v>20</v>
          </cell>
          <cell r="W190">
            <v>2</v>
          </cell>
          <cell r="X190">
            <v>5</v>
          </cell>
          <cell r="Y190">
            <v>2</v>
          </cell>
          <cell r="Z190">
            <v>18</v>
          </cell>
          <cell r="AA190">
            <v>45.610169491525397</v>
          </cell>
          <cell r="AB190">
            <v>14.703627319517651</v>
          </cell>
          <cell r="AC190">
            <v>8.8221763917105882</v>
          </cell>
          <cell r="AD190">
            <v>0</v>
          </cell>
          <cell r="AE190">
            <v>299</v>
          </cell>
          <cell r="AF190">
            <v>1199</v>
          </cell>
        </row>
        <row r="191">
          <cell r="C191" t="str">
            <v>SC-02</v>
          </cell>
          <cell r="D191" t="str">
            <v>Home &amp; Kitchen</v>
          </cell>
          <cell r="E191" t="str">
            <v>Cleaning &amp; Vacumming</v>
          </cell>
          <cell r="F191">
            <v>4.4999999999999998E-2</v>
          </cell>
          <cell r="G191" t="str">
            <v>Steam Cleaner-Shine</v>
          </cell>
          <cell r="H191">
            <v>85167990</v>
          </cell>
          <cell r="I191">
            <v>10.3</v>
          </cell>
          <cell r="J191">
            <v>0.32099611764705882</v>
          </cell>
          <cell r="K191">
            <v>26.9</v>
          </cell>
          <cell r="L191">
            <v>25.2</v>
          </cell>
          <cell r="M191">
            <v>16.100000000000001</v>
          </cell>
          <cell r="N191">
            <v>1.0913868E-2</v>
          </cell>
          <cell r="O191">
            <v>20</v>
          </cell>
          <cell r="P191">
            <v>2.336619145882354</v>
          </cell>
          <cell r="Q191">
            <v>1166.19</v>
          </cell>
          <cell r="R191">
            <v>1376.0987409868239</v>
          </cell>
          <cell r="S191">
            <v>4.5</v>
          </cell>
          <cell r="T191">
            <v>51</v>
          </cell>
          <cell r="U191">
            <v>148</v>
          </cell>
          <cell r="V191">
            <v>15</v>
          </cell>
          <cell r="W191">
            <v>2</v>
          </cell>
          <cell r="X191">
            <v>5</v>
          </cell>
          <cell r="Y191">
            <v>2</v>
          </cell>
          <cell r="Z191">
            <v>18</v>
          </cell>
          <cell r="AA191">
            <v>373.57627118644041</v>
          </cell>
          <cell r="AB191">
            <v>68.804937049341191</v>
          </cell>
          <cell r="AC191">
            <v>41.282962229604713</v>
          </cell>
          <cell r="AD191">
            <v>0</v>
          </cell>
          <cell r="AE191">
            <v>2449</v>
          </cell>
          <cell r="AF191">
            <v>6999</v>
          </cell>
        </row>
        <row r="192">
          <cell r="C192" t="str">
            <v>MR-01</v>
          </cell>
          <cell r="D192" t="str">
            <v>Home &amp; Kitchen</v>
          </cell>
          <cell r="E192" t="str">
            <v>Cleaning &amp; Vacumming</v>
          </cell>
          <cell r="F192">
            <v>4.4999999999999998E-2</v>
          </cell>
          <cell r="G192" t="str">
            <v>Smart Care Mite Remover (Nexlev Dust Mite UV)</v>
          </cell>
          <cell r="H192">
            <v>85086000</v>
          </cell>
          <cell r="I192">
            <v>8.4</v>
          </cell>
          <cell r="J192">
            <v>0.45603044117647062</v>
          </cell>
          <cell r="K192">
            <v>30.7</v>
          </cell>
          <cell r="L192">
            <v>27.3</v>
          </cell>
          <cell r="M192">
            <v>18.5</v>
          </cell>
          <cell r="N192">
            <v>1.5505035E-2</v>
          </cell>
          <cell r="O192">
            <v>10</v>
          </cell>
          <cell r="P192">
            <v>0.974163348529412</v>
          </cell>
          <cell r="Q192">
            <v>984.72</v>
          </cell>
          <cell r="R192">
            <v>1043.966580466765</v>
          </cell>
          <cell r="S192">
            <v>4.5</v>
          </cell>
          <cell r="T192">
            <v>51</v>
          </cell>
          <cell r="U192">
            <v>181</v>
          </cell>
          <cell r="V192">
            <v>15</v>
          </cell>
          <cell r="W192">
            <v>2</v>
          </cell>
          <cell r="X192">
            <v>5</v>
          </cell>
          <cell r="Y192">
            <v>2</v>
          </cell>
          <cell r="Z192">
            <v>18</v>
          </cell>
          <cell r="AA192">
            <v>442.22033898305062</v>
          </cell>
          <cell r="AB192">
            <v>52.198329023338239</v>
          </cell>
          <cell r="AC192">
            <v>31.31899741400294</v>
          </cell>
          <cell r="AD192">
            <v>100</v>
          </cell>
          <cell r="AE192">
            <v>2899</v>
          </cell>
          <cell r="AF192">
            <v>5499</v>
          </cell>
        </row>
        <row r="193">
          <cell r="C193" t="str">
            <v>CR-01</v>
          </cell>
          <cell r="D193" t="str">
            <v>HPC</v>
          </cell>
          <cell r="E193" t="str">
            <v>Skin Care</v>
          </cell>
          <cell r="F193">
            <v>0.11</v>
          </cell>
          <cell r="G193" t="str">
            <v>Smooth Sole Callus Remover</v>
          </cell>
          <cell r="H193">
            <v>82142090</v>
          </cell>
          <cell r="I193">
            <v>4.4800000000000004</v>
          </cell>
          <cell r="J193">
            <v>3.5073529411764698E-2</v>
          </cell>
          <cell r="K193">
            <v>21.2</v>
          </cell>
          <cell r="L193">
            <v>12.5</v>
          </cell>
          <cell r="M193">
            <v>4.5</v>
          </cell>
          <cell r="N193">
            <v>1.1925E-3</v>
          </cell>
          <cell r="O193">
            <v>10</v>
          </cell>
          <cell r="P193">
            <v>0.49665808823529423</v>
          </cell>
          <cell r="Q193">
            <v>451.06</v>
          </cell>
          <cell r="R193">
            <v>532.2458977941177</v>
          </cell>
          <cell r="S193">
            <v>11</v>
          </cell>
          <cell r="T193">
            <v>26</v>
          </cell>
          <cell r="U193">
            <v>59.000000000000007</v>
          </cell>
          <cell r="V193">
            <v>20</v>
          </cell>
          <cell r="W193">
            <v>2</v>
          </cell>
          <cell r="X193">
            <v>5</v>
          </cell>
          <cell r="Y193">
            <v>2</v>
          </cell>
          <cell r="Z193">
            <v>18</v>
          </cell>
          <cell r="AA193">
            <v>105.1016949152543</v>
          </cell>
          <cell r="AB193">
            <v>26.61229488970589</v>
          </cell>
          <cell r="AC193">
            <v>15.96737693382353</v>
          </cell>
          <cell r="AD193">
            <v>0</v>
          </cell>
          <cell r="AE193">
            <v>689</v>
          </cell>
          <cell r="AF193">
            <v>1999</v>
          </cell>
        </row>
        <row r="194">
          <cell r="C194" t="str">
            <v>T-01</v>
          </cell>
          <cell r="D194" t="str">
            <v>HPC</v>
          </cell>
          <cell r="E194" t="str">
            <v>Trimmers &amp; Body Groomers</v>
          </cell>
          <cell r="F194">
            <v>7.0000000000000007E-2</v>
          </cell>
          <cell r="G194" t="str">
            <v>Velvet Vibe Multi-Trimmer</v>
          </cell>
          <cell r="H194">
            <v>85102000</v>
          </cell>
          <cell r="I194">
            <v>3.96</v>
          </cell>
          <cell r="J194">
            <v>2.2505411764705881E-2</v>
          </cell>
          <cell r="K194">
            <v>19.600000000000001</v>
          </cell>
          <cell r="L194">
            <v>12.2</v>
          </cell>
          <cell r="M194">
            <v>3.2</v>
          </cell>
          <cell r="N194">
            <v>7.6518400000000013E-4</v>
          </cell>
          <cell r="O194">
            <v>20</v>
          </cell>
          <cell r="P194">
            <v>0.87615119058823532</v>
          </cell>
          <cell r="Q194">
            <v>437.28</v>
          </cell>
          <cell r="R194">
            <v>515.98933116988235</v>
          </cell>
          <cell r="S194">
            <v>7.0000000000000009</v>
          </cell>
          <cell r="T194">
            <v>51</v>
          </cell>
          <cell r="U194">
            <v>59</v>
          </cell>
          <cell r="V194">
            <v>20</v>
          </cell>
          <cell r="W194">
            <v>2</v>
          </cell>
          <cell r="X194">
            <v>5</v>
          </cell>
          <cell r="Y194">
            <v>2</v>
          </cell>
          <cell r="Z194">
            <v>18</v>
          </cell>
          <cell r="AA194">
            <v>160.01694915254231</v>
          </cell>
          <cell r="AB194">
            <v>25.799466558494121</v>
          </cell>
          <cell r="AC194">
            <v>15.47967993509647</v>
          </cell>
          <cell r="AD194">
            <v>0</v>
          </cell>
          <cell r="AE194">
            <v>1049</v>
          </cell>
          <cell r="AF194">
            <v>1499</v>
          </cell>
        </row>
        <row r="195">
          <cell r="C195" t="str">
            <v>T-02</v>
          </cell>
          <cell r="D195" t="str">
            <v>HPC</v>
          </cell>
          <cell r="E195" t="str">
            <v>Trimmers &amp; Body Groomers</v>
          </cell>
          <cell r="F195">
            <v>9.5000000000000001E-2</v>
          </cell>
          <cell r="G195" t="str">
            <v>Velvet Vibe Plus Multi-Trimmer</v>
          </cell>
          <cell r="H195">
            <v>85102000</v>
          </cell>
          <cell r="I195">
            <v>4.6500000000000004</v>
          </cell>
          <cell r="J195">
            <v>2.1206470588235288E-2</v>
          </cell>
          <cell r="K195">
            <v>19.7</v>
          </cell>
          <cell r="L195">
            <v>12.2</v>
          </cell>
          <cell r="M195">
            <v>3</v>
          </cell>
          <cell r="N195">
            <v>7.2101999999999995E-4</v>
          </cell>
          <cell r="O195">
            <v>20</v>
          </cell>
          <cell r="P195">
            <v>1.027665423529412</v>
          </cell>
          <cell r="Q195">
            <v>512.9</v>
          </cell>
          <cell r="R195">
            <v>605.22019515529416</v>
          </cell>
          <cell r="S195">
            <v>9.5</v>
          </cell>
          <cell r="T195">
            <v>51</v>
          </cell>
          <cell r="U195">
            <v>59</v>
          </cell>
          <cell r="V195">
            <v>20</v>
          </cell>
          <cell r="W195">
            <v>2</v>
          </cell>
          <cell r="X195">
            <v>5</v>
          </cell>
          <cell r="Y195">
            <v>2</v>
          </cell>
          <cell r="Z195">
            <v>18</v>
          </cell>
          <cell r="AA195">
            <v>152.3898305084746</v>
          </cell>
          <cell r="AB195">
            <v>30.261009757764711</v>
          </cell>
          <cell r="AC195">
            <v>18.156605854658821</v>
          </cell>
          <cell r="AD195">
            <v>0</v>
          </cell>
          <cell r="AE195">
            <v>1299</v>
          </cell>
          <cell r="AF195">
            <v>1899</v>
          </cell>
        </row>
        <row r="196">
          <cell r="C196" t="str">
            <v>GS-05</v>
          </cell>
          <cell r="D196" t="str">
            <v>Home &amp; Kitchen</v>
          </cell>
          <cell r="E196" t="str">
            <v>Fabric Care</v>
          </cell>
          <cell r="F196">
            <v>4.4999999999999998E-2</v>
          </cell>
          <cell r="G196" t="str">
            <v>Nexlev Smart Care Travel Steamer - Nomad</v>
          </cell>
          <cell r="H196">
            <v>85167990</v>
          </cell>
          <cell r="I196">
            <v>7.5</v>
          </cell>
          <cell r="J196">
            <v>0.1102034117647059</v>
          </cell>
          <cell r="K196">
            <v>26.1</v>
          </cell>
          <cell r="L196">
            <v>14.8</v>
          </cell>
          <cell r="M196">
            <v>9.6999999999999993</v>
          </cell>
          <cell r="N196">
            <v>3.7469159999999999E-3</v>
          </cell>
          <cell r="O196">
            <v>20</v>
          </cell>
          <cell r="P196">
            <v>1.6742447505882361</v>
          </cell>
          <cell r="Q196">
            <v>835.6</v>
          </cell>
          <cell r="R196">
            <v>986.00839484188225</v>
          </cell>
          <cell r="S196">
            <v>4.5</v>
          </cell>
          <cell r="T196">
            <v>51</v>
          </cell>
          <cell r="U196">
            <v>77</v>
          </cell>
          <cell r="V196">
            <v>15</v>
          </cell>
          <cell r="W196">
            <v>2</v>
          </cell>
          <cell r="X196">
            <v>5</v>
          </cell>
          <cell r="Y196">
            <v>2</v>
          </cell>
          <cell r="Z196">
            <v>18</v>
          </cell>
          <cell r="AA196">
            <v>282.05084745762701</v>
          </cell>
          <cell r="AB196">
            <v>49.300419742094107</v>
          </cell>
          <cell r="AC196">
            <v>29.58025184525647</v>
          </cell>
          <cell r="AD196">
            <v>0</v>
          </cell>
          <cell r="AE196">
            <v>1849</v>
          </cell>
          <cell r="AF196">
            <v>3999</v>
          </cell>
        </row>
        <row r="197">
          <cell r="C197" t="str">
            <v>V-01</v>
          </cell>
          <cell r="D197" t="str">
            <v>HPC</v>
          </cell>
          <cell r="E197" t="str">
            <v>Hair Care</v>
          </cell>
          <cell r="F197">
            <v>9.5000000000000001E-2</v>
          </cell>
          <cell r="G197" t="str">
            <v>Nexlev Volumizer</v>
          </cell>
          <cell r="H197">
            <v>85163100</v>
          </cell>
          <cell r="I197">
            <v>5.5</v>
          </cell>
          <cell r="J197">
            <v>0.117829</v>
          </cell>
          <cell r="K197">
            <v>39.1</v>
          </cell>
          <cell r="L197">
            <v>10.9</v>
          </cell>
          <cell r="M197">
            <v>9.4</v>
          </cell>
          <cell r="N197">
            <v>4.006186000000001E-3</v>
          </cell>
          <cell r="O197">
            <v>20</v>
          </cell>
          <cell r="P197">
            <v>1.2359223800000001</v>
          </cell>
          <cell r="Q197">
            <v>616.84</v>
          </cell>
          <cell r="R197">
            <v>727.86839655599999</v>
          </cell>
          <cell r="S197">
            <v>9.5</v>
          </cell>
          <cell r="T197">
            <v>51</v>
          </cell>
          <cell r="U197">
            <v>77</v>
          </cell>
          <cell r="V197">
            <v>20</v>
          </cell>
          <cell r="W197">
            <v>2</v>
          </cell>
          <cell r="X197">
            <v>5</v>
          </cell>
          <cell r="Y197">
            <v>2</v>
          </cell>
          <cell r="Z197">
            <v>18</v>
          </cell>
          <cell r="AA197">
            <v>213.4067796610168</v>
          </cell>
          <cell r="AB197">
            <v>36.393419827800003</v>
          </cell>
          <cell r="AC197">
            <v>21.836051896680001</v>
          </cell>
          <cell r="AD197">
            <v>0</v>
          </cell>
          <cell r="AE197">
            <v>1399</v>
          </cell>
          <cell r="AF197">
            <v>3499</v>
          </cell>
        </row>
        <row r="198">
          <cell r="C198" t="str">
            <v>V-01 Rose Gold</v>
          </cell>
          <cell r="D198" t="str">
            <v>HPC</v>
          </cell>
          <cell r="E198" t="str">
            <v>Hair Care</v>
          </cell>
          <cell r="F198">
            <v>9.5000000000000001E-2</v>
          </cell>
          <cell r="G198" t="str">
            <v>Nexlev Volumizer</v>
          </cell>
          <cell r="H198">
            <v>85163100</v>
          </cell>
          <cell r="I198">
            <v>5</v>
          </cell>
          <cell r="J198">
            <v>0.11624982352941179</v>
          </cell>
          <cell r="K198">
            <v>38.1</v>
          </cell>
          <cell r="L198">
            <v>11.4</v>
          </cell>
          <cell r="M198">
            <v>9.1</v>
          </cell>
          <cell r="N198">
            <v>3.952494E-3</v>
          </cell>
          <cell r="O198">
            <v>20</v>
          </cell>
          <cell r="P198">
            <v>1.1255749611764709</v>
          </cell>
          <cell r="Q198">
            <v>561.76</v>
          </cell>
          <cell r="R198">
            <v>662.88179213576461</v>
          </cell>
          <cell r="S198">
            <v>9.5</v>
          </cell>
          <cell r="T198">
            <v>51</v>
          </cell>
          <cell r="U198">
            <v>77</v>
          </cell>
          <cell r="V198">
            <v>20</v>
          </cell>
          <cell r="W198">
            <v>2</v>
          </cell>
          <cell r="X198">
            <v>5</v>
          </cell>
          <cell r="Y198">
            <v>2</v>
          </cell>
          <cell r="Z198">
            <v>18</v>
          </cell>
          <cell r="AA198">
            <v>304.93220338983042</v>
          </cell>
          <cell r="AB198">
            <v>33.144089606788228</v>
          </cell>
          <cell r="AC198">
            <v>19.88645376407294</v>
          </cell>
          <cell r="AD198">
            <v>0</v>
          </cell>
          <cell r="AE198">
            <v>1999</v>
          </cell>
          <cell r="AF198">
            <v>3499</v>
          </cell>
        </row>
        <row r="199">
          <cell r="C199" t="str">
            <v>HS-01</v>
          </cell>
          <cell r="D199" t="str">
            <v>HPC</v>
          </cell>
          <cell r="E199" t="str">
            <v>Hair Care</v>
          </cell>
          <cell r="F199">
            <v>7.0000000000000007E-2</v>
          </cell>
          <cell r="G199" t="str">
            <v>Hair Straightner - Black</v>
          </cell>
          <cell r="H199">
            <v>85163200</v>
          </cell>
          <cell r="I199">
            <v>2.87</v>
          </cell>
          <cell r="J199">
            <v>3.9827882352941171E-2</v>
          </cell>
          <cell r="K199">
            <v>35.9</v>
          </cell>
          <cell r="L199">
            <v>8.1999999999999993</v>
          </cell>
          <cell r="M199">
            <v>4.5999999999999996</v>
          </cell>
          <cell r="N199">
            <v>1.3541479999999999E-3</v>
          </cell>
          <cell r="O199">
            <v>20</v>
          </cell>
          <cell r="P199">
            <v>0.64016213411764722</v>
          </cell>
          <cell r="Q199">
            <v>319.5</v>
          </cell>
          <cell r="R199">
            <v>377.00893974917648</v>
          </cell>
          <cell r="S199">
            <v>7.0000000000000009</v>
          </cell>
          <cell r="T199">
            <v>26</v>
          </cell>
          <cell r="U199">
            <v>58</v>
          </cell>
          <cell r="V199">
            <v>20</v>
          </cell>
          <cell r="W199">
            <v>2</v>
          </cell>
          <cell r="X199">
            <v>5</v>
          </cell>
          <cell r="Y199">
            <v>2</v>
          </cell>
          <cell r="Z199">
            <v>18</v>
          </cell>
          <cell r="AA199">
            <v>121.88135593220341</v>
          </cell>
          <cell r="AB199">
            <v>18.85044698745882</v>
          </cell>
          <cell r="AC199">
            <v>11.31026819247529</v>
          </cell>
          <cell r="AD199">
            <v>0</v>
          </cell>
          <cell r="AE199">
            <v>799</v>
          </cell>
          <cell r="AF199">
            <v>1299</v>
          </cell>
        </row>
        <row r="200">
          <cell r="C200" t="str">
            <v>HS-02</v>
          </cell>
          <cell r="D200" t="str">
            <v>HPC</v>
          </cell>
          <cell r="E200" t="str">
            <v>Hair Care</v>
          </cell>
          <cell r="F200">
            <v>7.0000000000000007E-2</v>
          </cell>
          <cell r="G200" t="str">
            <v>Hair Straightner - Purple</v>
          </cell>
          <cell r="H200">
            <v>85163200</v>
          </cell>
          <cell r="I200">
            <v>2.96</v>
          </cell>
          <cell r="J200">
            <v>3.4801411764705893E-2</v>
          </cell>
          <cell r="K200">
            <v>32.4</v>
          </cell>
          <cell r="L200">
            <v>8.3000000000000007</v>
          </cell>
          <cell r="M200">
            <v>4.4000000000000004</v>
          </cell>
          <cell r="N200">
            <v>1.183248E-3</v>
          </cell>
          <cell r="O200">
            <v>20</v>
          </cell>
          <cell r="P200">
            <v>0.65885631058823535</v>
          </cell>
          <cell r="Q200">
            <v>328.83</v>
          </cell>
          <cell r="R200">
            <v>388.0184501138823</v>
          </cell>
          <cell r="S200">
            <v>7.0000000000000009</v>
          </cell>
          <cell r="T200">
            <v>26</v>
          </cell>
          <cell r="U200">
            <v>58</v>
          </cell>
          <cell r="V200">
            <v>20</v>
          </cell>
          <cell r="W200">
            <v>2</v>
          </cell>
          <cell r="X200">
            <v>5</v>
          </cell>
          <cell r="Y200">
            <v>2</v>
          </cell>
          <cell r="Z200">
            <v>18</v>
          </cell>
          <cell r="AA200">
            <v>120.3559322033898</v>
          </cell>
          <cell r="AB200">
            <v>19.400922505694119</v>
          </cell>
          <cell r="AC200">
            <v>11.64055350341647</v>
          </cell>
          <cell r="AD200">
            <v>0</v>
          </cell>
          <cell r="AE200">
            <v>789</v>
          </cell>
          <cell r="AF200">
            <v>1499</v>
          </cell>
        </row>
        <row r="201">
          <cell r="C201" t="str">
            <v>HS-01_NE</v>
          </cell>
          <cell r="D201" t="str">
            <v>Home &amp; Kitchen</v>
          </cell>
          <cell r="E201" t="str">
            <v>Hair Care</v>
          </cell>
          <cell r="F201">
            <v>7.0000000000000007E-2</v>
          </cell>
          <cell r="G201" t="str">
            <v>Nexlev Hair Straightener - Black New</v>
          </cell>
          <cell r="H201">
            <v>85163200</v>
          </cell>
          <cell r="I201">
            <v>2.87</v>
          </cell>
          <cell r="J201">
            <v>3.9827882352941171E-2</v>
          </cell>
          <cell r="K201">
            <v>35.9</v>
          </cell>
          <cell r="L201">
            <v>8.1999999999999993</v>
          </cell>
          <cell r="M201">
            <v>4.5999999999999996</v>
          </cell>
          <cell r="N201">
            <v>1.3541479999999999E-3</v>
          </cell>
          <cell r="O201">
            <v>20</v>
          </cell>
          <cell r="P201">
            <v>0.64016213411764722</v>
          </cell>
          <cell r="Q201">
            <v>319.5</v>
          </cell>
          <cell r="R201">
            <v>377.00893974917648</v>
          </cell>
          <cell r="S201">
            <v>7.0000000000000009</v>
          </cell>
          <cell r="T201">
            <v>26</v>
          </cell>
          <cell r="U201">
            <v>58</v>
          </cell>
          <cell r="V201">
            <v>15</v>
          </cell>
          <cell r="W201">
            <v>2</v>
          </cell>
          <cell r="X201">
            <v>5</v>
          </cell>
          <cell r="Y201">
            <v>2</v>
          </cell>
          <cell r="Z201">
            <v>18</v>
          </cell>
          <cell r="AA201">
            <v>121.88135593220341</v>
          </cell>
          <cell r="AB201">
            <v>18.85044698745882</v>
          </cell>
          <cell r="AC201">
            <v>11.31026819247529</v>
          </cell>
          <cell r="AD201">
            <v>0</v>
          </cell>
          <cell r="AE201">
            <v>799</v>
          </cell>
          <cell r="AF201">
            <v>1299</v>
          </cell>
        </row>
        <row r="202">
          <cell r="C202" t="str">
            <v>HS-02_NE</v>
          </cell>
          <cell r="D202" t="str">
            <v>Home &amp; Kitchen</v>
          </cell>
          <cell r="E202" t="str">
            <v>Hair Care</v>
          </cell>
          <cell r="F202">
            <v>7.0000000000000007E-2</v>
          </cell>
          <cell r="G202" t="str">
            <v>Nexlev Hair Straightener - Purple New</v>
          </cell>
          <cell r="H202">
            <v>85163200</v>
          </cell>
          <cell r="I202">
            <v>2.96</v>
          </cell>
          <cell r="J202">
            <v>3.4801411764705893E-2</v>
          </cell>
          <cell r="K202">
            <v>32.4</v>
          </cell>
          <cell r="L202">
            <v>8.3000000000000007</v>
          </cell>
          <cell r="M202">
            <v>4.4000000000000004</v>
          </cell>
          <cell r="N202">
            <v>1.183248E-3</v>
          </cell>
          <cell r="O202">
            <v>20</v>
          </cell>
          <cell r="P202">
            <v>0.65885631058823535</v>
          </cell>
          <cell r="Q202">
            <v>328.83</v>
          </cell>
          <cell r="R202">
            <v>388.0184501138823</v>
          </cell>
          <cell r="S202">
            <v>7.0000000000000009</v>
          </cell>
          <cell r="T202">
            <v>26</v>
          </cell>
          <cell r="U202">
            <v>58</v>
          </cell>
          <cell r="V202">
            <v>15</v>
          </cell>
          <cell r="W202">
            <v>2</v>
          </cell>
          <cell r="X202">
            <v>5</v>
          </cell>
          <cell r="Y202">
            <v>2</v>
          </cell>
          <cell r="Z202">
            <v>18</v>
          </cell>
          <cell r="AA202">
            <v>120.3559322033898</v>
          </cell>
          <cell r="AB202">
            <v>19.400922505694119</v>
          </cell>
          <cell r="AC202">
            <v>11.64055350341647</v>
          </cell>
          <cell r="AD202">
            <v>0</v>
          </cell>
          <cell r="AE202">
            <v>789</v>
          </cell>
          <cell r="AF202">
            <v>1499</v>
          </cell>
        </row>
        <row r="203">
          <cell r="C203" t="str">
            <v>SM-01</v>
          </cell>
          <cell r="D203" t="str">
            <v>Home &amp; Kitchen</v>
          </cell>
          <cell r="E203" t="str">
            <v>Cleaning &amp; Vacumming</v>
          </cell>
          <cell r="F203">
            <v>4.4999999999999998E-2</v>
          </cell>
          <cell r="G203" t="str">
            <v>Steam Mop</v>
          </cell>
          <cell r="H203">
            <v>85098000</v>
          </cell>
          <cell r="I203">
            <v>17.5</v>
          </cell>
          <cell r="J203">
            <v>0.68502305882352932</v>
          </cell>
          <cell r="K203">
            <v>52.1</v>
          </cell>
          <cell r="L203">
            <v>25.4</v>
          </cell>
          <cell r="M203">
            <v>17.600000000000001</v>
          </cell>
          <cell r="N203">
            <v>2.3290783999999998E-2</v>
          </cell>
          <cell r="O203">
            <v>20</v>
          </cell>
          <cell r="P203">
            <v>4.0007050729411766</v>
          </cell>
          <cell r="Q203">
            <v>1996.72</v>
          </cell>
          <cell r="R203">
            <v>2356.1243275934121</v>
          </cell>
          <cell r="S203">
            <v>4.5</v>
          </cell>
          <cell r="T203">
            <v>51</v>
          </cell>
          <cell r="U203">
            <v>214</v>
          </cell>
          <cell r="V203">
            <v>15</v>
          </cell>
          <cell r="W203">
            <v>2</v>
          </cell>
          <cell r="X203">
            <v>5</v>
          </cell>
          <cell r="Y203">
            <v>2</v>
          </cell>
          <cell r="Z203">
            <v>18</v>
          </cell>
          <cell r="AA203">
            <v>564.2542372881353</v>
          </cell>
          <cell r="AB203">
            <v>117.8062163796706</v>
          </cell>
          <cell r="AC203">
            <v>70.683729827802352</v>
          </cell>
          <cell r="AD203">
            <v>0</v>
          </cell>
          <cell r="AE203">
            <v>3699</v>
          </cell>
          <cell r="AF203">
            <v>8999</v>
          </cell>
        </row>
        <row r="204">
          <cell r="C204" t="str">
            <v>SC-03</v>
          </cell>
          <cell r="D204" t="str">
            <v>Home &amp; Kitchen</v>
          </cell>
          <cell r="E204" t="str">
            <v>Cleaning &amp; Vacumming</v>
          </cell>
          <cell r="F204">
            <v>0.08</v>
          </cell>
          <cell r="G204" t="str">
            <v>Steam Cleaner-Heavy Duty</v>
          </cell>
          <cell r="H204">
            <v>85167990</v>
          </cell>
          <cell r="I204">
            <v>29.04</v>
          </cell>
          <cell r="J204">
            <v>1.7705804999999999</v>
          </cell>
          <cell r="K204">
            <v>52.7</v>
          </cell>
          <cell r="L204">
            <v>37.700000000000003</v>
          </cell>
          <cell r="M204">
            <v>30.3</v>
          </cell>
          <cell r="N204">
            <v>6.019973700000001E-2</v>
          </cell>
          <cell r="O204">
            <v>20</v>
          </cell>
          <cell r="P204">
            <v>6.778327710000001</v>
          </cell>
          <cell r="Q204">
            <v>3383</v>
          </cell>
          <cell r="R204">
            <v>3991.942051902</v>
          </cell>
          <cell r="S204">
            <v>8</v>
          </cell>
          <cell r="T204">
            <v>51</v>
          </cell>
          <cell r="U204">
            <v>328.81355932203388</v>
          </cell>
          <cell r="V204">
            <v>15</v>
          </cell>
          <cell r="W204">
            <v>2</v>
          </cell>
          <cell r="X204">
            <v>5</v>
          </cell>
          <cell r="Y204">
            <v>2</v>
          </cell>
          <cell r="Z204">
            <v>18</v>
          </cell>
          <cell r="AA204">
            <v>1067.491525423728</v>
          </cell>
          <cell r="AB204">
            <v>199.59710259510001</v>
          </cell>
          <cell r="AC204">
            <v>119.75826155706</v>
          </cell>
          <cell r="AD204">
            <v>0</v>
          </cell>
          <cell r="AE204">
            <v>6998</v>
          </cell>
          <cell r="AF204">
            <v>11999</v>
          </cell>
        </row>
        <row r="205">
          <cell r="C205" t="str">
            <v>LR-01</v>
          </cell>
          <cell r="D205" t="str">
            <v>Home &amp; Kitchen</v>
          </cell>
          <cell r="E205" t="str">
            <v>Fabric Care</v>
          </cell>
          <cell r="F205">
            <v>6.5000000000000002E-2</v>
          </cell>
          <cell r="G205" t="str">
            <v>Nexlev Lint Remover - Mini</v>
          </cell>
          <cell r="H205">
            <v>85167990</v>
          </cell>
          <cell r="I205">
            <v>3.4</v>
          </cell>
          <cell r="J205">
            <v>2.6540470588235301E-2</v>
          </cell>
          <cell r="K205">
            <v>15.1</v>
          </cell>
          <cell r="L205">
            <v>8.3000000000000007</v>
          </cell>
          <cell r="M205">
            <v>7.2</v>
          </cell>
          <cell r="N205">
            <v>9.0237600000000009E-4</v>
          </cell>
          <cell r="O205">
            <v>20</v>
          </cell>
          <cell r="P205">
            <v>0.75383890352941185</v>
          </cell>
          <cell r="Q205">
            <v>376.23</v>
          </cell>
          <cell r="R205">
            <v>443.95628953129409</v>
          </cell>
          <cell r="S205">
            <v>6.5</v>
          </cell>
          <cell r="T205">
            <v>26</v>
          </cell>
          <cell r="U205">
            <v>59.000000000000007</v>
          </cell>
          <cell r="V205">
            <v>15</v>
          </cell>
          <cell r="W205">
            <v>2</v>
          </cell>
          <cell r="X205">
            <v>5</v>
          </cell>
          <cell r="Y205">
            <v>2</v>
          </cell>
          <cell r="Z205">
            <v>18</v>
          </cell>
          <cell r="AA205">
            <v>137.1355932203389</v>
          </cell>
          <cell r="AB205">
            <v>22.197814476564709</v>
          </cell>
          <cell r="AC205">
            <v>13.31868868593882</v>
          </cell>
          <cell r="AD205">
            <v>0</v>
          </cell>
          <cell r="AE205">
            <v>899</v>
          </cell>
          <cell r="AF205">
            <v>1899</v>
          </cell>
        </row>
        <row r="206">
          <cell r="C206" t="str">
            <v>LR-02</v>
          </cell>
          <cell r="D206" t="str">
            <v>Home &amp; Kitchen</v>
          </cell>
          <cell r="E206" t="str">
            <v>Fabric Care</v>
          </cell>
          <cell r="F206">
            <v>4.4999999999999998E-2</v>
          </cell>
          <cell r="G206" t="str">
            <v xml:space="preserve">Nexlev Lint Remover </v>
          </cell>
          <cell r="H206">
            <v>85167990</v>
          </cell>
          <cell r="I206">
            <v>6.8</v>
          </cell>
          <cell r="J206">
            <v>6.0429176470588222E-2</v>
          </cell>
          <cell r="K206">
            <v>19.2</v>
          </cell>
          <cell r="L206">
            <v>12.3</v>
          </cell>
          <cell r="M206">
            <v>8.6999999999999993</v>
          </cell>
          <cell r="N206">
            <v>2.0545920000000001E-3</v>
          </cell>
          <cell r="O206">
            <v>20</v>
          </cell>
          <cell r="P206">
            <v>1.50929441882353</v>
          </cell>
          <cell r="Q206">
            <v>753.28</v>
          </cell>
          <cell r="R206">
            <v>888.8646458202353</v>
          </cell>
          <cell r="S206">
            <v>4.5</v>
          </cell>
          <cell r="T206">
            <v>51</v>
          </cell>
          <cell r="U206">
            <v>77</v>
          </cell>
          <cell r="V206">
            <v>15</v>
          </cell>
          <cell r="W206">
            <v>2</v>
          </cell>
          <cell r="X206">
            <v>5</v>
          </cell>
          <cell r="Y206">
            <v>2</v>
          </cell>
          <cell r="Z206">
            <v>18</v>
          </cell>
          <cell r="AA206">
            <v>228.66101694915261</v>
          </cell>
          <cell r="AB206">
            <v>44.443232291011768</v>
          </cell>
          <cell r="AC206">
            <v>26.66593937460706</v>
          </cell>
          <cell r="AD206">
            <v>0</v>
          </cell>
          <cell r="AE206">
            <v>1499</v>
          </cell>
          <cell r="AF206">
            <v>2999</v>
          </cell>
        </row>
        <row r="207">
          <cell r="C207" t="str">
            <v>HD-01</v>
          </cell>
          <cell r="D207" t="str">
            <v>HPC</v>
          </cell>
          <cell r="E207" t="str">
            <v>Hair Care</v>
          </cell>
          <cell r="F207">
            <v>9.5000000000000001E-2</v>
          </cell>
          <cell r="G207" t="str">
            <v>Nexlev Hair Dryer</v>
          </cell>
          <cell r="H207">
            <v>85163100</v>
          </cell>
          <cell r="I207">
            <v>5.85</v>
          </cell>
          <cell r="J207">
            <v>8.0323764705882372E-2</v>
          </cell>
          <cell r="K207">
            <v>25.4</v>
          </cell>
          <cell r="L207">
            <v>12.8</v>
          </cell>
          <cell r="M207">
            <v>8.4</v>
          </cell>
          <cell r="N207">
            <v>2.731008E-3</v>
          </cell>
          <cell r="O207">
            <v>20</v>
          </cell>
          <cell r="P207">
            <v>1.3046712282352939</v>
          </cell>
          <cell r="Q207">
            <v>651.15</v>
          </cell>
          <cell r="R207">
            <v>768.35646825035292</v>
          </cell>
          <cell r="S207">
            <v>9.5</v>
          </cell>
          <cell r="T207">
            <v>51</v>
          </cell>
          <cell r="U207">
            <v>77</v>
          </cell>
          <cell r="V207">
            <v>20</v>
          </cell>
          <cell r="W207">
            <v>2</v>
          </cell>
          <cell r="X207">
            <v>5</v>
          </cell>
          <cell r="Y207">
            <v>2</v>
          </cell>
          <cell r="Z207">
            <v>18</v>
          </cell>
          <cell r="AA207">
            <v>228.66101694915261</v>
          </cell>
          <cell r="AB207">
            <v>38.417823412517649</v>
          </cell>
          <cell r="AC207">
            <v>23.050694047510589</v>
          </cell>
          <cell r="AD207">
            <v>0</v>
          </cell>
          <cell r="AE207">
            <v>1499</v>
          </cell>
          <cell r="AF207">
            <v>2499</v>
          </cell>
        </row>
        <row r="208">
          <cell r="C208" t="str">
            <v>HM-01</v>
          </cell>
          <cell r="D208" t="str">
            <v>HPC</v>
          </cell>
          <cell r="E208" t="str">
            <v>Hair Care</v>
          </cell>
          <cell r="F208">
            <v>0.11</v>
          </cell>
          <cell r="G208" t="str">
            <v>Scalp Massager</v>
          </cell>
          <cell r="H208">
            <v>90191020</v>
          </cell>
          <cell r="I208">
            <v>4.0999999999999996</v>
          </cell>
          <cell r="J208">
            <v>5.1862588235294119E-2</v>
          </cell>
          <cell r="K208">
            <v>12.8</v>
          </cell>
          <cell r="L208">
            <v>12.3</v>
          </cell>
          <cell r="M208">
            <v>11.2</v>
          </cell>
          <cell r="N208">
            <v>1.763328E-3</v>
          </cell>
          <cell r="O208">
            <v>10</v>
          </cell>
          <cell r="P208">
            <v>0.45670488470588239</v>
          </cell>
          <cell r="Q208">
            <v>414.77</v>
          </cell>
          <cell r="R208">
            <v>489.42986562635292</v>
          </cell>
          <cell r="S208">
            <v>11</v>
          </cell>
          <cell r="T208">
            <v>51</v>
          </cell>
          <cell r="U208">
            <v>58</v>
          </cell>
          <cell r="V208">
            <v>20</v>
          </cell>
          <cell r="W208">
            <v>2</v>
          </cell>
          <cell r="X208">
            <v>5</v>
          </cell>
          <cell r="Y208">
            <v>2</v>
          </cell>
          <cell r="Z208">
            <v>5</v>
          </cell>
          <cell r="AA208">
            <v>152.3898305084746</v>
          </cell>
          <cell r="AB208">
            <v>24.471493281317649</v>
          </cell>
          <cell r="AC208">
            <v>14.682895968790589</v>
          </cell>
          <cell r="AD208">
            <v>0</v>
          </cell>
          <cell r="AE208">
            <v>999</v>
          </cell>
          <cell r="AF208">
            <v>2099</v>
          </cell>
        </row>
        <row r="209">
          <cell r="C209" t="str">
            <v>HM-02</v>
          </cell>
          <cell r="D209" t="str">
            <v>HPC</v>
          </cell>
          <cell r="E209" t="str">
            <v>Hair Care</v>
          </cell>
          <cell r="F209">
            <v>0.14499999999999999</v>
          </cell>
          <cell r="G209" t="str">
            <v>Scalp Massager Pro</v>
          </cell>
          <cell r="H209">
            <v>90191020</v>
          </cell>
          <cell r="I209">
            <v>6</v>
          </cell>
          <cell r="J209">
            <v>5.0235294117647072E-2</v>
          </cell>
          <cell r="K209">
            <v>12.5</v>
          </cell>
          <cell r="L209">
            <v>12.2</v>
          </cell>
          <cell r="M209">
            <v>11.2</v>
          </cell>
          <cell r="N209">
            <v>1.7080000000000001E-3</v>
          </cell>
          <cell r="O209">
            <v>10</v>
          </cell>
          <cell r="P209">
            <v>0.6655258823529413</v>
          </cell>
          <cell r="Q209">
            <v>604.41999999999996</v>
          </cell>
          <cell r="R209">
            <v>713.21383694117651</v>
          </cell>
          <cell r="S209">
            <v>14.5</v>
          </cell>
          <cell r="T209">
            <v>51</v>
          </cell>
          <cell r="U209">
            <v>59.000000000000007</v>
          </cell>
          <cell r="V209">
            <v>20</v>
          </cell>
          <cell r="W209">
            <v>2</v>
          </cell>
          <cell r="X209">
            <v>5</v>
          </cell>
          <cell r="Y209">
            <v>2</v>
          </cell>
          <cell r="Z209">
            <v>5</v>
          </cell>
          <cell r="AA209">
            <v>228.66101694915261</v>
          </cell>
          <cell r="AB209">
            <v>35.660691847058828</v>
          </cell>
          <cell r="AC209">
            <v>21.396415108235299</v>
          </cell>
          <cell r="AD209">
            <v>0</v>
          </cell>
          <cell r="AE209">
            <v>1499</v>
          </cell>
          <cell r="AF209">
            <v>2699</v>
          </cell>
        </row>
        <row r="210">
          <cell r="C210" t="str">
            <v>ETC-04-WH</v>
          </cell>
          <cell r="D210" t="str">
            <v>HPC</v>
          </cell>
          <cell r="E210" t="str">
            <v>Oral Care</v>
          </cell>
          <cell r="F210">
            <v>7.4999999999999997E-2</v>
          </cell>
          <cell r="G210" t="str">
            <v>Electric Toothbrush - C Type - White-Sparkle Pro</v>
          </cell>
          <cell r="H210">
            <v>85098000</v>
          </cell>
          <cell r="I210">
            <v>3.09</v>
          </cell>
          <cell r="J210">
            <v>2.950588235294117E-2</v>
          </cell>
          <cell r="K210">
            <v>24</v>
          </cell>
          <cell r="L210">
            <v>11</v>
          </cell>
          <cell r="M210">
            <v>3.8</v>
          </cell>
          <cell r="N210">
            <v>1.0032000000000001E-3</v>
          </cell>
          <cell r="O210">
            <v>20</v>
          </cell>
          <cell r="P210">
            <v>0.68629129411764711</v>
          </cell>
          <cell r="Q210">
            <v>342.52</v>
          </cell>
          <cell r="R210">
            <v>404.17566014117648</v>
          </cell>
          <cell r="S210">
            <v>7.5</v>
          </cell>
          <cell r="T210">
            <v>26</v>
          </cell>
          <cell r="U210">
            <v>59</v>
          </cell>
          <cell r="V210">
            <v>20</v>
          </cell>
          <cell r="W210">
            <v>2</v>
          </cell>
          <cell r="X210">
            <v>5</v>
          </cell>
          <cell r="Y210">
            <v>2</v>
          </cell>
          <cell r="Z210">
            <v>18</v>
          </cell>
          <cell r="AA210">
            <v>112.72881355932201</v>
          </cell>
          <cell r="AB210">
            <v>20.20878300705883</v>
          </cell>
          <cell r="AC210">
            <v>12.125269804235289</v>
          </cell>
          <cell r="AD210">
            <v>0</v>
          </cell>
          <cell r="AE210">
            <v>739</v>
          </cell>
          <cell r="AF210">
            <v>1499</v>
          </cell>
        </row>
        <row r="211">
          <cell r="C211" t="str">
            <v>ETC-05-PI</v>
          </cell>
          <cell r="D211" t="str">
            <v>HPC</v>
          </cell>
          <cell r="E211" t="str">
            <v>Oral Care</v>
          </cell>
          <cell r="F211">
            <v>7.4999999999999997E-2</v>
          </cell>
          <cell r="G211" t="str">
            <v>Electric Toothbrush - C Type - Pink-Sparkle Pro</v>
          </cell>
          <cell r="H211">
            <v>85098000</v>
          </cell>
          <cell r="I211">
            <v>3.15</v>
          </cell>
          <cell r="J211">
            <v>3.1210588235294111E-2</v>
          </cell>
          <cell r="K211">
            <v>23.9</v>
          </cell>
          <cell r="L211">
            <v>11.1</v>
          </cell>
          <cell r="M211">
            <v>4</v>
          </cell>
          <cell r="N211">
            <v>1.06116E-3</v>
          </cell>
          <cell r="O211">
            <v>20</v>
          </cell>
          <cell r="P211">
            <v>0.69986632941176474</v>
          </cell>
          <cell r="Q211">
            <v>349.3</v>
          </cell>
          <cell r="R211">
            <v>412.17036865411762</v>
          </cell>
          <cell r="S211">
            <v>7.5</v>
          </cell>
          <cell r="T211">
            <v>26</v>
          </cell>
          <cell r="U211">
            <v>59</v>
          </cell>
          <cell r="V211">
            <v>20</v>
          </cell>
          <cell r="W211">
            <v>2</v>
          </cell>
          <cell r="X211">
            <v>5</v>
          </cell>
          <cell r="Y211">
            <v>2</v>
          </cell>
          <cell r="Z211">
            <v>18</v>
          </cell>
          <cell r="AA211">
            <v>104.6440677966101</v>
          </cell>
          <cell r="AB211">
            <v>20.608518432705878</v>
          </cell>
          <cell r="AC211">
            <v>12.36511105962353</v>
          </cell>
          <cell r="AD211">
            <v>0</v>
          </cell>
          <cell r="AE211">
            <v>686</v>
          </cell>
          <cell r="AF211">
            <v>1499</v>
          </cell>
        </row>
        <row r="212">
          <cell r="C212" t="str">
            <v>SW-01</v>
          </cell>
          <cell r="D212" t="str">
            <v>Home &amp; Kitchen</v>
          </cell>
          <cell r="E212" t="str">
            <v>Fabric Care</v>
          </cell>
          <cell r="F212">
            <v>4.4999999999999998E-2</v>
          </cell>
          <cell r="G212" t="str">
            <v>Portable Sewing Machine</v>
          </cell>
          <cell r="H212">
            <v>84521021</v>
          </cell>
          <cell r="I212">
            <v>3.46</v>
          </cell>
          <cell r="J212">
            <v>6.5628823529411781E-2</v>
          </cell>
          <cell r="K212">
            <v>23.6</v>
          </cell>
          <cell r="L212">
            <v>15.5</v>
          </cell>
          <cell r="M212">
            <v>6.1</v>
          </cell>
          <cell r="N212">
            <v>2.2313799999999998E-3</v>
          </cell>
          <cell r="O212">
            <v>10</v>
          </cell>
          <cell r="P212">
            <v>0.38781917058823528</v>
          </cell>
          <cell r="Q212">
            <v>352.21</v>
          </cell>
          <cell r="R212">
            <v>415.6081769752941</v>
          </cell>
          <cell r="S212">
            <v>4.5</v>
          </cell>
          <cell r="T212">
            <v>26</v>
          </cell>
          <cell r="U212">
            <v>77</v>
          </cell>
          <cell r="V212">
            <v>15</v>
          </cell>
          <cell r="W212">
            <v>2</v>
          </cell>
          <cell r="X212">
            <v>5</v>
          </cell>
          <cell r="Y212">
            <v>2</v>
          </cell>
          <cell r="Z212">
            <v>5</v>
          </cell>
          <cell r="AA212">
            <v>152.3898305084746</v>
          </cell>
          <cell r="AB212">
            <v>20.780408848764711</v>
          </cell>
          <cell r="AC212">
            <v>12.468245309258821</v>
          </cell>
          <cell r="AD212">
            <v>0</v>
          </cell>
          <cell r="AE212">
            <v>999</v>
          </cell>
          <cell r="AF212">
            <v>1299</v>
          </cell>
        </row>
        <row r="213">
          <cell r="C213" t="str">
            <v>HD-02</v>
          </cell>
          <cell r="D213" t="str">
            <v>HPC</v>
          </cell>
          <cell r="E213" t="str">
            <v>Hair Care</v>
          </cell>
          <cell r="F213">
            <v>7.0000000000000007E-2</v>
          </cell>
          <cell r="G213" t="str">
            <v>Nexlev Hair Dryer 1500W - Women</v>
          </cell>
          <cell r="H213">
            <v>85163100</v>
          </cell>
          <cell r="I213">
            <v>3.5</v>
          </cell>
          <cell r="J213">
            <v>6.1130999999999998E-2</v>
          </cell>
          <cell r="K213">
            <v>21.3</v>
          </cell>
          <cell r="L213">
            <v>11.9</v>
          </cell>
          <cell r="M213">
            <v>8.1999999999999993</v>
          </cell>
          <cell r="N213">
            <v>2.078454E-3</v>
          </cell>
          <cell r="O213">
            <v>20</v>
          </cell>
          <cell r="P213">
            <v>0.78344882000000016</v>
          </cell>
          <cell r="Q213">
            <v>391.01</v>
          </cell>
          <cell r="R213">
            <v>461.394376884</v>
          </cell>
          <cell r="S213">
            <v>7.0000000000000009</v>
          </cell>
          <cell r="T213">
            <v>26</v>
          </cell>
          <cell r="U213">
            <v>77</v>
          </cell>
          <cell r="V213">
            <v>20</v>
          </cell>
          <cell r="W213">
            <v>2</v>
          </cell>
          <cell r="X213">
            <v>5</v>
          </cell>
          <cell r="Y213">
            <v>2</v>
          </cell>
          <cell r="Z213">
            <v>18</v>
          </cell>
          <cell r="AA213">
            <v>152.3898305084746</v>
          </cell>
          <cell r="AB213">
            <v>23.069718844200001</v>
          </cell>
          <cell r="AC213">
            <v>13.84183130652</v>
          </cell>
          <cell r="AD213">
            <v>0</v>
          </cell>
          <cell r="AE213">
            <v>999</v>
          </cell>
          <cell r="AF213">
            <v>1999</v>
          </cell>
        </row>
        <row r="214">
          <cell r="C214" t="str">
            <v>EA-01</v>
          </cell>
          <cell r="D214" t="str">
            <v>HPC</v>
          </cell>
          <cell r="E214" t="str">
            <v>Hair Care</v>
          </cell>
          <cell r="F214">
            <v>7.4999999999999997E-2</v>
          </cell>
          <cell r="G214" t="str">
            <v>Electric Oil Applicator</v>
          </cell>
          <cell r="H214">
            <v>90191020</v>
          </cell>
          <cell r="I214">
            <v>6</v>
          </cell>
          <cell r="J214">
            <v>1.4988235294117649E-2</v>
          </cell>
          <cell r="K214">
            <v>10.4</v>
          </cell>
          <cell r="L214">
            <v>10</v>
          </cell>
          <cell r="M214">
            <v>4.9000000000000004</v>
          </cell>
          <cell r="N214">
            <v>5.0960000000000003E-4</v>
          </cell>
          <cell r="O214">
            <v>10</v>
          </cell>
          <cell r="P214">
            <v>0.66164870588235303</v>
          </cell>
          <cell r="Q214">
            <v>600.9</v>
          </cell>
          <cell r="R214">
            <v>709.05884315294111</v>
          </cell>
          <cell r="S214">
            <v>7.5</v>
          </cell>
          <cell r="T214">
            <v>51</v>
          </cell>
          <cell r="U214">
            <v>59</v>
          </cell>
          <cell r="V214">
            <v>20</v>
          </cell>
          <cell r="W214">
            <v>2</v>
          </cell>
          <cell r="X214">
            <v>5</v>
          </cell>
          <cell r="Y214">
            <v>2</v>
          </cell>
          <cell r="Z214">
            <v>5</v>
          </cell>
          <cell r="AA214">
            <v>167.6440677966101</v>
          </cell>
          <cell r="AB214">
            <v>35.452942157647058</v>
          </cell>
          <cell r="AC214">
            <v>21.271765294588231</v>
          </cell>
          <cell r="AD214">
            <v>0</v>
          </cell>
          <cell r="AE214">
            <v>1099</v>
          </cell>
          <cell r="AF214">
            <v>2999</v>
          </cell>
        </row>
        <row r="215">
          <cell r="C215" t="str">
            <v>WF-02-BL</v>
          </cell>
          <cell r="D215" t="str">
            <v>Home &amp; Kitchen</v>
          </cell>
          <cell r="E215" t="str">
            <v>Pet Supplies</v>
          </cell>
          <cell r="F215">
            <v>0.125</v>
          </cell>
          <cell r="G215" t="str">
            <v>Nexlev Pet Water Fountain 2L</v>
          </cell>
          <cell r="H215">
            <v>84212190</v>
          </cell>
          <cell r="I215">
            <v>4.7</v>
          </cell>
          <cell r="J215">
            <v>0.16117994117647061</v>
          </cell>
          <cell r="K215">
            <v>18.600000000000001</v>
          </cell>
          <cell r="L215">
            <v>18.3</v>
          </cell>
          <cell r="M215">
            <v>16.100000000000001</v>
          </cell>
          <cell r="N215">
            <v>5.4801180000000017E-3</v>
          </cell>
          <cell r="O215">
            <v>8</v>
          </cell>
          <cell r="P215">
            <v>0.42778383482352939</v>
          </cell>
          <cell r="Q215">
            <v>476.01</v>
          </cell>
          <cell r="R215">
            <v>561.68795301119997</v>
          </cell>
          <cell r="S215">
            <v>12.5</v>
          </cell>
          <cell r="T215">
            <v>51</v>
          </cell>
          <cell r="U215">
            <v>115</v>
          </cell>
          <cell r="V215">
            <v>15</v>
          </cell>
          <cell r="W215">
            <v>2</v>
          </cell>
          <cell r="X215">
            <v>5</v>
          </cell>
          <cell r="Y215">
            <v>2</v>
          </cell>
          <cell r="Z215">
            <v>18</v>
          </cell>
          <cell r="AA215">
            <v>175.27118644067789</v>
          </cell>
          <cell r="AB215">
            <v>28.08439765056</v>
          </cell>
          <cell r="AC215">
            <v>16.850638590336001</v>
          </cell>
          <cell r="AD215">
            <v>0</v>
          </cell>
          <cell r="AE215">
            <v>1149</v>
          </cell>
          <cell r="AF215">
            <v>2999</v>
          </cell>
        </row>
        <row r="216">
          <cell r="C216" t="str">
            <v>ETR-06</v>
          </cell>
          <cell r="D216" t="str">
            <v>HPC</v>
          </cell>
          <cell r="E216" t="str">
            <v>Oral Care</v>
          </cell>
          <cell r="F216">
            <v>7.4999999999999997E-2</v>
          </cell>
          <cell r="G216" t="str">
            <v>Oscillating Electric Toothbrush Sparkle Plus</v>
          </cell>
          <cell r="H216">
            <v>85098000</v>
          </cell>
          <cell r="I216">
            <v>5.16</v>
          </cell>
          <cell r="J216">
            <v>2.2031058823529411E-2</v>
          </cell>
          <cell r="K216">
            <v>22.4</v>
          </cell>
          <cell r="L216">
            <v>7.6</v>
          </cell>
          <cell r="M216">
            <v>4.4000000000000004</v>
          </cell>
          <cell r="N216">
            <v>7.490559999999999E-4</v>
          </cell>
          <cell r="O216">
            <v>20</v>
          </cell>
          <cell r="P216">
            <v>1.140046832941177</v>
          </cell>
          <cell r="Q216">
            <v>568.99</v>
          </cell>
          <cell r="R216">
            <v>671.40467210541169</v>
          </cell>
          <cell r="S216">
            <v>7.5</v>
          </cell>
          <cell r="T216">
            <v>51</v>
          </cell>
          <cell r="U216">
            <v>59.000000000000007</v>
          </cell>
          <cell r="V216">
            <v>20</v>
          </cell>
          <cell r="W216">
            <v>2</v>
          </cell>
          <cell r="X216">
            <v>5</v>
          </cell>
          <cell r="Y216">
            <v>2</v>
          </cell>
          <cell r="Z216">
            <v>18</v>
          </cell>
          <cell r="AA216">
            <v>190.52542372881339</v>
          </cell>
          <cell r="AB216">
            <v>33.570233605270587</v>
          </cell>
          <cell r="AC216">
            <v>20.142140163162349</v>
          </cell>
          <cell r="AD216">
            <v>0</v>
          </cell>
          <cell r="AE216">
            <v>1249</v>
          </cell>
          <cell r="AF216">
            <v>1699</v>
          </cell>
        </row>
        <row r="217">
          <cell r="C217" t="str">
            <v>FS-01</v>
          </cell>
          <cell r="D217" t="str">
            <v>HPC</v>
          </cell>
          <cell r="E217" t="str">
            <v>Skin Care</v>
          </cell>
          <cell r="F217">
            <v>7.0000000000000007E-2</v>
          </cell>
          <cell r="G217" t="str">
            <v>Nexlev Face Steamer</v>
          </cell>
          <cell r="H217">
            <v>85437093</v>
          </cell>
          <cell r="I217">
            <v>6.65</v>
          </cell>
          <cell r="J217">
            <v>0.20863852941176469</v>
          </cell>
          <cell r="K217">
            <v>25.8</v>
          </cell>
          <cell r="L217">
            <v>19.5</v>
          </cell>
          <cell r="M217">
            <v>14.1</v>
          </cell>
          <cell r="N217">
            <v>7.0937099999999996E-3</v>
          </cell>
          <cell r="O217">
            <v>20</v>
          </cell>
          <cell r="P217">
            <v>1.508900476470588</v>
          </cell>
          <cell r="Q217">
            <v>753.08</v>
          </cell>
          <cell r="R217">
            <v>888.63264242470586</v>
          </cell>
          <cell r="S217">
            <v>7.0000000000000009</v>
          </cell>
          <cell r="T217">
            <v>51</v>
          </cell>
          <cell r="U217">
            <v>115</v>
          </cell>
          <cell r="V217">
            <v>20</v>
          </cell>
          <cell r="W217">
            <v>2</v>
          </cell>
          <cell r="X217">
            <v>5</v>
          </cell>
          <cell r="Y217">
            <v>2</v>
          </cell>
          <cell r="Z217">
            <v>18</v>
          </cell>
          <cell r="AA217">
            <v>251.54237288135599</v>
          </cell>
          <cell r="AB217">
            <v>44.431632121235303</v>
          </cell>
          <cell r="AC217">
            <v>26.658979272741171</v>
          </cell>
          <cell r="AD217">
            <v>0</v>
          </cell>
          <cell r="AE217">
            <v>1649</v>
          </cell>
          <cell r="AF217">
            <v>3399</v>
          </cell>
        </row>
        <row r="218">
          <cell r="C218" t="str">
            <v>HSB-03</v>
          </cell>
          <cell r="D218" t="str">
            <v>HPC</v>
          </cell>
          <cell r="E218" t="str">
            <v>Hair Care</v>
          </cell>
          <cell r="F218">
            <v>9.5000000000000001E-2</v>
          </cell>
          <cell r="G218" t="str">
            <v>Nexlev Hair Straightener Brush</v>
          </cell>
          <cell r="H218">
            <v>85163200</v>
          </cell>
          <cell r="I218">
            <v>6.72</v>
          </cell>
          <cell r="J218">
            <v>5.8985882352941173E-2</v>
          </cell>
          <cell r="K218">
            <v>34.4</v>
          </cell>
          <cell r="L218">
            <v>10.6</v>
          </cell>
          <cell r="M218">
            <v>5.5</v>
          </cell>
          <cell r="N218">
            <v>2.0055199999999998E-3</v>
          </cell>
          <cell r="O218">
            <v>20</v>
          </cell>
          <cell r="P218">
            <v>1.4913768941176471</v>
          </cell>
          <cell r="Q218">
            <v>744.33</v>
          </cell>
          <cell r="R218">
            <v>878.31252686117637</v>
          </cell>
          <cell r="S218">
            <v>9.5</v>
          </cell>
          <cell r="T218">
            <v>51</v>
          </cell>
          <cell r="U218">
            <v>77</v>
          </cell>
          <cell r="V218">
            <v>20</v>
          </cell>
          <cell r="W218">
            <v>2</v>
          </cell>
          <cell r="X218">
            <v>5</v>
          </cell>
          <cell r="Y218">
            <v>2</v>
          </cell>
          <cell r="Z218">
            <v>18</v>
          </cell>
          <cell r="AA218">
            <v>297.30508474576249</v>
          </cell>
          <cell r="AB218">
            <v>43.915626343058818</v>
          </cell>
          <cell r="AC218">
            <v>26.34937580583529</v>
          </cell>
          <cell r="AD218">
            <v>0</v>
          </cell>
          <cell r="AE218">
            <v>1949</v>
          </cell>
          <cell r="AF218">
            <v>3499</v>
          </cell>
        </row>
        <row r="219">
          <cell r="C219" t="str">
            <v>HSB-04</v>
          </cell>
          <cell r="D219" t="str">
            <v>HPC</v>
          </cell>
          <cell r="E219" t="str">
            <v>Hair Care</v>
          </cell>
          <cell r="F219">
            <v>9.5000000000000001E-2</v>
          </cell>
          <cell r="G219" t="str">
            <v>Nexlev Hair Straightener Brush - Portable</v>
          </cell>
          <cell r="H219">
            <v>85163200</v>
          </cell>
          <cell r="I219">
            <v>8</v>
          </cell>
          <cell r="J219">
            <v>2.54555294117647E-2</v>
          </cell>
          <cell r="K219">
            <v>21.9</v>
          </cell>
          <cell r="L219">
            <v>7.6</v>
          </cell>
          <cell r="M219">
            <v>5.2</v>
          </cell>
          <cell r="N219">
            <v>8.6548799999999987E-4</v>
          </cell>
          <cell r="O219">
            <v>20</v>
          </cell>
          <cell r="P219">
            <v>1.7656002164705891</v>
          </cell>
          <cell r="Q219">
            <v>881.2</v>
          </cell>
          <cell r="R219">
            <v>1039.8101202127059</v>
          </cell>
          <cell r="S219">
            <v>9.5</v>
          </cell>
          <cell r="T219">
            <v>51</v>
          </cell>
          <cell r="U219">
            <v>59.000000000000007</v>
          </cell>
          <cell r="V219">
            <v>20</v>
          </cell>
          <cell r="W219">
            <v>2</v>
          </cell>
          <cell r="X219">
            <v>5</v>
          </cell>
          <cell r="Y219">
            <v>2</v>
          </cell>
          <cell r="Z219">
            <v>18</v>
          </cell>
          <cell r="AA219">
            <v>411.71186440677963</v>
          </cell>
          <cell r="AB219">
            <v>51.990506010635301</v>
          </cell>
          <cell r="AC219">
            <v>31.19430360638118</v>
          </cell>
          <cell r="AD219">
            <v>0</v>
          </cell>
          <cell r="AE219">
            <v>2699</v>
          </cell>
          <cell r="AF219">
            <v>3699</v>
          </cell>
        </row>
        <row r="220">
          <cell r="C220" t="str">
            <v>MR-02</v>
          </cell>
          <cell r="D220" t="str">
            <v>Home &amp; Kitchen</v>
          </cell>
          <cell r="E220" t="str">
            <v>Cleaning &amp; Vacumming</v>
          </cell>
          <cell r="F220">
            <v>4.4999999999999998E-2</v>
          </cell>
          <cell r="G220" t="str">
            <v xml:space="preserve">Nexlev Cordless Mite Remover </v>
          </cell>
          <cell r="H220">
            <v>85086000</v>
          </cell>
          <cell r="I220">
            <v>10.45</v>
          </cell>
          <cell r="J220">
            <v>0.40897661764705878</v>
          </cell>
          <cell r="K220">
            <v>31.7</v>
          </cell>
          <cell r="L220">
            <v>28.3</v>
          </cell>
          <cell r="M220">
            <v>15.5</v>
          </cell>
          <cell r="N220">
            <v>1.3905205E-2</v>
          </cell>
          <cell r="O220">
            <v>10</v>
          </cell>
          <cell r="P220">
            <v>1.194487427941177</v>
          </cell>
          <cell r="Q220">
            <v>1084.81</v>
          </cell>
          <cell r="R220">
            <v>1280.0778816414711</v>
          </cell>
          <cell r="S220">
            <v>4.5</v>
          </cell>
          <cell r="T220">
            <v>51</v>
          </cell>
          <cell r="U220">
            <v>148</v>
          </cell>
          <cell r="V220">
            <v>15</v>
          </cell>
          <cell r="W220">
            <v>2</v>
          </cell>
          <cell r="X220">
            <v>5</v>
          </cell>
          <cell r="Y220">
            <v>2</v>
          </cell>
          <cell r="Z220">
            <v>18</v>
          </cell>
          <cell r="AA220">
            <v>518.49152542372849</v>
          </cell>
          <cell r="AB220">
            <v>64.003894082073529</v>
          </cell>
          <cell r="AC220">
            <v>38.402336449244117</v>
          </cell>
          <cell r="AD220">
            <v>0</v>
          </cell>
          <cell r="AE220">
            <v>3399</v>
          </cell>
          <cell r="AF220">
            <v>6599</v>
          </cell>
        </row>
        <row r="221">
          <cell r="C221" t="str">
            <v>LE-02</v>
          </cell>
          <cell r="D221" t="str">
            <v>HPC</v>
          </cell>
          <cell r="E221" t="str">
            <v>Skin Care</v>
          </cell>
          <cell r="F221">
            <v>9.5000000000000001E-2</v>
          </cell>
          <cell r="G221" t="str">
            <v>NEXLEV LED Light Therapy Comb</v>
          </cell>
          <cell r="H221">
            <v>85437093</v>
          </cell>
          <cell r="I221">
            <v>5.3</v>
          </cell>
          <cell r="J221">
            <v>6.9696000000000008E-2</v>
          </cell>
          <cell r="K221">
            <v>27.2</v>
          </cell>
          <cell r="L221">
            <v>19.8</v>
          </cell>
          <cell r="M221">
            <v>4.4000000000000004</v>
          </cell>
          <cell r="N221">
            <v>2.3696640000000001E-3</v>
          </cell>
          <cell r="O221">
            <v>10</v>
          </cell>
          <cell r="P221">
            <v>0.59066656000000006</v>
          </cell>
          <cell r="Q221">
            <v>536.42999999999995</v>
          </cell>
          <cell r="R221">
            <v>632.99050387199998</v>
          </cell>
          <cell r="S221">
            <v>9.5</v>
          </cell>
          <cell r="T221">
            <v>51</v>
          </cell>
          <cell r="U221">
            <v>59.000000000000007</v>
          </cell>
          <cell r="V221">
            <v>20</v>
          </cell>
          <cell r="W221">
            <v>2</v>
          </cell>
          <cell r="X221">
            <v>5</v>
          </cell>
          <cell r="Y221">
            <v>2</v>
          </cell>
          <cell r="Z221">
            <v>18</v>
          </cell>
          <cell r="AA221">
            <v>304.93220338983042</v>
          </cell>
          <cell r="AB221">
            <v>31.649525193599999</v>
          </cell>
          <cell r="AC221">
            <v>18.989715116159999</v>
          </cell>
          <cell r="AD221">
            <v>0</v>
          </cell>
          <cell r="AE221">
            <v>1999</v>
          </cell>
          <cell r="AF221">
            <v>2999</v>
          </cell>
        </row>
        <row r="222">
          <cell r="C222" t="str">
            <v>LE-03</v>
          </cell>
          <cell r="D222" t="str">
            <v>HPC</v>
          </cell>
          <cell r="E222" t="str">
            <v>Skin Care</v>
          </cell>
          <cell r="F222">
            <v>7.0000000000000007E-2</v>
          </cell>
          <cell r="G222" t="str">
            <v>NEXLEV Light Therapy Skin Scrubber</v>
          </cell>
          <cell r="H222">
            <v>85437099</v>
          </cell>
          <cell r="I222">
            <v>8.6999999999999993</v>
          </cell>
          <cell r="J222">
            <v>1.8720000000000001E-2</v>
          </cell>
          <cell r="K222">
            <v>19.5</v>
          </cell>
          <cell r="L222">
            <v>10.199999999999999</v>
          </cell>
          <cell r="M222">
            <v>3.2</v>
          </cell>
          <cell r="N222">
            <v>6.3648000000000003E-4</v>
          </cell>
          <cell r="O222">
            <v>8</v>
          </cell>
          <cell r="P222">
            <v>0.76724735999999993</v>
          </cell>
          <cell r="Q222">
            <v>853.74</v>
          </cell>
          <cell r="R222">
            <v>1007.409733632</v>
          </cell>
          <cell r="S222">
            <v>7.0000000000000009</v>
          </cell>
          <cell r="T222">
            <v>51</v>
          </cell>
          <cell r="U222">
            <v>59.000000000000007</v>
          </cell>
          <cell r="V222">
            <v>20</v>
          </cell>
          <cell r="W222">
            <v>2</v>
          </cell>
          <cell r="X222">
            <v>5</v>
          </cell>
          <cell r="Y222">
            <v>2</v>
          </cell>
          <cell r="Z222">
            <v>18</v>
          </cell>
          <cell r="AA222">
            <v>259.16949152542361</v>
          </cell>
          <cell r="AB222">
            <v>50.370486681599999</v>
          </cell>
          <cell r="AC222">
            <v>30.22229200896</v>
          </cell>
          <cell r="AD222">
            <v>0</v>
          </cell>
          <cell r="AE222">
            <v>1699</v>
          </cell>
          <cell r="AF222">
            <v>3399</v>
          </cell>
        </row>
        <row r="223">
          <cell r="C223" t="str">
            <v>VC-01</v>
          </cell>
          <cell r="D223" t="str">
            <v>Home &amp; Kitchen</v>
          </cell>
          <cell r="E223" t="str">
            <v>Cleaning &amp; Vacumming</v>
          </cell>
          <cell r="F223">
            <v>4.4999999999999998E-2</v>
          </cell>
          <cell r="G223" t="str">
            <v>Nexlev Stick Vacuum Cleaner</v>
          </cell>
          <cell r="H223">
            <v>85086000</v>
          </cell>
          <cell r="I223">
            <v>8.6</v>
          </cell>
          <cell r="J223">
            <v>0.52136029411764706</v>
          </cell>
          <cell r="K223">
            <v>62.5</v>
          </cell>
          <cell r="L223">
            <v>17.399999999999999</v>
          </cell>
          <cell r="M223">
            <v>16.3</v>
          </cell>
          <cell r="N223">
            <v>1.7726249999999999E-2</v>
          </cell>
          <cell r="O223">
            <v>10</v>
          </cell>
          <cell r="P223">
            <v>1.0033496323529409</v>
          </cell>
          <cell r="Q223">
            <v>911.22</v>
          </cell>
          <cell r="R223">
            <v>1075.2441941911759</v>
          </cell>
          <cell r="S223">
            <v>4.5</v>
          </cell>
          <cell r="T223">
            <v>51</v>
          </cell>
          <cell r="U223">
            <v>181</v>
          </cell>
          <cell r="V223">
            <v>15</v>
          </cell>
          <cell r="W223">
            <v>2</v>
          </cell>
          <cell r="X223">
            <v>5</v>
          </cell>
          <cell r="Y223">
            <v>2</v>
          </cell>
          <cell r="Z223">
            <v>18</v>
          </cell>
          <cell r="AA223">
            <v>320.18644067796589</v>
          </cell>
          <cell r="AB223">
            <v>53.762209709558817</v>
          </cell>
          <cell r="AC223">
            <v>32.257325825735293</v>
          </cell>
          <cell r="AD223">
            <v>0</v>
          </cell>
          <cell r="AE223">
            <v>2099</v>
          </cell>
          <cell r="AF223">
            <v>3999</v>
          </cell>
        </row>
        <row r="224">
          <cell r="C224" t="str">
            <v>SS-01</v>
          </cell>
          <cell r="D224" t="str">
            <v>Home &amp; Kitchen</v>
          </cell>
          <cell r="E224" t="str">
            <v>Cleaning &amp; Vacumming</v>
          </cell>
          <cell r="F224">
            <v>4.4999999999999998E-2</v>
          </cell>
          <cell r="G224" t="str">
            <v>Nexlev Spin Scrubber</v>
          </cell>
          <cell r="H224">
            <v>85098000</v>
          </cell>
          <cell r="I224">
            <v>10</v>
          </cell>
          <cell r="J224">
            <v>0.22171729411764701</v>
          </cell>
          <cell r="K224">
            <v>42.9</v>
          </cell>
          <cell r="L224">
            <v>19.100000000000001</v>
          </cell>
          <cell r="M224">
            <v>9.1999999999999993</v>
          </cell>
          <cell r="N224">
            <v>7.5383879999999992E-3</v>
          </cell>
          <cell r="O224">
            <v>20</v>
          </cell>
          <cell r="P224">
            <v>2.2487778047058828</v>
          </cell>
          <cell r="Q224">
            <v>1122.3399999999999</v>
          </cell>
          <cell r="R224">
            <v>1324.3665794950591</v>
          </cell>
          <cell r="S224">
            <v>4.5</v>
          </cell>
          <cell r="T224">
            <v>51</v>
          </cell>
          <cell r="U224">
            <v>115</v>
          </cell>
          <cell r="V224">
            <v>15</v>
          </cell>
          <cell r="W224">
            <v>2</v>
          </cell>
          <cell r="X224">
            <v>5</v>
          </cell>
          <cell r="Y224">
            <v>2</v>
          </cell>
          <cell r="Z224">
            <v>18</v>
          </cell>
          <cell r="AA224">
            <v>396.45762711864381</v>
          </cell>
          <cell r="AB224">
            <v>66.218328974752936</v>
          </cell>
          <cell r="AC224">
            <v>39.730997384851761</v>
          </cell>
          <cell r="AD224">
            <v>0</v>
          </cell>
          <cell r="AE224">
            <v>2599</v>
          </cell>
          <cell r="AF224">
            <v>4999</v>
          </cell>
        </row>
        <row r="225">
          <cell r="C225" t="str">
            <v>VC-02</v>
          </cell>
          <cell r="D225" t="str">
            <v>Home &amp; Kitchen</v>
          </cell>
          <cell r="E225" t="str">
            <v>Cleaning &amp; Vacumming</v>
          </cell>
          <cell r="F225">
            <v>4.4999999999999998E-2</v>
          </cell>
          <cell r="G225" t="str">
            <v>Nexlev Portable vacuum cleaner - Duster Pro</v>
          </cell>
          <cell r="H225">
            <v>85086000</v>
          </cell>
          <cell r="I225">
            <v>10.199999999999999</v>
          </cell>
          <cell r="J225">
            <v>0.1873364705882353</v>
          </cell>
          <cell r="K225">
            <v>37.6</v>
          </cell>
          <cell r="L225">
            <v>14</v>
          </cell>
          <cell r="M225">
            <v>12.1</v>
          </cell>
          <cell r="N225">
            <v>6.3694399999999997E-3</v>
          </cell>
          <cell r="O225">
            <v>10</v>
          </cell>
          <cell r="P225">
            <v>1.142607011764706</v>
          </cell>
          <cell r="Q225">
            <v>1037.69</v>
          </cell>
          <cell r="R225">
            <v>1224.479997825882</v>
          </cell>
          <cell r="S225">
            <v>4.5</v>
          </cell>
          <cell r="T225">
            <v>51</v>
          </cell>
          <cell r="U225">
            <v>115</v>
          </cell>
          <cell r="V225">
            <v>15</v>
          </cell>
          <cell r="W225">
            <v>2</v>
          </cell>
          <cell r="X225">
            <v>5</v>
          </cell>
          <cell r="Y225">
            <v>2</v>
          </cell>
          <cell r="Z225">
            <v>18</v>
          </cell>
          <cell r="AA225">
            <v>381.20338983050851</v>
          </cell>
          <cell r="AB225">
            <v>61.223999891294113</v>
          </cell>
          <cell r="AC225">
            <v>36.734399934776469</v>
          </cell>
          <cell r="AD225">
            <v>0</v>
          </cell>
          <cell r="AE225">
            <v>2499</v>
          </cell>
          <cell r="AF225">
            <v>5499</v>
          </cell>
        </row>
        <row r="226">
          <cell r="C226" t="str">
            <v>CM-01-BL</v>
          </cell>
          <cell r="D226" t="str">
            <v>HPC</v>
          </cell>
          <cell r="E226" t="str">
            <v>Electric Massagers</v>
          </cell>
          <cell r="F226">
            <v>7.4999999999999997E-2</v>
          </cell>
          <cell r="G226" t="str">
            <v>Nexlev Cramp Massager Blue</v>
          </cell>
          <cell r="H226">
            <v>90191020</v>
          </cell>
          <cell r="I226">
            <v>4.7</v>
          </cell>
          <cell r="J226">
            <v>4.7984352941176478E-2</v>
          </cell>
          <cell r="K226">
            <v>22.3</v>
          </cell>
          <cell r="L226">
            <v>12.4</v>
          </cell>
          <cell r="M226">
            <v>5.9</v>
          </cell>
          <cell r="N226">
            <v>1.6314680000000001E-3</v>
          </cell>
          <cell r="O226">
            <v>10</v>
          </cell>
          <cell r="P226">
            <v>0.52227827882352951</v>
          </cell>
          <cell r="Q226">
            <v>474.32</v>
          </cell>
          <cell r="R226">
            <v>559.70189149341172</v>
          </cell>
          <cell r="S226">
            <v>7.5</v>
          </cell>
          <cell r="T226">
            <v>51</v>
          </cell>
          <cell r="U226">
            <v>59.000000000000007</v>
          </cell>
          <cell r="V226">
            <v>20</v>
          </cell>
          <cell r="W226">
            <v>2</v>
          </cell>
          <cell r="X226">
            <v>5</v>
          </cell>
          <cell r="Y226">
            <v>2</v>
          </cell>
          <cell r="Z226">
            <v>5</v>
          </cell>
          <cell r="AA226">
            <v>228.66101694915261</v>
          </cell>
          <cell r="AB226">
            <v>27.98509457467059</v>
          </cell>
          <cell r="AC226">
            <v>16.791056744802351</v>
          </cell>
          <cell r="AD226">
            <v>0</v>
          </cell>
          <cell r="AE226">
            <v>1499</v>
          </cell>
          <cell r="AF226">
            <v>2499</v>
          </cell>
        </row>
        <row r="227">
          <cell r="C227" t="str">
            <v>CM-02-PR</v>
          </cell>
          <cell r="D227" t="str">
            <v>HPC</v>
          </cell>
          <cell r="E227" t="str">
            <v>Electric Massagers</v>
          </cell>
          <cell r="F227">
            <v>7.4999999999999997E-2</v>
          </cell>
          <cell r="G227" t="str">
            <v>Nexlev Cramp Massager Purple</v>
          </cell>
          <cell r="H227">
            <v>90191020</v>
          </cell>
          <cell r="I227">
            <v>4.7</v>
          </cell>
          <cell r="J227">
            <v>4.7984352941176478E-2</v>
          </cell>
          <cell r="K227">
            <v>22.3</v>
          </cell>
          <cell r="L227">
            <v>12.4</v>
          </cell>
          <cell r="M227">
            <v>5.9</v>
          </cell>
          <cell r="N227">
            <v>1.6314680000000001E-3</v>
          </cell>
          <cell r="O227">
            <v>10</v>
          </cell>
          <cell r="P227">
            <v>0.52227827882352951</v>
          </cell>
          <cell r="Q227">
            <v>474.32</v>
          </cell>
          <cell r="R227">
            <v>559.70189149341172</v>
          </cell>
          <cell r="S227">
            <v>7.5</v>
          </cell>
          <cell r="T227">
            <v>51</v>
          </cell>
          <cell r="U227">
            <v>58</v>
          </cell>
          <cell r="V227">
            <v>20</v>
          </cell>
          <cell r="W227">
            <v>2</v>
          </cell>
          <cell r="X227">
            <v>5</v>
          </cell>
          <cell r="Y227">
            <v>2</v>
          </cell>
          <cell r="Z227">
            <v>5</v>
          </cell>
          <cell r="AA227">
            <v>205.77966101694909</v>
          </cell>
          <cell r="AB227">
            <v>27.98509457467059</v>
          </cell>
          <cell r="AC227">
            <v>16.791056744802351</v>
          </cell>
          <cell r="AD227">
            <v>0</v>
          </cell>
          <cell r="AE227">
            <v>1599</v>
          </cell>
          <cell r="AF227">
            <v>2499</v>
          </cell>
        </row>
        <row r="228">
          <cell r="C228" t="str">
            <v>TI-01</v>
          </cell>
          <cell r="D228" t="str">
            <v>Home &amp; Kitchen</v>
          </cell>
          <cell r="E228" t="str">
            <v>Car Accessories</v>
          </cell>
          <cell r="F228">
            <v>0.13</v>
          </cell>
          <cell r="G228" t="str">
            <v>Corded Tyre Inflator With Touch Control and Carry Pouch</v>
          </cell>
          <cell r="H228">
            <v>84148090</v>
          </cell>
          <cell r="I228">
            <v>10.7</v>
          </cell>
          <cell r="J228">
            <v>0.1179662647058824</v>
          </cell>
          <cell r="K228">
            <v>23.1</v>
          </cell>
          <cell r="L228">
            <v>17.899999999999999</v>
          </cell>
          <cell r="M228">
            <v>9.6999999999999993</v>
          </cell>
          <cell r="N228">
            <v>4.010853E-3</v>
          </cell>
          <cell r="O228">
            <v>8</v>
          </cell>
          <cell r="P228">
            <v>0.9519810312941176</v>
          </cell>
          <cell r="Q228">
            <v>1059.3</v>
          </cell>
          <cell r="R228">
            <v>1249.9684028352001</v>
          </cell>
          <cell r="S228">
            <v>13</v>
          </cell>
          <cell r="T228">
            <v>51</v>
          </cell>
          <cell r="U228">
            <v>76.000000000000014</v>
          </cell>
          <cell r="V228">
            <v>15</v>
          </cell>
          <cell r="W228">
            <v>2</v>
          </cell>
          <cell r="X228">
            <v>5</v>
          </cell>
          <cell r="Y228">
            <v>2</v>
          </cell>
          <cell r="Z228">
            <v>18</v>
          </cell>
          <cell r="AA228">
            <v>350.69491525423717</v>
          </cell>
          <cell r="AB228">
            <v>62.498420141759993</v>
          </cell>
          <cell r="AC228">
            <v>37.499052085055993</v>
          </cell>
          <cell r="AD228">
            <v>0</v>
          </cell>
          <cell r="AE228">
            <v>2299</v>
          </cell>
          <cell r="AF228">
            <v>4199</v>
          </cell>
        </row>
        <row r="229">
          <cell r="C229" t="str">
            <v>TM-01</v>
          </cell>
          <cell r="D229" t="str">
            <v>HPC</v>
          </cell>
          <cell r="E229" t="str">
            <v>Trimmers &amp; Body Groomers</v>
          </cell>
          <cell r="F229">
            <v>7.0000000000000007E-2</v>
          </cell>
          <cell r="G229" t="str">
            <v>Beard Boss Men Beard Trimmer</v>
          </cell>
          <cell r="H229">
            <v>85101000</v>
          </cell>
          <cell r="I229">
            <v>3.7</v>
          </cell>
          <cell r="J229">
            <v>2.3296500000000001E-2</v>
          </cell>
          <cell r="K229">
            <v>16.7</v>
          </cell>
          <cell r="L229">
            <v>9.3000000000000007</v>
          </cell>
          <cell r="M229">
            <v>5.0999999999999996</v>
          </cell>
          <cell r="N229">
            <v>7.9208099999999993E-4</v>
          </cell>
          <cell r="O229">
            <v>20</v>
          </cell>
          <cell r="P229">
            <v>0.81912523000000015</v>
          </cell>
          <cell r="Q229">
            <v>408.82</v>
          </cell>
          <cell r="R229">
            <v>482.40518772600001</v>
          </cell>
          <cell r="S229">
            <v>7.0000000000000009</v>
          </cell>
          <cell r="T229">
            <v>51</v>
          </cell>
          <cell r="U229">
            <v>59</v>
          </cell>
          <cell r="V229">
            <v>20</v>
          </cell>
          <cell r="W229">
            <v>2</v>
          </cell>
          <cell r="X229">
            <v>5</v>
          </cell>
          <cell r="Y229">
            <v>2</v>
          </cell>
          <cell r="Z229">
            <v>18</v>
          </cell>
          <cell r="AA229">
            <v>112.27118644067799</v>
          </cell>
          <cell r="AB229">
            <v>24.120259386299999</v>
          </cell>
          <cell r="AC229">
            <v>14.47215563178</v>
          </cell>
          <cell r="AD229">
            <v>0</v>
          </cell>
          <cell r="AE229">
            <v>1199</v>
          </cell>
          <cell r="AF229">
            <v>1499</v>
          </cell>
        </row>
        <row r="230">
          <cell r="C230" t="str">
            <v>SPM-01</v>
          </cell>
          <cell r="D230" t="str">
            <v>Home &amp; Kitchen</v>
          </cell>
          <cell r="E230" t="str">
            <v>Cleaning &amp; Vacumming</v>
          </cell>
          <cell r="F230">
            <v>0.12</v>
          </cell>
          <cell r="G230" t="str">
            <v xml:space="preserve">Nexlev Spin Mop </v>
          </cell>
          <cell r="H230">
            <v>85098000</v>
          </cell>
          <cell r="I230">
            <v>21</v>
          </cell>
          <cell r="J230">
            <v>0.3177382352941176</v>
          </cell>
          <cell r="K230">
            <v>50.6</v>
          </cell>
          <cell r="L230">
            <v>17.5</v>
          </cell>
          <cell r="M230">
            <v>12.2</v>
          </cell>
          <cell r="N230">
            <v>1.08031E-2</v>
          </cell>
          <cell r="O230">
            <v>20</v>
          </cell>
          <cell r="P230">
            <v>4.6899024117647068</v>
          </cell>
          <cell r="Q230">
            <v>2340.69</v>
          </cell>
          <cell r="R230">
            <v>2762.011436717647</v>
          </cell>
          <cell r="S230">
            <v>12</v>
          </cell>
          <cell r="T230">
            <v>51</v>
          </cell>
          <cell r="U230">
            <v>148</v>
          </cell>
          <cell r="V230">
            <v>15</v>
          </cell>
          <cell r="W230">
            <v>2</v>
          </cell>
          <cell r="X230">
            <v>5</v>
          </cell>
          <cell r="Y230">
            <v>2</v>
          </cell>
          <cell r="Z230">
            <v>18</v>
          </cell>
          <cell r="AA230">
            <v>564.2542372881353</v>
          </cell>
          <cell r="AB230">
            <v>138.10057183588239</v>
          </cell>
          <cell r="AC230">
            <v>82.860343101529409</v>
          </cell>
          <cell r="AD230">
            <v>0</v>
          </cell>
          <cell r="AE230">
            <v>3699</v>
          </cell>
          <cell r="AF230">
            <v>7499</v>
          </cell>
        </row>
        <row r="231">
          <cell r="C231" t="str">
            <v>LE-04</v>
          </cell>
          <cell r="D231" t="str">
            <v>HPC</v>
          </cell>
          <cell r="E231" t="str">
            <v>Skin Care</v>
          </cell>
          <cell r="F231">
            <v>0.14499999999999999</v>
          </cell>
          <cell r="G231" t="str">
            <v>Nexlev Skin Lift Device</v>
          </cell>
          <cell r="H231">
            <v>85437093</v>
          </cell>
          <cell r="I231">
            <v>5</v>
          </cell>
          <cell r="J231">
            <v>3.6928941176470581E-2</v>
          </cell>
          <cell r="K231">
            <v>16.399999999999999</v>
          </cell>
          <cell r="L231">
            <v>13.2</v>
          </cell>
          <cell r="M231">
            <v>5.8</v>
          </cell>
          <cell r="N231">
            <v>1.2555839999999999E-3</v>
          </cell>
          <cell r="O231">
            <v>10</v>
          </cell>
          <cell r="P231">
            <v>0.55406218352941183</v>
          </cell>
          <cell r="Q231">
            <v>503.19</v>
          </cell>
          <cell r="R231">
            <v>593.7632574437647</v>
          </cell>
          <cell r="S231">
            <v>14.5</v>
          </cell>
          <cell r="T231">
            <v>51</v>
          </cell>
          <cell r="U231">
            <v>59.000000000000007</v>
          </cell>
          <cell r="V231">
            <v>20</v>
          </cell>
          <cell r="W231">
            <v>2</v>
          </cell>
          <cell r="X231">
            <v>5</v>
          </cell>
          <cell r="Y231">
            <v>2</v>
          </cell>
          <cell r="Z231">
            <v>18</v>
          </cell>
          <cell r="AA231">
            <v>228.66101694915261</v>
          </cell>
          <cell r="AB231">
            <v>29.68816287218824</v>
          </cell>
          <cell r="AC231">
            <v>17.81289772331294</v>
          </cell>
          <cell r="AD231">
            <v>0</v>
          </cell>
          <cell r="AE231">
            <v>1999</v>
          </cell>
          <cell r="AF231">
            <v>2499</v>
          </cell>
        </row>
        <row r="232">
          <cell r="C232" t="str">
            <v>TI-02</v>
          </cell>
          <cell r="D232" t="str">
            <v>Home &amp; Kitchen</v>
          </cell>
          <cell r="E232" t="str">
            <v>Car Accessories</v>
          </cell>
          <cell r="F232">
            <v>0.13</v>
          </cell>
          <cell r="G232" t="str">
            <v xml:space="preserve">Nexlev Corded Tyre Inflator </v>
          </cell>
          <cell r="H232">
            <v>84148090</v>
          </cell>
          <cell r="I232">
            <v>7</v>
          </cell>
          <cell r="J232">
            <v>8.430117647058824E-2</v>
          </cell>
          <cell r="K232">
            <v>20.8</v>
          </cell>
          <cell r="L232">
            <v>13</v>
          </cell>
          <cell r="M232">
            <v>10.6</v>
          </cell>
          <cell r="N232">
            <v>2.8662399999999999E-3</v>
          </cell>
          <cell r="O232">
            <v>8</v>
          </cell>
          <cell r="P232">
            <v>0.62341850352941175</v>
          </cell>
          <cell r="Q232">
            <v>693.69</v>
          </cell>
          <cell r="R232">
            <v>818.55983001599998</v>
          </cell>
          <cell r="S232">
            <v>13</v>
          </cell>
          <cell r="T232">
            <v>51</v>
          </cell>
          <cell r="U232">
            <v>77</v>
          </cell>
          <cell r="V232">
            <v>15</v>
          </cell>
          <cell r="W232">
            <v>2</v>
          </cell>
          <cell r="X232">
            <v>5</v>
          </cell>
          <cell r="Y232">
            <v>2</v>
          </cell>
          <cell r="Z232">
            <v>18</v>
          </cell>
          <cell r="AA232">
            <v>259.16949152542361</v>
          </cell>
          <cell r="AB232">
            <v>40.927991500799997</v>
          </cell>
          <cell r="AC232">
            <v>24.55679490048</v>
          </cell>
          <cell r="AD232">
            <v>0</v>
          </cell>
          <cell r="AE232">
            <v>1699</v>
          </cell>
          <cell r="AF232">
            <v>2799</v>
          </cell>
        </row>
        <row r="233">
          <cell r="C233" t="str">
            <v>TIC-03</v>
          </cell>
          <cell r="D233" t="str">
            <v>Home &amp; Kitchen</v>
          </cell>
          <cell r="E233" t="str">
            <v>Car Accessories</v>
          </cell>
          <cell r="F233">
            <v>0.13</v>
          </cell>
          <cell r="G233" t="str">
            <v>Nexlev Cordeless Tyre Inflator 4000mAh</v>
          </cell>
          <cell r="H233">
            <v>84148090</v>
          </cell>
          <cell r="I233">
            <v>7</v>
          </cell>
          <cell r="J233">
            <v>4.0263529411764698E-2</v>
          </cell>
          <cell r="K233">
            <v>16</v>
          </cell>
          <cell r="L233">
            <v>9.3000000000000007</v>
          </cell>
          <cell r="M233">
            <v>9.1999999999999993</v>
          </cell>
          <cell r="N233">
            <v>1.36896E-3</v>
          </cell>
          <cell r="O233">
            <v>8</v>
          </cell>
          <cell r="P233">
            <v>0.61954319058823526</v>
          </cell>
          <cell r="Q233">
            <v>689.38</v>
          </cell>
          <cell r="R233">
            <v>813.47147366399997</v>
          </cell>
          <cell r="S233">
            <v>13</v>
          </cell>
          <cell r="T233">
            <v>51</v>
          </cell>
          <cell r="U233">
            <v>77</v>
          </cell>
          <cell r="V233">
            <v>15</v>
          </cell>
          <cell r="W233">
            <v>2</v>
          </cell>
          <cell r="X233">
            <v>5</v>
          </cell>
          <cell r="Y233">
            <v>2</v>
          </cell>
          <cell r="Z233">
            <v>18</v>
          </cell>
          <cell r="AA233">
            <v>297.30508474576249</v>
          </cell>
          <cell r="AB233">
            <v>40.673573683199997</v>
          </cell>
          <cell r="AC233">
            <v>24.404144209919998</v>
          </cell>
          <cell r="AD233">
            <v>0</v>
          </cell>
          <cell r="AE233">
            <v>1949</v>
          </cell>
          <cell r="AF233">
            <v>3699</v>
          </cell>
        </row>
        <row r="234">
          <cell r="C234" t="str">
            <v>TIC-04</v>
          </cell>
          <cell r="D234" t="str">
            <v>Home &amp; Kitchen</v>
          </cell>
          <cell r="E234" t="str">
            <v>Car Accessories</v>
          </cell>
          <cell r="F234">
            <v>0.13</v>
          </cell>
          <cell r="G234" t="str">
            <v>Nexlev Cordeless Tyre Inflator 6000mAh</v>
          </cell>
          <cell r="H234">
            <v>84148090</v>
          </cell>
          <cell r="I234">
            <v>12</v>
          </cell>
          <cell r="J234">
            <v>4.570588235294118E-2</v>
          </cell>
          <cell r="K234">
            <v>18.5</v>
          </cell>
          <cell r="L234">
            <v>10.5</v>
          </cell>
          <cell r="M234">
            <v>8</v>
          </cell>
          <cell r="N234">
            <v>1.554E-3</v>
          </cell>
          <cell r="O234">
            <v>8</v>
          </cell>
          <cell r="P234">
            <v>1.060022117647059</v>
          </cell>
          <cell r="Q234">
            <v>1179.52</v>
          </cell>
          <cell r="R234">
            <v>1391.8283136</v>
          </cell>
          <cell r="S234">
            <v>13</v>
          </cell>
          <cell r="T234">
            <v>51</v>
          </cell>
          <cell r="U234">
            <v>77</v>
          </cell>
          <cell r="V234">
            <v>15</v>
          </cell>
          <cell r="W234">
            <v>2</v>
          </cell>
          <cell r="X234">
            <v>5</v>
          </cell>
          <cell r="Y234">
            <v>2</v>
          </cell>
          <cell r="Z234">
            <v>18</v>
          </cell>
          <cell r="AA234">
            <v>350.69491525423717</v>
          </cell>
          <cell r="AB234">
            <v>69.591415679999997</v>
          </cell>
          <cell r="AC234">
            <v>41.754849407999991</v>
          </cell>
          <cell r="AD234">
            <v>0</v>
          </cell>
          <cell r="AE234">
            <v>2799</v>
          </cell>
          <cell r="AF234">
            <v>4699</v>
          </cell>
        </row>
        <row r="235">
          <cell r="C235" t="str">
            <v>VC-03</v>
          </cell>
          <cell r="D235" t="str">
            <v>Home &amp; Kitchen</v>
          </cell>
          <cell r="E235" t="str">
            <v>Cleaning &amp; Vacumming</v>
          </cell>
          <cell r="F235">
            <v>4.4999999999999998E-2</v>
          </cell>
          <cell r="G235" t="str">
            <v>Nexlev Car Vacuum Cleaner with safety feature</v>
          </cell>
          <cell r="H235">
            <v>85086000</v>
          </cell>
          <cell r="I235">
            <v>6.57</v>
          </cell>
          <cell r="J235">
            <v>8.1439676470588224E-2</v>
          </cell>
          <cell r="K235">
            <v>30.9</v>
          </cell>
          <cell r="L235">
            <v>10.3</v>
          </cell>
          <cell r="M235">
            <v>8.6999999999999993</v>
          </cell>
          <cell r="N235">
            <v>2.7689490000000001E-3</v>
          </cell>
          <cell r="O235">
            <v>10</v>
          </cell>
          <cell r="P235">
            <v>0.73165836441176491</v>
          </cell>
          <cell r="Q235">
            <v>664.48</v>
          </cell>
          <cell r="R235">
            <v>784.08501194170606</v>
          </cell>
          <cell r="S235">
            <v>4.5</v>
          </cell>
          <cell r="T235">
            <v>51</v>
          </cell>
          <cell r="U235">
            <v>76.000000000000014</v>
          </cell>
          <cell r="V235">
            <v>15</v>
          </cell>
          <cell r="W235">
            <v>2</v>
          </cell>
          <cell r="X235">
            <v>5</v>
          </cell>
          <cell r="Y235">
            <v>2</v>
          </cell>
          <cell r="Z235">
            <v>18</v>
          </cell>
          <cell r="AA235">
            <v>304.93220338983042</v>
          </cell>
          <cell r="AB235">
            <v>39.204250597085313</v>
          </cell>
          <cell r="AC235">
            <v>23.522550358251181</v>
          </cell>
          <cell r="AD235">
            <v>0</v>
          </cell>
          <cell r="AE235">
            <v>2499</v>
          </cell>
          <cell r="AF235">
            <v>3999</v>
          </cell>
        </row>
        <row r="236">
          <cell r="C236" t="str">
            <v>TM-02</v>
          </cell>
          <cell r="D236" t="str">
            <v>HPC</v>
          </cell>
          <cell r="E236" t="str">
            <v>Trimmers &amp; Body Groomers</v>
          </cell>
          <cell r="F236">
            <v>9.5000000000000001E-2</v>
          </cell>
          <cell r="G236" t="str">
            <v>NexLev Multi-Trimmer for Men</v>
          </cell>
          <cell r="H236">
            <v>85101000</v>
          </cell>
          <cell r="I236">
            <v>10</v>
          </cell>
          <cell r="J236">
            <v>4.6997235294117659E-2</v>
          </cell>
          <cell r="K236">
            <v>19.100000000000001</v>
          </cell>
          <cell r="L236">
            <v>9.4</v>
          </cell>
          <cell r="M236">
            <v>8.9</v>
          </cell>
          <cell r="N236">
            <v>1.5979060000000001E-3</v>
          </cell>
          <cell r="O236">
            <v>20</v>
          </cell>
          <cell r="P236">
            <v>2.2103393917647058</v>
          </cell>
          <cell r="Q236">
            <v>1103.1600000000001</v>
          </cell>
          <cell r="R236">
            <v>1301.7291497936469</v>
          </cell>
          <cell r="S236">
            <v>9.5</v>
          </cell>
          <cell r="T236">
            <v>51</v>
          </cell>
          <cell r="U236">
            <v>59.000000000000007</v>
          </cell>
          <cell r="V236">
            <v>20</v>
          </cell>
          <cell r="W236">
            <v>2</v>
          </cell>
          <cell r="X236">
            <v>5</v>
          </cell>
          <cell r="Y236">
            <v>2</v>
          </cell>
          <cell r="Z236">
            <v>18</v>
          </cell>
          <cell r="AA236">
            <v>306.45762711864398</v>
          </cell>
          <cell r="AB236">
            <v>65.08645748968236</v>
          </cell>
          <cell r="AC236">
            <v>39.051874493809407</v>
          </cell>
          <cell r="AD236">
            <v>0</v>
          </cell>
          <cell r="AE236">
            <v>2999</v>
          </cell>
          <cell r="AF236">
            <v>3999</v>
          </cell>
        </row>
        <row r="237">
          <cell r="C237" t="str">
            <v>CF-01</v>
          </cell>
          <cell r="D237" t="str">
            <v>Home &amp; Kitchen</v>
          </cell>
          <cell r="E237" t="str">
            <v>Kitchen Appliances</v>
          </cell>
          <cell r="F237">
            <v>4.4999999999999998E-2</v>
          </cell>
          <cell r="G237" t="str">
            <v>Nexlev Drip Coffee Maker</v>
          </cell>
          <cell r="H237">
            <v>85167100</v>
          </cell>
          <cell r="I237">
            <v>5.2</v>
          </cell>
          <cell r="J237">
            <v>0.32409529411764698</v>
          </cell>
          <cell r="K237">
            <v>27</v>
          </cell>
          <cell r="L237">
            <v>22.8</v>
          </cell>
          <cell r="M237">
            <v>17.899999999999999</v>
          </cell>
          <cell r="N237">
            <v>1.101924E-2</v>
          </cell>
          <cell r="O237">
            <v>20</v>
          </cell>
          <cell r="P237">
            <v>1.215300964705883</v>
          </cell>
          <cell r="Q237">
            <v>606.54999999999995</v>
          </cell>
          <cell r="R237">
            <v>715.7238826870589</v>
          </cell>
          <cell r="S237">
            <v>4.5</v>
          </cell>
          <cell r="T237">
            <v>51</v>
          </cell>
          <cell r="U237">
            <v>148</v>
          </cell>
          <cell r="V237">
            <v>15</v>
          </cell>
          <cell r="W237">
            <v>2</v>
          </cell>
          <cell r="X237">
            <v>5</v>
          </cell>
          <cell r="Y237">
            <v>2</v>
          </cell>
          <cell r="Z237">
            <v>18</v>
          </cell>
          <cell r="AA237">
            <v>213.4067796610168</v>
          </cell>
          <cell r="AB237">
            <v>35.786194134352947</v>
          </cell>
          <cell r="AC237">
            <v>21.471716480611772</v>
          </cell>
          <cell r="AD237">
            <v>0</v>
          </cell>
          <cell r="AE237">
            <v>1399</v>
          </cell>
          <cell r="AF237">
            <v>2699</v>
          </cell>
        </row>
        <row r="238">
          <cell r="C238" t="str">
            <v>TM-03</v>
          </cell>
          <cell r="D238" t="str">
            <v>HPC</v>
          </cell>
          <cell r="E238" t="str">
            <v>Trimmers &amp; Body Groomers</v>
          </cell>
          <cell r="F238">
            <v>9.5000000000000001E-2</v>
          </cell>
          <cell r="G238" t="str">
            <v>Nexlev Intimate Body Trimmer With Charging Base, Display and Light</v>
          </cell>
          <cell r="H238">
            <v>85101000</v>
          </cell>
          <cell r="I238">
            <v>4.55</v>
          </cell>
          <cell r="J238">
            <v>3.4094117647058823E-2</v>
          </cell>
          <cell r="K238">
            <v>16</v>
          </cell>
          <cell r="L238">
            <v>10.5</v>
          </cell>
          <cell r="M238">
            <v>6.9</v>
          </cell>
          <cell r="N238">
            <v>1.1592E-3</v>
          </cell>
          <cell r="O238">
            <v>20</v>
          </cell>
          <cell r="P238">
            <v>1.008500705882353</v>
          </cell>
          <cell r="Q238">
            <v>503.33</v>
          </cell>
          <cell r="R238">
            <v>593.93357025882347</v>
          </cell>
          <cell r="S238">
            <v>9.5</v>
          </cell>
          <cell r="T238">
            <v>51</v>
          </cell>
          <cell r="U238">
            <v>59.000000000000007</v>
          </cell>
          <cell r="V238">
            <v>20</v>
          </cell>
          <cell r="W238">
            <v>2</v>
          </cell>
          <cell r="X238">
            <v>5</v>
          </cell>
          <cell r="Y238">
            <v>2</v>
          </cell>
          <cell r="Z238">
            <v>18</v>
          </cell>
          <cell r="AA238">
            <v>160.01694915254231</v>
          </cell>
          <cell r="AB238">
            <v>29.69667851294118</v>
          </cell>
          <cell r="AC238">
            <v>17.8180071077647</v>
          </cell>
          <cell r="AD238">
            <v>0</v>
          </cell>
          <cell r="AE238">
            <v>1999</v>
          </cell>
          <cell r="AF238">
            <v>1999</v>
          </cell>
        </row>
        <row r="239">
          <cell r="C239" t="str">
            <v>TM-04</v>
          </cell>
          <cell r="D239" t="str">
            <v>HPC</v>
          </cell>
          <cell r="E239" t="str">
            <v>Trimmers &amp; Body Groomers</v>
          </cell>
          <cell r="F239">
            <v>7.0000000000000007E-2</v>
          </cell>
          <cell r="G239" t="str">
            <v>Nexlev Intimate Body Trimmer and Nose Trimmer</v>
          </cell>
          <cell r="H239">
            <v>85101000</v>
          </cell>
          <cell r="I239">
            <v>3.04</v>
          </cell>
          <cell r="J239">
            <v>2.3953647058823531E-2</v>
          </cell>
          <cell r="K239">
            <v>19.100000000000001</v>
          </cell>
          <cell r="L239">
            <v>8.1999999999999993</v>
          </cell>
          <cell r="M239">
            <v>5.2</v>
          </cell>
          <cell r="N239">
            <v>8.1442400000000012E-4</v>
          </cell>
          <cell r="O239">
            <v>20</v>
          </cell>
          <cell r="P239">
            <v>0.67406980235294123</v>
          </cell>
          <cell r="Q239">
            <v>336.42</v>
          </cell>
          <cell r="R239">
            <v>396.9780903275294</v>
          </cell>
          <cell r="S239">
            <v>7.0000000000000009</v>
          </cell>
          <cell r="T239">
            <v>51</v>
          </cell>
          <cell r="U239">
            <v>59</v>
          </cell>
          <cell r="V239">
            <v>20</v>
          </cell>
          <cell r="W239">
            <v>2</v>
          </cell>
          <cell r="X239">
            <v>5</v>
          </cell>
          <cell r="Y239">
            <v>2</v>
          </cell>
          <cell r="Z239">
            <v>18</v>
          </cell>
          <cell r="AA239">
            <v>182.89830508474569</v>
          </cell>
          <cell r="AB239">
            <v>19.848904516376471</v>
          </cell>
          <cell r="AC239">
            <v>11.90934270982588</v>
          </cell>
          <cell r="AD239">
            <v>0</v>
          </cell>
          <cell r="AE239">
            <v>1199</v>
          </cell>
          <cell r="AF239">
            <v>1599</v>
          </cell>
        </row>
        <row r="240">
          <cell r="C240" t="str">
            <v>KE-01</v>
          </cell>
          <cell r="D240" t="str">
            <v>Home &amp; Kitchen</v>
          </cell>
          <cell r="E240" t="str">
            <v>Kitchen Appliances</v>
          </cell>
          <cell r="F240">
            <v>4.4999999999999998E-2</v>
          </cell>
          <cell r="G240" t="str">
            <v>Nexlev Multi-Purpose Food Kettle 1.8L</v>
          </cell>
          <cell r="H240">
            <v>85167100</v>
          </cell>
          <cell r="I240">
            <v>7.25</v>
          </cell>
          <cell r="J240">
            <v>0.33788950000000001</v>
          </cell>
          <cell r="K240">
            <v>22.9</v>
          </cell>
          <cell r="L240">
            <v>22.7</v>
          </cell>
          <cell r="M240">
            <v>22.1</v>
          </cell>
          <cell r="N240">
            <v>1.1488243E-2</v>
          </cell>
          <cell r="O240">
            <v>20</v>
          </cell>
          <cell r="P240">
            <v>1.66933569</v>
          </cell>
          <cell r="Q240">
            <v>833.15</v>
          </cell>
          <cell r="R240">
            <v>983.1173151779999</v>
          </cell>
          <cell r="S240">
            <v>4.5</v>
          </cell>
          <cell r="T240">
            <v>51</v>
          </cell>
          <cell r="U240">
            <v>148</v>
          </cell>
          <cell r="V240">
            <v>15</v>
          </cell>
          <cell r="W240">
            <v>2</v>
          </cell>
          <cell r="X240">
            <v>5</v>
          </cell>
          <cell r="Y240">
            <v>2</v>
          </cell>
          <cell r="Z240">
            <v>18</v>
          </cell>
          <cell r="AA240">
            <v>343.06779661016941</v>
          </cell>
          <cell r="AB240">
            <v>49.155865758899999</v>
          </cell>
          <cell r="AC240">
            <v>29.49351945534</v>
          </cell>
          <cell r="AD240">
            <v>0</v>
          </cell>
          <cell r="AE240">
            <v>2399</v>
          </cell>
          <cell r="AF240">
            <v>2799</v>
          </cell>
        </row>
        <row r="241">
          <cell r="C241" t="str">
            <v>KE-02</v>
          </cell>
          <cell r="D241" t="str">
            <v>Home &amp; Kitchen</v>
          </cell>
          <cell r="E241" t="str">
            <v>Kitchen Appliances</v>
          </cell>
          <cell r="F241">
            <v>4.4999999999999998E-2</v>
          </cell>
          <cell r="G241" t="str">
            <v>Nexlev Multi-Purpose Food Kettle 1.5L</v>
          </cell>
          <cell r="H241">
            <v>85167100</v>
          </cell>
          <cell r="I241">
            <v>7.25</v>
          </cell>
          <cell r="J241">
            <v>0.31276405882352948</v>
          </cell>
          <cell r="K241">
            <v>22.6</v>
          </cell>
          <cell r="L241">
            <v>22.3</v>
          </cell>
          <cell r="M241">
            <v>21.1</v>
          </cell>
          <cell r="N241">
            <v>1.0633978000000001E-2</v>
          </cell>
          <cell r="O241">
            <v>20</v>
          </cell>
          <cell r="P241">
            <v>1.6638080929411769</v>
          </cell>
          <cell r="Q241">
            <v>830.39</v>
          </cell>
          <cell r="R241">
            <v>979.86196251741183</v>
          </cell>
          <cell r="S241">
            <v>4.5</v>
          </cell>
          <cell r="T241">
            <v>51</v>
          </cell>
          <cell r="U241">
            <v>148</v>
          </cell>
          <cell r="V241">
            <v>15</v>
          </cell>
          <cell r="W241">
            <v>2</v>
          </cell>
          <cell r="X241">
            <v>5</v>
          </cell>
          <cell r="Y241">
            <v>2</v>
          </cell>
          <cell r="Z241">
            <v>18</v>
          </cell>
          <cell r="AA241">
            <v>312.5593220338983</v>
          </cell>
          <cell r="AB241">
            <v>48.993098125870603</v>
          </cell>
          <cell r="AC241">
            <v>29.39585887552235</v>
          </cell>
          <cell r="AD241">
            <v>0</v>
          </cell>
          <cell r="AE241">
            <v>2049</v>
          </cell>
          <cell r="AF241">
            <v>2799</v>
          </cell>
        </row>
        <row r="242">
          <cell r="C242" t="str">
            <v>V-02</v>
          </cell>
          <cell r="D242" t="str">
            <v>HPC</v>
          </cell>
          <cell r="E242" t="str">
            <v>Hair Care</v>
          </cell>
          <cell r="F242">
            <v>9.5000000000000001E-2</v>
          </cell>
          <cell r="G242" t="str">
            <v>Nexlev Volumizer Straightener</v>
          </cell>
          <cell r="H242">
            <v>85163100</v>
          </cell>
          <cell r="I242">
            <v>8.32</v>
          </cell>
          <cell r="J242">
            <v>0.1244724705882353</v>
          </cell>
          <cell r="K242">
            <v>38.4</v>
          </cell>
          <cell r="L242">
            <v>10.7</v>
          </cell>
          <cell r="M242">
            <v>10.3</v>
          </cell>
          <cell r="N242">
            <v>4.2320639999999998E-3</v>
          </cell>
          <cell r="O242">
            <v>20</v>
          </cell>
          <cell r="P242">
            <v>1.8577839435294119</v>
          </cell>
          <cell r="Q242">
            <v>927.2</v>
          </cell>
          <cell r="R242">
            <v>1094.099631179294</v>
          </cell>
          <cell r="S242">
            <v>9.5</v>
          </cell>
          <cell r="T242">
            <v>51</v>
          </cell>
          <cell r="U242">
            <v>77</v>
          </cell>
          <cell r="V242">
            <v>20</v>
          </cell>
          <cell r="W242">
            <v>2</v>
          </cell>
          <cell r="X242">
            <v>5</v>
          </cell>
          <cell r="Y242">
            <v>2</v>
          </cell>
          <cell r="Z242">
            <v>18</v>
          </cell>
          <cell r="AA242">
            <v>304.93220338983042</v>
          </cell>
          <cell r="AB242">
            <v>54.704981558964711</v>
          </cell>
          <cell r="AC242">
            <v>32.822988935378817</v>
          </cell>
          <cell r="AD242">
            <v>0</v>
          </cell>
          <cell r="AE242">
            <v>2499</v>
          </cell>
          <cell r="AF242">
            <v>3699</v>
          </cell>
        </row>
        <row r="243">
          <cell r="C243" t="str">
            <v>V-03</v>
          </cell>
          <cell r="D243" t="str">
            <v>HPC</v>
          </cell>
          <cell r="E243" t="str">
            <v>Hair Care</v>
          </cell>
          <cell r="F243">
            <v>9.5000000000000001E-2</v>
          </cell>
          <cell r="G243" t="str">
            <v>Nexlev Volumizer Dryer</v>
          </cell>
          <cell r="H243">
            <v>85163100</v>
          </cell>
          <cell r="I243">
            <v>6.48</v>
          </cell>
          <cell r="J243">
            <v>0.1039952941176471</v>
          </cell>
          <cell r="K243">
            <v>28.7</v>
          </cell>
          <cell r="L243">
            <v>16</v>
          </cell>
          <cell r="M243">
            <v>7.7</v>
          </cell>
          <cell r="N243">
            <v>3.5358400000000002E-3</v>
          </cell>
          <cell r="O243">
            <v>20</v>
          </cell>
          <cell r="P243">
            <v>1.4484789647058831</v>
          </cell>
          <cell r="Q243">
            <v>722.92</v>
          </cell>
          <cell r="R243">
            <v>853.04876628705892</v>
          </cell>
          <cell r="S243">
            <v>9.5</v>
          </cell>
          <cell r="T243">
            <v>51</v>
          </cell>
          <cell r="U243">
            <v>77</v>
          </cell>
          <cell r="V243">
            <v>20</v>
          </cell>
          <cell r="W243">
            <v>2</v>
          </cell>
          <cell r="X243">
            <v>5</v>
          </cell>
          <cell r="Y243">
            <v>2</v>
          </cell>
          <cell r="Z243">
            <v>18</v>
          </cell>
          <cell r="AA243">
            <v>312.5593220338983</v>
          </cell>
          <cell r="AB243">
            <v>42.652438314352949</v>
          </cell>
          <cell r="AC243">
            <v>25.59146298861177</v>
          </cell>
          <cell r="AD243">
            <v>0</v>
          </cell>
          <cell r="AE243">
            <v>2499</v>
          </cell>
          <cell r="AF243">
            <v>3399</v>
          </cell>
        </row>
        <row r="244">
          <cell r="C244" t="str">
            <v>SC-04</v>
          </cell>
          <cell r="D244" t="str">
            <v>Home &amp; Kitchen</v>
          </cell>
          <cell r="E244" t="str">
            <v>Cleaning &amp; Vacumming</v>
          </cell>
          <cell r="F244">
            <v>0.08</v>
          </cell>
          <cell r="G244" t="str">
            <v>Nexlev 10 in 1 Steam Cleaner</v>
          </cell>
          <cell r="H244">
            <v>85098000</v>
          </cell>
          <cell r="I244">
            <v>20</v>
          </cell>
          <cell r="J244">
            <v>0.79599000000000009</v>
          </cell>
          <cell r="K244">
            <v>62.8</v>
          </cell>
          <cell r="L244">
            <v>22.1</v>
          </cell>
          <cell r="M244">
            <v>19.5</v>
          </cell>
          <cell r="N244">
            <v>2.706366E-2</v>
          </cell>
          <cell r="O244">
            <v>20</v>
          </cell>
          <cell r="P244">
            <v>4.5751178000000001</v>
          </cell>
          <cell r="Q244">
            <v>2283.4</v>
          </cell>
          <cell r="R244">
            <v>2694.4116483600001</v>
          </cell>
          <cell r="S244">
            <v>8</v>
          </cell>
          <cell r="T244">
            <v>51</v>
          </cell>
          <cell r="U244">
            <v>228.17796610169489</v>
          </cell>
          <cell r="V244">
            <v>15</v>
          </cell>
          <cell r="W244">
            <v>2</v>
          </cell>
          <cell r="X244">
            <v>5</v>
          </cell>
          <cell r="Y244">
            <v>2</v>
          </cell>
          <cell r="Z244">
            <v>18</v>
          </cell>
          <cell r="AA244">
            <v>915.10169491525357</v>
          </cell>
          <cell r="AB244">
            <v>134.72058241799999</v>
          </cell>
          <cell r="AC244">
            <v>80.832349450799995</v>
          </cell>
          <cell r="AD244">
            <v>0</v>
          </cell>
          <cell r="AE244">
            <v>5999</v>
          </cell>
          <cell r="AF244">
            <v>10299</v>
          </cell>
        </row>
        <row r="245">
          <cell r="C245" t="str">
            <v>VC-05</v>
          </cell>
          <cell r="D245" t="str">
            <v>Home &amp; Kitchen</v>
          </cell>
          <cell r="E245" t="str">
            <v>Cleaning &amp; Vacumming</v>
          </cell>
          <cell r="F245">
            <v>7.4999999999999997E-2</v>
          </cell>
          <cell r="G245" t="str">
            <v>Nexlev Portable Vacuum Cleaner and Blower</v>
          </cell>
          <cell r="H245">
            <v>85086000</v>
          </cell>
          <cell r="I245">
            <v>8.83</v>
          </cell>
          <cell r="J245">
            <v>0.18532000000000001</v>
          </cell>
          <cell r="K245">
            <v>41</v>
          </cell>
          <cell r="L245">
            <v>13.6</v>
          </cell>
          <cell r="M245">
            <v>11.3</v>
          </cell>
          <cell r="N245">
            <v>6.3008800000000009E-3</v>
          </cell>
          <cell r="O245">
            <v>10</v>
          </cell>
          <cell r="P245">
            <v>0.99168520000000027</v>
          </cell>
          <cell r="Q245">
            <v>900.63</v>
          </cell>
          <cell r="R245">
            <v>1062.74395224</v>
          </cell>
          <cell r="S245">
            <v>7.5</v>
          </cell>
          <cell r="T245">
            <v>51</v>
          </cell>
          <cell r="U245">
            <v>115</v>
          </cell>
          <cell r="V245">
            <v>15</v>
          </cell>
          <cell r="W245">
            <v>2</v>
          </cell>
          <cell r="X245">
            <v>5</v>
          </cell>
          <cell r="Y245">
            <v>2</v>
          </cell>
          <cell r="Z245">
            <v>18</v>
          </cell>
          <cell r="AA245">
            <v>350.69491525423717</v>
          </cell>
          <cell r="AB245">
            <v>53.137197612000023</v>
          </cell>
          <cell r="AC245">
            <v>31.882318567200009</v>
          </cell>
          <cell r="AD245">
            <v>0</v>
          </cell>
          <cell r="AE245">
            <v>2299</v>
          </cell>
          <cell r="AF245">
            <v>4499</v>
          </cell>
        </row>
        <row r="246">
          <cell r="C246" t="str">
            <v>VC-04</v>
          </cell>
          <cell r="D246" t="str">
            <v>Home &amp; Kitchen</v>
          </cell>
          <cell r="E246" t="str">
            <v>Cleaning &amp; Vacumming</v>
          </cell>
          <cell r="F246">
            <v>7.4999999999999997E-2</v>
          </cell>
          <cell r="G246" t="str">
            <v>Nexlev Portable Vacuum Cleaner and Blower</v>
          </cell>
          <cell r="H246">
            <v>85086000</v>
          </cell>
          <cell r="I246">
            <v>9.35</v>
          </cell>
          <cell r="J246">
            <v>7.9154823529411764E-2</v>
          </cell>
          <cell r="K246">
            <v>32.1</v>
          </cell>
          <cell r="L246">
            <v>13.1</v>
          </cell>
          <cell r="M246">
            <v>6.4</v>
          </cell>
          <cell r="N246">
            <v>2.6912640000000001E-3</v>
          </cell>
          <cell r="O246">
            <v>10</v>
          </cell>
          <cell r="P246">
            <v>1.037207030588235</v>
          </cell>
          <cell r="Q246">
            <v>941.97</v>
          </cell>
          <cell r="R246">
            <v>1111.527628907294</v>
          </cell>
          <cell r="S246">
            <v>7.5</v>
          </cell>
          <cell r="T246">
            <v>51</v>
          </cell>
          <cell r="U246">
            <v>77</v>
          </cell>
          <cell r="V246">
            <v>15</v>
          </cell>
          <cell r="W246">
            <v>2</v>
          </cell>
          <cell r="X246">
            <v>5</v>
          </cell>
          <cell r="Y246">
            <v>2</v>
          </cell>
          <cell r="Z246">
            <v>18</v>
          </cell>
          <cell r="AA246">
            <v>381.20338983050851</v>
          </cell>
          <cell r="AB246">
            <v>55.576381445364703</v>
          </cell>
          <cell r="AC246">
            <v>33.34582886721882</v>
          </cell>
          <cell r="AD246">
            <v>0</v>
          </cell>
          <cell r="AE246">
            <v>2499</v>
          </cell>
          <cell r="AF246">
            <v>4499</v>
          </cell>
        </row>
        <row r="247">
          <cell r="C247" t="str">
            <v>BR-01</v>
          </cell>
          <cell r="D247" t="str">
            <v>HPC</v>
          </cell>
          <cell r="E247" t="str">
            <v>Skin Care</v>
          </cell>
          <cell r="F247">
            <v>7.0000000000000007E-2</v>
          </cell>
          <cell r="G247" t="str">
            <v>Nexlev Black Head Remover</v>
          </cell>
          <cell r="H247">
            <v>85437093</v>
          </cell>
          <cell r="I247">
            <v>4.5</v>
          </cell>
          <cell r="J247">
            <v>4.2907529411764692E-2</v>
          </cell>
          <cell r="K247">
            <v>23.9</v>
          </cell>
          <cell r="L247">
            <v>10.9</v>
          </cell>
          <cell r="M247">
            <v>5.6</v>
          </cell>
          <cell r="N247">
            <v>1.4588559999999999E-3</v>
          </cell>
          <cell r="O247">
            <v>10</v>
          </cell>
          <cell r="P247">
            <v>0.49971982823529421</v>
          </cell>
          <cell r="Q247">
            <v>453.84</v>
          </cell>
          <cell r="R247">
            <v>535.5270253821177</v>
          </cell>
          <cell r="S247">
            <v>7.0000000000000009</v>
          </cell>
          <cell r="T247">
            <v>51</v>
          </cell>
          <cell r="U247">
            <v>59.000000000000007</v>
          </cell>
          <cell r="V247">
            <v>20</v>
          </cell>
          <cell r="W247">
            <v>2</v>
          </cell>
          <cell r="X247">
            <v>5</v>
          </cell>
          <cell r="Y247">
            <v>2</v>
          </cell>
          <cell r="Z247">
            <v>18</v>
          </cell>
          <cell r="AA247">
            <v>243.91525423728811</v>
          </cell>
          <cell r="AB247">
            <v>26.776351269105891</v>
          </cell>
          <cell r="AC247">
            <v>16.065810761463531</v>
          </cell>
          <cell r="AD247">
            <v>0</v>
          </cell>
          <cell r="AE247">
            <v>1599</v>
          </cell>
          <cell r="AF247">
            <v>2799</v>
          </cell>
        </row>
        <row r="248">
          <cell r="C248" t="str">
            <v>EA-02</v>
          </cell>
          <cell r="D248" t="str">
            <v>HPC</v>
          </cell>
          <cell r="E248" t="str">
            <v>Hair Care</v>
          </cell>
          <cell r="F248">
            <v>7.4999999999999997E-2</v>
          </cell>
          <cell r="G248" t="str">
            <v>Nexlev Oil Applicator Comb</v>
          </cell>
          <cell r="H248">
            <v>90191020</v>
          </cell>
          <cell r="I248">
            <v>8.4</v>
          </cell>
          <cell r="J248">
            <v>5.3059764705882348E-2</v>
          </cell>
          <cell r="K248">
            <v>24.3</v>
          </cell>
          <cell r="L248">
            <v>11.6</v>
          </cell>
          <cell r="M248">
            <v>6.4</v>
          </cell>
          <cell r="N248">
            <v>1.8040319999999999E-3</v>
          </cell>
          <cell r="O248">
            <v>10</v>
          </cell>
          <cell r="P248">
            <v>0.9298365741176472</v>
          </cell>
          <cell r="Q248">
            <v>844.46</v>
          </cell>
          <cell r="R248">
            <v>996.46359118305884</v>
          </cell>
          <cell r="S248">
            <v>7.5</v>
          </cell>
          <cell r="T248">
            <v>51</v>
          </cell>
          <cell r="U248">
            <v>77</v>
          </cell>
          <cell r="V248">
            <v>20</v>
          </cell>
          <cell r="W248">
            <v>2</v>
          </cell>
          <cell r="X248">
            <v>5</v>
          </cell>
          <cell r="Y248">
            <v>2</v>
          </cell>
          <cell r="Z248">
            <v>5</v>
          </cell>
          <cell r="AA248">
            <v>350.69491525423717</v>
          </cell>
          <cell r="AB248">
            <v>49.823179559152948</v>
          </cell>
          <cell r="AC248">
            <v>29.893907735491769</v>
          </cell>
          <cell r="AD248">
            <v>0</v>
          </cell>
          <cell r="AE248">
            <v>2299</v>
          </cell>
          <cell r="AF248">
            <v>3999</v>
          </cell>
        </row>
        <row r="249">
          <cell r="C249" t="str">
            <v>SS-02</v>
          </cell>
          <cell r="D249" t="str">
            <v>Home &amp; Kitchen</v>
          </cell>
          <cell r="E249" t="str">
            <v>Cleaning &amp; Vacumming</v>
          </cell>
          <cell r="F249">
            <v>0.1</v>
          </cell>
          <cell r="G249" t="str">
            <v>Nexlev Spin Scrubber - mini</v>
          </cell>
          <cell r="H249">
            <v>85098000</v>
          </cell>
          <cell r="I249">
            <v>9</v>
          </cell>
          <cell r="J249">
            <v>0.1747919117647059</v>
          </cell>
          <cell r="K249">
            <v>43.3</v>
          </cell>
          <cell r="L249">
            <v>18.3</v>
          </cell>
          <cell r="M249">
            <v>7.5</v>
          </cell>
          <cell r="N249">
            <v>5.9429249999999999E-3</v>
          </cell>
          <cell r="O249">
            <v>20</v>
          </cell>
          <cell r="P249">
            <v>2.018454220588235</v>
          </cell>
          <cell r="Q249">
            <v>1007.39</v>
          </cell>
          <cell r="R249">
            <v>1188.7227392558821</v>
          </cell>
          <cell r="S249">
            <v>10</v>
          </cell>
          <cell r="T249">
            <v>51</v>
          </cell>
          <cell r="U249">
            <v>115</v>
          </cell>
          <cell r="V249">
            <v>15</v>
          </cell>
          <cell r="W249">
            <v>2</v>
          </cell>
          <cell r="X249">
            <v>5</v>
          </cell>
          <cell r="Y249">
            <v>2</v>
          </cell>
          <cell r="Z249">
            <v>18</v>
          </cell>
          <cell r="AA249">
            <v>274.42372881355908</v>
          </cell>
          <cell r="AB249">
            <v>59.436136962794123</v>
          </cell>
          <cell r="AC249">
            <v>35.661682177676468</v>
          </cell>
          <cell r="AD249">
            <v>0</v>
          </cell>
          <cell r="AE249">
            <v>1699</v>
          </cell>
          <cell r="AF249">
            <v>4999</v>
          </cell>
        </row>
        <row r="250">
          <cell r="C250" t="str">
            <v>CFM-01</v>
          </cell>
          <cell r="D250" t="str">
            <v>HPC</v>
          </cell>
          <cell r="E250" t="str">
            <v>Electric Massagers</v>
          </cell>
          <cell r="F250">
            <v>7.4999999999999997E-2</v>
          </cell>
          <cell r="G250" t="str">
            <v>NexLev Calf Massager</v>
          </cell>
          <cell r="H250">
            <v>90191020</v>
          </cell>
          <cell r="I250">
            <v>8.1999999999999993</v>
          </cell>
          <cell r="J250">
            <v>0.20117011764705889</v>
          </cell>
          <cell r="K250">
            <v>33.1</v>
          </cell>
          <cell r="L250">
            <v>24.6</v>
          </cell>
          <cell r="M250">
            <v>8.4</v>
          </cell>
          <cell r="N250">
            <v>6.8397840000000024E-3</v>
          </cell>
          <cell r="O250">
            <v>10</v>
          </cell>
          <cell r="P250">
            <v>0.9241287129411766</v>
          </cell>
          <cell r="Q250">
            <v>839.28</v>
          </cell>
          <cell r="R250">
            <v>990.34673580847038</v>
          </cell>
          <cell r="S250">
            <v>7.5</v>
          </cell>
          <cell r="T250">
            <v>51</v>
          </cell>
          <cell r="U250">
            <v>110</v>
          </cell>
          <cell r="V250">
            <v>20</v>
          </cell>
          <cell r="W250">
            <v>2</v>
          </cell>
          <cell r="X250">
            <v>5</v>
          </cell>
          <cell r="Y250">
            <v>2</v>
          </cell>
          <cell r="Z250">
            <v>5</v>
          </cell>
          <cell r="AA250">
            <v>426.96610169491532</v>
          </cell>
          <cell r="AB250">
            <v>49.517336790423521</v>
          </cell>
          <cell r="AC250">
            <v>29.710402074254109</v>
          </cell>
          <cell r="AD250">
            <v>0</v>
          </cell>
          <cell r="AE250">
            <v>2799</v>
          </cell>
          <cell r="AF250">
            <v>3999</v>
          </cell>
        </row>
        <row r="251">
          <cell r="C251" t="str">
            <v>KM-01</v>
          </cell>
          <cell r="D251" t="str">
            <v>HPC</v>
          </cell>
          <cell r="E251" t="str">
            <v>Electric Massagers</v>
          </cell>
          <cell r="F251">
            <v>7.4999999999999997E-2</v>
          </cell>
          <cell r="G251" t="str">
            <v>NexLev Knee Massager</v>
          </cell>
          <cell r="H251">
            <v>90191020</v>
          </cell>
          <cell r="I251">
            <v>8.65</v>
          </cell>
          <cell r="J251">
            <v>0.1577734411764706</v>
          </cell>
          <cell r="K251">
            <v>33.299999999999997</v>
          </cell>
          <cell r="L251">
            <v>18.100000000000001</v>
          </cell>
          <cell r="M251">
            <v>8.9</v>
          </cell>
          <cell r="N251">
            <v>5.3642970000000014E-3</v>
          </cell>
          <cell r="O251">
            <v>10</v>
          </cell>
          <cell r="P251">
            <v>0.96885507852941188</v>
          </cell>
          <cell r="Q251">
            <v>879.9</v>
          </cell>
          <cell r="R251">
            <v>1038.2779487927651</v>
          </cell>
          <cell r="S251">
            <v>7.5</v>
          </cell>
          <cell r="T251">
            <v>51</v>
          </cell>
          <cell r="U251">
            <v>115</v>
          </cell>
          <cell r="V251">
            <v>20</v>
          </cell>
          <cell r="W251">
            <v>2</v>
          </cell>
          <cell r="X251">
            <v>5</v>
          </cell>
          <cell r="Y251">
            <v>2</v>
          </cell>
          <cell r="Z251">
            <v>5</v>
          </cell>
          <cell r="AA251">
            <v>221.0338983050847</v>
          </cell>
          <cell r="AB251">
            <v>51.913897439638227</v>
          </cell>
          <cell r="AC251">
            <v>31.148338463782942</v>
          </cell>
          <cell r="AD251">
            <v>0</v>
          </cell>
          <cell r="AE251">
            <v>1449</v>
          </cell>
          <cell r="AF251">
            <v>3399</v>
          </cell>
        </row>
        <row r="252">
          <cell r="C252" t="str">
            <v>EM-02</v>
          </cell>
          <cell r="D252" t="str">
            <v>HPC</v>
          </cell>
          <cell r="E252" t="str">
            <v>Electric Massagers</v>
          </cell>
          <cell r="F252">
            <v>7.4999999999999997E-2</v>
          </cell>
          <cell r="G252" t="str">
            <v>NexLev Eye Massager - Pro</v>
          </cell>
          <cell r="H252">
            <v>90191020</v>
          </cell>
          <cell r="I252">
            <v>12</v>
          </cell>
          <cell r="J252">
            <v>5.5617882352941177E-2</v>
          </cell>
          <cell r="K252">
            <v>16.8</v>
          </cell>
          <cell r="L252">
            <v>13.4</v>
          </cell>
          <cell r="M252">
            <v>8.4</v>
          </cell>
          <cell r="N252">
            <v>1.891008E-3</v>
          </cell>
          <cell r="O252">
            <v>10</v>
          </cell>
          <cell r="P252">
            <v>1.3261179670588239</v>
          </cell>
          <cell r="Q252">
            <v>1204.3599999999999</v>
          </cell>
          <cell r="R252">
            <v>1421.140347207529</v>
          </cell>
          <cell r="S252">
            <v>7.5</v>
          </cell>
          <cell r="T252">
            <v>51</v>
          </cell>
          <cell r="U252">
            <v>59</v>
          </cell>
          <cell r="V252">
            <v>20</v>
          </cell>
          <cell r="W252">
            <v>2</v>
          </cell>
          <cell r="X252">
            <v>5</v>
          </cell>
          <cell r="Y252">
            <v>2</v>
          </cell>
          <cell r="Z252">
            <v>5</v>
          </cell>
          <cell r="AA252">
            <v>396.45762711864381</v>
          </cell>
          <cell r="AB252">
            <v>71.057017360376477</v>
          </cell>
          <cell r="AC252">
            <v>42.634210416225883</v>
          </cell>
          <cell r="AD252">
            <v>0</v>
          </cell>
          <cell r="AE252">
            <v>2599</v>
          </cell>
          <cell r="AF252">
            <v>6299</v>
          </cell>
        </row>
        <row r="253">
          <cell r="C253" t="str">
            <v>MG-01</v>
          </cell>
          <cell r="D253" t="str">
            <v>HPC</v>
          </cell>
          <cell r="E253" t="str">
            <v>Electric Massagers</v>
          </cell>
          <cell r="F253">
            <v>7.4999999999999997E-2</v>
          </cell>
          <cell r="G253" t="str">
            <v>NexLev Massage Gun</v>
          </cell>
          <cell r="H253">
            <v>90191020</v>
          </cell>
          <cell r="I253">
            <v>7.8</v>
          </cell>
          <cell r="J253">
            <v>0.18512470588235291</v>
          </cell>
          <cell r="K253">
            <v>31</v>
          </cell>
          <cell r="L253">
            <v>28.2</v>
          </cell>
          <cell r="M253">
            <v>7.2</v>
          </cell>
          <cell r="N253">
            <v>6.2942400000000004E-3</v>
          </cell>
          <cell r="O253">
            <v>10</v>
          </cell>
          <cell r="P253">
            <v>0.87836371764705889</v>
          </cell>
          <cell r="Q253">
            <v>797.71</v>
          </cell>
          <cell r="R253">
            <v>941.30247057882332</v>
          </cell>
          <cell r="S253">
            <v>7.5</v>
          </cell>
          <cell r="T253">
            <v>51</v>
          </cell>
          <cell r="U253">
            <v>114</v>
          </cell>
          <cell r="V253">
            <v>20</v>
          </cell>
          <cell r="W253">
            <v>2</v>
          </cell>
          <cell r="X253">
            <v>5</v>
          </cell>
          <cell r="Y253">
            <v>2</v>
          </cell>
          <cell r="Z253">
            <v>5</v>
          </cell>
          <cell r="AA253">
            <v>274.42372881355908</v>
          </cell>
          <cell r="AB253">
            <v>47.065123528941172</v>
          </cell>
          <cell r="AC253">
            <v>28.239074117364702</v>
          </cell>
          <cell r="AD253">
            <v>0</v>
          </cell>
          <cell r="AE253">
            <v>1799</v>
          </cell>
          <cell r="AF253">
            <v>3199</v>
          </cell>
        </row>
        <row r="254">
          <cell r="C254" t="str">
            <v>BM-02</v>
          </cell>
          <cell r="D254" t="str">
            <v>HPC</v>
          </cell>
          <cell r="E254" t="str">
            <v>Electric Massagers</v>
          </cell>
          <cell r="F254">
            <v>7.4999999999999997E-2</v>
          </cell>
          <cell r="G254" t="str">
            <v>NexLev Back and Shoulder Massager</v>
          </cell>
          <cell r="H254">
            <v>90191020</v>
          </cell>
          <cell r="I254">
            <v>7.82</v>
          </cell>
          <cell r="J254">
            <v>0.40155882352941169</v>
          </cell>
          <cell r="K254">
            <v>41</v>
          </cell>
          <cell r="L254">
            <v>18.5</v>
          </cell>
          <cell r="M254">
            <v>18</v>
          </cell>
          <cell r="N254">
            <v>1.3653E-2</v>
          </cell>
          <cell r="O254">
            <v>10</v>
          </cell>
          <cell r="P254">
            <v>0.90437147058823542</v>
          </cell>
          <cell r="Q254">
            <v>979.33</v>
          </cell>
          <cell r="R254">
            <v>969.17379723529416</v>
          </cell>
          <cell r="S254">
            <v>7.5</v>
          </cell>
          <cell r="T254">
            <v>51</v>
          </cell>
          <cell r="U254">
            <v>148</v>
          </cell>
          <cell r="V254">
            <v>20</v>
          </cell>
          <cell r="W254">
            <v>2</v>
          </cell>
          <cell r="X254">
            <v>5</v>
          </cell>
          <cell r="Y254">
            <v>2</v>
          </cell>
          <cell r="Z254">
            <v>5</v>
          </cell>
          <cell r="AA254">
            <v>396.45762711864381</v>
          </cell>
          <cell r="AB254">
            <v>48.458689861764711</v>
          </cell>
          <cell r="AC254">
            <v>29.075213917058829</v>
          </cell>
          <cell r="AD254">
            <v>158</v>
          </cell>
          <cell r="AE254">
            <v>2599</v>
          </cell>
          <cell r="AF254">
            <v>3399</v>
          </cell>
        </row>
        <row r="255">
          <cell r="C255" t="str">
            <v>SC-05</v>
          </cell>
          <cell r="D255" t="str">
            <v>Home &amp; Kitchen</v>
          </cell>
          <cell r="E255" t="str">
            <v>Cleaning &amp; Vacumming</v>
          </cell>
          <cell r="F255">
            <v>4.4999999999999998E-2</v>
          </cell>
          <cell r="G255" t="str">
            <v>Steam Cleaner-Shine Pro</v>
          </cell>
          <cell r="H255">
            <v>85098000</v>
          </cell>
          <cell r="I255">
            <v>10.8</v>
          </cell>
          <cell r="J255">
            <v>0.33543529411764711</v>
          </cell>
          <cell r="K255">
            <v>27</v>
          </cell>
          <cell r="L255">
            <v>26.4</v>
          </cell>
          <cell r="M255">
            <v>16</v>
          </cell>
          <cell r="N255">
            <v>1.14048E-2</v>
          </cell>
          <cell r="O255">
            <v>20</v>
          </cell>
          <cell r="P255">
            <v>2.449795764705883</v>
          </cell>
          <cell r="Q255">
            <v>1222.67</v>
          </cell>
          <cell r="R255">
            <v>1442.7515384470589</v>
          </cell>
          <cell r="S255">
            <v>4.5</v>
          </cell>
          <cell r="T255">
            <v>51</v>
          </cell>
          <cell r="U255">
            <v>148</v>
          </cell>
          <cell r="V255">
            <v>15</v>
          </cell>
          <cell r="W255">
            <v>2</v>
          </cell>
          <cell r="X255">
            <v>5</v>
          </cell>
          <cell r="Y255">
            <v>2</v>
          </cell>
          <cell r="Z255">
            <v>18</v>
          </cell>
          <cell r="AA255">
            <v>449.84745762711867</v>
          </cell>
          <cell r="AB255">
            <v>72.137576922352949</v>
          </cell>
          <cell r="AC255">
            <v>43.282546153411772</v>
          </cell>
          <cell r="AD255">
            <v>0</v>
          </cell>
          <cell r="AE255">
            <v>2949</v>
          </cell>
          <cell r="AF255">
            <v>5499</v>
          </cell>
        </row>
        <row r="256">
          <cell r="C256" t="str">
            <v>ST-01</v>
          </cell>
          <cell r="D256" t="str">
            <v>Home &amp; Kitchen</v>
          </cell>
          <cell r="E256" t="str">
            <v>Kitchen Appliances</v>
          </cell>
          <cell r="F256">
            <v>0.08</v>
          </cell>
          <cell r="G256" t="str">
            <v>Stand Mixer</v>
          </cell>
          <cell r="H256">
            <v>85094090</v>
          </cell>
          <cell r="I256">
            <v>25.5</v>
          </cell>
          <cell r="J256">
            <v>0.91189870588235289</v>
          </cell>
          <cell r="K256">
            <v>39.299999999999997</v>
          </cell>
          <cell r="L256">
            <v>32.6</v>
          </cell>
          <cell r="M256">
            <v>24.2</v>
          </cell>
          <cell r="N256">
            <v>3.1004555999999999E-2</v>
          </cell>
          <cell r="O256">
            <v>20</v>
          </cell>
          <cell r="P256">
            <v>5.8106177152941187</v>
          </cell>
          <cell r="Q256">
            <v>2900.03</v>
          </cell>
          <cell r="R256">
            <v>3422.031243928941</v>
          </cell>
          <cell r="S256">
            <v>8</v>
          </cell>
          <cell r="T256">
            <v>51</v>
          </cell>
          <cell r="U256">
            <v>242.47457627118649</v>
          </cell>
          <cell r="V256">
            <v>15</v>
          </cell>
          <cell r="W256">
            <v>2</v>
          </cell>
          <cell r="X256">
            <v>5</v>
          </cell>
          <cell r="Y256">
            <v>2</v>
          </cell>
          <cell r="Z256">
            <v>18</v>
          </cell>
          <cell r="AA256">
            <v>899.84745762711827</v>
          </cell>
          <cell r="AB256">
            <v>171.10156219644711</v>
          </cell>
          <cell r="AC256">
            <v>102.6609373178682</v>
          </cell>
          <cell r="AD256">
            <v>0</v>
          </cell>
          <cell r="AE256">
            <v>5899</v>
          </cell>
          <cell r="AF256">
            <v>10999</v>
          </cell>
        </row>
        <row r="257">
          <cell r="C257" t="str">
            <v>ETC-07-WH</v>
          </cell>
          <cell r="D257" t="str">
            <v>HPC</v>
          </cell>
          <cell r="E257" t="str">
            <v>Oral Care</v>
          </cell>
          <cell r="F257">
            <v>7.4999999999999997E-2</v>
          </cell>
          <cell r="G257" t="str">
            <v>Electric Toothbrush - Type C- White</v>
          </cell>
          <cell r="H257">
            <v>85098000</v>
          </cell>
          <cell r="I257">
            <v>2.84</v>
          </cell>
          <cell r="J257">
            <v>2.1223852941176461E-2</v>
          </cell>
          <cell r="K257">
            <v>19.7</v>
          </cell>
          <cell r="L257">
            <v>11.1</v>
          </cell>
          <cell r="M257">
            <v>3.3</v>
          </cell>
          <cell r="N257">
            <v>7.2161099999999982E-4</v>
          </cell>
          <cell r="O257">
            <v>20</v>
          </cell>
          <cell r="P257">
            <v>0.6294692476470588</v>
          </cell>
          <cell r="Q257">
            <v>314.16000000000003</v>
          </cell>
          <cell r="R257">
            <v>370.71160728247048</v>
          </cell>
          <cell r="S257">
            <v>7.5</v>
          </cell>
          <cell r="T257">
            <v>26</v>
          </cell>
          <cell r="U257">
            <v>59.000000000000007</v>
          </cell>
          <cell r="V257">
            <v>20</v>
          </cell>
          <cell r="W257">
            <v>2</v>
          </cell>
          <cell r="X257">
            <v>5</v>
          </cell>
          <cell r="Y257">
            <v>2</v>
          </cell>
          <cell r="Z257">
            <v>18</v>
          </cell>
          <cell r="AA257">
            <v>99</v>
          </cell>
          <cell r="AB257">
            <v>18.535580364123529</v>
          </cell>
          <cell r="AC257">
            <v>11.12134821847412</v>
          </cell>
          <cell r="AD257">
            <v>0</v>
          </cell>
          <cell r="AE257">
            <v>649</v>
          </cell>
          <cell r="AF257">
            <v>1199</v>
          </cell>
        </row>
        <row r="258">
          <cell r="C258" t="str">
            <v>NP-06</v>
          </cell>
          <cell r="D258" t="str">
            <v>Home &amp; Kitchen</v>
          </cell>
          <cell r="E258" t="str">
            <v>Travel Accessories</v>
          </cell>
          <cell r="F258">
            <v>0.1</v>
          </cell>
          <cell r="G258" t="str">
            <v>NexLev Donut Pillow - Blue</v>
          </cell>
          <cell r="H258">
            <v>94043090</v>
          </cell>
          <cell r="I258">
            <v>3.6</v>
          </cell>
          <cell r="J258">
            <v>9.5316176470588238E-2</v>
          </cell>
          <cell r="K258">
            <v>15</v>
          </cell>
          <cell r="L258">
            <v>14.9</v>
          </cell>
          <cell r="M258">
            <v>14.5</v>
          </cell>
          <cell r="N258">
            <v>3.2407500000000001E-3</v>
          </cell>
          <cell r="O258">
            <v>25</v>
          </cell>
          <cell r="P258">
            <v>1.0162119485294121</v>
          </cell>
          <cell r="Q258">
            <v>424.04</v>
          </cell>
          <cell r="R258">
            <v>500.364286875</v>
          </cell>
          <cell r="S258">
            <v>10</v>
          </cell>
          <cell r="T258">
            <v>26</v>
          </cell>
          <cell r="U258">
            <v>77</v>
          </cell>
          <cell r="V258">
            <v>15</v>
          </cell>
          <cell r="W258">
            <v>2</v>
          </cell>
          <cell r="X258">
            <v>5</v>
          </cell>
          <cell r="Y258">
            <v>2</v>
          </cell>
          <cell r="Z258">
            <v>5</v>
          </cell>
          <cell r="AA258">
            <v>152.3898305084746</v>
          </cell>
          <cell r="AB258">
            <v>25.01821434375</v>
          </cell>
          <cell r="AC258">
            <v>15.010928606249999</v>
          </cell>
          <cell r="AD258">
            <v>0</v>
          </cell>
          <cell r="AE258">
            <v>1199</v>
          </cell>
          <cell r="AF258">
            <v>1899</v>
          </cell>
        </row>
        <row r="259">
          <cell r="C259" t="str">
            <v>NP-07</v>
          </cell>
          <cell r="D259" t="str">
            <v>Home &amp; Kitchen</v>
          </cell>
          <cell r="E259" t="str">
            <v>Travel Accessories</v>
          </cell>
          <cell r="F259">
            <v>0.1</v>
          </cell>
          <cell r="G259" t="str">
            <v>NexLev Donut Pillow - Grey</v>
          </cell>
          <cell r="H259">
            <v>94043090</v>
          </cell>
          <cell r="I259">
            <v>3.6</v>
          </cell>
          <cell r="J259">
            <v>9.7275088235294113E-2</v>
          </cell>
          <cell r="K259">
            <v>15.1</v>
          </cell>
          <cell r="L259">
            <v>14.9</v>
          </cell>
          <cell r="M259">
            <v>14.7</v>
          </cell>
          <cell r="N259">
            <v>3.3073529999999999E-3</v>
          </cell>
          <cell r="O259">
            <v>25</v>
          </cell>
          <cell r="P259">
            <v>1.016750649264706</v>
          </cell>
          <cell r="Q259">
            <v>424.26</v>
          </cell>
          <cell r="R259">
            <v>500.62953332249998</v>
          </cell>
          <cell r="S259">
            <v>10</v>
          </cell>
          <cell r="T259">
            <v>26</v>
          </cell>
          <cell r="U259">
            <v>127</v>
          </cell>
          <cell r="V259">
            <v>15</v>
          </cell>
          <cell r="W259">
            <v>2</v>
          </cell>
          <cell r="X259">
            <v>5</v>
          </cell>
          <cell r="Y259">
            <v>2</v>
          </cell>
          <cell r="Z259">
            <v>5</v>
          </cell>
          <cell r="AA259">
            <v>152.3898305084746</v>
          </cell>
          <cell r="AB259">
            <v>25.031476666124998</v>
          </cell>
          <cell r="AC259">
            <v>15.018885999675</v>
          </cell>
          <cell r="AD259">
            <v>0</v>
          </cell>
          <cell r="AE259">
            <v>1199</v>
          </cell>
          <cell r="AF259">
            <v>1899</v>
          </cell>
        </row>
        <row r="260">
          <cell r="C260" t="str">
            <v>AP-01</v>
          </cell>
          <cell r="D260" t="str">
            <v>Home &amp; Kitchen</v>
          </cell>
          <cell r="E260" t="str">
            <v>Air Purifier</v>
          </cell>
          <cell r="F260">
            <v>8.5000000000000006E-2</v>
          </cell>
          <cell r="G260" t="str">
            <v>Air Purifier - 5 Speed</v>
          </cell>
          <cell r="H260">
            <v>84213920</v>
          </cell>
          <cell r="I260">
            <v>85</v>
          </cell>
          <cell r="J260">
            <v>2.9094437647058822</v>
          </cell>
          <cell r="K260">
            <v>69.599999999999994</v>
          </cell>
          <cell r="L260">
            <v>37.799999999999997</v>
          </cell>
          <cell r="M260">
            <v>37.6</v>
          </cell>
          <cell r="N260">
            <v>9.892108799999999E-2</v>
          </cell>
          <cell r="O260">
            <v>8</v>
          </cell>
          <cell r="P260">
            <v>7.7360310512941171</v>
          </cell>
          <cell r="Q260">
            <v>8608.09</v>
          </cell>
          <cell r="R260">
            <v>10157.549425459199</v>
          </cell>
          <cell r="S260">
            <v>8.5</v>
          </cell>
          <cell r="T260">
            <v>51</v>
          </cell>
          <cell r="U260">
            <v>429.90677966101691</v>
          </cell>
          <cell r="V260">
            <v>15</v>
          </cell>
          <cell r="W260">
            <v>2</v>
          </cell>
          <cell r="X260">
            <v>5</v>
          </cell>
          <cell r="Y260">
            <v>2</v>
          </cell>
          <cell r="Z260">
            <v>18</v>
          </cell>
          <cell r="AA260">
            <v>2286.6101694915251</v>
          </cell>
          <cell r="AB260">
            <v>507.87747127296001</v>
          </cell>
          <cell r="AC260">
            <v>304.72648276377589</v>
          </cell>
          <cell r="AD260">
            <v>0</v>
          </cell>
          <cell r="AE260">
            <v>14990</v>
          </cell>
          <cell r="AF260">
            <v>29999</v>
          </cell>
        </row>
        <row r="261">
          <cell r="C261" t="str">
            <v>HU-01</v>
          </cell>
          <cell r="D261" t="str">
            <v>Home &amp; Kitchen</v>
          </cell>
          <cell r="E261" t="str">
            <v>Air Purifier</v>
          </cell>
          <cell r="F261">
            <v>7.4999999999999997E-2</v>
          </cell>
          <cell r="G261" t="str">
            <v>Humidifier - Black</v>
          </cell>
          <cell r="H261">
            <v>85098000</v>
          </cell>
          <cell r="I261">
            <v>6</v>
          </cell>
          <cell r="J261">
            <v>0.39207494117647063</v>
          </cell>
          <cell r="K261">
            <v>29.7</v>
          </cell>
          <cell r="L261">
            <v>22.9</v>
          </cell>
          <cell r="M261">
            <v>19.600000000000001</v>
          </cell>
          <cell r="N261">
            <v>1.3330547999999999E-2</v>
          </cell>
          <cell r="O261">
            <v>20</v>
          </cell>
          <cell r="P261">
            <v>1.4062564870588239</v>
          </cell>
          <cell r="Q261">
            <v>701.85</v>
          </cell>
          <cell r="R261">
            <v>828.18279767858837</v>
          </cell>
          <cell r="S261">
            <v>7.5</v>
          </cell>
          <cell r="T261">
            <v>51</v>
          </cell>
          <cell r="U261">
            <v>148</v>
          </cell>
          <cell r="V261">
            <v>15</v>
          </cell>
          <cell r="W261">
            <v>2</v>
          </cell>
          <cell r="X261">
            <v>5</v>
          </cell>
          <cell r="Y261">
            <v>2</v>
          </cell>
          <cell r="Z261">
            <v>18</v>
          </cell>
          <cell r="AA261">
            <v>312.5593220338983</v>
          </cell>
          <cell r="AB261">
            <v>41.40913988392942</v>
          </cell>
          <cell r="AC261">
            <v>24.845483930357648</v>
          </cell>
          <cell r="AD261">
            <v>0</v>
          </cell>
          <cell r="AE261">
            <v>2049</v>
          </cell>
          <cell r="AF261">
            <v>3599</v>
          </cell>
        </row>
        <row r="262">
          <cell r="C262" t="str">
            <v>HU-02</v>
          </cell>
          <cell r="D262" t="str">
            <v>Home &amp; Kitchen</v>
          </cell>
          <cell r="E262" t="str">
            <v>Air Purifier</v>
          </cell>
          <cell r="F262">
            <v>7.4999999999999997E-2</v>
          </cell>
          <cell r="G262" t="str">
            <v>Humidifier - White</v>
          </cell>
          <cell r="H262">
            <v>85098000</v>
          </cell>
          <cell r="I262">
            <v>6</v>
          </cell>
          <cell r="J262">
            <v>0.30608470588235293</v>
          </cell>
          <cell r="K262">
            <v>26.4</v>
          </cell>
          <cell r="L262">
            <v>21.9</v>
          </cell>
          <cell r="M262">
            <v>18</v>
          </cell>
          <cell r="N262">
            <v>1.040688E-2</v>
          </cell>
          <cell r="O262">
            <v>20</v>
          </cell>
          <cell r="P262">
            <v>1.3873386352941179</v>
          </cell>
          <cell r="Q262">
            <v>692.41</v>
          </cell>
          <cell r="R262">
            <v>817.04155883294118</v>
          </cell>
          <cell r="S262">
            <v>7.5</v>
          </cell>
          <cell r="T262">
            <v>51</v>
          </cell>
          <cell r="U262">
            <v>148</v>
          </cell>
          <cell r="V262">
            <v>15</v>
          </cell>
          <cell r="W262">
            <v>2</v>
          </cell>
          <cell r="X262">
            <v>5</v>
          </cell>
          <cell r="Y262">
            <v>2</v>
          </cell>
          <cell r="Z262">
            <v>18</v>
          </cell>
          <cell r="AA262">
            <v>274.42372881355908</v>
          </cell>
          <cell r="AB262">
            <v>40.85207794164706</v>
          </cell>
          <cell r="AC262">
            <v>24.51124676498824</v>
          </cell>
          <cell r="AD262">
            <v>0</v>
          </cell>
          <cell r="AE262">
            <v>1799</v>
          </cell>
          <cell r="AF262">
            <v>2899</v>
          </cell>
        </row>
        <row r="263">
          <cell r="C263" t="str">
            <v>MGS-02</v>
          </cell>
          <cell r="D263" t="str">
            <v>HPC</v>
          </cell>
          <cell r="E263" t="str">
            <v>Electric Massagers</v>
          </cell>
          <cell r="F263">
            <v>0.11</v>
          </cell>
          <cell r="G263" t="str">
            <v>Massage Gun - Mini</v>
          </cell>
          <cell r="H263">
            <v>90191020</v>
          </cell>
          <cell r="I263">
            <v>3.61</v>
          </cell>
          <cell r="J263">
            <v>8.1407999999999994E-2</v>
          </cell>
          <cell r="K263">
            <v>21.2</v>
          </cell>
          <cell r="L263">
            <v>20.399999999999999</v>
          </cell>
          <cell r="M263">
            <v>6.4</v>
          </cell>
          <cell r="N263">
            <v>2.7678720000000002E-3</v>
          </cell>
          <cell r="O263">
            <v>10</v>
          </cell>
          <cell r="P263">
            <v>0.40605488000000012</v>
          </cell>
          <cell r="Q263">
            <v>368.77</v>
          </cell>
          <cell r="R263">
            <v>435.15055785599998</v>
          </cell>
          <cell r="S263">
            <v>11</v>
          </cell>
          <cell r="T263">
            <v>26</v>
          </cell>
          <cell r="U263">
            <v>77</v>
          </cell>
          <cell r="V263">
            <v>20</v>
          </cell>
          <cell r="W263">
            <v>2</v>
          </cell>
          <cell r="X263">
            <v>5</v>
          </cell>
          <cell r="Y263">
            <v>2</v>
          </cell>
          <cell r="Z263">
            <v>5</v>
          </cell>
          <cell r="AA263">
            <v>137.1355932203389</v>
          </cell>
          <cell r="AB263">
            <v>21.757527892799999</v>
          </cell>
          <cell r="AC263">
            <v>13.05451673568</v>
          </cell>
          <cell r="AD263">
            <v>0</v>
          </cell>
          <cell r="AE263">
            <v>899</v>
          </cell>
          <cell r="AF263">
            <v>1999</v>
          </cell>
        </row>
        <row r="264">
          <cell r="C264" t="str">
            <v>MGC-03</v>
          </cell>
          <cell r="D264" t="str">
            <v>HPC</v>
          </cell>
          <cell r="E264" t="str">
            <v>Electric Massagers</v>
          </cell>
          <cell r="F264">
            <v>7.4999999999999997E-2</v>
          </cell>
          <cell r="G264" t="str">
            <v>Hot &amp; Cold Massage Gun</v>
          </cell>
          <cell r="H264">
            <v>90191020</v>
          </cell>
          <cell r="I264">
            <v>8.15</v>
          </cell>
          <cell r="J264">
            <v>0.1626614705882353</v>
          </cell>
          <cell r="K264">
            <v>28.7</v>
          </cell>
          <cell r="L264">
            <v>23.5</v>
          </cell>
          <cell r="M264">
            <v>8.1999999999999993</v>
          </cell>
          <cell r="N264">
            <v>5.530489999999999E-3</v>
          </cell>
          <cell r="O264">
            <v>10</v>
          </cell>
          <cell r="P264">
            <v>0.91439276176470596</v>
          </cell>
          <cell r="Q264">
            <v>830.43</v>
          </cell>
          <cell r="R264">
            <v>979.91315947588225</v>
          </cell>
          <cell r="S264">
            <v>7.5</v>
          </cell>
          <cell r="T264">
            <v>51</v>
          </cell>
          <cell r="U264">
            <v>115</v>
          </cell>
          <cell r="V264">
            <v>20</v>
          </cell>
          <cell r="W264">
            <v>2</v>
          </cell>
          <cell r="X264">
            <v>5</v>
          </cell>
          <cell r="Y264">
            <v>2</v>
          </cell>
          <cell r="Z264">
            <v>5</v>
          </cell>
          <cell r="AA264">
            <v>304.93220338983042</v>
          </cell>
          <cell r="AB264">
            <v>48.995657973794117</v>
          </cell>
          <cell r="AC264">
            <v>29.397394784276472</v>
          </cell>
          <cell r="AD264">
            <v>0</v>
          </cell>
          <cell r="AE264">
            <v>1999</v>
          </cell>
          <cell r="AF264">
            <v>3999</v>
          </cell>
        </row>
        <row r="265">
          <cell r="C265" t="str">
            <v>MM-01</v>
          </cell>
          <cell r="D265" t="str">
            <v>HPC</v>
          </cell>
          <cell r="E265" t="str">
            <v>Electric Massagers</v>
          </cell>
          <cell r="F265">
            <v>0.06</v>
          </cell>
          <cell r="G265" t="str">
            <v>Foldable Massage Mat</v>
          </cell>
          <cell r="H265">
            <v>90191020</v>
          </cell>
          <cell r="I265">
            <v>51.8</v>
          </cell>
          <cell r="J265">
            <v>0.32879999999999993</v>
          </cell>
          <cell r="K265">
            <v>27.4</v>
          </cell>
          <cell r="L265">
            <v>24</v>
          </cell>
          <cell r="M265">
            <v>17</v>
          </cell>
          <cell r="N265">
            <v>1.11792E-2</v>
          </cell>
          <cell r="O265">
            <v>10</v>
          </cell>
          <cell r="P265">
            <v>5.7341680000000004</v>
          </cell>
          <cell r="Q265">
            <v>5365.67</v>
          </cell>
          <cell r="R265">
            <v>6145.0472015999994</v>
          </cell>
          <cell r="S265">
            <v>6</v>
          </cell>
          <cell r="T265">
            <v>51</v>
          </cell>
          <cell r="U265">
            <v>228.02</v>
          </cell>
          <cell r="V265">
            <v>20</v>
          </cell>
          <cell r="W265">
            <v>2</v>
          </cell>
          <cell r="X265">
            <v>5</v>
          </cell>
          <cell r="Y265">
            <v>2</v>
          </cell>
          <cell r="Z265">
            <v>18</v>
          </cell>
          <cell r="AA265">
            <v>1525.271186440677</v>
          </cell>
          <cell r="AB265">
            <v>307.25236008000002</v>
          </cell>
          <cell r="AC265">
            <v>184.35141604799989</v>
          </cell>
          <cell r="AD265">
            <v>158</v>
          </cell>
          <cell r="AE265">
            <v>9999</v>
          </cell>
          <cell r="AF265">
            <v>19999</v>
          </cell>
        </row>
        <row r="266">
          <cell r="C266" t="str">
            <v>CFM-02</v>
          </cell>
          <cell r="D266" t="str">
            <v>HPC</v>
          </cell>
          <cell r="E266" t="str">
            <v>Electric Massagers</v>
          </cell>
          <cell r="F266">
            <v>7.4999999999999997E-2</v>
          </cell>
          <cell r="G266" t="str">
            <v>Complete Leg Massager</v>
          </cell>
          <cell r="H266">
            <v>90191020</v>
          </cell>
          <cell r="I266">
            <v>26.5</v>
          </cell>
          <cell r="J266">
            <v>0.38928652941176473</v>
          </cell>
          <cell r="K266">
            <v>33.799999999999997</v>
          </cell>
          <cell r="L266">
            <v>22.9</v>
          </cell>
          <cell r="M266">
            <v>17.100000000000001</v>
          </cell>
          <cell r="N266">
            <v>1.3235742E-2</v>
          </cell>
          <cell r="O266">
            <v>10</v>
          </cell>
          <cell r="P266">
            <v>2.9578215182352952</v>
          </cell>
          <cell r="Q266">
            <v>2844.24</v>
          </cell>
          <cell r="R266">
            <v>3169.7628746601181</v>
          </cell>
          <cell r="S266">
            <v>7.5</v>
          </cell>
          <cell r="T266">
            <v>51</v>
          </cell>
          <cell r="U266">
            <v>148</v>
          </cell>
          <cell r="V266">
            <v>20</v>
          </cell>
          <cell r="W266">
            <v>2</v>
          </cell>
          <cell r="X266">
            <v>5</v>
          </cell>
          <cell r="Y266">
            <v>2</v>
          </cell>
          <cell r="Z266">
            <v>5</v>
          </cell>
          <cell r="AA266">
            <v>915.10169491525357</v>
          </cell>
          <cell r="AB266">
            <v>158.4881437330059</v>
          </cell>
          <cell r="AC266">
            <v>95.092886239803533</v>
          </cell>
          <cell r="AD266">
            <v>158</v>
          </cell>
          <cell r="AE266">
            <v>5999</v>
          </cell>
          <cell r="AF266">
            <v>11999</v>
          </cell>
        </row>
        <row r="267">
          <cell r="C267" t="str">
            <v>AP-03</v>
          </cell>
          <cell r="D267" t="str">
            <v>Home &amp; Kitchen</v>
          </cell>
          <cell r="E267" t="str">
            <v>Air Purifier</v>
          </cell>
          <cell r="F267">
            <v>7.4999999999999997E-2</v>
          </cell>
          <cell r="G267" t="str">
            <v>NexLev Air Purifier Mini</v>
          </cell>
          <cell r="H267">
            <v>84213920</v>
          </cell>
          <cell r="I267">
            <v>17</v>
          </cell>
          <cell r="J267">
            <v>0.3468738823529412</v>
          </cell>
          <cell r="K267">
            <v>30.7</v>
          </cell>
          <cell r="L267">
            <v>19.600000000000001</v>
          </cell>
          <cell r="M267">
            <v>19.600000000000001</v>
          </cell>
          <cell r="N267">
            <v>1.1793712E-2</v>
          </cell>
          <cell r="O267">
            <v>8</v>
          </cell>
          <cell r="P267">
            <v>1.526524901647059</v>
          </cell>
          <cell r="Q267">
            <v>1698.61</v>
          </cell>
          <cell r="R267">
            <v>2004.3549508608</v>
          </cell>
          <cell r="S267">
            <v>7.5</v>
          </cell>
          <cell r="T267">
            <v>51</v>
          </cell>
          <cell r="U267">
            <v>148</v>
          </cell>
          <cell r="V267">
            <v>15</v>
          </cell>
          <cell r="W267">
            <v>2</v>
          </cell>
          <cell r="X267">
            <v>5</v>
          </cell>
          <cell r="Y267">
            <v>2</v>
          </cell>
          <cell r="Z267">
            <v>18</v>
          </cell>
          <cell r="AA267">
            <v>640.52542372881317</v>
          </cell>
          <cell r="AB267">
            <v>100.21774754304001</v>
          </cell>
          <cell r="AC267">
            <v>60.130648525823993</v>
          </cell>
          <cell r="AD267">
            <v>0</v>
          </cell>
          <cell r="AE267">
            <v>4199</v>
          </cell>
          <cell r="AF267">
            <v>7999</v>
          </cell>
        </row>
        <row r="268">
          <cell r="C268" t="str">
            <v>TM-05</v>
          </cell>
          <cell r="D268" t="str">
            <v>HPC</v>
          </cell>
          <cell r="E268" t="str">
            <v>Trimmers &amp; Body Groomers</v>
          </cell>
          <cell r="F268">
            <v>9.5000000000000001E-2</v>
          </cell>
          <cell r="G268" t="str">
            <v>Vacuum Trimmer</v>
          </cell>
          <cell r="H268">
            <v>85101000</v>
          </cell>
          <cell r="I268">
            <v>9</v>
          </cell>
          <cell r="J268">
            <v>8.0557852941176455E-2</v>
          </cell>
          <cell r="K268">
            <v>23.1</v>
          </cell>
          <cell r="L268">
            <v>16.7</v>
          </cell>
          <cell r="M268">
            <v>7.1</v>
          </cell>
          <cell r="N268">
            <v>2.7389670000000001E-3</v>
          </cell>
          <cell r="O268">
            <v>20</v>
          </cell>
          <cell r="P268">
            <v>1.997722727647059</v>
          </cell>
          <cell r="Q268">
            <v>997.05</v>
          </cell>
          <cell r="R268">
            <v>1176.51339765847</v>
          </cell>
          <cell r="S268">
            <v>9.5</v>
          </cell>
          <cell r="T268">
            <v>51</v>
          </cell>
          <cell r="U268">
            <v>77</v>
          </cell>
          <cell r="V268">
            <v>20</v>
          </cell>
          <cell r="W268">
            <v>2</v>
          </cell>
          <cell r="X268">
            <v>5</v>
          </cell>
          <cell r="Y268">
            <v>2</v>
          </cell>
          <cell r="Z268">
            <v>18</v>
          </cell>
          <cell r="AA268">
            <v>381.20338983050851</v>
          </cell>
          <cell r="AB268">
            <v>58.825669882923528</v>
          </cell>
          <cell r="AC268">
            <v>35.295401929754107</v>
          </cell>
          <cell r="AD268">
            <v>0</v>
          </cell>
          <cell r="AE268">
            <v>2999</v>
          </cell>
          <cell r="AF268">
            <v>3499</v>
          </cell>
        </row>
        <row r="269">
          <cell r="C269" t="str">
            <v>ETC-08-BL</v>
          </cell>
          <cell r="D269" t="str">
            <v>HPC</v>
          </cell>
          <cell r="E269" t="str">
            <v>Oral Care</v>
          </cell>
          <cell r="F269">
            <v>7.4999999999999997E-2</v>
          </cell>
          <cell r="G269" t="str">
            <v>Electric Toothbrush - Type C- Blue</v>
          </cell>
          <cell r="H269">
            <v>85098000</v>
          </cell>
          <cell r="I269">
            <v>3.09</v>
          </cell>
          <cell r="J269">
            <v>3.2071647058823531E-2</v>
          </cell>
          <cell r="K269">
            <v>24.4</v>
          </cell>
          <cell r="L269">
            <v>10.9</v>
          </cell>
          <cell r="M269">
            <v>4.0999999999999996</v>
          </cell>
          <cell r="N269">
            <v>1.090436E-3</v>
          </cell>
          <cell r="O269">
            <v>20</v>
          </cell>
          <cell r="P269">
            <v>0.68685576235294121</v>
          </cell>
          <cell r="Q269">
            <v>342.8</v>
          </cell>
          <cell r="R269">
            <v>404.50809087952939</v>
          </cell>
          <cell r="S269">
            <v>7.5</v>
          </cell>
          <cell r="T269">
            <v>26</v>
          </cell>
          <cell r="U269">
            <v>59.000000000000007</v>
          </cell>
          <cell r="V269">
            <v>20</v>
          </cell>
          <cell r="W269">
            <v>2</v>
          </cell>
          <cell r="X269">
            <v>5</v>
          </cell>
          <cell r="Y269">
            <v>2</v>
          </cell>
          <cell r="Z269">
            <v>18</v>
          </cell>
          <cell r="AA269">
            <v>112.72881355932201</v>
          </cell>
          <cell r="AB269">
            <v>20.22540454397647</v>
          </cell>
          <cell r="AC269">
            <v>12.135242726385879</v>
          </cell>
          <cell r="AD269">
            <v>0</v>
          </cell>
          <cell r="AE269">
            <v>739</v>
          </cell>
          <cell r="AF269">
            <v>1499</v>
          </cell>
        </row>
        <row r="270">
          <cell r="C270" t="str">
            <v>KE-03</v>
          </cell>
          <cell r="D270" t="str">
            <v>Home &amp; Kitchen</v>
          </cell>
          <cell r="E270" t="str">
            <v>Kitchen Appliances</v>
          </cell>
          <cell r="F270">
            <v>6.5000000000000002E-2</v>
          </cell>
          <cell r="G270" t="str">
            <v>NexLev Grand SS 1.8L Electric Kettle</v>
          </cell>
          <cell r="H270">
            <v>85167990</v>
          </cell>
          <cell r="I270">
            <v>0</v>
          </cell>
          <cell r="J270">
            <v>0.37254494117647052</v>
          </cell>
          <cell r="K270">
            <v>30.9</v>
          </cell>
          <cell r="L270">
            <v>24.4</v>
          </cell>
          <cell r="M270">
            <v>16.8</v>
          </cell>
          <cell r="N270">
            <v>1.2666528E-2</v>
          </cell>
          <cell r="O270">
            <v>20</v>
          </cell>
          <cell r="P270">
            <v>8.1959887058823525E-2</v>
          </cell>
          <cell r="Q270">
            <v>40.909999999999997</v>
          </cell>
          <cell r="R270">
            <v>324.5</v>
          </cell>
          <cell r="S270">
            <v>6.5</v>
          </cell>
          <cell r="T270">
            <v>26</v>
          </cell>
          <cell r="U270">
            <v>147</v>
          </cell>
          <cell r="V270">
            <v>15</v>
          </cell>
          <cell r="W270">
            <v>2</v>
          </cell>
          <cell r="X270">
            <v>5</v>
          </cell>
          <cell r="Y270">
            <v>2</v>
          </cell>
          <cell r="Z270">
            <v>18</v>
          </cell>
          <cell r="AA270">
            <v>91.372881355932179</v>
          </cell>
          <cell r="AB270">
            <v>16.225000000000001</v>
          </cell>
          <cell r="AC270">
            <v>9.7349999999999994</v>
          </cell>
          <cell r="AD270">
            <v>0</v>
          </cell>
          <cell r="AE270">
            <v>799</v>
          </cell>
          <cell r="AF270">
            <v>1499</v>
          </cell>
        </row>
        <row r="271">
          <cell r="C271" t="str">
            <v>MF-01</v>
          </cell>
          <cell r="D271" t="str">
            <v>Home &amp; Kitchen</v>
          </cell>
          <cell r="E271" t="str">
            <v>Kitchen Appliances</v>
          </cell>
          <cell r="F271">
            <v>0.125</v>
          </cell>
          <cell r="G271" t="str">
            <v>NexLev Delite Milk Frother</v>
          </cell>
          <cell r="H271">
            <v>85094090</v>
          </cell>
          <cell r="I271">
            <v>1.98</v>
          </cell>
          <cell r="J271">
            <v>3.2173500000000001E-2</v>
          </cell>
          <cell r="K271">
            <v>24.1</v>
          </cell>
          <cell r="L271">
            <v>8.9</v>
          </cell>
          <cell r="M271">
            <v>5.0999999999999996</v>
          </cell>
          <cell r="N271">
            <v>1.093899E-3</v>
          </cell>
          <cell r="O271">
            <v>20</v>
          </cell>
          <cell r="P271">
            <v>0.44267816999999998</v>
          </cell>
          <cell r="Q271">
            <v>220.94</v>
          </cell>
          <cell r="R271">
            <v>260.70524735399999</v>
          </cell>
          <cell r="S271">
            <v>12.5</v>
          </cell>
          <cell r="T271">
            <v>21</v>
          </cell>
          <cell r="U271">
            <v>59</v>
          </cell>
          <cell r="V271">
            <v>15</v>
          </cell>
          <cell r="W271">
            <v>2</v>
          </cell>
          <cell r="X271">
            <v>5</v>
          </cell>
          <cell r="Y271">
            <v>2</v>
          </cell>
          <cell r="Z271">
            <v>18</v>
          </cell>
          <cell r="AA271">
            <v>73.067796610169466</v>
          </cell>
          <cell r="AB271">
            <v>13.0352623677</v>
          </cell>
          <cell r="AC271">
            <v>7.8211574206199996</v>
          </cell>
          <cell r="AD271">
            <v>0</v>
          </cell>
          <cell r="AE271">
            <v>599</v>
          </cell>
          <cell r="AF271">
            <v>999</v>
          </cell>
        </row>
        <row r="272">
          <cell r="C272" t="str">
            <v>MC-01</v>
          </cell>
          <cell r="D272" t="str">
            <v>Home &amp; Kitchen</v>
          </cell>
          <cell r="E272" t="str">
            <v>Kitchen Appliances</v>
          </cell>
          <cell r="F272">
            <v>6.5000000000000002E-2</v>
          </cell>
          <cell r="G272" t="str">
            <v>NexLev ChopLite Electric Mini Chopper</v>
          </cell>
          <cell r="H272">
            <v>85094090</v>
          </cell>
          <cell r="I272">
            <v>2.2799999999999998</v>
          </cell>
          <cell r="J272">
            <v>3.4591911764705878E-2</v>
          </cell>
          <cell r="K272">
            <v>12.5</v>
          </cell>
          <cell r="L272">
            <v>9.6999999999999993</v>
          </cell>
          <cell r="M272">
            <v>9.6999999999999993</v>
          </cell>
          <cell r="N272">
            <v>1.1761250000000001E-3</v>
          </cell>
          <cell r="O272">
            <v>20</v>
          </cell>
          <cell r="P272">
            <v>0.50921022058823528</v>
          </cell>
          <cell r="Q272">
            <v>254.14</v>
          </cell>
          <cell r="R272">
            <v>299.88778645588229</v>
          </cell>
          <cell r="S272">
            <v>6.5</v>
          </cell>
          <cell r="T272">
            <v>26</v>
          </cell>
          <cell r="U272">
            <v>59.000000000000007</v>
          </cell>
          <cell r="V272">
            <v>15</v>
          </cell>
          <cell r="W272">
            <v>2</v>
          </cell>
          <cell r="X272">
            <v>5</v>
          </cell>
          <cell r="Y272">
            <v>2</v>
          </cell>
          <cell r="Z272">
            <v>18</v>
          </cell>
          <cell r="AA272">
            <v>85.271186440677923</v>
          </cell>
          <cell r="AB272">
            <v>14.99438932279411</v>
          </cell>
          <cell r="AC272">
            <v>8.996633593676469</v>
          </cell>
          <cell r="AD272">
            <v>0</v>
          </cell>
          <cell r="AE272">
            <v>559</v>
          </cell>
          <cell r="AF272">
            <v>1199</v>
          </cell>
        </row>
        <row r="273">
          <cell r="C273" t="str">
            <v>PB-01</v>
          </cell>
          <cell r="D273" t="str">
            <v>Home &amp; Kitchen</v>
          </cell>
          <cell r="E273" t="str">
            <v>Kitchen Appliances</v>
          </cell>
          <cell r="F273">
            <v>4.4999999999999998E-2</v>
          </cell>
          <cell r="G273" t="str">
            <v>NexLev TurboSip Portable Blender</v>
          </cell>
          <cell r="H273">
            <v>85094090</v>
          </cell>
          <cell r="I273">
            <v>9.9500000000000011</v>
          </cell>
          <cell r="J273">
            <v>0.13660235294117651</v>
          </cell>
          <cell r="K273">
            <v>32.799999999999997</v>
          </cell>
          <cell r="L273">
            <v>12</v>
          </cell>
          <cell r="M273">
            <v>11.8</v>
          </cell>
          <cell r="N273">
            <v>4.6444799999999986E-3</v>
          </cell>
          <cell r="O273">
            <v>20</v>
          </cell>
          <cell r="P273">
            <v>2.219052517647059</v>
          </cell>
          <cell r="Q273">
            <v>1107.51</v>
          </cell>
          <cell r="R273">
            <v>1306.8605472564709</v>
          </cell>
          <cell r="S273">
            <v>4.5</v>
          </cell>
          <cell r="T273">
            <v>51</v>
          </cell>
          <cell r="U273">
            <v>110</v>
          </cell>
          <cell r="V273">
            <v>15</v>
          </cell>
          <cell r="W273">
            <v>2</v>
          </cell>
          <cell r="X273">
            <v>5</v>
          </cell>
          <cell r="Y273">
            <v>2</v>
          </cell>
          <cell r="Z273">
            <v>18</v>
          </cell>
          <cell r="AA273">
            <v>365.94915254237281</v>
          </cell>
          <cell r="AB273">
            <v>65.343027362823548</v>
          </cell>
          <cell r="AC273">
            <v>39.205816417694123</v>
          </cell>
          <cell r="AD273">
            <v>0</v>
          </cell>
          <cell r="AE273">
            <v>2399</v>
          </cell>
          <cell r="AF273">
            <v>4999</v>
          </cell>
        </row>
        <row r="274">
          <cell r="C274" t="str">
            <v>LR-03</v>
          </cell>
          <cell r="D274" t="str">
            <v>Home &amp; Kitchen</v>
          </cell>
          <cell r="E274" t="str">
            <v>Fabric Care</v>
          </cell>
          <cell r="F274">
            <v>6.5000000000000002E-2</v>
          </cell>
          <cell r="G274" t="str">
            <v>NexLev Lint Remover - Battery Operated</v>
          </cell>
          <cell r="H274">
            <v>85167990</v>
          </cell>
          <cell r="I274">
            <v>1.2</v>
          </cell>
          <cell r="J274">
            <v>1.4122588235294119E-2</v>
          </cell>
          <cell r="K274">
            <v>11.7</v>
          </cell>
          <cell r="L274">
            <v>7.2</v>
          </cell>
          <cell r="M274">
            <v>5.7</v>
          </cell>
          <cell r="N274">
            <v>4.80168E-4</v>
          </cell>
          <cell r="O274">
            <v>20</v>
          </cell>
          <cell r="P274">
            <v>0.26710696941176482</v>
          </cell>
          <cell r="Q274">
            <v>133.31</v>
          </cell>
          <cell r="R274">
            <v>157.3065790221176</v>
          </cell>
          <cell r="S274">
            <v>6.5</v>
          </cell>
          <cell r="T274">
            <v>21</v>
          </cell>
          <cell r="U274">
            <v>59.000000000000007</v>
          </cell>
          <cell r="V274">
            <v>15</v>
          </cell>
          <cell r="W274">
            <v>2</v>
          </cell>
          <cell r="X274">
            <v>5</v>
          </cell>
          <cell r="Y274">
            <v>2</v>
          </cell>
          <cell r="Z274">
            <v>18</v>
          </cell>
          <cell r="AA274">
            <v>51.406779661016913</v>
          </cell>
          <cell r="AB274">
            <v>7.8653289511058819</v>
          </cell>
          <cell r="AC274">
            <v>4.7191973706635286</v>
          </cell>
          <cell r="AD274">
            <v>0</v>
          </cell>
          <cell r="AE274">
            <v>449</v>
          </cell>
          <cell r="AF274">
            <v>699</v>
          </cell>
        </row>
        <row r="275">
          <cell r="C275" t="str">
            <v>CFM-03</v>
          </cell>
          <cell r="D275" t="str">
            <v>HPC</v>
          </cell>
          <cell r="E275" t="str">
            <v>Electric Massagers</v>
          </cell>
          <cell r="F275">
            <v>7.4999999999999997E-2</v>
          </cell>
          <cell r="G275" t="str">
            <v>NexLev Calf Massager</v>
          </cell>
          <cell r="H275">
            <v>90191020</v>
          </cell>
          <cell r="I275">
            <v>16.399999999999999</v>
          </cell>
          <cell r="J275">
            <v>0.19996323529411761</v>
          </cell>
          <cell r="K275">
            <v>37</v>
          </cell>
          <cell r="L275">
            <v>17.5</v>
          </cell>
          <cell r="M275">
            <v>10.5</v>
          </cell>
          <cell r="N275">
            <v>6.7987500000000001E-3</v>
          </cell>
          <cell r="O275">
            <v>10</v>
          </cell>
          <cell r="P275">
            <v>1.8259959558823531</v>
          </cell>
          <cell r="Q275">
            <v>1658.34</v>
          </cell>
          <cell r="R275">
            <v>1956.836866102941</v>
          </cell>
          <cell r="S275">
            <v>7.5</v>
          </cell>
          <cell r="T275">
            <v>51</v>
          </cell>
          <cell r="U275">
            <v>115</v>
          </cell>
          <cell r="V275">
            <v>20</v>
          </cell>
          <cell r="W275">
            <v>2</v>
          </cell>
          <cell r="X275">
            <v>5</v>
          </cell>
          <cell r="Y275">
            <v>2</v>
          </cell>
          <cell r="Z275">
            <v>18</v>
          </cell>
          <cell r="AA275">
            <v>762.55932203389784</v>
          </cell>
          <cell r="AB275">
            <v>97.841843305147052</v>
          </cell>
          <cell r="AC275">
            <v>58.705105983088217</v>
          </cell>
          <cell r="AD275">
            <v>0</v>
          </cell>
          <cell r="AE275">
            <v>4999</v>
          </cell>
          <cell r="AF275">
            <v>7899</v>
          </cell>
        </row>
        <row r="276">
          <cell r="C276" t="str">
            <v>SP-01</v>
          </cell>
          <cell r="D276" t="str">
            <v>Home &amp; Kitchen</v>
          </cell>
          <cell r="E276" t="str">
            <v>Cleaning &amp; Vacumming</v>
          </cell>
          <cell r="F276">
            <v>0.125</v>
          </cell>
          <cell r="G276" t="str">
            <v>NexLev Spot Cleaner</v>
          </cell>
          <cell r="H276">
            <v>85098000</v>
          </cell>
          <cell r="I276">
            <v>38.200000000000003</v>
          </cell>
          <cell r="J276">
            <v>3.052632</v>
          </cell>
          <cell r="K276">
            <v>68.2</v>
          </cell>
          <cell r="L276">
            <v>37.299999999999997</v>
          </cell>
          <cell r="M276">
            <v>40.799999999999997</v>
          </cell>
          <cell r="N276">
            <v>0.103789488</v>
          </cell>
          <cell r="O276">
            <v>20</v>
          </cell>
          <cell r="P276">
            <v>9.0755790400000027</v>
          </cell>
          <cell r="Q276">
            <v>4529.54</v>
          </cell>
          <cell r="R276">
            <v>5344.856012448</v>
          </cell>
          <cell r="S276">
            <v>8.5</v>
          </cell>
          <cell r="T276">
            <v>51</v>
          </cell>
          <cell r="U276">
            <v>247</v>
          </cell>
          <cell r="V276">
            <v>15</v>
          </cell>
          <cell r="W276">
            <v>2</v>
          </cell>
          <cell r="X276">
            <v>5</v>
          </cell>
          <cell r="Y276">
            <v>2</v>
          </cell>
          <cell r="Z276">
            <v>18</v>
          </cell>
          <cell r="AA276">
            <v>1517.6440677966091</v>
          </cell>
          <cell r="AB276">
            <v>267.24280062240001</v>
          </cell>
          <cell r="AC276">
            <v>160.34568037343999</v>
          </cell>
          <cell r="AD276">
            <v>0</v>
          </cell>
          <cell r="AE276">
            <v>9949</v>
          </cell>
          <cell r="AF276">
            <v>17899</v>
          </cell>
        </row>
        <row r="277">
          <cell r="C277" t="str">
            <v>MR-03</v>
          </cell>
          <cell r="D277" t="str">
            <v>Home &amp; Kitchen</v>
          </cell>
          <cell r="E277" t="str">
            <v>Cleaning &amp; Vacumming</v>
          </cell>
          <cell r="F277">
            <v>0.125</v>
          </cell>
          <cell r="G277" t="str">
            <v>NexLev Mite Remover Pro</v>
          </cell>
          <cell r="H277">
            <v>85086000</v>
          </cell>
          <cell r="I277">
            <v>16.3</v>
          </cell>
          <cell r="J277">
            <v>0.67863529411764723</v>
          </cell>
          <cell r="K277">
            <v>35.200000000000003</v>
          </cell>
          <cell r="L277">
            <v>28.5</v>
          </cell>
          <cell r="M277">
            <v>23</v>
          </cell>
          <cell r="N277">
            <v>2.30736E-2</v>
          </cell>
          <cell r="O277">
            <v>10</v>
          </cell>
          <cell r="P277">
            <v>1.867649882352941</v>
          </cell>
          <cell r="Q277">
            <v>1696.17</v>
          </cell>
          <cell r="R277">
            <v>2001.475485741176</v>
          </cell>
          <cell r="S277">
            <v>12.5</v>
          </cell>
          <cell r="T277">
            <v>51</v>
          </cell>
          <cell r="U277">
            <v>93</v>
          </cell>
          <cell r="V277">
            <v>15</v>
          </cell>
          <cell r="W277">
            <v>2</v>
          </cell>
          <cell r="X277">
            <v>5</v>
          </cell>
          <cell r="Y277">
            <v>2</v>
          </cell>
          <cell r="Z277">
            <v>18</v>
          </cell>
          <cell r="AA277">
            <v>1006.627118644067</v>
          </cell>
          <cell r="AB277">
            <v>100.0737742870588</v>
          </cell>
          <cell r="AC277">
            <v>60.044264572235292</v>
          </cell>
          <cell r="AD277">
            <v>0</v>
          </cell>
          <cell r="AE277">
            <v>6599</v>
          </cell>
          <cell r="AF277">
            <v>9999</v>
          </cell>
        </row>
        <row r="278">
          <cell r="C278" t="str">
            <v>AP-04</v>
          </cell>
          <cell r="D278" t="str">
            <v>Home &amp; Kitchen</v>
          </cell>
          <cell r="E278" t="str">
            <v>Air Purifier</v>
          </cell>
          <cell r="F278">
            <v>8.5000000000000006E-2</v>
          </cell>
          <cell r="G278" t="str">
            <v>NexLev Air Purifier - AP180 Pro</v>
          </cell>
          <cell r="H278">
            <v>84213920</v>
          </cell>
          <cell r="I278">
            <v>24.75</v>
          </cell>
          <cell r="J278">
            <v>0.43143529411764708</v>
          </cell>
          <cell r="K278">
            <v>20</v>
          </cell>
          <cell r="L278">
            <v>19.100000000000001</v>
          </cell>
          <cell r="M278">
            <v>38.4</v>
          </cell>
          <cell r="N278">
            <v>1.4668799999999999E-2</v>
          </cell>
          <cell r="O278">
            <v>7.5</v>
          </cell>
          <cell r="P278">
            <v>2.077468411764706</v>
          </cell>
          <cell r="Q278">
            <v>2453.3000000000002</v>
          </cell>
          <cell r="R278">
            <v>2894.895573564706</v>
          </cell>
          <cell r="S278">
            <v>8.5</v>
          </cell>
          <cell r="T278">
            <v>51</v>
          </cell>
          <cell r="U278">
            <v>149</v>
          </cell>
          <cell r="V278">
            <v>15</v>
          </cell>
          <cell r="W278">
            <v>2</v>
          </cell>
          <cell r="X278">
            <v>5</v>
          </cell>
          <cell r="Y278">
            <v>2</v>
          </cell>
          <cell r="Z278">
            <v>18</v>
          </cell>
          <cell r="AA278">
            <v>976.11864406779659</v>
          </cell>
          <cell r="AB278">
            <v>144.74477867823529</v>
          </cell>
          <cell r="AC278">
            <v>86.846867206941155</v>
          </cell>
          <cell r="AD278">
            <v>0</v>
          </cell>
          <cell r="AE278">
            <v>6399</v>
          </cell>
          <cell r="AF278">
            <v>11099</v>
          </cell>
        </row>
        <row r="279">
          <cell r="C279" t="str">
            <v>CAP-05</v>
          </cell>
          <cell r="D279" t="str">
            <v>Home &amp; Kitchen</v>
          </cell>
          <cell r="E279" t="str">
            <v>Air Purifier</v>
          </cell>
          <cell r="F279">
            <v>7.4999999999999997E-2</v>
          </cell>
          <cell r="G279" t="str">
            <v xml:space="preserve">NexLev Car Air Purifier </v>
          </cell>
          <cell r="H279">
            <v>84213920</v>
          </cell>
          <cell r="I279">
            <v>10.98</v>
          </cell>
          <cell r="J279">
            <v>3.2941176470588231E-2</v>
          </cell>
          <cell r="K279">
            <v>7</v>
          </cell>
          <cell r="L279">
            <v>8</v>
          </cell>
          <cell r="M279">
            <v>20</v>
          </cell>
          <cell r="N279">
            <v>1.1199999999999999E-3</v>
          </cell>
          <cell r="O279">
            <v>7.5</v>
          </cell>
          <cell r="P279">
            <v>0.90856764705882342</v>
          </cell>
          <cell r="Q279">
            <v>1072.94</v>
          </cell>
          <cell r="R279">
            <v>1266.0642370588239</v>
          </cell>
          <cell r="S279">
            <v>7.5</v>
          </cell>
          <cell r="T279">
            <v>51</v>
          </cell>
          <cell r="U279">
            <v>42</v>
          </cell>
          <cell r="V279">
            <v>15</v>
          </cell>
          <cell r="W279">
            <v>2</v>
          </cell>
          <cell r="X279">
            <v>5</v>
          </cell>
          <cell r="Y279">
            <v>2</v>
          </cell>
          <cell r="Z279">
            <v>18</v>
          </cell>
          <cell r="AA279">
            <v>762.55932203389784</v>
          </cell>
          <cell r="AB279">
            <v>63.303211852941189</v>
          </cell>
          <cell r="AC279">
            <v>37.981927111764712</v>
          </cell>
          <cell r="AD279">
            <v>0</v>
          </cell>
          <cell r="AE279">
            <v>4999</v>
          </cell>
          <cell r="AF279">
            <v>4899</v>
          </cell>
        </row>
        <row r="280">
          <cell r="C280" t="str">
            <v>DH-01</v>
          </cell>
          <cell r="D280" t="str">
            <v>Home &amp; Kitchen</v>
          </cell>
          <cell r="E280" t="str">
            <v>Air Purifier</v>
          </cell>
          <cell r="F280">
            <v>7.4999999999999997E-2</v>
          </cell>
          <cell r="G280" t="str">
            <v>NexLev Dehumidifier - 1000ml</v>
          </cell>
          <cell r="H280">
            <v>84799090</v>
          </cell>
          <cell r="I280">
            <v>17</v>
          </cell>
          <cell r="J280">
            <v>0.37102941176470577</v>
          </cell>
          <cell r="K280">
            <v>29</v>
          </cell>
          <cell r="L280">
            <v>15</v>
          </cell>
          <cell r="M280">
            <v>29</v>
          </cell>
          <cell r="N280">
            <v>1.2614999999999999E-2</v>
          </cell>
          <cell r="O280">
            <v>7.5</v>
          </cell>
          <cell r="P280">
            <v>1.433109926470588</v>
          </cell>
          <cell r="Q280">
            <v>1692.37</v>
          </cell>
          <cell r="R280">
            <v>1996.9995977205881</v>
          </cell>
          <cell r="S280">
            <v>7.5</v>
          </cell>
          <cell r="T280">
            <v>65</v>
          </cell>
          <cell r="U280">
            <v>93</v>
          </cell>
          <cell r="V280">
            <v>15</v>
          </cell>
          <cell r="W280">
            <v>2</v>
          </cell>
          <cell r="X280">
            <v>5</v>
          </cell>
          <cell r="Y280">
            <v>2</v>
          </cell>
          <cell r="Z280">
            <v>18</v>
          </cell>
          <cell r="AA280">
            <v>762.55932203389784</v>
          </cell>
          <cell r="AB280">
            <v>99.849979886029416</v>
          </cell>
          <cell r="AC280">
            <v>59.90998793161765</v>
          </cell>
          <cell r="AD280">
            <v>0</v>
          </cell>
          <cell r="AE280">
            <v>4999</v>
          </cell>
          <cell r="AF280">
            <v>7599</v>
          </cell>
        </row>
        <row r="281">
          <cell r="C281" t="str">
            <v>ST-02</v>
          </cell>
          <cell r="D281" t="str">
            <v>Kitchen Appliances</v>
          </cell>
          <cell r="E281" t="str">
            <v>Stand Mixer</v>
          </cell>
          <cell r="F281">
            <v>0.08</v>
          </cell>
          <cell r="G281" t="str">
            <v>NexLev Stand Mixer - 6.2L</v>
          </cell>
          <cell r="H281">
            <v>85094090</v>
          </cell>
          <cell r="I281">
            <v>45</v>
          </cell>
          <cell r="J281">
            <v>1.019808794117647</v>
          </cell>
          <cell r="K281">
            <v>39.9</v>
          </cell>
          <cell r="L281">
            <v>24.9</v>
          </cell>
          <cell r="M281">
            <v>34.9</v>
          </cell>
          <cell r="N281">
            <v>3.4673499000000003E-2</v>
          </cell>
          <cell r="O281">
            <v>20</v>
          </cell>
          <cell r="P281">
            <v>10.124357934705881</v>
          </cell>
          <cell r="Q281">
            <v>5052.9799999999996</v>
          </cell>
          <cell r="R281">
            <v>5962.5105066010583</v>
          </cell>
          <cell r="S281">
            <v>8</v>
          </cell>
          <cell r="T281">
            <v>51</v>
          </cell>
          <cell r="U281">
            <v>219</v>
          </cell>
          <cell r="V281">
            <v>15</v>
          </cell>
          <cell r="W281">
            <v>2</v>
          </cell>
          <cell r="X281">
            <v>5</v>
          </cell>
          <cell r="Y281">
            <v>2</v>
          </cell>
          <cell r="Z281">
            <v>18</v>
          </cell>
          <cell r="AA281">
            <v>762.55932203389784</v>
          </cell>
          <cell r="AB281">
            <v>298.12552533005288</v>
          </cell>
          <cell r="AC281">
            <v>178.8753151980317</v>
          </cell>
          <cell r="AD281">
            <v>0</v>
          </cell>
          <cell r="AE281">
            <v>8199</v>
          </cell>
          <cell r="AF281">
            <v>23799</v>
          </cell>
        </row>
        <row r="282">
          <cell r="C282" t="str">
            <v>ST-03</v>
          </cell>
          <cell r="D282" t="str">
            <v>Kitchen Appliances</v>
          </cell>
          <cell r="E282" t="str">
            <v>Stand Mixer</v>
          </cell>
          <cell r="F282">
            <v>0.08</v>
          </cell>
          <cell r="G282" t="str">
            <v>NexLev Stand Mixer - 8L</v>
          </cell>
          <cell r="H282">
            <v>85094090</v>
          </cell>
          <cell r="I282">
            <v>51.5</v>
          </cell>
          <cell r="J282">
            <v>0.90948000000000018</v>
          </cell>
          <cell r="K282">
            <v>42.4</v>
          </cell>
          <cell r="L282">
            <v>25.5</v>
          </cell>
          <cell r="M282">
            <v>28.6</v>
          </cell>
          <cell r="N282">
            <v>3.092232E-2</v>
          </cell>
          <cell r="O282">
            <v>20</v>
          </cell>
          <cell r="P282">
            <v>11.5300856</v>
          </cell>
          <cell r="Q282">
            <v>5754.56</v>
          </cell>
          <cell r="R282">
            <v>6790.3818667199994</v>
          </cell>
          <cell r="S282">
            <v>8</v>
          </cell>
          <cell r="T282">
            <v>51</v>
          </cell>
          <cell r="U282">
            <v>205</v>
          </cell>
          <cell r="V282">
            <v>15</v>
          </cell>
          <cell r="W282">
            <v>2</v>
          </cell>
          <cell r="X282">
            <v>5</v>
          </cell>
          <cell r="Y282">
            <v>2</v>
          </cell>
          <cell r="Z282">
            <v>18</v>
          </cell>
          <cell r="AA282">
            <v>1250.694915254237</v>
          </cell>
          <cell r="AB282">
            <v>339.51909333600003</v>
          </cell>
          <cell r="AC282">
            <v>203.7114560016</v>
          </cell>
          <cell r="AD282">
            <v>0</v>
          </cell>
          <cell r="AE282">
            <v>10999</v>
          </cell>
          <cell r="AF282">
            <v>27229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udio Array"/>
      <sheetName val="NexLev"/>
    </sheetNames>
    <sheetDataSet>
      <sheetData sheetId="0">
        <row r="1">
          <cell r="C1" t="str">
            <v>Model</v>
          </cell>
          <cell r="D1" t="str">
            <v>MRP</v>
          </cell>
        </row>
        <row r="2">
          <cell r="C2" t="str">
            <v>AM-C33</v>
          </cell>
          <cell r="D2">
            <v>1599</v>
          </cell>
        </row>
        <row r="3">
          <cell r="C3" t="str">
            <v>AI-04 Red</v>
          </cell>
          <cell r="D3">
            <v>9999</v>
          </cell>
        </row>
        <row r="4">
          <cell r="C4" t="str">
            <v>AM-W12</v>
          </cell>
          <cell r="D4">
            <v>11999</v>
          </cell>
        </row>
        <row r="5">
          <cell r="C5" t="str">
            <v>AM-C16</v>
          </cell>
          <cell r="D5">
            <v>1299</v>
          </cell>
        </row>
        <row r="6">
          <cell r="C6" t="str">
            <v>AM-W14</v>
          </cell>
          <cell r="D6">
            <v>12999</v>
          </cell>
        </row>
        <row r="7">
          <cell r="C7" t="str">
            <v>AA-05</v>
          </cell>
          <cell r="D7">
            <v>1999</v>
          </cell>
        </row>
        <row r="8">
          <cell r="C8" t="str">
            <v>AM-C20</v>
          </cell>
          <cell r="D8">
            <v>3999</v>
          </cell>
        </row>
        <row r="9">
          <cell r="C9" t="str">
            <v>AM-C27</v>
          </cell>
          <cell r="D9">
            <v>3299</v>
          </cell>
        </row>
        <row r="10">
          <cell r="C10" t="str">
            <v>AI-04 Black</v>
          </cell>
          <cell r="D10">
            <v>9999</v>
          </cell>
        </row>
        <row r="11">
          <cell r="C11" t="str">
            <v>AA-09</v>
          </cell>
          <cell r="D11">
            <v>6399</v>
          </cell>
        </row>
        <row r="12">
          <cell r="C12" t="str">
            <v>AA-10</v>
          </cell>
          <cell r="D12">
            <v>7399</v>
          </cell>
        </row>
        <row r="13">
          <cell r="C13" t="str">
            <v>AM-W13</v>
          </cell>
          <cell r="D13">
            <v>5499</v>
          </cell>
        </row>
        <row r="14">
          <cell r="C14" t="str">
            <v>AM-C17</v>
          </cell>
          <cell r="D14">
            <v>1699</v>
          </cell>
        </row>
        <row r="15">
          <cell r="C15" t="str">
            <v>AM-C18</v>
          </cell>
          <cell r="D15">
            <v>7799</v>
          </cell>
        </row>
        <row r="16">
          <cell r="C16" t="str">
            <v>AM-C19</v>
          </cell>
          <cell r="D16">
            <v>5199</v>
          </cell>
        </row>
        <row r="17">
          <cell r="C17" t="str">
            <v>AM-C22</v>
          </cell>
          <cell r="D17">
            <v>5299</v>
          </cell>
        </row>
        <row r="18">
          <cell r="C18" t="str">
            <v>AM-C23</v>
          </cell>
          <cell r="D18">
            <v>5799</v>
          </cell>
        </row>
        <row r="19">
          <cell r="C19" t="str">
            <v>AM-C24</v>
          </cell>
          <cell r="D19">
            <v>5399</v>
          </cell>
        </row>
        <row r="20">
          <cell r="C20" t="str">
            <v>AM-C25</v>
          </cell>
          <cell r="D20">
            <v>6699</v>
          </cell>
        </row>
        <row r="21">
          <cell r="C21" t="str">
            <v>AM-C26</v>
          </cell>
          <cell r="D21">
            <v>6499</v>
          </cell>
        </row>
        <row r="22">
          <cell r="C22" t="str">
            <v>AA-08</v>
          </cell>
          <cell r="D22">
            <v>5699</v>
          </cell>
        </row>
        <row r="23">
          <cell r="C23" t="str">
            <v>AM-C34</v>
          </cell>
          <cell r="D23">
            <v>1599</v>
          </cell>
        </row>
        <row r="24">
          <cell r="C24" t="str">
            <v>AM-C36</v>
          </cell>
          <cell r="D24">
            <v>1999</v>
          </cell>
        </row>
        <row r="25">
          <cell r="C25" t="str">
            <v>AM-C36</v>
          </cell>
          <cell r="D25">
            <v>1999</v>
          </cell>
        </row>
        <row r="26">
          <cell r="C26" t="str">
            <v>AM-C35</v>
          </cell>
          <cell r="D26">
            <v>1799</v>
          </cell>
        </row>
        <row r="27">
          <cell r="C27" t="str">
            <v>AM-C31</v>
          </cell>
          <cell r="D27">
            <v>10999</v>
          </cell>
        </row>
        <row r="28">
          <cell r="C28" t="str">
            <v>AA-15</v>
          </cell>
          <cell r="D28">
            <v>9999</v>
          </cell>
        </row>
        <row r="29">
          <cell r="C29" t="str">
            <v>AA-02</v>
          </cell>
          <cell r="D29">
            <v>5999</v>
          </cell>
        </row>
        <row r="30">
          <cell r="C30" t="str">
            <v>AM-K2</v>
          </cell>
          <cell r="D30">
            <v>24999</v>
          </cell>
        </row>
        <row r="31">
          <cell r="C31" t="str">
            <v>AM-K3</v>
          </cell>
          <cell r="D31">
            <v>29999</v>
          </cell>
        </row>
        <row r="32">
          <cell r="C32" t="str">
            <v>AM-A1</v>
          </cell>
          <cell r="D32">
            <v>5999</v>
          </cell>
        </row>
        <row r="33">
          <cell r="C33" t="str">
            <v>AM-C37</v>
          </cell>
          <cell r="D33">
            <v>9399</v>
          </cell>
        </row>
        <row r="34">
          <cell r="C34" t="str">
            <v>AM-C38</v>
          </cell>
          <cell r="D34">
            <v>4399</v>
          </cell>
        </row>
        <row r="35">
          <cell r="C35" t="str">
            <v>AI-02 (Grey)</v>
          </cell>
          <cell r="D35">
            <v>12499</v>
          </cell>
        </row>
        <row r="36">
          <cell r="C36" t="str">
            <v>AM-C30</v>
          </cell>
          <cell r="D36">
            <v>8999</v>
          </cell>
        </row>
        <row r="37">
          <cell r="C37" t="str">
            <v>AM-C32</v>
          </cell>
          <cell r="D37">
            <v>7499</v>
          </cell>
        </row>
        <row r="38">
          <cell r="C38" t="str">
            <v>AM-W15</v>
          </cell>
          <cell r="D38">
            <v>34999</v>
          </cell>
        </row>
        <row r="39">
          <cell r="C39" t="str">
            <v>AM-S1 - Old</v>
          </cell>
          <cell r="D39">
            <v>17999</v>
          </cell>
        </row>
        <row r="40">
          <cell r="C40" t="str">
            <v>AM-C2</v>
          </cell>
          <cell r="D40">
            <v>8999</v>
          </cell>
        </row>
        <row r="41">
          <cell r="C41" t="str">
            <v>AM-C7</v>
          </cell>
          <cell r="D41">
            <v>6999</v>
          </cell>
        </row>
        <row r="42">
          <cell r="C42" t="str">
            <v>AM-C9</v>
          </cell>
          <cell r="D42">
            <v>9999</v>
          </cell>
        </row>
        <row r="43">
          <cell r="C43" t="str">
            <v>AA-01</v>
          </cell>
          <cell r="D43">
            <v>4999</v>
          </cell>
        </row>
        <row r="44">
          <cell r="C44" t="str">
            <v>AA-03</v>
          </cell>
          <cell r="D44">
            <v>1499</v>
          </cell>
        </row>
        <row r="45">
          <cell r="C45" t="str">
            <v>AA-04</v>
          </cell>
          <cell r="D45">
            <v>2999</v>
          </cell>
        </row>
        <row r="46">
          <cell r="C46" t="str">
            <v>AA-06</v>
          </cell>
          <cell r="D46">
            <v>2999</v>
          </cell>
        </row>
        <row r="47">
          <cell r="C47" t="str">
            <v>AM-C12</v>
          </cell>
          <cell r="D47">
            <v>2999</v>
          </cell>
        </row>
        <row r="48">
          <cell r="C48" t="str">
            <v>AM-C15</v>
          </cell>
          <cell r="D48">
            <v>5399</v>
          </cell>
        </row>
        <row r="49">
          <cell r="C49" t="str">
            <v>AM-C21</v>
          </cell>
          <cell r="D49">
            <v>5199</v>
          </cell>
        </row>
        <row r="50">
          <cell r="C50" t="str">
            <v>AI-01</v>
          </cell>
          <cell r="D50">
            <v>8399</v>
          </cell>
        </row>
        <row r="51">
          <cell r="C51" t="str">
            <v>AA-07</v>
          </cell>
          <cell r="D51">
            <v>4699</v>
          </cell>
        </row>
        <row r="52">
          <cell r="C52" t="str">
            <v>AA-11</v>
          </cell>
          <cell r="D52">
            <v>4999</v>
          </cell>
        </row>
        <row r="53">
          <cell r="C53" t="str">
            <v>AA-12</v>
          </cell>
          <cell r="D53">
            <v>5399</v>
          </cell>
        </row>
        <row r="54">
          <cell r="C54" t="str">
            <v>AA-13</v>
          </cell>
          <cell r="D54">
            <v>3999</v>
          </cell>
        </row>
        <row r="55">
          <cell r="C55" t="str">
            <v>AA-14</v>
          </cell>
          <cell r="D55">
            <v>4299</v>
          </cell>
        </row>
        <row r="56">
          <cell r="C56" t="str">
            <v>AM-K1</v>
          </cell>
          <cell r="D56">
            <v>19999</v>
          </cell>
        </row>
        <row r="57">
          <cell r="C57" t="str">
            <v>AM-C28</v>
          </cell>
          <cell r="D57">
            <v>3399</v>
          </cell>
        </row>
        <row r="58">
          <cell r="C58" t="str">
            <v>AM-C29</v>
          </cell>
          <cell r="D58">
            <v>9999</v>
          </cell>
        </row>
        <row r="59">
          <cell r="C59" t="str">
            <v>AM-C1</v>
          </cell>
          <cell r="D59">
            <v>4999</v>
          </cell>
        </row>
        <row r="60">
          <cell r="C60" t="str">
            <v>AM-C3</v>
          </cell>
          <cell r="D60">
            <v>2999</v>
          </cell>
        </row>
        <row r="61">
          <cell r="C61" t="str">
            <v>AM-C4</v>
          </cell>
          <cell r="D61">
            <v>5999</v>
          </cell>
        </row>
        <row r="62">
          <cell r="C62" t="str">
            <v>AM-C5</v>
          </cell>
          <cell r="D62">
            <v>5999</v>
          </cell>
        </row>
        <row r="63">
          <cell r="C63" t="str">
            <v>AM-C6</v>
          </cell>
          <cell r="D63">
            <v>5999</v>
          </cell>
        </row>
        <row r="64">
          <cell r="C64" t="str">
            <v>AM-C8</v>
          </cell>
          <cell r="D64">
            <v>9999</v>
          </cell>
        </row>
        <row r="65">
          <cell r="C65" t="str">
            <v>AM-C10</v>
          </cell>
          <cell r="D65">
            <v>6999</v>
          </cell>
        </row>
        <row r="66">
          <cell r="C66" t="str">
            <v>AM-C11</v>
          </cell>
          <cell r="D66">
            <v>10999</v>
          </cell>
        </row>
        <row r="67">
          <cell r="C67" t="str">
            <v>AM-W10</v>
          </cell>
          <cell r="D67">
            <v>20999</v>
          </cell>
        </row>
        <row r="68">
          <cell r="C68" t="str">
            <v>AM-W11</v>
          </cell>
          <cell r="D68">
            <v>9999</v>
          </cell>
        </row>
        <row r="69">
          <cell r="C69" t="str">
            <v>AM-C14</v>
          </cell>
          <cell r="D69">
            <v>3599</v>
          </cell>
        </row>
        <row r="70">
          <cell r="C70" t="str">
            <v>AI-03</v>
          </cell>
          <cell r="D70">
            <v>10999</v>
          </cell>
        </row>
        <row r="71">
          <cell r="C71" t="str">
            <v>AM-W38</v>
          </cell>
          <cell r="D71">
            <v>8999</v>
          </cell>
        </row>
        <row r="72">
          <cell r="C72" t="str">
            <v>AM-W39</v>
          </cell>
          <cell r="D72" t="e">
            <v>#N/A</v>
          </cell>
        </row>
        <row r="73">
          <cell r="C73" t="str">
            <v>AM-W40</v>
          </cell>
          <cell r="D73" t="e">
            <v>#N/A</v>
          </cell>
        </row>
        <row r="74">
          <cell r="C74" t="str">
            <v>AM-W41</v>
          </cell>
          <cell r="D74" t="e">
            <v>#N/A</v>
          </cell>
        </row>
        <row r="75">
          <cell r="C75" t="str">
            <v>AM-W42</v>
          </cell>
          <cell r="D75">
            <v>8999</v>
          </cell>
        </row>
        <row r="76">
          <cell r="C76" t="str">
            <v>AM-W43</v>
          </cell>
          <cell r="D76" t="e">
            <v>#N/A</v>
          </cell>
        </row>
        <row r="77">
          <cell r="C77" t="str">
            <v>AM-W44</v>
          </cell>
          <cell r="D77">
            <v>11299</v>
          </cell>
        </row>
        <row r="78">
          <cell r="C78" t="str">
            <v>AM-C11X</v>
          </cell>
          <cell r="D78">
            <v>7599</v>
          </cell>
        </row>
        <row r="79">
          <cell r="C79" t="str">
            <v>AM-C39</v>
          </cell>
          <cell r="D79">
            <v>3999</v>
          </cell>
        </row>
        <row r="80">
          <cell r="C80" t="str">
            <v>AM-C39</v>
          </cell>
          <cell r="D80">
            <v>3999</v>
          </cell>
        </row>
        <row r="81">
          <cell r="C81" t="str">
            <v>AB-01</v>
          </cell>
          <cell r="D81">
            <v>13999</v>
          </cell>
        </row>
        <row r="82">
          <cell r="C82" t="str">
            <v>AA-16</v>
          </cell>
          <cell r="D82">
            <v>8999</v>
          </cell>
        </row>
        <row r="83">
          <cell r="C83" t="str">
            <v>AA-17</v>
          </cell>
          <cell r="D83">
            <v>7399</v>
          </cell>
        </row>
        <row r="84">
          <cell r="C84" t="str">
            <v>AA-18</v>
          </cell>
          <cell r="D84">
            <v>7399</v>
          </cell>
        </row>
        <row r="85">
          <cell r="C85" t="str">
            <v>AA-19</v>
          </cell>
          <cell r="D85">
            <v>8799</v>
          </cell>
        </row>
        <row r="86">
          <cell r="C86" t="str">
            <v>AA-20</v>
          </cell>
          <cell r="D86">
            <v>4999</v>
          </cell>
        </row>
        <row r="87">
          <cell r="C87" t="str">
            <v>AA-21</v>
          </cell>
          <cell r="D87">
            <v>7399</v>
          </cell>
        </row>
        <row r="88">
          <cell r="C88" t="str">
            <v>AA-22</v>
          </cell>
          <cell r="D88">
            <v>7399</v>
          </cell>
        </row>
        <row r="89">
          <cell r="C89" t="str">
            <v>AA-23</v>
          </cell>
          <cell r="D89">
            <v>12999</v>
          </cell>
        </row>
        <row r="90">
          <cell r="C90" t="str">
            <v>AA-24</v>
          </cell>
          <cell r="D90">
            <v>14999</v>
          </cell>
        </row>
        <row r="91">
          <cell r="C91" t="str">
            <v>AI-05</v>
          </cell>
          <cell r="D91">
            <v>19999</v>
          </cell>
        </row>
        <row r="92">
          <cell r="C92" t="str">
            <v>AM-W45</v>
          </cell>
          <cell r="D92">
            <v>9999</v>
          </cell>
        </row>
        <row r="93">
          <cell r="C93" t="str">
            <v>AK-S1</v>
          </cell>
          <cell r="D93">
            <v>39999</v>
          </cell>
        </row>
        <row r="94">
          <cell r="C94" t="str">
            <v>AK-S2</v>
          </cell>
          <cell r="D94">
            <v>39999</v>
          </cell>
        </row>
        <row r="95">
          <cell r="C95" t="str">
            <v>AI-06</v>
          </cell>
          <cell r="D95">
            <v>9999</v>
          </cell>
        </row>
        <row r="96">
          <cell r="C96" t="str">
            <v>AM-C41</v>
          </cell>
          <cell r="D96">
            <v>3999</v>
          </cell>
        </row>
        <row r="97">
          <cell r="C97" t="str">
            <v>AM-C42</v>
          </cell>
          <cell r="D97">
            <v>5999</v>
          </cell>
        </row>
        <row r="98">
          <cell r="C98" t="str">
            <v>AM-C43</v>
          </cell>
          <cell r="D98">
            <v>5999</v>
          </cell>
        </row>
        <row r="99">
          <cell r="C99" t="str">
            <v>AI-07</v>
          </cell>
          <cell r="D99">
            <v>5599</v>
          </cell>
        </row>
        <row r="100">
          <cell r="C100" t="str">
            <v>AI-08</v>
          </cell>
          <cell r="D100">
            <v>5599</v>
          </cell>
        </row>
        <row r="101">
          <cell r="C101" t="str">
            <v>AI-09</v>
          </cell>
          <cell r="D101">
            <v>14299</v>
          </cell>
        </row>
        <row r="102">
          <cell r="C102" t="str">
            <v>AM-C3a</v>
          </cell>
          <cell r="D102">
            <v>1999</v>
          </cell>
        </row>
        <row r="103">
          <cell r="C103" t="str">
            <v>AC-6XL</v>
          </cell>
          <cell r="D103">
            <v>999</v>
          </cell>
        </row>
        <row r="104">
          <cell r="C104" t="str">
            <v>AA-25</v>
          </cell>
          <cell r="D104">
            <v>1799</v>
          </cell>
        </row>
        <row r="105">
          <cell r="C105" t="str">
            <v>AA-25M</v>
          </cell>
          <cell r="D105">
            <v>1799</v>
          </cell>
        </row>
        <row r="106">
          <cell r="C106" t="str">
            <v>AI-02 (Red)</v>
          </cell>
          <cell r="D106">
            <v>12499</v>
          </cell>
        </row>
        <row r="107">
          <cell r="C107" t="str">
            <v>AI-10</v>
          </cell>
          <cell r="D107">
            <v>6999</v>
          </cell>
        </row>
        <row r="108">
          <cell r="C108" t="str">
            <v>AI-11</v>
          </cell>
          <cell r="D108">
            <v>4999</v>
          </cell>
        </row>
        <row r="109">
          <cell r="C109" t="str">
            <v>AI-12</v>
          </cell>
          <cell r="D109">
            <v>3999</v>
          </cell>
        </row>
        <row r="110">
          <cell r="C110" t="str">
            <v>AM-C44</v>
          </cell>
          <cell r="D110">
            <v>10999</v>
          </cell>
        </row>
        <row r="111">
          <cell r="C111" t="str">
            <v>AM-W16</v>
          </cell>
          <cell r="D111">
            <v>7999</v>
          </cell>
        </row>
        <row r="112">
          <cell r="C112" t="str">
            <v>AM-W17</v>
          </cell>
          <cell r="D112">
            <v>4999</v>
          </cell>
        </row>
        <row r="113">
          <cell r="C113" t="str">
            <v>AM-W18</v>
          </cell>
          <cell r="D113">
            <v>2999</v>
          </cell>
        </row>
        <row r="114">
          <cell r="C114" t="str">
            <v>AB-02 (AI-04 Red + AM-C2)</v>
          </cell>
          <cell r="D114">
            <v>18998</v>
          </cell>
        </row>
        <row r="115">
          <cell r="C115" t="str">
            <v>AB-03 (AM-C11+ AI-04 + AA-05)</v>
          </cell>
          <cell r="D115">
            <v>22997</v>
          </cell>
        </row>
        <row r="116">
          <cell r="C116" t="str">
            <v>AB-04 (2xAM-C2 + AI-04 Red)</v>
          </cell>
          <cell r="D116">
            <v>27997</v>
          </cell>
        </row>
        <row r="117">
          <cell r="C117" t="str">
            <v>AB-05 (2xAM-C11+AI-04Red+2xAA-05)</v>
          </cell>
          <cell r="D117">
            <v>35995</v>
          </cell>
        </row>
        <row r="118">
          <cell r="C118" t="str">
            <v>AM-W46</v>
          </cell>
          <cell r="D118">
            <v>12999</v>
          </cell>
        </row>
        <row r="119">
          <cell r="C119" t="str">
            <v>AA-19BL</v>
          </cell>
          <cell r="D119">
            <v>9999</v>
          </cell>
        </row>
        <row r="120">
          <cell r="C120" t="str">
            <v>AA-19WL</v>
          </cell>
          <cell r="D120">
            <v>9999</v>
          </cell>
        </row>
        <row r="121">
          <cell r="C121" t="str">
            <v>AM-C45</v>
          </cell>
          <cell r="D121">
            <v>7499</v>
          </cell>
        </row>
        <row r="122">
          <cell r="C122" t="str">
            <v>AM-C46</v>
          </cell>
          <cell r="D122">
            <v>7999</v>
          </cell>
        </row>
        <row r="123">
          <cell r="C123" t="str">
            <v>AWB-01</v>
          </cell>
          <cell r="D123">
            <v>19999</v>
          </cell>
        </row>
        <row r="124">
          <cell r="C124" t="str">
            <v>AM-W20</v>
          </cell>
          <cell r="D124">
            <v>7499</v>
          </cell>
        </row>
        <row r="125">
          <cell r="C125" t="str">
            <v>AM-W32</v>
          </cell>
          <cell r="D125">
            <v>6999</v>
          </cell>
        </row>
        <row r="126">
          <cell r="C126" t="str">
            <v>AM-W33</v>
          </cell>
          <cell r="D126">
            <v>3299</v>
          </cell>
        </row>
        <row r="127">
          <cell r="C127" t="str">
            <v>AM-W34</v>
          </cell>
          <cell r="D127">
            <v>7499</v>
          </cell>
        </row>
        <row r="128">
          <cell r="C128" t="str">
            <v>AM-W35</v>
          </cell>
          <cell r="D128">
            <v>6499</v>
          </cell>
        </row>
        <row r="129">
          <cell r="C129" t="str">
            <v>AM-W36</v>
          </cell>
          <cell r="D129">
            <v>9999</v>
          </cell>
        </row>
        <row r="130">
          <cell r="C130" t="str">
            <v>AM-W21</v>
          </cell>
          <cell r="D130">
            <v>7999</v>
          </cell>
        </row>
        <row r="131">
          <cell r="C131" t="str">
            <v>AM-S1</v>
          </cell>
          <cell r="D131">
            <v>12999</v>
          </cell>
        </row>
        <row r="132">
          <cell r="C132" t="str">
            <v>AM-S1 Bookshelf Speaker</v>
          </cell>
          <cell r="D132">
            <v>12999</v>
          </cell>
        </row>
        <row r="133">
          <cell r="C133" t="str">
            <v>AM-C45 Pro</v>
          </cell>
          <cell r="D133">
            <v>8999</v>
          </cell>
        </row>
        <row r="134">
          <cell r="C134" t="str">
            <v>AM-C11 Pro</v>
          </cell>
          <cell r="D134">
            <v>9999</v>
          </cell>
        </row>
        <row r="135">
          <cell r="C135" t="str">
            <v>AM-C44 Pro</v>
          </cell>
          <cell r="D135">
            <v>9499</v>
          </cell>
        </row>
        <row r="136">
          <cell r="C136" t="str">
            <v>AA-26</v>
          </cell>
          <cell r="D136">
            <v>899</v>
          </cell>
        </row>
        <row r="137">
          <cell r="C137" t="str">
            <v>SB-01</v>
          </cell>
          <cell r="D137">
            <v>2299</v>
          </cell>
        </row>
        <row r="138">
          <cell r="C138" t="str">
            <v>AM-C47</v>
          </cell>
          <cell r="D138">
            <v>4999</v>
          </cell>
        </row>
        <row r="139">
          <cell r="C139" t="str">
            <v>AH-50</v>
          </cell>
          <cell r="D139">
            <v>3499</v>
          </cell>
        </row>
        <row r="140">
          <cell r="C140" t="str">
            <v>AH-50 Ear Cushion</v>
          </cell>
          <cell r="D140">
            <v>799</v>
          </cell>
        </row>
        <row r="141">
          <cell r="C141" t="str">
            <v>AM-W19</v>
          </cell>
          <cell r="D141">
            <v>3999</v>
          </cell>
        </row>
        <row r="142">
          <cell r="C142" t="str">
            <v>AM-W22</v>
          </cell>
          <cell r="D142">
            <v>6499</v>
          </cell>
        </row>
        <row r="143">
          <cell r="C143" t="str">
            <v>AC-3XL</v>
          </cell>
          <cell r="D143">
            <v>749</v>
          </cell>
        </row>
        <row r="144">
          <cell r="C144" t="str">
            <v>AH-40 SL</v>
          </cell>
          <cell r="D144">
            <v>1999</v>
          </cell>
        </row>
        <row r="145">
          <cell r="C145" t="str">
            <v>AH-45 BK</v>
          </cell>
          <cell r="D145">
            <v>2499</v>
          </cell>
        </row>
        <row r="146">
          <cell r="C146" t="str">
            <v>AH-60 RD</v>
          </cell>
          <cell r="D146">
            <v>3499</v>
          </cell>
        </row>
        <row r="147">
          <cell r="C147" t="str">
            <v>AH-60 BL</v>
          </cell>
          <cell r="D147">
            <v>3499</v>
          </cell>
        </row>
        <row r="148">
          <cell r="C148" t="str">
            <v>AM-C48</v>
          </cell>
          <cell r="D148">
            <v>5999</v>
          </cell>
        </row>
        <row r="149">
          <cell r="C149" t="str">
            <v>Ultimate Studio Bundle</v>
          </cell>
          <cell r="D149" t="str">
            <v>₹ 32,299.00</v>
          </cell>
        </row>
        <row r="150">
          <cell r="C150" t="str">
            <v>Karaoke Bundle</v>
          </cell>
          <cell r="D150" t="str">
            <v>₹ 8,999.00</v>
          </cell>
        </row>
        <row r="151">
          <cell r="C151" t="str">
            <v>Podcast Bundle</v>
          </cell>
          <cell r="D151" t="str">
            <v>₹ 16,499.00</v>
          </cell>
        </row>
        <row r="152">
          <cell r="C152" t="str">
            <v>Gaming Bundle</v>
          </cell>
          <cell r="D152" t="str">
            <v>₹ 8,799.00</v>
          </cell>
        </row>
        <row r="153">
          <cell r="C153" t="str">
            <v>Pro Bundle</v>
          </cell>
          <cell r="D153" t="str">
            <v>₹ 12,499.00</v>
          </cell>
        </row>
        <row r="154">
          <cell r="C154" t="str">
            <v>Complete Podcast Bundle</v>
          </cell>
          <cell r="D154" t="str">
            <v>₹ 17,499.00</v>
          </cell>
        </row>
        <row r="155">
          <cell r="C155" t="str">
            <v>Podcast Bundle w/o boom arm</v>
          </cell>
          <cell r="D155" t="str">
            <v>₹ 26,299.00</v>
          </cell>
        </row>
        <row r="156">
          <cell r="C156" t="str">
            <v>500mAh soundcard Singing Bundle</v>
          </cell>
          <cell r="D156" t="str">
            <v>₹ 6,299.00</v>
          </cell>
        </row>
        <row r="157">
          <cell r="C157" t="str">
            <v>RGB Gaming Bundle w/o boom arm kit</v>
          </cell>
          <cell r="D157" t="str">
            <v>₹ 15,499.00</v>
          </cell>
        </row>
        <row r="158">
          <cell r="C158" t="str">
            <v>Streaming Bundle with boom arm kit</v>
          </cell>
          <cell r="D158" t="str">
            <v>₹ 13,299.00</v>
          </cell>
        </row>
        <row r="159">
          <cell r="C159" t="str">
            <v>Pro Podcast Bundle w/o boom arm kit</v>
          </cell>
          <cell r="D159" t="str">
            <v>₹ 24,499.00</v>
          </cell>
        </row>
        <row r="160">
          <cell r="C160" t="str">
            <v>Complete Podcast Bundle with boom arm kit</v>
          </cell>
          <cell r="D160" t="str">
            <v>₹ 17,499.00</v>
          </cell>
        </row>
        <row r="161">
          <cell r="C161" t="str">
            <v>Complete Pro Podcast Bundle with boom arm kit</v>
          </cell>
          <cell r="D161" t="str">
            <v>₹ 16,499.00</v>
          </cell>
        </row>
        <row r="162">
          <cell r="C162" t="str">
            <v>Complete RGB Podcast Bundle with boom arm kit</v>
          </cell>
          <cell r="D162" t="str">
            <v>₹ 14,299.00</v>
          </cell>
        </row>
        <row r="163">
          <cell r="C163" t="str">
            <v>RGB Gaming Bundle</v>
          </cell>
          <cell r="D163" t="str">
            <v>₹ 15,699.00</v>
          </cell>
        </row>
        <row r="164">
          <cell r="C164" t="str">
            <v>PB-08</v>
          </cell>
          <cell r="D164" t="str">
            <v>₹ 11,999.00</v>
          </cell>
        </row>
        <row r="165">
          <cell r="C165" t="str">
            <v>UB-02</v>
          </cell>
          <cell r="D165" t="str">
            <v>₹ 18,999.00</v>
          </cell>
        </row>
        <row r="166">
          <cell r="C166" t="str">
            <v>AM-C11X Pro</v>
          </cell>
          <cell r="D166" t="str">
            <v>₹ 7,999.00</v>
          </cell>
        </row>
        <row r="167">
          <cell r="C167" t="str">
            <v>PB-09</v>
          </cell>
          <cell r="D167" t="str">
            <v>₹ 16,999.00</v>
          </cell>
        </row>
        <row r="168">
          <cell r="C168" t="str">
            <v>AM-S2</v>
          </cell>
          <cell r="D168">
            <v>10999</v>
          </cell>
        </row>
        <row r="169">
          <cell r="C169" t="str">
            <v>PB-10</v>
          </cell>
          <cell r="D169">
            <v>17999</v>
          </cell>
        </row>
        <row r="170">
          <cell r="C170" t="str">
            <v>PB-11</v>
          </cell>
          <cell r="D170">
            <v>12999</v>
          </cell>
        </row>
        <row r="171">
          <cell r="C171" t="str">
            <v>PB-12</v>
          </cell>
          <cell r="D171">
            <v>20999</v>
          </cell>
        </row>
        <row r="172">
          <cell r="C172" t="str">
            <v>PB-13</v>
          </cell>
          <cell r="D172">
            <v>8999</v>
          </cell>
        </row>
        <row r="173">
          <cell r="C173" t="str">
            <v>PB-14</v>
          </cell>
          <cell r="D173">
            <v>7999</v>
          </cell>
        </row>
        <row r="174">
          <cell r="C174" t="str">
            <v>UB-03</v>
          </cell>
          <cell r="D174" t="str">
            <v>₹ 18,999.00</v>
          </cell>
        </row>
        <row r="175">
          <cell r="C175" t="str">
            <v>AM-W23</v>
          </cell>
          <cell r="D175">
            <v>5499</v>
          </cell>
        </row>
        <row r="176">
          <cell r="C176" t="str">
            <v>AM-W24</v>
          </cell>
          <cell r="D176">
            <v>2999</v>
          </cell>
        </row>
        <row r="177">
          <cell r="C177" t="str">
            <v>AI-13</v>
          </cell>
          <cell r="D177">
            <v>5499</v>
          </cell>
        </row>
        <row r="178">
          <cell r="C178" t="str">
            <v>BE-4T</v>
          </cell>
          <cell r="D178">
            <v>7999</v>
          </cell>
        </row>
        <row r="179">
          <cell r="C179" t="str">
            <v>AM-Pro8</v>
          </cell>
          <cell r="D179">
            <v>29999</v>
          </cell>
        </row>
        <row r="180">
          <cell r="C180" t="str">
            <v>AM-Pro12</v>
          </cell>
          <cell r="D180">
            <v>34999</v>
          </cell>
        </row>
        <row r="181">
          <cell r="C181" t="str">
            <v>AM-Mix6</v>
          </cell>
          <cell r="D181">
            <v>14999</v>
          </cell>
        </row>
        <row r="182">
          <cell r="C182" t="str">
            <v>AM-Mix10</v>
          </cell>
          <cell r="D182">
            <v>18999</v>
          </cell>
        </row>
        <row r="183">
          <cell r="C183" t="str">
            <v>AI-14</v>
          </cell>
          <cell r="D183">
            <v>9999</v>
          </cell>
        </row>
        <row r="184">
          <cell r="C184" t="str">
            <v>M8</v>
          </cell>
          <cell r="D184">
            <v>14999</v>
          </cell>
        </row>
        <row r="185">
          <cell r="C185" t="str">
            <v>MT-12</v>
          </cell>
          <cell r="D185">
            <v>18999</v>
          </cell>
        </row>
        <row r="186">
          <cell r="C186" t="str">
            <v>BE-4</v>
          </cell>
          <cell r="D186">
            <v>6999</v>
          </cell>
        </row>
        <row r="187">
          <cell r="C187" t="str">
            <v>M6</v>
          </cell>
          <cell r="D187">
            <v>12999</v>
          </cell>
        </row>
        <row r="188">
          <cell r="C188" t="str">
            <v>A3-XLR</v>
          </cell>
          <cell r="D188">
            <v>999</v>
          </cell>
        </row>
        <row r="189">
          <cell r="C189" t="str">
            <v>A2-XLR</v>
          </cell>
          <cell r="D189">
            <v>849</v>
          </cell>
        </row>
        <row r="190">
          <cell r="C190" t="str">
            <v>AM-W47 Wired</v>
          </cell>
          <cell r="D190">
            <v>2999</v>
          </cell>
        </row>
        <row r="191">
          <cell r="C191" t="str">
            <v>AM-W47 Wireless</v>
          </cell>
          <cell r="D191">
            <v>3999</v>
          </cell>
        </row>
        <row r="192">
          <cell r="C192" t="str">
            <v>AE831</v>
          </cell>
          <cell r="D192">
            <v>6499</v>
          </cell>
        </row>
        <row r="193">
          <cell r="C193" t="str">
            <v>JT-1</v>
          </cell>
          <cell r="D193">
            <v>34999</v>
          </cell>
        </row>
        <row r="194">
          <cell r="C194" t="str">
            <v>BM-320PRO</v>
          </cell>
          <cell r="D194">
            <v>29999</v>
          </cell>
        </row>
        <row r="195">
          <cell r="C195" t="str">
            <v>AK-37-B</v>
          </cell>
          <cell r="D195">
            <v>8999</v>
          </cell>
        </row>
        <row r="196">
          <cell r="C196" t="str">
            <v>AK-37-W</v>
          </cell>
          <cell r="D196">
            <v>8999</v>
          </cell>
        </row>
        <row r="197">
          <cell r="C197" t="str">
            <v>AK-61 Neo</v>
          </cell>
          <cell r="D197">
            <v>11999</v>
          </cell>
        </row>
        <row r="198">
          <cell r="C198" t="str">
            <v>AK-61 Pro</v>
          </cell>
          <cell r="D198">
            <v>12999</v>
          </cell>
        </row>
        <row r="199">
          <cell r="C199" t="str">
            <v>AM-W48 / AM-S6</v>
          </cell>
          <cell r="D199">
            <v>39999</v>
          </cell>
        </row>
        <row r="200">
          <cell r="C200" t="str">
            <v>AM-C49</v>
          </cell>
          <cell r="D200">
            <v>1899</v>
          </cell>
        </row>
        <row r="201">
          <cell r="C201" t="str">
            <v>AM-C50</v>
          </cell>
          <cell r="D201">
            <v>1899</v>
          </cell>
        </row>
        <row r="202">
          <cell r="C202" t="str">
            <v>W3</v>
          </cell>
          <cell r="D202">
            <v>8999</v>
          </cell>
        </row>
        <row r="203">
          <cell r="C203" t="str">
            <v>W5</v>
          </cell>
          <cell r="D203">
            <v>5499</v>
          </cell>
        </row>
        <row r="204">
          <cell r="C204" t="str">
            <v>JTG800</v>
          </cell>
          <cell r="D204">
            <v>9299</v>
          </cell>
        </row>
        <row r="205">
          <cell r="C205" t="str">
            <v>DP-718H</v>
          </cell>
          <cell r="D205">
            <v>12499</v>
          </cell>
        </row>
        <row r="206">
          <cell r="C206" t="str">
            <v>USB718</v>
          </cell>
          <cell r="D206">
            <v>7299</v>
          </cell>
        </row>
        <row r="207">
          <cell r="C207" t="str">
            <v>AM-W33 Pro</v>
          </cell>
          <cell r="D207">
            <v>5999</v>
          </cell>
        </row>
        <row r="208">
          <cell r="C208" t="str">
            <v>AM-W32 Pro</v>
          </cell>
          <cell r="D208">
            <v>9999</v>
          </cell>
        </row>
        <row r="209">
          <cell r="C209" t="str">
            <v>AM-W36 Pro</v>
          </cell>
          <cell r="D209">
            <v>14999</v>
          </cell>
        </row>
        <row r="210">
          <cell r="C210" t="str">
            <v>T-835</v>
          </cell>
          <cell r="D210">
            <v>19999</v>
          </cell>
        </row>
        <row r="211">
          <cell r="C211" t="str">
            <v>AM-C51</v>
          </cell>
          <cell r="D211">
            <v>2999</v>
          </cell>
        </row>
        <row r="212">
          <cell r="C212" t="str">
            <v>AM-C52</v>
          </cell>
          <cell r="D212">
            <v>2999</v>
          </cell>
        </row>
        <row r="213">
          <cell r="C213" t="str">
            <v>AM-Pro16</v>
          </cell>
          <cell r="D213">
            <v>69999</v>
          </cell>
        </row>
        <row r="214">
          <cell r="C214" t="str">
            <v>AM-Pro24</v>
          </cell>
          <cell r="D214">
            <v>89999</v>
          </cell>
        </row>
        <row r="215">
          <cell r="C215" t="str">
            <v>XM-16</v>
          </cell>
          <cell r="D215">
            <v>59999</v>
          </cell>
        </row>
        <row r="216">
          <cell r="C216" t="str">
            <v>XM-24</v>
          </cell>
          <cell r="D216">
            <v>76999</v>
          </cell>
        </row>
        <row r="217">
          <cell r="C217" t="str">
            <v>M5</v>
          </cell>
          <cell r="D217">
            <v>39999</v>
          </cell>
        </row>
        <row r="218">
          <cell r="C218" t="str">
            <v>X5</v>
          </cell>
          <cell r="D218">
            <v>39999</v>
          </cell>
        </row>
        <row r="219">
          <cell r="C219" t="str">
            <v>PB-15</v>
          </cell>
          <cell r="D219">
            <v>16999</v>
          </cell>
        </row>
        <row r="220">
          <cell r="C220" t="str">
            <v>PB-16</v>
          </cell>
          <cell r="D220">
            <v>14999</v>
          </cell>
        </row>
        <row r="221">
          <cell r="C221" t="str">
            <v>PB-17</v>
          </cell>
          <cell r="D221">
            <v>10499</v>
          </cell>
        </row>
        <row r="222">
          <cell r="C222" t="str">
            <v>PB-18</v>
          </cell>
          <cell r="D222">
            <v>11499</v>
          </cell>
        </row>
        <row r="223">
          <cell r="C223" t="str">
            <v>UB-04</v>
          </cell>
          <cell r="D223">
            <v>37399</v>
          </cell>
        </row>
        <row r="224">
          <cell r="C224" t="str">
            <v>UB-05</v>
          </cell>
          <cell r="D224">
            <v>18398</v>
          </cell>
        </row>
        <row r="225">
          <cell r="C225" t="str">
            <v>UB-06</v>
          </cell>
          <cell r="D225">
            <v>18398</v>
          </cell>
        </row>
        <row r="226">
          <cell r="C226" t="str">
            <v>AH-53</v>
          </cell>
          <cell r="D226">
            <v>4599</v>
          </cell>
        </row>
        <row r="227">
          <cell r="C227" t="str">
            <v>AH-50-DH</v>
          </cell>
          <cell r="D227">
            <v>4299</v>
          </cell>
        </row>
        <row r="228">
          <cell r="C228" t="str">
            <v>AH-40 Pro</v>
          </cell>
          <cell r="D228">
            <v>5999</v>
          </cell>
        </row>
        <row r="229">
          <cell r="C229" t="str">
            <v>AH-53 Pro</v>
          </cell>
          <cell r="D229">
            <v>9299</v>
          </cell>
        </row>
        <row r="230">
          <cell r="C230" t="str">
            <v>AM-C53</v>
          </cell>
          <cell r="D230">
            <v>3799</v>
          </cell>
        </row>
        <row r="231">
          <cell r="C231" t="str">
            <v>AM-C54</v>
          </cell>
          <cell r="D231">
            <v>3999</v>
          </cell>
        </row>
        <row r="232">
          <cell r="C232" t="str">
            <v>AM-C55</v>
          </cell>
          <cell r="D232">
            <v>4899</v>
          </cell>
        </row>
        <row r="233">
          <cell r="C233" t="str">
            <v>AM-C56</v>
          </cell>
          <cell r="D233">
            <v>5199</v>
          </cell>
        </row>
        <row r="234">
          <cell r="C234" t="str">
            <v>AM-W25</v>
          </cell>
          <cell r="D234">
            <v>6499</v>
          </cell>
        </row>
        <row r="235">
          <cell r="C235" t="str">
            <v>AA-26 Pro</v>
          </cell>
          <cell r="D235">
            <v>1699</v>
          </cell>
        </row>
        <row r="236">
          <cell r="C236" t="str">
            <v>AA-27</v>
          </cell>
          <cell r="D236">
            <v>3399</v>
          </cell>
        </row>
        <row r="237">
          <cell r="C237" t="str">
            <v>AA-28</v>
          </cell>
          <cell r="D237">
            <v>4699</v>
          </cell>
        </row>
        <row r="238">
          <cell r="C238" t="str">
            <v>AI_13</v>
          </cell>
          <cell r="D238">
            <v>5499</v>
          </cell>
        </row>
        <row r="239">
          <cell r="C239" t="str">
            <v>HP4</v>
          </cell>
          <cell r="D239" t="str">
            <v>₹ 8,999.00</v>
          </cell>
        </row>
        <row r="240">
          <cell r="C240" t="str">
            <v>HPA1400</v>
          </cell>
          <cell r="D240" t="str">
            <v>₹ 13,999.00</v>
          </cell>
        </row>
        <row r="241">
          <cell r="C241" t="str">
            <v>P1</v>
          </cell>
          <cell r="D241" t="str">
            <v>₹ 5,299.00</v>
          </cell>
        </row>
        <row r="242">
          <cell r="C242" t="str">
            <v>PRE103</v>
          </cell>
          <cell r="D242" t="str">
            <v>₹ 5,299.00</v>
          </cell>
        </row>
        <row r="243">
          <cell r="C243" t="str">
            <v>DI20</v>
          </cell>
          <cell r="D243" t="str">
            <v>₹ 6,999.00</v>
          </cell>
        </row>
        <row r="244">
          <cell r="C244" t="str">
            <v>AC1</v>
          </cell>
          <cell r="D244" t="str">
            <v>₹ 3,699.00</v>
          </cell>
        </row>
        <row r="245">
          <cell r="C245" t="str">
            <v>IS-2</v>
          </cell>
          <cell r="D245" t="str">
            <v>₹ 7,499.00</v>
          </cell>
        </row>
        <row r="246">
          <cell r="C246" t="str">
            <v>IS-3</v>
          </cell>
          <cell r="D246" t="str">
            <v>₹ 8,299.00</v>
          </cell>
        </row>
        <row r="247">
          <cell r="C247" t="str">
            <v>P7</v>
          </cell>
          <cell r="D247" t="str">
            <v>₹ 5,299.00</v>
          </cell>
        </row>
        <row r="248">
          <cell r="C248" t="str">
            <v>MS155</v>
          </cell>
          <cell r="D248" t="str">
            <v>₹ 6,899.00</v>
          </cell>
        </row>
        <row r="249">
          <cell r="C249" t="str">
            <v>AM-C5 White</v>
          </cell>
          <cell r="D249">
            <v>6999</v>
          </cell>
        </row>
        <row r="250">
          <cell r="C250" t="str">
            <v>AM-S2 Bookshelf Speaker</v>
          </cell>
          <cell r="D250">
            <v>10999</v>
          </cell>
        </row>
        <row r="251">
          <cell r="C251" t="str">
            <v>AM-C47</v>
          </cell>
          <cell r="D251">
            <v>4999</v>
          </cell>
        </row>
        <row r="252">
          <cell r="C252" t="str">
            <v>PB-19</v>
          </cell>
          <cell r="D252">
            <v>28999</v>
          </cell>
        </row>
      </sheetData>
      <sheetData sheetId="1">
        <row r="1">
          <cell r="C1" t="str">
            <v>Model</v>
          </cell>
          <cell r="D1" t="str">
            <v>MRP</v>
          </cell>
        </row>
        <row r="2">
          <cell r="C2" t="str">
            <v>GS-01</v>
          </cell>
          <cell r="D2">
            <v>5999</v>
          </cell>
        </row>
        <row r="3">
          <cell r="C3" t="str">
            <v>GS-02</v>
          </cell>
          <cell r="D3">
            <v>4999</v>
          </cell>
        </row>
        <row r="4">
          <cell r="C4" t="str">
            <v>SC-01</v>
          </cell>
          <cell r="D4">
            <v>9999</v>
          </cell>
        </row>
        <row r="5">
          <cell r="C5" t="str">
            <v>NP-01</v>
          </cell>
          <cell r="D5">
            <v>1499</v>
          </cell>
        </row>
        <row r="6">
          <cell r="C6" t="str">
            <v>NP-02</v>
          </cell>
          <cell r="D6">
            <v>1999</v>
          </cell>
        </row>
        <row r="7">
          <cell r="C7" t="str">
            <v>NP-03</v>
          </cell>
          <cell r="D7">
            <v>1499</v>
          </cell>
        </row>
        <row r="8">
          <cell r="C8" t="str">
            <v>NP-04</v>
          </cell>
          <cell r="D8">
            <v>1499</v>
          </cell>
        </row>
        <row r="9">
          <cell r="C9" t="str">
            <v>NP-05</v>
          </cell>
          <cell r="D9">
            <v>1999</v>
          </cell>
        </row>
        <row r="10">
          <cell r="C10" t="str">
            <v>TR-01</v>
          </cell>
          <cell r="D10">
            <v>2199</v>
          </cell>
        </row>
        <row r="11">
          <cell r="C11" t="str">
            <v>TR-02</v>
          </cell>
          <cell r="D11">
            <v>2199</v>
          </cell>
        </row>
        <row r="12">
          <cell r="C12" t="str">
            <v>TR-03</v>
          </cell>
          <cell r="D12">
            <v>2199</v>
          </cell>
        </row>
        <row r="13">
          <cell r="C13" t="str">
            <v>TR-04</v>
          </cell>
          <cell r="D13">
            <v>2199</v>
          </cell>
        </row>
        <row r="14">
          <cell r="C14" t="str">
            <v>TR-05</v>
          </cell>
          <cell r="D14">
            <v>2999</v>
          </cell>
        </row>
        <row r="15">
          <cell r="C15" t="str">
            <v>DF-01-BK</v>
          </cell>
          <cell r="D15">
            <v>3599</v>
          </cell>
        </row>
        <row r="16">
          <cell r="C16" t="str">
            <v>GS-04</v>
          </cell>
          <cell r="D16">
            <v>5999</v>
          </cell>
        </row>
        <row r="17">
          <cell r="C17" t="str">
            <v>ET-01-BK</v>
          </cell>
          <cell r="D17">
            <v>1199</v>
          </cell>
        </row>
        <row r="18">
          <cell r="C18" t="str">
            <v>ET-02-GN</v>
          </cell>
          <cell r="D18">
            <v>1199</v>
          </cell>
        </row>
        <row r="19">
          <cell r="C19" t="str">
            <v>ET-03-BL</v>
          </cell>
          <cell r="D19">
            <v>699</v>
          </cell>
        </row>
        <row r="20">
          <cell r="C20" t="str">
            <v>DB_BK_BL_GN</v>
          </cell>
          <cell r="D20">
            <v>2399</v>
          </cell>
        </row>
        <row r="21">
          <cell r="C21" t="str">
            <v>DB_BK_GN</v>
          </cell>
          <cell r="D21">
            <v>1799</v>
          </cell>
        </row>
        <row r="22">
          <cell r="C22" t="str">
            <v>DB_BL-BK</v>
          </cell>
          <cell r="D22">
            <v>1499</v>
          </cell>
        </row>
        <row r="23">
          <cell r="C23" t="str">
            <v>DB_BL-GN</v>
          </cell>
          <cell r="D23">
            <v>1499</v>
          </cell>
        </row>
        <row r="24">
          <cell r="C24" t="str">
            <v>DB_2BK</v>
          </cell>
          <cell r="D24">
            <v>1799</v>
          </cell>
        </row>
        <row r="25">
          <cell r="C25" t="str">
            <v>DB_2GN</v>
          </cell>
          <cell r="D25">
            <v>1799</v>
          </cell>
        </row>
        <row r="26">
          <cell r="C26" t="str">
            <v>DB_2BL</v>
          </cell>
          <cell r="D26">
            <v>1199</v>
          </cell>
        </row>
        <row r="27">
          <cell r="C27" t="str">
            <v>DB_3BK</v>
          </cell>
          <cell r="D27">
            <v>2699</v>
          </cell>
        </row>
        <row r="28">
          <cell r="C28" t="str">
            <v>DB_3GN</v>
          </cell>
          <cell r="D28">
            <v>2699</v>
          </cell>
        </row>
        <row r="29">
          <cell r="C29" t="str">
            <v>DB_3BL</v>
          </cell>
          <cell r="D29">
            <v>1799</v>
          </cell>
        </row>
        <row r="30">
          <cell r="C30" t="str">
            <v>DB_DF_BK</v>
          </cell>
          <cell r="D30">
            <v>3699</v>
          </cell>
        </row>
        <row r="31">
          <cell r="C31" t="str">
            <v>DB_DF_GN</v>
          </cell>
          <cell r="D31">
            <v>3699</v>
          </cell>
        </row>
        <row r="32">
          <cell r="C32" t="str">
            <v>ET-01-BK-4B</v>
          </cell>
          <cell r="D32">
            <v>1249</v>
          </cell>
        </row>
        <row r="33">
          <cell r="C33" t="str">
            <v>ET-01-GN-4B</v>
          </cell>
          <cell r="D33">
            <v>1249</v>
          </cell>
        </row>
        <row r="34">
          <cell r="C34" t="str">
            <v>ET-03-BL_NE</v>
          </cell>
          <cell r="D34">
            <v>699</v>
          </cell>
        </row>
        <row r="35">
          <cell r="C35" t="str">
            <v>ET-01-BK_NE</v>
          </cell>
          <cell r="D35">
            <v>1199</v>
          </cell>
        </row>
        <row r="36">
          <cell r="C36" t="str">
            <v>ET-02-GN_NE</v>
          </cell>
          <cell r="D36">
            <v>1199</v>
          </cell>
        </row>
        <row r="37">
          <cell r="C37" t="str">
            <v>DB_DF_BK</v>
          </cell>
          <cell r="D37">
            <v>3699</v>
          </cell>
        </row>
        <row r="38">
          <cell r="C38" t="str">
            <v>SC-02</v>
          </cell>
          <cell r="D38">
            <v>6999</v>
          </cell>
        </row>
        <row r="39">
          <cell r="C39" t="str">
            <v>MR-01</v>
          </cell>
          <cell r="D39">
            <v>5499</v>
          </cell>
        </row>
        <row r="40">
          <cell r="C40" t="str">
            <v>HF-MR-01</v>
          </cell>
          <cell r="D40">
            <v>449</v>
          </cell>
        </row>
        <row r="41">
          <cell r="C41" t="str">
            <v>CR-01</v>
          </cell>
          <cell r="D41">
            <v>1999</v>
          </cell>
        </row>
        <row r="42">
          <cell r="C42" t="str">
            <v>T-01</v>
          </cell>
          <cell r="D42">
            <v>1499</v>
          </cell>
        </row>
        <row r="43">
          <cell r="C43" t="str">
            <v>T-02</v>
          </cell>
          <cell r="D43">
            <v>1899</v>
          </cell>
        </row>
        <row r="44">
          <cell r="C44" t="str">
            <v>GS-05</v>
          </cell>
          <cell r="D44">
            <v>3999</v>
          </cell>
        </row>
        <row r="45">
          <cell r="C45" t="str">
            <v>LR-01</v>
          </cell>
          <cell r="D45">
            <v>1499</v>
          </cell>
        </row>
        <row r="46">
          <cell r="C46" t="str">
            <v>V-01</v>
          </cell>
          <cell r="D46">
            <v>3499</v>
          </cell>
        </row>
        <row r="47">
          <cell r="C47" t="str">
            <v>V-01 Rose Gold</v>
          </cell>
          <cell r="D47">
            <v>3499</v>
          </cell>
        </row>
        <row r="48">
          <cell r="C48" t="str">
            <v>HS-01</v>
          </cell>
          <cell r="D48">
            <v>1299</v>
          </cell>
        </row>
        <row r="49">
          <cell r="C49" t="str">
            <v>HS-02</v>
          </cell>
          <cell r="D49">
            <v>1499</v>
          </cell>
        </row>
        <row r="50">
          <cell r="C50" t="str">
            <v>HS-01_NE</v>
          </cell>
          <cell r="D50">
            <v>1299</v>
          </cell>
        </row>
        <row r="51">
          <cell r="C51" t="str">
            <v>HS-02_NE</v>
          </cell>
          <cell r="D51">
            <v>1499</v>
          </cell>
        </row>
        <row r="52">
          <cell r="C52" t="str">
            <v>SM-01</v>
          </cell>
          <cell r="D52">
            <v>8999</v>
          </cell>
        </row>
        <row r="53">
          <cell r="C53" t="str">
            <v>SC-03</v>
          </cell>
          <cell r="D53">
            <v>11999</v>
          </cell>
        </row>
        <row r="54">
          <cell r="C54" t="str">
            <v>LR-01</v>
          </cell>
          <cell r="D54">
            <v>1499</v>
          </cell>
        </row>
        <row r="55">
          <cell r="C55" t="str">
            <v>LR-02</v>
          </cell>
          <cell r="D55">
            <v>2999</v>
          </cell>
        </row>
        <row r="56">
          <cell r="C56" t="str">
            <v>HD-01</v>
          </cell>
          <cell r="D56">
            <v>2499</v>
          </cell>
        </row>
        <row r="57">
          <cell r="C57" t="str">
            <v>HM-01</v>
          </cell>
          <cell r="D57">
            <v>2099</v>
          </cell>
        </row>
        <row r="58">
          <cell r="C58" t="str">
            <v>HM-02</v>
          </cell>
          <cell r="D58">
            <v>2699</v>
          </cell>
        </row>
        <row r="59">
          <cell r="C59" t="str">
            <v>ETC-04-WH</v>
          </cell>
          <cell r="D59">
            <v>1499</v>
          </cell>
        </row>
        <row r="60">
          <cell r="C60" t="str">
            <v>ETC-05-PI</v>
          </cell>
          <cell r="D60">
            <v>1499</v>
          </cell>
        </row>
        <row r="61">
          <cell r="C61" t="str">
            <v>SW-01</v>
          </cell>
          <cell r="D61">
            <v>1299</v>
          </cell>
        </row>
        <row r="62">
          <cell r="C62" t="str">
            <v>HD-02</v>
          </cell>
          <cell r="D62">
            <v>1999</v>
          </cell>
        </row>
        <row r="63">
          <cell r="C63" t="str">
            <v>EA-01</v>
          </cell>
          <cell r="D63">
            <v>2999</v>
          </cell>
        </row>
        <row r="64">
          <cell r="C64" t="str">
            <v xml:space="preserve">EA-01 Pro </v>
          </cell>
          <cell r="D64">
            <v>2999</v>
          </cell>
        </row>
        <row r="65">
          <cell r="C65" t="str">
            <v>LE-01</v>
          </cell>
          <cell r="D65">
            <v>1499</v>
          </cell>
        </row>
        <row r="66">
          <cell r="C66" t="str">
            <v>WF-02-BL</v>
          </cell>
          <cell r="D66">
            <v>2999</v>
          </cell>
        </row>
        <row r="67">
          <cell r="C67" t="str">
            <v>ETR-06</v>
          </cell>
          <cell r="D67">
            <v>1699</v>
          </cell>
        </row>
        <row r="68">
          <cell r="C68" t="str">
            <v>ET-01-BK-4B</v>
          </cell>
          <cell r="D68">
            <v>1249</v>
          </cell>
        </row>
        <row r="69">
          <cell r="C69" t="str">
            <v>ET-01-GN-4B</v>
          </cell>
          <cell r="D69">
            <v>1249</v>
          </cell>
        </row>
        <row r="70">
          <cell r="C70" t="str">
            <v>FS-01</v>
          </cell>
          <cell r="D70">
            <v>3399</v>
          </cell>
        </row>
        <row r="71">
          <cell r="C71" t="str">
            <v>HSB-03</v>
          </cell>
          <cell r="D71">
            <v>3599</v>
          </cell>
        </row>
        <row r="72">
          <cell r="C72" t="str">
            <v>HSB-04</v>
          </cell>
          <cell r="D72">
            <v>4499</v>
          </cell>
        </row>
        <row r="73">
          <cell r="C73" t="str">
            <v>MR-02</v>
          </cell>
          <cell r="D73">
            <v>6599</v>
          </cell>
        </row>
        <row r="74">
          <cell r="C74" t="str">
            <v>LE-02</v>
          </cell>
          <cell r="D74">
            <v>2999</v>
          </cell>
        </row>
        <row r="75">
          <cell r="C75" t="str">
            <v>LE-03</v>
          </cell>
          <cell r="D75">
            <v>3399</v>
          </cell>
        </row>
        <row r="76">
          <cell r="C76" t="str">
            <v>VC-01</v>
          </cell>
          <cell r="D76">
            <v>3999</v>
          </cell>
        </row>
        <row r="77">
          <cell r="C77" t="str">
            <v>SS-01</v>
          </cell>
          <cell r="D77">
            <v>4999</v>
          </cell>
        </row>
        <row r="78">
          <cell r="C78" t="str">
            <v>VC-02</v>
          </cell>
          <cell r="D78">
            <v>5499</v>
          </cell>
        </row>
        <row r="79">
          <cell r="C79" t="str">
            <v>CM-01-BL</v>
          </cell>
          <cell r="D79">
            <v>2499</v>
          </cell>
        </row>
        <row r="80">
          <cell r="C80" t="str">
            <v>CM-02-PR</v>
          </cell>
          <cell r="D80">
            <v>2499</v>
          </cell>
        </row>
        <row r="81">
          <cell r="C81" t="str">
            <v>TI-01</v>
          </cell>
          <cell r="D81">
            <v>4199</v>
          </cell>
        </row>
        <row r="82">
          <cell r="C82" t="str">
            <v>TM-01</v>
          </cell>
          <cell r="D82">
            <v>1499</v>
          </cell>
        </row>
        <row r="83">
          <cell r="C83" t="str">
            <v>SPM-01</v>
          </cell>
          <cell r="D83">
            <v>7499</v>
          </cell>
        </row>
        <row r="84">
          <cell r="C84" t="str">
            <v>LE-04</v>
          </cell>
          <cell r="D84">
            <v>2499</v>
          </cell>
        </row>
        <row r="85">
          <cell r="C85" t="str">
            <v>TI-02</v>
          </cell>
          <cell r="D85">
            <v>2799</v>
          </cell>
        </row>
        <row r="86">
          <cell r="C86" t="str">
            <v>TIC-03</v>
          </cell>
          <cell r="D86">
            <v>3699</v>
          </cell>
        </row>
        <row r="87">
          <cell r="C87" t="str">
            <v>TIC-04</v>
          </cell>
          <cell r="D87">
            <v>4699</v>
          </cell>
        </row>
        <row r="88">
          <cell r="C88" t="str">
            <v>VC-03</v>
          </cell>
          <cell r="D88">
            <v>3999</v>
          </cell>
        </row>
        <row r="89">
          <cell r="C89" t="str">
            <v>TM-02</v>
          </cell>
          <cell r="D89">
            <v>3999</v>
          </cell>
        </row>
        <row r="90">
          <cell r="C90" t="str">
            <v>CF-01</v>
          </cell>
          <cell r="D90">
            <v>2699</v>
          </cell>
        </row>
        <row r="91">
          <cell r="C91" t="str">
            <v>TM-03</v>
          </cell>
          <cell r="D91">
            <v>1999</v>
          </cell>
        </row>
        <row r="92">
          <cell r="C92" t="str">
            <v>TM-04</v>
          </cell>
          <cell r="D92">
            <v>1599</v>
          </cell>
        </row>
        <row r="93">
          <cell r="C93" t="str">
            <v>KE-01</v>
          </cell>
          <cell r="D93">
            <v>2799</v>
          </cell>
        </row>
        <row r="94">
          <cell r="C94" t="str">
            <v>KE-02</v>
          </cell>
          <cell r="D94">
            <v>2799</v>
          </cell>
        </row>
        <row r="95">
          <cell r="C95" t="str">
            <v>V-02</v>
          </cell>
          <cell r="D95">
            <v>3699</v>
          </cell>
        </row>
        <row r="96">
          <cell r="C96" t="str">
            <v>V-03</v>
          </cell>
          <cell r="D96">
            <v>3399</v>
          </cell>
        </row>
        <row r="97">
          <cell r="C97" t="str">
            <v>SC-04</v>
          </cell>
          <cell r="D97">
            <v>10299</v>
          </cell>
        </row>
        <row r="98">
          <cell r="C98" t="str">
            <v>VC-05</v>
          </cell>
          <cell r="D98">
            <v>4499</v>
          </cell>
        </row>
        <row r="99">
          <cell r="C99" t="str">
            <v>VC-04</v>
          </cell>
          <cell r="D99">
            <v>4499</v>
          </cell>
        </row>
        <row r="100">
          <cell r="C100" t="str">
            <v>LE-06</v>
          </cell>
          <cell r="D100">
            <v>2299</v>
          </cell>
        </row>
        <row r="101">
          <cell r="C101" t="str">
            <v>BR-01</v>
          </cell>
          <cell r="D101">
            <v>2999</v>
          </cell>
        </row>
        <row r="102">
          <cell r="C102" t="str">
            <v>IPL-01</v>
          </cell>
          <cell r="D102">
            <v>5399</v>
          </cell>
        </row>
        <row r="103">
          <cell r="C103" t="str">
            <v>LE-07</v>
          </cell>
          <cell r="D103">
            <v>2299</v>
          </cell>
        </row>
        <row r="104">
          <cell r="C104" t="str">
            <v>EA-02</v>
          </cell>
          <cell r="D104">
            <v>3999</v>
          </cell>
        </row>
        <row r="105">
          <cell r="C105" t="str">
            <v>SS-02</v>
          </cell>
          <cell r="D105">
            <v>4999</v>
          </cell>
        </row>
        <row r="106">
          <cell r="C106" t="str">
            <v>CFM-01</v>
          </cell>
          <cell r="D106">
            <v>4299</v>
          </cell>
        </row>
        <row r="107">
          <cell r="C107" t="str">
            <v>KM-01</v>
          </cell>
          <cell r="D107">
            <v>3399</v>
          </cell>
        </row>
        <row r="108">
          <cell r="C108" t="str">
            <v>FM-01</v>
          </cell>
          <cell r="D108">
            <v>6299</v>
          </cell>
        </row>
        <row r="109">
          <cell r="C109" t="str">
            <v>FM-02</v>
          </cell>
          <cell r="D109">
            <v>3899</v>
          </cell>
        </row>
        <row r="110">
          <cell r="C110" t="str">
            <v>EM-01</v>
          </cell>
          <cell r="D110">
            <v>4599</v>
          </cell>
        </row>
        <row r="111">
          <cell r="C111" t="str">
            <v>EM-02</v>
          </cell>
          <cell r="D111">
            <v>6299</v>
          </cell>
        </row>
        <row r="112">
          <cell r="C112" t="str">
            <v>MG-01</v>
          </cell>
          <cell r="D112">
            <v>3199</v>
          </cell>
        </row>
        <row r="113">
          <cell r="C113" t="str">
            <v>BM-01</v>
          </cell>
          <cell r="D113">
            <v>2799</v>
          </cell>
        </row>
        <row r="114">
          <cell r="C114" t="str">
            <v>BM-02</v>
          </cell>
          <cell r="D114">
            <v>3399</v>
          </cell>
        </row>
        <row r="115">
          <cell r="C115" t="str">
            <v>VC-06</v>
          </cell>
          <cell r="D115">
            <v>3699</v>
          </cell>
        </row>
        <row r="116">
          <cell r="C116" t="str">
            <v>SC-05</v>
          </cell>
          <cell r="D116">
            <v>5499</v>
          </cell>
        </row>
        <row r="117">
          <cell r="C117" t="str">
            <v>ST-01</v>
          </cell>
          <cell r="D117">
            <v>10999</v>
          </cell>
        </row>
        <row r="118">
          <cell r="C118" t="str">
            <v>ETC-07-WH</v>
          </cell>
          <cell r="D118">
            <v>1199</v>
          </cell>
        </row>
        <row r="119">
          <cell r="C119" t="str">
            <v>BM-03</v>
          </cell>
          <cell r="D119">
            <v>3499</v>
          </cell>
        </row>
        <row r="120">
          <cell r="C120" t="str">
            <v>PM-01</v>
          </cell>
          <cell r="D120">
            <v>3899</v>
          </cell>
        </row>
        <row r="121">
          <cell r="C121" t="str">
            <v>HB-01</v>
          </cell>
          <cell r="D121">
            <v>3499</v>
          </cell>
        </row>
        <row r="122">
          <cell r="C122" t="str">
            <v>NP-06</v>
          </cell>
          <cell r="D122">
            <v>1899</v>
          </cell>
        </row>
        <row r="123">
          <cell r="C123" t="str">
            <v>NP-07</v>
          </cell>
          <cell r="D123">
            <v>1899</v>
          </cell>
        </row>
        <row r="124">
          <cell r="C124" t="str">
            <v>AP-01</v>
          </cell>
          <cell r="D124">
            <v>29999</v>
          </cell>
        </row>
        <row r="125">
          <cell r="C125" t="str">
            <v>AP-02</v>
          </cell>
          <cell r="D125">
            <v>18999</v>
          </cell>
        </row>
        <row r="126">
          <cell r="C126" t="str">
            <v>HU-01</v>
          </cell>
          <cell r="D126">
            <v>3599</v>
          </cell>
        </row>
        <row r="127">
          <cell r="C127" t="str">
            <v>HU-02</v>
          </cell>
          <cell r="D127">
            <v>2899</v>
          </cell>
        </row>
        <row r="128">
          <cell r="C128" t="str">
            <v>LE-08</v>
          </cell>
          <cell r="D128">
            <v>3099</v>
          </cell>
        </row>
        <row r="129">
          <cell r="C129" t="str">
            <v>MGS-02</v>
          </cell>
          <cell r="D129">
            <v>1999</v>
          </cell>
        </row>
        <row r="130">
          <cell r="C130" t="str">
            <v>MGC-03</v>
          </cell>
          <cell r="D130">
            <v>3999</v>
          </cell>
        </row>
        <row r="131">
          <cell r="C131" t="str">
            <v>MM-01</v>
          </cell>
          <cell r="D131">
            <v>19999</v>
          </cell>
        </row>
        <row r="132">
          <cell r="C132" t="str">
            <v>CFM-02</v>
          </cell>
          <cell r="D132">
            <v>11999</v>
          </cell>
        </row>
        <row r="133">
          <cell r="C133" t="str">
            <v>PM-02</v>
          </cell>
          <cell r="D133">
            <v>3999</v>
          </cell>
        </row>
        <row r="134">
          <cell r="C134" t="str">
            <v>AP-03</v>
          </cell>
          <cell r="D134">
            <v>7999</v>
          </cell>
        </row>
        <row r="135">
          <cell r="C135" t="str">
            <v>TM-05</v>
          </cell>
          <cell r="D135">
            <v>3499</v>
          </cell>
        </row>
        <row r="136">
          <cell r="C136" t="str">
            <v>ETC-08-BL</v>
          </cell>
          <cell r="D136">
            <v>1499</v>
          </cell>
        </row>
        <row r="137">
          <cell r="C137" t="str">
            <v>KE-03</v>
          </cell>
          <cell r="D137">
            <v>1499</v>
          </cell>
        </row>
        <row r="138">
          <cell r="C138" t="str">
            <v>MF-01</v>
          </cell>
          <cell r="D138">
            <v>999</v>
          </cell>
        </row>
        <row r="139">
          <cell r="C139" t="str">
            <v>MC-01</v>
          </cell>
          <cell r="D139">
            <v>1199</v>
          </cell>
        </row>
        <row r="140">
          <cell r="C140" t="str">
            <v>PB-01</v>
          </cell>
          <cell r="D140">
            <v>4999</v>
          </cell>
        </row>
        <row r="141">
          <cell r="C141" t="str">
            <v>LR-03</v>
          </cell>
          <cell r="D141">
            <v>699</v>
          </cell>
        </row>
        <row r="142">
          <cell r="C142" t="str">
            <v>CFM-03</v>
          </cell>
          <cell r="D142">
            <v>7899</v>
          </cell>
        </row>
        <row r="143">
          <cell r="C143" t="str">
            <v>SP-01</v>
          </cell>
          <cell r="D143">
            <v>17899</v>
          </cell>
        </row>
        <row r="144">
          <cell r="C144" t="str">
            <v>MR-03</v>
          </cell>
          <cell r="D144">
            <v>9999</v>
          </cell>
        </row>
        <row r="145">
          <cell r="C145" t="str">
            <v>AP-04</v>
          </cell>
          <cell r="D145">
            <v>11099</v>
          </cell>
        </row>
        <row r="146">
          <cell r="C146" t="str">
            <v>CAP-05</v>
          </cell>
          <cell r="D146">
            <v>4899</v>
          </cell>
        </row>
        <row r="147">
          <cell r="C147" t="str">
            <v>DH-01</v>
          </cell>
          <cell r="D147">
            <v>7599</v>
          </cell>
        </row>
        <row r="148">
          <cell r="C148" t="str">
            <v>ST-02</v>
          </cell>
          <cell r="D148">
            <v>23799</v>
          </cell>
        </row>
        <row r="149">
          <cell r="C149" t="str">
            <v>ST-03</v>
          </cell>
          <cell r="D149">
            <v>27229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4"/>
      <sheetName val="Sheet3"/>
      <sheetName val="BusinessReport-01-10-22"/>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s1datakart.org/?q=view-productdetail/41130518"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drive.google.com/uc?export=download&amp;id=1fPKIQdPLH6aL8rBE3mQ301je872fFs29" TargetMode="External"/><Relationship Id="rId21" Type="http://schemas.openxmlformats.org/officeDocument/2006/relationships/hyperlink" Target="https://drive.google.com/uc?export=download&amp;id=1My66HYJl5AgtMam0thnaQ_pCWBqqMmjm" TargetMode="External"/><Relationship Id="rId34" Type="http://schemas.openxmlformats.org/officeDocument/2006/relationships/hyperlink" Target="https://drive.google.com/uc?export=download&amp;id=1rVOA4sJYM7cmH5iHYH9SrJtJrWuBqCQI" TargetMode="External"/><Relationship Id="rId42" Type="http://schemas.openxmlformats.org/officeDocument/2006/relationships/hyperlink" Target="https://drive.google.com/uc?export=download&amp;id=1xzeWfsG7DoSzhkNbgTHA43fTiWCuyxm_" TargetMode="External"/><Relationship Id="rId47" Type="http://schemas.openxmlformats.org/officeDocument/2006/relationships/hyperlink" Target="https://drive.google.com/uc?export=download&amp;id=1bXMTOJMUDk7LzY0d5nEqT_Tw5h1qnZGj" TargetMode="External"/><Relationship Id="rId50" Type="http://schemas.openxmlformats.org/officeDocument/2006/relationships/hyperlink" Target="https://drive.google.com/file/d/1aZtRY7KHrQGmwO1QlAQChup369fzq2cJ/view?usp=drive_link" TargetMode="External"/><Relationship Id="rId55" Type="http://schemas.openxmlformats.org/officeDocument/2006/relationships/hyperlink" Target="https://drive.google.com/uc?export=download&amp;id=1QamRk7RXqoezowaRbvSDhDHe3goiV1_0" TargetMode="External"/><Relationship Id="rId63" Type="http://schemas.openxmlformats.org/officeDocument/2006/relationships/hyperlink" Target="https://drive.google.com/uc?export=download&amp;id=1APpiQQiQLWOz_yhuDk7L9j_mdCjqRS_9" TargetMode="External"/><Relationship Id="rId7" Type="http://schemas.openxmlformats.org/officeDocument/2006/relationships/hyperlink" Target="https://drive.google.com/uc?export=download&amp;id=1Uav9ErwI1RmUuzyWROu4HioI3CnpRFw_" TargetMode="External"/><Relationship Id="rId2" Type="http://schemas.openxmlformats.org/officeDocument/2006/relationships/hyperlink" Target="https://drive.google.com/uc?export=download&amp;id=10m7QBBiIvxWF3xpCOeXDKVaXz2MiHhcU" TargetMode="External"/><Relationship Id="rId16" Type="http://schemas.openxmlformats.org/officeDocument/2006/relationships/hyperlink" Target="https://drive.google.com/uc?export=download&amp;id=12x4F8zy78mjJO85_3F6MdBsCk29BGnMh" TargetMode="External"/><Relationship Id="rId29" Type="http://schemas.openxmlformats.org/officeDocument/2006/relationships/hyperlink" Target="https://drive.google.com/uc?export=download&amp;id=1SJNpuVD_Eris4n_-0hWT6F5Ox8_d6me1" TargetMode="External"/><Relationship Id="rId11" Type="http://schemas.openxmlformats.org/officeDocument/2006/relationships/hyperlink" Target="https://drive.google.com/uc?export=download&amp;id=1uOUbi3yp9n7b-pmahSWafx0Yyw9aBN5M" TargetMode="External"/><Relationship Id="rId24" Type="http://schemas.openxmlformats.org/officeDocument/2006/relationships/hyperlink" Target="https://drive.google.com/uc?export=download&amp;id=1mj2z4EeUq4Nldpc0zfF7anI1Y4WvWfJf" TargetMode="External"/><Relationship Id="rId32" Type="http://schemas.openxmlformats.org/officeDocument/2006/relationships/hyperlink" Target="https://drive.google.com/uc?export=download&amp;id=1d0eD-pXxR1VQiAVCijnKhgKPYa-Y440e" TargetMode="External"/><Relationship Id="rId37" Type="http://schemas.openxmlformats.org/officeDocument/2006/relationships/hyperlink" Target="https://drive.google.com/uc?export=download&amp;id=1jqNZxOCZ9tQUQFtJvFoLHq9YVkDRZH6K" TargetMode="External"/><Relationship Id="rId40" Type="http://schemas.openxmlformats.org/officeDocument/2006/relationships/hyperlink" Target="https://drive.google.com/uc?export=download&amp;id=1dhgvh2rheZxl7e6ivlc8apoziSGOwFBA" TargetMode="External"/><Relationship Id="rId45" Type="http://schemas.openxmlformats.org/officeDocument/2006/relationships/hyperlink" Target="https://drive.google.com/uc?export=download&amp;id=1tEvGbl4k8pliLVjhjZlLOlaF2-lKPNBt" TargetMode="External"/><Relationship Id="rId53" Type="http://schemas.openxmlformats.org/officeDocument/2006/relationships/hyperlink" Target="https://drive.google.com/uc?export=download&amp;id=16g_OwQwrDHK3ZGYZrK8LhxMyFU5wcOr-" TargetMode="External"/><Relationship Id="rId58" Type="http://schemas.openxmlformats.org/officeDocument/2006/relationships/hyperlink" Target="https://drive.google.com/uc?export=download&amp;id=16w6gScSqR6pAX4zQ7EGtx6zQJVwTfay-" TargetMode="External"/><Relationship Id="rId5" Type="http://schemas.openxmlformats.org/officeDocument/2006/relationships/hyperlink" Target="https://drive.google.com/uc?export=download&amp;id=1jimtz7xHl6aCv0NM0nd3WQnPa1Ed0K1b" TargetMode="External"/><Relationship Id="rId61" Type="http://schemas.openxmlformats.org/officeDocument/2006/relationships/hyperlink" Target="https://drive.google.com/uc?export=download&amp;id=1APpiQQiQLWOz_yhuDk7L9j_mdCjqRS_9" TargetMode="External"/><Relationship Id="rId19" Type="http://schemas.openxmlformats.org/officeDocument/2006/relationships/hyperlink" Target="https://drive.google.com/uc?export=download&amp;id=15yYCPtDqKBxjy47T8ZbKbudso0pRWaHe" TargetMode="External"/><Relationship Id="rId14" Type="http://schemas.openxmlformats.org/officeDocument/2006/relationships/hyperlink" Target="https://drive.google.com/uc?export=download&amp;id=1zw0x55nSRVr0xISBRBF67xaNArPRqpk9" TargetMode="External"/><Relationship Id="rId22" Type="http://schemas.openxmlformats.org/officeDocument/2006/relationships/hyperlink" Target="https://drive.google.com/uc?export=download&amp;id=1sCAxygIR9g-O-IO0BtQgRAITOyMieYB3" TargetMode="External"/><Relationship Id="rId27" Type="http://schemas.openxmlformats.org/officeDocument/2006/relationships/hyperlink" Target="https://drive.google.com/uc?export=download&amp;id=14mDrE3VWnbgvQW8UDUspMiqrT7Xy8Lk5" TargetMode="External"/><Relationship Id="rId30" Type="http://schemas.openxmlformats.org/officeDocument/2006/relationships/hyperlink" Target="https://drive.google.com/uc?export=download&amp;id=1Bgygn7Q-p0NIE0GCXhTi3vjNXEindVaA" TargetMode="External"/><Relationship Id="rId35" Type="http://schemas.openxmlformats.org/officeDocument/2006/relationships/hyperlink" Target="https://drive.google.com/uc?export=download&amp;id=1KpBQBnCMAzdix_HwWHKmVxwjZIj-81Ad" TargetMode="External"/><Relationship Id="rId43" Type="http://schemas.openxmlformats.org/officeDocument/2006/relationships/hyperlink" Target="https://drive.google.com/uc?export=download&amp;id=1hyBNaG_L_RHQnh-k5vxkD3Y8mx2qFw1E" TargetMode="External"/><Relationship Id="rId48" Type="http://schemas.openxmlformats.org/officeDocument/2006/relationships/hyperlink" Target="https://drive.google.com/uc?export=download&amp;id=1vZphjr9_1VQ_JfEziH2KF6XJ5av4u9kF" TargetMode="External"/><Relationship Id="rId56" Type="http://schemas.openxmlformats.org/officeDocument/2006/relationships/hyperlink" Target="https://drive.google.com/uc?export=download&amp;id=193wNRDtPPlRoe8j-nSg9p37-eAgmxnlk" TargetMode="External"/><Relationship Id="rId64" Type="http://schemas.openxmlformats.org/officeDocument/2006/relationships/hyperlink" Target="https://drive.google.com/uc?export=download&amp;id=1APpiQQiQLWOz_yhuDk7L9j_mdCjqRS_9" TargetMode="External"/><Relationship Id="rId8" Type="http://schemas.openxmlformats.org/officeDocument/2006/relationships/hyperlink" Target="https://drive.google.com/uc?export=download&amp;id=1wi8_mlbDX1oIFpZTlVFrFxheL7MJyy9f" TargetMode="External"/><Relationship Id="rId51" Type="http://schemas.openxmlformats.org/officeDocument/2006/relationships/hyperlink" Target="https://drive.google.com/uc?export=download&amp;id=1NoRUC_nZZXZg0GAebx26IEUyiFeE0TUJ" TargetMode="External"/><Relationship Id="rId3" Type="http://schemas.openxmlformats.org/officeDocument/2006/relationships/hyperlink" Target="https://drive.google.com/uc?export=download&amp;id=1nFmi9bfmflqEQ_GgOThSVAx8QBOVj765" TargetMode="External"/><Relationship Id="rId12" Type="http://schemas.openxmlformats.org/officeDocument/2006/relationships/hyperlink" Target="https://drive.google.com/uc?export=download&amp;id=1b054dW1vwFe3a8KhBPr7pS4urbHl0Vb4" TargetMode="External"/><Relationship Id="rId17" Type="http://schemas.openxmlformats.org/officeDocument/2006/relationships/hyperlink" Target="https://drive.google.com/uc?export=download&amp;id=1DDFuzwQGv5bas_NLWMLmmzoZ4MMEiP14" TargetMode="External"/><Relationship Id="rId25" Type="http://schemas.openxmlformats.org/officeDocument/2006/relationships/hyperlink" Target="https://drive.google.com/uc?export=download&amp;id=18X8h7ah78CdkV4EIKDe1tb9AkeTWstZW" TargetMode="External"/><Relationship Id="rId33" Type="http://schemas.openxmlformats.org/officeDocument/2006/relationships/hyperlink" Target="https://drive.google.com/uc?export=download&amp;id=1RJklKZmcAPKC8g21nYUAebt-3JQPDR5a" TargetMode="External"/><Relationship Id="rId38" Type="http://schemas.openxmlformats.org/officeDocument/2006/relationships/hyperlink" Target="https://drive.google.com/uc?export=download&amp;id=1yzyP3go4cnr40aCm8-UdwxrSXxFSYWKU" TargetMode="External"/><Relationship Id="rId46" Type="http://schemas.openxmlformats.org/officeDocument/2006/relationships/hyperlink" Target="https://drive.google.com/uc?export=download&amp;id=1rVdbgsHO7R5Rs5U_8egmb1LmhgrKv55F" TargetMode="External"/><Relationship Id="rId59" Type="http://schemas.openxmlformats.org/officeDocument/2006/relationships/hyperlink" Target="https://drive.google.com/uc?export=download&amp;id=1Ia9LosxloyK3h8Pp2KFtJVoi-msiDAlC" TargetMode="External"/><Relationship Id="rId20" Type="http://schemas.openxmlformats.org/officeDocument/2006/relationships/hyperlink" Target="https://drive.google.com/uc?export=download&amp;id=1vfL502kjWKvOcJdGihVDwr8hff81wMjF" TargetMode="External"/><Relationship Id="rId41" Type="http://schemas.openxmlformats.org/officeDocument/2006/relationships/hyperlink" Target="https://drive.google.com/uc?export=download&amp;id=1Un6GKf-Q3J-C5dKfdT0A4z3PV92QIeOG" TargetMode="External"/><Relationship Id="rId54" Type="http://schemas.openxmlformats.org/officeDocument/2006/relationships/hyperlink" Target="https://drive.google.com/uc?export=download&amp;id=1Yn0rPOS6kgmB9PrmMZMpImsnTULzvnO9" TargetMode="External"/><Relationship Id="rId62" Type="http://schemas.openxmlformats.org/officeDocument/2006/relationships/hyperlink" Target="https://drive.google.com/uc?export=download&amp;id=1APpiQQiQLWOz_yhuDk7L9j_mdCjqRS_9" TargetMode="External"/><Relationship Id="rId1" Type="http://schemas.openxmlformats.org/officeDocument/2006/relationships/hyperlink" Target="https://drive.google.com/uc?export=download&amp;id=1UlMLexO4OUzeHevH7v_l570XMm9S56XQ" TargetMode="External"/><Relationship Id="rId6" Type="http://schemas.openxmlformats.org/officeDocument/2006/relationships/hyperlink" Target="https://drive.google.com/uc?export=download&amp;id=1RCXDo_kyjntkvhHw0LEINpol-ly_HhFy" TargetMode="External"/><Relationship Id="rId15" Type="http://schemas.openxmlformats.org/officeDocument/2006/relationships/hyperlink" Target="https://drive.google.com/uc?export=download&amp;id=1vK5U39yVCtSUvxo50NKTM4L9Ha9X83z1" TargetMode="External"/><Relationship Id="rId23" Type="http://schemas.openxmlformats.org/officeDocument/2006/relationships/hyperlink" Target="https://drive.google.com/uc?export=download&amp;id=1qGDea2aGHWsXsjsniJX6ldSO36WwQmRy" TargetMode="External"/><Relationship Id="rId28" Type="http://schemas.openxmlformats.org/officeDocument/2006/relationships/hyperlink" Target="https://drive.google.com/uc?export=download&amp;id=1ghC_zurK4oY0hxn9GHgBBGjqQzk0hCWA" TargetMode="External"/><Relationship Id="rId36" Type="http://schemas.openxmlformats.org/officeDocument/2006/relationships/hyperlink" Target="https://drive.google.com/uc?export=download&amp;id=1wy57hXSUe3zbLS1my_emXw5Fcm6m1TMX" TargetMode="External"/><Relationship Id="rId49" Type="http://schemas.openxmlformats.org/officeDocument/2006/relationships/hyperlink" Target="https://drive.google.com/uc?export=download&amp;id=1kxrzoYf8iTFLPyI4E447bAEj6hKuT8g0" TargetMode="External"/><Relationship Id="rId57" Type="http://schemas.openxmlformats.org/officeDocument/2006/relationships/hyperlink" Target="https://drive.google.com/uc?export=download&amp;id=1XuljrxVUT18F-s2oO-45-E9F2VrmYEqc" TargetMode="External"/><Relationship Id="rId10" Type="http://schemas.openxmlformats.org/officeDocument/2006/relationships/hyperlink" Target="https://drive.google.com/uc?export=download&amp;id=14uuM94arLsAEOcinA83FIXGkmgs-ai56" TargetMode="External"/><Relationship Id="rId31" Type="http://schemas.openxmlformats.org/officeDocument/2006/relationships/hyperlink" Target="https://drive.google.com/uc?export=download&amp;id=1o2HzjznKyOOC-SOh8TdLa6vZG6EVbfT6" TargetMode="External"/><Relationship Id="rId44" Type="http://schemas.openxmlformats.org/officeDocument/2006/relationships/hyperlink" Target="https://drive.google.com/uc?export=download&amp;id=1TgtkYy422nOCXfhQNO7fck2TgYgoea1V" TargetMode="External"/><Relationship Id="rId52" Type="http://schemas.openxmlformats.org/officeDocument/2006/relationships/hyperlink" Target="https://drive.google.com/uc?export=download&amp;id=1hY4ooV_e3NoADSXzOQRDERx2fmhNr-1T" TargetMode="External"/><Relationship Id="rId60" Type="http://schemas.openxmlformats.org/officeDocument/2006/relationships/hyperlink" Target="https://drive.google.com/uc?export=download&amp;id=1lSg-AA5dtwu5zv9Pe8ZjhxzixsLVhBnG" TargetMode="External"/><Relationship Id="rId65" Type="http://schemas.openxmlformats.org/officeDocument/2006/relationships/hyperlink" Target="https://drive.google.com/uc?export=download&amp;id=1APpiQQiQLWOz_yhuDk7L9j_mdCjqRS_9" TargetMode="External"/><Relationship Id="rId4" Type="http://schemas.openxmlformats.org/officeDocument/2006/relationships/hyperlink" Target="https://drive.google.com/uc?export=download&amp;id=1kAGNEyGFRPqlr2MlW2P_JVogmASuQzgc" TargetMode="External"/><Relationship Id="rId9" Type="http://schemas.openxmlformats.org/officeDocument/2006/relationships/hyperlink" Target="https://drive.google.com/uc?export=download&amp;id=1yJLFFt3H4fRU2BI_RPerKX8RSfoyw7KS" TargetMode="External"/><Relationship Id="rId13" Type="http://schemas.openxmlformats.org/officeDocument/2006/relationships/hyperlink" Target="https://drive.google.com/uc?export=download&amp;id=1hp2mwVNcfmxD5hzvLK6wIYul92lRtOnb" TargetMode="External"/><Relationship Id="rId18" Type="http://schemas.openxmlformats.org/officeDocument/2006/relationships/hyperlink" Target="https://drive.google.com/uc?export=download&amp;id=1m_FMqGt990ct-eIVZJmzzPnTcaTQM4M3" TargetMode="External"/><Relationship Id="rId39" Type="http://schemas.openxmlformats.org/officeDocument/2006/relationships/hyperlink" Target="https://drive.google.com/uc?export=download&amp;id=1TMCXECqjOWcHO3K6v9Ol43uaEJqVlfvv"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blinkit.com/prn/nev-usb-30-w-mini-chopper-dark-blue/prid/695627" TargetMode="External"/><Relationship Id="rId13" Type="http://schemas.openxmlformats.org/officeDocument/2006/relationships/hyperlink" Target="https://blinkit.com/prn/xech-portable-rechargeable-280-w-blender-white/prid/618886" TargetMode="External"/><Relationship Id="rId3" Type="http://schemas.openxmlformats.org/officeDocument/2006/relationships/hyperlink" Target="https://blinkit.com/prn/home-lane-electric-milk-frother-multicolour/prid/680257" TargetMode="External"/><Relationship Id="rId7" Type="http://schemas.openxmlformats.org/officeDocument/2006/relationships/hyperlink" Target="https://blinkit.com/prn/wonderchef-regalia-milk-frother-black-6w/prid/544663" TargetMode="External"/><Relationship Id="rId12" Type="http://schemas.openxmlformats.org/officeDocument/2006/relationships/hyperlink" Target="https://blinkit.com/prn/solara-blendkwik-portable-180-w-blender-for-juices-smoothies-black/prid/627046" TargetMode="External"/><Relationship Id="rId2" Type="http://schemas.openxmlformats.org/officeDocument/2006/relationships/hyperlink" Target="https://blinkit.com/prn/longway-electric-kettle-1500w-kestro-silver/prid/638550" TargetMode="External"/><Relationship Id="rId1" Type="http://schemas.openxmlformats.org/officeDocument/2006/relationships/hyperlink" Target="https://blinkit.com/prn/digismart-electric-kettle-2000-w-mark-1-black/prid/612266" TargetMode="External"/><Relationship Id="rId6" Type="http://schemas.openxmlformats.org/officeDocument/2006/relationships/hyperlink" Target="https://blinkit.com/prn/agaro-royal-electric-rechargeable-frother-with-whisk-black/prid/542055" TargetMode="External"/><Relationship Id="rId11" Type="http://schemas.openxmlformats.org/officeDocument/2006/relationships/hyperlink" Target="https://blinkit.com/prn/kilig-portable-rechargeable-150-w-hand-blender/prid/570241" TargetMode="External"/><Relationship Id="rId5" Type="http://schemas.openxmlformats.org/officeDocument/2006/relationships/hyperlink" Target="https://blinkit.com/prn/cpensus-electric-frother-with-3-whiskers-stand-black-3w-309/prid/682847" TargetMode="External"/><Relationship Id="rId10" Type="http://schemas.openxmlformats.org/officeDocument/2006/relationships/hyperlink" Target="https://blinkit.com/prn/agaro-elite-rechargeable-mini-electric-chopper-30w-black-250-ml/prid/541850" TargetMode="External"/><Relationship Id="rId4" Type="http://schemas.openxmlformats.org/officeDocument/2006/relationships/hyperlink" Target="https://blinkit.com/prn/pro365-electric-milk-frother-black/prid/629986" TargetMode="External"/><Relationship Id="rId9" Type="http://schemas.openxmlformats.org/officeDocument/2006/relationships/hyperlink" Target="https://blinkit.com/prn/lifelong-wireless-electric-chopper-with-safety-start-lock-30w-llwc02-black-250-ml/prid/5246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workbookViewId="0"/>
  </sheetViews>
  <sheetFormatPr defaultColWidth="14.44140625" defaultRowHeight="15" customHeight="1"/>
  <cols>
    <col min="1" max="1" width="80.33203125" customWidth="1"/>
    <col min="2" max="12" width="10.33203125" customWidth="1"/>
    <col min="13" max="13" width="8.6640625" customWidth="1"/>
    <col min="14" max="15" width="14.44140625" customWidth="1"/>
    <col min="16" max="16" width="10.33203125" customWidth="1"/>
    <col min="17" max="17" width="8.6640625" customWidth="1"/>
    <col min="18" max="18" width="16.44140625" customWidth="1"/>
    <col min="19" max="21" width="3" customWidth="1"/>
    <col min="22" max="22" width="16.6640625" customWidth="1"/>
    <col min="23" max="33" width="8.6640625" customWidth="1"/>
  </cols>
  <sheetData>
    <row r="1" spans="1:33" ht="14.25" customHeight="1">
      <c r="A1" s="1" t="s">
        <v>0</v>
      </c>
      <c r="B1" s="1" t="s">
        <v>1</v>
      </c>
      <c r="C1" s="1" t="s">
        <v>2</v>
      </c>
      <c r="D1" s="1" t="s">
        <v>3</v>
      </c>
      <c r="E1" s="1" t="s">
        <v>4</v>
      </c>
      <c r="F1" s="1" t="s">
        <v>5</v>
      </c>
      <c r="G1" s="1" t="s">
        <v>0</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AB1" s="2">
        <f t="shared" ref="AB1:AG1" si="0">SUM(AB2:AB9)*40</f>
        <v>640</v>
      </c>
      <c r="AC1" s="2">
        <f t="shared" si="0"/>
        <v>720</v>
      </c>
      <c r="AD1" s="2">
        <f t="shared" si="0"/>
        <v>720</v>
      </c>
      <c r="AE1" s="2">
        <f t="shared" si="0"/>
        <v>720</v>
      </c>
      <c r="AF1" s="2">
        <f t="shared" si="0"/>
        <v>640</v>
      </c>
      <c r="AG1" s="2">
        <f t="shared" si="0"/>
        <v>720</v>
      </c>
    </row>
    <row r="2" spans="1:33" ht="14.25" customHeight="1">
      <c r="A2" s="3" t="s">
        <v>21</v>
      </c>
      <c r="B2" s="4" t="s">
        <v>22</v>
      </c>
      <c r="C2" s="5">
        <v>8904422500006</v>
      </c>
      <c r="D2" s="4" t="s">
        <v>23</v>
      </c>
      <c r="E2" s="3" t="s">
        <v>24</v>
      </c>
      <c r="F2" s="3" t="s">
        <v>25</v>
      </c>
      <c r="G2" s="3" t="s">
        <v>21</v>
      </c>
      <c r="H2" s="3" t="s">
        <v>26</v>
      </c>
      <c r="I2" s="3" t="s">
        <v>27</v>
      </c>
      <c r="J2" s="3"/>
      <c r="K2" s="3">
        <v>24999</v>
      </c>
      <c r="L2" s="6">
        <v>94013900</v>
      </c>
      <c r="M2" s="7">
        <v>0.18</v>
      </c>
      <c r="N2" s="6">
        <v>52</v>
      </c>
      <c r="O2" s="6" t="e">
        <f>VLOOKUP(F2,[3]Sheet3!$B$2:$E$9,4,0)</f>
        <v>#N/A</v>
      </c>
      <c r="P2" s="8">
        <v>60.75</v>
      </c>
      <c r="Q2" s="5">
        <v>7927.7130000000016</v>
      </c>
      <c r="R2" s="9">
        <v>21</v>
      </c>
      <c r="S2" s="4">
        <v>67</v>
      </c>
      <c r="T2" s="4">
        <v>33</v>
      </c>
      <c r="U2" s="4">
        <v>87</v>
      </c>
      <c r="V2" s="10">
        <f t="shared" ref="V2:V24" si="1">S2*T2*U2/5000</f>
        <v>38.471400000000003</v>
      </c>
      <c r="AB2" s="2">
        <v>2</v>
      </c>
      <c r="AC2" s="2">
        <v>3</v>
      </c>
      <c r="AD2" s="2">
        <v>3</v>
      </c>
      <c r="AE2" s="2">
        <v>3</v>
      </c>
      <c r="AF2" s="2">
        <v>2</v>
      </c>
      <c r="AG2" s="2">
        <v>3</v>
      </c>
    </row>
    <row r="3" spans="1:33" ht="14.25" customHeight="1">
      <c r="A3" s="3" t="s">
        <v>28</v>
      </c>
      <c r="B3" s="4" t="s">
        <v>29</v>
      </c>
      <c r="C3" s="5">
        <v>8904422501713</v>
      </c>
      <c r="D3" s="4" t="s">
        <v>23</v>
      </c>
      <c r="E3" s="3" t="s">
        <v>30</v>
      </c>
      <c r="F3" s="3" t="s">
        <v>31</v>
      </c>
      <c r="G3" s="3" t="s">
        <v>28</v>
      </c>
      <c r="H3" s="3" t="s">
        <v>32</v>
      </c>
      <c r="I3" s="3" t="s">
        <v>33</v>
      </c>
      <c r="J3" s="3"/>
      <c r="K3" s="3">
        <v>24999</v>
      </c>
      <c r="L3" s="6">
        <v>94013900</v>
      </c>
      <c r="M3" s="7">
        <v>0.18</v>
      </c>
      <c r="N3" s="6">
        <v>52</v>
      </c>
      <c r="O3" s="6" t="e">
        <f>VLOOKUP(F3,[3]Sheet3!$B$2:$E$9,4,0)</f>
        <v>#N/A</v>
      </c>
      <c r="P3" s="8">
        <v>60.75</v>
      </c>
      <c r="Q3" s="5">
        <v>7927.7130000000016</v>
      </c>
      <c r="R3" s="9">
        <v>21</v>
      </c>
      <c r="S3" s="4">
        <v>67</v>
      </c>
      <c r="T3" s="4">
        <v>33</v>
      </c>
      <c r="U3" s="4">
        <v>87</v>
      </c>
      <c r="V3" s="10">
        <f t="shared" si="1"/>
        <v>38.471400000000003</v>
      </c>
      <c r="AB3" s="2">
        <v>2</v>
      </c>
      <c r="AC3" s="2">
        <v>3</v>
      </c>
      <c r="AD3" s="2">
        <v>3</v>
      </c>
      <c r="AE3" s="2">
        <v>3</v>
      </c>
      <c r="AF3" s="2">
        <v>2</v>
      </c>
      <c r="AG3" s="2">
        <v>3</v>
      </c>
    </row>
    <row r="4" spans="1:33" ht="14.25" customHeight="1">
      <c r="A4" s="3" t="s">
        <v>34</v>
      </c>
      <c r="B4" s="4" t="s">
        <v>35</v>
      </c>
      <c r="C4" s="5">
        <v>8904422501720</v>
      </c>
      <c r="D4" s="4" t="s">
        <v>23</v>
      </c>
      <c r="E4" s="3" t="s">
        <v>36</v>
      </c>
      <c r="F4" s="3" t="s">
        <v>37</v>
      </c>
      <c r="G4" s="3" t="s">
        <v>34</v>
      </c>
      <c r="H4" s="3" t="s">
        <v>38</v>
      </c>
      <c r="I4" s="3" t="s">
        <v>27</v>
      </c>
      <c r="J4" s="3" t="s">
        <v>8</v>
      </c>
      <c r="K4" s="3">
        <v>29999</v>
      </c>
      <c r="L4" s="6">
        <v>94013900</v>
      </c>
      <c r="M4" s="7">
        <v>0.18</v>
      </c>
      <c r="N4" s="6">
        <v>60</v>
      </c>
      <c r="O4" s="6" t="e">
        <f>VLOOKUP(F4,[3]Sheet3!$B$2:$E$9,4,0)</f>
        <v>#N/A</v>
      </c>
      <c r="P4" s="8">
        <v>81.349999999999994</v>
      </c>
      <c r="Q4" s="5">
        <v>10094.234999999999</v>
      </c>
      <c r="R4" s="9">
        <v>24</v>
      </c>
      <c r="S4" s="4">
        <v>83</v>
      </c>
      <c r="T4" s="4">
        <v>65</v>
      </c>
      <c r="U4" s="4">
        <v>37</v>
      </c>
      <c r="V4" s="10">
        <f t="shared" si="1"/>
        <v>39.923000000000002</v>
      </c>
      <c r="AB4" s="2">
        <v>3</v>
      </c>
      <c r="AC4" s="2">
        <v>3</v>
      </c>
      <c r="AD4" s="2">
        <v>3</v>
      </c>
      <c r="AE4" s="2">
        <v>3</v>
      </c>
      <c r="AF4" s="2">
        <v>3</v>
      </c>
      <c r="AG4" s="2">
        <v>3</v>
      </c>
    </row>
    <row r="5" spans="1:33" ht="14.25" customHeight="1">
      <c r="A5" s="3" t="s">
        <v>39</v>
      </c>
      <c r="B5" s="4" t="s">
        <v>40</v>
      </c>
      <c r="C5" s="5">
        <v>8904422501737</v>
      </c>
      <c r="D5" s="4" t="s">
        <v>23</v>
      </c>
      <c r="E5" s="3" t="s">
        <v>41</v>
      </c>
      <c r="F5" s="3" t="s">
        <v>42</v>
      </c>
      <c r="G5" s="3" t="s">
        <v>39</v>
      </c>
      <c r="H5" s="3" t="s">
        <v>43</v>
      </c>
      <c r="I5" s="3" t="s">
        <v>33</v>
      </c>
      <c r="J5" s="3" t="s">
        <v>8</v>
      </c>
      <c r="K5" s="3">
        <v>29999</v>
      </c>
      <c r="L5" s="6">
        <v>94013900</v>
      </c>
      <c r="M5" s="7">
        <v>0.18</v>
      </c>
      <c r="N5" s="6">
        <v>41</v>
      </c>
      <c r="O5" s="6" t="e">
        <f>VLOOKUP(F5,[3]Sheet3!$B$2:$E$9,4,0)</f>
        <v>#N/A</v>
      </c>
      <c r="P5" s="8">
        <v>81.349999999999994</v>
      </c>
      <c r="Q5" s="5">
        <v>10094.234999999999</v>
      </c>
      <c r="R5" s="9">
        <v>24</v>
      </c>
      <c r="S5" s="4">
        <v>83</v>
      </c>
      <c r="T5" s="4">
        <v>65</v>
      </c>
      <c r="U5" s="4">
        <v>37</v>
      </c>
      <c r="V5" s="10">
        <f t="shared" si="1"/>
        <v>39.923000000000002</v>
      </c>
      <c r="AB5" s="2">
        <v>2</v>
      </c>
      <c r="AC5" s="2">
        <v>2</v>
      </c>
      <c r="AD5" s="2">
        <v>2</v>
      </c>
      <c r="AE5" s="2">
        <v>2</v>
      </c>
      <c r="AF5" s="2">
        <v>2</v>
      </c>
      <c r="AG5" s="2">
        <v>2</v>
      </c>
    </row>
    <row r="6" spans="1:33" ht="14.25" customHeight="1">
      <c r="A6" s="3" t="s">
        <v>44</v>
      </c>
      <c r="B6" s="4" t="s">
        <v>45</v>
      </c>
      <c r="C6" s="5">
        <v>8904422501744</v>
      </c>
      <c r="D6" s="4" t="s">
        <v>23</v>
      </c>
      <c r="E6" s="3" t="s">
        <v>46</v>
      </c>
      <c r="F6" s="3" t="s">
        <v>47</v>
      </c>
      <c r="G6" s="3" t="s">
        <v>44</v>
      </c>
      <c r="H6" s="3" t="s">
        <v>48</v>
      </c>
      <c r="I6" s="3" t="s">
        <v>49</v>
      </c>
      <c r="J6" s="3" t="s">
        <v>8</v>
      </c>
      <c r="K6" s="3">
        <v>29999</v>
      </c>
      <c r="L6" s="6">
        <v>94013900</v>
      </c>
      <c r="M6" s="7">
        <v>0.18</v>
      </c>
      <c r="N6" s="6">
        <v>25</v>
      </c>
      <c r="O6" s="6" t="e">
        <f>VLOOKUP(F6,[3]Sheet3!$B$2:$E$9,4,0)</f>
        <v>#N/A</v>
      </c>
      <c r="P6" s="8">
        <v>81.349999999999994</v>
      </c>
      <c r="Q6" s="5">
        <v>10094.234999999999</v>
      </c>
      <c r="R6" s="9">
        <v>24</v>
      </c>
      <c r="S6" s="4">
        <v>83</v>
      </c>
      <c r="T6" s="4">
        <v>65</v>
      </c>
      <c r="U6" s="4">
        <v>37</v>
      </c>
      <c r="V6" s="10">
        <f t="shared" si="1"/>
        <v>39.923000000000002</v>
      </c>
      <c r="AB6" s="2">
        <v>1</v>
      </c>
      <c r="AC6" s="2">
        <v>1</v>
      </c>
      <c r="AD6" s="2">
        <v>1</v>
      </c>
      <c r="AE6" s="2">
        <v>1</v>
      </c>
      <c r="AF6" s="2">
        <v>1</v>
      </c>
      <c r="AG6" s="2">
        <v>1</v>
      </c>
    </row>
    <row r="7" spans="1:33" ht="14.25" customHeight="1">
      <c r="A7" s="3" t="s">
        <v>50</v>
      </c>
      <c r="B7" s="4" t="s">
        <v>51</v>
      </c>
      <c r="C7" s="5">
        <v>8904422501751</v>
      </c>
      <c r="D7" s="4" t="s">
        <v>23</v>
      </c>
      <c r="E7" s="3" t="s">
        <v>52</v>
      </c>
      <c r="F7" s="3" t="s">
        <v>53</v>
      </c>
      <c r="G7" s="3" t="s">
        <v>50</v>
      </c>
      <c r="H7" s="3" t="s">
        <v>54</v>
      </c>
      <c r="I7" s="3" t="s">
        <v>27</v>
      </c>
      <c r="J7" s="3" t="s">
        <v>55</v>
      </c>
      <c r="K7" s="3">
        <v>29999</v>
      </c>
      <c r="L7" s="6">
        <v>94013900</v>
      </c>
      <c r="M7" s="7">
        <v>0.18</v>
      </c>
      <c r="N7" s="6">
        <v>60</v>
      </c>
      <c r="O7" s="6" t="e">
        <f>VLOOKUP(F7,[3]Sheet3!$B$2:$E$9,4,0)</f>
        <v>#N/A</v>
      </c>
      <c r="P7" s="8">
        <v>81.349999999999994</v>
      </c>
      <c r="Q7" s="5">
        <v>10094.234999999999</v>
      </c>
      <c r="R7" s="9">
        <v>24</v>
      </c>
      <c r="S7" s="4">
        <v>83</v>
      </c>
      <c r="T7" s="4">
        <v>65</v>
      </c>
      <c r="U7" s="4">
        <v>37</v>
      </c>
      <c r="V7" s="10">
        <f t="shared" si="1"/>
        <v>39.923000000000002</v>
      </c>
      <c r="AB7" s="2">
        <v>3</v>
      </c>
      <c r="AC7" s="2">
        <v>3</v>
      </c>
      <c r="AD7" s="2">
        <v>3</v>
      </c>
      <c r="AE7" s="2">
        <v>3</v>
      </c>
      <c r="AF7" s="2">
        <v>3</v>
      </c>
      <c r="AG7" s="2">
        <v>3</v>
      </c>
    </row>
    <row r="8" spans="1:33" ht="14.25" customHeight="1">
      <c r="A8" s="3" t="s">
        <v>56</v>
      </c>
      <c r="B8" s="4" t="s">
        <v>57</v>
      </c>
      <c r="C8" s="5">
        <v>8904422501768</v>
      </c>
      <c r="D8" s="4" t="s">
        <v>23</v>
      </c>
      <c r="E8" s="3" t="s">
        <v>58</v>
      </c>
      <c r="F8" s="3" t="s">
        <v>59</v>
      </c>
      <c r="G8" s="3" t="s">
        <v>56</v>
      </c>
      <c r="H8" s="3" t="s">
        <v>60</v>
      </c>
      <c r="I8" s="3" t="s">
        <v>33</v>
      </c>
      <c r="J8" s="3" t="s">
        <v>55</v>
      </c>
      <c r="K8" s="3">
        <v>29999</v>
      </c>
      <c r="L8" s="6">
        <v>94013900</v>
      </c>
      <c r="M8" s="7">
        <v>0.18</v>
      </c>
      <c r="N8" s="6">
        <v>40</v>
      </c>
      <c r="O8" s="6" t="e">
        <f>VLOOKUP(F8,[3]Sheet3!$B$2:$E$9,4,0)</f>
        <v>#N/A</v>
      </c>
      <c r="P8" s="8">
        <v>81.349999999999994</v>
      </c>
      <c r="Q8" s="5">
        <v>10094.234999999999</v>
      </c>
      <c r="R8" s="9">
        <v>24</v>
      </c>
      <c r="S8" s="4">
        <v>83</v>
      </c>
      <c r="T8" s="4">
        <v>65</v>
      </c>
      <c r="U8" s="4">
        <v>37</v>
      </c>
      <c r="V8" s="10">
        <f t="shared" si="1"/>
        <v>39.923000000000002</v>
      </c>
      <c r="AB8" s="2">
        <v>2</v>
      </c>
      <c r="AC8" s="2">
        <v>2</v>
      </c>
      <c r="AD8" s="2">
        <v>2</v>
      </c>
      <c r="AE8" s="2">
        <v>2</v>
      </c>
      <c r="AF8" s="2">
        <v>2</v>
      </c>
      <c r="AG8" s="2">
        <v>2</v>
      </c>
    </row>
    <row r="9" spans="1:33" ht="14.25" customHeight="1">
      <c r="A9" s="3" t="s">
        <v>61</v>
      </c>
      <c r="B9" s="4" t="s">
        <v>62</v>
      </c>
      <c r="C9" s="5">
        <v>8904422501775</v>
      </c>
      <c r="D9" s="4" t="s">
        <v>23</v>
      </c>
      <c r="E9" s="3" t="s">
        <v>63</v>
      </c>
      <c r="F9" s="3" t="s">
        <v>64</v>
      </c>
      <c r="G9" s="3" t="s">
        <v>61</v>
      </c>
      <c r="H9" s="3" t="s">
        <v>65</v>
      </c>
      <c r="I9" s="3" t="s">
        <v>49</v>
      </c>
      <c r="J9" s="3" t="s">
        <v>55</v>
      </c>
      <c r="K9" s="3">
        <v>29999</v>
      </c>
      <c r="L9" s="6">
        <v>94013900</v>
      </c>
      <c r="M9" s="7">
        <v>0.18</v>
      </c>
      <c r="N9" s="6">
        <v>25</v>
      </c>
      <c r="O9" s="6" t="e">
        <f>VLOOKUP(F9,[3]Sheet3!$B$2:$E$9,4,0)</f>
        <v>#N/A</v>
      </c>
      <c r="P9" s="8">
        <v>81.349999999999994</v>
      </c>
      <c r="Q9" s="5">
        <v>10094.234999999999</v>
      </c>
      <c r="R9" s="9">
        <v>24</v>
      </c>
      <c r="S9" s="4">
        <v>83</v>
      </c>
      <c r="T9" s="4">
        <v>65</v>
      </c>
      <c r="U9" s="4">
        <v>37</v>
      </c>
      <c r="V9" s="10">
        <f t="shared" si="1"/>
        <v>39.923000000000002</v>
      </c>
      <c r="AB9" s="2">
        <v>1</v>
      </c>
      <c r="AC9" s="2">
        <v>1</v>
      </c>
      <c r="AD9" s="2">
        <v>1</v>
      </c>
      <c r="AE9" s="2">
        <v>1</v>
      </c>
      <c r="AF9" s="2">
        <v>1</v>
      </c>
      <c r="AG9" s="2">
        <v>1</v>
      </c>
    </row>
    <row r="10" spans="1:33" ht="14.25" customHeight="1">
      <c r="A10" s="3" t="s">
        <v>66</v>
      </c>
      <c r="B10" s="6" t="s">
        <v>67</v>
      </c>
      <c r="C10" s="5">
        <v>8904422501782</v>
      </c>
      <c r="D10" s="4" t="s">
        <v>23</v>
      </c>
      <c r="E10" s="3" t="s">
        <v>68</v>
      </c>
      <c r="F10" s="3" t="s">
        <v>69</v>
      </c>
      <c r="G10" s="3" t="s">
        <v>66</v>
      </c>
      <c r="H10" s="6" t="s">
        <v>70</v>
      </c>
      <c r="I10" s="6" t="s">
        <v>27</v>
      </c>
      <c r="J10" s="6"/>
      <c r="K10" s="3">
        <v>9999</v>
      </c>
      <c r="L10" s="6">
        <v>85181000</v>
      </c>
      <c r="M10" s="7">
        <v>0.18</v>
      </c>
      <c r="N10" s="6">
        <v>29</v>
      </c>
      <c r="O10" s="6"/>
      <c r="P10" s="8"/>
      <c r="Q10" s="5">
        <v>2386.3920000000003</v>
      </c>
      <c r="R10" s="9">
        <v>0.77</v>
      </c>
      <c r="S10" s="4">
        <v>24</v>
      </c>
      <c r="T10" s="4">
        <v>17</v>
      </c>
      <c r="U10" s="4">
        <v>11</v>
      </c>
      <c r="V10" s="11">
        <f t="shared" si="1"/>
        <v>0.89759999999999995</v>
      </c>
    </row>
    <row r="11" spans="1:33" ht="14.25" customHeight="1">
      <c r="A11" s="3" t="s">
        <v>71</v>
      </c>
      <c r="B11" s="6" t="s">
        <v>72</v>
      </c>
      <c r="C11" s="5">
        <v>8904422501799</v>
      </c>
      <c r="D11" s="4" t="s">
        <v>23</v>
      </c>
      <c r="E11" s="3" t="s">
        <v>73</v>
      </c>
      <c r="F11" s="3" t="s">
        <v>74</v>
      </c>
      <c r="G11" s="3" t="s">
        <v>71</v>
      </c>
      <c r="H11" s="6" t="s">
        <v>75</v>
      </c>
      <c r="I11" s="6" t="s">
        <v>27</v>
      </c>
      <c r="J11" s="6"/>
      <c r="K11" s="3">
        <v>9999</v>
      </c>
      <c r="L11" s="6">
        <v>85181000</v>
      </c>
      <c r="M11" s="7">
        <v>0.18</v>
      </c>
      <c r="N11" s="6">
        <v>35</v>
      </c>
      <c r="O11" s="6"/>
      <c r="P11" s="8"/>
      <c r="Q11" s="5">
        <v>2892.0360000000001</v>
      </c>
      <c r="R11" s="9">
        <v>0.91</v>
      </c>
      <c r="S11" s="4">
        <v>26</v>
      </c>
      <c r="T11" s="4">
        <v>14</v>
      </c>
      <c r="U11" s="4">
        <v>11</v>
      </c>
      <c r="V11" s="11">
        <f t="shared" si="1"/>
        <v>0.80079999999999996</v>
      </c>
    </row>
    <row r="12" spans="1:33" ht="14.25" customHeight="1">
      <c r="A12" s="3" t="s">
        <v>76</v>
      </c>
      <c r="B12" s="6" t="s">
        <v>77</v>
      </c>
      <c r="C12" s="5">
        <v>8904422501928</v>
      </c>
      <c r="D12" s="4" t="s">
        <v>23</v>
      </c>
      <c r="E12" s="3" t="s">
        <v>78</v>
      </c>
      <c r="F12" s="3" t="s">
        <v>79</v>
      </c>
      <c r="G12" s="3" t="s">
        <v>76</v>
      </c>
      <c r="H12" s="6" t="s">
        <v>80</v>
      </c>
      <c r="I12" s="6" t="s">
        <v>27</v>
      </c>
      <c r="J12" s="6"/>
      <c r="K12" s="3">
        <v>6999</v>
      </c>
      <c r="L12" s="6">
        <v>94013900</v>
      </c>
      <c r="M12" s="7">
        <v>0.18</v>
      </c>
      <c r="N12" s="6">
        <v>10</v>
      </c>
      <c r="O12" s="6"/>
      <c r="P12" s="8">
        <v>12.5</v>
      </c>
      <c r="Q12" s="5">
        <v>1721.1480000000001</v>
      </c>
      <c r="R12" s="9">
        <v>5.7</v>
      </c>
      <c r="S12" s="4">
        <v>54</v>
      </c>
      <c r="T12" s="4">
        <v>18</v>
      </c>
      <c r="U12" s="4">
        <v>51</v>
      </c>
      <c r="V12" s="10">
        <f t="shared" si="1"/>
        <v>9.9144000000000005</v>
      </c>
      <c r="AB12" s="2">
        <v>1</v>
      </c>
      <c r="AC12" s="2">
        <v>1</v>
      </c>
      <c r="AD12" s="2">
        <v>1</v>
      </c>
      <c r="AE12" s="2">
        <v>1</v>
      </c>
      <c r="AF12" s="2">
        <v>1</v>
      </c>
      <c r="AG12" s="2">
        <v>1</v>
      </c>
    </row>
    <row r="13" spans="1:33" ht="14.25" customHeight="1">
      <c r="A13" s="3" t="s">
        <v>81</v>
      </c>
      <c r="B13" s="6" t="s">
        <v>82</v>
      </c>
      <c r="C13" s="5">
        <v>8904422501935</v>
      </c>
      <c r="D13" s="4" t="s">
        <v>23</v>
      </c>
      <c r="E13" s="3" t="s">
        <v>83</v>
      </c>
      <c r="F13" s="3" t="s">
        <v>84</v>
      </c>
      <c r="G13" s="3" t="s">
        <v>81</v>
      </c>
      <c r="H13" s="6" t="s">
        <v>85</v>
      </c>
      <c r="I13" s="6" t="s">
        <v>27</v>
      </c>
      <c r="J13" s="6"/>
      <c r="K13" s="3">
        <v>6999</v>
      </c>
      <c r="L13" s="6">
        <v>94013900</v>
      </c>
      <c r="M13" s="7">
        <v>0.18</v>
      </c>
      <c r="N13" s="6">
        <v>10</v>
      </c>
      <c r="O13" s="6"/>
      <c r="P13" s="8">
        <v>12.5</v>
      </c>
      <c r="Q13" s="5">
        <v>1721.1480000000001</v>
      </c>
      <c r="R13" s="9">
        <v>5.7</v>
      </c>
      <c r="S13" s="4">
        <v>54</v>
      </c>
      <c r="T13" s="4">
        <v>18</v>
      </c>
      <c r="U13" s="4">
        <v>51</v>
      </c>
      <c r="V13" s="10">
        <f t="shared" si="1"/>
        <v>9.9144000000000005</v>
      </c>
      <c r="AB13" s="2">
        <v>1</v>
      </c>
      <c r="AC13" s="2">
        <v>1</v>
      </c>
      <c r="AD13" s="2">
        <v>1</v>
      </c>
      <c r="AE13" s="2">
        <v>1</v>
      </c>
      <c r="AF13" s="2">
        <v>1</v>
      </c>
      <c r="AG13" s="2">
        <v>1</v>
      </c>
    </row>
    <row r="14" spans="1:33" ht="14.25" customHeight="1">
      <c r="A14" s="6" t="s">
        <v>86</v>
      </c>
      <c r="B14" s="6" t="s">
        <v>87</v>
      </c>
      <c r="C14" s="5">
        <v>8904422501966</v>
      </c>
      <c r="D14" s="4" t="s">
        <v>23</v>
      </c>
      <c r="E14" s="6" t="s">
        <v>88</v>
      </c>
      <c r="F14" s="6" t="s">
        <v>89</v>
      </c>
      <c r="G14" s="6" t="s">
        <v>86</v>
      </c>
      <c r="H14" s="6" t="s">
        <v>90</v>
      </c>
      <c r="I14" s="6"/>
      <c r="J14" s="6"/>
      <c r="K14" s="3">
        <v>6399</v>
      </c>
      <c r="L14" s="6">
        <v>94019900</v>
      </c>
      <c r="M14" s="7">
        <v>0.18</v>
      </c>
      <c r="N14" s="6">
        <v>50</v>
      </c>
      <c r="O14" s="6"/>
      <c r="P14" s="6">
        <v>11.8</v>
      </c>
      <c r="Q14" s="5">
        <v>1595.5500000000002</v>
      </c>
      <c r="R14" s="9">
        <v>2.5</v>
      </c>
      <c r="S14" s="4">
        <v>67</v>
      </c>
      <c r="T14" s="6">
        <v>10</v>
      </c>
      <c r="U14" s="6">
        <v>65</v>
      </c>
      <c r="V14" s="10">
        <f t="shared" si="1"/>
        <v>8.7100000000000009</v>
      </c>
      <c r="Y14" s="6">
        <v>278</v>
      </c>
      <c r="AA14" s="2" t="s">
        <v>91</v>
      </c>
      <c r="AB14" s="2" t="s">
        <v>92</v>
      </c>
      <c r="AC14" s="2" t="s">
        <v>93</v>
      </c>
      <c r="AD14" s="2" t="s">
        <v>94</v>
      </c>
      <c r="AE14" s="2" t="s">
        <v>95</v>
      </c>
      <c r="AF14" s="2" t="s">
        <v>96</v>
      </c>
      <c r="AG14" s="2" t="s">
        <v>97</v>
      </c>
    </row>
    <row r="15" spans="1:33" ht="14.25" customHeight="1">
      <c r="A15" s="6" t="s">
        <v>98</v>
      </c>
      <c r="B15" s="6" t="s">
        <v>99</v>
      </c>
      <c r="C15" s="5">
        <v>8904422501973</v>
      </c>
      <c r="D15" s="4" t="s">
        <v>23</v>
      </c>
      <c r="E15" s="6" t="s">
        <v>100</v>
      </c>
      <c r="F15" s="6" t="s">
        <v>101</v>
      </c>
      <c r="G15" s="6" t="s">
        <v>98</v>
      </c>
      <c r="H15" s="6" t="s">
        <v>102</v>
      </c>
      <c r="I15" s="6"/>
      <c r="J15" s="6"/>
      <c r="K15" s="3">
        <v>3999</v>
      </c>
      <c r="L15" s="6">
        <v>94019900</v>
      </c>
      <c r="M15" s="7">
        <v>0.18</v>
      </c>
      <c r="N15" s="6">
        <v>25</v>
      </c>
      <c r="O15" s="6"/>
      <c r="P15" s="6">
        <v>5.9</v>
      </c>
      <c r="Q15" s="5">
        <v>993.75</v>
      </c>
      <c r="R15" s="9">
        <v>3.1</v>
      </c>
      <c r="S15" s="4">
        <v>67</v>
      </c>
      <c r="T15" s="6">
        <v>10</v>
      </c>
      <c r="U15" s="6">
        <v>65</v>
      </c>
      <c r="V15" s="10">
        <f t="shared" si="1"/>
        <v>8.7100000000000009</v>
      </c>
      <c r="Y15" s="6">
        <v>278</v>
      </c>
      <c r="AB15" s="2" t="s">
        <v>103</v>
      </c>
      <c r="AC15" s="2" t="s">
        <v>104</v>
      </c>
      <c r="AD15" s="2" t="s">
        <v>105</v>
      </c>
      <c r="AE15" s="2" t="s">
        <v>106</v>
      </c>
      <c r="AF15" s="2" t="s">
        <v>107</v>
      </c>
      <c r="AG15" s="2" t="s">
        <v>108</v>
      </c>
    </row>
    <row r="16" spans="1:33" ht="14.25" customHeight="1">
      <c r="A16" s="6" t="s">
        <v>109</v>
      </c>
      <c r="B16" s="6" t="s">
        <v>110</v>
      </c>
      <c r="C16" s="5">
        <v>8904422501980</v>
      </c>
      <c r="D16" s="4" t="s">
        <v>23</v>
      </c>
      <c r="E16" s="6" t="s">
        <v>111</v>
      </c>
      <c r="F16" s="6" t="s">
        <v>112</v>
      </c>
      <c r="G16" s="6" t="s">
        <v>109</v>
      </c>
      <c r="H16" s="6" t="s">
        <v>113</v>
      </c>
      <c r="I16" s="6"/>
      <c r="J16" s="6"/>
      <c r="K16" s="3">
        <v>2499</v>
      </c>
      <c r="L16" s="6">
        <v>94019900</v>
      </c>
      <c r="M16" s="7">
        <v>0.18</v>
      </c>
      <c r="N16" s="6">
        <v>10</v>
      </c>
      <c r="O16" s="6"/>
      <c r="P16" s="6">
        <v>3.7</v>
      </c>
      <c r="Q16" s="5">
        <v>769.35</v>
      </c>
      <c r="R16" s="9">
        <v>2.65</v>
      </c>
      <c r="S16" s="4">
        <v>67</v>
      </c>
      <c r="T16" s="6">
        <v>10</v>
      </c>
      <c r="U16" s="6">
        <v>65</v>
      </c>
      <c r="V16" s="10">
        <f t="shared" si="1"/>
        <v>8.7100000000000009</v>
      </c>
      <c r="Y16" s="6">
        <v>294</v>
      </c>
      <c r="AB16" s="2" t="s">
        <v>114</v>
      </c>
      <c r="AC16" s="2" t="s">
        <v>115</v>
      </c>
      <c r="AD16" s="2" t="s">
        <v>116</v>
      </c>
      <c r="AE16" s="2" t="s">
        <v>117</v>
      </c>
      <c r="AF16" s="2" t="s">
        <v>118</v>
      </c>
      <c r="AG16" s="2" t="s">
        <v>119</v>
      </c>
    </row>
    <row r="17" spans="1:25" ht="14.25" customHeight="1">
      <c r="A17" s="6" t="s">
        <v>120</v>
      </c>
      <c r="B17" s="6" t="s">
        <v>121</v>
      </c>
      <c r="C17" s="5">
        <v>8904422501942</v>
      </c>
      <c r="D17" s="4" t="s">
        <v>23</v>
      </c>
      <c r="E17" s="6" t="s">
        <v>122</v>
      </c>
      <c r="F17" s="6" t="s">
        <v>123</v>
      </c>
      <c r="G17" s="6" t="s">
        <v>120</v>
      </c>
      <c r="H17" s="6" t="s">
        <v>124</v>
      </c>
      <c r="I17" s="6"/>
      <c r="J17" s="6"/>
      <c r="K17" s="3">
        <v>5499</v>
      </c>
      <c r="L17" s="6">
        <v>94019900</v>
      </c>
      <c r="M17" s="7">
        <v>0.18</v>
      </c>
      <c r="N17" s="6">
        <v>25</v>
      </c>
      <c r="O17" s="6"/>
      <c r="P17" s="6">
        <v>10</v>
      </c>
      <c r="Q17" s="5">
        <v>1235.325</v>
      </c>
      <c r="R17" s="9">
        <v>3.5</v>
      </c>
      <c r="S17" s="4">
        <v>25</v>
      </c>
      <c r="T17" s="6">
        <v>29</v>
      </c>
      <c r="U17" s="6">
        <v>33</v>
      </c>
      <c r="V17" s="10">
        <f t="shared" si="1"/>
        <v>4.7850000000000001</v>
      </c>
      <c r="Y17" s="6">
        <v>262</v>
      </c>
    </row>
    <row r="18" spans="1:25" ht="14.25" customHeight="1">
      <c r="A18" s="6" t="s">
        <v>125</v>
      </c>
      <c r="B18" s="6" t="s">
        <v>126</v>
      </c>
      <c r="C18" s="5">
        <v>8904422501959</v>
      </c>
      <c r="D18" s="4" t="s">
        <v>23</v>
      </c>
      <c r="E18" s="6" t="s">
        <v>127</v>
      </c>
      <c r="F18" s="6" t="s">
        <v>128</v>
      </c>
      <c r="G18" s="6" t="s">
        <v>125</v>
      </c>
      <c r="H18" s="6" t="s">
        <v>129</v>
      </c>
      <c r="I18" s="6"/>
      <c r="J18" s="6"/>
      <c r="K18" s="3">
        <v>4599</v>
      </c>
      <c r="L18" s="6">
        <v>94019900</v>
      </c>
      <c r="M18" s="7">
        <v>0.18</v>
      </c>
      <c r="N18" s="6">
        <v>10</v>
      </c>
      <c r="O18" s="6"/>
      <c r="P18" s="6">
        <v>7.9</v>
      </c>
      <c r="Q18" s="5">
        <v>1021.1250000000001</v>
      </c>
      <c r="R18" s="9">
        <v>2.9</v>
      </c>
      <c r="S18" s="4">
        <v>25</v>
      </c>
      <c r="T18" s="6">
        <v>29</v>
      </c>
      <c r="U18" s="6">
        <v>33</v>
      </c>
      <c r="V18" s="10">
        <f t="shared" si="1"/>
        <v>4.7850000000000001</v>
      </c>
      <c r="Y18" s="6">
        <v>181.05</v>
      </c>
    </row>
    <row r="19" spans="1:25" ht="14.25" customHeight="1">
      <c r="A19" s="6" t="s">
        <v>130</v>
      </c>
      <c r="B19" s="6" t="s">
        <v>131</v>
      </c>
      <c r="C19" s="5">
        <v>8904422502024</v>
      </c>
      <c r="D19" s="4" t="s">
        <v>23</v>
      </c>
      <c r="E19" s="6" t="s">
        <v>132</v>
      </c>
      <c r="F19" s="6" t="s">
        <v>133</v>
      </c>
      <c r="G19" s="6" t="s">
        <v>130</v>
      </c>
      <c r="H19" s="6" t="s">
        <v>134</v>
      </c>
      <c r="I19" s="6"/>
      <c r="J19" s="6"/>
      <c r="K19" s="3">
        <v>2199</v>
      </c>
      <c r="L19" s="6">
        <v>94019900</v>
      </c>
      <c r="M19" s="7">
        <v>0.18</v>
      </c>
      <c r="N19" s="6">
        <v>10</v>
      </c>
      <c r="O19" s="6"/>
      <c r="P19" s="6">
        <v>2.7</v>
      </c>
      <c r="Q19" s="5">
        <v>353.43900000000008</v>
      </c>
      <c r="R19" s="9">
        <v>1.75</v>
      </c>
      <c r="S19" s="4">
        <v>29</v>
      </c>
      <c r="T19" s="6">
        <v>23</v>
      </c>
      <c r="U19" s="6">
        <v>13</v>
      </c>
      <c r="V19" s="10">
        <f t="shared" si="1"/>
        <v>1.7342</v>
      </c>
      <c r="Y19" s="6">
        <v>197</v>
      </c>
    </row>
    <row r="20" spans="1:25" ht="14.25" customHeight="1">
      <c r="A20" s="6" t="s">
        <v>135</v>
      </c>
      <c r="B20" s="6" t="s">
        <v>136</v>
      </c>
      <c r="C20" s="5">
        <v>8904422502031</v>
      </c>
      <c r="D20" s="4" t="s">
        <v>23</v>
      </c>
      <c r="E20" s="6" t="s">
        <v>137</v>
      </c>
      <c r="F20" s="6" t="s">
        <v>138</v>
      </c>
      <c r="G20" s="6" t="s">
        <v>135</v>
      </c>
      <c r="H20" s="6" t="s">
        <v>139</v>
      </c>
      <c r="I20" s="6"/>
      <c r="J20" s="6"/>
      <c r="K20" s="3">
        <v>5699</v>
      </c>
      <c r="L20" s="6">
        <v>94019900</v>
      </c>
      <c r="M20" s="7">
        <v>0.18</v>
      </c>
      <c r="N20" s="6">
        <v>25</v>
      </c>
      <c r="O20" s="6"/>
      <c r="P20" s="6">
        <v>10.4</v>
      </c>
      <c r="Q20" s="5">
        <v>1226.04</v>
      </c>
      <c r="R20" s="9">
        <v>3.9</v>
      </c>
      <c r="S20" s="4">
        <v>34</v>
      </c>
      <c r="T20" s="6">
        <v>27</v>
      </c>
      <c r="U20" s="6">
        <v>20</v>
      </c>
      <c r="V20" s="10">
        <f t="shared" si="1"/>
        <v>3.6720000000000002</v>
      </c>
      <c r="Y20" s="6">
        <v>230</v>
      </c>
    </row>
    <row r="21" spans="1:25" ht="14.25" customHeight="1">
      <c r="A21" s="6" t="s">
        <v>140</v>
      </c>
      <c r="B21" s="6" t="s">
        <v>141</v>
      </c>
      <c r="C21" s="5">
        <v>8904422502000</v>
      </c>
      <c r="D21" s="4" t="s">
        <v>23</v>
      </c>
      <c r="E21" s="6" t="s">
        <v>142</v>
      </c>
      <c r="F21" s="6" t="s">
        <v>143</v>
      </c>
      <c r="G21" s="6" t="s">
        <v>140</v>
      </c>
      <c r="H21" s="6" t="s">
        <v>144</v>
      </c>
      <c r="I21" s="6"/>
      <c r="J21" s="6"/>
      <c r="K21" s="3">
        <v>2499</v>
      </c>
      <c r="L21" s="6">
        <v>94019900</v>
      </c>
      <c r="M21" s="7">
        <v>0.18</v>
      </c>
      <c r="N21" s="6">
        <v>20</v>
      </c>
      <c r="O21" s="6"/>
      <c r="P21" s="6">
        <v>3.6</v>
      </c>
      <c r="Q21" s="5">
        <v>382.75199999999995</v>
      </c>
      <c r="R21" s="9">
        <v>1.1499999999999999</v>
      </c>
      <c r="S21" s="4">
        <v>8</v>
      </c>
      <c r="T21" s="6">
        <v>8</v>
      </c>
      <c r="U21" s="6">
        <v>27</v>
      </c>
      <c r="V21" s="10">
        <f t="shared" si="1"/>
        <v>0.34560000000000002</v>
      </c>
      <c r="Y21" s="6">
        <v>131</v>
      </c>
    </row>
    <row r="22" spans="1:25" ht="14.25" customHeight="1">
      <c r="A22" s="6" t="s">
        <v>145</v>
      </c>
      <c r="B22" s="6" t="s">
        <v>146</v>
      </c>
      <c r="C22" s="5">
        <v>8904422502017</v>
      </c>
      <c r="D22" s="4" t="s">
        <v>23</v>
      </c>
      <c r="E22" s="6" t="s">
        <v>147</v>
      </c>
      <c r="F22" s="6" t="s">
        <v>148</v>
      </c>
      <c r="G22" s="6" t="s">
        <v>145</v>
      </c>
      <c r="H22" s="6" t="s">
        <v>149</v>
      </c>
      <c r="I22" s="6"/>
      <c r="J22" s="6"/>
      <c r="K22" s="3">
        <v>3999</v>
      </c>
      <c r="L22" s="6">
        <v>94019900</v>
      </c>
      <c r="M22" s="7">
        <v>0.18</v>
      </c>
      <c r="N22" s="6">
        <v>20</v>
      </c>
      <c r="O22" s="6"/>
      <c r="P22" s="6">
        <v>6.5</v>
      </c>
      <c r="Q22" s="5">
        <v>678.55199999999991</v>
      </c>
      <c r="R22" s="9">
        <v>1.25</v>
      </c>
      <c r="S22" s="4">
        <v>8</v>
      </c>
      <c r="T22" s="6">
        <v>8</v>
      </c>
      <c r="U22" s="6">
        <v>27</v>
      </c>
      <c r="V22" s="10">
        <f t="shared" si="1"/>
        <v>0.34560000000000002</v>
      </c>
      <c r="Y22" s="6">
        <v>131</v>
      </c>
    </row>
    <row r="23" spans="1:25" ht="14.25" customHeight="1">
      <c r="A23" s="6" t="s">
        <v>150</v>
      </c>
      <c r="B23" s="6" t="s">
        <v>151</v>
      </c>
      <c r="C23" s="5">
        <v>8904422501997</v>
      </c>
      <c r="D23" s="4" t="s">
        <v>23</v>
      </c>
      <c r="E23" s="6" t="s">
        <v>152</v>
      </c>
      <c r="F23" s="6" t="s">
        <v>153</v>
      </c>
      <c r="G23" s="6" t="s">
        <v>150</v>
      </c>
      <c r="H23" s="6" t="s">
        <v>154</v>
      </c>
      <c r="I23" s="6"/>
      <c r="J23" s="6"/>
      <c r="K23" s="3">
        <v>1499</v>
      </c>
      <c r="L23" s="6">
        <v>94019900</v>
      </c>
      <c r="M23" s="7">
        <v>0.18</v>
      </c>
      <c r="N23" s="6">
        <v>35</v>
      </c>
      <c r="O23" s="6"/>
      <c r="P23" s="6">
        <v>1.3</v>
      </c>
      <c r="Q23" s="5">
        <v>148.15200000000002</v>
      </c>
      <c r="R23" s="9">
        <v>0.65</v>
      </c>
      <c r="S23" s="4">
        <v>8</v>
      </c>
      <c r="T23" s="6">
        <v>8</v>
      </c>
      <c r="U23" s="6">
        <v>27</v>
      </c>
      <c r="V23" s="10">
        <f t="shared" si="1"/>
        <v>0.34560000000000002</v>
      </c>
      <c r="Y23" s="6">
        <v>98</v>
      </c>
    </row>
    <row r="24" spans="1:25" ht="14.25" customHeight="1">
      <c r="A24" s="6" t="s">
        <v>155</v>
      </c>
      <c r="B24" s="6" t="s">
        <v>156</v>
      </c>
      <c r="C24" s="6"/>
      <c r="D24" s="4" t="s">
        <v>23</v>
      </c>
      <c r="E24" s="6"/>
      <c r="F24" s="6" t="s">
        <v>157</v>
      </c>
      <c r="G24" s="6" t="s">
        <v>155</v>
      </c>
      <c r="H24" s="6" t="s">
        <v>158</v>
      </c>
      <c r="I24" s="6"/>
      <c r="J24" s="6"/>
      <c r="K24" s="6"/>
      <c r="L24" s="6">
        <v>94019900</v>
      </c>
      <c r="M24" s="7">
        <v>0.18</v>
      </c>
      <c r="N24" s="6"/>
      <c r="O24" s="6"/>
      <c r="P24" s="6">
        <v>2.4</v>
      </c>
      <c r="Q24" s="6">
        <v>260</v>
      </c>
      <c r="R24" s="9">
        <v>0.8</v>
      </c>
      <c r="S24" s="4">
        <v>6</v>
      </c>
      <c r="T24" s="6">
        <v>6</v>
      </c>
      <c r="U24" s="6">
        <v>30</v>
      </c>
      <c r="V24" s="10">
        <f t="shared" si="1"/>
        <v>0.216</v>
      </c>
      <c r="Y24" s="6"/>
    </row>
    <row r="25" spans="1:25" ht="14.25" customHeight="1"/>
    <row r="26" spans="1:25" ht="14.25" customHeight="1"/>
    <row r="27" spans="1:25" ht="14.25" customHeight="1"/>
    <row r="28" spans="1:25" ht="14.25" customHeight="1"/>
    <row r="29" spans="1:25" ht="14.25" customHeight="1"/>
    <row r="30" spans="1:25" ht="14.25" customHeight="1"/>
    <row r="31" spans="1:25" ht="14.25" customHeight="1"/>
    <row r="32" spans="1:2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23"/>
  <sheetViews>
    <sheetView topLeftCell="N1" workbookViewId="0">
      <pane ySplit="1" topLeftCell="A1048549" activePane="bottomLeft" state="frozen"/>
      <selection pane="bottomLeft" activeCell="Y1048576" sqref="Y1048576"/>
    </sheetView>
  </sheetViews>
  <sheetFormatPr defaultColWidth="14.44140625" defaultRowHeight="15" customHeight="1"/>
  <cols>
    <col min="1" max="1" width="22.5546875" customWidth="1"/>
    <col min="2" max="2" width="7.5546875" customWidth="1"/>
    <col min="3" max="3" width="8.6640625" customWidth="1"/>
    <col min="4" max="4" width="18.44140625" customWidth="1"/>
    <col min="5" max="6" width="9.44140625" customWidth="1"/>
    <col min="7" max="7" width="14.44140625" customWidth="1"/>
    <col min="8" max="8" width="22.109375" customWidth="1"/>
    <col min="9" max="9" width="23.88671875" customWidth="1"/>
    <col min="10" max="10" width="24.6640625" customWidth="1"/>
    <col min="11" max="11" width="17.33203125" hidden="1" customWidth="1"/>
    <col min="12" max="12" width="44.88671875" hidden="1" customWidth="1"/>
    <col min="13" max="13" width="59.33203125" customWidth="1"/>
    <col min="14" max="14" width="9.6640625" customWidth="1"/>
    <col min="15" max="15" width="11.6640625" customWidth="1"/>
    <col min="16" max="20" width="8.6640625" customWidth="1"/>
    <col min="21" max="21" width="13" customWidth="1"/>
    <col min="22" max="22" width="9.109375" customWidth="1"/>
    <col min="23" max="24" width="8.6640625" customWidth="1"/>
    <col min="25" max="26" width="10.33203125" customWidth="1"/>
    <col min="27" max="31" width="8.6640625" customWidth="1"/>
    <col min="32" max="32" width="10.6640625" customWidth="1"/>
    <col min="33" max="35" width="8.6640625" customWidth="1"/>
    <col min="36" max="36" width="11.109375" customWidth="1"/>
    <col min="37" max="38" width="8.6640625" customWidth="1"/>
    <col min="39" max="39" width="13.6640625" customWidth="1"/>
    <col min="40" max="42" width="8.6640625" customWidth="1"/>
    <col min="43" max="43" width="9.88671875" hidden="1" customWidth="1"/>
    <col min="44" max="44" width="11.33203125" customWidth="1"/>
    <col min="45" max="46" width="15.5546875" hidden="1" customWidth="1"/>
    <col min="47" max="48" width="15.5546875" customWidth="1"/>
    <col min="49" max="49" width="17.5546875" customWidth="1"/>
    <col min="50" max="50" width="22.109375" customWidth="1"/>
    <col min="51" max="51" width="11.109375" customWidth="1"/>
    <col min="52" max="53" width="8.6640625" customWidth="1"/>
    <col min="54" max="54" width="10.109375" customWidth="1"/>
    <col min="55" max="55" width="12.6640625" customWidth="1"/>
  </cols>
  <sheetData>
    <row r="1" spans="1:55" ht="43.2">
      <c r="A1" s="12"/>
      <c r="B1" s="12"/>
      <c r="C1" s="12"/>
      <c r="D1" s="13" t="s">
        <v>159</v>
      </c>
      <c r="E1" s="13" t="s">
        <v>160</v>
      </c>
      <c r="F1" s="14" t="s">
        <v>1</v>
      </c>
      <c r="G1" s="14" t="s">
        <v>4</v>
      </c>
      <c r="H1" s="14" t="s">
        <v>161</v>
      </c>
      <c r="I1" s="14" t="s">
        <v>162</v>
      </c>
      <c r="J1" s="14" t="s">
        <v>163</v>
      </c>
      <c r="K1" s="14" t="s">
        <v>164</v>
      </c>
      <c r="L1" s="14" t="s">
        <v>165</v>
      </c>
      <c r="M1" s="14" t="s">
        <v>6</v>
      </c>
      <c r="N1" s="14" t="s">
        <v>166</v>
      </c>
      <c r="O1" s="14" t="s">
        <v>167</v>
      </c>
      <c r="P1" s="15" t="s">
        <v>17</v>
      </c>
      <c r="Q1" s="15" t="s">
        <v>18</v>
      </c>
      <c r="R1" s="15" t="s">
        <v>19</v>
      </c>
      <c r="S1" s="14" t="s">
        <v>168</v>
      </c>
      <c r="T1" s="15" t="s">
        <v>169</v>
      </c>
      <c r="U1" s="16" t="s">
        <v>170</v>
      </c>
      <c r="V1" s="17" t="s">
        <v>171</v>
      </c>
      <c r="W1" s="17" t="s">
        <v>172</v>
      </c>
      <c r="X1" s="17" t="s">
        <v>173</v>
      </c>
      <c r="Y1" s="17" t="s">
        <v>15</v>
      </c>
      <c r="Z1" s="17" t="s">
        <v>174</v>
      </c>
      <c r="AA1" s="18" t="s">
        <v>175</v>
      </c>
      <c r="AB1" s="18" t="s">
        <v>176</v>
      </c>
      <c r="AC1" s="18" t="s">
        <v>177</v>
      </c>
      <c r="AD1" s="18" t="s">
        <v>178</v>
      </c>
      <c r="AE1" s="19" t="s">
        <v>179</v>
      </c>
      <c r="AF1" s="20" t="s">
        <v>180</v>
      </c>
      <c r="AG1" s="20" t="s">
        <v>181</v>
      </c>
      <c r="AH1" s="17" t="s">
        <v>182</v>
      </c>
      <c r="AI1" s="15" t="s">
        <v>183</v>
      </c>
      <c r="AJ1" s="15" t="s">
        <v>184</v>
      </c>
      <c r="AK1" s="15" t="s">
        <v>185</v>
      </c>
      <c r="AL1" s="15" t="s">
        <v>186</v>
      </c>
      <c r="AM1" s="21" t="s">
        <v>187</v>
      </c>
      <c r="AN1" s="15" t="s">
        <v>188</v>
      </c>
      <c r="AO1" s="15" t="s">
        <v>189</v>
      </c>
      <c r="AP1" s="15" t="s">
        <v>190</v>
      </c>
      <c r="AQ1" s="15" t="s">
        <v>191</v>
      </c>
      <c r="AR1" s="15" t="s">
        <v>192</v>
      </c>
      <c r="AS1" s="15" t="s">
        <v>193</v>
      </c>
      <c r="AT1" s="15" t="s">
        <v>194</v>
      </c>
      <c r="AU1" s="15" t="s">
        <v>195</v>
      </c>
      <c r="AV1" s="15" t="s">
        <v>196</v>
      </c>
      <c r="AW1" s="15" t="s">
        <v>197</v>
      </c>
      <c r="AX1" s="15" t="s">
        <v>198</v>
      </c>
      <c r="AY1" s="22" t="s">
        <v>199</v>
      </c>
      <c r="AZ1" s="22" t="s">
        <v>200</v>
      </c>
      <c r="BA1" s="22" t="s">
        <v>201</v>
      </c>
      <c r="BB1" s="15" t="s">
        <v>202</v>
      </c>
      <c r="BC1" s="15" t="s">
        <v>203</v>
      </c>
    </row>
    <row r="2" spans="1:55" ht="14.25" hidden="1" customHeight="1">
      <c r="A2" s="23"/>
      <c r="B2" s="24"/>
      <c r="C2" s="25"/>
      <c r="D2" s="26"/>
      <c r="E2" s="26"/>
      <c r="F2" s="27" t="s">
        <v>22</v>
      </c>
      <c r="G2" s="28" t="s">
        <v>24</v>
      </c>
      <c r="H2" s="29" t="s">
        <v>25</v>
      </c>
      <c r="I2" s="29" t="s">
        <v>204</v>
      </c>
      <c r="J2" s="29"/>
      <c r="K2" s="29"/>
      <c r="L2" s="29" t="s">
        <v>205</v>
      </c>
      <c r="M2" s="29" t="s">
        <v>206</v>
      </c>
      <c r="N2" s="29"/>
      <c r="O2" s="30">
        <v>21</v>
      </c>
      <c r="P2" s="28">
        <v>67</v>
      </c>
      <c r="Q2" s="28">
        <v>33</v>
      </c>
      <c r="R2" s="28">
        <v>87</v>
      </c>
      <c r="S2" s="30">
        <f t="shared" ref="S2:S42" si="0">(P2*Q2*R2)/1000000</f>
        <v>0.192357</v>
      </c>
      <c r="T2" s="30">
        <f t="shared" ref="T2:T42" si="1">(P2*Q2*R2)/5000</f>
        <v>38.471400000000003</v>
      </c>
      <c r="U2" s="31">
        <v>36</v>
      </c>
      <c r="V2" s="31"/>
      <c r="W2" s="32">
        <f t="shared" ref="W2:W39" si="2">B$27/(B$28/S2)</f>
        <v>5.6575588235294125</v>
      </c>
      <c r="X2" s="32">
        <f t="shared" ref="X2:X9" si="3">(U2+W2)*(B$30+(B$30*B$45))</f>
        <v>11.45582867647059</v>
      </c>
      <c r="Y2" s="33">
        <f t="shared" ref="Y2:Y145" si="4">(U2+W2+X2)*B$26</f>
        <v>4780.2048750000004</v>
      </c>
      <c r="Z2" s="33">
        <f t="shared" ref="Z2:Z27" si="5">Y2*1.18</f>
        <v>5640.6417524999997</v>
      </c>
      <c r="AA2" s="34">
        <f t="shared" ref="AA2:AA24" si="6">AN2*IF(AN2&lt;15001,B$64,B$65)</f>
        <v>1499.85</v>
      </c>
      <c r="AB2" s="34">
        <v>47</v>
      </c>
      <c r="AC2" s="34">
        <v>750</v>
      </c>
      <c r="AD2" s="34">
        <f t="shared" ref="AD2:AD183" si="7">AA2+AB2+AC2</f>
        <v>2296.85</v>
      </c>
      <c r="AE2" s="35">
        <f t="shared" ref="AE2:AE39" si="8">AN2*B$66</f>
        <v>1499.85</v>
      </c>
      <c r="AF2" s="35">
        <f t="shared" ref="AF2:AF29" si="9">AN2*$B$70</f>
        <v>199.98000000000002</v>
      </c>
      <c r="AG2" s="35">
        <f t="shared" ref="AG2:AG29" si="10">AN2*B$67</f>
        <v>499.95000000000005</v>
      </c>
      <c r="AH2" s="36">
        <f t="shared" ref="AH2:AH29" si="11">AN2*$B$74</f>
        <v>199.98000000000002</v>
      </c>
      <c r="AI2" s="36">
        <f t="shared" ref="AI2:AI27" si="12">AN2-(AN2/1.18)</f>
        <v>1525.2711864406774</v>
      </c>
      <c r="AJ2" s="36">
        <f t="shared" ref="AJ2:AJ29" si="13">Z2*5%</f>
        <v>282.03208762499997</v>
      </c>
      <c r="AK2" s="36">
        <f t="shared" ref="AK2:AK29" si="14">Z2*3%</f>
        <v>169.21925257499998</v>
      </c>
      <c r="AL2" s="37">
        <f t="shared" ref="AL2:AL26" si="15">AN2-Y2-AD2-AE2-AG2-AI2-AJ2-AK2-AF2-AH2</f>
        <v>-1454.3374016406776</v>
      </c>
      <c r="AM2" s="38">
        <f t="shared" ref="AM2:AM26" si="16">AL2/AN2</f>
        <v>-0.14544828499256701</v>
      </c>
      <c r="AN2" s="27">
        <v>9999</v>
      </c>
      <c r="AO2" s="27"/>
      <c r="AP2" s="27"/>
      <c r="AQ2" s="27"/>
      <c r="AR2" s="27">
        <v>24999</v>
      </c>
      <c r="AS2" s="27"/>
      <c r="AT2" s="27"/>
      <c r="AU2" s="27"/>
      <c r="AV2" s="39">
        <f t="shared" ref="AV2:AV183" si="17">SUM(AN2-AI2)-Y2</f>
        <v>3693.5239385593222</v>
      </c>
      <c r="AW2" s="40">
        <f t="shared" ref="AW2:AW183" si="18">AV2/AN2</f>
        <v>0.36938933278921116</v>
      </c>
      <c r="AX2" s="40"/>
      <c r="AY2" s="41">
        <f t="shared" ref="AY2:AY169" si="19">Y2/U2</f>
        <v>132.78346875</v>
      </c>
      <c r="AZ2" s="42">
        <f t="shared" ref="AZ2:AZ173" si="20">AN2/+SUM(Y2/84)</f>
        <v>175.70711339019752</v>
      </c>
      <c r="BA2" s="42">
        <f t="shared" ref="BA2:BA110" si="21">AN2/U2</f>
        <v>277.75</v>
      </c>
      <c r="BB2" s="27"/>
      <c r="BC2" s="27"/>
    </row>
    <row r="3" spans="1:55" ht="14.25" hidden="1" customHeight="1">
      <c r="A3" s="25"/>
      <c r="B3" s="25"/>
      <c r="C3" s="25"/>
      <c r="D3" s="26"/>
      <c r="E3" s="26"/>
      <c r="F3" s="27" t="s">
        <v>29</v>
      </c>
      <c r="G3" s="28" t="s">
        <v>30</v>
      </c>
      <c r="H3" s="29" t="s">
        <v>31</v>
      </c>
      <c r="I3" s="29" t="s">
        <v>204</v>
      </c>
      <c r="J3" s="29"/>
      <c r="K3" s="29"/>
      <c r="L3" s="29" t="s">
        <v>205</v>
      </c>
      <c r="M3" s="29" t="s">
        <v>207</v>
      </c>
      <c r="N3" s="29"/>
      <c r="O3" s="30">
        <v>21</v>
      </c>
      <c r="P3" s="28">
        <v>67</v>
      </c>
      <c r="Q3" s="28">
        <v>33</v>
      </c>
      <c r="R3" s="28">
        <v>87</v>
      </c>
      <c r="S3" s="30">
        <f t="shared" si="0"/>
        <v>0.192357</v>
      </c>
      <c r="T3" s="30">
        <f t="shared" si="1"/>
        <v>38.471400000000003</v>
      </c>
      <c r="U3" s="31">
        <v>60.75</v>
      </c>
      <c r="V3" s="31"/>
      <c r="W3" s="32">
        <f t="shared" si="2"/>
        <v>5.6575588235294125</v>
      </c>
      <c r="X3" s="32">
        <f t="shared" si="3"/>
        <v>18.26207867647059</v>
      </c>
      <c r="Y3" s="33">
        <f t="shared" si="4"/>
        <v>7620.2673750000004</v>
      </c>
      <c r="Z3" s="33">
        <f t="shared" si="5"/>
        <v>8991.9155025</v>
      </c>
      <c r="AA3" s="34">
        <f t="shared" si="6"/>
        <v>1509.9</v>
      </c>
      <c r="AB3" s="34">
        <v>47</v>
      </c>
      <c r="AC3" s="34">
        <v>750</v>
      </c>
      <c r="AD3" s="34">
        <f t="shared" si="7"/>
        <v>2306.9</v>
      </c>
      <c r="AE3" s="35">
        <f t="shared" si="8"/>
        <v>2264.85</v>
      </c>
      <c r="AF3" s="35">
        <f t="shared" si="9"/>
        <v>301.98</v>
      </c>
      <c r="AG3" s="35">
        <f t="shared" si="10"/>
        <v>754.95</v>
      </c>
      <c r="AH3" s="36">
        <f t="shared" si="11"/>
        <v>301.98</v>
      </c>
      <c r="AI3" s="36">
        <f t="shared" si="12"/>
        <v>2303.2372881355932</v>
      </c>
      <c r="AJ3" s="36">
        <f t="shared" si="13"/>
        <v>449.59577512500005</v>
      </c>
      <c r="AK3" s="36">
        <f t="shared" si="14"/>
        <v>269.75746507499997</v>
      </c>
      <c r="AL3" s="37">
        <f t="shared" si="15"/>
        <v>-1474.5179033355944</v>
      </c>
      <c r="AM3" s="38">
        <f t="shared" si="16"/>
        <v>-9.7656659602330914E-2</v>
      </c>
      <c r="AN3" s="27">
        <v>15099</v>
      </c>
      <c r="AO3" s="27"/>
      <c r="AP3" s="27"/>
      <c r="AQ3" s="27"/>
      <c r="AR3" s="27">
        <v>24999</v>
      </c>
      <c r="AS3" s="27"/>
      <c r="AT3" s="27"/>
      <c r="AU3" s="27"/>
      <c r="AV3" s="39">
        <f t="shared" si="17"/>
        <v>5175.4953368644065</v>
      </c>
      <c r="AW3" s="40">
        <f t="shared" si="18"/>
        <v>0.34277073560264959</v>
      </c>
      <c r="AX3" s="27"/>
      <c r="AY3" s="41">
        <f t="shared" si="19"/>
        <v>125.43650000000001</v>
      </c>
      <c r="AZ3" s="42">
        <f t="shared" si="20"/>
        <v>166.43982915363253</v>
      </c>
      <c r="BA3" s="42">
        <f t="shared" si="21"/>
        <v>248.54320987654322</v>
      </c>
      <c r="BB3" s="27"/>
      <c r="BC3" s="27"/>
    </row>
    <row r="4" spans="1:55" ht="14.25" hidden="1" customHeight="1">
      <c r="A4" s="25"/>
      <c r="B4" s="25"/>
      <c r="C4" s="25"/>
      <c r="D4" s="26"/>
      <c r="E4" s="26"/>
      <c r="F4" s="27" t="s">
        <v>35</v>
      </c>
      <c r="G4" s="28" t="s">
        <v>36</v>
      </c>
      <c r="H4" s="29" t="s">
        <v>37</v>
      </c>
      <c r="I4" s="29" t="s">
        <v>204</v>
      </c>
      <c r="J4" s="29"/>
      <c r="K4" s="29"/>
      <c r="L4" s="29" t="s">
        <v>205</v>
      </c>
      <c r="M4" s="29" t="s">
        <v>208</v>
      </c>
      <c r="N4" s="29"/>
      <c r="O4" s="30">
        <v>24</v>
      </c>
      <c r="P4" s="28">
        <v>83</v>
      </c>
      <c r="Q4" s="28">
        <v>65</v>
      </c>
      <c r="R4" s="28">
        <v>37</v>
      </c>
      <c r="S4" s="30">
        <f t="shared" si="0"/>
        <v>0.19961499999999999</v>
      </c>
      <c r="T4" s="30">
        <f t="shared" si="1"/>
        <v>39.923000000000002</v>
      </c>
      <c r="U4" s="31">
        <v>76.5</v>
      </c>
      <c r="V4" s="31"/>
      <c r="W4" s="32">
        <f t="shared" si="2"/>
        <v>5.8710294117647051</v>
      </c>
      <c r="X4" s="32">
        <f t="shared" si="3"/>
        <v>22.652033088235296</v>
      </c>
      <c r="Y4" s="33">
        <f t="shared" si="4"/>
        <v>9452.0756250000013</v>
      </c>
      <c r="Z4" s="33">
        <f t="shared" si="5"/>
        <v>11153.449237500001</v>
      </c>
      <c r="AA4" s="34">
        <f t="shared" si="6"/>
        <v>1699.9</v>
      </c>
      <c r="AB4" s="34">
        <v>47</v>
      </c>
      <c r="AC4" s="34">
        <v>750</v>
      </c>
      <c r="AD4" s="34">
        <f t="shared" si="7"/>
        <v>2496.9</v>
      </c>
      <c r="AE4" s="35">
        <f t="shared" si="8"/>
        <v>2549.85</v>
      </c>
      <c r="AF4" s="35">
        <f t="shared" si="9"/>
        <v>339.98</v>
      </c>
      <c r="AG4" s="35">
        <f t="shared" si="10"/>
        <v>849.95</v>
      </c>
      <c r="AH4" s="36">
        <f t="shared" si="11"/>
        <v>339.98</v>
      </c>
      <c r="AI4" s="36">
        <f t="shared" si="12"/>
        <v>2593.0677966101684</v>
      </c>
      <c r="AJ4" s="36">
        <f t="shared" si="13"/>
        <v>557.67246187500007</v>
      </c>
      <c r="AK4" s="36">
        <f t="shared" si="14"/>
        <v>334.60347712500004</v>
      </c>
      <c r="AL4" s="37">
        <f t="shared" si="15"/>
        <v>-2515.0793606101697</v>
      </c>
      <c r="AM4" s="38">
        <f t="shared" si="16"/>
        <v>-0.14795454795047766</v>
      </c>
      <c r="AN4" s="27">
        <v>16999</v>
      </c>
      <c r="AO4" s="27"/>
      <c r="AP4" s="27"/>
      <c r="AQ4" s="27"/>
      <c r="AR4" s="27">
        <v>29999</v>
      </c>
      <c r="AS4" s="27"/>
      <c r="AT4" s="27"/>
      <c r="AU4" s="27"/>
      <c r="AV4" s="39">
        <f t="shared" si="17"/>
        <v>4953.8565783898302</v>
      </c>
      <c r="AW4" s="40">
        <f t="shared" si="18"/>
        <v>0.29142047052119713</v>
      </c>
      <c r="AX4" s="27"/>
      <c r="AY4" s="41">
        <f t="shared" si="19"/>
        <v>123.55654411764708</v>
      </c>
      <c r="AZ4" s="42">
        <f t="shared" si="20"/>
        <v>151.06904098643412</v>
      </c>
      <c r="BA4" s="42">
        <f t="shared" si="21"/>
        <v>222.20915032679738</v>
      </c>
      <c r="BB4" s="27"/>
      <c r="BC4" s="27"/>
    </row>
    <row r="5" spans="1:55" ht="14.25" hidden="1" customHeight="1">
      <c r="A5" s="25"/>
      <c r="B5" s="25"/>
      <c r="C5" s="25"/>
      <c r="D5" s="26"/>
      <c r="E5" s="26"/>
      <c r="F5" s="27" t="s">
        <v>40</v>
      </c>
      <c r="G5" s="28" t="s">
        <v>41</v>
      </c>
      <c r="H5" s="29" t="s">
        <v>42</v>
      </c>
      <c r="I5" s="29" t="s">
        <v>204</v>
      </c>
      <c r="J5" s="29"/>
      <c r="K5" s="29"/>
      <c r="L5" s="29" t="s">
        <v>205</v>
      </c>
      <c r="M5" s="29" t="s">
        <v>209</v>
      </c>
      <c r="N5" s="29"/>
      <c r="O5" s="30">
        <v>24</v>
      </c>
      <c r="P5" s="28">
        <v>83</v>
      </c>
      <c r="Q5" s="28">
        <v>65</v>
      </c>
      <c r="R5" s="28">
        <v>37</v>
      </c>
      <c r="S5" s="30">
        <f t="shared" si="0"/>
        <v>0.19961499999999999</v>
      </c>
      <c r="T5" s="30">
        <f t="shared" si="1"/>
        <v>39.923000000000002</v>
      </c>
      <c r="U5" s="31">
        <v>81.349999999999994</v>
      </c>
      <c r="V5" s="31"/>
      <c r="W5" s="32">
        <f t="shared" si="2"/>
        <v>5.8710294117647051</v>
      </c>
      <c r="X5" s="32">
        <f t="shared" si="3"/>
        <v>23.985783088235294</v>
      </c>
      <c r="Y5" s="33">
        <f t="shared" si="4"/>
        <v>10008.613125</v>
      </c>
      <c r="Z5" s="33">
        <f t="shared" si="5"/>
        <v>11810.1634875</v>
      </c>
      <c r="AA5" s="34">
        <f t="shared" si="6"/>
        <v>1699.9</v>
      </c>
      <c r="AB5" s="34">
        <v>47</v>
      </c>
      <c r="AC5" s="34">
        <v>750</v>
      </c>
      <c r="AD5" s="34">
        <f t="shared" si="7"/>
        <v>2496.9</v>
      </c>
      <c r="AE5" s="35">
        <f t="shared" si="8"/>
        <v>2549.85</v>
      </c>
      <c r="AF5" s="35">
        <f t="shared" si="9"/>
        <v>339.98</v>
      </c>
      <c r="AG5" s="35">
        <f t="shared" si="10"/>
        <v>849.95</v>
      </c>
      <c r="AH5" s="36">
        <f t="shared" si="11"/>
        <v>339.98</v>
      </c>
      <c r="AI5" s="36">
        <f t="shared" si="12"/>
        <v>2593.0677966101684</v>
      </c>
      <c r="AJ5" s="36">
        <f t="shared" si="13"/>
        <v>590.50817437500007</v>
      </c>
      <c r="AK5" s="36">
        <f t="shared" si="14"/>
        <v>354.30490462500001</v>
      </c>
      <c r="AL5" s="37">
        <f t="shared" si="15"/>
        <v>-3124.1540006101677</v>
      </c>
      <c r="AM5" s="38">
        <f t="shared" si="16"/>
        <v>-0.18378457559916275</v>
      </c>
      <c r="AN5" s="27">
        <v>16999</v>
      </c>
      <c r="AO5" s="27"/>
      <c r="AP5" s="27"/>
      <c r="AQ5" s="27"/>
      <c r="AR5" s="27">
        <v>29999</v>
      </c>
      <c r="AS5" s="27"/>
      <c r="AT5" s="27"/>
      <c r="AU5" s="27"/>
      <c r="AV5" s="39">
        <f t="shared" si="17"/>
        <v>4397.3190783898317</v>
      </c>
      <c r="AW5" s="40">
        <f t="shared" si="18"/>
        <v>0.25868104467261788</v>
      </c>
      <c r="AX5" s="27"/>
      <c r="AY5" s="41">
        <f t="shared" si="19"/>
        <v>123.0315073755378</v>
      </c>
      <c r="AZ5" s="42">
        <f t="shared" si="20"/>
        <v>142.66871765012897</v>
      </c>
      <c r="BA5" s="42">
        <f t="shared" si="21"/>
        <v>208.96127842655196</v>
      </c>
      <c r="BB5" s="27"/>
      <c r="BC5" s="27"/>
    </row>
    <row r="6" spans="1:55" ht="14.25" hidden="1" customHeight="1">
      <c r="A6" s="25"/>
      <c r="B6" s="25"/>
      <c r="C6" s="25"/>
      <c r="D6" s="26"/>
      <c r="E6" s="26"/>
      <c r="F6" s="27" t="s">
        <v>45</v>
      </c>
      <c r="G6" s="28" t="s">
        <v>46</v>
      </c>
      <c r="H6" s="29" t="s">
        <v>47</v>
      </c>
      <c r="I6" s="29" t="s">
        <v>204</v>
      </c>
      <c r="J6" s="29"/>
      <c r="K6" s="29"/>
      <c r="L6" s="29" t="s">
        <v>205</v>
      </c>
      <c r="M6" s="29" t="s">
        <v>210</v>
      </c>
      <c r="N6" s="29"/>
      <c r="O6" s="30">
        <v>24</v>
      </c>
      <c r="P6" s="28">
        <v>83</v>
      </c>
      <c r="Q6" s="28">
        <v>65</v>
      </c>
      <c r="R6" s="28">
        <v>37</v>
      </c>
      <c r="S6" s="30">
        <f t="shared" si="0"/>
        <v>0.19961499999999999</v>
      </c>
      <c r="T6" s="30">
        <f t="shared" si="1"/>
        <v>39.923000000000002</v>
      </c>
      <c r="U6" s="31">
        <v>81.349999999999994</v>
      </c>
      <c r="V6" s="31"/>
      <c r="W6" s="32">
        <f t="shared" si="2"/>
        <v>5.8710294117647051</v>
      </c>
      <c r="X6" s="32">
        <f t="shared" si="3"/>
        <v>23.985783088235294</v>
      </c>
      <c r="Y6" s="33">
        <f t="shared" si="4"/>
        <v>10008.613125</v>
      </c>
      <c r="Z6" s="33">
        <f t="shared" si="5"/>
        <v>11810.1634875</v>
      </c>
      <c r="AA6" s="34">
        <f t="shared" si="6"/>
        <v>1699.9</v>
      </c>
      <c r="AB6" s="34">
        <v>47</v>
      </c>
      <c r="AC6" s="34">
        <v>750</v>
      </c>
      <c r="AD6" s="34">
        <f t="shared" si="7"/>
        <v>2496.9</v>
      </c>
      <c r="AE6" s="35">
        <f t="shared" si="8"/>
        <v>2549.85</v>
      </c>
      <c r="AF6" s="35">
        <f t="shared" si="9"/>
        <v>339.98</v>
      </c>
      <c r="AG6" s="35">
        <f t="shared" si="10"/>
        <v>849.95</v>
      </c>
      <c r="AH6" s="36">
        <f t="shared" si="11"/>
        <v>339.98</v>
      </c>
      <c r="AI6" s="36">
        <f t="shared" si="12"/>
        <v>2593.0677966101684</v>
      </c>
      <c r="AJ6" s="36">
        <f t="shared" si="13"/>
        <v>590.50817437500007</v>
      </c>
      <c r="AK6" s="36">
        <f t="shared" si="14"/>
        <v>354.30490462500001</v>
      </c>
      <c r="AL6" s="37">
        <f t="shared" si="15"/>
        <v>-3124.1540006101677</v>
      </c>
      <c r="AM6" s="38">
        <f t="shared" si="16"/>
        <v>-0.18378457559916275</v>
      </c>
      <c r="AN6" s="27">
        <v>16999</v>
      </c>
      <c r="AO6" s="27"/>
      <c r="AP6" s="27"/>
      <c r="AQ6" s="27"/>
      <c r="AR6" s="27">
        <v>29999</v>
      </c>
      <c r="AS6" s="27"/>
      <c r="AT6" s="27"/>
      <c r="AU6" s="27"/>
      <c r="AV6" s="39">
        <f t="shared" si="17"/>
        <v>4397.3190783898317</v>
      </c>
      <c r="AW6" s="40">
        <f t="shared" si="18"/>
        <v>0.25868104467261788</v>
      </c>
      <c r="AX6" s="27"/>
      <c r="AY6" s="41">
        <f t="shared" si="19"/>
        <v>123.0315073755378</v>
      </c>
      <c r="AZ6" s="42">
        <f t="shared" si="20"/>
        <v>142.66871765012897</v>
      </c>
      <c r="BA6" s="42">
        <f t="shared" si="21"/>
        <v>208.96127842655196</v>
      </c>
      <c r="BB6" s="27"/>
      <c r="BC6" s="27"/>
    </row>
    <row r="7" spans="1:55" ht="14.25" hidden="1" customHeight="1">
      <c r="A7" s="25"/>
      <c r="B7" s="25"/>
      <c r="C7" s="25"/>
      <c r="D7" s="26"/>
      <c r="E7" s="26"/>
      <c r="F7" s="27" t="s">
        <v>51</v>
      </c>
      <c r="G7" s="28" t="s">
        <v>52</v>
      </c>
      <c r="H7" s="29" t="s">
        <v>53</v>
      </c>
      <c r="I7" s="29" t="s">
        <v>204</v>
      </c>
      <c r="J7" s="29"/>
      <c r="K7" s="29"/>
      <c r="L7" s="29" t="s">
        <v>205</v>
      </c>
      <c r="M7" s="29" t="s">
        <v>211</v>
      </c>
      <c r="N7" s="29"/>
      <c r="O7" s="30">
        <v>24</v>
      </c>
      <c r="P7" s="28">
        <v>83</v>
      </c>
      <c r="Q7" s="28">
        <v>65</v>
      </c>
      <c r="R7" s="28">
        <v>37</v>
      </c>
      <c r="S7" s="30">
        <f t="shared" si="0"/>
        <v>0.19961499999999999</v>
      </c>
      <c r="T7" s="30">
        <f t="shared" si="1"/>
        <v>39.923000000000002</v>
      </c>
      <c r="U7" s="31">
        <v>81.349999999999994</v>
      </c>
      <c r="V7" s="31"/>
      <c r="W7" s="32">
        <f t="shared" si="2"/>
        <v>5.8710294117647051</v>
      </c>
      <c r="X7" s="32">
        <f t="shared" si="3"/>
        <v>23.985783088235294</v>
      </c>
      <c r="Y7" s="33">
        <f t="shared" si="4"/>
        <v>10008.613125</v>
      </c>
      <c r="Z7" s="33">
        <f t="shared" si="5"/>
        <v>11810.1634875</v>
      </c>
      <c r="AA7" s="34">
        <f t="shared" si="6"/>
        <v>1699.9</v>
      </c>
      <c r="AB7" s="34">
        <v>47</v>
      </c>
      <c r="AC7" s="34">
        <v>750</v>
      </c>
      <c r="AD7" s="34">
        <f t="shared" si="7"/>
        <v>2496.9</v>
      </c>
      <c r="AE7" s="35">
        <f t="shared" si="8"/>
        <v>2549.85</v>
      </c>
      <c r="AF7" s="35">
        <f t="shared" si="9"/>
        <v>339.98</v>
      </c>
      <c r="AG7" s="35">
        <f t="shared" si="10"/>
        <v>849.95</v>
      </c>
      <c r="AH7" s="36">
        <f t="shared" si="11"/>
        <v>339.98</v>
      </c>
      <c r="AI7" s="36">
        <f t="shared" si="12"/>
        <v>2593.0677966101684</v>
      </c>
      <c r="AJ7" s="36">
        <f t="shared" si="13"/>
        <v>590.50817437500007</v>
      </c>
      <c r="AK7" s="36">
        <f t="shared" si="14"/>
        <v>354.30490462500001</v>
      </c>
      <c r="AL7" s="37">
        <f t="shared" si="15"/>
        <v>-3124.1540006101677</v>
      </c>
      <c r="AM7" s="38">
        <f t="shared" si="16"/>
        <v>-0.18378457559916275</v>
      </c>
      <c r="AN7" s="27">
        <v>16999</v>
      </c>
      <c r="AO7" s="27"/>
      <c r="AP7" s="27"/>
      <c r="AQ7" s="27"/>
      <c r="AR7" s="27">
        <v>29999</v>
      </c>
      <c r="AS7" s="27"/>
      <c r="AT7" s="27"/>
      <c r="AU7" s="27"/>
      <c r="AV7" s="39">
        <f t="shared" si="17"/>
        <v>4397.3190783898317</v>
      </c>
      <c r="AW7" s="40">
        <f t="shared" si="18"/>
        <v>0.25868104467261788</v>
      </c>
      <c r="AX7" s="27"/>
      <c r="AY7" s="41">
        <f t="shared" si="19"/>
        <v>123.0315073755378</v>
      </c>
      <c r="AZ7" s="42">
        <f t="shared" si="20"/>
        <v>142.66871765012897</v>
      </c>
      <c r="BA7" s="42">
        <f t="shared" si="21"/>
        <v>208.96127842655196</v>
      </c>
      <c r="BB7" s="27"/>
      <c r="BC7" s="27"/>
    </row>
    <row r="8" spans="1:55" ht="14.25" hidden="1" customHeight="1">
      <c r="A8" s="25"/>
      <c r="B8" s="25"/>
      <c r="C8" s="25"/>
      <c r="D8" s="26"/>
      <c r="E8" s="26"/>
      <c r="F8" s="27" t="s">
        <v>57</v>
      </c>
      <c r="G8" s="28" t="s">
        <v>58</v>
      </c>
      <c r="H8" s="29" t="s">
        <v>59</v>
      </c>
      <c r="I8" s="29" t="s">
        <v>204</v>
      </c>
      <c r="J8" s="29"/>
      <c r="K8" s="29"/>
      <c r="L8" s="29" t="s">
        <v>205</v>
      </c>
      <c r="M8" s="29" t="s">
        <v>212</v>
      </c>
      <c r="N8" s="29"/>
      <c r="O8" s="30">
        <v>24</v>
      </c>
      <c r="P8" s="28">
        <v>83</v>
      </c>
      <c r="Q8" s="28">
        <v>65</v>
      </c>
      <c r="R8" s="28">
        <v>37</v>
      </c>
      <c r="S8" s="30">
        <f t="shared" si="0"/>
        <v>0.19961499999999999</v>
      </c>
      <c r="T8" s="30">
        <f t="shared" si="1"/>
        <v>39.923000000000002</v>
      </c>
      <c r="U8" s="31">
        <v>81.349999999999994</v>
      </c>
      <c r="V8" s="31"/>
      <c r="W8" s="32">
        <f t="shared" si="2"/>
        <v>5.8710294117647051</v>
      </c>
      <c r="X8" s="32">
        <f t="shared" si="3"/>
        <v>23.985783088235294</v>
      </c>
      <c r="Y8" s="33">
        <f t="shared" si="4"/>
        <v>10008.613125</v>
      </c>
      <c r="Z8" s="33">
        <f t="shared" si="5"/>
        <v>11810.1634875</v>
      </c>
      <c r="AA8" s="34">
        <f t="shared" si="6"/>
        <v>1699.9</v>
      </c>
      <c r="AB8" s="34">
        <v>47</v>
      </c>
      <c r="AC8" s="34">
        <v>750</v>
      </c>
      <c r="AD8" s="34">
        <f t="shared" si="7"/>
        <v>2496.9</v>
      </c>
      <c r="AE8" s="35">
        <f t="shared" si="8"/>
        <v>2549.85</v>
      </c>
      <c r="AF8" s="35">
        <f t="shared" si="9"/>
        <v>339.98</v>
      </c>
      <c r="AG8" s="35">
        <f t="shared" si="10"/>
        <v>849.95</v>
      </c>
      <c r="AH8" s="36">
        <f t="shared" si="11"/>
        <v>339.98</v>
      </c>
      <c r="AI8" s="36">
        <f t="shared" si="12"/>
        <v>2593.0677966101684</v>
      </c>
      <c r="AJ8" s="36">
        <f t="shared" si="13"/>
        <v>590.50817437500007</v>
      </c>
      <c r="AK8" s="36">
        <f t="shared" si="14"/>
        <v>354.30490462500001</v>
      </c>
      <c r="AL8" s="37">
        <f t="shared" si="15"/>
        <v>-3124.1540006101677</v>
      </c>
      <c r="AM8" s="38">
        <f t="shared" si="16"/>
        <v>-0.18378457559916275</v>
      </c>
      <c r="AN8" s="27">
        <v>16999</v>
      </c>
      <c r="AO8" s="27"/>
      <c r="AP8" s="27"/>
      <c r="AQ8" s="27"/>
      <c r="AR8" s="27">
        <v>29999</v>
      </c>
      <c r="AS8" s="27"/>
      <c r="AT8" s="27"/>
      <c r="AU8" s="27"/>
      <c r="AV8" s="39">
        <f t="shared" si="17"/>
        <v>4397.3190783898317</v>
      </c>
      <c r="AW8" s="40">
        <f t="shared" si="18"/>
        <v>0.25868104467261788</v>
      </c>
      <c r="AX8" s="27"/>
      <c r="AY8" s="41">
        <f t="shared" si="19"/>
        <v>123.0315073755378</v>
      </c>
      <c r="AZ8" s="42">
        <f t="shared" si="20"/>
        <v>142.66871765012897</v>
      </c>
      <c r="BA8" s="42">
        <f t="shared" si="21"/>
        <v>208.96127842655196</v>
      </c>
      <c r="BB8" s="27"/>
      <c r="BC8" s="27"/>
    </row>
    <row r="9" spans="1:55" ht="14.25" hidden="1" customHeight="1">
      <c r="A9" s="25"/>
      <c r="B9" s="25"/>
      <c r="C9" s="25"/>
      <c r="D9" s="26"/>
      <c r="E9" s="26"/>
      <c r="F9" s="27" t="s">
        <v>62</v>
      </c>
      <c r="G9" s="28" t="s">
        <v>63</v>
      </c>
      <c r="H9" s="29" t="s">
        <v>213</v>
      </c>
      <c r="I9" s="29" t="s">
        <v>204</v>
      </c>
      <c r="J9" s="29"/>
      <c r="K9" s="29"/>
      <c r="L9" s="29" t="s">
        <v>205</v>
      </c>
      <c r="M9" s="29" t="s">
        <v>214</v>
      </c>
      <c r="N9" s="29"/>
      <c r="O9" s="30">
        <v>24</v>
      </c>
      <c r="P9" s="28">
        <v>83</v>
      </c>
      <c r="Q9" s="28">
        <v>65</v>
      </c>
      <c r="R9" s="28">
        <v>37</v>
      </c>
      <c r="S9" s="30">
        <f t="shared" si="0"/>
        <v>0.19961499999999999</v>
      </c>
      <c r="T9" s="30">
        <f t="shared" si="1"/>
        <v>39.923000000000002</v>
      </c>
      <c r="U9" s="31">
        <v>81.349999999999994</v>
      </c>
      <c r="V9" s="31"/>
      <c r="W9" s="32">
        <f t="shared" si="2"/>
        <v>5.8710294117647051</v>
      </c>
      <c r="X9" s="32">
        <f t="shared" si="3"/>
        <v>23.985783088235294</v>
      </c>
      <c r="Y9" s="33">
        <f t="shared" si="4"/>
        <v>10008.613125</v>
      </c>
      <c r="Z9" s="33">
        <f t="shared" si="5"/>
        <v>11810.1634875</v>
      </c>
      <c r="AA9" s="34">
        <f t="shared" si="6"/>
        <v>1699.9</v>
      </c>
      <c r="AB9" s="34">
        <v>47</v>
      </c>
      <c r="AC9" s="34">
        <v>750</v>
      </c>
      <c r="AD9" s="34">
        <f t="shared" si="7"/>
        <v>2496.9</v>
      </c>
      <c r="AE9" s="35">
        <f t="shared" si="8"/>
        <v>2549.85</v>
      </c>
      <c r="AF9" s="35">
        <f t="shared" si="9"/>
        <v>339.98</v>
      </c>
      <c r="AG9" s="35">
        <f t="shared" si="10"/>
        <v>849.95</v>
      </c>
      <c r="AH9" s="36">
        <f t="shared" si="11"/>
        <v>339.98</v>
      </c>
      <c r="AI9" s="36">
        <f t="shared" si="12"/>
        <v>2593.0677966101684</v>
      </c>
      <c r="AJ9" s="36">
        <f t="shared" si="13"/>
        <v>590.50817437500007</v>
      </c>
      <c r="AK9" s="36">
        <f t="shared" si="14"/>
        <v>354.30490462500001</v>
      </c>
      <c r="AL9" s="37">
        <f t="shared" si="15"/>
        <v>-3124.1540006101677</v>
      </c>
      <c r="AM9" s="38">
        <f t="shared" si="16"/>
        <v>-0.18378457559916275</v>
      </c>
      <c r="AN9" s="27">
        <v>16999</v>
      </c>
      <c r="AO9" s="27"/>
      <c r="AP9" s="27"/>
      <c r="AQ9" s="27"/>
      <c r="AR9" s="27">
        <v>29999</v>
      </c>
      <c r="AS9" s="27"/>
      <c r="AT9" s="27"/>
      <c r="AU9" s="27"/>
      <c r="AV9" s="39">
        <f t="shared" si="17"/>
        <v>4397.3190783898317</v>
      </c>
      <c r="AW9" s="40">
        <f t="shared" si="18"/>
        <v>0.25868104467261788</v>
      </c>
      <c r="AX9" s="27"/>
      <c r="AY9" s="41">
        <f t="shared" si="19"/>
        <v>123.0315073755378</v>
      </c>
      <c r="AZ9" s="42">
        <f t="shared" si="20"/>
        <v>142.66871765012897</v>
      </c>
      <c r="BA9" s="42">
        <f t="shared" si="21"/>
        <v>208.96127842655196</v>
      </c>
      <c r="BB9" s="27"/>
      <c r="BC9" s="27"/>
    </row>
    <row r="10" spans="1:55" ht="14.25" hidden="1" customHeight="1">
      <c r="A10" s="43"/>
      <c r="B10" s="43"/>
      <c r="C10" s="43"/>
      <c r="D10" s="44"/>
      <c r="E10" s="44"/>
      <c r="F10" s="45" t="s">
        <v>67</v>
      </c>
      <c r="G10" s="46" t="s">
        <v>68</v>
      </c>
      <c r="H10" s="47" t="s">
        <v>69</v>
      </c>
      <c r="I10" s="47" t="s">
        <v>204</v>
      </c>
      <c r="J10" s="47"/>
      <c r="K10" s="47"/>
      <c r="L10" s="47" t="s">
        <v>205</v>
      </c>
      <c r="M10" s="47" t="s">
        <v>215</v>
      </c>
      <c r="N10" s="47"/>
      <c r="O10" s="48">
        <v>0.77</v>
      </c>
      <c r="P10" s="46">
        <v>24</v>
      </c>
      <c r="Q10" s="46">
        <v>17</v>
      </c>
      <c r="R10" s="46">
        <v>11</v>
      </c>
      <c r="S10" s="48">
        <f t="shared" si="0"/>
        <v>4.4879999999999998E-3</v>
      </c>
      <c r="T10" s="48">
        <f t="shared" si="1"/>
        <v>0.89759999999999995</v>
      </c>
      <c r="U10" s="49">
        <v>20</v>
      </c>
      <c r="V10" s="49"/>
      <c r="W10" s="50">
        <f t="shared" si="2"/>
        <v>0.13200000000000001</v>
      </c>
      <c r="X10" s="50">
        <f t="shared" ref="X10:X11" si="22">(U10+W10)*(0.15+(0.15*B$45))</f>
        <v>3.32178</v>
      </c>
      <c r="Y10" s="51">
        <f t="shared" si="4"/>
        <v>2110.8402000000001</v>
      </c>
      <c r="Z10" s="51">
        <f t="shared" si="5"/>
        <v>2490.791436</v>
      </c>
      <c r="AA10" s="52">
        <f t="shared" si="6"/>
        <v>524.85</v>
      </c>
      <c r="AB10" s="52">
        <v>47</v>
      </c>
      <c r="AC10" s="52">
        <v>131</v>
      </c>
      <c r="AD10" s="52">
        <f t="shared" si="7"/>
        <v>702.85</v>
      </c>
      <c r="AE10" s="53">
        <f t="shared" si="8"/>
        <v>524.85</v>
      </c>
      <c r="AF10" s="53">
        <f t="shared" si="9"/>
        <v>69.98</v>
      </c>
      <c r="AG10" s="53">
        <f t="shared" si="10"/>
        <v>174.95000000000002</v>
      </c>
      <c r="AH10" s="54">
        <f t="shared" si="11"/>
        <v>69.98</v>
      </c>
      <c r="AI10" s="54">
        <f t="shared" si="12"/>
        <v>533.74576271186424</v>
      </c>
      <c r="AJ10" s="54">
        <f t="shared" si="13"/>
        <v>124.5395718</v>
      </c>
      <c r="AK10" s="54">
        <f t="shared" si="14"/>
        <v>74.723743079999991</v>
      </c>
      <c r="AL10" s="55">
        <f t="shared" si="15"/>
        <v>-887.45927759186441</v>
      </c>
      <c r="AM10" s="56">
        <f t="shared" si="16"/>
        <v>-0.25363225995766348</v>
      </c>
      <c r="AN10" s="45">
        <v>3499</v>
      </c>
      <c r="AO10" s="45"/>
      <c r="AP10" s="45"/>
      <c r="AQ10" s="45"/>
      <c r="AR10" s="45">
        <v>9999</v>
      </c>
      <c r="AS10" s="45"/>
      <c r="AT10" s="45"/>
      <c r="AU10" s="45"/>
      <c r="AV10" s="57">
        <f t="shared" si="17"/>
        <v>854.41403728813566</v>
      </c>
      <c r="AW10" s="58">
        <f t="shared" si="18"/>
        <v>0.24418806438643489</v>
      </c>
      <c r="AX10" s="45"/>
      <c r="AY10" s="59">
        <f t="shared" si="19"/>
        <v>105.54201</v>
      </c>
      <c r="AZ10" s="60">
        <f t="shared" si="20"/>
        <v>139.24123673596893</v>
      </c>
      <c r="BA10" s="60">
        <f t="shared" si="21"/>
        <v>174.95</v>
      </c>
      <c r="BB10" s="45"/>
      <c r="BC10" s="45"/>
    </row>
    <row r="11" spans="1:55" ht="14.25" hidden="1" customHeight="1">
      <c r="A11" s="43"/>
      <c r="B11" s="43"/>
      <c r="C11" s="43"/>
      <c r="D11" s="44"/>
      <c r="E11" s="44"/>
      <c r="F11" s="45" t="s">
        <v>72</v>
      </c>
      <c r="G11" s="46" t="s">
        <v>73</v>
      </c>
      <c r="H11" s="47" t="s">
        <v>74</v>
      </c>
      <c r="I11" s="47" t="s">
        <v>204</v>
      </c>
      <c r="J11" s="47"/>
      <c r="K11" s="47"/>
      <c r="L11" s="47" t="s">
        <v>205</v>
      </c>
      <c r="M11" s="47" t="s">
        <v>216</v>
      </c>
      <c r="N11" s="47"/>
      <c r="O11" s="48">
        <v>0.91</v>
      </c>
      <c r="P11" s="46">
        <v>26</v>
      </c>
      <c r="Q11" s="46">
        <v>14</v>
      </c>
      <c r="R11" s="46">
        <v>11</v>
      </c>
      <c r="S11" s="48">
        <f t="shared" si="0"/>
        <v>4.0039999999999997E-3</v>
      </c>
      <c r="T11" s="48">
        <f t="shared" si="1"/>
        <v>0.80079999999999996</v>
      </c>
      <c r="U11" s="49">
        <v>25</v>
      </c>
      <c r="V11" s="49"/>
      <c r="W11" s="50">
        <f t="shared" si="2"/>
        <v>0.11776470588235294</v>
      </c>
      <c r="X11" s="50">
        <f t="shared" si="22"/>
        <v>4.1444311764705883</v>
      </c>
      <c r="Y11" s="51">
        <f t="shared" si="4"/>
        <v>2633.5976294117645</v>
      </c>
      <c r="Z11" s="51">
        <f t="shared" si="5"/>
        <v>3107.6452027058817</v>
      </c>
      <c r="AA11" s="52">
        <f t="shared" si="6"/>
        <v>644.85</v>
      </c>
      <c r="AB11" s="52">
        <v>47</v>
      </c>
      <c r="AC11" s="52">
        <v>98</v>
      </c>
      <c r="AD11" s="52">
        <f t="shared" si="7"/>
        <v>789.85</v>
      </c>
      <c r="AE11" s="53">
        <f t="shared" si="8"/>
        <v>644.85</v>
      </c>
      <c r="AF11" s="53">
        <f t="shared" si="9"/>
        <v>85.98</v>
      </c>
      <c r="AG11" s="53">
        <f t="shared" si="10"/>
        <v>214.95000000000002</v>
      </c>
      <c r="AH11" s="54">
        <f t="shared" si="11"/>
        <v>85.98</v>
      </c>
      <c r="AI11" s="54">
        <f t="shared" si="12"/>
        <v>655.77966101694892</v>
      </c>
      <c r="AJ11" s="54">
        <f t="shared" si="13"/>
        <v>155.3822601352941</v>
      </c>
      <c r="AK11" s="54">
        <f t="shared" si="14"/>
        <v>93.229356081176448</v>
      </c>
      <c r="AL11" s="55">
        <f t="shared" si="15"/>
        <v>-1060.5989066451841</v>
      </c>
      <c r="AM11" s="56">
        <f t="shared" si="16"/>
        <v>-0.24670828254133151</v>
      </c>
      <c r="AN11" s="45">
        <v>4299</v>
      </c>
      <c r="AO11" s="45"/>
      <c r="AP11" s="45"/>
      <c r="AQ11" s="45"/>
      <c r="AR11" s="45">
        <v>11999</v>
      </c>
      <c r="AS11" s="45"/>
      <c r="AT11" s="45"/>
      <c r="AU11" s="45"/>
      <c r="AV11" s="57">
        <f t="shared" si="17"/>
        <v>1009.6227095712866</v>
      </c>
      <c r="AW11" s="58">
        <f t="shared" si="18"/>
        <v>0.23485059538759864</v>
      </c>
      <c r="AX11" s="45"/>
      <c r="AY11" s="59">
        <f t="shared" si="19"/>
        <v>105.34390517647059</v>
      </c>
      <c r="AZ11" s="60">
        <f t="shared" si="20"/>
        <v>137.11889620764057</v>
      </c>
      <c r="BA11" s="60">
        <f t="shared" si="21"/>
        <v>171.96</v>
      </c>
      <c r="BB11" s="45"/>
      <c r="BC11" s="45"/>
    </row>
    <row r="12" spans="1:55" ht="14.25" hidden="1" customHeight="1">
      <c r="A12" s="25"/>
      <c r="B12" s="25"/>
      <c r="C12" s="25"/>
      <c r="D12" s="26"/>
      <c r="E12" s="26"/>
      <c r="F12" s="27" t="s">
        <v>77</v>
      </c>
      <c r="G12" s="28" t="s">
        <v>78</v>
      </c>
      <c r="H12" s="29" t="s">
        <v>79</v>
      </c>
      <c r="I12" s="29" t="s">
        <v>204</v>
      </c>
      <c r="J12" s="29"/>
      <c r="K12" s="29"/>
      <c r="L12" s="29" t="s">
        <v>205</v>
      </c>
      <c r="M12" s="29" t="s">
        <v>217</v>
      </c>
      <c r="N12" s="29"/>
      <c r="O12" s="30">
        <v>5.7</v>
      </c>
      <c r="P12" s="28">
        <v>54</v>
      </c>
      <c r="Q12" s="28">
        <v>18</v>
      </c>
      <c r="R12" s="28">
        <v>51</v>
      </c>
      <c r="S12" s="30">
        <f t="shared" si="0"/>
        <v>4.9571999999999998E-2</v>
      </c>
      <c r="T12" s="30">
        <f t="shared" si="1"/>
        <v>9.9144000000000005</v>
      </c>
      <c r="U12" s="31">
        <v>12.5</v>
      </c>
      <c r="V12" s="31"/>
      <c r="W12" s="32">
        <f t="shared" si="2"/>
        <v>1.4579999999999997</v>
      </c>
      <c r="X12" s="32">
        <f t="shared" ref="X12:X24" si="23">(U12+W12)*(B$30+(B$30*B$45))</f>
        <v>3.8384500000000004</v>
      </c>
      <c r="Y12" s="33">
        <f t="shared" si="4"/>
        <v>1601.6804999999999</v>
      </c>
      <c r="Z12" s="33">
        <f t="shared" si="5"/>
        <v>1889.9829899999997</v>
      </c>
      <c r="AA12" s="34">
        <f t="shared" si="6"/>
        <v>449.84999999999997</v>
      </c>
      <c r="AB12" s="34">
        <v>47</v>
      </c>
      <c r="AC12" s="34">
        <v>156</v>
      </c>
      <c r="AD12" s="34">
        <f t="shared" si="7"/>
        <v>652.84999999999991</v>
      </c>
      <c r="AE12" s="35">
        <f t="shared" si="8"/>
        <v>449.84999999999997</v>
      </c>
      <c r="AF12" s="35">
        <f t="shared" si="9"/>
        <v>59.980000000000004</v>
      </c>
      <c r="AG12" s="35">
        <f t="shared" si="10"/>
        <v>149.95000000000002</v>
      </c>
      <c r="AH12" s="36">
        <f t="shared" si="11"/>
        <v>59.980000000000004</v>
      </c>
      <c r="AI12" s="36">
        <f t="shared" si="12"/>
        <v>457.47457627118638</v>
      </c>
      <c r="AJ12" s="36">
        <f t="shared" si="13"/>
        <v>94.499149499999987</v>
      </c>
      <c r="AK12" s="36">
        <f t="shared" si="14"/>
        <v>56.699489699999994</v>
      </c>
      <c r="AL12" s="37">
        <f t="shared" si="15"/>
        <v>-583.96371547118622</v>
      </c>
      <c r="AM12" s="38">
        <f t="shared" si="16"/>
        <v>-0.19471947831650091</v>
      </c>
      <c r="AN12" s="27">
        <v>2999</v>
      </c>
      <c r="AO12" s="27"/>
      <c r="AP12" s="27"/>
      <c r="AQ12" s="27"/>
      <c r="AR12" s="27">
        <v>6999</v>
      </c>
      <c r="AS12" s="27"/>
      <c r="AT12" s="27"/>
      <c r="AU12" s="27"/>
      <c r="AV12" s="39">
        <f t="shared" si="17"/>
        <v>939.84492372881368</v>
      </c>
      <c r="AW12" s="40">
        <f t="shared" si="18"/>
        <v>0.31338610327736366</v>
      </c>
      <c r="AX12" s="27"/>
      <c r="AY12" s="41">
        <f t="shared" si="19"/>
        <v>128.13443999999998</v>
      </c>
      <c r="AZ12" s="42">
        <f t="shared" si="20"/>
        <v>157.28230442962877</v>
      </c>
      <c r="BA12" s="42">
        <f t="shared" si="21"/>
        <v>239.92</v>
      </c>
      <c r="BB12" s="27"/>
      <c r="BC12" s="27"/>
    </row>
    <row r="13" spans="1:55" ht="14.25" hidden="1" customHeight="1">
      <c r="A13" s="25"/>
      <c r="B13" s="25"/>
      <c r="C13" s="25"/>
      <c r="D13" s="26"/>
      <c r="E13" s="26"/>
      <c r="F13" s="27" t="s">
        <v>82</v>
      </c>
      <c r="G13" s="28" t="s">
        <v>83</v>
      </c>
      <c r="H13" s="29" t="s">
        <v>84</v>
      </c>
      <c r="I13" s="29" t="s">
        <v>204</v>
      </c>
      <c r="J13" s="29"/>
      <c r="K13" s="29"/>
      <c r="L13" s="29" t="s">
        <v>205</v>
      </c>
      <c r="M13" s="29" t="s">
        <v>218</v>
      </c>
      <c r="N13" s="29"/>
      <c r="O13" s="30">
        <v>5.7</v>
      </c>
      <c r="P13" s="28">
        <v>54</v>
      </c>
      <c r="Q13" s="28">
        <v>18</v>
      </c>
      <c r="R13" s="28">
        <v>51</v>
      </c>
      <c r="S13" s="30">
        <f t="shared" si="0"/>
        <v>4.9571999999999998E-2</v>
      </c>
      <c r="T13" s="30">
        <f t="shared" si="1"/>
        <v>9.9144000000000005</v>
      </c>
      <c r="U13" s="31">
        <v>12.5</v>
      </c>
      <c r="V13" s="31"/>
      <c r="W13" s="32">
        <f t="shared" si="2"/>
        <v>1.4579999999999997</v>
      </c>
      <c r="X13" s="32">
        <f t="shared" si="23"/>
        <v>3.8384500000000004</v>
      </c>
      <c r="Y13" s="33">
        <f t="shared" si="4"/>
        <v>1601.6804999999999</v>
      </c>
      <c r="Z13" s="33">
        <f t="shared" si="5"/>
        <v>1889.9829899999997</v>
      </c>
      <c r="AA13" s="34">
        <f t="shared" si="6"/>
        <v>449.84999999999997</v>
      </c>
      <c r="AB13" s="34">
        <v>47</v>
      </c>
      <c r="AC13" s="34">
        <v>202</v>
      </c>
      <c r="AD13" s="34">
        <f t="shared" si="7"/>
        <v>698.84999999999991</v>
      </c>
      <c r="AE13" s="35">
        <f t="shared" si="8"/>
        <v>449.84999999999997</v>
      </c>
      <c r="AF13" s="35">
        <f t="shared" si="9"/>
        <v>59.980000000000004</v>
      </c>
      <c r="AG13" s="35">
        <f t="shared" si="10"/>
        <v>149.95000000000002</v>
      </c>
      <c r="AH13" s="36">
        <f t="shared" si="11"/>
        <v>59.980000000000004</v>
      </c>
      <c r="AI13" s="36">
        <f t="shared" si="12"/>
        <v>457.47457627118638</v>
      </c>
      <c r="AJ13" s="36">
        <f t="shared" si="13"/>
        <v>94.499149499999987</v>
      </c>
      <c r="AK13" s="36">
        <f t="shared" si="14"/>
        <v>56.699489699999994</v>
      </c>
      <c r="AL13" s="37">
        <f t="shared" si="15"/>
        <v>-629.96371547118622</v>
      </c>
      <c r="AM13" s="38">
        <f t="shared" si="16"/>
        <v>-0.21005792446521715</v>
      </c>
      <c r="AN13" s="27">
        <v>2999</v>
      </c>
      <c r="AO13" s="27"/>
      <c r="AP13" s="27"/>
      <c r="AQ13" s="27"/>
      <c r="AR13" s="27">
        <v>6999</v>
      </c>
      <c r="AS13" s="27"/>
      <c r="AT13" s="27"/>
      <c r="AU13" s="27"/>
      <c r="AV13" s="39">
        <f t="shared" si="17"/>
        <v>939.84492372881368</v>
      </c>
      <c r="AW13" s="40">
        <f t="shared" si="18"/>
        <v>0.31338610327736366</v>
      </c>
      <c r="AX13" s="27"/>
      <c r="AY13" s="41">
        <f t="shared" si="19"/>
        <v>128.13443999999998</v>
      </c>
      <c r="AZ13" s="42">
        <f t="shared" si="20"/>
        <v>157.28230442962877</v>
      </c>
      <c r="BA13" s="42">
        <f t="shared" si="21"/>
        <v>239.92</v>
      </c>
      <c r="BB13" s="27"/>
      <c r="BC13" s="27"/>
    </row>
    <row r="14" spans="1:55" ht="14.25" hidden="1" customHeight="1">
      <c r="A14" s="25"/>
      <c r="B14" s="25"/>
      <c r="C14" s="25"/>
      <c r="D14" s="26"/>
      <c r="E14" s="26"/>
      <c r="F14" s="27" t="s">
        <v>87</v>
      </c>
      <c r="G14" s="28" t="s">
        <v>88</v>
      </c>
      <c r="H14" s="27" t="s">
        <v>89</v>
      </c>
      <c r="I14" s="29" t="s">
        <v>204</v>
      </c>
      <c r="J14" s="27"/>
      <c r="K14" s="27"/>
      <c r="L14" s="29" t="s">
        <v>205</v>
      </c>
      <c r="M14" s="29" t="s">
        <v>219</v>
      </c>
      <c r="N14" s="27"/>
      <c r="O14" s="30">
        <v>2.5</v>
      </c>
      <c r="P14" s="28">
        <v>67</v>
      </c>
      <c r="Q14" s="28">
        <v>10</v>
      </c>
      <c r="R14" s="28">
        <v>65</v>
      </c>
      <c r="S14" s="30">
        <f t="shared" si="0"/>
        <v>4.3549999999999998E-2</v>
      </c>
      <c r="T14" s="30">
        <f t="shared" si="1"/>
        <v>8.7100000000000009</v>
      </c>
      <c r="U14" s="31">
        <v>11.8</v>
      </c>
      <c r="V14" s="31"/>
      <c r="W14" s="32">
        <f t="shared" si="2"/>
        <v>1.2808823529411764</v>
      </c>
      <c r="X14" s="32">
        <f t="shared" si="23"/>
        <v>3.5972426470588239</v>
      </c>
      <c r="Y14" s="33">
        <f t="shared" si="4"/>
        <v>1501.0312500000002</v>
      </c>
      <c r="Z14" s="33">
        <f t="shared" si="5"/>
        <v>1771.2168750000001</v>
      </c>
      <c r="AA14" s="34">
        <f t="shared" si="6"/>
        <v>524.85</v>
      </c>
      <c r="AB14" s="34">
        <v>47</v>
      </c>
      <c r="AC14" s="34">
        <v>278</v>
      </c>
      <c r="AD14" s="34">
        <f t="shared" si="7"/>
        <v>849.85</v>
      </c>
      <c r="AE14" s="35">
        <f t="shared" si="8"/>
        <v>524.85</v>
      </c>
      <c r="AF14" s="35">
        <f t="shared" si="9"/>
        <v>69.98</v>
      </c>
      <c r="AG14" s="35">
        <f t="shared" si="10"/>
        <v>174.95000000000002</v>
      </c>
      <c r="AH14" s="36">
        <f t="shared" si="11"/>
        <v>69.98</v>
      </c>
      <c r="AI14" s="36">
        <f t="shared" si="12"/>
        <v>533.74576271186424</v>
      </c>
      <c r="AJ14" s="36">
        <f t="shared" si="13"/>
        <v>88.560843750000004</v>
      </c>
      <c r="AK14" s="36">
        <f t="shared" si="14"/>
        <v>53.136506250000004</v>
      </c>
      <c r="AL14" s="37">
        <f t="shared" si="15"/>
        <v>-367.08436271186469</v>
      </c>
      <c r="AM14" s="38">
        <f t="shared" si="16"/>
        <v>-0.10491122112371097</v>
      </c>
      <c r="AN14" s="27">
        <v>3499</v>
      </c>
      <c r="AO14" s="27"/>
      <c r="AP14" s="27"/>
      <c r="AQ14" s="27"/>
      <c r="AR14" s="27">
        <v>6399</v>
      </c>
      <c r="AS14" s="27"/>
      <c r="AT14" s="27"/>
      <c r="AU14" s="27"/>
      <c r="AV14" s="39">
        <f t="shared" si="17"/>
        <v>1464.2229872881355</v>
      </c>
      <c r="AW14" s="40">
        <f t="shared" si="18"/>
        <v>0.41846898750732653</v>
      </c>
      <c r="AX14" s="27"/>
      <c r="AY14" s="41">
        <f t="shared" si="19"/>
        <v>127.20603813559323</v>
      </c>
      <c r="AZ14" s="42">
        <f t="shared" si="20"/>
        <v>195.80938105052772</v>
      </c>
      <c r="BA14" s="42">
        <f t="shared" si="21"/>
        <v>296.52542372881356</v>
      </c>
      <c r="BB14" s="27"/>
      <c r="BC14" s="27"/>
    </row>
    <row r="15" spans="1:55" ht="14.25" hidden="1" customHeight="1">
      <c r="A15" s="25"/>
      <c r="B15" s="25"/>
      <c r="C15" s="25"/>
      <c r="D15" s="26"/>
      <c r="E15" s="26"/>
      <c r="F15" s="27" t="s">
        <v>99</v>
      </c>
      <c r="G15" s="28" t="s">
        <v>100</v>
      </c>
      <c r="H15" s="27" t="s">
        <v>101</v>
      </c>
      <c r="I15" s="29" t="s">
        <v>204</v>
      </c>
      <c r="J15" s="27"/>
      <c r="K15" s="27"/>
      <c r="L15" s="29" t="s">
        <v>205</v>
      </c>
      <c r="M15" s="29" t="s">
        <v>220</v>
      </c>
      <c r="N15" s="27"/>
      <c r="O15" s="30">
        <v>3.1</v>
      </c>
      <c r="P15" s="28">
        <v>67</v>
      </c>
      <c r="Q15" s="28">
        <v>10</v>
      </c>
      <c r="R15" s="28">
        <v>65</v>
      </c>
      <c r="S15" s="30">
        <f t="shared" si="0"/>
        <v>4.3549999999999998E-2</v>
      </c>
      <c r="T15" s="30">
        <f t="shared" si="1"/>
        <v>8.7100000000000009</v>
      </c>
      <c r="U15" s="31">
        <v>5.9</v>
      </c>
      <c r="V15" s="31"/>
      <c r="W15" s="32">
        <f t="shared" si="2"/>
        <v>1.2808823529411764</v>
      </c>
      <c r="X15" s="32">
        <f t="shared" si="23"/>
        <v>1.9747426470588239</v>
      </c>
      <c r="Y15" s="33">
        <f t="shared" si="4"/>
        <v>824.00625000000002</v>
      </c>
      <c r="Z15" s="33">
        <f t="shared" si="5"/>
        <v>972.32737499999996</v>
      </c>
      <c r="AA15" s="34">
        <f t="shared" si="6"/>
        <v>374.84999999999997</v>
      </c>
      <c r="AB15" s="34">
        <v>47</v>
      </c>
      <c r="AC15" s="34">
        <v>278</v>
      </c>
      <c r="AD15" s="34">
        <f t="shared" si="7"/>
        <v>699.84999999999991</v>
      </c>
      <c r="AE15" s="35">
        <f t="shared" si="8"/>
        <v>374.84999999999997</v>
      </c>
      <c r="AF15" s="35">
        <f t="shared" si="9"/>
        <v>49.980000000000004</v>
      </c>
      <c r="AG15" s="35">
        <f t="shared" si="10"/>
        <v>124.95</v>
      </c>
      <c r="AH15" s="36">
        <f t="shared" si="11"/>
        <v>49.980000000000004</v>
      </c>
      <c r="AI15" s="36">
        <f t="shared" si="12"/>
        <v>381.20338983050851</v>
      </c>
      <c r="AJ15" s="36">
        <f t="shared" si="13"/>
        <v>48.616368749999999</v>
      </c>
      <c r="AK15" s="36">
        <f t="shared" si="14"/>
        <v>29.169821249999998</v>
      </c>
      <c r="AL15" s="37">
        <f t="shared" si="15"/>
        <v>-83.605829830508242</v>
      </c>
      <c r="AM15" s="38">
        <f t="shared" si="16"/>
        <v>-3.3455714217890453E-2</v>
      </c>
      <c r="AN15" s="27">
        <v>2499</v>
      </c>
      <c r="AO15" s="27"/>
      <c r="AP15" s="27"/>
      <c r="AQ15" s="27"/>
      <c r="AR15" s="27">
        <v>3999</v>
      </c>
      <c r="AS15" s="27"/>
      <c r="AT15" s="27"/>
      <c r="AU15" s="27"/>
      <c r="AV15" s="39">
        <f t="shared" si="17"/>
        <v>1293.7903601694916</v>
      </c>
      <c r="AW15" s="40">
        <f t="shared" si="18"/>
        <v>0.51772323336114112</v>
      </c>
      <c r="AX15" s="27"/>
      <c r="AY15" s="41">
        <f t="shared" si="19"/>
        <v>139.66207627118644</v>
      </c>
      <c r="AZ15" s="42">
        <f t="shared" si="20"/>
        <v>254.75049491432864</v>
      </c>
      <c r="BA15" s="42">
        <f t="shared" si="21"/>
        <v>423.5593220338983</v>
      </c>
      <c r="BB15" s="27"/>
      <c r="BC15" s="27"/>
    </row>
    <row r="16" spans="1:55" ht="14.25" hidden="1" customHeight="1">
      <c r="A16" s="25"/>
      <c r="B16" s="25"/>
      <c r="C16" s="25"/>
      <c r="D16" s="26"/>
      <c r="E16" s="26"/>
      <c r="F16" s="27" t="s">
        <v>110</v>
      </c>
      <c r="G16" s="28" t="s">
        <v>111</v>
      </c>
      <c r="H16" s="27" t="s">
        <v>112</v>
      </c>
      <c r="I16" s="29" t="s">
        <v>204</v>
      </c>
      <c r="J16" s="27"/>
      <c r="K16" s="27"/>
      <c r="L16" s="29" t="s">
        <v>205</v>
      </c>
      <c r="M16" s="29" t="s">
        <v>221</v>
      </c>
      <c r="N16" s="27"/>
      <c r="O16" s="30">
        <v>2.65</v>
      </c>
      <c r="P16" s="28">
        <v>67</v>
      </c>
      <c r="Q16" s="28">
        <v>10</v>
      </c>
      <c r="R16" s="28">
        <v>65</v>
      </c>
      <c r="S16" s="30">
        <f t="shared" si="0"/>
        <v>4.3549999999999998E-2</v>
      </c>
      <c r="T16" s="30">
        <f t="shared" si="1"/>
        <v>8.7100000000000009</v>
      </c>
      <c r="U16" s="31">
        <v>3.7</v>
      </c>
      <c r="V16" s="31"/>
      <c r="W16" s="32">
        <f t="shared" si="2"/>
        <v>1.2808823529411764</v>
      </c>
      <c r="X16" s="32">
        <f t="shared" si="23"/>
        <v>1.3697426470588234</v>
      </c>
      <c r="Y16" s="33">
        <f t="shared" si="4"/>
        <v>571.55624999999986</v>
      </c>
      <c r="Z16" s="33">
        <f t="shared" si="5"/>
        <v>674.43637499999977</v>
      </c>
      <c r="AA16" s="34">
        <f t="shared" si="6"/>
        <v>299.84999999999997</v>
      </c>
      <c r="AB16" s="34">
        <v>47</v>
      </c>
      <c r="AC16" s="34">
        <v>294</v>
      </c>
      <c r="AD16" s="34">
        <f t="shared" si="7"/>
        <v>640.84999999999991</v>
      </c>
      <c r="AE16" s="35">
        <f t="shared" si="8"/>
        <v>299.84999999999997</v>
      </c>
      <c r="AF16" s="35">
        <f t="shared" si="9"/>
        <v>39.980000000000004</v>
      </c>
      <c r="AG16" s="35">
        <f t="shared" si="10"/>
        <v>99.95</v>
      </c>
      <c r="AH16" s="36">
        <f t="shared" si="11"/>
        <v>39.980000000000004</v>
      </c>
      <c r="AI16" s="36">
        <f t="shared" si="12"/>
        <v>304.93220338983042</v>
      </c>
      <c r="AJ16" s="36">
        <f t="shared" si="13"/>
        <v>33.72181874999999</v>
      </c>
      <c r="AK16" s="36">
        <f t="shared" si="14"/>
        <v>20.233091249999994</v>
      </c>
      <c r="AL16" s="37">
        <f t="shared" si="15"/>
        <v>-52.053363389830139</v>
      </c>
      <c r="AM16" s="38">
        <f t="shared" si="16"/>
        <v>-2.6039701545687913E-2</v>
      </c>
      <c r="AN16" s="27">
        <v>1999</v>
      </c>
      <c r="AO16" s="27"/>
      <c r="AP16" s="27"/>
      <c r="AQ16" s="27"/>
      <c r="AR16" s="27">
        <v>2499</v>
      </c>
      <c r="AS16" s="27"/>
      <c r="AT16" s="27"/>
      <c r="AU16" s="27"/>
      <c r="AV16" s="39">
        <f t="shared" si="17"/>
        <v>1122.5115466101697</v>
      </c>
      <c r="AW16" s="40">
        <f t="shared" si="18"/>
        <v>0.56153654157587285</v>
      </c>
      <c r="AX16" s="27"/>
      <c r="AY16" s="41">
        <f t="shared" si="19"/>
        <v>154.4746621621621</v>
      </c>
      <c r="AZ16" s="42">
        <f t="shared" si="20"/>
        <v>293.78735688744553</v>
      </c>
      <c r="BA16" s="42">
        <f t="shared" si="21"/>
        <v>540.2702702702702</v>
      </c>
      <c r="BB16" s="27"/>
      <c r="BC16" s="27"/>
    </row>
    <row r="17" spans="1:55" ht="14.25" hidden="1" customHeight="1">
      <c r="A17" s="25"/>
      <c r="B17" s="25"/>
      <c r="C17" s="25"/>
      <c r="D17" s="26"/>
      <c r="E17" s="26"/>
      <c r="F17" s="27" t="s">
        <v>121</v>
      </c>
      <c r="G17" s="28" t="s">
        <v>122</v>
      </c>
      <c r="H17" s="27" t="s">
        <v>123</v>
      </c>
      <c r="I17" s="29" t="s">
        <v>204</v>
      </c>
      <c r="J17" s="27"/>
      <c r="K17" s="27"/>
      <c r="L17" s="29" t="s">
        <v>205</v>
      </c>
      <c r="M17" s="29" t="s">
        <v>222</v>
      </c>
      <c r="N17" s="27"/>
      <c r="O17" s="30">
        <v>3.5</v>
      </c>
      <c r="P17" s="28">
        <v>25</v>
      </c>
      <c r="Q17" s="28">
        <v>29</v>
      </c>
      <c r="R17" s="28">
        <v>33</v>
      </c>
      <c r="S17" s="30">
        <f t="shared" si="0"/>
        <v>2.3924999999999998E-2</v>
      </c>
      <c r="T17" s="30">
        <f t="shared" si="1"/>
        <v>4.7850000000000001</v>
      </c>
      <c r="U17" s="31">
        <v>10</v>
      </c>
      <c r="V17" s="31"/>
      <c r="W17" s="32">
        <f t="shared" si="2"/>
        <v>0.70367647058823524</v>
      </c>
      <c r="X17" s="32">
        <f t="shared" si="23"/>
        <v>2.943511029411765</v>
      </c>
      <c r="Y17" s="33">
        <f t="shared" si="4"/>
        <v>1228.246875</v>
      </c>
      <c r="Z17" s="33">
        <f t="shared" si="5"/>
        <v>1449.3313125</v>
      </c>
      <c r="AA17" s="34">
        <f t="shared" si="6"/>
        <v>419.84999999999997</v>
      </c>
      <c r="AB17" s="34">
        <v>47</v>
      </c>
      <c r="AC17" s="34">
        <v>262</v>
      </c>
      <c r="AD17" s="34">
        <f t="shared" si="7"/>
        <v>728.84999999999991</v>
      </c>
      <c r="AE17" s="35">
        <f t="shared" si="8"/>
        <v>419.84999999999997</v>
      </c>
      <c r="AF17" s="35">
        <f t="shared" si="9"/>
        <v>55.980000000000004</v>
      </c>
      <c r="AG17" s="35">
        <f t="shared" si="10"/>
        <v>139.95000000000002</v>
      </c>
      <c r="AH17" s="36">
        <f t="shared" si="11"/>
        <v>55.980000000000004</v>
      </c>
      <c r="AI17" s="36">
        <f t="shared" si="12"/>
        <v>426.96610169491532</v>
      </c>
      <c r="AJ17" s="36">
        <f t="shared" si="13"/>
        <v>72.466565625000001</v>
      </c>
      <c r="AK17" s="36">
        <f t="shared" si="14"/>
        <v>43.479939375000001</v>
      </c>
      <c r="AL17" s="37">
        <f t="shared" si="15"/>
        <v>-372.76948169491527</v>
      </c>
      <c r="AM17" s="38">
        <f t="shared" si="16"/>
        <v>-0.13317952186313514</v>
      </c>
      <c r="AN17" s="27">
        <v>2799</v>
      </c>
      <c r="AO17" s="27"/>
      <c r="AP17" s="27"/>
      <c r="AQ17" s="27"/>
      <c r="AR17" s="27">
        <v>5499</v>
      </c>
      <c r="AS17" s="27"/>
      <c r="AT17" s="27"/>
      <c r="AU17" s="27"/>
      <c r="AV17" s="39">
        <f t="shared" si="17"/>
        <v>1143.7870233050846</v>
      </c>
      <c r="AW17" s="40">
        <f t="shared" si="18"/>
        <v>0.40864130879066973</v>
      </c>
      <c r="AX17" s="27"/>
      <c r="AY17" s="41">
        <f t="shared" si="19"/>
        <v>122.82468750000001</v>
      </c>
      <c r="AZ17" s="42">
        <f t="shared" si="20"/>
        <v>191.42405715463349</v>
      </c>
      <c r="BA17" s="42">
        <f t="shared" si="21"/>
        <v>279.89999999999998</v>
      </c>
      <c r="BB17" s="27"/>
      <c r="BC17" s="27"/>
    </row>
    <row r="18" spans="1:55" ht="14.25" hidden="1" customHeight="1">
      <c r="A18" s="25"/>
      <c r="B18" s="25"/>
      <c r="C18" s="25"/>
      <c r="D18" s="26"/>
      <c r="E18" s="26"/>
      <c r="F18" s="27" t="s">
        <v>126</v>
      </c>
      <c r="G18" s="28" t="s">
        <v>127</v>
      </c>
      <c r="H18" s="27" t="s">
        <v>128</v>
      </c>
      <c r="I18" s="29" t="s">
        <v>204</v>
      </c>
      <c r="J18" s="27"/>
      <c r="K18" s="27"/>
      <c r="L18" s="29" t="s">
        <v>205</v>
      </c>
      <c r="M18" s="29" t="s">
        <v>223</v>
      </c>
      <c r="N18" s="27"/>
      <c r="O18" s="30">
        <v>2.9</v>
      </c>
      <c r="P18" s="28">
        <v>25</v>
      </c>
      <c r="Q18" s="28">
        <v>29</v>
      </c>
      <c r="R18" s="28">
        <v>33</v>
      </c>
      <c r="S18" s="30">
        <f t="shared" si="0"/>
        <v>2.3924999999999998E-2</v>
      </c>
      <c r="T18" s="30">
        <f t="shared" si="1"/>
        <v>4.7850000000000001</v>
      </c>
      <c r="U18" s="31">
        <v>7.9</v>
      </c>
      <c r="V18" s="31"/>
      <c r="W18" s="32">
        <f t="shared" si="2"/>
        <v>0.70367647058823524</v>
      </c>
      <c r="X18" s="32">
        <f t="shared" si="23"/>
        <v>2.3660110294117649</v>
      </c>
      <c r="Y18" s="33">
        <f t="shared" si="4"/>
        <v>987.27187499999991</v>
      </c>
      <c r="Z18" s="33">
        <f t="shared" si="5"/>
        <v>1164.9808124999997</v>
      </c>
      <c r="AA18" s="34">
        <f t="shared" si="6"/>
        <v>344.84999999999997</v>
      </c>
      <c r="AB18" s="34">
        <v>47</v>
      </c>
      <c r="AC18" s="34">
        <v>181.1</v>
      </c>
      <c r="AD18" s="34">
        <f t="shared" si="7"/>
        <v>572.94999999999993</v>
      </c>
      <c r="AE18" s="35">
        <f t="shared" si="8"/>
        <v>344.84999999999997</v>
      </c>
      <c r="AF18" s="35">
        <f t="shared" si="9"/>
        <v>45.980000000000004</v>
      </c>
      <c r="AG18" s="35">
        <f t="shared" si="10"/>
        <v>114.95</v>
      </c>
      <c r="AH18" s="36">
        <f t="shared" si="11"/>
        <v>45.980000000000004</v>
      </c>
      <c r="AI18" s="36">
        <f t="shared" si="12"/>
        <v>350.69491525423723</v>
      </c>
      <c r="AJ18" s="36">
        <f t="shared" si="13"/>
        <v>58.249040624999992</v>
      </c>
      <c r="AK18" s="36">
        <f t="shared" si="14"/>
        <v>34.949424374999992</v>
      </c>
      <c r="AL18" s="37">
        <f t="shared" si="15"/>
        <v>-256.87525525423706</v>
      </c>
      <c r="AM18" s="38">
        <f t="shared" si="16"/>
        <v>-0.11173347335982474</v>
      </c>
      <c r="AN18" s="27">
        <v>2299</v>
      </c>
      <c r="AO18" s="27"/>
      <c r="AP18" s="27"/>
      <c r="AQ18" s="27"/>
      <c r="AR18" s="27">
        <v>4599</v>
      </c>
      <c r="AS18" s="27"/>
      <c r="AT18" s="27"/>
      <c r="AU18" s="27"/>
      <c r="AV18" s="39">
        <f t="shared" si="17"/>
        <v>961.03320974576286</v>
      </c>
      <c r="AW18" s="40">
        <f t="shared" si="18"/>
        <v>0.41802227479154541</v>
      </c>
      <c r="AX18" s="27"/>
      <c r="AY18" s="41">
        <f t="shared" si="19"/>
        <v>124.9711234177215</v>
      </c>
      <c r="AZ18" s="42">
        <f t="shared" si="20"/>
        <v>195.60569372038478</v>
      </c>
      <c r="BA18" s="42">
        <f t="shared" si="21"/>
        <v>291.01265822784808</v>
      </c>
      <c r="BB18" s="27"/>
      <c r="BC18" s="27"/>
    </row>
    <row r="19" spans="1:55" ht="14.25" hidden="1" customHeight="1">
      <c r="A19" s="25"/>
      <c r="B19" s="25"/>
      <c r="C19" s="25"/>
      <c r="D19" s="26"/>
      <c r="E19" s="26"/>
      <c r="F19" s="27" t="s">
        <v>131</v>
      </c>
      <c r="G19" s="28" t="s">
        <v>132</v>
      </c>
      <c r="H19" s="27" t="s">
        <v>133</v>
      </c>
      <c r="I19" s="29" t="s">
        <v>204</v>
      </c>
      <c r="J19" s="27"/>
      <c r="K19" s="27"/>
      <c r="L19" s="29" t="s">
        <v>205</v>
      </c>
      <c r="M19" s="29" t="s">
        <v>224</v>
      </c>
      <c r="N19" s="27"/>
      <c r="O19" s="30">
        <v>1.75</v>
      </c>
      <c r="P19" s="28">
        <v>29</v>
      </c>
      <c r="Q19" s="28">
        <v>23</v>
      </c>
      <c r="R19" s="28">
        <v>13</v>
      </c>
      <c r="S19" s="30">
        <f t="shared" si="0"/>
        <v>8.6709999999999999E-3</v>
      </c>
      <c r="T19" s="30">
        <f t="shared" si="1"/>
        <v>1.7342</v>
      </c>
      <c r="U19" s="31">
        <v>2.7</v>
      </c>
      <c r="V19" s="31"/>
      <c r="W19" s="32">
        <f t="shared" si="2"/>
        <v>0.25502941176470589</v>
      </c>
      <c r="X19" s="32">
        <f t="shared" si="23"/>
        <v>0.81263308823529423</v>
      </c>
      <c r="Y19" s="33">
        <f t="shared" si="4"/>
        <v>339.08962500000001</v>
      </c>
      <c r="Z19" s="33">
        <f t="shared" si="5"/>
        <v>400.12575750000002</v>
      </c>
      <c r="AA19" s="34">
        <f t="shared" si="6"/>
        <v>239.85</v>
      </c>
      <c r="AB19" s="34">
        <v>47</v>
      </c>
      <c r="AC19" s="34">
        <v>197</v>
      </c>
      <c r="AD19" s="34">
        <f t="shared" si="7"/>
        <v>483.85</v>
      </c>
      <c r="AE19" s="35">
        <f t="shared" si="8"/>
        <v>239.85</v>
      </c>
      <c r="AF19" s="35">
        <f t="shared" si="9"/>
        <v>31.98</v>
      </c>
      <c r="AG19" s="35">
        <f t="shared" si="10"/>
        <v>79.95</v>
      </c>
      <c r="AH19" s="36">
        <f t="shared" si="11"/>
        <v>31.98</v>
      </c>
      <c r="AI19" s="36">
        <f t="shared" si="12"/>
        <v>243.91525423728808</v>
      </c>
      <c r="AJ19" s="36">
        <f t="shared" si="13"/>
        <v>20.006287875000002</v>
      </c>
      <c r="AK19" s="36">
        <f t="shared" si="14"/>
        <v>12.003772725000001</v>
      </c>
      <c r="AL19" s="37">
        <f t="shared" si="15"/>
        <v>116.37506016271182</v>
      </c>
      <c r="AM19" s="38">
        <f t="shared" si="16"/>
        <v>7.27799000392194E-2</v>
      </c>
      <c r="AN19" s="27">
        <v>1599</v>
      </c>
      <c r="AO19" s="27"/>
      <c r="AP19" s="27"/>
      <c r="AQ19" s="27"/>
      <c r="AR19" s="27">
        <v>2199</v>
      </c>
      <c r="AS19" s="27"/>
      <c r="AT19" s="27"/>
      <c r="AU19" s="27"/>
      <c r="AV19" s="39">
        <f t="shared" si="17"/>
        <v>1015.9951207627118</v>
      </c>
      <c r="AW19" s="40">
        <f t="shared" si="18"/>
        <v>0.63539407177155216</v>
      </c>
      <c r="AX19" s="27"/>
      <c r="AY19" s="41">
        <f t="shared" si="19"/>
        <v>125.58874999999999</v>
      </c>
      <c r="AZ19" s="42">
        <f t="shared" si="20"/>
        <v>396.10766622541166</v>
      </c>
      <c r="BA19" s="42">
        <f t="shared" si="21"/>
        <v>592.22222222222217</v>
      </c>
      <c r="BB19" s="27"/>
      <c r="BC19" s="27"/>
    </row>
    <row r="20" spans="1:55" ht="14.25" hidden="1" customHeight="1">
      <c r="A20" s="25"/>
      <c r="B20" s="25"/>
      <c r="C20" s="25"/>
      <c r="D20" s="26"/>
      <c r="E20" s="26"/>
      <c r="F20" s="27" t="s">
        <v>136</v>
      </c>
      <c r="G20" s="28" t="s">
        <v>137</v>
      </c>
      <c r="H20" s="27" t="s">
        <v>138</v>
      </c>
      <c r="I20" s="29" t="s">
        <v>204</v>
      </c>
      <c r="J20" s="27"/>
      <c r="K20" s="27"/>
      <c r="L20" s="29" t="s">
        <v>205</v>
      </c>
      <c r="M20" s="29" t="s">
        <v>225</v>
      </c>
      <c r="N20" s="27"/>
      <c r="O20" s="30">
        <v>3.9</v>
      </c>
      <c r="P20" s="28">
        <v>34</v>
      </c>
      <c r="Q20" s="28">
        <v>27</v>
      </c>
      <c r="R20" s="28">
        <v>20</v>
      </c>
      <c r="S20" s="30">
        <f t="shared" si="0"/>
        <v>1.8360000000000001E-2</v>
      </c>
      <c r="T20" s="30">
        <f t="shared" si="1"/>
        <v>3.6720000000000002</v>
      </c>
      <c r="U20" s="31">
        <v>10.4</v>
      </c>
      <c r="V20" s="31"/>
      <c r="W20" s="32">
        <f t="shared" si="2"/>
        <v>0.54</v>
      </c>
      <c r="X20" s="32">
        <f t="shared" si="23"/>
        <v>3.0085000000000006</v>
      </c>
      <c r="Y20" s="33">
        <f t="shared" si="4"/>
        <v>1255.3650000000002</v>
      </c>
      <c r="Z20" s="33">
        <f t="shared" si="5"/>
        <v>1481.3307000000002</v>
      </c>
      <c r="AA20" s="34">
        <f t="shared" si="6"/>
        <v>419.84999999999997</v>
      </c>
      <c r="AB20" s="34">
        <v>47</v>
      </c>
      <c r="AC20" s="34">
        <v>230</v>
      </c>
      <c r="AD20" s="34">
        <f t="shared" si="7"/>
        <v>696.84999999999991</v>
      </c>
      <c r="AE20" s="35">
        <f t="shared" si="8"/>
        <v>419.84999999999997</v>
      </c>
      <c r="AF20" s="35">
        <f t="shared" si="9"/>
        <v>55.980000000000004</v>
      </c>
      <c r="AG20" s="35">
        <f t="shared" si="10"/>
        <v>139.95000000000002</v>
      </c>
      <c r="AH20" s="36">
        <f t="shared" si="11"/>
        <v>55.980000000000004</v>
      </c>
      <c r="AI20" s="36">
        <f t="shared" si="12"/>
        <v>426.96610169491532</v>
      </c>
      <c r="AJ20" s="36">
        <f t="shared" si="13"/>
        <v>74.066535000000016</v>
      </c>
      <c r="AK20" s="36">
        <f t="shared" si="14"/>
        <v>44.439921000000005</v>
      </c>
      <c r="AL20" s="37">
        <f t="shared" si="15"/>
        <v>-370.44755769491547</v>
      </c>
      <c r="AM20" s="38">
        <f t="shared" si="16"/>
        <v>-0.13234996702212057</v>
      </c>
      <c r="AN20" s="27">
        <v>2799</v>
      </c>
      <c r="AO20" s="27"/>
      <c r="AP20" s="27"/>
      <c r="AQ20" s="27"/>
      <c r="AR20" s="27">
        <v>5699</v>
      </c>
      <c r="AS20" s="27"/>
      <c r="AT20" s="27"/>
      <c r="AU20" s="27"/>
      <c r="AV20" s="39">
        <f t="shared" si="17"/>
        <v>1116.6688983050844</v>
      </c>
      <c r="AW20" s="40">
        <f t="shared" si="18"/>
        <v>0.39895280396751853</v>
      </c>
      <c r="AX20" s="27"/>
      <c r="AY20" s="41">
        <f t="shared" si="19"/>
        <v>120.70817307692309</v>
      </c>
      <c r="AZ20" s="42">
        <f t="shared" si="20"/>
        <v>187.28895580169907</v>
      </c>
      <c r="BA20" s="42">
        <f t="shared" si="21"/>
        <v>269.13461538461536</v>
      </c>
      <c r="BB20" s="27"/>
      <c r="BC20" s="27"/>
    </row>
    <row r="21" spans="1:55" ht="14.25" hidden="1" customHeight="1">
      <c r="A21" s="25"/>
      <c r="B21" s="25"/>
      <c r="C21" s="25"/>
      <c r="D21" s="26"/>
      <c r="E21" s="26"/>
      <c r="F21" s="27" t="s">
        <v>141</v>
      </c>
      <c r="G21" s="28" t="s">
        <v>142</v>
      </c>
      <c r="H21" s="27" t="s">
        <v>143</v>
      </c>
      <c r="I21" s="29" t="s">
        <v>204</v>
      </c>
      <c r="J21" s="27"/>
      <c r="K21" s="27"/>
      <c r="L21" s="29" t="s">
        <v>205</v>
      </c>
      <c r="M21" s="29" t="s">
        <v>226</v>
      </c>
      <c r="N21" s="27"/>
      <c r="O21" s="30">
        <v>1.1499999999999999</v>
      </c>
      <c r="P21" s="28">
        <v>8</v>
      </c>
      <c r="Q21" s="28">
        <v>8</v>
      </c>
      <c r="R21" s="28">
        <v>27</v>
      </c>
      <c r="S21" s="30">
        <f t="shared" si="0"/>
        <v>1.7279999999999999E-3</v>
      </c>
      <c r="T21" s="30">
        <f t="shared" si="1"/>
        <v>0.34560000000000002</v>
      </c>
      <c r="U21" s="31">
        <v>3.6</v>
      </c>
      <c r="V21" s="31"/>
      <c r="W21" s="32">
        <f t="shared" si="2"/>
        <v>5.0823529411764705E-2</v>
      </c>
      <c r="X21" s="32">
        <f t="shared" si="23"/>
        <v>1.0039764705882352</v>
      </c>
      <c r="Y21" s="33">
        <f t="shared" si="4"/>
        <v>418.93199999999996</v>
      </c>
      <c r="Z21" s="33">
        <f t="shared" si="5"/>
        <v>494.3397599999999</v>
      </c>
      <c r="AA21" s="34">
        <f t="shared" si="6"/>
        <v>164.85</v>
      </c>
      <c r="AB21" s="34">
        <v>47</v>
      </c>
      <c r="AC21" s="34">
        <v>131</v>
      </c>
      <c r="AD21" s="34">
        <f t="shared" si="7"/>
        <v>342.85</v>
      </c>
      <c r="AE21" s="35">
        <f t="shared" si="8"/>
        <v>164.85</v>
      </c>
      <c r="AF21" s="35">
        <f t="shared" si="9"/>
        <v>21.98</v>
      </c>
      <c r="AG21" s="35">
        <f t="shared" si="10"/>
        <v>54.95</v>
      </c>
      <c r="AH21" s="36">
        <f t="shared" si="11"/>
        <v>21.98</v>
      </c>
      <c r="AI21" s="36">
        <f t="shared" si="12"/>
        <v>167.6440677966101</v>
      </c>
      <c r="AJ21" s="36">
        <f t="shared" si="13"/>
        <v>24.716987999999997</v>
      </c>
      <c r="AK21" s="36">
        <f t="shared" si="14"/>
        <v>14.830192799999997</v>
      </c>
      <c r="AL21" s="37">
        <f t="shared" si="15"/>
        <v>-133.73324859661014</v>
      </c>
      <c r="AM21" s="38">
        <f t="shared" si="16"/>
        <v>-0.12168630445551423</v>
      </c>
      <c r="AN21" s="27">
        <v>1099</v>
      </c>
      <c r="AO21" s="27"/>
      <c r="AP21" s="27"/>
      <c r="AQ21" s="27"/>
      <c r="AR21" s="27">
        <v>2499</v>
      </c>
      <c r="AS21" s="27"/>
      <c r="AT21" s="27"/>
      <c r="AU21" s="27"/>
      <c r="AV21" s="39">
        <f t="shared" si="17"/>
        <v>512.42393220339</v>
      </c>
      <c r="AW21" s="40">
        <f t="shared" si="18"/>
        <v>0.46626381456177435</v>
      </c>
      <c r="AX21" s="27"/>
      <c r="AY21" s="41">
        <f t="shared" si="19"/>
        <v>116.36999999999999</v>
      </c>
      <c r="AZ21" s="42">
        <f t="shared" si="20"/>
        <v>220.36034487697287</v>
      </c>
      <c r="BA21" s="42">
        <f t="shared" si="21"/>
        <v>305.27777777777777</v>
      </c>
      <c r="BB21" s="27"/>
      <c r="BC21" s="27"/>
    </row>
    <row r="22" spans="1:55" ht="14.25" hidden="1" customHeight="1">
      <c r="A22" s="25"/>
      <c r="B22" s="25"/>
      <c r="C22" s="25"/>
      <c r="D22" s="26"/>
      <c r="E22" s="26"/>
      <c r="F22" s="27" t="s">
        <v>146</v>
      </c>
      <c r="G22" s="28" t="s">
        <v>147</v>
      </c>
      <c r="H22" s="27" t="s">
        <v>148</v>
      </c>
      <c r="I22" s="29" t="s">
        <v>204</v>
      </c>
      <c r="J22" s="27"/>
      <c r="K22" s="27"/>
      <c r="L22" s="29" t="s">
        <v>205</v>
      </c>
      <c r="M22" s="29" t="s">
        <v>227</v>
      </c>
      <c r="N22" s="27"/>
      <c r="O22" s="30">
        <v>1.25</v>
      </c>
      <c r="P22" s="28">
        <v>8</v>
      </c>
      <c r="Q22" s="28">
        <v>8</v>
      </c>
      <c r="R22" s="28">
        <v>27</v>
      </c>
      <c r="S22" s="30">
        <f t="shared" si="0"/>
        <v>1.7279999999999999E-3</v>
      </c>
      <c r="T22" s="30">
        <f t="shared" si="1"/>
        <v>0.34560000000000002</v>
      </c>
      <c r="U22" s="31">
        <v>6.5</v>
      </c>
      <c r="V22" s="31"/>
      <c r="W22" s="32">
        <f t="shared" si="2"/>
        <v>5.0823529411764705E-2</v>
      </c>
      <c r="X22" s="32">
        <f t="shared" si="23"/>
        <v>1.8014764705882353</v>
      </c>
      <c r="Y22" s="33">
        <f t="shared" si="4"/>
        <v>751.70699999999999</v>
      </c>
      <c r="Z22" s="33">
        <f t="shared" si="5"/>
        <v>887.01425999999992</v>
      </c>
      <c r="AA22" s="34">
        <f t="shared" si="6"/>
        <v>239.85</v>
      </c>
      <c r="AB22" s="34">
        <v>47</v>
      </c>
      <c r="AC22" s="34">
        <v>131</v>
      </c>
      <c r="AD22" s="34">
        <f t="shared" si="7"/>
        <v>417.85</v>
      </c>
      <c r="AE22" s="35">
        <f t="shared" si="8"/>
        <v>239.85</v>
      </c>
      <c r="AF22" s="35">
        <f t="shared" si="9"/>
        <v>31.98</v>
      </c>
      <c r="AG22" s="35">
        <f t="shared" si="10"/>
        <v>79.95</v>
      </c>
      <c r="AH22" s="36">
        <f t="shared" si="11"/>
        <v>31.98</v>
      </c>
      <c r="AI22" s="36">
        <f t="shared" si="12"/>
        <v>243.91525423728808</v>
      </c>
      <c r="AJ22" s="36">
        <f t="shared" si="13"/>
        <v>44.350712999999999</v>
      </c>
      <c r="AK22" s="36">
        <f t="shared" si="14"/>
        <v>26.610427799999997</v>
      </c>
      <c r="AL22" s="37">
        <f t="shared" si="15"/>
        <v>-269.1933950372881</v>
      </c>
      <c r="AM22" s="38">
        <f t="shared" si="16"/>
        <v>-0.16835109133038656</v>
      </c>
      <c r="AN22" s="27">
        <v>1599</v>
      </c>
      <c r="AO22" s="27"/>
      <c r="AP22" s="27"/>
      <c r="AQ22" s="27"/>
      <c r="AR22" s="27">
        <v>3999</v>
      </c>
      <c r="AS22" s="27"/>
      <c r="AT22" s="27"/>
      <c r="AU22" s="27"/>
      <c r="AV22" s="39">
        <f t="shared" si="17"/>
        <v>603.37774576271192</v>
      </c>
      <c r="AW22" s="40">
        <f t="shared" si="18"/>
        <v>0.37734693293477917</v>
      </c>
      <c r="AX22" s="27"/>
      <c r="AY22" s="41">
        <f t="shared" si="19"/>
        <v>115.64723076923077</v>
      </c>
      <c r="AZ22" s="42">
        <f t="shared" si="20"/>
        <v>178.68132131269232</v>
      </c>
      <c r="BA22" s="42">
        <f t="shared" si="21"/>
        <v>246</v>
      </c>
      <c r="BB22" s="27"/>
      <c r="BC22" s="27"/>
    </row>
    <row r="23" spans="1:55" ht="14.25" hidden="1" customHeight="1">
      <c r="A23" s="25"/>
      <c r="B23" s="25"/>
      <c r="C23" s="25"/>
      <c r="D23" s="26"/>
      <c r="E23" s="26"/>
      <c r="F23" s="27" t="s">
        <v>151</v>
      </c>
      <c r="G23" s="28" t="s">
        <v>152</v>
      </c>
      <c r="H23" s="27" t="s">
        <v>153</v>
      </c>
      <c r="I23" s="29" t="s">
        <v>204</v>
      </c>
      <c r="J23" s="27"/>
      <c r="K23" s="27"/>
      <c r="L23" s="29" t="s">
        <v>205</v>
      </c>
      <c r="M23" s="29" t="s">
        <v>228</v>
      </c>
      <c r="N23" s="27"/>
      <c r="O23" s="30">
        <v>0.65</v>
      </c>
      <c r="P23" s="28">
        <v>8</v>
      </c>
      <c r="Q23" s="28">
        <v>8</v>
      </c>
      <c r="R23" s="28">
        <v>27</v>
      </c>
      <c r="S23" s="30">
        <f t="shared" si="0"/>
        <v>1.7279999999999999E-3</v>
      </c>
      <c r="T23" s="30">
        <f t="shared" si="1"/>
        <v>0.34560000000000002</v>
      </c>
      <c r="U23" s="31">
        <v>1.3</v>
      </c>
      <c r="V23" s="31"/>
      <c r="W23" s="32">
        <f t="shared" si="2"/>
        <v>5.0823529411764705E-2</v>
      </c>
      <c r="X23" s="32">
        <f t="shared" si="23"/>
        <v>0.37147647058823535</v>
      </c>
      <c r="Y23" s="33">
        <f t="shared" si="4"/>
        <v>155.00700000000001</v>
      </c>
      <c r="Z23" s="33">
        <f t="shared" si="5"/>
        <v>182.90825999999998</v>
      </c>
      <c r="AA23" s="34">
        <f t="shared" si="6"/>
        <v>104.85</v>
      </c>
      <c r="AB23" s="34">
        <v>47</v>
      </c>
      <c r="AC23" s="34">
        <v>98</v>
      </c>
      <c r="AD23" s="34">
        <f t="shared" si="7"/>
        <v>249.85</v>
      </c>
      <c r="AE23" s="35">
        <f t="shared" si="8"/>
        <v>104.85</v>
      </c>
      <c r="AF23" s="35">
        <f t="shared" si="9"/>
        <v>13.98</v>
      </c>
      <c r="AG23" s="35">
        <f t="shared" si="10"/>
        <v>34.950000000000003</v>
      </c>
      <c r="AH23" s="36">
        <f t="shared" si="11"/>
        <v>13.98</v>
      </c>
      <c r="AI23" s="36">
        <f t="shared" si="12"/>
        <v>106.62711864406776</v>
      </c>
      <c r="AJ23" s="36">
        <f t="shared" si="13"/>
        <v>9.1454129999999996</v>
      </c>
      <c r="AK23" s="36">
        <f t="shared" si="14"/>
        <v>5.4872477999999996</v>
      </c>
      <c r="AL23" s="37">
        <f t="shared" si="15"/>
        <v>5.1232205559321429</v>
      </c>
      <c r="AM23" s="38">
        <f t="shared" si="16"/>
        <v>7.3293570185009194E-3</v>
      </c>
      <c r="AN23" s="27">
        <v>699</v>
      </c>
      <c r="AO23" s="27"/>
      <c r="AP23" s="27"/>
      <c r="AQ23" s="27"/>
      <c r="AR23" s="27">
        <v>1499</v>
      </c>
      <c r="AS23" s="27"/>
      <c r="AT23" s="27"/>
      <c r="AU23" s="27"/>
      <c r="AV23" s="39">
        <f t="shared" si="17"/>
        <v>437.36588135593223</v>
      </c>
      <c r="AW23" s="40">
        <f t="shared" si="18"/>
        <v>0.62570226231177717</v>
      </c>
      <c r="AX23" s="27"/>
      <c r="AY23" s="41">
        <f t="shared" si="19"/>
        <v>119.23615384615384</v>
      </c>
      <c r="AZ23" s="42">
        <f t="shared" si="20"/>
        <v>378.79579631887594</v>
      </c>
      <c r="BA23" s="42">
        <f t="shared" si="21"/>
        <v>537.69230769230762</v>
      </c>
      <c r="BB23" s="27"/>
      <c r="BC23" s="27"/>
    </row>
    <row r="24" spans="1:55" ht="14.25" hidden="1" customHeight="1">
      <c r="A24" s="25"/>
      <c r="B24" s="25"/>
      <c r="C24" s="25"/>
      <c r="D24" s="26"/>
      <c r="E24" s="26"/>
      <c r="F24" s="27" t="s">
        <v>156</v>
      </c>
      <c r="G24" s="28" t="e">
        <v>#N/A</v>
      </c>
      <c r="H24" s="27" t="s">
        <v>157</v>
      </c>
      <c r="I24" s="29" t="s">
        <v>204</v>
      </c>
      <c r="J24" s="27"/>
      <c r="K24" s="27"/>
      <c r="L24" s="29" t="s">
        <v>229</v>
      </c>
      <c r="M24" s="29" t="s">
        <v>230</v>
      </c>
      <c r="N24" s="27"/>
      <c r="O24" s="30">
        <v>0.8</v>
      </c>
      <c r="P24" s="28">
        <v>6</v>
      </c>
      <c r="Q24" s="28">
        <v>6</v>
      </c>
      <c r="R24" s="28">
        <v>30</v>
      </c>
      <c r="S24" s="30">
        <f t="shared" si="0"/>
        <v>1.08E-3</v>
      </c>
      <c r="T24" s="30">
        <f t="shared" si="1"/>
        <v>0.216</v>
      </c>
      <c r="U24" s="31">
        <v>2.4</v>
      </c>
      <c r="V24" s="31"/>
      <c r="W24" s="32">
        <f t="shared" si="2"/>
        <v>3.1764705882352938E-2</v>
      </c>
      <c r="X24" s="32">
        <f t="shared" si="23"/>
        <v>0.66873529411764709</v>
      </c>
      <c r="Y24" s="33">
        <f t="shared" si="4"/>
        <v>279.04499999999996</v>
      </c>
      <c r="Z24" s="33">
        <f t="shared" si="5"/>
        <v>329.27309999999994</v>
      </c>
      <c r="AA24" s="34">
        <f t="shared" si="6"/>
        <v>119.85</v>
      </c>
      <c r="AB24" s="34">
        <v>47</v>
      </c>
      <c r="AC24" s="34">
        <v>125</v>
      </c>
      <c r="AD24" s="34">
        <f t="shared" si="7"/>
        <v>291.85000000000002</v>
      </c>
      <c r="AE24" s="35">
        <f t="shared" si="8"/>
        <v>119.85</v>
      </c>
      <c r="AF24" s="35">
        <f t="shared" si="9"/>
        <v>15.98</v>
      </c>
      <c r="AG24" s="35">
        <f t="shared" si="10"/>
        <v>39.950000000000003</v>
      </c>
      <c r="AH24" s="36">
        <f t="shared" si="11"/>
        <v>15.98</v>
      </c>
      <c r="AI24" s="36">
        <f t="shared" si="12"/>
        <v>121.88135593220341</v>
      </c>
      <c r="AJ24" s="36">
        <f t="shared" si="13"/>
        <v>16.463654999999999</v>
      </c>
      <c r="AK24" s="36">
        <f t="shared" si="14"/>
        <v>9.8781929999999978</v>
      </c>
      <c r="AL24" s="37">
        <f t="shared" si="15"/>
        <v>-111.87820393220339</v>
      </c>
      <c r="AM24" s="38">
        <f t="shared" si="16"/>
        <v>-0.14002278339449736</v>
      </c>
      <c r="AN24" s="27">
        <v>799</v>
      </c>
      <c r="AO24" s="27"/>
      <c r="AP24" s="27"/>
      <c r="AQ24" s="27"/>
      <c r="AR24" s="27"/>
      <c r="AS24" s="27"/>
      <c r="AT24" s="27"/>
      <c r="AU24" s="27"/>
      <c r="AV24" s="39">
        <f t="shared" si="17"/>
        <v>398.07364406779664</v>
      </c>
      <c r="AW24" s="40">
        <f t="shared" si="18"/>
        <v>0.49821482361426361</v>
      </c>
      <c r="AX24" s="27"/>
      <c r="AY24" s="41">
        <f t="shared" si="19"/>
        <v>116.26874999999998</v>
      </c>
      <c r="AZ24" s="42">
        <f t="shared" si="20"/>
        <v>240.52034618072358</v>
      </c>
      <c r="BA24" s="42">
        <f t="shared" si="21"/>
        <v>332.91666666666669</v>
      </c>
      <c r="BB24" s="27"/>
      <c r="BC24" s="27"/>
    </row>
    <row r="25" spans="1:55" ht="14.25" hidden="1" customHeight="1">
      <c r="C25" s="43"/>
      <c r="D25" s="44"/>
      <c r="E25" s="44"/>
      <c r="F25" s="45" t="s">
        <v>231</v>
      </c>
      <c r="G25" s="46" t="s">
        <v>232</v>
      </c>
      <c r="H25" s="45" t="s">
        <v>233</v>
      </c>
      <c r="I25" s="47" t="s">
        <v>234</v>
      </c>
      <c r="J25" s="61" t="s">
        <v>235</v>
      </c>
      <c r="K25" s="45" t="s">
        <v>236</v>
      </c>
      <c r="L25" s="45" t="s">
        <v>237</v>
      </c>
      <c r="M25" s="45" t="s">
        <v>238</v>
      </c>
      <c r="N25" s="45">
        <v>85167990</v>
      </c>
      <c r="O25" s="48">
        <v>1.3</v>
      </c>
      <c r="P25" s="46">
        <v>29.2</v>
      </c>
      <c r="Q25" s="46">
        <v>22.4</v>
      </c>
      <c r="R25" s="46">
        <v>13.6</v>
      </c>
      <c r="S25" s="48">
        <f t="shared" si="0"/>
        <v>8.895488E-3</v>
      </c>
      <c r="T25" s="48">
        <f t="shared" si="1"/>
        <v>1.7790975999999998</v>
      </c>
      <c r="U25" s="49">
        <v>11.68</v>
      </c>
      <c r="V25" s="49">
        <v>11.68</v>
      </c>
      <c r="W25" s="50">
        <f t="shared" si="2"/>
        <v>0.26163200000000003</v>
      </c>
      <c r="X25" s="50">
        <f t="shared" ref="X25:X27" si="24">(U25+W25)*(B$31+(B$31*B$45))</f>
        <v>2.6271590400000004</v>
      </c>
      <c r="Y25" s="51">
        <f t="shared" si="4"/>
        <v>1311.1911936000001</v>
      </c>
      <c r="Z25" s="51">
        <f t="shared" si="5"/>
        <v>1547.205608448</v>
      </c>
      <c r="AA25" s="52">
        <f t="shared" ref="AA25:AA27" si="25">AN25*4.5%</f>
        <v>103.455</v>
      </c>
      <c r="AB25" s="52">
        <v>51</v>
      </c>
      <c r="AC25" s="52">
        <v>115</v>
      </c>
      <c r="AD25" s="52">
        <f t="shared" si="7"/>
        <v>269.45499999999998</v>
      </c>
      <c r="AE25" s="53">
        <f t="shared" si="8"/>
        <v>344.84999999999997</v>
      </c>
      <c r="AF25" s="53">
        <f t="shared" si="9"/>
        <v>45.980000000000004</v>
      </c>
      <c r="AG25" s="53">
        <f t="shared" si="10"/>
        <v>114.95</v>
      </c>
      <c r="AH25" s="54">
        <f t="shared" si="11"/>
        <v>45.980000000000004</v>
      </c>
      <c r="AI25" s="54">
        <f t="shared" si="12"/>
        <v>350.69491525423723</v>
      </c>
      <c r="AJ25" s="54">
        <f t="shared" si="13"/>
        <v>77.36028042240001</v>
      </c>
      <c r="AK25" s="54">
        <f t="shared" si="14"/>
        <v>46.416168253439999</v>
      </c>
      <c r="AL25" s="55">
        <f t="shared" si="15"/>
        <v>-307.8775575300773</v>
      </c>
      <c r="AM25" s="62">
        <f t="shared" si="16"/>
        <v>-0.13391803285344814</v>
      </c>
      <c r="AN25" s="45">
        <v>2299</v>
      </c>
      <c r="AO25" s="45"/>
      <c r="AP25" s="45">
        <v>2349</v>
      </c>
      <c r="AQ25" s="45"/>
      <c r="AR25" s="45">
        <v>5999</v>
      </c>
      <c r="AS25" s="45"/>
      <c r="AT25" s="45"/>
      <c r="AU25" s="45"/>
      <c r="AV25" s="57">
        <f t="shared" si="17"/>
        <v>637.11389114576264</v>
      </c>
      <c r="AW25" s="58">
        <f t="shared" si="18"/>
        <v>0.27712652942399418</v>
      </c>
      <c r="AX25" s="63">
        <v>8904422503366</v>
      </c>
      <c r="AY25" s="59">
        <f t="shared" si="19"/>
        <v>112.25952000000001</v>
      </c>
      <c r="AZ25" s="60">
        <f t="shared" si="20"/>
        <v>147.282868389149</v>
      </c>
      <c r="BA25" s="60">
        <f t="shared" si="21"/>
        <v>196.83219178082192</v>
      </c>
      <c r="BB25" s="45"/>
      <c r="BC25" s="45"/>
    </row>
    <row r="26" spans="1:55" ht="14.25" customHeight="1">
      <c r="A26" s="45" t="s">
        <v>239</v>
      </c>
      <c r="B26" s="64">
        <v>90</v>
      </c>
      <c r="C26" s="43"/>
      <c r="D26" s="44"/>
      <c r="E26" s="44"/>
      <c r="F26" s="45" t="s">
        <v>240</v>
      </c>
      <c r="G26" s="46" t="s">
        <v>241</v>
      </c>
      <c r="H26" s="45" t="s">
        <v>242</v>
      </c>
      <c r="I26" s="47" t="s">
        <v>234</v>
      </c>
      <c r="J26" s="61" t="s">
        <v>235</v>
      </c>
      <c r="K26" s="45" t="s">
        <v>243</v>
      </c>
      <c r="L26" s="45" t="s">
        <v>237</v>
      </c>
      <c r="M26" s="45" t="s">
        <v>244</v>
      </c>
      <c r="N26" s="45">
        <v>85167990</v>
      </c>
      <c r="O26" s="48">
        <v>1.3</v>
      </c>
      <c r="P26" s="46">
        <v>29.2</v>
      </c>
      <c r="Q26" s="46">
        <v>22.4</v>
      </c>
      <c r="R26" s="46">
        <v>13.6</v>
      </c>
      <c r="S26" s="48">
        <f t="shared" si="0"/>
        <v>8.895488E-3</v>
      </c>
      <c r="T26" s="48">
        <f t="shared" si="1"/>
        <v>1.7790975999999998</v>
      </c>
      <c r="U26" s="49">
        <v>9.4499999999999993</v>
      </c>
      <c r="V26" s="49">
        <v>9.4499999999999993</v>
      </c>
      <c r="W26" s="50">
        <f t="shared" si="2"/>
        <v>0.26163200000000003</v>
      </c>
      <c r="X26" s="50">
        <f t="shared" si="24"/>
        <v>2.1365590400000003</v>
      </c>
      <c r="Y26" s="51">
        <f t="shared" si="4"/>
        <v>1066.3371935999999</v>
      </c>
      <c r="Z26" s="51">
        <f t="shared" si="5"/>
        <v>1258.2778884479999</v>
      </c>
      <c r="AA26" s="52">
        <f t="shared" si="25"/>
        <v>92.25</v>
      </c>
      <c r="AB26" s="52">
        <v>51</v>
      </c>
      <c r="AC26" s="52">
        <v>115</v>
      </c>
      <c r="AD26" s="52">
        <f t="shared" si="7"/>
        <v>258.25</v>
      </c>
      <c r="AE26" s="53">
        <f t="shared" si="8"/>
        <v>307.5</v>
      </c>
      <c r="AF26" s="53">
        <f t="shared" si="9"/>
        <v>41</v>
      </c>
      <c r="AG26" s="53">
        <f t="shared" si="10"/>
        <v>102.5</v>
      </c>
      <c r="AH26" s="54">
        <f t="shared" si="11"/>
        <v>41</v>
      </c>
      <c r="AI26" s="54">
        <f t="shared" si="12"/>
        <v>312.71186440677957</v>
      </c>
      <c r="AJ26" s="54">
        <f t="shared" si="13"/>
        <v>62.913894422399999</v>
      </c>
      <c r="AK26" s="54">
        <f t="shared" si="14"/>
        <v>37.748336653439992</v>
      </c>
      <c r="AL26" s="55">
        <f t="shared" si="15"/>
        <v>-179.96128908261943</v>
      </c>
      <c r="AM26" s="62">
        <f t="shared" si="16"/>
        <v>-8.7785994674448503E-2</v>
      </c>
      <c r="AN26" s="45">
        <v>2050</v>
      </c>
      <c r="AO26" s="45"/>
      <c r="AP26" s="45">
        <v>2049</v>
      </c>
      <c r="AQ26" s="45"/>
      <c r="AR26" s="45">
        <v>4999</v>
      </c>
      <c r="AS26" s="45"/>
      <c r="AT26" s="45"/>
      <c r="AU26" s="45"/>
      <c r="AV26" s="57">
        <f t="shared" si="17"/>
        <v>670.95094199322057</v>
      </c>
      <c r="AW26" s="58">
        <f t="shared" si="18"/>
        <v>0.32729314243571733</v>
      </c>
      <c r="AX26" s="63">
        <v>8904422503373</v>
      </c>
      <c r="AY26" s="59">
        <f t="shared" si="19"/>
        <v>112.83991466666666</v>
      </c>
      <c r="AZ26" s="60">
        <f t="shared" si="20"/>
        <v>161.48738038354028</v>
      </c>
      <c r="BA26" s="60">
        <f t="shared" si="21"/>
        <v>216.93121693121694</v>
      </c>
      <c r="BB26" s="45"/>
      <c r="BC26" s="45"/>
    </row>
    <row r="27" spans="1:55" ht="14.25" customHeight="1">
      <c r="A27" s="45" t="s">
        <v>245</v>
      </c>
      <c r="B27" s="65">
        <v>2000</v>
      </c>
      <c r="C27" s="43"/>
      <c r="D27" s="44"/>
      <c r="E27" s="44"/>
      <c r="F27" s="45" t="s">
        <v>246</v>
      </c>
      <c r="G27" s="46" t="s">
        <v>247</v>
      </c>
      <c r="H27" s="45" t="s">
        <v>248</v>
      </c>
      <c r="I27" s="47" t="s">
        <v>234</v>
      </c>
      <c r="J27" s="61" t="s">
        <v>249</v>
      </c>
      <c r="K27" s="45" t="s">
        <v>250</v>
      </c>
      <c r="L27" s="45" t="s">
        <v>237</v>
      </c>
      <c r="M27" s="45" t="s">
        <v>251</v>
      </c>
      <c r="N27" s="45">
        <v>85098000</v>
      </c>
      <c r="O27" s="48">
        <v>2.1</v>
      </c>
      <c r="P27" s="46">
        <v>30</v>
      </c>
      <c r="Q27" s="46">
        <v>19.5</v>
      </c>
      <c r="R27" s="46">
        <v>21</v>
      </c>
      <c r="S27" s="48">
        <f t="shared" si="0"/>
        <v>1.2285000000000001E-2</v>
      </c>
      <c r="T27" s="48">
        <f t="shared" si="1"/>
        <v>2.4569999999999999</v>
      </c>
      <c r="U27" s="49">
        <v>13.5</v>
      </c>
      <c r="V27" s="49">
        <v>13.4</v>
      </c>
      <c r="W27" s="50">
        <f t="shared" si="2"/>
        <v>0.36132352941176471</v>
      </c>
      <c r="X27" s="50">
        <f t="shared" si="24"/>
        <v>3.0494911764705885</v>
      </c>
      <c r="Y27" s="51">
        <f t="shared" si="4"/>
        <v>1521.9733235294116</v>
      </c>
      <c r="Z27" s="51">
        <f t="shared" si="5"/>
        <v>1795.9285217647055</v>
      </c>
      <c r="AA27" s="52">
        <f t="shared" si="25"/>
        <v>161.95499999999998</v>
      </c>
      <c r="AB27" s="52">
        <v>51</v>
      </c>
      <c r="AC27" s="52">
        <v>148</v>
      </c>
      <c r="AD27" s="52">
        <f t="shared" si="7"/>
        <v>360.95499999999998</v>
      </c>
      <c r="AE27" s="53">
        <f t="shared" si="8"/>
        <v>539.85</v>
      </c>
      <c r="AF27" s="53">
        <f t="shared" si="9"/>
        <v>71.98</v>
      </c>
      <c r="AG27" s="53">
        <f t="shared" si="10"/>
        <v>179.95000000000002</v>
      </c>
      <c r="AH27" s="54">
        <f t="shared" si="11"/>
        <v>71.98</v>
      </c>
      <c r="AI27" s="54">
        <f t="shared" si="12"/>
        <v>549</v>
      </c>
      <c r="AJ27" s="54">
        <f t="shared" si="13"/>
        <v>89.796426088235279</v>
      </c>
      <c r="AK27" s="54">
        <f t="shared" si="14"/>
        <v>53.877855652941165</v>
      </c>
      <c r="AL27" s="55">
        <f>SUM(AN27-AI27)-Y27-AD27-AE27-AG27-AJ27-AK27-AF27-AH27</f>
        <v>159.63739472941194</v>
      </c>
      <c r="AM27" s="62">
        <f>AL27/SUM(AN27-AI27)</f>
        <v>5.2340129419479325E-2</v>
      </c>
      <c r="AN27" s="45">
        <v>3599</v>
      </c>
      <c r="AO27" s="45"/>
      <c r="AP27" s="45">
        <v>3299</v>
      </c>
      <c r="AQ27" s="45"/>
      <c r="AR27" s="45">
        <v>9999</v>
      </c>
      <c r="AS27" s="45"/>
      <c r="AT27" s="45"/>
      <c r="AU27" s="45"/>
      <c r="AV27" s="57">
        <f t="shared" si="17"/>
        <v>1528.0266764705884</v>
      </c>
      <c r="AW27" s="58">
        <f t="shared" si="18"/>
        <v>0.42456979062811573</v>
      </c>
      <c r="AX27" s="63">
        <v>8904422503380</v>
      </c>
      <c r="AY27" s="59">
        <f t="shared" si="19"/>
        <v>112.73876470588233</v>
      </c>
      <c r="AZ27" s="60">
        <f t="shared" si="20"/>
        <v>198.63423052576115</v>
      </c>
      <c r="BA27" s="60">
        <f t="shared" si="21"/>
        <v>266.59259259259261</v>
      </c>
      <c r="BB27" s="45"/>
      <c r="BC27" s="45"/>
    </row>
    <row r="28" spans="1:55" ht="14.25" customHeight="1">
      <c r="A28" s="45" t="s">
        <v>252</v>
      </c>
      <c r="B28" s="45">
        <v>68</v>
      </c>
      <c r="C28" s="43"/>
      <c r="D28" s="44"/>
      <c r="E28" s="44"/>
      <c r="F28" s="45" t="s">
        <v>253</v>
      </c>
      <c r="G28" s="46" t="s">
        <v>254</v>
      </c>
      <c r="H28" s="45" t="s">
        <v>255</v>
      </c>
      <c r="I28" s="47" t="s">
        <v>256</v>
      </c>
      <c r="J28" s="61" t="s">
        <v>257</v>
      </c>
      <c r="K28" s="45"/>
      <c r="L28" s="45" t="s">
        <v>258</v>
      </c>
      <c r="M28" s="45" t="s">
        <v>259</v>
      </c>
      <c r="N28" s="45">
        <v>94043090</v>
      </c>
      <c r="O28" s="48">
        <v>0.3</v>
      </c>
      <c r="P28" s="46">
        <v>21.6</v>
      </c>
      <c r="Q28" s="46">
        <v>16.600000000000001</v>
      </c>
      <c r="R28" s="46">
        <v>13.9</v>
      </c>
      <c r="S28" s="48">
        <f t="shared" si="0"/>
        <v>4.9839840000000012E-3</v>
      </c>
      <c r="T28" s="48">
        <f t="shared" si="1"/>
        <v>0.99679680000000026</v>
      </c>
      <c r="U28" s="49">
        <v>2.95</v>
      </c>
      <c r="V28" s="49"/>
      <c r="W28" s="50">
        <f t="shared" si="2"/>
        <v>0.14658776470588239</v>
      </c>
      <c r="X28" s="50">
        <f t="shared" ref="X28:X32" si="26">(U28+W28)*(B$30+(B$30*B$45))</f>
        <v>0.85156163529411777</v>
      </c>
      <c r="Y28" s="51">
        <f t="shared" si="4"/>
        <v>355.33344600000004</v>
      </c>
      <c r="Z28" s="51">
        <f t="shared" ref="Z28:Z32" si="27">Y28*1.12</f>
        <v>397.97345952000006</v>
      </c>
      <c r="AA28" s="52">
        <f t="shared" ref="AA28:AA32" si="28">AN28*10%</f>
        <v>69.900000000000006</v>
      </c>
      <c r="AB28" s="52">
        <v>26</v>
      </c>
      <c r="AC28" s="52">
        <v>77</v>
      </c>
      <c r="AD28" s="52">
        <f t="shared" si="7"/>
        <v>172.9</v>
      </c>
      <c r="AE28" s="53">
        <f t="shared" si="8"/>
        <v>104.85</v>
      </c>
      <c r="AF28" s="53">
        <f t="shared" si="9"/>
        <v>13.98</v>
      </c>
      <c r="AG28" s="53">
        <f t="shared" si="10"/>
        <v>34.950000000000003</v>
      </c>
      <c r="AH28" s="54">
        <f t="shared" si="11"/>
        <v>13.98</v>
      </c>
      <c r="AI28" s="54">
        <f t="shared" ref="AI28:AI39" si="29">AN28-(AN28/1.12)</f>
        <v>74.892857142857224</v>
      </c>
      <c r="AJ28" s="54">
        <f t="shared" si="13"/>
        <v>19.898672976000004</v>
      </c>
      <c r="AK28" s="54">
        <f t="shared" si="14"/>
        <v>11.939203785600002</v>
      </c>
      <c r="AL28" s="55">
        <f t="shared" ref="AL28:AL63" si="30">AN28-Y28-AD28-AE28-AG28-AI28-AJ28-AK28-AF28-AH28</f>
        <v>-103.72417990445727</v>
      </c>
      <c r="AM28" s="56">
        <f t="shared" ref="AM28:AM63" si="31">AL28/AN28</f>
        <v>-0.14838938469879437</v>
      </c>
      <c r="AN28" s="45">
        <v>699</v>
      </c>
      <c r="AO28" s="45"/>
      <c r="AP28" s="45">
        <v>679</v>
      </c>
      <c r="AQ28" s="45"/>
      <c r="AR28" s="45">
        <v>1499</v>
      </c>
      <c r="AS28" s="45"/>
      <c r="AT28" s="45"/>
      <c r="AU28" s="45"/>
      <c r="AV28" s="57">
        <f t="shared" si="17"/>
        <v>268.77369685714274</v>
      </c>
      <c r="AW28" s="58">
        <f t="shared" si="18"/>
        <v>0.38451172654812982</v>
      </c>
      <c r="AX28" s="66" t="s">
        <v>260</v>
      </c>
      <c r="AY28" s="59">
        <f t="shared" si="19"/>
        <v>120.45201559322034</v>
      </c>
      <c r="AZ28" s="60">
        <f t="shared" si="20"/>
        <v>165.24197387261989</v>
      </c>
      <c r="BA28" s="60">
        <f t="shared" si="21"/>
        <v>236.94915254237287</v>
      </c>
      <c r="BB28" s="45"/>
      <c r="BC28" s="45"/>
    </row>
    <row r="29" spans="1:55" ht="14.25" customHeight="1">
      <c r="A29" s="45" t="s">
        <v>261</v>
      </c>
      <c r="B29" s="64">
        <v>40</v>
      </c>
      <c r="C29" s="43"/>
      <c r="D29" s="44"/>
      <c r="E29" s="44"/>
      <c r="F29" s="45" t="s">
        <v>262</v>
      </c>
      <c r="G29" s="46" t="s">
        <v>263</v>
      </c>
      <c r="H29" s="45" t="s">
        <v>264</v>
      </c>
      <c r="I29" s="47" t="s">
        <v>256</v>
      </c>
      <c r="J29" s="61" t="s">
        <v>257</v>
      </c>
      <c r="K29" s="45"/>
      <c r="L29" s="45" t="s">
        <v>258</v>
      </c>
      <c r="M29" s="45" t="s">
        <v>265</v>
      </c>
      <c r="N29" s="45">
        <v>94043090</v>
      </c>
      <c r="O29" s="48">
        <v>0.3</v>
      </c>
      <c r="P29" s="46">
        <v>21.6</v>
      </c>
      <c r="Q29" s="46">
        <v>16.600000000000001</v>
      </c>
      <c r="R29" s="46">
        <v>13.9</v>
      </c>
      <c r="S29" s="48">
        <f t="shared" si="0"/>
        <v>4.9839840000000012E-3</v>
      </c>
      <c r="T29" s="48">
        <f t="shared" si="1"/>
        <v>0.99679680000000026</v>
      </c>
      <c r="U29" s="49">
        <v>2.95</v>
      </c>
      <c r="V29" s="49"/>
      <c r="W29" s="50">
        <f t="shared" si="2"/>
        <v>0.14658776470588239</v>
      </c>
      <c r="X29" s="50">
        <f t="shared" si="26"/>
        <v>0.85156163529411777</v>
      </c>
      <c r="Y29" s="51">
        <f t="shared" si="4"/>
        <v>355.33344600000004</v>
      </c>
      <c r="Z29" s="51">
        <f t="shared" si="27"/>
        <v>397.97345952000006</v>
      </c>
      <c r="AA29" s="52">
        <f t="shared" si="28"/>
        <v>69.900000000000006</v>
      </c>
      <c r="AB29" s="52">
        <v>25</v>
      </c>
      <c r="AC29" s="52">
        <v>78</v>
      </c>
      <c r="AD29" s="52">
        <f t="shared" si="7"/>
        <v>172.9</v>
      </c>
      <c r="AE29" s="53">
        <f t="shared" si="8"/>
        <v>104.85</v>
      </c>
      <c r="AF29" s="53">
        <f t="shared" si="9"/>
        <v>13.98</v>
      </c>
      <c r="AG29" s="53">
        <f t="shared" si="10"/>
        <v>34.950000000000003</v>
      </c>
      <c r="AH29" s="54">
        <f t="shared" si="11"/>
        <v>13.98</v>
      </c>
      <c r="AI29" s="54">
        <f t="shared" si="29"/>
        <v>74.892857142857224</v>
      </c>
      <c r="AJ29" s="54">
        <f t="shared" si="13"/>
        <v>19.898672976000004</v>
      </c>
      <c r="AK29" s="54">
        <f t="shared" si="14"/>
        <v>11.939203785600002</v>
      </c>
      <c r="AL29" s="55">
        <f t="shared" si="30"/>
        <v>-103.72417990445727</v>
      </c>
      <c r="AM29" s="56">
        <f t="shared" si="31"/>
        <v>-0.14838938469879437</v>
      </c>
      <c r="AN29" s="45">
        <v>699</v>
      </c>
      <c r="AO29" s="45"/>
      <c r="AP29" s="45">
        <v>679</v>
      </c>
      <c r="AQ29" s="45"/>
      <c r="AR29" s="45">
        <v>1999</v>
      </c>
      <c r="AS29" s="45"/>
      <c r="AT29" s="45"/>
      <c r="AU29" s="45"/>
      <c r="AV29" s="57">
        <f t="shared" si="17"/>
        <v>268.77369685714274</v>
      </c>
      <c r="AW29" s="58">
        <f t="shared" si="18"/>
        <v>0.38451172654812982</v>
      </c>
      <c r="AX29" s="63">
        <v>8904422503502</v>
      </c>
      <c r="AY29" s="59">
        <f t="shared" si="19"/>
        <v>120.45201559322034</v>
      </c>
      <c r="AZ29" s="60">
        <f t="shared" si="20"/>
        <v>165.24197387261989</v>
      </c>
      <c r="BA29" s="60">
        <f t="shared" si="21"/>
        <v>236.94915254237287</v>
      </c>
      <c r="BB29" s="45"/>
      <c r="BC29" s="45"/>
    </row>
    <row r="30" spans="1:55" ht="14.25" customHeight="1">
      <c r="A30" s="45" t="s">
        <v>266</v>
      </c>
      <c r="B30" s="67">
        <v>0.25</v>
      </c>
      <c r="C30" s="43"/>
      <c r="D30" s="44"/>
      <c r="E30" s="44"/>
      <c r="F30" s="45" t="s">
        <v>267</v>
      </c>
      <c r="G30" s="46" t="s">
        <v>268</v>
      </c>
      <c r="H30" s="45" t="s">
        <v>269</v>
      </c>
      <c r="I30" s="47" t="s">
        <v>256</v>
      </c>
      <c r="J30" s="61" t="s">
        <v>257</v>
      </c>
      <c r="K30" s="45" t="s">
        <v>18</v>
      </c>
      <c r="L30" s="45" t="s">
        <v>258</v>
      </c>
      <c r="M30" s="45" t="s">
        <v>270</v>
      </c>
      <c r="N30" s="45">
        <v>94043090</v>
      </c>
      <c r="O30" s="48">
        <v>0.3</v>
      </c>
      <c r="P30" s="46">
        <v>21.6</v>
      </c>
      <c r="Q30" s="46">
        <v>16.600000000000001</v>
      </c>
      <c r="R30" s="46">
        <v>13.9</v>
      </c>
      <c r="S30" s="48">
        <f t="shared" si="0"/>
        <v>4.9839840000000012E-3</v>
      </c>
      <c r="T30" s="48">
        <f t="shared" si="1"/>
        <v>0.99679680000000026</v>
      </c>
      <c r="U30" s="49">
        <v>2.95</v>
      </c>
      <c r="V30" s="49"/>
      <c r="W30" s="50">
        <f t="shared" si="2"/>
        <v>0.14658776470588239</v>
      </c>
      <c r="X30" s="50">
        <f t="shared" si="26"/>
        <v>0.85156163529411777</v>
      </c>
      <c r="Y30" s="51">
        <f t="shared" si="4"/>
        <v>355.33344600000004</v>
      </c>
      <c r="Z30" s="51">
        <f t="shared" si="27"/>
        <v>397.97345952000006</v>
      </c>
      <c r="AA30" s="52">
        <f t="shared" si="28"/>
        <v>69.900000000000006</v>
      </c>
      <c r="AB30" s="52">
        <v>25</v>
      </c>
      <c r="AC30" s="52">
        <v>78</v>
      </c>
      <c r="AD30" s="52">
        <f t="shared" si="7"/>
        <v>172.9</v>
      </c>
      <c r="AE30" s="53">
        <f t="shared" si="8"/>
        <v>104.85</v>
      </c>
      <c r="AF30" s="53"/>
      <c r="AG30" s="53"/>
      <c r="AH30" s="54"/>
      <c r="AI30" s="54">
        <f t="shared" si="29"/>
        <v>74.892857142857224</v>
      </c>
      <c r="AJ30" s="54"/>
      <c r="AK30" s="54"/>
      <c r="AL30" s="55">
        <f t="shared" si="30"/>
        <v>-8.9763031428572617</v>
      </c>
      <c r="AM30" s="56">
        <f t="shared" si="31"/>
        <v>-1.2841635397506813E-2</v>
      </c>
      <c r="AN30" s="45">
        <v>699</v>
      </c>
      <c r="AO30" s="45"/>
      <c r="AP30" s="45">
        <v>679</v>
      </c>
      <c r="AQ30" s="45"/>
      <c r="AR30" s="45">
        <v>1499</v>
      </c>
      <c r="AS30" s="45"/>
      <c r="AT30" s="45"/>
      <c r="AU30" s="45"/>
      <c r="AV30" s="57">
        <f t="shared" si="17"/>
        <v>268.77369685714274</v>
      </c>
      <c r="AW30" s="58">
        <f t="shared" si="18"/>
        <v>0.38451172654812982</v>
      </c>
      <c r="AX30" s="63">
        <v>8904422503519</v>
      </c>
      <c r="AY30" s="59">
        <f t="shared" si="19"/>
        <v>120.45201559322034</v>
      </c>
      <c r="AZ30" s="60">
        <f t="shared" si="20"/>
        <v>165.24197387261989</v>
      </c>
      <c r="BA30" s="60">
        <f t="shared" si="21"/>
        <v>236.94915254237287</v>
      </c>
      <c r="BB30" s="45"/>
      <c r="BC30" s="45"/>
    </row>
    <row r="31" spans="1:55" ht="14.25" customHeight="1">
      <c r="A31" s="45" t="s">
        <v>271</v>
      </c>
      <c r="B31" s="67">
        <v>0.2</v>
      </c>
      <c r="C31" s="43"/>
      <c r="D31" s="44"/>
      <c r="E31" s="44"/>
      <c r="F31" s="45" t="s">
        <v>272</v>
      </c>
      <c r="G31" s="46" t="s">
        <v>273</v>
      </c>
      <c r="H31" s="45" t="s">
        <v>274</v>
      </c>
      <c r="I31" s="47" t="s">
        <v>256</v>
      </c>
      <c r="J31" s="61" t="s">
        <v>257</v>
      </c>
      <c r="K31" s="45"/>
      <c r="L31" s="45" t="s">
        <v>258</v>
      </c>
      <c r="M31" s="45" t="s">
        <v>275</v>
      </c>
      <c r="N31" s="45">
        <v>94043090</v>
      </c>
      <c r="O31" s="48">
        <v>0.3</v>
      </c>
      <c r="P31" s="46">
        <v>21.6</v>
      </c>
      <c r="Q31" s="46">
        <v>16.600000000000001</v>
      </c>
      <c r="R31" s="46">
        <v>13.9</v>
      </c>
      <c r="S31" s="48">
        <f t="shared" si="0"/>
        <v>4.9839840000000012E-3</v>
      </c>
      <c r="T31" s="48">
        <f t="shared" si="1"/>
        <v>0.99679680000000026</v>
      </c>
      <c r="U31" s="49">
        <v>2.95</v>
      </c>
      <c r="V31" s="49"/>
      <c r="W31" s="50">
        <f t="shared" si="2"/>
        <v>0.14658776470588239</v>
      </c>
      <c r="X31" s="50">
        <f t="shared" si="26"/>
        <v>0.85156163529411777</v>
      </c>
      <c r="Y31" s="51">
        <f t="shared" si="4"/>
        <v>355.33344600000004</v>
      </c>
      <c r="Z31" s="51">
        <f t="shared" si="27"/>
        <v>397.97345952000006</v>
      </c>
      <c r="AA31" s="52">
        <f t="shared" si="28"/>
        <v>79.900000000000006</v>
      </c>
      <c r="AB31" s="52">
        <v>25</v>
      </c>
      <c r="AC31" s="52">
        <v>78</v>
      </c>
      <c r="AD31" s="52">
        <f t="shared" si="7"/>
        <v>182.9</v>
      </c>
      <c r="AE31" s="53">
        <f t="shared" si="8"/>
        <v>119.85</v>
      </c>
      <c r="AF31" s="53">
        <f t="shared" ref="AF31:AF39" si="32">AN31*$B$70</f>
        <v>15.98</v>
      </c>
      <c r="AG31" s="53">
        <f t="shared" ref="AG31:AG42" si="33">AN31*B$67</f>
        <v>39.950000000000003</v>
      </c>
      <c r="AH31" s="54">
        <f t="shared" ref="AH31:AH39" si="34">AN31*$B$74</f>
        <v>15.98</v>
      </c>
      <c r="AI31" s="54">
        <f t="shared" si="29"/>
        <v>85.60714285714289</v>
      </c>
      <c r="AJ31" s="54">
        <f t="shared" ref="AJ31:AJ60" si="35">Z31*5%</f>
        <v>19.898672976000004</v>
      </c>
      <c r="AK31" s="54">
        <f t="shared" ref="AK31:AK60" si="36">Z31*3%</f>
        <v>11.939203785600002</v>
      </c>
      <c r="AL31" s="55">
        <f t="shared" si="30"/>
        <v>-48.438465618742967</v>
      </c>
      <c r="AM31" s="56">
        <f t="shared" si="31"/>
        <v>-6.0623861850742138E-2</v>
      </c>
      <c r="AN31" s="45">
        <v>799</v>
      </c>
      <c r="AO31" s="45"/>
      <c r="AP31" s="45">
        <v>679</v>
      </c>
      <c r="AQ31" s="45"/>
      <c r="AR31" s="45">
        <v>1499</v>
      </c>
      <c r="AS31" s="45"/>
      <c r="AT31" s="45"/>
      <c r="AU31" s="45"/>
      <c r="AV31" s="57">
        <f t="shared" si="17"/>
        <v>358.05941114285707</v>
      </c>
      <c r="AW31" s="58">
        <f t="shared" si="18"/>
        <v>0.44813443196853203</v>
      </c>
      <c r="AX31" s="63">
        <v>8904422503526</v>
      </c>
      <c r="AY31" s="59">
        <f t="shared" si="19"/>
        <v>120.45201559322034</v>
      </c>
      <c r="AZ31" s="60">
        <f t="shared" si="20"/>
        <v>188.88174123637094</v>
      </c>
      <c r="BA31" s="60">
        <f t="shared" si="21"/>
        <v>270.84745762711862</v>
      </c>
      <c r="BB31" s="45"/>
      <c r="BC31" s="45"/>
    </row>
    <row r="32" spans="1:55" ht="14.25" hidden="1" customHeight="1">
      <c r="A32" s="68"/>
      <c r="B32" s="68"/>
      <c r="C32" s="43"/>
      <c r="D32" s="44"/>
      <c r="E32" s="44"/>
      <c r="F32" s="45" t="s">
        <v>276</v>
      </c>
      <c r="G32" s="46" t="s">
        <v>277</v>
      </c>
      <c r="H32" s="45" t="s">
        <v>278</v>
      </c>
      <c r="I32" s="47" t="s">
        <v>256</v>
      </c>
      <c r="J32" s="61" t="s">
        <v>257</v>
      </c>
      <c r="K32" s="45"/>
      <c r="L32" s="45" t="s">
        <v>258</v>
      </c>
      <c r="M32" s="45" t="s">
        <v>279</v>
      </c>
      <c r="N32" s="45">
        <v>94043090</v>
      </c>
      <c r="O32" s="48">
        <v>0.3</v>
      </c>
      <c r="P32" s="46">
        <v>21.6</v>
      </c>
      <c r="Q32" s="46">
        <v>16.600000000000001</v>
      </c>
      <c r="R32" s="46">
        <v>13.9</v>
      </c>
      <c r="S32" s="48">
        <f t="shared" si="0"/>
        <v>4.9839840000000012E-3</v>
      </c>
      <c r="T32" s="48">
        <f t="shared" si="1"/>
        <v>0.99679680000000026</v>
      </c>
      <c r="U32" s="49">
        <v>3.9249999999999998</v>
      </c>
      <c r="V32" s="49"/>
      <c r="W32" s="50">
        <f t="shared" si="2"/>
        <v>0.14658776470588239</v>
      </c>
      <c r="X32" s="50">
        <f t="shared" si="26"/>
        <v>1.1196866352941175</v>
      </c>
      <c r="Y32" s="51">
        <f t="shared" si="4"/>
        <v>467.21469599999995</v>
      </c>
      <c r="Z32" s="51">
        <f t="shared" si="27"/>
        <v>523.28045952000002</v>
      </c>
      <c r="AA32" s="52">
        <f t="shared" si="28"/>
        <v>59.900000000000006</v>
      </c>
      <c r="AB32" s="52">
        <v>25</v>
      </c>
      <c r="AC32" s="52">
        <v>78</v>
      </c>
      <c r="AD32" s="52">
        <f t="shared" si="7"/>
        <v>162.9</v>
      </c>
      <c r="AE32" s="53">
        <f t="shared" si="8"/>
        <v>89.85</v>
      </c>
      <c r="AF32" s="53">
        <f t="shared" si="32"/>
        <v>11.98</v>
      </c>
      <c r="AG32" s="53">
        <f t="shared" si="33"/>
        <v>29.950000000000003</v>
      </c>
      <c r="AH32" s="54">
        <f t="shared" si="34"/>
        <v>11.98</v>
      </c>
      <c r="AI32" s="54">
        <f t="shared" si="29"/>
        <v>64.178571428571445</v>
      </c>
      <c r="AJ32" s="54">
        <f t="shared" si="35"/>
        <v>26.164022976000002</v>
      </c>
      <c r="AK32" s="54">
        <f t="shared" si="36"/>
        <v>15.6984137856</v>
      </c>
      <c r="AL32" s="55">
        <f t="shared" si="30"/>
        <v>-280.91570419017143</v>
      </c>
      <c r="AM32" s="62">
        <f t="shared" si="31"/>
        <v>-0.46897446442432628</v>
      </c>
      <c r="AN32" s="45">
        <v>599</v>
      </c>
      <c r="AO32" s="45"/>
      <c r="AP32" s="45"/>
      <c r="AQ32" s="45"/>
      <c r="AR32" s="45">
        <v>1999</v>
      </c>
      <c r="AS32" s="45"/>
      <c r="AT32" s="45"/>
      <c r="AU32" s="45"/>
      <c r="AV32" s="57">
        <f t="shared" si="17"/>
        <v>67.606732571428608</v>
      </c>
      <c r="AW32" s="58">
        <f t="shared" si="18"/>
        <v>0.11286599761507281</v>
      </c>
      <c r="AX32" s="63">
        <v>8904422503533</v>
      </c>
      <c r="AY32" s="59">
        <f t="shared" si="19"/>
        <v>119.0355913375796</v>
      </c>
      <c r="AZ32" s="60">
        <f t="shared" si="20"/>
        <v>107.69353025659107</v>
      </c>
      <c r="BA32" s="60">
        <f t="shared" si="21"/>
        <v>152.61146496815286</v>
      </c>
      <c r="BB32" s="45"/>
      <c r="BC32" s="45"/>
    </row>
    <row r="33" spans="1:55" ht="14.25" hidden="1" customHeight="1">
      <c r="A33" s="68"/>
      <c r="B33" s="68"/>
      <c r="C33" s="43"/>
      <c r="D33" s="44"/>
      <c r="E33" s="44"/>
      <c r="F33" s="45" t="s">
        <v>280</v>
      </c>
      <c r="G33" s="46" t="s">
        <v>281</v>
      </c>
      <c r="H33" s="45" t="s">
        <v>282</v>
      </c>
      <c r="I33" s="47" t="s">
        <v>256</v>
      </c>
      <c r="J33" s="61" t="s">
        <v>257</v>
      </c>
      <c r="K33" s="45"/>
      <c r="L33" s="45" t="s">
        <v>283</v>
      </c>
      <c r="M33" s="45" t="s">
        <v>284</v>
      </c>
      <c r="N33" s="45">
        <v>63013000</v>
      </c>
      <c r="O33" s="48">
        <v>0.54</v>
      </c>
      <c r="P33" s="46">
        <v>43</v>
      </c>
      <c r="Q33" s="46">
        <v>15.4</v>
      </c>
      <c r="R33" s="46">
        <v>13.5</v>
      </c>
      <c r="S33" s="48">
        <f t="shared" si="0"/>
        <v>8.9397000000000001E-3</v>
      </c>
      <c r="T33" s="48">
        <f t="shared" si="1"/>
        <v>1.7879400000000001</v>
      </c>
      <c r="U33" s="49">
        <v>3.93</v>
      </c>
      <c r="V33" s="49"/>
      <c r="W33" s="50">
        <f t="shared" si="2"/>
        <v>0.26293235294117645</v>
      </c>
      <c r="X33" s="50">
        <f t="shared" ref="X33:X37" si="37">(U33+W33)*(B$42+(B$42*B$45))</f>
        <v>0.46122255882352947</v>
      </c>
      <c r="Y33" s="51">
        <f t="shared" si="4"/>
        <v>418.87394205882356</v>
      </c>
      <c r="Z33" s="51">
        <f t="shared" ref="Z33:Z45" si="38">Y33*1.18</f>
        <v>494.27125162941178</v>
      </c>
      <c r="AA33" s="52">
        <f t="shared" ref="AA33:AA37" si="39">AN33*9.5%</f>
        <v>85.405000000000001</v>
      </c>
      <c r="AB33" s="52">
        <v>25</v>
      </c>
      <c r="AC33" s="52">
        <v>107</v>
      </c>
      <c r="AD33" s="52">
        <f t="shared" si="7"/>
        <v>217.405</v>
      </c>
      <c r="AE33" s="53">
        <f t="shared" si="8"/>
        <v>134.85</v>
      </c>
      <c r="AF33" s="53">
        <f t="shared" si="32"/>
        <v>17.98</v>
      </c>
      <c r="AG33" s="53">
        <f t="shared" si="33"/>
        <v>44.95</v>
      </c>
      <c r="AH33" s="54">
        <f t="shared" si="34"/>
        <v>17.98</v>
      </c>
      <c r="AI33" s="54">
        <f t="shared" si="29"/>
        <v>96.321428571428669</v>
      </c>
      <c r="AJ33" s="54">
        <f t="shared" si="35"/>
        <v>24.71356258147059</v>
      </c>
      <c r="AK33" s="54">
        <f t="shared" si="36"/>
        <v>14.828137548882353</v>
      </c>
      <c r="AL33" s="55">
        <f t="shared" si="30"/>
        <v>-88.902070760605142</v>
      </c>
      <c r="AM33" s="56">
        <f t="shared" si="31"/>
        <v>-9.888995635217479E-2</v>
      </c>
      <c r="AN33" s="45">
        <v>899</v>
      </c>
      <c r="AO33" s="45"/>
      <c r="AP33" s="45"/>
      <c r="AQ33" s="45"/>
      <c r="AR33" s="45">
        <v>2199</v>
      </c>
      <c r="AS33" s="45"/>
      <c r="AT33" s="45"/>
      <c r="AU33" s="45"/>
      <c r="AV33" s="57">
        <f t="shared" si="17"/>
        <v>383.80462936974777</v>
      </c>
      <c r="AW33" s="58">
        <f t="shared" si="18"/>
        <v>0.42692394813097639</v>
      </c>
      <c r="AX33" s="63">
        <v>8904422503540</v>
      </c>
      <c r="AY33" s="59">
        <f t="shared" si="19"/>
        <v>106.58370026942075</v>
      </c>
      <c r="AZ33" s="60">
        <f t="shared" si="20"/>
        <v>180.28335596343945</v>
      </c>
      <c r="BA33" s="60">
        <f t="shared" si="21"/>
        <v>228.7531806615776</v>
      </c>
      <c r="BB33" s="45"/>
      <c r="BC33" s="45"/>
    </row>
    <row r="34" spans="1:55" ht="14.25" hidden="1" customHeight="1">
      <c r="A34" s="68"/>
      <c r="B34" s="68"/>
      <c r="C34" s="43"/>
      <c r="D34" s="44"/>
      <c r="E34" s="44"/>
      <c r="F34" s="45" t="s">
        <v>285</v>
      </c>
      <c r="G34" s="46" t="s">
        <v>286</v>
      </c>
      <c r="H34" s="45" t="s">
        <v>287</v>
      </c>
      <c r="I34" s="47" t="s">
        <v>256</v>
      </c>
      <c r="J34" s="61" t="s">
        <v>257</v>
      </c>
      <c r="K34" s="45"/>
      <c r="L34" s="45" t="s">
        <v>283</v>
      </c>
      <c r="M34" s="45" t="s">
        <v>288</v>
      </c>
      <c r="N34" s="45">
        <v>63013000</v>
      </c>
      <c r="O34" s="48">
        <v>0.54</v>
      </c>
      <c r="P34" s="46">
        <v>43</v>
      </c>
      <c r="Q34" s="46">
        <v>15.4</v>
      </c>
      <c r="R34" s="46">
        <v>13.5</v>
      </c>
      <c r="S34" s="48">
        <f t="shared" si="0"/>
        <v>8.9397000000000001E-3</v>
      </c>
      <c r="T34" s="48">
        <f t="shared" si="1"/>
        <v>1.7879400000000001</v>
      </c>
      <c r="U34" s="49">
        <v>3.98</v>
      </c>
      <c r="V34" s="49"/>
      <c r="W34" s="50">
        <f t="shared" si="2"/>
        <v>0.26293235294117645</v>
      </c>
      <c r="X34" s="50">
        <f t="shared" si="37"/>
        <v>0.46672255882352948</v>
      </c>
      <c r="Y34" s="51">
        <f t="shared" si="4"/>
        <v>423.86894205882356</v>
      </c>
      <c r="Z34" s="51">
        <f t="shared" si="38"/>
        <v>500.16535162941176</v>
      </c>
      <c r="AA34" s="52">
        <f t="shared" si="39"/>
        <v>85.405000000000001</v>
      </c>
      <c r="AB34" s="52">
        <v>25</v>
      </c>
      <c r="AC34" s="52">
        <v>107</v>
      </c>
      <c r="AD34" s="52">
        <f t="shared" si="7"/>
        <v>217.405</v>
      </c>
      <c r="AE34" s="53">
        <f t="shared" si="8"/>
        <v>134.85</v>
      </c>
      <c r="AF34" s="53">
        <f t="shared" si="32"/>
        <v>17.98</v>
      </c>
      <c r="AG34" s="53">
        <f t="shared" si="33"/>
        <v>44.95</v>
      </c>
      <c r="AH34" s="54">
        <f t="shared" si="34"/>
        <v>17.98</v>
      </c>
      <c r="AI34" s="54">
        <f t="shared" si="29"/>
        <v>96.321428571428669</v>
      </c>
      <c r="AJ34" s="54">
        <f t="shared" si="35"/>
        <v>25.008267581470591</v>
      </c>
      <c r="AK34" s="54">
        <f t="shared" si="36"/>
        <v>15.004960548882352</v>
      </c>
      <c r="AL34" s="55">
        <f t="shared" si="30"/>
        <v>-94.368598760605153</v>
      </c>
      <c r="AM34" s="56">
        <f t="shared" si="31"/>
        <v>-0.10497063265918259</v>
      </c>
      <c r="AN34" s="45">
        <v>899</v>
      </c>
      <c r="AO34" s="45"/>
      <c r="AP34" s="45"/>
      <c r="AQ34" s="45"/>
      <c r="AR34" s="45">
        <v>2199</v>
      </c>
      <c r="AS34" s="45"/>
      <c r="AT34" s="45"/>
      <c r="AU34" s="45"/>
      <c r="AV34" s="57">
        <f t="shared" si="17"/>
        <v>378.80962936974777</v>
      </c>
      <c r="AW34" s="58">
        <f t="shared" si="18"/>
        <v>0.42136777460483621</v>
      </c>
      <c r="AX34" s="63">
        <v>8904422503557</v>
      </c>
      <c r="AY34" s="59">
        <f t="shared" si="19"/>
        <v>106.49973418563407</v>
      </c>
      <c r="AZ34" s="60">
        <f t="shared" si="20"/>
        <v>178.15884229026636</v>
      </c>
      <c r="BA34" s="60">
        <f t="shared" si="21"/>
        <v>225.87939698492463</v>
      </c>
      <c r="BB34" s="45"/>
      <c r="BC34" s="45"/>
    </row>
    <row r="35" spans="1:55" ht="14.25" hidden="1" customHeight="1">
      <c r="A35" s="68"/>
      <c r="B35" s="68"/>
      <c r="C35" s="43"/>
      <c r="D35" s="44"/>
      <c r="E35" s="44"/>
      <c r="F35" s="45" t="s">
        <v>289</v>
      </c>
      <c r="G35" s="46" t="s">
        <v>290</v>
      </c>
      <c r="H35" s="45" t="s">
        <v>291</v>
      </c>
      <c r="I35" s="47" t="s">
        <v>256</v>
      </c>
      <c r="J35" s="61" t="s">
        <v>257</v>
      </c>
      <c r="K35" s="45"/>
      <c r="L35" s="45" t="s">
        <v>283</v>
      </c>
      <c r="M35" s="45" t="s">
        <v>292</v>
      </c>
      <c r="N35" s="45">
        <v>63013000</v>
      </c>
      <c r="O35" s="48">
        <v>0.54</v>
      </c>
      <c r="P35" s="46">
        <v>43</v>
      </c>
      <c r="Q35" s="46">
        <v>15.4</v>
      </c>
      <c r="R35" s="46">
        <v>13.5</v>
      </c>
      <c r="S35" s="48">
        <f t="shared" si="0"/>
        <v>8.9397000000000001E-3</v>
      </c>
      <c r="T35" s="48">
        <f t="shared" si="1"/>
        <v>1.7879400000000001</v>
      </c>
      <c r="U35" s="49">
        <v>3.98</v>
      </c>
      <c r="V35" s="49"/>
      <c r="W35" s="50">
        <f t="shared" si="2"/>
        <v>0.26293235294117645</v>
      </c>
      <c r="X35" s="50">
        <f t="shared" si="37"/>
        <v>0.46672255882352948</v>
      </c>
      <c r="Y35" s="51">
        <f t="shared" si="4"/>
        <v>423.86894205882356</v>
      </c>
      <c r="Z35" s="51">
        <f t="shared" si="38"/>
        <v>500.16535162941176</v>
      </c>
      <c r="AA35" s="52">
        <f t="shared" si="39"/>
        <v>85.405000000000001</v>
      </c>
      <c r="AB35" s="52">
        <v>25</v>
      </c>
      <c r="AC35" s="52">
        <v>107</v>
      </c>
      <c r="AD35" s="52">
        <f t="shared" si="7"/>
        <v>217.405</v>
      </c>
      <c r="AE35" s="53">
        <f t="shared" si="8"/>
        <v>134.85</v>
      </c>
      <c r="AF35" s="53">
        <f t="shared" si="32"/>
        <v>17.98</v>
      </c>
      <c r="AG35" s="53">
        <f t="shared" si="33"/>
        <v>44.95</v>
      </c>
      <c r="AH35" s="54">
        <f t="shared" si="34"/>
        <v>17.98</v>
      </c>
      <c r="AI35" s="54">
        <f t="shared" si="29"/>
        <v>96.321428571428669</v>
      </c>
      <c r="AJ35" s="54">
        <f t="shared" si="35"/>
        <v>25.008267581470591</v>
      </c>
      <c r="AK35" s="54">
        <f t="shared" si="36"/>
        <v>15.004960548882352</v>
      </c>
      <c r="AL35" s="55">
        <f t="shared" si="30"/>
        <v>-94.368598760605153</v>
      </c>
      <c r="AM35" s="56">
        <f t="shared" si="31"/>
        <v>-0.10497063265918259</v>
      </c>
      <c r="AN35" s="45">
        <v>899</v>
      </c>
      <c r="AO35" s="45"/>
      <c r="AP35" s="45"/>
      <c r="AQ35" s="45"/>
      <c r="AR35" s="45">
        <v>2199</v>
      </c>
      <c r="AS35" s="45"/>
      <c r="AT35" s="45"/>
      <c r="AU35" s="45"/>
      <c r="AV35" s="57">
        <f t="shared" si="17"/>
        <v>378.80962936974777</v>
      </c>
      <c r="AW35" s="58">
        <f t="shared" si="18"/>
        <v>0.42136777460483621</v>
      </c>
      <c r="AX35" s="63">
        <v>8904422503564</v>
      </c>
      <c r="AY35" s="59">
        <f t="shared" si="19"/>
        <v>106.49973418563407</v>
      </c>
      <c r="AZ35" s="60">
        <f t="shared" si="20"/>
        <v>178.15884229026636</v>
      </c>
      <c r="BA35" s="60">
        <f t="shared" si="21"/>
        <v>225.87939698492463</v>
      </c>
      <c r="BB35" s="45"/>
      <c r="BC35" s="45"/>
    </row>
    <row r="36" spans="1:55" ht="14.25" hidden="1" customHeight="1">
      <c r="A36" s="68"/>
      <c r="B36" s="68"/>
      <c r="C36" s="43"/>
      <c r="D36" s="44"/>
      <c r="E36" s="44"/>
      <c r="F36" s="45" t="s">
        <v>293</v>
      </c>
      <c r="G36" s="46" t="s">
        <v>294</v>
      </c>
      <c r="H36" s="45" t="s">
        <v>295</v>
      </c>
      <c r="I36" s="47" t="s">
        <v>256</v>
      </c>
      <c r="J36" s="61" t="s">
        <v>257</v>
      </c>
      <c r="K36" s="45"/>
      <c r="L36" s="45" t="s">
        <v>283</v>
      </c>
      <c r="M36" s="45" t="s">
        <v>296</v>
      </c>
      <c r="N36" s="45">
        <v>63013000</v>
      </c>
      <c r="O36" s="48">
        <v>0.54</v>
      </c>
      <c r="P36" s="46">
        <v>43</v>
      </c>
      <c r="Q36" s="46">
        <v>15.4</v>
      </c>
      <c r="R36" s="46">
        <v>13.5</v>
      </c>
      <c r="S36" s="48">
        <f t="shared" si="0"/>
        <v>8.9397000000000001E-3</v>
      </c>
      <c r="T36" s="48">
        <f t="shared" si="1"/>
        <v>1.7879400000000001</v>
      </c>
      <c r="U36" s="49">
        <v>3.98</v>
      </c>
      <c r="V36" s="49"/>
      <c r="W36" s="50">
        <f t="shared" si="2"/>
        <v>0.26293235294117645</v>
      </c>
      <c r="X36" s="50">
        <f t="shared" si="37"/>
        <v>0.46672255882352948</v>
      </c>
      <c r="Y36" s="51">
        <f t="shared" si="4"/>
        <v>423.86894205882356</v>
      </c>
      <c r="Z36" s="51">
        <f t="shared" si="38"/>
        <v>500.16535162941176</v>
      </c>
      <c r="AA36" s="52">
        <f t="shared" si="39"/>
        <v>85.405000000000001</v>
      </c>
      <c r="AB36" s="52">
        <v>25</v>
      </c>
      <c r="AC36" s="52">
        <v>135</v>
      </c>
      <c r="AD36" s="52">
        <f t="shared" si="7"/>
        <v>245.405</v>
      </c>
      <c r="AE36" s="53">
        <f t="shared" si="8"/>
        <v>134.85</v>
      </c>
      <c r="AF36" s="53">
        <f t="shared" si="32"/>
        <v>17.98</v>
      </c>
      <c r="AG36" s="53">
        <f t="shared" si="33"/>
        <v>44.95</v>
      </c>
      <c r="AH36" s="54">
        <f t="shared" si="34"/>
        <v>17.98</v>
      </c>
      <c r="AI36" s="54">
        <f t="shared" si="29"/>
        <v>96.321428571428669</v>
      </c>
      <c r="AJ36" s="54">
        <f t="shared" si="35"/>
        <v>25.008267581470591</v>
      </c>
      <c r="AK36" s="54">
        <f t="shared" si="36"/>
        <v>15.004960548882352</v>
      </c>
      <c r="AL36" s="55">
        <f t="shared" si="30"/>
        <v>-122.36859876060518</v>
      </c>
      <c r="AM36" s="56">
        <f t="shared" si="31"/>
        <v>-0.13611635012303136</v>
      </c>
      <c r="AN36" s="45">
        <v>899</v>
      </c>
      <c r="AO36" s="45"/>
      <c r="AP36" s="45"/>
      <c r="AQ36" s="45"/>
      <c r="AR36" s="45">
        <v>2199</v>
      </c>
      <c r="AS36" s="45"/>
      <c r="AT36" s="45"/>
      <c r="AU36" s="45"/>
      <c r="AV36" s="57">
        <f t="shared" si="17"/>
        <v>378.80962936974777</v>
      </c>
      <c r="AW36" s="58">
        <f t="shared" si="18"/>
        <v>0.42136777460483621</v>
      </c>
      <c r="AX36" s="63">
        <v>8904422503571</v>
      </c>
      <c r="AY36" s="59">
        <f t="shared" si="19"/>
        <v>106.49973418563407</v>
      </c>
      <c r="AZ36" s="60">
        <f t="shared" si="20"/>
        <v>178.15884229026636</v>
      </c>
      <c r="BA36" s="60">
        <f t="shared" si="21"/>
        <v>225.87939698492463</v>
      </c>
      <c r="BB36" s="45"/>
      <c r="BC36" s="45"/>
    </row>
    <row r="37" spans="1:55" ht="14.25" hidden="1" customHeight="1">
      <c r="A37" s="68"/>
      <c r="B37" s="68"/>
      <c r="C37" s="43"/>
      <c r="D37" s="44"/>
      <c r="E37" s="44"/>
      <c r="F37" s="45" t="s">
        <v>297</v>
      </c>
      <c r="G37" s="46" t="s">
        <v>298</v>
      </c>
      <c r="H37" s="45" t="s">
        <v>299</v>
      </c>
      <c r="I37" s="47" t="s">
        <v>256</v>
      </c>
      <c r="J37" s="61" t="s">
        <v>257</v>
      </c>
      <c r="K37" s="45"/>
      <c r="L37" s="45" t="s">
        <v>283</v>
      </c>
      <c r="M37" s="45" t="s">
        <v>300</v>
      </c>
      <c r="N37" s="45">
        <v>63013000</v>
      </c>
      <c r="O37" s="48">
        <v>1.25</v>
      </c>
      <c r="P37" s="46">
        <v>43</v>
      </c>
      <c r="Q37" s="46">
        <v>15.4</v>
      </c>
      <c r="R37" s="46">
        <v>13.5</v>
      </c>
      <c r="S37" s="48">
        <f t="shared" si="0"/>
        <v>8.9397000000000001E-3</v>
      </c>
      <c r="T37" s="48">
        <f t="shared" si="1"/>
        <v>1.7879400000000001</v>
      </c>
      <c r="U37" s="49">
        <v>5.45</v>
      </c>
      <c r="V37" s="49"/>
      <c r="W37" s="50">
        <f t="shared" si="2"/>
        <v>0.26293235294117645</v>
      </c>
      <c r="X37" s="50">
        <f t="shared" si="37"/>
        <v>0.6284225588235296</v>
      </c>
      <c r="Y37" s="51">
        <f t="shared" si="4"/>
        <v>570.72194205882352</v>
      </c>
      <c r="Z37" s="51">
        <f t="shared" si="38"/>
        <v>673.45189162941176</v>
      </c>
      <c r="AA37" s="52">
        <f t="shared" si="39"/>
        <v>83.504999999999995</v>
      </c>
      <c r="AB37" s="52">
        <v>25</v>
      </c>
      <c r="AC37" s="52">
        <v>135</v>
      </c>
      <c r="AD37" s="52">
        <f t="shared" si="7"/>
        <v>243.505</v>
      </c>
      <c r="AE37" s="53">
        <f t="shared" si="8"/>
        <v>131.85</v>
      </c>
      <c r="AF37" s="53">
        <f t="shared" si="32"/>
        <v>17.580000000000002</v>
      </c>
      <c r="AG37" s="53">
        <f t="shared" si="33"/>
        <v>43.95</v>
      </c>
      <c r="AH37" s="54">
        <f t="shared" si="34"/>
        <v>17.580000000000002</v>
      </c>
      <c r="AI37" s="54">
        <f t="shared" si="29"/>
        <v>94.178571428571558</v>
      </c>
      <c r="AJ37" s="54">
        <f t="shared" si="35"/>
        <v>33.672594581470591</v>
      </c>
      <c r="AK37" s="54">
        <f t="shared" si="36"/>
        <v>20.203556748882352</v>
      </c>
      <c r="AL37" s="55">
        <f t="shared" si="30"/>
        <v>-294.24166481774802</v>
      </c>
      <c r="AM37" s="62">
        <f t="shared" si="31"/>
        <v>-0.33474592129436637</v>
      </c>
      <c r="AN37" s="45">
        <v>879</v>
      </c>
      <c r="AO37" s="45"/>
      <c r="AP37" s="45"/>
      <c r="AQ37" s="45"/>
      <c r="AR37" s="45">
        <v>2999</v>
      </c>
      <c r="AS37" s="45"/>
      <c r="AT37" s="45"/>
      <c r="AU37" s="45"/>
      <c r="AV37" s="57">
        <f t="shared" si="17"/>
        <v>214.09948651260493</v>
      </c>
      <c r="AW37" s="58">
        <f t="shared" si="18"/>
        <v>0.24357165701092712</v>
      </c>
      <c r="AX37" s="63">
        <v>8904422503588</v>
      </c>
      <c r="AY37" s="59">
        <f t="shared" si="19"/>
        <v>104.7196223961144</v>
      </c>
      <c r="AZ37" s="60">
        <f t="shared" si="20"/>
        <v>129.37298281128611</v>
      </c>
      <c r="BA37" s="60">
        <f t="shared" si="21"/>
        <v>161.28440366972475</v>
      </c>
      <c r="BB37" s="45"/>
      <c r="BC37" s="45"/>
    </row>
    <row r="38" spans="1:55" ht="14.25" hidden="1" customHeight="1">
      <c r="A38" s="68"/>
      <c r="B38" s="68"/>
      <c r="C38" s="43"/>
      <c r="D38" s="69"/>
      <c r="E38" s="69"/>
      <c r="F38" s="47" t="s">
        <v>301</v>
      </c>
      <c r="G38" s="70" t="s">
        <v>302</v>
      </c>
      <c r="H38" s="70" t="s">
        <v>303</v>
      </c>
      <c r="I38" s="47" t="s">
        <v>304</v>
      </c>
      <c r="J38" s="61" t="s">
        <v>304</v>
      </c>
      <c r="K38" s="71"/>
      <c r="L38" s="71" t="s">
        <v>305</v>
      </c>
      <c r="M38" s="47" t="s">
        <v>306</v>
      </c>
      <c r="N38" s="45">
        <v>84212190</v>
      </c>
      <c r="O38" s="71">
        <v>0.62</v>
      </c>
      <c r="P38" s="45">
        <v>16.5</v>
      </c>
      <c r="Q38" s="72">
        <v>16.5</v>
      </c>
      <c r="R38" s="72">
        <v>15.5</v>
      </c>
      <c r="S38" s="48">
        <f t="shared" si="0"/>
        <v>4.2198749999999997E-3</v>
      </c>
      <c r="T38" s="48">
        <f t="shared" si="1"/>
        <v>0.84397500000000003</v>
      </c>
      <c r="U38" s="49">
        <v>4.7699999999999996</v>
      </c>
      <c r="V38" s="49"/>
      <c r="W38" s="50">
        <f t="shared" si="2"/>
        <v>0.12411397058823528</v>
      </c>
      <c r="X38" s="50">
        <f t="shared" ref="X38:X39" si="40">(U38+W38)*(B$44+(B44*B$45))</f>
        <v>0.4037644025735293</v>
      </c>
      <c r="Y38" s="51">
        <f t="shared" si="4"/>
        <v>476.80905358455874</v>
      </c>
      <c r="Z38" s="51">
        <f t="shared" si="38"/>
        <v>562.63468322977928</v>
      </c>
      <c r="AA38" s="52">
        <f t="shared" ref="AA38:AA39" si="41">AN38*12%</f>
        <v>167.88</v>
      </c>
      <c r="AB38" s="52">
        <v>47</v>
      </c>
      <c r="AC38" s="52">
        <v>107</v>
      </c>
      <c r="AD38" s="52">
        <f t="shared" si="7"/>
        <v>321.88</v>
      </c>
      <c r="AE38" s="53">
        <f t="shared" si="8"/>
        <v>209.85</v>
      </c>
      <c r="AF38" s="53">
        <f t="shared" si="32"/>
        <v>27.98</v>
      </c>
      <c r="AG38" s="53">
        <f t="shared" si="33"/>
        <v>69.95</v>
      </c>
      <c r="AH38" s="54">
        <f t="shared" si="34"/>
        <v>27.98</v>
      </c>
      <c r="AI38" s="54">
        <f t="shared" si="29"/>
        <v>149.89285714285734</v>
      </c>
      <c r="AJ38" s="54">
        <f t="shared" si="35"/>
        <v>28.131734161488964</v>
      </c>
      <c r="AK38" s="54">
        <f t="shared" si="36"/>
        <v>16.879040496893378</v>
      </c>
      <c r="AL38" s="55">
        <f t="shared" si="30"/>
        <v>69.647314614201505</v>
      </c>
      <c r="AM38" s="56">
        <f t="shared" si="31"/>
        <v>4.9783641611294858E-2</v>
      </c>
      <c r="AN38" s="71">
        <v>1399</v>
      </c>
      <c r="AO38" s="71"/>
      <c r="AP38" s="71"/>
      <c r="AQ38" s="71"/>
      <c r="AR38" s="71">
        <v>2999</v>
      </c>
      <c r="AS38" s="45"/>
      <c r="AT38" s="45"/>
      <c r="AU38" s="45"/>
      <c r="AV38" s="57">
        <f t="shared" si="17"/>
        <v>772.29808927258387</v>
      </c>
      <c r="AW38" s="58">
        <f t="shared" si="18"/>
        <v>0.55203580362586413</v>
      </c>
      <c r="AX38" s="45"/>
      <c r="AY38" s="59">
        <f t="shared" si="19"/>
        <v>99.959969304938951</v>
      </c>
      <c r="AZ38" s="60">
        <f t="shared" si="20"/>
        <v>246.46344090267857</v>
      </c>
      <c r="BA38" s="60">
        <f t="shared" si="21"/>
        <v>293.29140461215934</v>
      </c>
      <c r="BB38" s="45"/>
      <c r="BC38" s="45"/>
    </row>
    <row r="39" spans="1:55" ht="14.25" hidden="1" customHeight="1">
      <c r="A39" s="68"/>
      <c r="B39" s="68"/>
      <c r="C39" s="43"/>
      <c r="D39" s="69"/>
      <c r="E39" s="69"/>
      <c r="F39" s="70" t="s">
        <v>307</v>
      </c>
      <c r="G39" s="46" t="s">
        <v>308</v>
      </c>
      <c r="H39" s="70" t="s">
        <v>309</v>
      </c>
      <c r="I39" s="47" t="s">
        <v>304</v>
      </c>
      <c r="J39" s="61" t="s">
        <v>304</v>
      </c>
      <c r="K39" s="71"/>
      <c r="L39" s="71" t="s">
        <v>305</v>
      </c>
      <c r="M39" s="70" t="s">
        <v>310</v>
      </c>
      <c r="N39" s="73">
        <v>84212190</v>
      </c>
      <c r="O39" s="71">
        <v>0.62</v>
      </c>
      <c r="P39" s="73">
        <v>16.5</v>
      </c>
      <c r="Q39" s="74">
        <v>16.5</v>
      </c>
      <c r="R39" s="74">
        <v>15.5</v>
      </c>
      <c r="S39" s="48">
        <f t="shared" si="0"/>
        <v>4.2198749999999997E-3</v>
      </c>
      <c r="T39" s="48">
        <f t="shared" si="1"/>
        <v>0.84397500000000003</v>
      </c>
      <c r="U39" s="49">
        <v>8.99</v>
      </c>
      <c r="V39" s="49"/>
      <c r="W39" s="50">
        <f t="shared" si="2"/>
        <v>0.12411397058823528</v>
      </c>
      <c r="X39" s="50">
        <f t="shared" si="40"/>
        <v>0.77469968749999996</v>
      </c>
      <c r="Y39" s="51">
        <f t="shared" si="4"/>
        <v>889.99322922794113</v>
      </c>
      <c r="Z39" s="51">
        <f t="shared" si="38"/>
        <v>1050.1920104889705</v>
      </c>
      <c r="AA39" s="52">
        <f t="shared" si="41"/>
        <v>227.88</v>
      </c>
      <c r="AB39" s="52">
        <v>47</v>
      </c>
      <c r="AC39" s="52">
        <v>107</v>
      </c>
      <c r="AD39" s="52">
        <f t="shared" si="7"/>
        <v>381.88</v>
      </c>
      <c r="AE39" s="53">
        <f t="shared" si="8"/>
        <v>284.84999999999997</v>
      </c>
      <c r="AF39" s="53">
        <f t="shared" si="32"/>
        <v>37.980000000000004</v>
      </c>
      <c r="AG39" s="53">
        <f t="shared" si="33"/>
        <v>94.95</v>
      </c>
      <c r="AH39" s="54">
        <f t="shared" si="34"/>
        <v>37.980000000000004</v>
      </c>
      <c r="AI39" s="54">
        <f t="shared" si="29"/>
        <v>203.46428571428578</v>
      </c>
      <c r="AJ39" s="54">
        <f t="shared" si="35"/>
        <v>52.50960052444853</v>
      </c>
      <c r="AK39" s="54">
        <f t="shared" si="36"/>
        <v>31.505760314669114</v>
      </c>
      <c r="AL39" s="55">
        <f t="shared" si="30"/>
        <v>-116.11287578134451</v>
      </c>
      <c r="AM39" s="56">
        <f t="shared" si="31"/>
        <v>-6.1144221053893902E-2</v>
      </c>
      <c r="AN39" s="71">
        <v>1899</v>
      </c>
      <c r="AO39" s="71"/>
      <c r="AP39" s="71"/>
      <c r="AQ39" s="71"/>
      <c r="AR39" s="71">
        <v>2999</v>
      </c>
      <c r="AS39" s="45"/>
      <c r="AT39" s="45"/>
      <c r="AU39" s="45"/>
      <c r="AV39" s="57">
        <f t="shared" si="17"/>
        <v>805.54248505777309</v>
      </c>
      <c r="AW39" s="58">
        <f t="shared" si="18"/>
        <v>0.42419298844537812</v>
      </c>
      <c r="AX39" s="45"/>
      <c r="AY39" s="59">
        <f t="shared" si="19"/>
        <v>98.99813450811358</v>
      </c>
      <c r="AZ39" s="60">
        <f t="shared" si="20"/>
        <v>179.23282420741367</v>
      </c>
      <c r="BA39" s="60">
        <f t="shared" si="21"/>
        <v>211.23470522803115</v>
      </c>
      <c r="BB39" s="45"/>
      <c r="BC39" s="45"/>
    </row>
    <row r="40" spans="1:55" ht="14.25" customHeight="1">
      <c r="A40" s="68"/>
      <c r="B40" s="68"/>
      <c r="C40" s="43"/>
      <c r="D40" s="43"/>
      <c r="E40" s="43"/>
      <c r="F40" s="71" t="s">
        <v>311</v>
      </c>
      <c r="G40" s="75" t="s">
        <v>312</v>
      </c>
      <c r="H40" s="71" t="s">
        <v>313</v>
      </c>
      <c r="I40" s="47" t="s">
        <v>314</v>
      </c>
      <c r="J40" s="61" t="s">
        <v>315</v>
      </c>
      <c r="K40" s="71" t="s">
        <v>316</v>
      </c>
      <c r="L40" s="71" t="s">
        <v>317</v>
      </c>
      <c r="M40" s="71" t="s">
        <v>318</v>
      </c>
      <c r="N40" s="71">
        <v>84244900</v>
      </c>
      <c r="O40" s="71">
        <v>0.38</v>
      </c>
      <c r="P40" s="71">
        <v>23.5</v>
      </c>
      <c r="Q40" s="71">
        <v>8.6999999999999993</v>
      </c>
      <c r="R40" s="71">
        <v>7.5</v>
      </c>
      <c r="S40" s="76">
        <f t="shared" si="0"/>
        <v>1.533375E-3</v>
      </c>
      <c r="T40" s="48">
        <f t="shared" si="1"/>
        <v>0.30667499999999998</v>
      </c>
      <c r="U40" s="49">
        <v>9.17</v>
      </c>
      <c r="V40" s="49"/>
      <c r="W40" s="50">
        <f>U40*2%</f>
        <v>0.18340000000000001</v>
      </c>
      <c r="X40" s="50">
        <f>(U40+W40)*(B$43+(B$43*B$45))</f>
        <v>0.77165549999999994</v>
      </c>
      <c r="Y40" s="51">
        <f t="shared" si="4"/>
        <v>911.25499500000001</v>
      </c>
      <c r="Z40" s="51">
        <f t="shared" si="38"/>
        <v>1075.2808940999998</v>
      </c>
      <c r="AA40" s="52">
        <f>AN40*7.5%</f>
        <v>98.924999999999997</v>
      </c>
      <c r="AB40" s="52">
        <v>51</v>
      </c>
      <c r="AC40" s="52">
        <v>59</v>
      </c>
      <c r="AD40" s="52">
        <f t="shared" si="7"/>
        <v>208.92500000000001</v>
      </c>
      <c r="AE40" s="53">
        <f>AN40*B$72</f>
        <v>263.8</v>
      </c>
      <c r="AF40" s="53"/>
      <c r="AG40" s="53">
        <f t="shared" si="33"/>
        <v>65.95</v>
      </c>
      <c r="AH40" s="54"/>
      <c r="AI40" s="54">
        <f t="shared" ref="AI40:AI84" si="42">AN40-(AN40/1.18)</f>
        <v>201.20338983050851</v>
      </c>
      <c r="AJ40" s="54">
        <f t="shared" si="35"/>
        <v>53.764044704999996</v>
      </c>
      <c r="AK40" s="54">
        <f t="shared" si="36"/>
        <v>32.258426822999994</v>
      </c>
      <c r="AL40" s="55">
        <f t="shared" si="30"/>
        <v>-418.15585635850852</v>
      </c>
      <c r="AM40" s="62">
        <f t="shared" si="31"/>
        <v>-0.31702491005193972</v>
      </c>
      <c r="AN40" s="71">
        <v>1319</v>
      </c>
      <c r="AO40" s="71"/>
      <c r="AP40" s="71">
        <v>1580</v>
      </c>
      <c r="AQ40" s="71"/>
      <c r="AR40" s="71">
        <v>3599</v>
      </c>
      <c r="AS40" s="45"/>
      <c r="AT40" s="45"/>
      <c r="AU40" s="45"/>
      <c r="AV40" s="57">
        <f t="shared" si="17"/>
        <v>206.54161516949148</v>
      </c>
      <c r="AW40" s="58">
        <f t="shared" si="18"/>
        <v>0.15658954902918232</v>
      </c>
      <c r="AX40" s="77" t="s">
        <v>319</v>
      </c>
      <c r="AY40" s="59">
        <f t="shared" si="19"/>
        <v>99.373500000000007</v>
      </c>
      <c r="AZ40" s="60">
        <f t="shared" si="20"/>
        <v>121.58616480340939</v>
      </c>
      <c r="BA40" s="60">
        <f t="shared" si="21"/>
        <v>143.83860414394766</v>
      </c>
      <c r="BB40" s="45"/>
      <c r="BC40" s="45"/>
    </row>
    <row r="41" spans="1:55" ht="14.25" hidden="1" customHeight="1">
      <c r="A41" s="68"/>
      <c r="B41" s="68"/>
      <c r="C41" s="43"/>
      <c r="D41" s="78"/>
      <c r="E41" s="78"/>
      <c r="F41" s="79" t="s">
        <v>320</v>
      </c>
      <c r="G41" s="80"/>
      <c r="H41" s="79" t="s">
        <v>321</v>
      </c>
      <c r="I41" s="79" t="s">
        <v>235</v>
      </c>
      <c r="J41" s="79"/>
      <c r="K41" s="79" t="s">
        <v>316</v>
      </c>
      <c r="L41" s="79" t="s">
        <v>317</v>
      </c>
      <c r="M41" s="79" t="s">
        <v>322</v>
      </c>
      <c r="N41" s="81">
        <v>85167990</v>
      </c>
      <c r="O41" s="82">
        <v>1.3</v>
      </c>
      <c r="P41" s="83">
        <v>29.2</v>
      </c>
      <c r="Q41" s="83">
        <v>22.4</v>
      </c>
      <c r="R41" s="83">
        <v>13.6</v>
      </c>
      <c r="S41" s="82">
        <f t="shared" si="0"/>
        <v>8.895488E-3</v>
      </c>
      <c r="T41" s="82">
        <f t="shared" si="1"/>
        <v>1.7790975999999998</v>
      </c>
      <c r="U41" s="84">
        <v>10.199999999999999</v>
      </c>
      <c r="V41" s="84"/>
      <c r="W41" s="85">
        <f t="shared" ref="W41:W42" si="43">B$27/(B$28/S41)</f>
        <v>0.26163200000000003</v>
      </c>
      <c r="X41" s="85">
        <f t="shared" ref="X41:X64" si="44">(U41+W41)*(B$31+(B$31*B$45))</f>
        <v>2.3015590400000003</v>
      </c>
      <c r="Y41" s="86">
        <f t="shared" si="4"/>
        <v>1148.6871936</v>
      </c>
      <c r="Z41" s="86">
        <f t="shared" si="38"/>
        <v>1355.4508884479999</v>
      </c>
      <c r="AA41" s="52">
        <f t="shared" ref="AA41:AA59" si="45">AN41*4.5%</f>
        <v>98.954999999999998</v>
      </c>
      <c r="AB41" s="52">
        <v>51</v>
      </c>
      <c r="AC41" s="87">
        <v>136</v>
      </c>
      <c r="AD41" s="87">
        <f t="shared" si="7"/>
        <v>285.95499999999998</v>
      </c>
      <c r="AE41" s="53">
        <f t="shared" ref="AE41:AE42" si="46">AN41*B$66</f>
        <v>329.84999999999997</v>
      </c>
      <c r="AF41" s="53">
        <f t="shared" ref="AF41:AF60" si="47">AN41*$B$70</f>
        <v>43.980000000000004</v>
      </c>
      <c r="AG41" s="88">
        <f t="shared" si="33"/>
        <v>109.95</v>
      </c>
      <c r="AH41" s="89">
        <f t="shared" ref="AH41:AH60" si="48">AN41*$B$74</f>
        <v>43.980000000000004</v>
      </c>
      <c r="AI41" s="89">
        <f t="shared" si="42"/>
        <v>335.4406779661017</v>
      </c>
      <c r="AJ41" s="89">
        <f t="shared" si="35"/>
        <v>67.772544422400003</v>
      </c>
      <c r="AK41" s="89">
        <f t="shared" si="36"/>
        <v>40.663526653439995</v>
      </c>
      <c r="AL41" s="90">
        <f t="shared" si="30"/>
        <v>-207.27894264194163</v>
      </c>
      <c r="AM41" s="91">
        <f t="shared" si="31"/>
        <v>-9.4260546904020748E-2</v>
      </c>
      <c r="AN41" s="79">
        <v>2199</v>
      </c>
      <c r="AO41" s="79"/>
      <c r="AP41" s="79"/>
      <c r="AQ41" s="79"/>
      <c r="AR41" s="79">
        <v>4999</v>
      </c>
      <c r="AS41" s="81"/>
      <c r="AT41" s="81"/>
      <c r="AU41" s="81"/>
      <c r="AV41" s="92">
        <f t="shared" si="17"/>
        <v>714.8721284338983</v>
      </c>
      <c r="AW41" s="93">
        <f t="shared" si="18"/>
        <v>0.32508964458112699</v>
      </c>
      <c r="AX41" s="81">
        <v>8904422503984</v>
      </c>
      <c r="AY41" s="94">
        <f t="shared" si="19"/>
        <v>112.61639152941177</v>
      </c>
      <c r="AZ41" s="95">
        <f t="shared" si="20"/>
        <v>160.80618033278299</v>
      </c>
      <c r="BA41" s="95">
        <f t="shared" si="21"/>
        <v>215.58823529411765</v>
      </c>
      <c r="BB41" s="81"/>
      <c r="BC41" s="81"/>
    </row>
    <row r="42" spans="1:55" ht="14.25" customHeight="1">
      <c r="A42" s="45" t="s">
        <v>323</v>
      </c>
      <c r="B42" s="67">
        <v>0.1</v>
      </c>
      <c r="C42" s="43"/>
      <c r="D42" s="43"/>
      <c r="E42" s="43"/>
      <c r="F42" s="71" t="s">
        <v>324</v>
      </c>
      <c r="G42" s="96" t="s">
        <v>325</v>
      </c>
      <c r="H42" s="71" t="s">
        <v>326</v>
      </c>
      <c r="I42" s="47" t="s">
        <v>234</v>
      </c>
      <c r="J42" s="61" t="s">
        <v>235</v>
      </c>
      <c r="K42" s="71"/>
      <c r="L42" s="45" t="s">
        <v>237</v>
      </c>
      <c r="M42" s="71" t="s">
        <v>327</v>
      </c>
      <c r="N42" s="45">
        <v>85167990</v>
      </c>
      <c r="O42" s="48">
        <v>1.3</v>
      </c>
      <c r="P42" s="46">
        <v>29.2</v>
      </c>
      <c r="Q42" s="46">
        <v>22.4</v>
      </c>
      <c r="R42" s="46">
        <v>13.6</v>
      </c>
      <c r="S42" s="48">
        <f t="shared" si="0"/>
        <v>8.895488E-3</v>
      </c>
      <c r="T42" s="48">
        <f t="shared" si="1"/>
        <v>1.7790975999999998</v>
      </c>
      <c r="U42" s="49">
        <v>11.38</v>
      </c>
      <c r="V42" s="49"/>
      <c r="W42" s="50">
        <f t="shared" si="43"/>
        <v>0.26163200000000003</v>
      </c>
      <c r="X42" s="50">
        <f t="shared" si="44"/>
        <v>2.5611590400000006</v>
      </c>
      <c r="Y42" s="51">
        <f t="shared" si="4"/>
        <v>1278.2511936000001</v>
      </c>
      <c r="Z42" s="51">
        <f t="shared" si="38"/>
        <v>1508.3364084479999</v>
      </c>
      <c r="AA42" s="52">
        <f t="shared" si="45"/>
        <v>98.954999999999998</v>
      </c>
      <c r="AB42" s="52">
        <v>51</v>
      </c>
      <c r="AC42" s="52">
        <v>143</v>
      </c>
      <c r="AD42" s="52">
        <f t="shared" si="7"/>
        <v>292.95499999999998</v>
      </c>
      <c r="AE42" s="53">
        <f t="shared" si="46"/>
        <v>329.84999999999997</v>
      </c>
      <c r="AF42" s="53">
        <f t="shared" si="47"/>
        <v>43.980000000000004</v>
      </c>
      <c r="AG42" s="53">
        <f t="shared" si="33"/>
        <v>109.95</v>
      </c>
      <c r="AH42" s="54">
        <f t="shared" si="48"/>
        <v>43.980000000000004</v>
      </c>
      <c r="AI42" s="54">
        <f t="shared" si="42"/>
        <v>335.4406779661017</v>
      </c>
      <c r="AJ42" s="54">
        <f t="shared" si="35"/>
        <v>75.416820422399994</v>
      </c>
      <c r="AK42" s="54">
        <f t="shared" si="36"/>
        <v>45.250092253439995</v>
      </c>
      <c r="AL42" s="55">
        <f t="shared" si="30"/>
        <v>-356.07378424194172</v>
      </c>
      <c r="AM42" s="62">
        <f t="shared" si="31"/>
        <v>-0.161925322529305</v>
      </c>
      <c r="AN42" s="71">
        <v>2199</v>
      </c>
      <c r="AO42" s="71"/>
      <c r="AP42" s="71">
        <v>2099</v>
      </c>
      <c r="AQ42" s="71"/>
      <c r="AR42" s="71">
        <v>5999</v>
      </c>
      <c r="AS42" s="45"/>
      <c r="AT42" s="45"/>
      <c r="AU42" s="45"/>
      <c r="AV42" s="57">
        <f t="shared" si="17"/>
        <v>585.30812843389822</v>
      </c>
      <c r="AW42" s="58">
        <f t="shared" si="18"/>
        <v>0.26617013571345988</v>
      </c>
      <c r="AX42" s="45">
        <v>8904422503991</v>
      </c>
      <c r="AY42" s="59">
        <f t="shared" si="19"/>
        <v>112.32435796133568</v>
      </c>
      <c r="AZ42" s="60">
        <f t="shared" si="20"/>
        <v>144.50680814916782</v>
      </c>
      <c r="BA42" s="60">
        <f t="shared" si="21"/>
        <v>193.23374340949033</v>
      </c>
      <c r="BB42" s="45"/>
      <c r="BC42" s="45"/>
    </row>
    <row r="43" spans="1:55" ht="14.25" customHeight="1">
      <c r="A43" s="71" t="s">
        <v>328</v>
      </c>
      <c r="B43" s="97">
        <v>7.4999999999999997E-2</v>
      </c>
      <c r="C43" s="43"/>
      <c r="D43" s="69"/>
      <c r="E43" s="69"/>
      <c r="F43" s="70" t="s">
        <v>329</v>
      </c>
      <c r="G43" s="96" t="s">
        <v>330</v>
      </c>
      <c r="H43" s="71" t="s">
        <v>331</v>
      </c>
      <c r="I43" s="47" t="s">
        <v>314</v>
      </c>
      <c r="J43" s="61" t="s">
        <v>315</v>
      </c>
      <c r="K43" s="71"/>
      <c r="L43" s="71" t="s">
        <v>332</v>
      </c>
      <c r="M43" s="71" t="s">
        <v>333</v>
      </c>
      <c r="N43" s="45">
        <v>85098000</v>
      </c>
      <c r="O43" s="48"/>
      <c r="P43" s="46"/>
      <c r="Q43" s="46"/>
      <c r="R43" s="46"/>
      <c r="S43" s="48"/>
      <c r="T43" s="48"/>
      <c r="U43" s="49">
        <v>2.15</v>
      </c>
      <c r="V43" s="49">
        <v>2.15</v>
      </c>
      <c r="W43" s="50">
        <f t="shared" ref="W43:W153" si="49">U43*2%</f>
        <v>4.2999999999999997E-2</v>
      </c>
      <c r="X43" s="50">
        <f t="shared" si="44"/>
        <v>0.48246000000000006</v>
      </c>
      <c r="Y43" s="51">
        <f t="shared" si="4"/>
        <v>240.79140000000001</v>
      </c>
      <c r="Z43" s="51">
        <f t="shared" si="38"/>
        <v>284.13385199999999</v>
      </c>
      <c r="AA43" s="52">
        <f t="shared" si="45"/>
        <v>17.954999999999998</v>
      </c>
      <c r="AB43" s="52">
        <v>12</v>
      </c>
      <c r="AC43" s="52">
        <v>60</v>
      </c>
      <c r="AD43" s="52">
        <f t="shared" si="7"/>
        <v>89.954999999999998</v>
      </c>
      <c r="AE43" s="98">
        <f t="shared" ref="AE43:AE45" si="50">AN43*B$72</f>
        <v>79.800000000000011</v>
      </c>
      <c r="AF43" s="53">
        <f t="shared" si="47"/>
        <v>7.98</v>
      </c>
      <c r="AG43" s="53">
        <v>0</v>
      </c>
      <c r="AH43" s="54">
        <f t="shared" si="48"/>
        <v>7.98</v>
      </c>
      <c r="AI43" s="54">
        <f t="shared" si="42"/>
        <v>60.86440677966101</v>
      </c>
      <c r="AJ43" s="54">
        <f t="shared" si="35"/>
        <v>14.2066926</v>
      </c>
      <c r="AK43" s="54">
        <f t="shared" si="36"/>
        <v>8.5240155599999987</v>
      </c>
      <c r="AL43" s="55">
        <f t="shared" si="30"/>
        <v>-111.10151493966103</v>
      </c>
      <c r="AM43" s="62">
        <f t="shared" si="31"/>
        <v>-0.27844991212947628</v>
      </c>
      <c r="AN43" s="71">
        <v>399</v>
      </c>
      <c r="AO43" s="71"/>
      <c r="AP43" s="71"/>
      <c r="AQ43" s="71"/>
      <c r="AR43" s="71">
        <v>1199</v>
      </c>
      <c r="AS43" s="45"/>
      <c r="AT43" s="45"/>
      <c r="AU43" s="45"/>
      <c r="AV43" s="57">
        <f t="shared" si="17"/>
        <v>97.34419322033898</v>
      </c>
      <c r="AW43" s="58">
        <f t="shared" si="18"/>
        <v>0.24397040907353126</v>
      </c>
      <c r="AX43" s="45">
        <v>8904422504004</v>
      </c>
      <c r="AY43" s="59">
        <f t="shared" si="19"/>
        <v>111.99600000000001</v>
      </c>
      <c r="AZ43" s="60">
        <f t="shared" si="20"/>
        <v>139.19101761940001</v>
      </c>
      <c r="BA43" s="60">
        <f t="shared" si="21"/>
        <v>185.58139534883722</v>
      </c>
      <c r="BB43" s="45"/>
      <c r="BC43" s="45"/>
    </row>
    <row r="44" spans="1:55" ht="14.25" customHeight="1">
      <c r="A44" s="45" t="s">
        <v>334</v>
      </c>
      <c r="B44" s="67">
        <v>7.4999999999999997E-2</v>
      </c>
      <c r="C44" s="43"/>
      <c r="D44" s="69"/>
      <c r="E44" s="69"/>
      <c r="F44" s="70" t="s">
        <v>335</v>
      </c>
      <c r="G44" s="96" t="s">
        <v>336</v>
      </c>
      <c r="H44" s="71" t="s">
        <v>337</v>
      </c>
      <c r="I44" s="47" t="s">
        <v>314</v>
      </c>
      <c r="J44" s="61" t="s">
        <v>315</v>
      </c>
      <c r="K44" s="71"/>
      <c r="L44" s="71" t="s">
        <v>332</v>
      </c>
      <c r="M44" s="71" t="s">
        <v>338</v>
      </c>
      <c r="N44" s="45">
        <v>85098000</v>
      </c>
      <c r="O44" s="48"/>
      <c r="P44" s="46"/>
      <c r="Q44" s="46"/>
      <c r="R44" s="46"/>
      <c r="S44" s="48"/>
      <c r="T44" s="48"/>
      <c r="U44" s="49">
        <v>2.15</v>
      </c>
      <c r="V44" s="49">
        <v>2.15</v>
      </c>
      <c r="W44" s="50">
        <f t="shared" si="49"/>
        <v>4.2999999999999997E-2</v>
      </c>
      <c r="X44" s="50">
        <f t="shared" si="44"/>
        <v>0.48246000000000006</v>
      </c>
      <c r="Y44" s="51">
        <f t="shared" si="4"/>
        <v>240.79140000000001</v>
      </c>
      <c r="Z44" s="51">
        <f t="shared" si="38"/>
        <v>284.13385199999999</v>
      </c>
      <c r="AA44" s="52">
        <f t="shared" si="45"/>
        <v>15.705</v>
      </c>
      <c r="AB44" s="52">
        <v>12</v>
      </c>
      <c r="AC44" s="52">
        <v>60</v>
      </c>
      <c r="AD44" s="52">
        <f t="shared" si="7"/>
        <v>87.704999999999998</v>
      </c>
      <c r="AE44" s="53">
        <f t="shared" si="50"/>
        <v>69.8</v>
      </c>
      <c r="AF44" s="53">
        <f t="shared" si="47"/>
        <v>6.98</v>
      </c>
      <c r="AG44" s="53">
        <v>0</v>
      </c>
      <c r="AH44" s="54">
        <f t="shared" si="48"/>
        <v>6.98</v>
      </c>
      <c r="AI44" s="54">
        <f t="shared" si="42"/>
        <v>53.23728813559319</v>
      </c>
      <c r="AJ44" s="54">
        <f t="shared" si="35"/>
        <v>14.2066926</v>
      </c>
      <c r="AK44" s="54">
        <f t="shared" si="36"/>
        <v>8.5240155599999987</v>
      </c>
      <c r="AL44" s="55">
        <f t="shared" si="30"/>
        <v>-139.22439629559318</v>
      </c>
      <c r="AM44" s="62">
        <f t="shared" si="31"/>
        <v>-0.39892377162061082</v>
      </c>
      <c r="AN44" s="71">
        <v>349</v>
      </c>
      <c r="AO44" s="71"/>
      <c r="AP44" s="71"/>
      <c r="AQ44" s="71"/>
      <c r="AR44" s="71">
        <v>1199</v>
      </c>
      <c r="AS44" s="45"/>
      <c r="AT44" s="45"/>
      <c r="AU44" s="45"/>
      <c r="AV44" s="57">
        <f t="shared" si="17"/>
        <v>54.9713118644068</v>
      </c>
      <c r="AW44" s="58">
        <f t="shared" si="18"/>
        <v>0.15751092224758395</v>
      </c>
      <c r="AX44" s="45">
        <v>8904422504011</v>
      </c>
      <c r="AY44" s="59">
        <f t="shared" si="19"/>
        <v>111.99600000000001</v>
      </c>
      <c r="AZ44" s="60">
        <f t="shared" si="20"/>
        <v>121.74853420844764</v>
      </c>
      <c r="BA44" s="60">
        <f t="shared" si="21"/>
        <v>162.32558139534885</v>
      </c>
      <c r="BB44" s="45"/>
      <c r="BC44" s="45"/>
    </row>
    <row r="45" spans="1:55" ht="14.25" customHeight="1">
      <c r="A45" s="45" t="s">
        <v>339</v>
      </c>
      <c r="B45" s="67">
        <v>0.1</v>
      </c>
      <c r="C45" s="43"/>
      <c r="D45" s="69"/>
      <c r="E45" s="69"/>
      <c r="F45" s="70" t="s">
        <v>340</v>
      </c>
      <c r="G45" s="96" t="s">
        <v>341</v>
      </c>
      <c r="H45" s="71" t="s">
        <v>342</v>
      </c>
      <c r="I45" s="47" t="s">
        <v>314</v>
      </c>
      <c r="J45" s="61" t="s">
        <v>315</v>
      </c>
      <c r="K45" s="71"/>
      <c r="L45" s="71" t="s">
        <v>332</v>
      </c>
      <c r="M45" s="71" t="s">
        <v>343</v>
      </c>
      <c r="N45" s="45">
        <v>85098000</v>
      </c>
      <c r="O45" s="48"/>
      <c r="P45" s="46"/>
      <c r="Q45" s="46"/>
      <c r="R45" s="46"/>
      <c r="S45" s="48"/>
      <c r="T45" s="48"/>
      <c r="U45" s="49">
        <v>1.48</v>
      </c>
      <c r="V45" s="49">
        <v>1.48</v>
      </c>
      <c r="W45" s="50">
        <f t="shared" si="49"/>
        <v>2.9600000000000001E-2</v>
      </c>
      <c r="X45" s="50">
        <f t="shared" si="44"/>
        <v>0.33211200000000007</v>
      </c>
      <c r="Y45" s="51">
        <f t="shared" si="4"/>
        <v>165.75408000000002</v>
      </c>
      <c r="Z45" s="51">
        <f t="shared" si="38"/>
        <v>195.58981439999999</v>
      </c>
      <c r="AA45" s="52">
        <f t="shared" si="45"/>
        <v>17.954999999999998</v>
      </c>
      <c r="AB45" s="52">
        <v>12</v>
      </c>
      <c r="AC45" s="52">
        <v>60</v>
      </c>
      <c r="AD45" s="52">
        <f t="shared" si="7"/>
        <v>89.954999999999998</v>
      </c>
      <c r="AE45" s="53">
        <f t="shared" si="50"/>
        <v>79.800000000000011</v>
      </c>
      <c r="AF45" s="53">
        <f t="shared" si="47"/>
        <v>7.98</v>
      </c>
      <c r="AG45" s="53">
        <v>0</v>
      </c>
      <c r="AH45" s="54">
        <f t="shared" si="48"/>
        <v>7.98</v>
      </c>
      <c r="AI45" s="54">
        <f t="shared" si="42"/>
        <v>60.86440677966101</v>
      </c>
      <c r="AJ45" s="54">
        <f t="shared" si="35"/>
        <v>9.7794907200000001</v>
      </c>
      <c r="AK45" s="54">
        <f t="shared" si="36"/>
        <v>5.8676944319999995</v>
      </c>
      <c r="AL45" s="55">
        <f t="shared" si="30"/>
        <v>-28.98067193166105</v>
      </c>
      <c r="AM45" s="62">
        <f t="shared" si="31"/>
        <v>-7.2633262986619165E-2</v>
      </c>
      <c r="AN45" s="71">
        <v>399</v>
      </c>
      <c r="AO45" s="71"/>
      <c r="AP45" s="71"/>
      <c r="AQ45" s="71"/>
      <c r="AR45" s="71">
        <v>699</v>
      </c>
      <c r="AS45" s="45"/>
      <c r="AT45" s="45"/>
      <c r="AU45" s="45"/>
      <c r="AV45" s="57">
        <f t="shared" si="17"/>
        <v>172.38151322033897</v>
      </c>
      <c r="AW45" s="58">
        <f t="shared" si="18"/>
        <v>0.43203386772014779</v>
      </c>
      <c r="AX45" s="45">
        <v>8904422504028</v>
      </c>
      <c r="AY45" s="59">
        <f t="shared" si="19"/>
        <v>111.99600000000001</v>
      </c>
      <c r="AZ45" s="60">
        <f t="shared" si="20"/>
        <v>202.20316748764191</v>
      </c>
      <c r="BA45" s="60">
        <f t="shared" si="21"/>
        <v>269.59459459459458</v>
      </c>
      <c r="BB45" s="45"/>
      <c r="BC45" s="45"/>
    </row>
    <row r="46" spans="1:55" ht="14.25" hidden="1" customHeight="1">
      <c r="A46" s="68"/>
      <c r="B46" s="68"/>
      <c r="C46" s="43"/>
      <c r="D46" s="44"/>
      <c r="E46" s="44"/>
      <c r="F46" s="45" t="s">
        <v>344</v>
      </c>
      <c r="G46" s="96" t="s">
        <v>345</v>
      </c>
      <c r="H46" s="45" t="s">
        <v>346</v>
      </c>
      <c r="I46" s="47" t="s">
        <v>314</v>
      </c>
      <c r="J46" s="61" t="s">
        <v>315</v>
      </c>
      <c r="K46" s="71"/>
      <c r="L46" s="71" t="s">
        <v>332</v>
      </c>
      <c r="M46" s="45" t="s">
        <v>347</v>
      </c>
      <c r="N46" s="45">
        <v>85098000</v>
      </c>
      <c r="O46" s="71"/>
      <c r="P46" s="71"/>
      <c r="Q46" s="71"/>
      <c r="R46" s="71"/>
      <c r="S46" s="71"/>
      <c r="T46" s="71"/>
      <c r="U46" s="49">
        <f>U43+U44+U45</f>
        <v>5.7799999999999994</v>
      </c>
      <c r="V46" s="49"/>
      <c r="W46" s="50">
        <f t="shared" si="49"/>
        <v>0.11559999999999999</v>
      </c>
      <c r="X46" s="50">
        <f t="shared" si="44"/>
        <v>1.297032</v>
      </c>
      <c r="Y46" s="51">
        <f t="shared" si="4"/>
        <v>647.33687999999984</v>
      </c>
      <c r="Z46" s="51">
        <v>704.5</v>
      </c>
      <c r="AA46" s="52">
        <f t="shared" si="45"/>
        <v>53.864999999999995</v>
      </c>
      <c r="AB46" s="52">
        <v>12</v>
      </c>
      <c r="AC46" s="52">
        <v>60</v>
      </c>
      <c r="AD46" s="52">
        <f t="shared" si="7"/>
        <v>125.86499999999999</v>
      </c>
      <c r="AE46" s="53">
        <f t="shared" ref="AE46:AE66" si="51">AN46*B$66</f>
        <v>179.54999999999998</v>
      </c>
      <c r="AF46" s="53">
        <f t="shared" si="47"/>
        <v>23.94</v>
      </c>
      <c r="AG46" s="53">
        <v>0</v>
      </c>
      <c r="AH46" s="54">
        <f t="shared" si="48"/>
        <v>23.94</v>
      </c>
      <c r="AI46" s="54">
        <f t="shared" si="42"/>
        <v>182.59322033898297</v>
      </c>
      <c r="AJ46" s="54">
        <f t="shared" si="35"/>
        <v>35.225000000000001</v>
      </c>
      <c r="AK46" s="54">
        <f t="shared" si="36"/>
        <v>21.134999999999998</v>
      </c>
      <c r="AL46" s="55">
        <f t="shared" si="30"/>
        <v>-42.585100338982805</v>
      </c>
      <c r="AM46" s="56">
        <f t="shared" si="31"/>
        <v>-3.5576524928139355E-2</v>
      </c>
      <c r="AN46" s="71">
        <v>1197</v>
      </c>
      <c r="AO46" s="71"/>
      <c r="AP46" s="71"/>
      <c r="AQ46" s="71"/>
      <c r="AR46" s="71">
        <v>2399</v>
      </c>
      <c r="AS46" s="45"/>
      <c r="AT46" s="45"/>
      <c r="AU46" s="45"/>
      <c r="AV46" s="57">
        <f t="shared" si="17"/>
        <v>367.06989966101719</v>
      </c>
      <c r="AW46" s="58">
        <f t="shared" si="18"/>
        <v>0.30665822862240366</v>
      </c>
      <c r="AX46" s="45">
        <v>8904422504370</v>
      </c>
      <c r="AY46" s="59">
        <f t="shared" si="19"/>
        <v>111.99599999999998</v>
      </c>
      <c r="AZ46" s="60">
        <f t="shared" si="20"/>
        <v>155.32561654760042</v>
      </c>
      <c r="BA46" s="60">
        <f t="shared" si="21"/>
        <v>207.09342560553637</v>
      </c>
      <c r="BB46" s="45"/>
      <c r="BC46" s="45"/>
    </row>
    <row r="47" spans="1:55" ht="14.25" hidden="1" customHeight="1">
      <c r="A47" s="68"/>
      <c r="B47" s="68"/>
      <c r="C47" s="43"/>
      <c r="D47" s="44"/>
      <c r="E47" s="44"/>
      <c r="F47" s="73" t="s">
        <v>348</v>
      </c>
      <c r="G47" s="96" t="s">
        <v>349</v>
      </c>
      <c r="H47" s="45" t="s">
        <v>350</v>
      </c>
      <c r="I47" s="47" t="s">
        <v>314</v>
      </c>
      <c r="J47" s="61" t="s">
        <v>315</v>
      </c>
      <c r="K47" s="71"/>
      <c r="L47" s="71" t="s">
        <v>332</v>
      </c>
      <c r="M47" s="73" t="s">
        <v>351</v>
      </c>
      <c r="N47" s="73">
        <v>85098000</v>
      </c>
      <c r="O47" s="71"/>
      <c r="P47" s="71"/>
      <c r="Q47" s="71"/>
      <c r="R47" s="71"/>
      <c r="S47" s="71"/>
      <c r="T47" s="71"/>
      <c r="U47" s="49">
        <f>U43+U44</f>
        <v>4.3</v>
      </c>
      <c r="V47" s="49"/>
      <c r="W47" s="50">
        <f t="shared" si="49"/>
        <v>8.5999999999999993E-2</v>
      </c>
      <c r="X47" s="50">
        <f t="shared" si="44"/>
        <v>0.96492000000000011</v>
      </c>
      <c r="Y47" s="51">
        <f t="shared" si="4"/>
        <v>481.58280000000002</v>
      </c>
      <c r="Z47" s="51">
        <v>524</v>
      </c>
      <c r="AA47" s="52">
        <f t="shared" si="45"/>
        <v>40.409999999999997</v>
      </c>
      <c r="AB47" s="52">
        <v>12</v>
      </c>
      <c r="AC47" s="52">
        <v>60</v>
      </c>
      <c r="AD47" s="52">
        <f t="shared" si="7"/>
        <v>112.41</v>
      </c>
      <c r="AE47" s="53">
        <f t="shared" si="51"/>
        <v>134.69999999999999</v>
      </c>
      <c r="AF47" s="53">
        <f t="shared" si="47"/>
        <v>17.96</v>
      </c>
      <c r="AG47" s="53">
        <v>0</v>
      </c>
      <c r="AH47" s="54">
        <f t="shared" si="48"/>
        <v>17.96</v>
      </c>
      <c r="AI47" s="54">
        <f t="shared" si="42"/>
        <v>136.98305084745755</v>
      </c>
      <c r="AJ47" s="54">
        <f t="shared" si="35"/>
        <v>26.200000000000003</v>
      </c>
      <c r="AK47" s="54">
        <f t="shared" si="36"/>
        <v>15.719999999999999</v>
      </c>
      <c r="AL47" s="55">
        <f t="shared" si="30"/>
        <v>-45.515850847457529</v>
      </c>
      <c r="AM47" s="56">
        <f t="shared" si="31"/>
        <v>-5.0685802725453817E-2</v>
      </c>
      <c r="AN47" s="71">
        <v>898</v>
      </c>
      <c r="AO47" s="71"/>
      <c r="AP47" s="71"/>
      <c r="AQ47" s="71"/>
      <c r="AR47" s="71">
        <v>1799</v>
      </c>
      <c r="AS47" s="45"/>
      <c r="AT47" s="45"/>
      <c r="AU47" s="45"/>
      <c r="AV47" s="57">
        <f t="shared" si="17"/>
        <v>279.43414915254243</v>
      </c>
      <c r="AW47" s="58">
        <f t="shared" si="18"/>
        <v>0.3111738854705372</v>
      </c>
      <c r="AX47" s="45">
        <v>8904422504387</v>
      </c>
      <c r="AY47" s="59">
        <f t="shared" si="19"/>
        <v>111.99600000000001</v>
      </c>
      <c r="AZ47" s="60">
        <f t="shared" si="20"/>
        <v>156.63350103035239</v>
      </c>
      <c r="BA47" s="60">
        <f t="shared" si="21"/>
        <v>208.83720930232559</v>
      </c>
      <c r="BB47" s="45"/>
      <c r="BC47" s="45"/>
    </row>
    <row r="48" spans="1:55" ht="14.25" hidden="1" customHeight="1">
      <c r="A48" s="68"/>
      <c r="B48" s="68"/>
      <c r="C48" s="43"/>
      <c r="D48" s="44"/>
      <c r="E48" s="44"/>
      <c r="F48" s="73" t="s">
        <v>352</v>
      </c>
      <c r="G48" s="96" t="s">
        <v>353</v>
      </c>
      <c r="H48" s="45" t="s">
        <v>354</v>
      </c>
      <c r="I48" s="47" t="s">
        <v>314</v>
      </c>
      <c r="J48" s="61" t="s">
        <v>315</v>
      </c>
      <c r="K48" s="71"/>
      <c r="L48" s="71" t="s">
        <v>332</v>
      </c>
      <c r="M48" s="73" t="s">
        <v>355</v>
      </c>
      <c r="N48" s="73">
        <v>85098000</v>
      </c>
      <c r="O48" s="71"/>
      <c r="P48" s="71"/>
      <c r="Q48" s="71"/>
      <c r="R48" s="71"/>
      <c r="S48" s="71"/>
      <c r="T48" s="71"/>
      <c r="U48" s="49">
        <f>U45+U43</f>
        <v>3.63</v>
      </c>
      <c r="V48" s="49"/>
      <c r="W48" s="50">
        <f t="shared" si="49"/>
        <v>7.2599999999999998E-2</v>
      </c>
      <c r="X48" s="50">
        <f t="shared" si="44"/>
        <v>0.81457200000000007</v>
      </c>
      <c r="Y48" s="51">
        <f t="shared" si="4"/>
        <v>406.54548000000005</v>
      </c>
      <c r="Z48" s="51">
        <v>442.5</v>
      </c>
      <c r="AA48" s="52">
        <f t="shared" si="45"/>
        <v>33.659999999999997</v>
      </c>
      <c r="AB48" s="52">
        <v>12</v>
      </c>
      <c r="AC48" s="52">
        <v>60</v>
      </c>
      <c r="AD48" s="52">
        <f t="shared" si="7"/>
        <v>105.66</v>
      </c>
      <c r="AE48" s="53">
        <f t="shared" si="51"/>
        <v>112.2</v>
      </c>
      <c r="AF48" s="53">
        <f t="shared" si="47"/>
        <v>14.96</v>
      </c>
      <c r="AG48" s="53">
        <v>0</v>
      </c>
      <c r="AH48" s="54">
        <f t="shared" si="48"/>
        <v>14.96</v>
      </c>
      <c r="AI48" s="54">
        <f t="shared" si="42"/>
        <v>114.10169491525426</v>
      </c>
      <c r="AJ48" s="54">
        <f t="shared" si="35"/>
        <v>22.125</v>
      </c>
      <c r="AK48" s="54">
        <f t="shared" si="36"/>
        <v>13.275</v>
      </c>
      <c r="AL48" s="55">
        <f t="shared" si="30"/>
        <v>-55.827174915254311</v>
      </c>
      <c r="AM48" s="56">
        <f t="shared" si="31"/>
        <v>-7.4635260581890794E-2</v>
      </c>
      <c r="AN48" s="71">
        <v>748</v>
      </c>
      <c r="AO48" s="71"/>
      <c r="AP48" s="71"/>
      <c r="AQ48" s="71"/>
      <c r="AR48" s="71">
        <v>1499</v>
      </c>
      <c r="AS48" s="45"/>
      <c r="AT48" s="45"/>
      <c r="AU48" s="45"/>
      <c r="AV48" s="57">
        <f t="shared" si="17"/>
        <v>227.35282508474569</v>
      </c>
      <c r="AW48" s="58">
        <f t="shared" si="18"/>
        <v>0.30394762711864398</v>
      </c>
      <c r="AX48" s="45">
        <v>8904422504394</v>
      </c>
      <c r="AY48" s="59">
        <f t="shared" si="19"/>
        <v>111.99600000000002</v>
      </c>
      <c r="AZ48" s="60">
        <f t="shared" si="20"/>
        <v>154.55097422310536</v>
      </c>
      <c r="BA48" s="60">
        <f t="shared" si="21"/>
        <v>206.06060606060606</v>
      </c>
      <c r="BB48" s="45"/>
      <c r="BC48" s="45"/>
    </row>
    <row r="49" spans="1:55" ht="14.25" hidden="1" customHeight="1">
      <c r="A49" s="68"/>
      <c r="B49" s="68"/>
      <c r="C49" s="43"/>
      <c r="D49" s="44"/>
      <c r="E49" s="44"/>
      <c r="F49" s="73" t="s">
        <v>356</v>
      </c>
      <c r="G49" s="96" t="s">
        <v>357</v>
      </c>
      <c r="H49" s="45" t="s">
        <v>358</v>
      </c>
      <c r="I49" s="47" t="s">
        <v>314</v>
      </c>
      <c r="J49" s="61" t="s">
        <v>315</v>
      </c>
      <c r="K49" s="71"/>
      <c r="L49" s="71" t="s">
        <v>332</v>
      </c>
      <c r="M49" s="73" t="s">
        <v>359</v>
      </c>
      <c r="N49" s="73">
        <v>85098000</v>
      </c>
      <c r="O49" s="71"/>
      <c r="P49" s="71"/>
      <c r="Q49" s="71"/>
      <c r="R49" s="71"/>
      <c r="S49" s="71"/>
      <c r="T49" s="71"/>
      <c r="U49" s="49">
        <f>U45+U44</f>
        <v>3.63</v>
      </c>
      <c r="V49" s="49"/>
      <c r="W49" s="50">
        <f t="shared" si="49"/>
        <v>7.2599999999999998E-2</v>
      </c>
      <c r="X49" s="50">
        <f t="shared" si="44"/>
        <v>0.81457200000000007</v>
      </c>
      <c r="Y49" s="51">
        <f t="shared" si="4"/>
        <v>406.54548000000005</v>
      </c>
      <c r="Z49" s="51">
        <v>442.5</v>
      </c>
      <c r="AA49" s="52">
        <f t="shared" si="45"/>
        <v>33.659999999999997</v>
      </c>
      <c r="AB49" s="52">
        <v>12</v>
      </c>
      <c r="AC49" s="52">
        <v>60</v>
      </c>
      <c r="AD49" s="52">
        <f t="shared" si="7"/>
        <v>105.66</v>
      </c>
      <c r="AE49" s="53">
        <f t="shared" si="51"/>
        <v>112.2</v>
      </c>
      <c r="AF49" s="53">
        <f t="shared" si="47"/>
        <v>14.96</v>
      </c>
      <c r="AG49" s="53">
        <v>0</v>
      </c>
      <c r="AH49" s="54">
        <f t="shared" si="48"/>
        <v>14.96</v>
      </c>
      <c r="AI49" s="54">
        <f t="shared" si="42"/>
        <v>114.10169491525426</v>
      </c>
      <c r="AJ49" s="54">
        <f t="shared" si="35"/>
        <v>22.125</v>
      </c>
      <c r="AK49" s="54">
        <f t="shared" si="36"/>
        <v>13.275</v>
      </c>
      <c r="AL49" s="55">
        <f t="shared" si="30"/>
        <v>-55.827174915254311</v>
      </c>
      <c r="AM49" s="56">
        <f t="shared" si="31"/>
        <v>-7.4635260581890794E-2</v>
      </c>
      <c r="AN49" s="71">
        <v>748</v>
      </c>
      <c r="AO49" s="71"/>
      <c r="AP49" s="71"/>
      <c r="AQ49" s="71"/>
      <c r="AR49" s="71">
        <v>1499</v>
      </c>
      <c r="AS49" s="45"/>
      <c r="AT49" s="45"/>
      <c r="AU49" s="45"/>
      <c r="AV49" s="57">
        <f t="shared" si="17"/>
        <v>227.35282508474569</v>
      </c>
      <c r="AW49" s="58">
        <f t="shared" si="18"/>
        <v>0.30394762711864398</v>
      </c>
      <c r="AX49" s="45">
        <v>8904422504400</v>
      </c>
      <c r="AY49" s="59">
        <f t="shared" si="19"/>
        <v>111.99600000000002</v>
      </c>
      <c r="AZ49" s="60">
        <f t="shared" si="20"/>
        <v>154.55097422310536</v>
      </c>
      <c r="BA49" s="60">
        <f t="shared" si="21"/>
        <v>206.06060606060606</v>
      </c>
      <c r="BB49" s="45"/>
      <c r="BC49" s="45"/>
    </row>
    <row r="50" spans="1:55" ht="14.25" hidden="1" customHeight="1">
      <c r="A50" s="68"/>
      <c r="B50" s="68"/>
      <c r="C50" s="43"/>
      <c r="D50" s="44"/>
      <c r="E50" s="44"/>
      <c r="F50" s="73" t="s">
        <v>360</v>
      </c>
      <c r="G50" s="96" t="s">
        <v>361</v>
      </c>
      <c r="H50" s="45" t="s">
        <v>362</v>
      </c>
      <c r="I50" s="47" t="s">
        <v>314</v>
      </c>
      <c r="J50" s="61" t="s">
        <v>315</v>
      </c>
      <c r="K50" s="71"/>
      <c r="L50" s="71" t="s">
        <v>332</v>
      </c>
      <c r="M50" s="73" t="s">
        <v>363</v>
      </c>
      <c r="N50" s="73">
        <v>85098000</v>
      </c>
      <c r="O50" s="71"/>
      <c r="P50" s="71"/>
      <c r="Q50" s="71"/>
      <c r="R50" s="71"/>
      <c r="S50" s="71"/>
      <c r="T50" s="71"/>
      <c r="U50" s="49">
        <f>U43*2</f>
        <v>4.3</v>
      </c>
      <c r="V50" s="49"/>
      <c r="W50" s="50">
        <f t="shared" si="49"/>
        <v>8.5999999999999993E-2</v>
      </c>
      <c r="X50" s="50">
        <f t="shared" si="44"/>
        <v>0.96492000000000011</v>
      </c>
      <c r="Y50" s="51">
        <f t="shared" si="4"/>
        <v>481.58280000000002</v>
      </c>
      <c r="Z50" s="51">
        <v>524</v>
      </c>
      <c r="AA50" s="52">
        <f t="shared" si="45"/>
        <v>40.409999999999997</v>
      </c>
      <c r="AB50" s="52">
        <v>12</v>
      </c>
      <c r="AC50" s="52">
        <v>60</v>
      </c>
      <c r="AD50" s="52">
        <f t="shared" si="7"/>
        <v>112.41</v>
      </c>
      <c r="AE50" s="53">
        <f t="shared" si="51"/>
        <v>134.69999999999999</v>
      </c>
      <c r="AF50" s="53">
        <f t="shared" si="47"/>
        <v>17.96</v>
      </c>
      <c r="AG50" s="53">
        <v>0</v>
      </c>
      <c r="AH50" s="54">
        <f t="shared" si="48"/>
        <v>17.96</v>
      </c>
      <c r="AI50" s="54">
        <f t="shared" si="42"/>
        <v>136.98305084745755</v>
      </c>
      <c r="AJ50" s="54">
        <f t="shared" si="35"/>
        <v>26.200000000000003</v>
      </c>
      <c r="AK50" s="54">
        <f t="shared" si="36"/>
        <v>15.719999999999999</v>
      </c>
      <c r="AL50" s="55">
        <f t="shared" si="30"/>
        <v>-45.515850847457529</v>
      </c>
      <c r="AM50" s="56">
        <f t="shared" si="31"/>
        <v>-5.0685802725453817E-2</v>
      </c>
      <c r="AN50" s="71">
        <v>898</v>
      </c>
      <c r="AO50" s="71"/>
      <c r="AP50" s="71"/>
      <c r="AQ50" s="71"/>
      <c r="AR50" s="71">
        <v>1799</v>
      </c>
      <c r="AS50" s="45"/>
      <c r="AT50" s="45"/>
      <c r="AU50" s="45"/>
      <c r="AV50" s="57">
        <f t="shared" si="17"/>
        <v>279.43414915254243</v>
      </c>
      <c r="AW50" s="58">
        <f t="shared" si="18"/>
        <v>0.3111738854705372</v>
      </c>
      <c r="AX50" s="45">
        <v>8904422504417</v>
      </c>
      <c r="AY50" s="59">
        <f t="shared" si="19"/>
        <v>111.99600000000001</v>
      </c>
      <c r="AZ50" s="60">
        <f t="shared" si="20"/>
        <v>156.63350103035239</v>
      </c>
      <c r="BA50" s="60">
        <f t="shared" si="21"/>
        <v>208.83720930232559</v>
      </c>
      <c r="BB50" s="45"/>
      <c r="BC50" s="45"/>
    </row>
    <row r="51" spans="1:55" ht="14.25" hidden="1" customHeight="1">
      <c r="A51" s="68"/>
      <c r="B51" s="68"/>
      <c r="C51" s="43"/>
      <c r="D51" s="44"/>
      <c r="E51" s="44"/>
      <c r="F51" s="73" t="s">
        <v>364</v>
      </c>
      <c r="G51" s="96" t="s">
        <v>365</v>
      </c>
      <c r="H51" s="45" t="s">
        <v>366</v>
      </c>
      <c r="I51" s="47" t="s">
        <v>314</v>
      </c>
      <c r="J51" s="61" t="s">
        <v>315</v>
      </c>
      <c r="K51" s="71"/>
      <c r="L51" s="71" t="s">
        <v>332</v>
      </c>
      <c r="M51" s="73" t="s">
        <v>367</v>
      </c>
      <c r="N51" s="73">
        <v>85098000</v>
      </c>
      <c r="O51" s="71"/>
      <c r="P51" s="71"/>
      <c r="Q51" s="71"/>
      <c r="R51" s="71"/>
      <c r="S51" s="71"/>
      <c r="T51" s="71"/>
      <c r="U51" s="49">
        <v>4.3</v>
      </c>
      <c r="V51" s="49"/>
      <c r="W51" s="50">
        <f t="shared" si="49"/>
        <v>8.5999999999999993E-2</v>
      </c>
      <c r="X51" s="50">
        <f t="shared" si="44"/>
        <v>0.96492000000000011</v>
      </c>
      <c r="Y51" s="51">
        <f t="shared" si="4"/>
        <v>481.58280000000002</v>
      </c>
      <c r="Z51" s="51">
        <v>524</v>
      </c>
      <c r="AA51" s="52">
        <f t="shared" si="45"/>
        <v>40.409999999999997</v>
      </c>
      <c r="AB51" s="52">
        <v>12</v>
      </c>
      <c r="AC51" s="52">
        <v>60</v>
      </c>
      <c r="AD51" s="52">
        <f t="shared" si="7"/>
        <v>112.41</v>
      </c>
      <c r="AE51" s="53">
        <f t="shared" si="51"/>
        <v>134.69999999999999</v>
      </c>
      <c r="AF51" s="53">
        <f t="shared" si="47"/>
        <v>17.96</v>
      </c>
      <c r="AG51" s="53">
        <v>0</v>
      </c>
      <c r="AH51" s="54">
        <f t="shared" si="48"/>
        <v>17.96</v>
      </c>
      <c r="AI51" s="54">
        <f t="shared" si="42"/>
        <v>136.98305084745755</v>
      </c>
      <c r="AJ51" s="54">
        <f t="shared" si="35"/>
        <v>26.200000000000003</v>
      </c>
      <c r="AK51" s="54">
        <f t="shared" si="36"/>
        <v>15.719999999999999</v>
      </c>
      <c r="AL51" s="55">
        <f t="shared" si="30"/>
        <v>-45.515850847457529</v>
      </c>
      <c r="AM51" s="56">
        <f t="shared" si="31"/>
        <v>-5.0685802725453817E-2</v>
      </c>
      <c r="AN51" s="71">
        <v>898</v>
      </c>
      <c r="AO51" s="71"/>
      <c r="AP51" s="71"/>
      <c r="AQ51" s="71"/>
      <c r="AR51" s="71">
        <v>1799</v>
      </c>
      <c r="AS51" s="45"/>
      <c r="AT51" s="45"/>
      <c r="AU51" s="45"/>
      <c r="AV51" s="57">
        <f t="shared" si="17"/>
        <v>279.43414915254243</v>
      </c>
      <c r="AW51" s="58">
        <f t="shared" si="18"/>
        <v>0.3111738854705372</v>
      </c>
      <c r="AX51" s="45">
        <v>8904422504424</v>
      </c>
      <c r="AY51" s="59">
        <f t="shared" si="19"/>
        <v>111.99600000000001</v>
      </c>
      <c r="AZ51" s="60">
        <f t="shared" si="20"/>
        <v>156.63350103035239</v>
      </c>
      <c r="BA51" s="60">
        <f t="shared" si="21"/>
        <v>208.83720930232559</v>
      </c>
      <c r="BB51" s="45"/>
      <c r="BC51" s="45"/>
    </row>
    <row r="52" spans="1:55" ht="14.25" hidden="1" customHeight="1">
      <c r="A52" s="68"/>
      <c r="B52" s="68"/>
      <c r="C52" s="43"/>
      <c r="D52" s="44"/>
      <c r="E52" s="44"/>
      <c r="F52" s="73" t="s">
        <v>368</v>
      </c>
      <c r="G52" s="96" t="s">
        <v>369</v>
      </c>
      <c r="H52" s="45" t="s">
        <v>370</v>
      </c>
      <c r="I52" s="47" t="s">
        <v>314</v>
      </c>
      <c r="J52" s="61" t="s">
        <v>315</v>
      </c>
      <c r="K52" s="71"/>
      <c r="L52" s="71" t="s">
        <v>332</v>
      </c>
      <c r="M52" s="73" t="s">
        <v>371</v>
      </c>
      <c r="N52" s="73">
        <v>85098000</v>
      </c>
      <c r="O52" s="71"/>
      <c r="P52" s="71"/>
      <c r="Q52" s="71"/>
      <c r="R52" s="71"/>
      <c r="S52" s="71"/>
      <c r="T52" s="71"/>
      <c r="U52" s="49">
        <f>U45*2</f>
        <v>2.96</v>
      </c>
      <c r="V52" s="49"/>
      <c r="W52" s="50">
        <f t="shared" si="49"/>
        <v>5.9200000000000003E-2</v>
      </c>
      <c r="X52" s="50">
        <f t="shared" si="44"/>
        <v>0.66422400000000015</v>
      </c>
      <c r="Y52" s="51">
        <f t="shared" si="4"/>
        <v>331.50816000000003</v>
      </c>
      <c r="Z52" s="51">
        <v>360.8</v>
      </c>
      <c r="AA52" s="52">
        <f t="shared" si="45"/>
        <v>26.91</v>
      </c>
      <c r="AB52" s="52">
        <v>12</v>
      </c>
      <c r="AC52" s="52">
        <v>60</v>
      </c>
      <c r="AD52" s="52">
        <f t="shared" si="7"/>
        <v>98.91</v>
      </c>
      <c r="AE52" s="53">
        <f t="shared" si="51"/>
        <v>89.7</v>
      </c>
      <c r="AF52" s="53">
        <f t="shared" si="47"/>
        <v>11.96</v>
      </c>
      <c r="AG52" s="53">
        <v>0</v>
      </c>
      <c r="AH52" s="54">
        <f t="shared" si="48"/>
        <v>11.96</v>
      </c>
      <c r="AI52" s="54">
        <f t="shared" si="42"/>
        <v>91.220338983050794</v>
      </c>
      <c r="AJ52" s="54">
        <f t="shared" si="35"/>
        <v>18.040000000000003</v>
      </c>
      <c r="AK52" s="54">
        <f t="shared" si="36"/>
        <v>10.824</v>
      </c>
      <c r="AL52" s="55">
        <f t="shared" si="30"/>
        <v>-66.122498983050832</v>
      </c>
      <c r="AM52" s="56">
        <f t="shared" si="31"/>
        <v>-0.11057274077433249</v>
      </c>
      <c r="AN52" s="71">
        <v>598</v>
      </c>
      <c r="AO52" s="71"/>
      <c r="AP52" s="71"/>
      <c r="AQ52" s="71"/>
      <c r="AR52" s="71">
        <v>1199</v>
      </c>
      <c r="AS52" s="45"/>
      <c r="AT52" s="45"/>
      <c r="AU52" s="45"/>
      <c r="AV52" s="57">
        <f t="shared" si="17"/>
        <v>175.27150101694917</v>
      </c>
      <c r="AW52" s="58">
        <f t="shared" si="18"/>
        <v>0.29309615554673774</v>
      </c>
      <c r="AX52" s="45">
        <v>8904422504431</v>
      </c>
      <c r="AY52" s="59">
        <f t="shared" si="19"/>
        <v>111.99600000000001</v>
      </c>
      <c r="AZ52" s="60">
        <f t="shared" si="20"/>
        <v>151.52568190176675</v>
      </c>
      <c r="BA52" s="60">
        <f t="shared" si="21"/>
        <v>202.02702702702703</v>
      </c>
      <c r="BB52" s="45"/>
      <c r="BC52" s="45"/>
    </row>
    <row r="53" spans="1:55" ht="14.25" hidden="1" customHeight="1">
      <c r="A53" s="68"/>
      <c r="B53" s="68"/>
      <c r="C53" s="43"/>
      <c r="D53" s="44"/>
      <c r="E53" s="44"/>
      <c r="F53" s="73" t="s">
        <v>372</v>
      </c>
      <c r="G53" s="96" t="s">
        <v>373</v>
      </c>
      <c r="H53" s="45" t="s">
        <v>374</v>
      </c>
      <c r="I53" s="47" t="s">
        <v>314</v>
      </c>
      <c r="J53" s="61" t="s">
        <v>315</v>
      </c>
      <c r="K53" s="71"/>
      <c r="L53" s="71" t="s">
        <v>332</v>
      </c>
      <c r="M53" s="73" t="s">
        <v>375</v>
      </c>
      <c r="N53" s="73">
        <v>85098000</v>
      </c>
      <c r="O53" s="71"/>
      <c r="P53" s="71"/>
      <c r="Q53" s="71"/>
      <c r="R53" s="71"/>
      <c r="S53" s="71"/>
      <c r="T53" s="71"/>
      <c r="U53" s="49">
        <f>U43*3</f>
        <v>6.4499999999999993</v>
      </c>
      <c r="V53" s="49"/>
      <c r="W53" s="50">
        <f t="shared" si="49"/>
        <v>0.12899999999999998</v>
      </c>
      <c r="X53" s="50">
        <f t="shared" si="44"/>
        <v>1.4473799999999999</v>
      </c>
      <c r="Y53" s="51">
        <f t="shared" si="4"/>
        <v>722.37419999999997</v>
      </c>
      <c r="Z53" s="51">
        <v>786</v>
      </c>
      <c r="AA53" s="52">
        <f t="shared" si="45"/>
        <v>60.614999999999995</v>
      </c>
      <c r="AB53" s="52">
        <v>12</v>
      </c>
      <c r="AC53" s="52">
        <v>60</v>
      </c>
      <c r="AD53" s="52">
        <f t="shared" si="7"/>
        <v>132.61500000000001</v>
      </c>
      <c r="AE53" s="53">
        <f t="shared" si="51"/>
        <v>202.04999999999998</v>
      </c>
      <c r="AF53" s="53">
        <f t="shared" si="47"/>
        <v>26.94</v>
      </c>
      <c r="AG53" s="53">
        <v>0</v>
      </c>
      <c r="AH53" s="54">
        <f t="shared" si="48"/>
        <v>26.94</v>
      </c>
      <c r="AI53" s="54">
        <f t="shared" si="42"/>
        <v>205.47457627118638</v>
      </c>
      <c r="AJ53" s="54">
        <f t="shared" si="35"/>
        <v>39.300000000000004</v>
      </c>
      <c r="AK53" s="54">
        <f t="shared" si="36"/>
        <v>23.58</v>
      </c>
      <c r="AL53" s="55">
        <f t="shared" si="30"/>
        <v>-32.273776271186321</v>
      </c>
      <c r="AM53" s="56">
        <f t="shared" si="31"/>
        <v>-2.395974481899504E-2</v>
      </c>
      <c r="AN53" s="71">
        <v>1347</v>
      </c>
      <c r="AO53" s="71"/>
      <c r="AP53" s="71"/>
      <c r="AQ53" s="71"/>
      <c r="AR53" s="71">
        <v>2699</v>
      </c>
      <c r="AS53" s="45"/>
      <c r="AT53" s="45"/>
      <c r="AU53" s="45"/>
      <c r="AV53" s="57">
        <f t="shared" si="17"/>
        <v>419.15122372881365</v>
      </c>
      <c r="AW53" s="58">
        <f t="shared" si="18"/>
        <v>0.3111738854705372</v>
      </c>
      <c r="AX53" s="45">
        <v>8904422504448</v>
      </c>
      <c r="AY53" s="59">
        <f t="shared" si="19"/>
        <v>111.99600000000001</v>
      </c>
      <c r="AZ53" s="60">
        <f t="shared" si="20"/>
        <v>156.63350103035242</v>
      </c>
      <c r="BA53" s="60">
        <f t="shared" si="21"/>
        <v>208.83720930232562</v>
      </c>
      <c r="BB53" s="45"/>
      <c r="BC53" s="45"/>
    </row>
    <row r="54" spans="1:55" ht="14.25" hidden="1" customHeight="1">
      <c r="A54" s="68"/>
      <c r="B54" s="68"/>
      <c r="C54" s="43"/>
      <c r="D54" s="44"/>
      <c r="E54" s="44"/>
      <c r="F54" s="73" t="s">
        <v>376</v>
      </c>
      <c r="G54" s="96" t="s">
        <v>377</v>
      </c>
      <c r="H54" s="45" t="s">
        <v>378</v>
      </c>
      <c r="I54" s="47" t="s">
        <v>314</v>
      </c>
      <c r="J54" s="61" t="s">
        <v>315</v>
      </c>
      <c r="K54" s="71"/>
      <c r="L54" s="71" t="s">
        <v>332</v>
      </c>
      <c r="M54" s="73" t="s">
        <v>379</v>
      </c>
      <c r="N54" s="73">
        <v>85098000</v>
      </c>
      <c r="O54" s="71"/>
      <c r="P54" s="71"/>
      <c r="Q54" s="71"/>
      <c r="R54" s="71"/>
      <c r="S54" s="71"/>
      <c r="T54" s="71"/>
      <c r="U54" s="49">
        <v>6.45</v>
      </c>
      <c r="V54" s="49"/>
      <c r="W54" s="50">
        <f t="shared" si="49"/>
        <v>0.129</v>
      </c>
      <c r="X54" s="50">
        <f t="shared" si="44"/>
        <v>1.4473800000000003</v>
      </c>
      <c r="Y54" s="51">
        <f t="shared" si="4"/>
        <v>722.37420000000009</v>
      </c>
      <c r="Z54" s="51">
        <v>786</v>
      </c>
      <c r="AA54" s="52">
        <f t="shared" si="45"/>
        <v>60.614999999999995</v>
      </c>
      <c r="AB54" s="52">
        <v>12</v>
      </c>
      <c r="AC54" s="52">
        <v>60</v>
      </c>
      <c r="AD54" s="52">
        <f t="shared" si="7"/>
        <v>132.61500000000001</v>
      </c>
      <c r="AE54" s="53">
        <f t="shared" si="51"/>
        <v>202.04999999999998</v>
      </c>
      <c r="AF54" s="53">
        <f t="shared" si="47"/>
        <v>26.94</v>
      </c>
      <c r="AG54" s="53">
        <v>0</v>
      </c>
      <c r="AH54" s="54">
        <f t="shared" si="48"/>
        <v>26.94</v>
      </c>
      <c r="AI54" s="54">
        <f t="shared" si="42"/>
        <v>205.47457627118638</v>
      </c>
      <c r="AJ54" s="54">
        <f t="shared" si="35"/>
        <v>39.300000000000004</v>
      </c>
      <c r="AK54" s="54">
        <f t="shared" si="36"/>
        <v>23.58</v>
      </c>
      <c r="AL54" s="55">
        <f t="shared" si="30"/>
        <v>-32.273776271186435</v>
      </c>
      <c r="AM54" s="56">
        <f t="shared" si="31"/>
        <v>-2.3959744818995127E-2</v>
      </c>
      <c r="AN54" s="71">
        <v>1347</v>
      </c>
      <c r="AO54" s="71"/>
      <c r="AP54" s="71"/>
      <c r="AQ54" s="71"/>
      <c r="AR54" s="71">
        <v>2699</v>
      </c>
      <c r="AS54" s="45"/>
      <c r="AT54" s="45"/>
      <c r="AU54" s="45"/>
      <c r="AV54" s="57">
        <f t="shared" si="17"/>
        <v>419.15122372881353</v>
      </c>
      <c r="AW54" s="58">
        <f t="shared" si="18"/>
        <v>0.31117388547053715</v>
      </c>
      <c r="AX54" s="45">
        <v>8904422504455</v>
      </c>
      <c r="AY54" s="59">
        <f t="shared" si="19"/>
        <v>111.99600000000001</v>
      </c>
      <c r="AZ54" s="60">
        <f t="shared" si="20"/>
        <v>156.63350103035239</v>
      </c>
      <c r="BA54" s="60">
        <f t="shared" si="21"/>
        <v>208.83720930232556</v>
      </c>
      <c r="BB54" s="45"/>
      <c r="BC54" s="45"/>
    </row>
    <row r="55" spans="1:55" ht="14.25" hidden="1" customHeight="1">
      <c r="A55" s="68"/>
      <c r="B55" s="68"/>
      <c r="C55" s="43"/>
      <c r="D55" s="44"/>
      <c r="E55" s="44"/>
      <c r="F55" s="73" t="s">
        <v>380</v>
      </c>
      <c r="G55" s="96" t="s">
        <v>381</v>
      </c>
      <c r="H55" s="45" t="s">
        <v>382</v>
      </c>
      <c r="I55" s="47" t="s">
        <v>314</v>
      </c>
      <c r="J55" s="61" t="s">
        <v>315</v>
      </c>
      <c r="K55" s="71"/>
      <c r="L55" s="71" t="s">
        <v>332</v>
      </c>
      <c r="M55" s="73" t="s">
        <v>383</v>
      </c>
      <c r="N55" s="73">
        <v>85098000</v>
      </c>
      <c r="O55" s="71"/>
      <c r="P55" s="71"/>
      <c r="Q55" s="71"/>
      <c r="R55" s="71"/>
      <c r="S55" s="71"/>
      <c r="T55" s="71"/>
      <c r="U55" s="49">
        <f>U45*3</f>
        <v>4.4399999999999995</v>
      </c>
      <c r="V55" s="49"/>
      <c r="W55" s="50">
        <f t="shared" si="49"/>
        <v>8.879999999999999E-2</v>
      </c>
      <c r="X55" s="50">
        <f t="shared" si="44"/>
        <v>0.996336</v>
      </c>
      <c r="Y55" s="51">
        <f t="shared" si="4"/>
        <v>497.26223999999996</v>
      </c>
      <c r="Z55" s="51">
        <v>541.20000000000005</v>
      </c>
      <c r="AA55" s="52">
        <f t="shared" si="45"/>
        <v>40.365000000000002</v>
      </c>
      <c r="AB55" s="52">
        <v>12</v>
      </c>
      <c r="AC55" s="52">
        <v>60</v>
      </c>
      <c r="AD55" s="52">
        <f t="shared" si="7"/>
        <v>112.36500000000001</v>
      </c>
      <c r="AE55" s="53">
        <f t="shared" si="51"/>
        <v>134.54999999999998</v>
      </c>
      <c r="AF55" s="53">
        <f t="shared" si="47"/>
        <v>17.940000000000001</v>
      </c>
      <c r="AG55" s="53">
        <v>0</v>
      </c>
      <c r="AH55" s="54">
        <f t="shared" si="48"/>
        <v>17.940000000000001</v>
      </c>
      <c r="AI55" s="54">
        <f t="shared" si="42"/>
        <v>136.83050847457628</v>
      </c>
      <c r="AJ55" s="54">
        <f t="shared" si="35"/>
        <v>27.060000000000002</v>
      </c>
      <c r="AK55" s="54">
        <f t="shared" si="36"/>
        <v>16.236000000000001</v>
      </c>
      <c r="AL55" s="55">
        <f t="shared" si="30"/>
        <v>-63.183748474576234</v>
      </c>
      <c r="AM55" s="56">
        <f t="shared" si="31"/>
        <v>-7.0438961510118428E-2</v>
      </c>
      <c r="AN55" s="71">
        <v>897</v>
      </c>
      <c r="AO55" s="71"/>
      <c r="AP55" s="71"/>
      <c r="AQ55" s="71"/>
      <c r="AR55" s="71">
        <v>1799</v>
      </c>
      <c r="AS55" s="45"/>
      <c r="AT55" s="45"/>
      <c r="AU55" s="45"/>
      <c r="AV55" s="57">
        <f t="shared" si="17"/>
        <v>262.90725152542376</v>
      </c>
      <c r="AW55" s="58">
        <f t="shared" si="18"/>
        <v>0.29309615554673774</v>
      </c>
      <c r="AX55" s="45">
        <v>8904422504462</v>
      </c>
      <c r="AY55" s="59">
        <f t="shared" si="19"/>
        <v>111.99600000000001</v>
      </c>
      <c r="AZ55" s="60">
        <f t="shared" si="20"/>
        <v>151.52568190176677</v>
      </c>
      <c r="BA55" s="60">
        <f t="shared" si="21"/>
        <v>202.02702702702706</v>
      </c>
      <c r="BB55" s="45"/>
      <c r="BC55" s="45"/>
    </row>
    <row r="56" spans="1:55" ht="14.25" hidden="1" customHeight="1">
      <c r="A56" s="43"/>
      <c r="B56" s="43"/>
      <c r="C56" s="43"/>
      <c r="D56" s="44"/>
      <c r="E56" s="44"/>
      <c r="F56" s="73" t="s">
        <v>384</v>
      </c>
      <c r="G56" s="96" t="s">
        <v>385</v>
      </c>
      <c r="H56" s="45" t="s">
        <v>386</v>
      </c>
      <c r="I56" s="47" t="s">
        <v>314</v>
      </c>
      <c r="J56" s="61" t="s">
        <v>315</v>
      </c>
      <c r="K56" s="71"/>
      <c r="L56" s="71" t="s">
        <v>332</v>
      </c>
      <c r="M56" s="73" t="s">
        <v>387</v>
      </c>
      <c r="N56" s="73">
        <v>85098000</v>
      </c>
      <c r="O56" s="71"/>
      <c r="P56" s="71"/>
      <c r="Q56" s="71"/>
      <c r="R56" s="71"/>
      <c r="S56" s="71"/>
      <c r="T56" s="71"/>
      <c r="U56" s="49">
        <f>U40+U43</f>
        <v>11.32</v>
      </c>
      <c r="V56" s="49"/>
      <c r="W56" s="50">
        <f t="shared" si="49"/>
        <v>0.22640000000000002</v>
      </c>
      <c r="X56" s="50">
        <f t="shared" si="44"/>
        <v>2.5402080000000002</v>
      </c>
      <c r="Y56" s="51">
        <f t="shared" si="4"/>
        <v>1267.7947200000001</v>
      </c>
      <c r="Z56" s="51">
        <v>1253.5999999999999</v>
      </c>
      <c r="AA56" s="52">
        <f t="shared" si="45"/>
        <v>87.704999999999998</v>
      </c>
      <c r="AB56" s="52">
        <v>12</v>
      </c>
      <c r="AC56" s="52">
        <v>60</v>
      </c>
      <c r="AD56" s="52">
        <f t="shared" si="7"/>
        <v>159.70499999999998</v>
      </c>
      <c r="AE56" s="53">
        <f t="shared" si="51"/>
        <v>292.34999999999997</v>
      </c>
      <c r="AF56" s="53">
        <f t="shared" si="47"/>
        <v>38.980000000000004</v>
      </c>
      <c r="AG56" s="53">
        <v>0</v>
      </c>
      <c r="AH56" s="54">
        <f t="shared" si="48"/>
        <v>38.980000000000004</v>
      </c>
      <c r="AI56" s="54">
        <f t="shared" si="42"/>
        <v>297.30508474576254</v>
      </c>
      <c r="AJ56" s="54">
        <f t="shared" si="35"/>
        <v>62.68</v>
      </c>
      <c r="AK56" s="54">
        <f t="shared" si="36"/>
        <v>37.607999999999997</v>
      </c>
      <c r="AL56" s="55">
        <f t="shared" si="30"/>
        <v>-246.40280474576258</v>
      </c>
      <c r="AM56" s="56">
        <f t="shared" si="31"/>
        <v>-0.12642524614969861</v>
      </c>
      <c r="AN56" s="71">
        <v>1949</v>
      </c>
      <c r="AO56" s="71"/>
      <c r="AP56" s="71"/>
      <c r="AQ56" s="71"/>
      <c r="AR56" s="71">
        <v>3699</v>
      </c>
      <c r="AS56" s="45"/>
      <c r="AT56" s="45"/>
      <c r="AU56" s="45"/>
      <c r="AV56" s="57">
        <f t="shared" si="17"/>
        <v>383.90019525423736</v>
      </c>
      <c r="AW56" s="58">
        <f t="shared" si="18"/>
        <v>0.19697290674922388</v>
      </c>
      <c r="AX56" s="45">
        <v>8904422504479</v>
      </c>
      <c r="AY56" s="59">
        <f t="shared" si="19"/>
        <v>111.99600000000001</v>
      </c>
      <c r="AZ56" s="60">
        <f t="shared" si="20"/>
        <v>129.13447060262246</v>
      </c>
      <c r="BA56" s="60">
        <f t="shared" si="21"/>
        <v>172.1731448763251</v>
      </c>
      <c r="BB56" s="45"/>
      <c r="BC56" s="45"/>
    </row>
    <row r="57" spans="1:55" ht="14.25" hidden="1" customHeight="1">
      <c r="A57" s="43"/>
      <c r="B57" s="43"/>
      <c r="C57" s="43"/>
      <c r="D57" s="44"/>
      <c r="E57" s="44"/>
      <c r="F57" s="73" t="s">
        <v>388</v>
      </c>
      <c r="G57" s="96" t="s">
        <v>389</v>
      </c>
      <c r="H57" s="45" t="s">
        <v>390</v>
      </c>
      <c r="I57" s="47" t="s">
        <v>314</v>
      </c>
      <c r="J57" s="61" t="s">
        <v>315</v>
      </c>
      <c r="K57" s="71"/>
      <c r="L57" s="71" t="s">
        <v>332</v>
      </c>
      <c r="M57" s="73" t="s">
        <v>391</v>
      </c>
      <c r="N57" s="73">
        <v>85098000</v>
      </c>
      <c r="O57" s="71"/>
      <c r="P57" s="71"/>
      <c r="Q57" s="71"/>
      <c r="R57" s="71"/>
      <c r="S57" s="71"/>
      <c r="T57" s="71"/>
      <c r="U57" s="49">
        <f>U40+U44</f>
        <v>11.32</v>
      </c>
      <c r="V57" s="49"/>
      <c r="W57" s="50">
        <f t="shared" si="49"/>
        <v>0.22640000000000002</v>
      </c>
      <c r="X57" s="50">
        <f t="shared" si="44"/>
        <v>2.5402080000000002</v>
      </c>
      <c r="Y57" s="51">
        <f t="shared" si="4"/>
        <v>1267.7947200000001</v>
      </c>
      <c r="Z57" s="51">
        <v>1253.5999999999999</v>
      </c>
      <c r="AA57" s="52">
        <f t="shared" si="45"/>
        <v>87.704999999999998</v>
      </c>
      <c r="AB57" s="52">
        <v>12</v>
      </c>
      <c r="AC57" s="52">
        <v>60</v>
      </c>
      <c r="AD57" s="52">
        <f t="shared" si="7"/>
        <v>159.70499999999998</v>
      </c>
      <c r="AE57" s="53">
        <f t="shared" si="51"/>
        <v>292.34999999999997</v>
      </c>
      <c r="AF57" s="53">
        <f t="shared" si="47"/>
        <v>38.980000000000004</v>
      </c>
      <c r="AG57" s="53">
        <v>0</v>
      </c>
      <c r="AH57" s="54">
        <f t="shared" si="48"/>
        <v>38.980000000000004</v>
      </c>
      <c r="AI57" s="54">
        <f t="shared" si="42"/>
        <v>297.30508474576254</v>
      </c>
      <c r="AJ57" s="54">
        <f t="shared" si="35"/>
        <v>62.68</v>
      </c>
      <c r="AK57" s="54">
        <f t="shared" si="36"/>
        <v>37.607999999999997</v>
      </c>
      <c r="AL57" s="55">
        <f t="shared" si="30"/>
        <v>-246.40280474576258</v>
      </c>
      <c r="AM57" s="56">
        <f t="shared" si="31"/>
        <v>-0.12642524614969861</v>
      </c>
      <c r="AN57" s="71">
        <v>1949</v>
      </c>
      <c r="AO57" s="71"/>
      <c r="AP57" s="71"/>
      <c r="AQ57" s="71"/>
      <c r="AR57" s="71">
        <v>3699</v>
      </c>
      <c r="AS57" s="45"/>
      <c r="AT57" s="45"/>
      <c r="AU57" s="45"/>
      <c r="AV57" s="57">
        <f t="shared" si="17"/>
        <v>383.90019525423736</v>
      </c>
      <c r="AW57" s="58">
        <f t="shared" si="18"/>
        <v>0.19697290674922388</v>
      </c>
      <c r="AX57" s="45">
        <v>8904422504486</v>
      </c>
      <c r="AY57" s="59">
        <f t="shared" si="19"/>
        <v>111.99600000000001</v>
      </c>
      <c r="AZ57" s="60">
        <f t="shared" si="20"/>
        <v>129.13447060262246</v>
      </c>
      <c r="BA57" s="60">
        <f t="shared" si="21"/>
        <v>172.1731448763251</v>
      </c>
      <c r="BB57" s="45"/>
      <c r="BC57" s="45"/>
    </row>
    <row r="58" spans="1:55" ht="14.25" hidden="1" customHeight="1">
      <c r="A58" s="43"/>
      <c r="B58" s="43"/>
      <c r="C58" s="43"/>
      <c r="D58" s="44"/>
      <c r="E58" s="44"/>
      <c r="F58" s="73" t="s">
        <v>392</v>
      </c>
      <c r="G58" s="96" t="s">
        <v>393</v>
      </c>
      <c r="H58" s="47" t="s">
        <v>394</v>
      </c>
      <c r="I58" s="47" t="s">
        <v>314</v>
      </c>
      <c r="J58" s="61" t="s">
        <v>315</v>
      </c>
      <c r="K58" s="45"/>
      <c r="L58" s="71" t="s">
        <v>332</v>
      </c>
      <c r="M58" s="73" t="s">
        <v>395</v>
      </c>
      <c r="N58" s="73">
        <v>85098000</v>
      </c>
      <c r="O58" s="48"/>
      <c r="P58" s="46"/>
      <c r="Q58" s="46"/>
      <c r="R58" s="46"/>
      <c r="S58" s="48"/>
      <c r="T58" s="48"/>
      <c r="U58" s="49">
        <v>2.25</v>
      </c>
      <c r="V58" s="49"/>
      <c r="W58" s="50">
        <f t="shared" si="49"/>
        <v>4.4999999999999998E-2</v>
      </c>
      <c r="X58" s="50">
        <f t="shared" si="44"/>
        <v>0.50490000000000002</v>
      </c>
      <c r="Y58" s="51">
        <f t="shared" si="4"/>
        <v>251.99100000000001</v>
      </c>
      <c r="Z58" s="51">
        <f t="shared" ref="Z58:Z84" si="52">Y58*1.18</f>
        <v>297.34938</v>
      </c>
      <c r="AA58" s="52">
        <f t="shared" si="45"/>
        <v>22.454999999999998</v>
      </c>
      <c r="AB58" s="52">
        <v>12</v>
      </c>
      <c r="AC58" s="52">
        <v>60</v>
      </c>
      <c r="AD58" s="52">
        <f t="shared" si="7"/>
        <v>94.454999999999998</v>
      </c>
      <c r="AE58" s="53">
        <f t="shared" si="51"/>
        <v>74.849999999999994</v>
      </c>
      <c r="AF58" s="53">
        <f t="shared" si="47"/>
        <v>9.98</v>
      </c>
      <c r="AG58" s="53">
        <v>0</v>
      </c>
      <c r="AH58" s="54">
        <f t="shared" si="48"/>
        <v>9.98</v>
      </c>
      <c r="AI58" s="54">
        <f t="shared" si="42"/>
        <v>76.118644067796595</v>
      </c>
      <c r="AJ58" s="54">
        <f t="shared" si="35"/>
        <v>14.867469</v>
      </c>
      <c r="AK58" s="54">
        <f t="shared" si="36"/>
        <v>8.9204813999999999</v>
      </c>
      <c r="AL58" s="55">
        <f t="shared" si="30"/>
        <v>-42.162594467796623</v>
      </c>
      <c r="AM58" s="56">
        <f t="shared" si="31"/>
        <v>-8.4494177290173597E-2</v>
      </c>
      <c r="AN58" s="71">
        <v>499</v>
      </c>
      <c r="AO58" s="71"/>
      <c r="AP58" s="71"/>
      <c r="AQ58" s="71"/>
      <c r="AR58" s="71">
        <v>1249</v>
      </c>
      <c r="AS58" s="45"/>
      <c r="AT58" s="45"/>
      <c r="AU58" s="45"/>
      <c r="AV58" s="57">
        <f t="shared" si="17"/>
        <v>170.89035593220339</v>
      </c>
      <c r="AW58" s="58">
        <f t="shared" si="18"/>
        <v>0.34246564315070821</v>
      </c>
      <c r="AX58" s="77" t="s">
        <v>396</v>
      </c>
      <c r="AY58" s="59">
        <f t="shared" si="19"/>
        <v>111.99600000000001</v>
      </c>
      <c r="AZ58" s="60">
        <f t="shared" si="20"/>
        <v>166.33927402169124</v>
      </c>
      <c r="BA58" s="60">
        <f t="shared" si="21"/>
        <v>221.77777777777777</v>
      </c>
      <c r="BB58" s="45"/>
      <c r="BC58" s="45"/>
    </row>
    <row r="59" spans="1:55" ht="14.25" hidden="1" customHeight="1">
      <c r="A59" s="43"/>
      <c r="B59" s="43"/>
      <c r="C59" s="43"/>
      <c r="D59" s="44"/>
      <c r="E59" s="44"/>
      <c r="F59" s="73" t="s">
        <v>397</v>
      </c>
      <c r="G59" s="96" t="s">
        <v>398</v>
      </c>
      <c r="H59" s="70" t="s">
        <v>399</v>
      </c>
      <c r="I59" s="47" t="s">
        <v>314</v>
      </c>
      <c r="J59" s="61" t="s">
        <v>315</v>
      </c>
      <c r="K59" s="45"/>
      <c r="L59" s="71" t="s">
        <v>332</v>
      </c>
      <c r="M59" s="73" t="s">
        <v>400</v>
      </c>
      <c r="N59" s="73">
        <v>85098000</v>
      </c>
      <c r="O59" s="48"/>
      <c r="P59" s="46"/>
      <c r="Q59" s="46"/>
      <c r="R59" s="46"/>
      <c r="S59" s="48"/>
      <c r="T59" s="48"/>
      <c r="U59" s="49">
        <v>2.25</v>
      </c>
      <c r="V59" s="49"/>
      <c r="W59" s="50">
        <f t="shared" si="49"/>
        <v>4.4999999999999998E-2</v>
      </c>
      <c r="X59" s="50">
        <f t="shared" si="44"/>
        <v>0.50490000000000002</v>
      </c>
      <c r="Y59" s="51">
        <f t="shared" si="4"/>
        <v>251.99100000000001</v>
      </c>
      <c r="Z59" s="51">
        <f t="shared" si="52"/>
        <v>297.34938</v>
      </c>
      <c r="AA59" s="52">
        <f t="shared" si="45"/>
        <v>22.454999999999998</v>
      </c>
      <c r="AB59" s="52">
        <v>12</v>
      </c>
      <c r="AC59" s="52">
        <v>60</v>
      </c>
      <c r="AD59" s="52">
        <f t="shared" si="7"/>
        <v>94.454999999999998</v>
      </c>
      <c r="AE59" s="53">
        <f t="shared" si="51"/>
        <v>74.849999999999994</v>
      </c>
      <c r="AF59" s="53">
        <f t="shared" si="47"/>
        <v>9.98</v>
      </c>
      <c r="AG59" s="53">
        <v>0</v>
      </c>
      <c r="AH59" s="54">
        <f t="shared" si="48"/>
        <v>9.98</v>
      </c>
      <c r="AI59" s="54">
        <f t="shared" si="42"/>
        <v>76.118644067796595</v>
      </c>
      <c r="AJ59" s="54">
        <f t="shared" si="35"/>
        <v>14.867469</v>
      </c>
      <c r="AK59" s="54">
        <f t="shared" si="36"/>
        <v>8.9204813999999999</v>
      </c>
      <c r="AL59" s="55">
        <f t="shared" si="30"/>
        <v>-42.162594467796623</v>
      </c>
      <c r="AM59" s="56">
        <f t="shared" si="31"/>
        <v>-8.4494177290173597E-2</v>
      </c>
      <c r="AN59" s="71">
        <v>499</v>
      </c>
      <c r="AO59" s="71"/>
      <c r="AP59" s="71"/>
      <c r="AQ59" s="71"/>
      <c r="AR59" s="71">
        <v>1249</v>
      </c>
      <c r="AS59" s="45"/>
      <c r="AT59" s="45"/>
      <c r="AU59" s="45"/>
      <c r="AV59" s="57">
        <f t="shared" si="17"/>
        <v>170.89035593220339</v>
      </c>
      <c r="AW59" s="58">
        <f t="shared" si="18"/>
        <v>0.34246564315070821</v>
      </c>
      <c r="AX59" s="77" t="s">
        <v>401</v>
      </c>
      <c r="AY59" s="59">
        <f t="shared" si="19"/>
        <v>111.99600000000001</v>
      </c>
      <c r="AZ59" s="60">
        <f t="shared" si="20"/>
        <v>166.33927402169124</v>
      </c>
      <c r="BA59" s="60">
        <f t="shared" si="21"/>
        <v>221.77777777777777</v>
      </c>
      <c r="BB59" s="45"/>
      <c r="BC59" s="45"/>
    </row>
    <row r="60" spans="1:55" ht="14.25" hidden="1" customHeight="1">
      <c r="A60" s="43"/>
      <c r="B60" s="43"/>
      <c r="C60" s="43"/>
      <c r="D60" s="44"/>
      <c r="E60" s="44"/>
      <c r="F60" s="73" t="s">
        <v>402</v>
      </c>
      <c r="G60" s="45" t="s">
        <v>403</v>
      </c>
      <c r="H60" s="45" t="s">
        <v>404</v>
      </c>
      <c r="I60" s="47" t="s">
        <v>314</v>
      </c>
      <c r="J60" s="61" t="s">
        <v>315</v>
      </c>
      <c r="K60" s="45"/>
      <c r="L60" s="71" t="s">
        <v>332</v>
      </c>
      <c r="M60" s="45" t="s">
        <v>405</v>
      </c>
      <c r="N60" s="73">
        <v>85098000</v>
      </c>
      <c r="O60" s="48"/>
      <c r="P60" s="46"/>
      <c r="Q60" s="46"/>
      <c r="R60" s="46"/>
      <c r="S60" s="48"/>
      <c r="T60" s="48"/>
      <c r="U60" s="49">
        <v>1.48</v>
      </c>
      <c r="V60" s="49"/>
      <c r="W60" s="50">
        <f t="shared" si="49"/>
        <v>2.9600000000000001E-2</v>
      </c>
      <c r="X60" s="50">
        <f t="shared" si="44"/>
        <v>0.33211200000000007</v>
      </c>
      <c r="Y60" s="51">
        <f t="shared" si="4"/>
        <v>165.75408000000002</v>
      </c>
      <c r="Z60" s="51">
        <f t="shared" si="52"/>
        <v>195.58981439999999</v>
      </c>
      <c r="AA60" s="52">
        <f t="shared" ref="AA60:AA62" si="53">AN60*5.5%</f>
        <v>21.945</v>
      </c>
      <c r="AB60" s="52">
        <v>21</v>
      </c>
      <c r="AC60" s="52">
        <v>58</v>
      </c>
      <c r="AD60" s="52">
        <f t="shared" si="7"/>
        <v>100.94499999999999</v>
      </c>
      <c r="AE60" s="53">
        <f t="shared" si="51"/>
        <v>59.849999999999994</v>
      </c>
      <c r="AF60" s="53">
        <f t="shared" si="47"/>
        <v>7.98</v>
      </c>
      <c r="AG60" s="53">
        <v>0</v>
      </c>
      <c r="AH60" s="54">
        <f t="shared" si="48"/>
        <v>7.98</v>
      </c>
      <c r="AI60" s="54">
        <f t="shared" si="42"/>
        <v>60.86440677966101</v>
      </c>
      <c r="AJ60" s="54">
        <f t="shared" si="35"/>
        <v>9.7794907200000001</v>
      </c>
      <c r="AK60" s="54">
        <f t="shared" si="36"/>
        <v>5.8676944319999995</v>
      </c>
      <c r="AL60" s="55">
        <f t="shared" si="30"/>
        <v>-20.020671931661013</v>
      </c>
      <c r="AM60" s="62">
        <f t="shared" si="31"/>
        <v>-5.0177122635741887E-2</v>
      </c>
      <c r="AN60" s="71">
        <v>399</v>
      </c>
      <c r="AO60" s="71"/>
      <c r="AP60" s="71">
        <v>299</v>
      </c>
      <c r="AQ60" s="71"/>
      <c r="AR60" s="71">
        <v>699</v>
      </c>
      <c r="AS60" s="45"/>
      <c r="AT60" s="45"/>
      <c r="AU60" s="45"/>
      <c r="AV60" s="57">
        <f t="shared" si="17"/>
        <v>172.38151322033897</v>
      </c>
      <c r="AW60" s="58">
        <f t="shared" si="18"/>
        <v>0.43203386772014779</v>
      </c>
      <c r="AX60" s="63">
        <v>8904422504523</v>
      </c>
      <c r="AY60" s="59">
        <f t="shared" si="19"/>
        <v>111.99600000000001</v>
      </c>
      <c r="AZ60" s="60">
        <f t="shared" si="20"/>
        <v>202.20316748764191</v>
      </c>
      <c r="BA60" s="60">
        <f t="shared" si="21"/>
        <v>269.59459459459458</v>
      </c>
      <c r="BB60" s="45"/>
      <c r="BC60" s="45"/>
    </row>
    <row r="61" spans="1:55" ht="14.25" hidden="1" customHeight="1">
      <c r="A61" s="43"/>
      <c r="B61" s="43"/>
      <c r="C61" s="43"/>
      <c r="D61" s="44"/>
      <c r="E61" s="44"/>
      <c r="F61" s="73" t="s">
        <v>406</v>
      </c>
      <c r="G61" s="73" t="s">
        <v>407</v>
      </c>
      <c r="H61" s="73" t="s">
        <v>408</v>
      </c>
      <c r="I61" s="47" t="s">
        <v>314</v>
      </c>
      <c r="J61" s="61" t="s">
        <v>315</v>
      </c>
      <c r="K61" s="45"/>
      <c r="L61" s="71" t="s">
        <v>332</v>
      </c>
      <c r="M61" s="73" t="s">
        <v>409</v>
      </c>
      <c r="N61" s="73">
        <v>85098000</v>
      </c>
      <c r="O61" s="48"/>
      <c r="P61" s="46"/>
      <c r="Q61" s="46"/>
      <c r="R61" s="46"/>
      <c r="S61" s="48"/>
      <c r="T61" s="48"/>
      <c r="U61" s="49">
        <v>2.25</v>
      </c>
      <c r="V61" s="49"/>
      <c r="W61" s="50">
        <f t="shared" si="49"/>
        <v>4.4999999999999998E-2</v>
      </c>
      <c r="X61" s="50">
        <f t="shared" si="44"/>
        <v>0.50490000000000002</v>
      </c>
      <c r="Y61" s="51">
        <f t="shared" si="4"/>
        <v>251.99100000000001</v>
      </c>
      <c r="Z61" s="51">
        <f t="shared" si="52"/>
        <v>297.34938</v>
      </c>
      <c r="AA61" s="52">
        <f t="shared" si="53"/>
        <v>16.445</v>
      </c>
      <c r="AB61" s="52">
        <v>21</v>
      </c>
      <c r="AC61" s="52">
        <v>59</v>
      </c>
      <c r="AD61" s="52">
        <f t="shared" si="7"/>
        <v>96.444999999999993</v>
      </c>
      <c r="AE61" s="53">
        <f t="shared" si="51"/>
        <v>44.85</v>
      </c>
      <c r="AF61" s="53"/>
      <c r="AG61" s="53">
        <v>0</v>
      </c>
      <c r="AH61" s="54"/>
      <c r="AI61" s="54">
        <f t="shared" si="42"/>
        <v>45.610169491525397</v>
      </c>
      <c r="AJ61" s="54"/>
      <c r="AK61" s="54"/>
      <c r="AL61" s="55">
        <f t="shared" si="30"/>
        <v>-139.8961694915254</v>
      </c>
      <c r="AM61" s="62">
        <f t="shared" si="31"/>
        <v>-0.46788016552349632</v>
      </c>
      <c r="AN61" s="71">
        <v>299</v>
      </c>
      <c r="AO61" s="71"/>
      <c r="AP61" s="71">
        <v>399</v>
      </c>
      <c r="AQ61" s="71"/>
      <c r="AR61" s="71">
        <v>1199</v>
      </c>
      <c r="AS61" s="45"/>
      <c r="AT61" s="45" t="s">
        <v>410</v>
      </c>
      <c r="AU61" s="45"/>
      <c r="AV61" s="57">
        <f t="shared" si="17"/>
        <v>1.3988305084745889</v>
      </c>
      <c r="AW61" s="58">
        <f t="shared" si="18"/>
        <v>4.678362904597287E-3</v>
      </c>
      <c r="AX61" s="99">
        <v>8904422504356</v>
      </c>
      <c r="AY61" s="59">
        <f t="shared" si="19"/>
        <v>111.99600000000001</v>
      </c>
      <c r="AZ61" s="60">
        <f t="shared" si="20"/>
        <v>99.670226317606577</v>
      </c>
      <c r="BA61" s="60">
        <f t="shared" si="21"/>
        <v>132.88888888888889</v>
      </c>
      <c r="BB61" s="45"/>
      <c r="BC61" s="45"/>
    </row>
    <row r="62" spans="1:55" ht="14.25" hidden="1" customHeight="1">
      <c r="A62" s="43"/>
      <c r="B62" s="43"/>
      <c r="C62" s="43"/>
      <c r="D62" s="44"/>
      <c r="E62" s="44"/>
      <c r="F62" s="73" t="s">
        <v>411</v>
      </c>
      <c r="G62" s="73" t="s">
        <v>412</v>
      </c>
      <c r="H62" s="73" t="s">
        <v>413</v>
      </c>
      <c r="I62" s="47" t="s">
        <v>314</v>
      </c>
      <c r="J62" s="61" t="s">
        <v>315</v>
      </c>
      <c r="K62" s="45"/>
      <c r="L62" s="71" t="s">
        <v>332</v>
      </c>
      <c r="M62" s="73" t="s">
        <v>414</v>
      </c>
      <c r="N62" s="73">
        <v>85098000</v>
      </c>
      <c r="O62" s="48"/>
      <c r="P62" s="46"/>
      <c r="Q62" s="46"/>
      <c r="R62" s="46"/>
      <c r="S62" s="48"/>
      <c r="T62" s="48"/>
      <c r="U62" s="49">
        <v>2.25</v>
      </c>
      <c r="V62" s="49"/>
      <c r="W62" s="50">
        <f t="shared" si="49"/>
        <v>4.4999999999999998E-2</v>
      </c>
      <c r="X62" s="50">
        <f t="shared" si="44"/>
        <v>0.50490000000000002</v>
      </c>
      <c r="Y62" s="51">
        <f t="shared" si="4"/>
        <v>251.99100000000001</v>
      </c>
      <c r="Z62" s="51">
        <f t="shared" si="52"/>
        <v>297.34938</v>
      </c>
      <c r="AA62" s="52">
        <f t="shared" si="53"/>
        <v>16.445</v>
      </c>
      <c r="AB62" s="52">
        <v>21</v>
      </c>
      <c r="AC62" s="52">
        <v>58</v>
      </c>
      <c r="AD62" s="52">
        <f t="shared" si="7"/>
        <v>95.444999999999993</v>
      </c>
      <c r="AE62" s="53">
        <f t="shared" si="51"/>
        <v>44.85</v>
      </c>
      <c r="AF62" s="53"/>
      <c r="AG62" s="53">
        <v>0</v>
      </c>
      <c r="AH62" s="54"/>
      <c r="AI62" s="54">
        <f t="shared" si="42"/>
        <v>45.610169491525397</v>
      </c>
      <c r="AJ62" s="54"/>
      <c r="AK62" s="54"/>
      <c r="AL62" s="55">
        <f t="shared" si="30"/>
        <v>-138.8961694915254</v>
      </c>
      <c r="AM62" s="62">
        <f t="shared" si="31"/>
        <v>-0.46453568391814515</v>
      </c>
      <c r="AN62" s="71">
        <v>299</v>
      </c>
      <c r="AO62" s="71"/>
      <c r="AP62" s="71">
        <v>399</v>
      </c>
      <c r="AQ62" s="71"/>
      <c r="AR62" s="71">
        <v>1199</v>
      </c>
      <c r="AS62" s="45"/>
      <c r="AT62" s="45" t="s">
        <v>410</v>
      </c>
      <c r="AU62" s="45"/>
      <c r="AV62" s="57">
        <f t="shared" si="17"/>
        <v>1.3988305084745889</v>
      </c>
      <c r="AW62" s="58">
        <f t="shared" si="18"/>
        <v>4.678362904597287E-3</v>
      </c>
      <c r="AX62" s="99">
        <v>8904422504363</v>
      </c>
      <c r="AY62" s="59">
        <f t="shared" si="19"/>
        <v>111.99600000000001</v>
      </c>
      <c r="AZ62" s="60">
        <f t="shared" si="20"/>
        <v>99.670226317606577</v>
      </c>
      <c r="BA62" s="60">
        <f t="shared" si="21"/>
        <v>132.88888888888889</v>
      </c>
      <c r="BB62" s="45"/>
      <c r="BC62" s="45"/>
    </row>
    <row r="63" spans="1:55" ht="14.25" hidden="1" customHeight="1">
      <c r="A63" s="43"/>
      <c r="B63" s="43"/>
      <c r="C63" s="43"/>
      <c r="D63" s="69"/>
      <c r="E63" s="69"/>
      <c r="F63" s="70" t="s">
        <v>384</v>
      </c>
      <c r="G63" s="45" t="s">
        <v>415</v>
      </c>
      <c r="H63" s="73" t="s">
        <v>386</v>
      </c>
      <c r="I63" s="47" t="s">
        <v>314</v>
      </c>
      <c r="J63" s="61" t="s">
        <v>315</v>
      </c>
      <c r="K63" s="45"/>
      <c r="L63" s="45"/>
      <c r="M63" s="73" t="s">
        <v>416</v>
      </c>
      <c r="N63" s="73">
        <v>85098000</v>
      </c>
      <c r="O63" s="48"/>
      <c r="P63" s="46"/>
      <c r="Q63" s="46"/>
      <c r="R63" s="46"/>
      <c r="S63" s="48"/>
      <c r="T63" s="48"/>
      <c r="U63" s="49">
        <v>1.48</v>
      </c>
      <c r="V63" s="49"/>
      <c r="W63" s="50">
        <f t="shared" si="49"/>
        <v>2.9600000000000001E-2</v>
      </c>
      <c r="X63" s="50">
        <f t="shared" si="44"/>
        <v>0.33211200000000007</v>
      </c>
      <c r="Y63" s="51">
        <f t="shared" si="4"/>
        <v>165.75408000000002</v>
      </c>
      <c r="Z63" s="51">
        <f t="shared" si="52"/>
        <v>195.58981439999999</v>
      </c>
      <c r="AA63" s="52">
        <f t="shared" ref="AA63:AA65" si="54">AN63*4.5%</f>
        <v>83.204999999999998</v>
      </c>
      <c r="AB63" s="52">
        <v>12</v>
      </c>
      <c r="AC63" s="52">
        <v>60</v>
      </c>
      <c r="AD63" s="52">
        <f t="shared" si="7"/>
        <v>155.20499999999998</v>
      </c>
      <c r="AE63" s="53">
        <f t="shared" si="51"/>
        <v>277.34999999999997</v>
      </c>
      <c r="AF63" s="53">
        <f t="shared" ref="AF63:AF80" si="55">AN63*$B$70</f>
        <v>36.980000000000004</v>
      </c>
      <c r="AG63" s="53">
        <v>0</v>
      </c>
      <c r="AH63" s="54">
        <f t="shared" ref="AH63:AH77" si="56">AN63*$B$74</f>
        <v>36.980000000000004</v>
      </c>
      <c r="AI63" s="54">
        <f t="shared" si="42"/>
        <v>282.05084745762701</v>
      </c>
      <c r="AJ63" s="54">
        <f t="shared" ref="AJ63:AJ183" si="57">Z63*5%</f>
        <v>9.7794907200000001</v>
      </c>
      <c r="AK63" s="54">
        <f t="shared" ref="AK63:AK166" si="58">Z63*3%</f>
        <v>5.8676944319999995</v>
      </c>
      <c r="AL63" s="55">
        <f t="shared" si="30"/>
        <v>879.03288739037316</v>
      </c>
      <c r="AM63" s="56">
        <f t="shared" si="31"/>
        <v>0.47540989042205145</v>
      </c>
      <c r="AN63" s="71">
        <v>1849</v>
      </c>
      <c r="AO63" s="71"/>
      <c r="AP63" s="71"/>
      <c r="AQ63" s="71"/>
      <c r="AR63" s="71">
        <v>3699</v>
      </c>
      <c r="AS63" s="45"/>
      <c r="AT63" s="45"/>
      <c r="AU63" s="45"/>
      <c r="AV63" s="57">
        <f t="shared" si="17"/>
        <v>1401.1950725423731</v>
      </c>
      <c r="AW63" s="58">
        <f t="shared" si="18"/>
        <v>0.75781237022302494</v>
      </c>
      <c r="AX63" s="99">
        <v>8904422504608</v>
      </c>
      <c r="AY63" s="59">
        <f t="shared" si="19"/>
        <v>111.99600000000001</v>
      </c>
      <c r="AZ63" s="60">
        <f t="shared" si="20"/>
        <v>937.02670848283174</v>
      </c>
      <c r="BA63" s="60">
        <f t="shared" si="21"/>
        <v>1249.3243243243244</v>
      </c>
      <c r="BB63" s="45"/>
      <c r="BC63" s="45"/>
    </row>
    <row r="64" spans="1:55" ht="14.25" customHeight="1">
      <c r="A64" s="45" t="s">
        <v>417</v>
      </c>
      <c r="B64" s="67">
        <v>0.15</v>
      </c>
      <c r="C64" s="43"/>
      <c r="D64" s="69"/>
      <c r="E64" s="69"/>
      <c r="F64" s="70" t="s">
        <v>418</v>
      </c>
      <c r="G64" s="96" t="s">
        <v>419</v>
      </c>
      <c r="H64" s="45" t="s">
        <v>420</v>
      </c>
      <c r="I64" s="47" t="s">
        <v>234</v>
      </c>
      <c r="J64" s="61" t="s">
        <v>249</v>
      </c>
      <c r="K64" s="45"/>
      <c r="L64" s="45" t="s">
        <v>421</v>
      </c>
      <c r="M64" s="45" t="s">
        <v>422</v>
      </c>
      <c r="N64" s="45">
        <v>85098000</v>
      </c>
      <c r="O64" s="48"/>
      <c r="P64" s="46"/>
      <c r="Q64" s="46"/>
      <c r="R64" s="46"/>
      <c r="S64" s="48"/>
      <c r="T64" s="48"/>
      <c r="U64" s="49">
        <v>10.35</v>
      </c>
      <c r="V64" s="49">
        <v>10.3</v>
      </c>
      <c r="W64" s="50">
        <f t="shared" si="49"/>
        <v>0.20699999999999999</v>
      </c>
      <c r="X64" s="50">
        <f t="shared" si="44"/>
        <v>2.3225400000000005</v>
      </c>
      <c r="Y64" s="51">
        <f t="shared" si="4"/>
        <v>1159.1586</v>
      </c>
      <c r="Z64" s="51">
        <f t="shared" si="52"/>
        <v>1367.8071479999999</v>
      </c>
      <c r="AA64" s="52">
        <f t="shared" si="54"/>
        <v>110.205</v>
      </c>
      <c r="AB64" s="52">
        <v>51</v>
      </c>
      <c r="AC64" s="52">
        <v>148</v>
      </c>
      <c r="AD64" s="52">
        <f t="shared" si="7"/>
        <v>309.20499999999998</v>
      </c>
      <c r="AE64" s="53">
        <f t="shared" si="51"/>
        <v>367.34999999999997</v>
      </c>
      <c r="AF64" s="53">
        <f t="shared" si="55"/>
        <v>48.980000000000004</v>
      </c>
      <c r="AG64" s="53">
        <f t="shared" ref="AG64:AG66" si="59">AN64*B$67</f>
        <v>122.45</v>
      </c>
      <c r="AH64" s="54">
        <f t="shared" si="56"/>
        <v>48.980000000000004</v>
      </c>
      <c r="AI64" s="54">
        <f t="shared" si="42"/>
        <v>373.57627118644041</v>
      </c>
      <c r="AJ64" s="54">
        <f t="shared" si="57"/>
        <v>68.390357399999999</v>
      </c>
      <c r="AK64" s="54">
        <f t="shared" si="58"/>
        <v>41.034214439999992</v>
      </c>
      <c r="AL64" s="55">
        <f t="shared" ref="AL64:AL66" si="60">SUM(AN64-AI64)-Y64-AD64-AE64-AG64-AJ64-AK64-AF64-AH64</f>
        <v>-90.124443026440275</v>
      </c>
      <c r="AM64" s="62">
        <f t="shared" ref="AM64:AM66" si="61">AL64/SUM(AN64-AI64)</f>
        <v>-4.3424598926582077E-2</v>
      </c>
      <c r="AN64" s="45">
        <v>2449</v>
      </c>
      <c r="AO64" s="45"/>
      <c r="AP64" s="45">
        <v>2399</v>
      </c>
      <c r="AQ64" s="45"/>
      <c r="AR64" s="45">
        <v>6999</v>
      </c>
      <c r="AS64" s="45"/>
      <c r="AT64" s="45"/>
      <c r="AU64" s="45"/>
      <c r="AV64" s="57">
        <f t="shared" si="17"/>
        <v>916.26512881355961</v>
      </c>
      <c r="AW64" s="58">
        <f t="shared" si="18"/>
        <v>0.37413847644489978</v>
      </c>
      <c r="AX64" s="63">
        <v>8904422504042</v>
      </c>
      <c r="AY64" s="59">
        <f t="shared" si="19"/>
        <v>111.996</v>
      </c>
      <c r="AZ64" s="60">
        <f t="shared" si="20"/>
        <v>177.47010633402539</v>
      </c>
      <c r="BA64" s="60">
        <f t="shared" si="21"/>
        <v>236.61835748792271</v>
      </c>
      <c r="BB64" s="45"/>
      <c r="BC64" s="45"/>
    </row>
    <row r="65" spans="1:55" ht="14.25" customHeight="1">
      <c r="A65" s="45" t="s">
        <v>423</v>
      </c>
      <c r="B65" s="67">
        <v>0.1</v>
      </c>
      <c r="C65" s="43"/>
      <c r="D65" s="69"/>
      <c r="E65" s="69"/>
      <c r="F65" s="70" t="s">
        <v>424</v>
      </c>
      <c r="G65" s="96" t="s">
        <v>425</v>
      </c>
      <c r="H65" s="45" t="s">
        <v>426</v>
      </c>
      <c r="I65" s="47" t="s">
        <v>234</v>
      </c>
      <c r="J65" s="61" t="s">
        <v>249</v>
      </c>
      <c r="K65" s="45"/>
      <c r="L65" s="45" t="s">
        <v>421</v>
      </c>
      <c r="M65" s="45" t="s">
        <v>427</v>
      </c>
      <c r="N65" s="45">
        <v>85086000</v>
      </c>
      <c r="O65" s="48"/>
      <c r="P65" s="46"/>
      <c r="Q65" s="46"/>
      <c r="R65" s="46"/>
      <c r="S65" s="48"/>
      <c r="T65" s="48"/>
      <c r="U65" s="49">
        <v>9.4</v>
      </c>
      <c r="V65" s="49"/>
      <c r="W65" s="50">
        <f t="shared" si="49"/>
        <v>0.188</v>
      </c>
      <c r="X65" s="50">
        <f>(U65+W65)*(B$42+(B$42*B$45))</f>
        <v>1.0546800000000003</v>
      </c>
      <c r="Y65" s="51">
        <f t="shared" si="4"/>
        <v>957.84120000000019</v>
      </c>
      <c r="Z65" s="51">
        <f t="shared" si="52"/>
        <v>1130.2526160000002</v>
      </c>
      <c r="AA65" s="52">
        <f t="shared" si="54"/>
        <v>132.70499999999998</v>
      </c>
      <c r="AB65" s="52">
        <v>51</v>
      </c>
      <c r="AC65" s="52">
        <v>180</v>
      </c>
      <c r="AD65" s="52">
        <f t="shared" si="7"/>
        <v>363.70499999999998</v>
      </c>
      <c r="AE65" s="53">
        <f t="shared" si="51"/>
        <v>442.34999999999997</v>
      </c>
      <c r="AF65" s="53">
        <f t="shared" si="55"/>
        <v>58.980000000000004</v>
      </c>
      <c r="AG65" s="53">
        <f t="shared" si="59"/>
        <v>147.45000000000002</v>
      </c>
      <c r="AH65" s="54">
        <f t="shared" si="56"/>
        <v>58.980000000000004</v>
      </c>
      <c r="AI65" s="54">
        <f t="shared" si="42"/>
        <v>449.84745762711873</v>
      </c>
      <c r="AJ65" s="54">
        <f t="shared" si="57"/>
        <v>56.512630800000011</v>
      </c>
      <c r="AK65" s="54">
        <f t="shared" si="58"/>
        <v>33.907578480000005</v>
      </c>
      <c r="AL65" s="55">
        <f t="shared" si="60"/>
        <v>379.42613309288106</v>
      </c>
      <c r="AM65" s="62">
        <f t="shared" si="61"/>
        <v>0.1518219182942013</v>
      </c>
      <c r="AN65" s="45">
        <v>2949</v>
      </c>
      <c r="AO65" s="45"/>
      <c r="AP65" s="45">
        <v>2899</v>
      </c>
      <c r="AQ65" s="45"/>
      <c r="AR65" s="45">
        <v>5499</v>
      </c>
      <c r="AS65" s="45"/>
      <c r="AT65" s="45"/>
      <c r="AU65" s="45"/>
      <c r="AV65" s="57">
        <f t="shared" si="17"/>
        <v>1541.311342372881</v>
      </c>
      <c r="AW65" s="58">
        <f t="shared" si="18"/>
        <v>0.52265559253064797</v>
      </c>
      <c r="AX65" s="77" t="s">
        <v>428</v>
      </c>
      <c r="AY65" s="59">
        <f t="shared" si="19"/>
        <v>101.89800000000001</v>
      </c>
      <c r="AZ65" s="60">
        <f t="shared" si="20"/>
        <v>258.61906963283678</v>
      </c>
      <c r="BA65" s="60">
        <f t="shared" si="21"/>
        <v>313.72340425531911</v>
      </c>
      <c r="BB65" s="45"/>
      <c r="BC65" s="45"/>
    </row>
    <row r="66" spans="1:55" ht="14.25" customHeight="1">
      <c r="A66" s="45" t="s">
        <v>179</v>
      </c>
      <c r="B66" s="67">
        <v>0.15</v>
      </c>
      <c r="C66" s="43"/>
      <c r="D66" s="69"/>
      <c r="E66" s="69"/>
      <c r="F66" s="70" t="s">
        <v>429</v>
      </c>
      <c r="G66" s="96" t="s">
        <v>430</v>
      </c>
      <c r="H66" s="45" t="s">
        <v>431</v>
      </c>
      <c r="I66" s="47" t="s">
        <v>234</v>
      </c>
      <c r="J66" s="61" t="s">
        <v>249</v>
      </c>
      <c r="K66" s="45"/>
      <c r="L66" s="45" t="s">
        <v>421</v>
      </c>
      <c r="M66" s="45" t="s">
        <v>432</v>
      </c>
      <c r="N66" s="45">
        <v>84213900</v>
      </c>
      <c r="O66" s="48"/>
      <c r="P66" s="46"/>
      <c r="Q66" s="46"/>
      <c r="R66" s="46"/>
      <c r="S66" s="48"/>
      <c r="T66" s="48"/>
      <c r="U66" s="49">
        <v>0.2</v>
      </c>
      <c r="V66" s="49"/>
      <c r="W66" s="50">
        <f t="shared" si="49"/>
        <v>4.0000000000000001E-3</v>
      </c>
      <c r="X66" s="50">
        <f>(U66+W66)*(B$43+(B$43*B$45))</f>
        <v>1.6829999999999998E-2</v>
      </c>
      <c r="Y66" s="51">
        <f t="shared" si="4"/>
        <v>19.874700000000001</v>
      </c>
      <c r="Z66" s="51">
        <f t="shared" si="52"/>
        <v>23.452145999999999</v>
      </c>
      <c r="AA66" s="52">
        <f>AN66*7.5%</f>
        <v>29.924999999999997</v>
      </c>
      <c r="AB66" s="52">
        <v>25</v>
      </c>
      <c r="AC66" s="52">
        <v>60</v>
      </c>
      <c r="AD66" s="52">
        <f t="shared" si="7"/>
        <v>114.925</v>
      </c>
      <c r="AE66" s="53">
        <f t="shared" si="51"/>
        <v>59.849999999999994</v>
      </c>
      <c r="AF66" s="53">
        <f t="shared" si="55"/>
        <v>7.98</v>
      </c>
      <c r="AG66" s="53">
        <f t="shared" si="59"/>
        <v>19.950000000000003</v>
      </c>
      <c r="AH66" s="54">
        <f t="shared" si="56"/>
        <v>7.98</v>
      </c>
      <c r="AI66" s="54">
        <f t="shared" si="42"/>
        <v>60.86440677966101</v>
      </c>
      <c r="AJ66" s="54">
        <f t="shared" si="57"/>
        <v>1.1726072999999999</v>
      </c>
      <c r="AK66" s="54">
        <f t="shared" si="58"/>
        <v>0.70356437999999999</v>
      </c>
      <c r="AL66" s="55">
        <f t="shared" si="60"/>
        <v>105.69972154033896</v>
      </c>
      <c r="AM66" s="62">
        <f t="shared" si="61"/>
        <v>0.31259566771328312</v>
      </c>
      <c r="AN66" s="45">
        <v>399</v>
      </c>
      <c r="AO66" s="45"/>
      <c r="AP66" s="45"/>
      <c r="AQ66" s="45"/>
      <c r="AR66" s="45">
        <v>449</v>
      </c>
      <c r="AS66" s="45"/>
      <c r="AT66" s="45"/>
      <c r="AU66" s="45"/>
      <c r="AV66" s="57">
        <f t="shared" si="17"/>
        <v>318.26089322033897</v>
      </c>
      <c r="AW66" s="58">
        <f t="shared" si="18"/>
        <v>0.79764634892315533</v>
      </c>
      <c r="AX66" s="45">
        <v>8904422504806</v>
      </c>
      <c r="AY66" s="59">
        <f t="shared" si="19"/>
        <v>99.373499999999993</v>
      </c>
      <c r="AZ66" s="60">
        <f t="shared" si="20"/>
        <v>1686.3650772087126</v>
      </c>
      <c r="BA66" s="60">
        <f t="shared" si="21"/>
        <v>1995</v>
      </c>
      <c r="BB66" s="45"/>
      <c r="BC66" s="45"/>
    </row>
    <row r="67" spans="1:55" ht="14.25" customHeight="1">
      <c r="A67" s="45" t="s">
        <v>433</v>
      </c>
      <c r="B67" s="67">
        <v>0.05</v>
      </c>
      <c r="C67" s="43"/>
      <c r="D67" s="69"/>
      <c r="E67" s="69"/>
      <c r="F67" s="70" t="s">
        <v>434</v>
      </c>
      <c r="G67" s="96" t="s">
        <v>435</v>
      </c>
      <c r="H67" s="100" t="s">
        <v>436</v>
      </c>
      <c r="I67" s="47" t="s">
        <v>314</v>
      </c>
      <c r="J67" s="61" t="s">
        <v>437</v>
      </c>
      <c r="K67" s="45"/>
      <c r="L67" s="45" t="s">
        <v>438</v>
      </c>
      <c r="M67" s="45" t="s">
        <v>439</v>
      </c>
      <c r="N67" s="45">
        <v>82142090</v>
      </c>
      <c r="O67" s="48"/>
      <c r="P67" s="46"/>
      <c r="Q67" s="46"/>
      <c r="R67" s="46"/>
      <c r="S67" s="48"/>
      <c r="T67" s="48"/>
      <c r="U67" s="49">
        <v>4.4800000000000004</v>
      </c>
      <c r="V67" s="49">
        <v>4.4800000000000004</v>
      </c>
      <c r="W67" s="50">
        <f t="shared" si="49"/>
        <v>8.9600000000000013E-2</v>
      </c>
      <c r="X67" s="50">
        <f>(U67+W67)*(B$42+(B$42*B$45))</f>
        <v>0.5026560000000001</v>
      </c>
      <c r="Y67" s="51">
        <f t="shared" si="4"/>
        <v>456.50304000000006</v>
      </c>
      <c r="Z67" s="51">
        <f t="shared" si="52"/>
        <v>538.67358720000004</v>
      </c>
      <c r="AA67" s="52">
        <f>AN67*11%</f>
        <v>98.89</v>
      </c>
      <c r="AB67" s="52">
        <v>26</v>
      </c>
      <c r="AC67" s="52">
        <v>59</v>
      </c>
      <c r="AD67" s="52">
        <f t="shared" si="7"/>
        <v>183.89</v>
      </c>
      <c r="AE67" s="53">
        <f t="shared" ref="AE67:AE69" si="62">AN67*B$72</f>
        <v>179.8</v>
      </c>
      <c r="AF67" s="53">
        <f t="shared" si="55"/>
        <v>17.98</v>
      </c>
      <c r="AG67" s="53"/>
      <c r="AH67" s="54">
        <f t="shared" si="56"/>
        <v>17.98</v>
      </c>
      <c r="AI67" s="54">
        <f t="shared" si="42"/>
        <v>137.13559322033893</v>
      </c>
      <c r="AJ67" s="54">
        <f t="shared" si="57"/>
        <v>26.933679360000003</v>
      </c>
      <c r="AK67" s="54">
        <f t="shared" si="58"/>
        <v>16.160207616000001</v>
      </c>
      <c r="AL67" s="55">
        <f t="shared" ref="AL67:AL79" si="63">AN67-Y67-AD67-AE67-AG67-AI67-AJ67-AK67-AF67-AH67</f>
        <v>-137.38252019633899</v>
      </c>
      <c r="AM67" s="62">
        <f t="shared" ref="AM67:AM79" si="64">AL67/AN67</f>
        <v>-0.15281704137523802</v>
      </c>
      <c r="AN67" s="45">
        <v>899</v>
      </c>
      <c r="AO67" s="45"/>
      <c r="AP67" s="45">
        <v>799</v>
      </c>
      <c r="AQ67" s="45"/>
      <c r="AR67" s="45">
        <v>1999</v>
      </c>
      <c r="AS67" s="45"/>
      <c r="AT67" s="45"/>
      <c r="AU67" s="45"/>
      <c r="AV67" s="57">
        <f t="shared" si="17"/>
        <v>305.36136677966101</v>
      </c>
      <c r="AW67" s="58">
        <f t="shared" si="18"/>
        <v>0.33966781621764297</v>
      </c>
      <c r="AX67" s="45">
        <v>8904422504172</v>
      </c>
      <c r="AY67" s="59">
        <f t="shared" si="19"/>
        <v>101.898</v>
      </c>
      <c r="AZ67" s="60">
        <f t="shared" si="20"/>
        <v>165.42277571689337</v>
      </c>
      <c r="BA67" s="60">
        <f t="shared" si="21"/>
        <v>200.66964285714283</v>
      </c>
      <c r="BB67" s="45"/>
      <c r="BC67" s="45"/>
    </row>
    <row r="68" spans="1:55" ht="14.25" customHeight="1">
      <c r="A68" s="71" t="s">
        <v>440</v>
      </c>
      <c r="B68" s="101">
        <v>0.05</v>
      </c>
      <c r="C68" s="43"/>
      <c r="D68" s="69"/>
      <c r="E68" s="69"/>
      <c r="F68" s="70" t="s">
        <v>441</v>
      </c>
      <c r="G68" s="96" t="s">
        <v>442</v>
      </c>
      <c r="H68" s="100" t="s">
        <v>443</v>
      </c>
      <c r="I68" s="47" t="s">
        <v>314</v>
      </c>
      <c r="J68" s="61" t="s">
        <v>444</v>
      </c>
      <c r="K68" s="45"/>
      <c r="L68" s="45" t="s">
        <v>438</v>
      </c>
      <c r="M68" s="45" t="s">
        <v>445</v>
      </c>
      <c r="N68" s="45">
        <v>85101000</v>
      </c>
      <c r="O68" s="48"/>
      <c r="P68" s="46"/>
      <c r="Q68" s="46"/>
      <c r="R68" s="46"/>
      <c r="S68" s="48"/>
      <c r="T68" s="48"/>
      <c r="U68" s="49">
        <v>3.96</v>
      </c>
      <c r="V68" s="49">
        <v>3.96</v>
      </c>
      <c r="W68" s="50">
        <f t="shared" si="49"/>
        <v>7.9200000000000007E-2</v>
      </c>
      <c r="X68" s="50">
        <f t="shared" ref="X68:X84" si="65">(U68+W68)*(B$31+(B$31*B$45))</f>
        <v>0.88862400000000019</v>
      </c>
      <c r="Y68" s="51">
        <f t="shared" si="4"/>
        <v>443.50416000000001</v>
      </c>
      <c r="Z68" s="51">
        <f t="shared" si="52"/>
        <v>523.33490879999999</v>
      </c>
      <c r="AA68" s="52">
        <f>AN68*7%</f>
        <v>69.930000000000007</v>
      </c>
      <c r="AB68" s="52">
        <v>26</v>
      </c>
      <c r="AC68" s="52">
        <v>59</v>
      </c>
      <c r="AD68" s="52">
        <f t="shared" si="7"/>
        <v>154.93</v>
      </c>
      <c r="AE68" s="53">
        <f t="shared" si="62"/>
        <v>199.8</v>
      </c>
      <c r="AF68" s="53">
        <f t="shared" si="55"/>
        <v>19.98</v>
      </c>
      <c r="AG68" s="53">
        <v>0</v>
      </c>
      <c r="AH68" s="54">
        <f t="shared" si="56"/>
        <v>19.98</v>
      </c>
      <c r="AI68" s="54">
        <f t="shared" si="42"/>
        <v>152.38983050847457</v>
      </c>
      <c r="AJ68" s="54">
        <f t="shared" si="57"/>
        <v>26.16674544</v>
      </c>
      <c r="AK68" s="54">
        <f t="shared" si="58"/>
        <v>15.700047263999998</v>
      </c>
      <c r="AL68" s="55">
        <f t="shared" si="63"/>
        <v>-33.450783212474548</v>
      </c>
      <c r="AM68" s="62">
        <f t="shared" si="64"/>
        <v>-3.3484267479954505E-2</v>
      </c>
      <c r="AN68" s="45">
        <v>999</v>
      </c>
      <c r="AO68" s="45"/>
      <c r="AP68" s="45">
        <v>999</v>
      </c>
      <c r="AQ68" s="45"/>
      <c r="AR68" s="45">
        <v>1499</v>
      </c>
      <c r="AS68" s="45"/>
      <c r="AT68" s="45"/>
      <c r="AU68" s="45"/>
      <c r="AV68" s="57">
        <f t="shared" si="17"/>
        <v>403.10600949152541</v>
      </c>
      <c r="AW68" s="58">
        <f t="shared" si="18"/>
        <v>0.40350951901053594</v>
      </c>
      <c r="AX68" s="77" t="s">
        <v>446</v>
      </c>
      <c r="AY68" s="59">
        <f t="shared" si="19"/>
        <v>111.99600000000001</v>
      </c>
      <c r="AZ68" s="60">
        <f t="shared" si="20"/>
        <v>189.21130300108121</v>
      </c>
      <c r="BA68" s="60">
        <f t="shared" si="21"/>
        <v>252.27272727272728</v>
      </c>
      <c r="BB68" s="45"/>
      <c r="BC68" s="45"/>
    </row>
    <row r="69" spans="1:55" ht="14.25" customHeight="1">
      <c r="A69" s="71" t="s">
        <v>447</v>
      </c>
      <c r="B69" s="101">
        <v>0.03</v>
      </c>
      <c r="C69" s="43"/>
      <c r="D69" s="69"/>
      <c r="E69" s="69"/>
      <c r="F69" s="47" t="s">
        <v>448</v>
      </c>
      <c r="G69" s="96" t="s">
        <v>449</v>
      </c>
      <c r="H69" s="100" t="s">
        <v>450</v>
      </c>
      <c r="I69" s="47" t="s">
        <v>314</v>
      </c>
      <c r="J69" s="61" t="s">
        <v>444</v>
      </c>
      <c r="K69" s="45"/>
      <c r="L69" s="45" t="s">
        <v>438</v>
      </c>
      <c r="M69" s="45" t="s">
        <v>451</v>
      </c>
      <c r="N69" s="45">
        <v>85101000</v>
      </c>
      <c r="O69" s="48"/>
      <c r="P69" s="46"/>
      <c r="Q69" s="46"/>
      <c r="R69" s="46"/>
      <c r="S69" s="48"/>
      <c r="T69" s="48"/>
      <c r="U69" s="49">
        <v>4.6500000000000004</v>
      </c>
      <c r="V69" s="49">
        <v>4.6500000000000004</v>
      </c>
      <c r="W69" s="50">
        <f t="shared" si="49"/>
        <v>9.3000000000000013E-2</v>
      </c>
      <c r="X69" s="50">
        <f t="shared" si="65"/>
        <v>1.0434600000000003</v>
      </c>
      <c r="Y69" s="51">
        <f t="shared" si="4"/>
        <v>520.78140000000008</v>
      </c>
      <c r="Z69" s="51">
        <f t="shared" si="52"/>
        <v>614.52205200000003</v>
      </c>
      <c r="AA69" s="52">
        <f>AN69*9.5%</f>
        <v>113.905</v>
      </c>
      <c r="AB69" s="52">
        <v>51</v>
      </c>
      <c r="AC69" s="52">
        <v>59</v>
      </c>
      <c r="AD69" s="52">
        <f t="shared" si="7"/>
        <v>223.905</v>
      </c>
      <c r="AE69" s="53">
        <f t="shared" si="62"/>
        <v>239.8</v>
      </c>
      <c r="AF69" s="53">
        <f t="shared" si="55"/>
        <v>23.98</v>
      </c>
      <c r="AG69" s="53">
        <v>0</v>
      </c>
      <c r="AH69" s="54">
        <f t="shared" si="56"/>
        <v>23.98</v>
      </c>
      <c r="AI69" s="54">
        <f t="shared" si="42"/>
        <v>182.89830508474574</v>
      </c>
      <c r="AJ69" s="54">
        <f t="shared" si="57"/>
        <v>30.726102600000004</v>
      </c>
      <c r="AK69" s="54">
        <f t="shared" si="58"/>
        <v>18.43566156</v>
      </c>
      <c r="AL69" s="55">
        <f t="shared" si="63"/>
        <v>-65.506469244745816</v>
      </c>
      <c r="AM69" s="62">
        <f t="shared" si="64"/>
        <v>-5.4634252914717109E-2</v>
      </c>
      <c r="AN69" s="45">
        <v>1199</v>
      </c>
      <c r="AO69" s="45"/>
      <c r="AP69" s="45">
        <v>1099</v>
      </c>
      <c r="AQ69" s="45"/>
      <c r="AR69" s="45">
        <v>1899</v>
      </c>
      <c r="AS69" s="45"/>
      <c r="AT69" s="45"/>
      <c r="AU69" s="45"/>
      <c r="AV69" s="57">
        <f t="shared" si="17"/>
        <v>495.32029491525418</v>
      </c>
      <c r="AW69" s="58">
        <f t="shared" si="18"/>
        <v>0.41311117173916112</v>
      </c>
      <c r="AX69" s="77" t="s">
        <v>452</v>
      </c>
      <c r="AY69" s="59">
        <f t="shared" si="19"/>
        <v>111.99600000000001</v>
      </c>
      <c r="AZ69" s="60">
        <f t="shared" si="20"/>
        <v>193.39400370289721</v>
      </c>
      <c r="BA69" s="60">
        <f t="shared" si="21"/>
        <v>257.84946236559136</v>
      </c>
      <c r="BB69" s="45"/>
      <c r="BC69" s="45"/>
    </row>
    <row r="70" spans="1:55" ht="14.25" customHeight="1">
      <c r="A70" s="71" t="s">
        <v>453</v>
      </c>
      <c r="B70" s="101">
        <v>0.02</v>
      </c>
      <c r="C70" s="43"/>
      <c r="D70" s="102"/>
      <c r="E70" s="102"/>
      <c r="F70" s="103" t="s">
        <v>454</v>
      </c>
      <c r="G70" s="96" t="s">
        <v>455</v>
      </c>
      <c r="H70" s="100" t="s">
        <v>456</v>
      </c>
      <c r="I70" s="47" t="s">
        <v>234</v>
      </c>
      <c r="J70" s="61" t="s">
        <v>235</v>
      </c>
      <c r="K70" s="45"/>
      <c r="L70" s="45" t="s">
        <v>237</v>
      </c>
      <c r="M70" s="45" t="s">
        <v>457</v>
      </c>
      <c r="N70" s="45">
        <v>85167990</v>
      </c>
      <c r="O70" s="48"/>
      <c r="P70" s="46"/>
      <c r="Q70" s="46"/>
      <c r="R70" s="46"/>
      <c r="S70" s="48"/>
      <c r="T70" s="48"/>
      <c r="U70" s="49">
        <v>7.5</v>
      </c>
      <c r="V70" s="49">
        <v>7.5</v>
      </c>
      <c r="W70" s="50">
        <f t="shared" si="49"/>
        <v>0.15</v>
      </c>
      <c r="X70" s="50">
        <f t="shared" si="65"/>
        <v>1.6830000000000003</v>
      </c>
      <c r="Y70" s="51">
        <f t="shared" si="4"/>
        <v>839.97</v>
      </c>
      <c r="Z70" s="51">
        <f t="shared" si="52"/>
        <v>991.16459999999995</v>
      </c>
      <c r="AA70" s="52">
        <f>AN70*4.5%</f>
        <v>80.954999999999998</v>
      </c>
      <c r="AB70" s="52">
        <v>51</v>
      </c>
      <c r="AC70" s="52">
        <v>77</v>
      </c>
      <c r="AD70" s="52">
        <f t="shared" si="7"/>
        <v>208.95499999999998</v>
      </c>
      <c r="AE70" s="53">
        <f t="shared" ref="AE70:AE71" si="66">AN70*B$66</f>
        <v>269.84999999999997</v>
      </c>
      <c r="AF70" s="53">
        <f t="shared" si="55"/>
        <v>35.980000000000004</v>
      </c>
      <c r="AG70" s="53">
        <f t="shared" ref="AG70:AG87" si="67">AN70*B$67</f>
        <v>89.95</v>
      </c>
      <c r="AH70" s="54">
        <f t="shared" si="56"/>
        <v>35.980000000000004</v>
      </c>
      <c r="AI70" s="54">
        <f t="shared" si="42"/>
        <v>274.42372881355914</v>
      </c>
      <c r="AJ70" s="54">
        <f t="shared" si="57"/>
        <v>49.558230000000002</v>
      </c>
      <c r="AK70" s="54">
        <f t="shared" si="58"/>
        <v>29.734937999999996</v>
      </c>
      <c r="AL70" s="55">
        <f t="shared" si="63"/>
        <v>-35.401896813559063</v>
      </c>
      <c r="AM70" s="62">
        <f t="shared" si="64"/>
        <v>-1.9678653036997812E-2</v>
      </c>
      <c r="AN70" s="45">
        <v>1799</v>
      </c>
      <c r="AO70" s="45"/>
      <c r="AP70" s="45">
        <v>1799</v>
      </c>
      <c r="AQ70" s="45"/>
      <c r="AR70" s="45">
        <v>3999</v>
      </c>
      <c r="AS70" s="45"/>
      <c r="AT70" s="45"/>
      <c r="AU70" s="45"/>
      <c r="AV70" s="57">
        <f t="shared" si="17"/>
        <v>684.60627118644084</v>
      </c>
      <c r="AW70" s="58">
        <f t="shared" si="18"/>
        <v>0.38054823301080648</v>
      </c>
      <c r="AX70" s="63">
        <v>8904422504097</v>
      </c>
      <c r="AY70" s="59">
        <f t="shared" si="19"/>
        <v>111.99600000000001</v>
      </c>
      <c r="AZ70" s="60">
        <f t="shared" si="20"/>
        <v>179.90642522947246</v>
      </c>
      <c r="BA70" s="60">
        <f t="shared" si="21"/>
        <v>239.86666666666667</v>
      </c>
      <c r="BB70" s="45"/>
      <c r="BC70" s="45"/>
    </row>
    <row r="71" spans="1:55" ht="14.25" hidden="1" customHeight="1">
      <c r="A71" s="68"/>
      <c r="B71" s="68"/>
      <c r="C71" s="43"/>
      <c r="D71" s="69"/>
      <c r="E71" s="69"/>
      <c r="F71" s="47" t="s">
        <v>458</v>
      </c>
      <c r="G71" s="46"/>
      <c r="H71" s="100" t="s">
        <v>459</v>
      </c>
      <c r="I71" s="47" t="s">
        <v>234</v>
      </c>
      <c r="J71" s="61" t="s">
        <v>235</v>
      </c>
      <c r="K71" s="45"/>
      <c r="L71" s="45"/>
      <c r="M71" s="45" t="s">
        <v>460</v>
      </c>
      <c r="N71" s="47">
        <v>85167990</v>
      </c>
      <c r="O71" s="48"/>
      <c r="P71" s="46"/>
      <c r="Q71" s="46"/>
      <c r="R71" s="46"/>
      <c r="S71" s="48"/>
      <c r="T71" s="48"/>
      <c r="U71" s="49">
        <v>3.7</v>
      </c>
      <c r="V71" s="49"/>
      <c r="W71" s="50">
        <f t="shared" si="49"/>
        <v>7.400000000000001E-2</v>
      </c>
      <c r="X71" s="50">
        <f t="shared" si="65"/>
        <v>0.83028000000000013</v>
      </c>
      <c r="Y71" s="51">
        <f t="shared" si="4"/>
        <v>414.3852</v>
      </c>
      <c r="Z71" s="51">
        <f t="shared" si="52"/>
        <v>488.97453599999994</v>
      </c>
      <c r="AA71" s="52">
        <f>AN71*6.5%</f>
        <v>64.935000000000002</v>
      </c>
      <c r="AB71" s="52">
        <v>47</v>
      </c>
      <c r="AC71" s="52">
        <v>204</v>
      </c>
      <c r="AD71" s="52">
        <f t="shared" si="7"/>
        <v>315.935</v>
      </c>
      <c r="AE71" s="53">
        <f t="shared" si="66"/>
        <v>149.85</v>
      </c>
      <c r="AF71" s="53">
        <f t="shared" si="55"/>
        <v>19.98</v>
      </c>
      <c r="AG71" s="53">
        <f t="shared" si="67"/>
        <v>49.95</v>
      </c>
      <c r="AH71" s="54">
        <f t="shared" si="56"/>
        <v>19.98</v>
      </c>
      <c r="AI71" s="54">
        <f t="shared" si="42"/>
        <v>152.38983050847457</v>
      </c>
      <c r="AJ71" s="54">
        <f t="shared" si="57"/>
        <v>24.448726799999999</v>
      </c>
      <c r="AK71" s="54">
        <f t="shared" si="58"/>
        <v>14.669236079999997</v>
      </c>
      <c r="AL71" s="55">
        <f t="shared" si="63"/>
        <v>-162.5879933884745</v>
      </c>
      <c r="AM71" s="56">
        <f t="shared" si="64"/>
        <v>-0.16275074413260709</v>
      </c>
      <c r="AN71" s="45">
        <v>999</v>
      </c>
      <c r="AO71" s="45"/>
      <c r="AP71" s="45">
        <v>949</v>
      </c>
      <c r="AQ71" s="45"/>
      <c r="AR71" s="45">
        <v>1499</v>
      </c>
      <c r="AS71" s="45"/>
      <c r="AT71" s="45"/>
      <c r="AU71" s="45"/>
      <c r="AV71" s="57">
        <f t="shared" si="17"/>
        <v>432.22496949152543</v>
      </c>
      <c r="AW71" s="58">
        <f t="shared" si="18"/>
        <v>0.43265762711864408</v>
      </c>
      <c r="AX71" s="63">
        <v>8904422504073</v>
      </c>
      <c r="AY71" s="59">
        <f t="shared" si="19"/>
        <v>111.996</v>
      </c>
      <c r="AZ71" s="60">
        <f t="shared" si="20"/>
        <v>202.50723240115718</v>
      </c>
      <c r="BA71" s="60">
        <f t="shared" si="21"/>
        <v>270</v>
      </c>
      <c r="BB71" s="45"/>
      <c r="BC71" s="45"/>
    </row>
    <row r="72" spans="1:55" ht="14.25" customHeight="1">
      <c r="A72" s="45" t="s">
        <v>461</v>
      </c>
      <c r="B72" s="101">
        <v>0.2</v>
      </c>
      <c r="C72" s="43"/>
      <c r="D72" s="69"/>
      <c r="E72" s="69"/>
      <c r="F72" s="47" t="s">
        <v>462</v>
      </c>
      <c r="G72" s="104" t="s">
        <v>463</v>
      </c>
      <c r="H72" s="100" t="s">
        <v>464</v>
      </c>
      <c r="I72" s="47" t="s">
        <v>314</v>
      </c>
      <c r="J72" s="61" t="s">
        <v>465</v>
      </c>
      <c r="K72" s="45"/>
      <c r="L72" s="45" t="s">
        <v>438</v>
      </c>
      <c r="M72" s="45" t="s">
        <v>466</v>
      </c>
      <c r="N72" s="47">
        <v>85163100</v>
      </c>
      <c r="O72" s="48"/>
      <c r="P72" s="46"/>
      <c r="Q72" s="46"/>
      <c r="R72" s="46"/>
      <c r="S72" s="48"/>
      <c r="T72" s="48"/>
      <c r="U72" s="49">
        <v>5.5</v>
      </c>
      <c r="V72" s="49"/>
      <c r="W72" s="50">
        <f t="shared" si="49"/>
        <v>0.11</v>
      </c>
      <c r="X72" s="50">
        <f t="shared" si="65"/>
        <v>1.2342000000000002</v>
      </c>
      <c r="Y72" s="51">
        <f t="shared" si="4"/>
        <v>615.97800000000007</v>
      </c>
      <c r="Z72" s="51">
        <f t="shared" si="52"/>
        <v>726.85404000000005</v>
      </c>
      <c r="AA72" s="52">
        <f t="shared" ref="AA72:AA73" si="68">AN72*9.5%</f>
        <v>142.405</v>
      </c>
      <c r="AB72" s="52">
        <v>51</v>
      </c>
      <c r="AC72" s="52">
        <v>77</v>
      </c>
      <c r="AD72" s="52">
        <f t="shared" si="7"/>
        <v>270.40499999999997</v>
      </c>
      <c r="AE72" s="53">
        <f t="shared" ref="AE72:AE74" si="69">AN72*B$72</f>
        <v>299.8</v>
      </c>
      <c r="AF72" s="53">
        <f t="shared" si="55"/>
        <v>29.98</v>
      </c>
      <c r="AG72" s="53">
        <f t="shared" si="67"/>
        <v>74.95</v>
      </c>
      <c r="AH72" s="54">
        <f t="shared" si="56"/>
        <v>29.98</v>
      </c>
      <c r="AI72" s="54">
        <f t="shared" si="42"/>
        <v>228.66101694915255</v>
      </c>
      <c r="AJ72" s="54">
        <f t="shared" si="57"/>
        <v>36.342702000000003</v>
      </c>
      <c r="AK72" s="54">
        <f t="shared" si="58"/>
        <v>21.805621200000001</v>
      </c>
      <c r="AL72" s="55">
        <f t="shared" si="63"/>
        <v>-108.90234014915261</v>
      </c>
      <c r="AM72" s="105">
        <f t="shared" si="64"/>
        <v>-7.2649993428387336E-2</v>
      </c>
      <c r="AN72" s="45">
        <v>1499</v>
      </c>
      <c r="AO72" s="45"/>
      <c r="AP72" s="45">
        <v>1399</v>
      </c>
      <c r="AQ72" s="45"/>
      <c r="AR72" s="45">
        <v>3499</v>
      </c>
      <c r="AS72" s="45"/>
      <c r="AT72" s="45"/>
      <c r="AU72" s="45"/>
      <c r="AV72" s="57">
        <f t="shared" si="17"/>
        <v>654.36098305084738</v>
      </c>
      <c r="AW72" s="58">
        <f t="shared" si="18"/>
        <v>0.43653167648488816</v>
      </c>
      <c r="AX72" s="63">
        <v>8904422504103</v>
      </c>
      <c r="AY72" s="59">
        <f t="shared" si="19"/>
        <v>111.99600000000001</v>
      </c>
      <c r="AZ72" s="60">
        <f t="shared" si="20"/>
        <v>204.4163914945014</v>
      </c>
      <c r="BA72" s="60">
        <f t="shared" si="21"/>
        <v>272.54545454545456</v>
      </c>
      <c r="BB72" s="45"/>
      <c r="BC72" s="45"/>
    </row>
    <row r="73" spans="1:55" ht="14.25" customHeight="1">
      <c r="A73" s="71" t="s">
        <v>467</v>
      </c>
      <c r="B73" s="101">
        <v>0.15</v>
      </c>
      <c r="C73" s="43"/>
      <c r="D73" s="69"/>
      <c r="E73" s="69"/>
      <c r="F73" s="47" t="s">
        <v>468</v>
      </c>
      <c r="G73" s="104" t="s">
        <v>469</v>
      </c>
      <c r="H73" s="100" t="s">
        <v>470</v>
      </c>
      <c r="I73" s="47" t="s">
        <v>314</v>
      </c>
      <c r="J73" s="61" t="s">
        <v>465</v>
      </c>
      <c r="K73" s="45"/>
      <c r="L73" s="45" t="s">
        <v>438</v>
      </c>
      <c r="M73" s="45" t="s">
        <v>466</v>
      </c>
      <c r="N73" s="47">
        <v>85163100</v>
      </c>
      <c r="O73" s="48"/>
      <c r="P73" s="46"/>
      <c r="Q73" s="46"/>
      <c r="R73" s="46"/>
      <c r="S73" s="48"/>
      <c r="T73" s="48"/>
      <c r="U73" s="49">
        <v>5</v>
      </c>
      <c r="V73" s="49"/>
      <c r="W73" s="50">
        <f t="shared" si="49"/>
        <v>0.1</v>
      </c>
      <c r="X73" s="50">
        <f t="shared" si="65"/>
        <v>1.1220000000000001</v>
      </c>
      <c r="Y73" s="51">
        <f t="shared" si="4"/>
        <v>559.9799999999999</v>
      </c>
      <c r="Z73" s="51">
        <f t="shared" si="52"/>
        <v>660.77639999999985</v>
      </c>
      <c r="AA73" s="52">
        <f t="shared" si="68"/>
        <v>142.405</v>
      </c>
      <c r="AB73" s="52">
        <v>51</v>
      </c>
      <c r="AC73" s="52">
        <v>77</v>
      </c>
      <c r="AD73" s="52">
        <f t="shared" si="7"/>
        <v>270.40499999999997</v>
      </c>
      <c r="AE73" s="53">
        <f t="shared" si="69"/>
        <v>299.8</v>
      </c>
      <c r="AF73" s="53">
        <f t="shared" si="55"/>
        <v>29.98</v>
      </c>
      <c r="AG73" s="53">
        <f t="shared" si="67"/>
        <v>74.95</v>
      </c>
      <c r="AH73" s="54">
        <f t="shared" si="56"/>
        <v>29.98</v>
      </c>
      <c r="AI73" s="54">
        <f t="shared" si="42"/>
        <v>228.66101694915255</v>
      </c>
      <c r="AJ73" s="54">
        <f t="shared" si="57"/>
        <v>33.038819999999994</v>
      </c>
      <c r="AK73" s="54">
        <f t="shared" si="58"/>
        <v>19.823291999999995</v>
      </c>
      <c r="AL73" s="55">
        <f t="shared" si="63"/>
        <v>-47.618128949152421</v>
      </c>
      <c r="AM73" s="105">
        <f t="shared" si="64"/>
        <v>-3.176659703078881E-2</v>
      </c>
      <c r="AN73" s="45">
        <v>1499</v>
      </c>
      <c r="AO73" s="45"/>
      <c r="AP73" s="45">
        <v>1299</v>
      </c>
      <c r="AQ73" s="45"/>
      <c r="AR73" s="45">
        <v>3499</v>
      </c>
      <c r="AS73" s="45"/>
      <c r="AT73" s="45"/>
      <c r="AU73" s="45"/>
      <c r="AV73" s="57">
        <f t="shared" si="17"/>
        <v>710.35898305084754</v>
      </c>
      <c r="AW73" s="58">
        <f t="shared" si="18"/>
        <v>0.47388858108795701</v>
      </c>
      <c r="AX73" s="63">
        <v>8904422504103</v>
      </c>
      <c r="AY73" s="59">
        <f t="shared" si="19"/>
        <v>111.99599999999998</v>
      </c>
      <c r="AZ73" s="60">
        <f t="shared" si="20"/>
        <v>224.85803064395162</v>
      </c>
      <c r="BA73" s="60">
        <f t="shared" si="21"/>
        <v>299.8</v>
      </c>
      <c r="BB73" s="45"/>
      <c r="BC73" s="45"/>
    </row>
    <row r="74" spans="1:55" ht="14.25" customHeight="1">
      <c r="A74" s="71" t="s">
        <v>182</v>
      </c>
      <c r="B74" s="101">
        <v>0.02</v>
      </c>
      <c r="C74" s="43"/>
      <c r="D74" s="102"/>
      <c r="E74" s="102"/>
      <c r="F74" s="103" t="s">
        <v>471</v>
      </c>
      <c r="G74" s="46" t="s">
        <v>472</v>
      </c>
      <c r="H74" s="100" t="s">
        <v>473</v>
      </c>
      <c r="I74" s="47" t="s">
        <v>314</v>
      </c>
      <c r="J74" s="61" t="s">
        <v>465</v>
      </c>
      <c r="K74" s="45"/>
      <c r="L74" s="45" t="s">
        <v>438</v>
      </c>
      <c r="M74" s="45" t="s">
        <v>474</v>
      </c>
      <c r="N74" s="71">
        <v>85163200</v>
      </c>
      <c r="O74" s="48"/>
      <c r="P74" s="46"/>
      <c r="Q74" s="46"/>
      <c r="R74" s="46"/>
      <c r="S74" s="48"/>
      <c r="T74" s="48"/>
      <c r="U74" s="49">
        <v>2.87</v>
      </c>
      <c r="V74" s="49">
        <v>2.87</v>
      </c>
      <c r="W74" s="50">
        <f t="shared" si="49"/>
        <v>5.7400000000000007E-2</v>
      </c>
      <c r="X74" s="50">
        <f t="shared" si="65"/>
        <v>0.64402800000000004</v>
      </c>
      <c r="Y74" s="51">
        <f t="shared" si="4"/>
        <v>321.42851999999999</v>
      </c>
      <c r="Z74" s="51">
        <f t="shared" si="52"/>
        <v>379.28565359999999</v>
      </c>
      <c r="AA74" s="52">
        <f t="shared" ref="AA74:AA75" si="70">AN74*10%</f>
        <v>64.900000000000006</v>
      </c>
      <c r="AB74" s="106">
        <v>25</v>
      </c>
      <c r="AC74" s="106">
        <v>73</v>
      </c>
      <c r="AD74" s="52">
        <f t="shared" si="7"/>
        <v>162.9</v>
      </c>
      <c r="AE74" s="53">
        <f t="shared" si="69"/>
        <v>129.80000000000001</v>
      </c>
      <c r="AF74" s="53">
        <f t="shared" si="55"/>
        <v>12.98</v>
      </c>
      <c r="AG74" s="53">
        <f t="shared" si="67"/>
        <v>32.450000000000003</v>
      </c>
      <c r="AH74" s="54">
        <f t="shared" si="56"/>
        <v>12.98</v>
      </c>
      <c r="AI74" s="54">
        <f t="shared" si="42"/>
        <v>99</v>
      </c>
      <c r="AJ74" s="54">
        <f t="shared" si="57"/>
        <v>18.96428268</v>
      </c>
      <c r="AK74" s="54">
        <f t="shared" si="58"/>
        <v>11.378569607999999</v>
      </c>
      <c r="AL74" s="55">
        <f t="shared" si="63"/>
        <v>-152.88137228799999</v>
      </c>
      <c r="AM74" s="105">
        <f t="shared" si="64"/>
        <v>-0.23556451816332818</v>
      </c>
      <c r="AN74" s="45">
        <v>649</v>
      </c>
      <c r="AO74" s="45"/>
      <c r="AP74" s="45"/>
      <c r="AQ74" s="45"/>
      <c r="AR74" s="45">
        <v>1299</v>
      </c>
      <c r="AS74" s="45"/>
      <c r="AT74" s="45"/>
      <c r="AU74" s="45"/>
      <c r="AV74" s="57">
        <f t="shared" si="17"/>
        <v>228.57148000000001</v>
      </c>
      <c r="AW74" s="58">
        <f t="shared" si="18"/>
        <v>0.35219026194144837</v>
      </c>
      <c r="AX74" s="63">
        <v>8904422504110</v>
      </c>
      <c r="AY74" s="59">
        <f t="shared" si="19"/>
        <v>111.996</v>
      </c>
      <c r="AZ74" s="60">
        <f t="shared" si="20"/>
        <v>169.60536047019102</v>
      </c>
      <c r="BA74" s="60">
        <f t="shared" si="21"/>
        <v>226.13240418118465</v>
      </c>
      <c r="BB74" s="45"/>
      <c r="BC74" s="45"/>
    </row>
    <row r="75" spans="1:55" ht="14.4">
      <c r="A75" s="43"/>
      <c r="B75" s="43"/>
      <c r="C75" s="43"/>
      <c r="D75" s="69"/>
      <c r="E75" s="69"/>
      <c r="F75" s="47" t="s">
        <v>475</v>
      </c>
      <c r="G75" s="46" t="s">
        <v>476</v>
      </c>
      <c r="H75" s="100" t="s">
        <v>477</v>
      </c>
      <c r="I75" s="47" t="s">
        <v>234</v>
      </c>
      <c r="J75" s="61" t="s">
        <v>235</v>
      </c>
      <c r="K75" s="45"/>
      <c r="L75" s="45" t="s">
        <v>438</v>
      </c>
      <c r="M75" s="45" t="s">
        <v>478</v>
      </c>
      <c r="N75" s="71">
        <v>85163200</v>
      </c>
      <c r="O75" s="48"/>
      <c r="P75" s="46"/>
      <c r="Q75" s="46"/>
      <c r="R75" s="46"/>
      <c r="S75" s="48"/>
      <c r="T75" s="48"/>
      <c r="U75" s="49">
        <v>2.96</v>
      </c>
      <c r="V75" s="49">
        <v>2.96</v>
      </c>
      <c r="W75" s="50">
        <f t="shared" si="49"/>
        <v>5.9200000000000003E-2</v>
      </c>
      <c r="X75" s="50">
        <f t="shared" si="65"/>
        <v>0.66422400000000015</v>
      </c>
      <c r="Y75" s="51">
        <f t="shared" si="4"/>
        <v>331.50816000000003</v>
      </c>
      <c r="Z75" s="51">
        <f t="shared" si="52"/>
        <v>391.17962879999999</v>
      </c>
      <c r="AA75" s="52">
        <f t="shared" si="70"/>
        <v>74.900000000000006</v>
      </c>
      <c r="AB75" s="106">
        <v>25</v>
      </c>
      <c r="AC75" s="106">
        <v>73</v>
      </c>
      <c r="AD75" s="52">
        <f t="shared" si="7"/>
        <v>172.9</v>
      </c>
      <c r="AE75" s="53">
        <f t="shared" ref="AE75:AE80" si="71">AN75*B$66</f>
        <v>112.35</v>
      </c>
      <c r="AF75" s="53">
        <f t="shared" si="55"/>
        <v>14.98</v>
      </c>
      <c r="AG75" s="53">
        <f t="shared" si="67"/>
        <v>37.450000000000003</v>
      </c>
      <c r="AH75" s="54">
        <f t="shared" si="56"/>
        <v>14.98</v>
      </c>
      <c r="AI75" s="54">
        <f t="shared" si="42"/>
        <v>114.25423728813553</v>
      </c>
      <c r="AJ75" s="54">
        <f t="shared" si="57"/>
        <v>19.55898144</v>
      </c>
      <c r="AK75" s="54">
        <f t="shared" si="58"/>
        <v>11.735388863999999</v>
      </c>
      <c r="AL75" s="55">
        <f t="shared" si="63"/>
        <v>-80.716767592135568</v>
      </c>
      <c r="AM75" s="105">
        <f t="shared" si="64"/>
        <v>-0.10776604484931318</v>
      </c>
      <c r="AN75" s="45">
        <v>749</v>
      </c>
      <c r="AO75" s="45"/>
      <c r="AP75" s="45"/>
      <c r="AQ75" s="45"/>
      <c r="AR75" s="45">
        <v>1499</v>
      </c>
      <c r="AS75" s="45"/>
      <c r="AT75" s="45"/>
      <c r="AU75" s="45"/>
      <c r="AV75" s="57">
        <f t="shared" si="17"/>
        <v>303.23760271186444</v>
      </c>
      <c r="AW75" s="58">
        <f t="shared" si="18"/>
        <v>0.40485661243239579</v>
      </c>
      <c r="AX75" s="63">
        <v>8904422504127</v>
      </c>
      <c r="AY75" s="59">
        <f t="shared" si="19"/>
        <v>111.99600000000001</v>
      </c>
      <c r="AZ75" s="60">
        <f t="shared" si="20"/>
        <v>189.78718351910248</v>
      </c>
      <c r="BA75" s="60">
        <f t="shared" si="21"/>
        <v>253.04054054054055</v>
      </c>
      <c r="BB75" s="45"/>
      <c r="BC75" s="45"/>
    </row>
    <row r="76" spans="1:55" ht="14.25" hidden="1" customHeight="1">
      <c r="A76" s="43"/>
      <c r="B76" s="43" t="s">
        <v>479</v>
      </c>
      <c r="C76" s="43"/>
      <c r="D76" s="69"/>
      <c r="E76" s="69"/>
      <c r="F76" s="47" t="s">
        <v>480</v>
      </c>
      <c r="G76" s="46"/>
      <c r="H76" s="100" t="s">
        <v>481</v>
      </c>
      <c r="I76" s="45" t="s">
        <v>465</v>
      </c>
      <c r="J76" s="45"/>
      <c r="K76" s="45"/>
      <c r="L76" s="45"/>
      <c r="M76" s="45" t="s">
        <v>482</v>
      </c>
      <c r="N76" s="71">
        <v>85163100</v>
      </c>
      <c r="O76" s="48"/>
      <c r="P76" s="46"/>
      <c r="Q76" s="46"/>
      <c r="R76" s="46"/>
      <c r="S76" s="48"/>
      <c r="T76" s="48"/>
      <c r="U76" s="49">
        <v>4.07</v>
      </c>
      <c r="V76" s="49"/>
      <c r="W76" s="50">
        <f t="shared" si="49"/>
        <v>8.1400000000000014E-2</v>
      </c>
      <c r="X76" s="50">
        <f t="shared" si="65"/>
        <v>0.91330800000000023</v>
      </c>
      <c r="Y76" s="51">
        <f t="shared" si="4"/>
        <v>455.82372000000009</v>
      </c>
      <c r="Z76" s="51">
        <f t="shared" si="52"/>
        <v>537.87198960000012</v>
      </c>
      <c r="AA76" s="52">
        <f t="shared" ref="AA76:AA77" si="72">AN76*6.5%</f>
        <v>123.435</v>
      </c>
      <c r="AB76" s="52">
        <v>47</v>
      </c>
      <c r="AC76" s="52">
        <v>204</v>
      </c>
      <c r="AD76" s="52">
        <f t="shared" si="7"/>
        <v>374.435</v>
      </c>
      <c r="AE76" s="53">
        <f t="shared" si="71"/>
        <v>284.84999999999997</v>
      </c>
      <c r="AF76" s="53">
        <f t="shared" si="55"/>
        <v>37.980000000000004</v>
      </c>
      <c r="AG76" s="53">
        <f t="shared" si="67"/>
        <v>94.95</v>
      </c>
      <c r="AH76" s="54">
        <f t="shared" si="56"/>
        <v>37.980000000000004</v>
      </c>
      <c r="AI76" s="54">
        <f t="shared" si="42"/>
        <v>289.67796610169489</v>
      </c>
      <c r="AJ76" s="54">
        <f t="shared" si="57"/>
        <v>26.893599480000006</v>
      </c>
      <c r="AK76" s="54">
        <f t="shared" si="58"/>
        <v>16.136159688000003</v>
      </c>
      <c r="AL76" s="55">
        <f t="shared" si="63"/>
        <v>280.27355473030502</v>
      </c>
      <c r="AM76" s="105">
        <f t="shared" si="64"/>
        <v>0.14759007621395737</v>
      </c>
      <c r="AN76" s="45">
        <v>1899</v>
      </c>
      <c r="AO76" s="45"/>
      <c r="AP76" s="45"/>
      <c r="AQ76" s="45"/>
      <c r="AR76" s="45"/>
      <c r="AS76" s="45"/>
      <c r="AT76" s="45"/>
      <c r="AU76" s="45"/>
      <c r="AV76" s="57">
        <f t="shared" si="17"/>
        <v>1153.498313898305</v>
      </c>
      <c r="AW76" s="58">
        <f t="shared" si="18"/>
        <v>0.6074240726162744</v>
      </c>
      <c r="AX76" s="63"/>
      <c r="AY76" s="59">
        <f t="shared" si="19"/>
        <v>111.99600000000001</v>
      </c>
      <c r="AZ76" s="60">
        <f t="shared" si="20"/>
        <v>349.95107319118881</v>
      </c>
      <c r="BA76" s="60">
        <f t="shared" si="21"/>
        <v>466.58476658476656</v>
      </c>
      <c r="BB76" s="45"/>
      <c r="BC76" s="45"/>
    </row>
    <row r="77" spans="1:55" ht="14.25" hidden="1" customHeight="1">
      <c r="A77" s="43"/>
      <c r="B77" s="43" t="s">
        <v>479</v>
      </c>
      <c r="C77" s="43"/>
      <c r="D77" s="102"/>
      <c r="E77" s="102"/>
      <c r="F77" s="103"/>
      <c r="G77" s="46"/>
      <c r="H77" s="100" t="s">
        <v>483</v>
      </c>
      <c r="I77" s="45" t="s">
        <v>465</v>
      </c>
      <c r="J77" s="45"/>
      <c r="K77" s="45"/>
      <c r="L77" s="45"/>
      <c r="M77" s="45" t="s">
        <v>484</v>
      </c>
      <c r="N77" s="71">
        <v>85163100</v>
      </c>
      <c r="O77" s="48"/>
      <c r="P77" s="46"/>
      <c r="Q77" s="46"/>
      <c r="R77" s="46"/>
      <c r="S77" s="48"/>
      <c r="T77" s="48"/>
      <c r="U77" s="49">
        <v>4.63</v>
      </c>
      <c r="V77" s="49"/>
      <c r="W77" s="50">
        <f t="shared" si="49"/>
        <v>9.2600000000000002E-2</v>
      </c>
      <c r="X77" s="50">
        <f t="shared" si="65"/>
        <v>1.038972</v>
      </c>
      <c r="Y77" s="51">
        <f t="shared" si="4"/>
        <v>518.54147999999998</v>
      </c>
      <c r="Z77" s="51">
        <f t="shared" si="52"/>
        <v>611.8789463999999</v>
      </c>
      <c r="AA77" s="52">
        <f t="shared" si="72"/>
        <v>123.435</v>
      </c>
      <c r="AB77" s="52">
        <v>47</v>
      </c>
      <c r="AC77" s="52">
        <v>204</v>
      </c>
      <c r="AD77" s="52">
        <f t="shared" si="7"/>
        <v>374.435</v>
      </c>
      <c r="AE77" s="53">
        <f t="shared" si="71"/>
        <v>284.84999999999997</v>
      </c>
      <c r="AF77" s="53">
        <f t="shared" si="55"/>
        <v>37.980000000000004</v>
      </c>
      <c r="AG77" s="53">
        <f t="shared" si="67"/>
        <v>94.95</v>
      </c>
      <c r="AH77" s="54">
        <f t="shared" si="56"/>
        <v>37.980000000000004</v>
      </c>
      <c r="AI77" s="54">
        <f t="shared" si="42"/>
        <v>289.67796610169489</v>
      </c>
      <c r="AJ77" s="54">
        <f t="shared" si="57"/>
        <v>30.593947319999998</v>
      </c>
      <c r="AK77" s="54">
        <f t="shared" si="58"/>
        <v>18.356368391999997</v>
      </c>
      <c r="AL77" s="55">
        <f t="shared" si="63"/>
        <v>211.63523818630534</v>
      </c>
      <c r="AM77" s="105">
        <f t="shared" si="64"/>
        <v>0.11144562305755942</v>
      </c>
      <c r="AN77" s="45">
        <v>1899</v>
      </c>
      <c r="AO77" s="45"/>
      <c r="AP77" s="45"/>
      <c r="AQ77" s="45"/>
      <c r="AR77" s="45"/>
      <c r="AS77" s="45"/>
      <c r="AT77" s="45"/>
      <c r="AU77" s="45"/>
      <c r="AV77" s="57">
        <f t="shared" si="17"/>
        <v>1090.7805538983052</v>
      </c>
      <c r="AW77" s="58">
        <f t="shared" si="18"/>
        <v>0.57439734275845455</v>
      </c>
      <c r="AX77" s="63"/>
      <c r="AY77" s="59">
        <f t="shared" si="19"/>
        <v>111.996</v>
      </c>
      <c r="AZ77" s="60">
        <f t="shared" si="20"/>
        <v>307.62437751363694</v>
      </c>
      <c r="BA77" s="60">
        <f t="shared" si="21"/>
        <v>410.15118790496763</v>
      </c>
      <c r="BB77" s="45"/>
      <c r="BC77" s="45"/>
    </row>
    <row r="78" spans="1:55" ht="14.25" hidden="1" customHeight="1">
      <c r="A78" s="43"/>
      <c r="B78" s="43"/>
      <c r="C78" s="575"/>
      <c r="D78" s="44"/>
      <c r="E78" s="44"/>
      <c r="F78" s="45" t="s">
        <v>485</v>
      </c>
      <c r="G78" s="46" t="s">
        <v>472</v>
      </c>
      <c r="H78" s="107" t="s">
        <v>486</v>
      </c>
      <c r="I78" s="47" t="s">
        <v>234</v>
      </c>
      <c r="J78" s="61" t="s">
        <v>235</v>
      </c>
      <c r="K78" s="45"/>
      <c r="L78" s="45" t="s">
        <v>438</v>
      </c>
      <c r="M78" s="107" t="s">
        <v>487</v>
      </c>
      <c r="N78" s="107">
        <v>85163100</v>
      </c>
      <c r="O78" s="48"/>
      <c r="P78" s="46"/>
      <c r="Q78" s="46"/>
      <c r="R78" s="46"/>
      <c r="S78" s="48"/>
      <c r="T78" s="48"/>
      <c r="U78" s="49">
        <v>2.87</v>
      </c>
      <c r="V78" s="49"/>
      <c r="W78" s="50">
        <f t="shared" si="49"/>
        <v>5.7400000000000007E-2</v>
      </c>
      <c r="X78" s="50">
        <f t="shared" si="65"/>
        <v>0.64402800000000004</v>
      </c>
      <c r="Y78" s="51">
        <f t="shared" si="4"/>
        <v>321.42851999999999</v>
      </c>
      <c r="Z78" s="51">
        <f t="shared" si="52"/>
        <v>379.28565359999999</v>
      </c>
      <c r="AA78" s="52">
        <f t="shared" ref="AA78:AA79" si="73">AN78*7%</f>
        <v>55.930000000000007</v>
      </c>
      <c r="AB78" s="106">
        <v>26</v>
      </c>
      <c r="AC78" s="106">
        <v>59</v>
      </c>
      <c r="AD78" s="52">
        <f t="shared" si="7"/>
        <v>140.93</v>
      </c>
      <c r="AE78" s="53">
        <f t="shared" si="71"/>
        <v>119.85</v>
      </c>
      <c r="AF78" s="53">
        <f t="shared" si="55"/>
        <v>15.98</v>
      </c>
      <c r="AG78" s="53">
        <f t="shared" si="67"/>
        <v>39.950000000000003</v>
      </c>
      <c r="AH78" s="54"/>
      <c r="AI78" s="54">
        <f t="shared" si="42"/>
        <v>121.88135593220341</v>
      </c>
      <c r="AJ78" s="54">
        <f t="shared" si="57"/>
        <v>18.96428268</v>
      </c>
      <c r="AK78" s="54">
        <f t="shared" si="58"/>
        <v>11.378569607999999</v>
      </c>
      <c r="AL78" s="55">
        <f t="shared" si="63"/>
        <v>8.6372717797965883</v>
      </c>
      <c r="AM78" s="105">
        <f t="shared" si="64"/>
        <v>1.0810102352686594E-2</v>
      </c>
      <c r="AN78" s="45">
        <v>799</v>
      </c>
      <c r="AO78" s="45"/>
      <c r="AP78" s="45"/>
      <c r="AQ78" s="45"/>
      <c r="AR78" s="45">
        <v>1299</v>
      </c>
      <c r="AS78" s="45"/>
      <c r="AT78" s="45"/>
      <c r="AU78" s="45"/>
      <c r="AV78" s="57">
        <f t="shared" si="17"/>
        <v>355.6901240677966</v>
      </c>
      <c r="AW78" s="58">
        <f t="shared" si="18"/>
        <v>0.44516911648034618</v>
      </c>
      <c r="AX78" s="45"/>
      <c r="AY78" s="59">
        <f t="shared" si="19"/>
        <v>111.996</v>
      </c>
      <c r="AZ78" s="60">
        <f t="shared" si="20"/>
        <v>208.80536674219201</v>
      </c>
      <c r="BA78" s="60">
        <f t="shared" si="21"/>
        <v>278.39721254355402</v>
      </c>
      <c r="BB78" s="45"/>
      <c r="BC78" s="45"/>
    </row>
    <row r="79" spans="1:55" ht="14.25" hidden="1" customHeight="1">
      <c r="A79" s="43"/>
      <c r="B79" s="43"/>
      <c r="C79" s="576"/>
      <c r="D79" s="44"/>
      <c r="E79" s="44"/>
      <c r="F79" s="73" t="s">
        <v>488</v>
      </c>
      <c r="G79" s="46" t="s">
        <v>476</v>
      </c>
      <c r="H79" s="107" t="s">
        <v>489</v>
      </c>
      <c r="I79" s="47" t="s">
        <v>234</v>
      </c>
      <c r="J79" s="61" t="s">
        <v>235</v>
      </c>
      <c r="K79" s="45"/>
      <c r="L79" s="45" t="s">
        <v>438</v>
      </c>
      <c r="M79" s="107" t="s">
        <v>490</v>
      </c>
      <c r="N79" s="107">
        <v>85163100</v>
      </c>
      <c r="O79" s="48"/>
      <c r="P79" s="46"/>
      <c r="Q79" s="46"/>
      <c r="R79" s="46"/>
      <c r="S79" s="48"/>
      <c r="T79" s="48"/>
      <c r="U79" s="49">
        <v>2.96</v>
      </c>
      <c r="V79" s="49"/>
      <c r="W79" s="50">
        <f t="shared" si="49"/>
        <v>5.9200000000000003E-2</v>
      </c>
      <c r="X79" s="50">
        <f t="shared" si="65"/>
        <v>0.66422400000000015</v>
      </c>
      <c r="Y79" s="51">
        <f t="shared" si="4"/>
        <v>331.50816000000003</v>
      </c>
      <c r="Z79" s="51">
        <f t="shared" si="52"/>
        <v>391.17962879999999</v>
      </c>
      <c r="AA79" s="52">
        <f t="shared" si="73"/>
        <v>59.430000000000007</v>
      </c>
      <c r="AB79" s="106">
        <v>26</v>
      </c>
      <c r="AC79" s="106">
        <v>59</v>
      </c>
      <c r="AD79" s="52">
        <f t="shared" si="7"/>
        <v>144.43</v>
      </c>
      <c r="AE79" s="53">
        <f t="shared" si="71"/>
        <v>127.35</v>
      </c>
      <c r="AF79" s="53">
        <f t="shared" si="55"/>
        <v>16.98</v>
      </c>
      <c r="AG79" s="53">
        <f t="shared" si="67"/>
        <v>42.45</v>
      </c>
      <c r="AH79" s="54"/>
      <c r="AI79" s="54">
        <f t="shared" si="42"/>
        <v>129.50847457627117</v>
      </c>
      <c r="AJ79" s="54">
        <f t="shared" si="57"/>
        <v>19.55898144</v>
      </c>
      <c r="AK79" s="54">
        <f t="shared" si="58"/>
        <v>11.735388863999999</v>
      </c>
      <c r="AL79" s="55">
        <f t="shared" si="63"/>
        <v>25.478995119728726</v>
      </c>
      <c r="AM79" s="105">
        <f t="shared" si="64"/>
        <v>3.0010594958455507E-2</v>
      </c>
      <c r="AN79" s="45">
        <v>849</v>
      </c>
      <c r="AO79" s="45"/>
      <c r="AP79" s="45">
        <v>799</v>
      </c>
      <c r="AQ79" s="45"/>
      <c r="AR79" s="45">
        <v>1499</v>
      </c>
      <c r="AS79" s="45"/>
      <c r="AT79" s="45"/>
      <c r="AU79" s="45"/>
      <c r="AV79" s="57">
        <f t="shared" si="17"/>
        <v>387.9833654237288</v>
      </c>
      <c r="AW79" s="58">
        <f t="shared" si="18"/>
        <v>0.45698865185362636</v>
      </c>
      <c r="AX79" s="45"/>
      <c r="AY79" s="59">
        <f t="shared" si="19"/>
        <v>111.99600000000001</v>
      </c>
      <c r="AZ79" s="60">
        <f t="shared" si="20"/>
        <v>215.12592631204006</v>
      </c>
      <c r="BA79" s="60">
        <f t="shared" si="21"/>
        <v>286.82432432432432</v>
      </c>
      <c r="BB79" s="45"/>
      <c r="BC79" s="45"/>
    </row>
    <row r="80" spans="1:55" ht="14.25" customHeight="1">
      <c r="A80" s="43"/>
      <c r="B80" s="43"/>
      <c r="C80" s="43"/>
      <c r="D80" s="102"/>
      <c r="E80" s="102"/>
      <c r="F80" s="103" t="s">
        <v>491</v>
      </c>
      <c r="G80" s="46" t="s">
        <v>492</v>
      </c>
      <c r="H80" s="100" t="s">
        <v>493</v>
      </c>
      <c r="I80" s="47" t="s">
        <v>234</v>
      </c>
      <c r="J80" s="61" t="s">
        <v>249</v>
      </c>
      <c r="K80" s="45"/>
      <c r="L80" s="45" t="s">
        <v>237</v>
      </c>
      <c r="M80" s="45" t="s">
        <v>494</v>
      </c>
      <c r="N80" s="45">
        <v>85098000</v>
      </c>
      <c r="O80" s="48"/>
      <c r="P80" s="46"/>
      <c r="Q80" s="46"/>
      <c r="R80" s="46"/>
      <c r="S80" s="48"/>
      <c r="T80" s="48"/>
      <c r="U80" s="49">
        <v>17.5</v>
      </c>
      <c r="V80" s="49"/>
      <c r="W80" s="50">
        <f t="shared" si="49"/>
        <v>0.35000000000000003</v>
      </c>
      <c r="X80" s="50">
        <f t="shared" si="65"/>
        <v>3.9270000000000009</v>
      </c>
      <c r="Y80" s="51">
        <f t="shared" si="4"/>
        <v>1959.93</v>
      </c>
      <c r="Z80" s="51">
        <f t="shared" si="52"/>
        <v>2312.7174</v>
      </c>
      <c r="AA80" s="52">
        <f>AN80*4.5%</f>
        <v>170.95499999999998</v>
      </c>
      <c r="AB80" s="52">
        <v>51</v>
      </c>
      <c r="AC80" s="52">
        <v>214</v>
      </c>
      <c r="AD80" s="52">
        <f t="shared" si="7"/>
        <v>435.95499999999998</v>
      </c>
      <c r="AE80" s="53">
        <f t="shared" si="71"/>
        <v>569.85</v>
      </c>
      <c r="AF80" s="53">
        <f t="shared" si="55"/>
        <v>75.98</v>
      </c>
      <c r="AG80" s="53">
        <f t="shared" si="67"/>
        <v>189.95000000000002</v>
      </c>
      <c r="AH80" s="54">
        <f>AN80*$B$74</f>
        <v>75.98</v>
      </c>
      <c r="AI80" s="54">
        <f t="shared" si="42"/>
        <v>579.50847457627106</v>
      </c>
      <c r="AJ80" s="54">
        <f t="shared" si="57"/>
        <v>115.63587000000001</v>
      </c>
      <c r="AK80" s="54">
        <f t="shared" si="58"/>
        <v>69.381522000000004</v>
      </c>
      <c r="AL80" s="55">
        <f t="shared" ref="AL80:AL83" si="74">SUM(AN80-AI80)-Y80-AD80-AE80-AG80-AJ80-AK80-AF80-AH80</f>
        <v>-273.17086657627112</v>
      </c>
      <c r="AM80" s="62">
        <f t="shared" ref="AM80:AM83" si="75">AL80/SUM(AN80-AI80)</f>
        <v>-8.4849071481968921E-2</v>
      </c>
      <c r="AN80" s="45">
        <v>3799</v>
      </c>
      <c r="AO80" s="45"/>
      <c r="AP80" s="45">
        <v>3799</v>
      </c>
      <c r="AQ80" s="45"/>
      <c r="AR80" s="45">
        <v>8999</v>
      </c>
      <c r="AS80" s="45"/>
      <c r="AT80" s="45"/>
      <c r="AU80" s="45"/>
      <c r="AV80" s="57">
        <f t="shared" si="17"/>
        <v>1259.5615254237289</v>
      </c>
      <c r="AW80" s="58">
        <f t="shared" si="18"/>
        <v>0.33155080953506944</v>
      </c>
      <c r="AX80" s="77" t="s">
        <v>495</v>
      </c>
      <c r="AY80" s="59">
        <f t="shared" si="19"/>
        <v>111.99600000000001</v>
      </c>
      <c r="AZ80" s="60">
        <f t="shared" si="20"/>
        <v>162.82010071788278</v>
      </c>
      <c r="BA80" s="60">
        <f t="shared" si="21"/>
        <v>217.08571428571429</v>
      </c>
      <c r="BB80" s="45"/>
      <c r="BC80" s="45"/>
    </row>
    <row r="81" spans="1:55" ht="14.25" customHeight="1">
      <c r="A81" s="43"/>
      <c r="B81" s="43"/>
      <c r="C81" s="43"/>
      <c r="D81" s="102"/>
      <c r="E81" s="102"/>
      <c r="F81" s="103" t="s">
        <v>496</v>
      </c>
      <c r="G81" s="46" t="s">
        <v>497</v>
      </c>
      <c r="H81" s="100" t="s">
        <v>498</v>
      </c>
      <c r="I81" s="47" t="s">
        <v>234</v>
      </c>
      <c r="J81" s="61" t="s">
        <v>249</v>
      </c>
      <c r="K81" s="45"/>
      <c r="L81" s="45" t="s">
        <v>237</v>
      </c>
      <c r="M81" s="45" t="s">
        <v>499</v>
      </c>
      <c r="N81" s="45">
        <v>85167990</v>
      </c>
      <c r="O81" s="48"/>
      <c r="P81" s="46"/>
      <c r="Q81" s="46"/>
      <c r="R81" s="46"/>
      <c r="S81" s="48"/>
      <c r="T81" s="48"/>
      <c r="U81" s="49">
        <v>29.5</v>
      </c>
      <c r="V81" s="49">
        <v>29.5</v>
      </c>
      <c r="W81" s="50">
        <f t="shared" si="49"/>
        <v>0.59</v>
      </c>
      <c r="X81" s="50">
        <f t="shared" si="65"/>
        <v>6.6198000000000006</v>
      </c>
      <c r="Y81" s="51">
        <f t="shared" si="4"/>
        <v>3303.8820000000001</v>
      </c>
      <c r="Z81" s="51">
        <f t="shared" si="52"/>
        <v>3898.5807599999998</v>
      </c>
      <c r="AA81" s="52">
        <f>AN81*8%</f>
        <v>559.91999999999996</v>
      </c>
      <c r="AB81" s="52">
        <v>65</v>
      </c>
      <c r="AC81" s="52">
        <v>327</v>
      </c>
      <c r="AD81" s="52">
        <f t="shared" si="7"/>
        <v>951.92</v>
      </c>
      <c r="AE81" s="53">
        <v>0</v>
      </c>
      <c r="AF81" s="53">
        <v>0</v>
      </c>
      <c r="AG81" s="53">
        <f t="shared" si="67"/>
        <v>349.95000000000005</v>
      </c>
      <c r="AH81" s="54"/>
      <c r="AI81" s="54">
        <f t="shared" si="42"/>
        <v>1067.6440677966102</v>
      </c>
      <c r="AJ81" s="54">
        <f t="shared" si="57"/>
        <v>194.92903799999999</v>
      </c>
      <c r="AK81" s="54">
        <f t="shared" si="58"/>
        <v>116.95742279999999</v>
      </c>
      <c r="AL81" s="55">
        <f t="shared" si="74"/>
        <v>1013.7174714033896</v>
      </c>
      <c r="AM81" s="62">
        <f t="shared" si="75"/>
        <v>0.17090821778196882</v>
      </c>
      <c r="AN81" s="45">
        <v>6999</v>
      </c>
      <c r="AO81" s="45"/>
      <c r="AP81" s="45">
        <v>6999</v>
      </c>
      <c r="AQ81" s="45"/>
      <c r="AR81" s="45">
        <v>11999</v>
      </c>
      <c r="AS81" s="45"/>
      <c r="AT81" s="45"/>
      <c r="AU81" s="45"/>
      <c r="AV81" s="57">
        <f t="shared" si="17"/>
        <v>2627.4739322033897</v>
      </c>
      <c r="AW81" s="58">
        <f t="shared" si="18"/>
        <v>0.37540704846455059</v>
      </c>
      <c r="AX81" s="63">
        <v>8904422504240</v>
      </c>
      <c r="AY81" s="59">
        <f t="shared" si="19"/>
        <v>111.996</v>
      </c>
      <c r="AZ81" s="60">
        <f t="shared" si="20"/>
        <v>177.94703321728804</v>
      </c>
      <c r="BA81" s="60">
        <f t="shared" si="21"/>
        <v>237.25423728813558</v>
      </c>
      <c r="BB81" s="45"/>
      <c r="BC81" s="45"/>
    </row>
    <row r="82" spans="1:55" ht="14.25" customHeight="1">
      <c r="A82" s="43"/>
      <c r="B82" s="43"/>
      <c r="C82" s="43"/>
      <c r="D82" s="69"/>
      <c r="E82" s="69"/>
      <c r="F82" s="47" t="s">
        <v>500</v>
      </c>
      <c r="G82" s="46" t="s">
        <v>501</v>
      </c>
      <c r="H82" s="45" t="s">
        <v>459</v>
      </c>
      <c r="I82" s="47" t="s">
        <v>234</v>
      </c>
      <c r="J82" s="61" t="s">
        <v>235</v>
      </c>
      <c r="K82" s="45"/>
      <c r="L82" s="45" t="s">
        <v>502</v>
      </c>
      <c r="M82" s="45" t="s">
        <v>503</v>
      </c>
      <c r="N82" s="45">
        <v>85167990</v>
      </c>
      <c r="O82" s="48"/>
      <c r="P82" s="46"/>
      <c r="Q82" s="46"/>
      <c r="R82" s="46"/>
      <c r="S82" s="48"/>
      <c r="T82" s="48"/>
      <c r="U82" s="49">
        <v>3.4</v>
      </c>
      <c r="V82" s="49"/>
      <c r="W82" s="50">
        <f t="shared" si="49"/>
        <v>6.8000000000000005E-2</v>
      </c>
      <c r="X82" s="50">
        <f t="shared" si="65"/>
        <v>0.76296000000000008</v>
      </c>
      <c r="Y82" s="51">
        <f t="shared" si="4"/>
        <v>380.78639999999996</v>
      </c>
      <c r="Z82" s="51">
        <f t="shared" si="52"/>
        <v>449.32795199999993</v>
      </c>
      <c r="AA82" s="52">
        <f t="shared" ref="AA82:AA83" si="76">AN82*4.5%</f>
        <v>31.454999999999998</v>
      </c>
      <c r="AB82" s="52">
        <v>51</v>
      </c>
      <c r="AC82" s="52">
        <v>59</v>
      </c>
      <c r="AD82" s="52">
        <f t="shared" si="7"/>
        <v>141.45499999999998</v>
      </c>
      <c r="AE82" s="53">
        <f t="shared" ref="AE82:AE83" si="77">AN82*B$66</f>
        <v>104.85</v>
      </c>
      <c r="AF82" s="53">
        <f t="shared" ref="AF82:AF87" si="78">AN82*$B$70</f>
        <v>13.98</v>
      </c>
      <c r="AG82" s="53">
        <f t="shared" si="67"/>
        <v>34.950000000000003</v>
      </c>
      <c r="AH82" s="54">
        <f t="shared" ref="AH82:AH87" si="79">AN82*$B$74</f>
        <v>13.98</v>
      </c>
      <c r="AI82" s="54">
        <f t="shared" si="42"/>
        <v>106.62711864406776</v>
      </c>
      <c r="AJ82" s="54">
        <f t="shared" si="57"/>
        <v>22.466397599999997</v>
      </c>
      <c r="AK82" s="54">
        <f t="shared" si="58"/>
        <v>13.479838559999997</v>
      </c>
      <c r="AL82" s="55">
        <f t="shared" si="74"/>
        <v>-133.57475480406771</v>
      </c>
      <c r="AM82" s="62">
        <f t="shared" si="75"/>
        <v>-0.22549100238741043</v>
      </c>
      <c r="AN82" s="45">
        <v>699</v>
      </c>
      <c r="AO82" s="45"/>
      <c r="AP82" s="45"/>
      <c r="AQ82" s="45"/>
      <c r="AR82" s="45">
        <v>1499</v>
      </c>
      <c r="AS82" s="45"/>
      <c r="AT82" s="45"/>
      <c r="AU82" s="45"/>
      <c r="AV82" s="57">
        <f t="shared" si="17"/>
        <v>211.58648135593228</v>
      </c>
      <c r="AW82" s="58">
        <f t="shared" si="18"/>
        <v>0.30269882883538235</v>
      </c>
      <c r="AX82" s="63">
        <v>8904422504189</v>
      </c>
      <c r="AY82" s="59">
        <f t="shared" si="19"/>
        <v>111.996</v>
      </c>
      <c r="AZ82" s="60">
        <f t="shared" si="20"/>
        <v>154.19668349499878</v>
      </c>
      <c r="BA82" s="60">
        <f t="shared" si="21"/>
        <v>205.58823529411765</v>
      </c>
      <c r="BB82" s="45"/>
      <c r="BC82" s="45"/>
    </row>
    <row r="83" spans="1:55" ht="14.25" customHeight="1">
      <c r="A83" s="43"/>
      <c r="B83" s="43"/>
      <c r="C83" s="43"/>
      <c r="D83" s="102"/>
      <c r="E83" s="102"/>
      <c r="F83" s="103" t="s">
        <v>504</v>
      </c>
      <c r="G83" s="104" t="s">
        <v>505</v>
      </c>
      <c r="H83" s="45" t="s">
        <v>506</v>
      </c>
      <c r="I83" s="47" t="s">
        <v>234</v>
      </c>
      <c r="J83" s="61" t="s">
        <v>235</v>
      </c>
      <c r="K83" s="45"/>
      <c r="L83" s="45" t="s">
        <v>502</v>
      </c>
      <c r="M83" s="45" t="s">
        <v>507</v>
      </c>
      <c r="N83" s="45">
        <v>85167990</v>
      </c>
      <c r="O83" s="48"/>
      <c r="P83" s="46"/>
      <c r="Q83" s="46"/>
      <c r="R83" s="46"/>
      <c r="S83" s="48"/>
      <c r="T83" s="48"/>
      <c r="U83" s="49">
        <v>6.8</v>
      </c>
      <c r="V83" s="49">
        <v>6.8</v>
      </c>
      <c r="W83" s="50">
        <f t="shared" si="49"/>
        <v>0.13600000000000001</v>
      </c>
      <c r="X83" s="50">
        <f t="shared" si="65"/>
        <v>1.5259200000000002</v>
      </c>
      <c r="Y83" s="51">
        <f t="shared" si="4"/>
        <v>761.57279999999992</v>
      </c>
      <c r="Z83" s="51">
        <f t="shared" si="52"/>
        <v>898.65590399999985</v>
      </c>
      <c r="AA83" s="52">
        <f t="shared" si="76"/>
        <v>65.204999999999998</v>
      </c>
      <c r="AB83" s="52">
        <v>51</v>
      </c>
      <c r="AC83" s="52">
        <v>76</v>
      </c>
      <c r="AD83" s="52">
        <f t="shared" si="7"/>
        <v>192.20499999999998</v>
      </c>
      <c r="AE83" s="53">
        <f t="shared" si="77"/>
        <v>217.35</v>
      </c>
      <c r="AF83" s="53">
        <f t="shared" si="78"/>
        <v>28.98</v>
      </c>
      <c r="AG83" s="53">
        <f t="shared" si="67"/>
        <v>72.45</v>
      </c>
      <c r="AH83" s="54">
        <f t="shared" si="79"/>
        <v>28.98</v>
      </c>
      <c r="AI83" s="54">
        <f t="shared" si="42"/>
        <v>221.03389830508468</v>
      </c>
      <c r="AJ83" s="54">
        <f t="shared" si="57"/>
        <v>44.932795199999994</v>
      </c>
      <c r="AK83" s="54">
        <f t="shared" si="58"/>
        <v>26.959677119999995</v>
      </c>
      <c r="AL83" s="55">
        <f t="shared" si="74"/>
        <v>-145.46417062508456</v>
      </c>
      <c r="AM83" s="62">
        <f t="shared" si="75"/>
        <v>-0.1184594350155968</v>
      </c>
      <c r="AN83" s="45">
        <v>1449</v>
      </c>
      <c r="AO83" s="45"/>
      <c r="AP83" s="45">
        <v>1449</v>
      </c>
      <c r="AQ83" s="45"/>
      <c r="AR83" s="45">
        <v>2999</v>
      </c>
      <c r="AS83" s="45"/>
      <c r="AT83" s="45"/>
      <c r="AU83" s="45"/>
      <c r="AV83" s="57">
        <f t="shared" si="17"/>
        <v>466.39330169491541</v>
      </c>
      <c r="AW83" s="58">
        <f t="shared" si="18"/>
        <v>0.32187253395094229</v>
      </c>
      <c r="AX83" s="63">
        <v>8904422504196</v>
      </c>
      <c r="AY83" s="59">
        <f t="shared" si="19"/>
        <v>111.996</v>
      </c>
      <c r="AZ83" s="60">
        <f t="shared" si="20"/>
        <v>159.82188439503093</v>
      </c>
      <c r="BA83" s="60">
        <f t="shared" si="21"/>
        <v>213.08823529411765</v>
      </c>
      <c r="BB83" s="45"/>
      <c r="BC83" s="45"/>
    </row>
    <row r="84" spans="1:55" ht="14.25" customHeight="1">
      <c r="A84" s="43"/>
      <c r="B84" s="43"/>
      <c r="C84" s="43"/>
      <c r="D84" s="69"/>
      <c r="E84" s="69"/>
      <c r="F84" s="47" t="s">
        <v>508</v>
      </c>
      <c r="G84" s="104" t="s">
        <v>509</v>
      </c>
      <c r="H84" s="45" t="s">
        <v>481</v>
      </c>
      <c r="I84" s="47" t="s">
        <v>314</v>
      </c>
      <c r="J84" s="61" t="s">
        <v>465</v>
      </c>
      <c r="K84" s="45"/>
      <c r="L84" s="45" t="s">
        <v>510</v>
      </c>
      <c r="M84" s="45" t="s">
        <v>511</v>
      </c>
      <c r="N84" s="45">
        <v>85163100</v>
      </c>
      <c r="O84" s="48"/>
      <c r="P84" s="46"/>
      <c r="Q84" s="46"/>
      <c r="R84" s="46"/>
      <c r="S84" s="48"/>
      <c r="T84" s="48"/>
      <c r="U84" s="49">
        <f>5.45+0.4</f>
        <v>5.8500000000000005</v>
      </c>
      <c r="V84" s="49">
        <v>5.85</v>
      </c>
      <c r="W84" s="50">
        <f t="shared" si="49"/>
        <v>0.11700000000000001</v>
      </c>
      <c r="X84" s="50">
        <f t="shared" si="65"/>
        <v>1.3127400000000002</v>
      </c>
      <c r="Y84" s="51">
        <f t="shared" si="4"/>
        <v>655.17660000000001</v>
      </c>
      <c r="Z84" s="51">
        <f t="shared" si="52"/>
        <v>773.10838799999999</v>
      </c>
      <c r="AA84" s="52">
        <f>AN84*9.5%</f>
        <v>142.405</v>
      </c>
      <c r="AB84" s="52">
        <v>51</v>
      </c>
      <c r="AC84" s="52">
        <v>77</v>
      </c>
      <c r="AD84" s="52">
        <f t="shared" si="7"/>
        <v>270.40499999999997</v>
      </c>
      <c r="AE84" s="53">
        <f t="shared" ref="AE84:AE85" si="80">AN84*B$72</f>
        <v>299.8</v>
      </c>
      <c r="AF84" s="53">
        <f t="shared" si="78"/>
        <v>29.98</v>
      </c>
      <c r="AG84" s="53">
        <f t="shared" si="67"/>
        <v>74.95</v>
      </c>
      <c r="AH84" s="54">
        <f t="shared" si="79"/>
        <v>29.98</v>
      </c>
      <c r="AI84" s="54">
        <f t="shared" si="42"/>
        <v>228.66101694915255</v>
      </c>
      <c r="AJ84" s="54">
        <f t="shared" si="57"/>
        <v>38.6554194</v>
      </c>
      <c r="AK84" s="54">
        <f t="shared" si="58"/>
        <v>23.19325164</v>
      </c>
      <c r="AL84" s="55">
        <f t="shared" ref="AL84:AL102" si="81">AN84-Y84-AD84-AE84-AG84-AI84-AJ84-AK84-AF84-AH84</f>
        <v>-151.80128798915254</v>
      </c>
      <c r="AM84" s="105">
        <f t="shared" ref="AM84:AM102" si="82">AL84/AN84</f>
        <v>-0.10126837090670616</v>
      </c>
      <c r="AN84" s="45">
        <v>1499</v>
      </c>
      <c r="AO84" s="45"/>
      <c r="AP84" s="45">
        <v>1399</v>
      </c>
      <c r="AQ84" s="45"/>
      <c r="AR84" s="45">
        <v>2499</v>
      </c>
      <c r="AS84" s="45"/>
      <c r="AT84" s="45"/>
      <c r="AU84" s="45"/>
      <c r="AV84" s="57">
        <f t="shared" si="17"/>
        <v>615.16238305084744</v>
      </c>
      <c r="AW84" s="58">
        <f t="shared" si="18"/>
        <v>0.41038184326274013</v>
      </c>
      <c r="AX84" s="63">
        <v>8904422504233</v>
      </c>
      <c r="AY84" s="59">
        <f t="shared" si="19"/>
        <v>111.996</v>
      </c>
      <c r="AZ84" s="60">
        <f t="shared" si="20"/>
        <v>192.18635097773637</v>
      </c>
      <c r="BA84" s="60">
        <f t="shared" si="21"/>
        <v>256.23931623931622</v>
      </c>
      <c r="BB84" s="45"/>
      <c r="BC84" s="45"/>
    </row>
    <row r="85" spans="1:55" ht="14.25" customHeight="1">
      <c r="A85" s="43"/>
      <c r="B85" s="43"/>
      <c r="C85" s="43"/>
      <c r="D85" s="102"/>
      <c r="E85" s="102"/>
      <c r="F85" s="103" t="s">
        <v>512</v>
      </c>
      <c r="G85" s="46" t="s">
        <v>513</v>
      </c>
      <c r="H85" s="45" t="s">
        <v>514</v>
      </c>
      <c r="I85" s="47" t="s">
        <v>314</v>
      </c>
      <c r="J85" s="61" t="s">
        <v>465</v>
      </c>
      <c r="K85" s="45"/>
      <c r="L85" s="45" t="s">
        <v>515</v>
      </c>
      <c r="M85" s="45" t="s">
        <v>516</v>
      </c>
      <c r="N85" s="45">
        <v>90191020</v>
      </c>
      <c r="O85" s="48"/>
      <c r="P85" s="46"/>
      <c r="Q85" s="46"/>
      <c r="R85" s="46"/>
      <c r="S85" s="48"/>
      <c r="T85" s="48"/>
      <c r="U85" s="49">
        <v>4.5</v>
      </c>
      <c r="V85" s="49">
        <v>4.0999999999999996</v>
      </c>
      <c r="W85" s="50">
        <f t="shared" si="49"/>
        <v>0.09</v>
      </c>
      <c r="X85" s="50">
        <f t="shared" ref="X85:X87" si="83">(U85+W85)*(B$42+(B$42*B$45))</f>
        <v>0.50490000000000002</v>
      </c>
      <c r="Y85" s="51">
        <f t="shared" si="4"/>
        <v>458.541</v>
      </c>
      <c r="Z85" s="51">
        <f t="shared" ref="Z85:Z87" si="84">Y85*1.12</f>
        <v>513.56592000000001</v>
      </c>
      <c r="AA85" s="52">
        <f>AN85*7.5%</f>
        <v>71.924999999999997</v>
      </c>
      <c r="AB85" s="52">
        <v>51</v>
      </c>
      <c r="AC85" s="52">
        <v>59</v>
      </c>
      <c r="AD85" s="52">
        <f t="shared" si="7"/>
        <v>181.92500000000001</v>
      </c>
      <c r="AE85" s="53">
        <f t="shared" si="80"/>
        <v>191.8</v>
      </c>
      <c r="AF85" s="53">
        <f t="shared" si="78"/>
        <v>19.18</v>
      </c>
      <c r="AG85" s="53">
        <f t="shared" si="67"/>
        <v>47.95</v>
      </c>
      <c r="AH85" s="54">
        <f t="shared" si="79"/>
        <v>19.18</v>
      </c>
      <c r="AI85" s="54">
        <f>AN85-(AN85/1.05)</f>
        <v>45.666666666666742</v>
      </c>
      <c r="AJ85" s="54">
        <f t="shared" si="57"/>
        <v>25.678296000000003</v>
      </c>
      <c r="AK85" s="54">
        <f t="shared" si="58"/>
        <v>15.406977599999999</v>
      </c>
      <c r="AL85" s="55">
        <f t="shared" si="81"/>
        <v>-46.327940266666765</v>
      </c>
      <c r="AM85" s="62">
        <f t="shared" si="82"/>
        <v>-4.8308592561696312E-2</v>
      </c>
      <c r="AN85" s="45">
        <v>959</v>
      </c>
      <c r="AO85" s="45"/>
      <c r="AP85" s="45">
        <v>1029</v>
      </c>
      <c r="AQ85" s="45"/>
      <c r="AR85" s="45">
        <v>2099</v>
      </c>
      <c r="AS85" s="45"/>
      <c r="AT85" s="45"/>
      <c r="AU85" s="45"/>
      <c r="AV85" s="57">
        <f t="shared" si="17"/>
        <v>454.79233333333326</v>
      </c>
      <c r="AW85" s="58">
        <f t="shared" si="18"/>
        <v>0.47423600973236002</v>
      </c>
      <c r="AX85" s="63">
        <v>8904422504219</v>
      </c>
      <c r="AY85" s="59">
        <f t="shared" si="19"/>
        <v>101.898</v>
      </c>
      <c r="AZ85" s="60">
        <f t="shared" si="20"/>
        <v>175.67894692077698</v>
      </c>
      <c r="BA85" s="60">
        <f t="shared" si="21"/>
        <v>213.11111111111111</v>
      </c>
      <c r="BB85" s="45"/>
      <c r="BC85" s="45"/>
    </row>
    <row r="86" spans="1:55" ht="14.25" hidden="1" customHeight="1">
      <c r="A86" s="43"/>
      <c r="B86" s="43"/>
      <c r="C86" s="43"/>
      <c r="D86" s="69"/>
      <c r="E86" s="69"/>
      <c r="F86" s="47" t="s">
        <v>517</v>
      </c>
      <c r="G86" s="46" t="s">
        <v>518</v>
      </c>
      <c r="H86" s="45" t="s">
        <v>514</v>
      </c>
      <c r="I86" s="47" t="s">
        <v>314</v>
      </c>
      <c r="J86" s="61" t="s">
        <v>465</v>
      </c>
      <c r="K86" s="45"/>
      <c r="L86" s="45" t="s">
        <v>515</v>
      </c>
      <c r="M86" s="45" t="s">
        <v>519</v>
      </c>
      <c r="N86" s="45">
        <v>90191020</v>
      </c>
      <c r="O86" s="48"/>
      <c r="P86" s="46"/>
      <c r="Q86" s="46"/>
      <c r="R86" s="46"/>
      <c r="S86" s="48"/>
      <c r="T86" s="48"/>
      <c r="U86" s="49">
        <v>4.95</v>
      </c>
      <c r="V86" s="49"/>
      <c r="W86" s="50">
        <f t="shared" si="49"/>
        <v>9.9000000000000005E-2</v>
      </c>
      <c r="X86" s="50">
        <f t="shared" si="83"/>
        <v>0.55539000000000016</v>
      </c>
      <c r="Y86" s="51">
        <f t="shared" si="4"/>
        <v>504.39510000000001</v>
      </c>
      <c r="Z86" s="51">
        <f t="shared" si="84"/>
        <v>564.9225120000001</v>
      </c>
      <c r="AA86" s="52">
        <f>AN86*13.5%</f>
        <v>148.36500000000001</v>
      </c>
      <c r="AB86" s="52">
        <v>47</v>
      </c>
      <c r="AC86" s="52">
        <v>78</v>
      </c>
      <c r="AD86" s="52">
        <f t="shared" si="7"/>
        <v>273.36500000000001</v>
      </c>
      <c r="AE86" s="53">
        <f>AN86*B$66</f>
        <v>164.85</v>
      </c>
      <c r="AF86" s="53">
        <f t="shared" si="78"/>
        <v>21.98</v>
      </c>
      <c r="AG86" s="53">
        <f t="shared" si="67"/>
        <v>54.95</v>
      </c>
      <c r="AH86" s="54">
        <f t="shared" si="79"/>
        <v>21.98</v>
      </c>
      <c r="AI86" s="54">
        <f>AN86-(AN86/1.12)</f>
        <v>117.75000000000011</v>
      </c>
      <c r="AJ86" s="54">
        <f t="shared" si="57"/>
        <v>28.246125600000006</v>
      </c>
      <c r="AK86" s="54">
        <f t="shared" si="58"/>
        <v>16.947675360000002</v>
      </c>
      <c r="AL86" s="55">
        <f t="shared" si="81"/>
        <v>-105.46390096000009</v>
      </c>
      <c r="AM86" s="105">
        <f t="shared" si="82"/>
        <v>-9.5963513157415914E-2</v>
      </c>
      <c r="AN86" s="45">
        <v>1099</v>
      </c>
      <c r="AO86" s="45"/>
      <c r="AP86" s="45"/>
      <c r="AQ86" s="45"/>
      <c r="AR86" s="45">
        <v>2099</v>
      </c>
      <c r="AS86" s="45"/>
      <c r="AT86" s="45"/>
      <c r="AU86" s="45"/>
      <c r="AV86" s="57">
        <f t="shared" si="17"/>
        <v>476.85489999999987</v>
      </c>
      <c r="AW86" s="58">
        <f t="shared" si="18"/>
        <v>0.43389890809827103</v>
      </c>
      <c r="AX86" s="63"/>
      <c r="AY86" s="59">
        <f t="shared" si="19"/>
        <v>101.898</v>
      </c>
      <c r="AZ86" s="60">
        <f t="shared" si="20"/>
        <v>183.02318955913728</v>
      </c>
      <c r="BA86" s="60">
        <f t="shared" si="21"/>
        <v>222.02020202020202</v>
      </c>
      <c r="BB86" s="45"/>
      <c r="BC86" s="45"/>
    </row>
    <row r="87" spans="1:55" ht="14.25" customHeight="1">
      <c r="A87" s="43"/>
      <c r="B87" s="43"/>
      <c r="C87" s="43"/>
      <c r="D87" s="69"/>
      <c r="E87" s="69"/>
      <c r="F87" s="47" t="s">
        <v>520</v>
      </c>
      <c r="G87" s="46" t="s">
        <v>521</v>
      </c>
      <c r="H87" s="45" t="s">
        <v>522</v>
      </c>
      <c r="I87" s="47" t="s">
        <v>314</v>
      </c>
      <c r="J87" s="61" t="s">
        <v>465</v>
      </c>
      <c r="K87" s="45"/>
      <c r="L87" s="45" t="s">
        <v>523</v>
      </c>
      <c r="M87" s="45" t="s">
        <v>524</v>
      </c>
      <c r="N87" s="45">
        <v>90191020</v>
      </c>
      <c r="O87" s="48"/>
      <c r="P87" s="46"/>
      <c r="Q87" s="46"/>
      <c r="R87" s="46"/>
      <c r="S87" s="48"/>
      <c r="T87" s="48"/>
      <c r="U87" s="49">
        <v>6</v>
      </c>
      <c r="V87" s="49">
        <v>6</v>
      </c>
      <c r="W87" s="50">
        <f t="shared" si="49"/>
        <v>0.12</v>
      </c>
      <c r="X87" s="50">
        <f t="shared" si="83"/>
        <v>0.67320000000000013</v>
      </c>
      <c r="Y87" s="51">
        <f t="shared" si="4"/>
        <v>611.38800000000003</v>
      </c>
      <c r="Z87" s="51">
        <f t="shared" si="84"/>
        <v>684.75456000000008</v>
      </c>
      <c r="AA87" s="52">
        <f>AN87*14.5%</f>
        <v>188.35499999999999</v>
      </c>
      <c r="AB87" s="52">
        <v>51</v>
      </c>
      <c r="AC87" s="52">
        <v>59</v>
      </c>
      <c r="AD87" s="52">
        <f t="shared" si="7"/>
        <v>298.35500000000002</v>
      </c>
      <c r="AE87" s="53">
        <f t="shared" ref="AE87:AE89" si="85">AN87*B$72</f>
        <v>259.8</v>
      </c>
      <c r="AF87" s="53">
        <f t="shared" si="78"/>
        <v>25.98</v>
      </c>
      <c r="AG87" s="53">
        <f t="shared" si="67"/>
        <v>64.95</v>
      </c>
      <c r="AH87" s="54">
        <f t="shared" si="79"/>
        <v>25.98</v>
      </c>
      <c r="AI87" s="54">
        <f>AN87-(AN87/1.05)</f>
        <v>61.85714285714289</v>
      </c>
      <c r="AJ87" s="54">
        <f t="shared" si="57"/>
        <v>34.237728000000004</v>
      </c>
      <c r="AK87" s="54">
        <f t="shared" si="58"/>
        <v>20.5426368</v>
      </c>
      <c r="AL87" s="55">
        <f t="shared" si="81"/>
        <v>-104.09050765714296</v>
      </c>
      <c r="AM87" s="62">
        <f t="shared" si="82"/>
        <v>-8.0131260706037696E-2</v>
      </c>
      <c r="AN87" s="45">
        <v>1299</v>
      </c>
      <c r="AO87" s="45"/>
      <c r="AP87" s="45">
        <v>1328</v>
      </c>
      <c r="AQ87" s="45"/>
      <c r="AR87" s="45">
        <v>2699</v>
      </c>
      <c r="AS87" s="45"/>
      <c r="AT87" s="45"/>
      <c r="AU87" s="45"/>
      <c r="AV87" s="57">
        <f t="shared" si="17"/>
        <v>625.75485714285708</v>
      </c>
      <c r="AW87" s="58">
        <f t="shared" si="18"/>
        <v>0.48172044429781147</v>
      </c>
      <c r="AX87" s="63">
        <v>8904422504226</v>
      </c>
      <c r="AY87" s="59">
        <f t="shared" si="19"/>
        <v>101.89800000000001</v>
      </c>
      <c r="AZ87" s="60">
        <f t="shared" si="20"/>
        <v>178.47259023729612</v>
      </c>
      <c r="BA87" s="60">
        <f t="shared" si="21"/>
        <v>216.5</v>
      </c>
      <c r="BB87" s="45"/>
      <c r="BC87" s="45"/>
    </row>
    <row r="88" spans="1:55" ht="14.25" customHeight="1">
      <c r="A88" s="43"/>
      <c r="B88" s="43"/>
      <c r="C88" s="43"/>
      <c r="D88" s="69"/>
      <c r="E88" s="69"/>
      <c r="F88" s="47" t="s">
        <v>525</v>
      </c>
      <c r="G88" s="46" t="s">
        <v>526</v>
      </c>
      <c r="H88" s="45" t="s">
        <v>527</v>
      </c>
      <c r="I88" s="47" t="s">
        <v>314</v>
      </c>
      <c r="J88" s="61" t="s">
        <v>315</v>
      </c>
      <c r="K88" s="45"/>
      <c r="L88" s="71" t="s">
        <v>332</v>
      </c>
      <c r="M88" s="107" t="s">
        <v>528</v>
      </c>
      <c r="N88" s="45">
        <v>85098000</v>
      </c>
      <c r="O88" s="48"/>
      <c r="P88" s="46"/>
      <c r="Q88" s="46"/>
      <c r="R88" s="46"/>
      <c r="S88" s="48"/>
      <c r="T88" s="48"/>
      <c r="U88" s="49">
        <v>3.09</v>
      </c>
      <c r="V88" s="49">
        <v>3.15</v>
      </c>
      <c r="W88" s="50">
        <f t="shared" si="49"/>
        <v>6.1800000000000001E-2</v>
      </c>
      <c r="X88" s="50">
        <f t="shared" ref="X88:X89" si="86">(U88+W88)*(B$31+(B$31*B$45))</f>
        <v>0.69339600000000001</v>
      </c>
      <c r="Y88" s="51">
        <f t="shared" si="4"/>
        <v>346.06763999999998</v>
      </c>
      <c r="Z88" s="51">
        <f t="shared" ref="Z88:Z89" si="87">Y88*1.18</f>
        <v>408.35981519999996</v>
      </c>
      <c r="AA88" s="52">
        <f t="shared" ref="AA88:AA89" si="88">AN88*7.5%</f>
        <v>59.924999999999997</v>
      </c>
      <c r="AB88" s="52">
        <v>26</v>
      </c>
      <c r="AC88" s="52">
        <v>59</v>
      </c>
      <c r="AD88" s="52">
        <f t="shared" si="7"/>
        <v>144.92500000000001</v>
      </c>
      <c r="AE88" s="53">
        <f t="shared" si="85"/>
        <v>159.80000000000001</v>
      </c>
      <c r="AF88" s="53"/>
      <c r="AG88" s="53">
        <v>0</v>
      </c>
      <c r="AH88" s="54"/>
      <c r="AI88" s="54">
        <f t="shared" ref="AI88:AI92" si="89">AN88-(AN88/1.18)</f>
        <v>121.88135593220341</v>
      </c>
      <c r="AJ88" s="54">
        <f t="shared" si="57"/>
        <v>20.417990759999999</v>
      </c>
      <c r="AK88" s="54">
        <f t="shared" si="58"/>
        <v>12.250794455999998</v>
      </c>
      <c r="AL88" s="55">
        <f t="shared" si="81"/>
        <v>-6.3427811482034073</v>
      </c>
      <c r="AM88" s="62">
        <f t="shared" si="82"/>
        <v>-7.9383994345474437E-3</v>
      </c>
      <c r="AN88" s="71">
        <v>799</v>
      </c>
      <c r="AO88" s="71"/>
      <c r="AP88" s="71"/>
      <c r="AQ88" s="71"/>
      <c r="AR88" s="71">
        <v>1499</v>
      </c>
      <c r="AS88" s="45"/>
      <c r="AT88" s="45"/>
      <c r="AU88" s="45"/>
      <c r="AV88" s="57">
        <f t="shared" si="17"/>
        <v>331.05100406779661</v>
      </c>
      <c r="AW88" s="58">
        <f t="shared" si="18"/>
        <v>0.41433166967183555</v>
      </c>
      <c r="AX88" s="45">
        <v>8904422504271</v>
      </c>
      <c r="AY88" s="59">
        <f t="shared" si="19"/>
        <v>111.996</v>
      </c>
      <c r="AZ88" s="60">
        <f t="shared" si="20"/>
        <v>193.93896522656669</v>
      </c>
      <c r="BA88" s="60">
        <f t="shared" si="21"/>
        <v>258.57605177993531</v>
      </c>
      <c r="BB88" s="45"/>
      <c r="BC88" s="45"/>
    </row>
    <row r="89" spans="1:55" ht="14.25" customHeight="1">
      <c r="A89" s="43"/>
      <c r="B89" s="43"/>
      <c r="C89" s="43"/>
      <c r="D89" s="69"/>
      <c r="E89" s="69"/>
      <c r="F89" s="47" t="s">
        <v>529</v>
      </c>
      <c r="G89" s="46" t="s">
        <v>530</v>
      </c>
      <c r="H89" s="45" t="s">
        <v>531</v>
      </c>
      <c r="I89" s="47" t="s">
        <v>314</v>
      </c>
      <c r="J89" s="61" t="s">
        <v>315</v>
      </c>
      <c r="K89" s="45"/>
      <c r="L89" s="71" t="s">
        <v>332</v>
      </c>
      <c r="M89" s="107" t="s">
        <v>532</v>
      </c>
      <c r="N89" s="45">
        <v>85098000</v>
      </c>
      <c r="O89" s="48"/>
      <c r="P89" s="46"/>
      <c r="Q89" s="46"/>
      <c r="R89" s="46"/>
      <c r="S89" s="48"/>
      <c r="T89" s="48"/>
      <c r="U89" s="49">
        <v>3.15</v>
      </c>
      <c r="V89" s="49">
        <v>3.15</v>
      </c>
      <c r="W89" s="50">
        <f t="shared" si="49"/>
        <v>6.3E-2</v>
      </c>
      <c r="X89" s="50">
        <f t="shared" si="86"/>
        <v>0.70686000000000015</v>
      </c>
      <c r="Y89" s="51">
        <f t="shared" si="4"/>
        <v>352.78740000000005</v>
      </c>
      <c r="Z89" s="51">
        <f t="shared" si="87"/>
        <v>416.28913200000005</v>
      </c>
      <c r="AA89" s="52">
        <f t="shared" si="88"/>
        <v>59.924999999999997</v>
      </c>
      <c r="AB89" s="52">
        <v>26</v>
      </c>
      <c r="AC89" s="52">
        <v>59</v>
      </c>
      <c r="AD89" s="52">
        <f t="shared" si="7"/>
        <v>144.92500000000001</v>
      </c>
      <c r="AE89" s="53">
        <f t="shared" si="85"/>
        <v>159.80000000000001</v>
      </c>
      <c r="AF89" s="53"/>
      <c r="AG89" s="53">
        <v>0</v>
      </c>
      <c r="AH89" s="54"/>
      <c r="AI89" s="54">
        <f t="shared" si="89"/>
        <v>121.88135593220341</v>
      </c>
      <c r="AJ89" s="54">
        <f t="shared" si="57"/>
        <v>20.814456600000003</v>
      </c>
      <c r="AK89" s="54">
        <f t="shared" si="58"/>
        <v>12.488673960000002</v>
      </c>
      <c r="AL89" s="55">
        <f t="shared" si="81"/>
        <v>-13.696886492203481</v>
      </c>
      <c r="AM89" s="62">
        <f t="shared" si="82"/>
        <v>-1.7142536285611364E-2</v>
      </c>
      <c r="AN89" s="71">
        <v>799</v>
      </c>
      <c r="AO89" s="71"/>
      <c r="AP89" s="71">
        <v>749</v>
      </c>
      <c r="AQ89" s="71"/>
      <c r="AR89" s="71">
        <v>1499</v>
      </c>
      <c r="AS89" s="45"/>
      <c r="AT89" s="45"/>
      <c r="AU89" s="45"/>
      <c r="AV89" s="57">
        <f t="shared" si="17"/>
        <v>324.33124406779655</v>
      </c>
      <c r="AW89" s="58">
        <f t="shared" si="18"/>
        <v>0.40592145690587805</v>
      </c>
      <c r="AX89" s="45">
        <v>8904422504554</v>
      </c>
      <c r="AY89" s="59">
        <f t="shared" si="19"/>
        <v>111.99600000000002</v>
      </c>
      <c r="AZ89" s="60">
        <f t="shared" si="20"/>
        <v>190.2448896984416</v>
      </c>
      <c r="BA89" s="60">
        <f t="shared" si="21"/>
        <v>253.65079365079364</v>
      </c>
      <c r="BB89" s="45"/>
      <c r="BC89" s="45"/>
    </row>
    <row r="90" spans="1:55" ht="14.25" customHeight="1">
      <c r="A90" s="43"/>
      <c r="B90" s="43"/>
      <c r="C90" s="43"/>
      <c r="D90" s="69"/>
      <c r="E90" s="69"/>
      <c r="F90" s="47" t="s">
        <v>533</v>
      </c>
      <c r="G90" s="46" t="s">
        <v>534</v>
      </c>
      <c r="H90" s="45" t="s">
        <v>535</v>
      </c>
      <c r="I90" s="47" t="s">
        <v>234</v>
      </c>
      <c r="J90" s="61" t="s">
        <v>235</v>
      </c>
      <c r="K90" s="45" t="s">
        <v>536</v>
      </c>
      <c r="L90" s="45" t="s">
        <v>502</v>
      </c>
      <c r="M90" s="107" t="s">
        <v>537</v>
      </c>
      <c r="N90" s="45">
        <v>84521021</v>
      </c>
      <c r="O90" s="48"/>
      <c r="P90" s="46"/>
      <c r="Q90" s="46"/>
      <c r="R90" s="46"/>
      <c r="S90" s="48"/>
      <c r="T90" s="48"/>
      <c r="U90" s="49">
        <v>3.46</v>
      </c>
      <c r="V90" s="49">
        <v>3.4</v>
      </c>
      <c r="W90" s="50">
        <f t="shared" si="49"/>
        <v>6.9199999999999998E-2</v>
      </c>
      <c r="X90" s="50">
        <f>(U90+W90)*(B$42+(B$42*B$45))</f>
        <v>0.38821200000000006</v>
      </c>
      <c r="Y90" s="51">
        <f t="shared" si="4"/>
        <v>352.56708000000003</v>
      </c>
      <c r="Z90" s="51">
        <f>Y90*1.12</f>
        <v>394.87512960000009</v>
      </c>
      <c r="AA90" s="52">
        <f>AN90*6.5%</f>
        <v>77.935000000000002</v>
      </c>
      <c r="AB90" s="52">
        <v>50</v>
      </c>
      <c r="AC90" s="52">
        <v>79</v>
      </c>
      <c r="AD90" s="52">
        <f t="shared" si="7"/>
        <v>206.935</v>
      </c>
      <c r="AE90" s="53">
        <f>AN90*B$66</f>
        <v>179.85</v>
      </c>
      <c r="AF90" s="53">
        <f t="shared" ref="AF90:AF94" si="90">AN90*$B$70</f>
        <v>23.98</v>
      </c>
      <c r="AG90" s="53">
        <f t="shared" ref="AG90:AG93" si="91">AN90*B$67</f>
        <v>59.95</v>
      </c>
      <c r="AH90" s="54">
        <f t="shared" ref="AH90:AH94" si="92">AN90*$B$74</f>
        <v>23.98</v>
      </c>
      <c r="AI90" s="54">
        <f t="shared" si="89"/>
        <v>182.89830508474574</v>
      </c>
      <c r="AJ90" s="54">
        <f t="shared" si="57"/>
        <v>19.743756480000005</v>
      </c>
      <c r="AK90" s="54">
        <f t="shared" si="58"/>
        <v>11.846253888000003</v>
      </c>
      <c r="AL90" s="55">
        <f t="shared" si="81"/>
        <v>137.24960454725428</v>
      </c>
      <c r="AM90" s="62">
        <f t="shared" si="82"/>
        <v>0.114470062174524</v>
      </c>
      <c r="AN90" s="71">
        <v>1199</v>
      </c>
      <c r="AO90" s="71"/>
      <c r="AP90" s="71">
        <v>1199</v>
      </c>
      <c r="AQ90" s="71"/>
      <c r="AR90" s="71">
        <v>1299</v>
      </c>
      <c r="AS90" s="45"/>
      <c r="AT90" s="45"/>
      <c r="AU90" s="45"/>
      <c r="AV90" s="57">
        <f t="shared" si="17"/>
        <v>663.53461491525422</v>
      </c>
      <c r="AW90" s="58">
        <f t="shared" si="18"/>
        <v>0.5534066846666007</v>
      </c>
      <c r="AX90" s="45">
        <v>8904422504493</v>
      </c>
      <c r="AY90" s="59">
        <f t="shared" si="19"/>
        <v>101.89800000000001</v>
      </c>
      <c r="AZ90" s="60">
        <f t="shared" si="20"/>
        <v>285.66478753489974</v>
      </c>
      <c r="BA90" s="60">
        <f t="shared" si="21"/>
        <v>346.53179190751445</v>
      </c>
      <c r="BB90" s="45"/>
      <c r="BC90" s="45"/>
    </row>
    <row r="91" spans="1:55" ht="14.4">
      <c r="A91" s="43"/>
      <c r="B91" s="43"/>
      <c r="C91" s="43"/>
      <c r="D91" s="102"/>
      <c r="E91" s="102"/>
      <c r="F91" s="103" t="s">
        <v>538</v>
      </c>
      <c r="G91" s="104" t="s">
        <v>539</v>
      </c>
      <c r="H91" s="45" t="s">
        <v>483</v>
      </c>
      <c r="I91" s="47" t="s">
        <v>314</v>
      </c>
      <c r="J91" s="61" t="s">
        <v>465</v>
      </c>
      <c r="K91" s="45"/>
      <c r="L91" s="45" t="s">
        <v>510</v>
      </c>
      <c r="M91" s="45" t="s">
        <v>540</v>
      </c>
      <c r="N91" s="45">
        <v>85163100</v>
      </c>
      <c r="O91" s="48"/>
      <c r="P91" s="46"/>
      <c r="Q91" s="46"/>
      <c r="R91" s="46"/>
      <c r="S91" s="48"/>
      <c r="T91" s="48"/>
      <c r="U91" s="49">
        <v>3.39</v>
      </c>
      <c r="V91" s="49">
        <v>3.39</v>
      </c>
      <c r="W91" s="50">
        <f t="shared" si="49"/>
        <v>6.7799999999999999E-2</v>
      </c>
      <c r="X91" s="50">
        <f t="shared" ref="X91:X92" si="93">(U91+W91)*(B$31+(B$31*B$45))</f>
        <v>0.76071600000000017</v>
      </c>
      <c r="Y91" s="51">
        <f t="shared" si="4"/>
        <v>379.66644000000002</v>
      </c>
      <c r="Z91" s="51">
        <f t="shared" ref="Z91:Z108" si="94">Y91*1.18</f>
        <v>448.00639919999998</v>
      </c>
      <c r="AA91" s="52">
        <f>AN91*7%</f>
        <v>69.930000000000007</v>
      </c>
      <c r="AB91" s="52">
        <v>26</v>
      </c>
      <c r="AC91" s="52">
        <v>77</v>
      </c>
      <c r="AD91" s="52">
        <f t="shared" si="7"/>
        <v>172.93</v>
      </c>
      <c r="AE91" s="53">
        <f>AN91*B$72</f>
        <v>199.8</v>
      </c>
      <c r="AF91" s="53">
        <f t="shared" si="90"/>
        <v>19.98</v>
      </c>
      <c r="AG91" s="53">
        <f t="shared" si="91"/>
        <v>49.95</v>
      </c>
      <c r="AH91" s="54">
        <f t="shared" si="92"/>
        <v>19.98</v>
      </c>
      <c r="AI91" s="54">
        <f t="shared" si="89"/>
        <v>152.38983050847457</v>
      </c>
      <c r="AJ91" s="54">
        <f t="shared" si="57"/>
        <v>22.400319960000001</v>
      </c>
      <c r="AK91" s="54">
        <f t="shared" si="58"/>
        <v>13.440191975999999</v>
      </c>
      <c r="AL91" s="55">
        <f t="shared" si="81"/>
        <v>-31.536782444474547</v>
      </c>
      <c r="AM91" s="105">
        <f t="shared" si="82"/>
        <v>-3.1568350795269817E-2</v>
      </c>
      <c r="AN91" s="71">
        <v>999</v>
      </c>
      <c r="AO91" s="71"/>
      <c r="AP91" s="71"/>
      <c r="AQ91" s="71"/>
      <c r="AR91" s="71">
        <v>1999</v>
      </c>
      <c r="AS91" s="45"/>
      <c r="AT91" s="45"/>
      <c r="AU91" s="45"/>
      <c r="AV91" s="57">
        <f t="shared" si="17"/>
        <v>466.9437294915254</v>
      </c>
      <c r="AW91" s="58">
        <f t="shared" si="18"/>
        <v>0.46741114063215755</v>
      </c>
      <c r="AX91" s="45">
        <v>8904422504295</v>
      </c>
      <c r="AY91" s="59">
        <f t="shared" si="19"/>
        <v>111.99600000000001</v>
      </c>
      <c r="AZ91" s="60">
        <f t="shared" si="20"/>
        <v>221.02559288621873</v>
      </c>
      <c r="BA91" s="60">
        <f t="shared" si="21"/>
        <v>294.69026548672565</v>
      </c>
      <c r="BB91" s="45"/>
      <c r="BC91" s="45"/>
    </row>
    <row r="92" spans="1:55" ht="14.25" hidden="1" customHeight="1">
      <c r="A92" s="43"/>
      <c r="B92" s="43"/>
      <c r="C92" s="43"/>
      <c r="D92" s="102"/>
      <c r="E92" s="102"/>
      <c r="F92" s="103" t="s">
        <v>541</v>
      </c>
      <c r="G92" s="46"/>
      <c r="H92" s="45" t="s">
        <v>483</v>
      </c>
      <c r="I92" s="71" t="s">
        <v>465</v>
      </c>
      <c r="J92" s="45"/>
      <c r="K92" s="45"/>
      <c r="L92" s="45"/>
      <c r="M92" s="45" t="s">
        <v>542</v>
      </c>
      <c r="N92" s="45">
        <v>85163100</v>
      </c>
      <c r="O92" s="48"/>
      <c r="P92" s="46"/>
      <c r="Q92" s="46"/>
      <c r="R92" s="46"/>
      <c r="S92" s="48"/>
      <c r="T92" s="48"/>
      <c r="U92" s="49">
        <v>3.39</v>
      </c>
      <c r="V92" s="49"/>
      <c r="W92" s="50">
        <f t="shared" si="49"/>
        <v>6.7799999999999999E-2</v>
      </c>
      <c r="X92" s="50">
        <f t="shared" si="93"/>
        <v>0.76071600000000017</v>
      </c>
      <c r="Y92" s="51">
        <f t="shared" si="4"/>
        <v>379.66644000000002</v>
      </c>
      <c r="Z92" s="51">
        <f t="shared" si="94"/>
        <v>448.00639919999998</v>
      </c>
      <c r="AA92" s="52">
        <f>AN92*9%</f>
        <v>89.91</v>
      </c>
      <c r="AB92" s="52">
        <v>47</v>
      </c>
      <c r="AC92" s="52">
        <v>78</v>
      </c>
      <c r="AD92" s="52">
        <f t="shared" si="7"/>
        <v>214.91</v>
      </c>
      <c r="AE92" s="53">
        <f>AN92*B$66</f>
        <v>149.85</v>
      </c>
      <c r="AF92" s="53">
        <f t="shared" si="90"/>
        <v>19.98</v>
      </c>
      <c r="AG92" s="53">
        <f t="shared" si="91"/>
        <v>49.95</v>
      </c>
      <c r="AH92" s="54">
        <f t="shared" si="92"/>
        <v>19.98</v>
      </c>
      <c r="AI92" s="54">
        <f t="shared" si="89"/>
        <v>152.38983050847457</v>
      </c>
      <c r="AJ92" s="54">
        <f t="shared" si="57"/>
        <v>22.400319960000001</v>
      </c>
      <c r="AK92" s="54">
        <f t="shared" si="58"/>
        <v>13.440191975999999</v>
      </c>
      <c r="AL92" s="55">
        <f t="shared" si="81"/>
        <v>-23.566782444474519</v>
      </c>
      <c r="AM92" s="105">
        <f t="shared" si="82"/>
        <v>-2.3590372817291812E-2</v>
      </c>
      <c r="AN92" s="71">
        <v>999</v>
      </c>
      <c r="AO92" s="71"/>
      <c r="AP92" s="71"/>
      <c r="AQ92" s="71"/>
      <c r="AR92" s="71">
        <v>1999</v>
      </c>
      <c r="AS92" s="45"/>
      <c r="AT92" s="45"/>
      <c r="AU92" s="45"/>
      <c r="AV92" s="57">
        <f t="shared" si="17"/>
        <v>466.9437294915254</v>
      </c>
      <c r="AW92" s="58">
        <f t="shared" si="18"/>
        <v>0.46741114063215755</v>
      </c>
      <c r="AX92" s="45"/>
      <c r="AY92" s="59">
        <f t="shared" si="19"/>
        <v>111.99600000000001</v>
      </c>
      <c r="AZ92" s="60">
        <f t="shared" si="20"/>
        <v>221.02559288621873</v>
      </c>
      <c r="BA92" s="60">
        <f t="shared" si="21"/>
        <v>294.69026548672565</v>
      </c>
      <c r="BB92" s="45"/>
      <c r="BC92" s="45"/>
    </row>
    <row r="93" spans="1:55" ht="14.25" customHeight="1">
      <c r="A93" s="43"/>
      <c r="B93" s="43"/>
      <c r="C93" s="43"/>
      <c r="D93" s="102"/>
      <c r="E93" s="102"/>
      <c r="F93" s="103" t="s">
        <v>543</v>
      </c>
      <c r="G93" s="46" t="s">
        <v>544</v>
      </c>
      <c r="H93" s="45" t="s">
        <v>545</v>
      </c>
      <c r="I93" s="47" t="s">
        <v>314</v>
      </c>
      <c r="J93" s="61" t="s">
        <v>465</v>
      </c>
      <c r="K93" s="45"/>
      <c r="L93" s="45" t="s">
        <v>546</v>
      </c>
      <c r="M93" s="107" t="s">
        <v>547</v>
      </c>
      <c r="N93" s="45">
        <v>90191020</v>
      </c>
      <c r="O93" s="48"/>
      <c r="P93" s="46"/>
      <c r="Q93" s="46"/>
      <c r="R93" s="46"/>
      <c r="S93" s="48"/>
      <c r="T93" s="48"/>
      <c r="U93" s="49">
        <v>6</v>
      </c>
      <c r="V93" s="49">
        <v>6</v>
      </c>
      <c r="W93" s="50">
        <f t="shared" si="49"/>
        <v>0.12</v>
      </c>
      <c r="X93" s="50">
        <f t="shared" ref="X93:X95" si="95">(U93+W93)*(B$42+(B$42*B$45))</f>
        <v>0.67320000000000013</v>
      </c>
      <c r="Y93" s="51">
        <f t="shared" si="4"/>
        <v>611.38800000000003</v>
      </c>
      <c r="Z93" s="51">
        <f t="shared" si="94"/>
        <v>721.43784000000005</v>
      </c>
      <c r="AA93" s="52">
        <f t="shared" ref="AA93:AA94" si="96">AN93*7.5%</f>
        <v>89.924999999999997</v>
      </c>
      <c r="AB93" s="52">
        <v>51</v>
      </c>
      <c r="AC93" s="52">
        <v>59</v>
      </c>
      <c r="AD93" s="52">
        <f t="shared" si="7"/>
        <v>199.92500000000001</v>
      </c>
      <c r="AE93" s="53">
        <f t="shared" ref="AE93:AE94" si="97">AN93*B$72</f>
        <v>239.8</v>
      </c>
      <c r="AF93" s="53">
        <f t="shared" si="90"/>
        <v>23.98</v>
      </c>
      <c r="AG93" s="53">
        <f t="shared" si="91"/>
        <v>59.95</v>
      </c>
      <c r="AH93" s="54">
        <f t="shared" si="92"/>
        <v>23.98</v>
      </c>
      <c r="AI93" s="54">
        <f>AN93-(AN93/1.05)</f>
        <v>57.095238095238074</v>
      </c>
      <c r="AJ93" s="54">
        <f t="shared" si="57"/>
        <v>36.071892000000005</v>
      </c>
      <c r="AK93" s="54">
        <f t="shared" si="58"/>
        <v>21.6431352</v>
      </c>
      <c r="AL93" s="55">
        <f t="shared" si="81"/>
        <v>-74.833265295238135</v>
      </c>
      <c r="AM93" s="105">
        <f t="shared" si="82"/>
        <v>-6.2413065300448822E-2</v>
      </c>
      <c r="AN93" s="71">
        <v>1199</v>
      </c>
      <c r="AO93" s="71"/>
      <c r="AP93" s="71">
        <v>999</v>
      </c>
      <c r="AQ93" s="71"/>
      <c r="AR93" s="71">
        <v>2999</v>
      </c>
      <c r="AS93" s="45"/>
      <c r="AT93" s="45"/>
      <c r="AU93" s="45"/>
      <c r="AV93" s="57">
        <f t="shared" si="17"/>
        <v>530.51676190476189</v>
      </c>
      <c r="AW93" s="58">
        <f t="shared" si="18"/>
        <v>0.44246602327336271</v>
      </c>
      <c r="AX93" s="45">
        <v>8904422504264</v>
      </c>
      <c r="AY93" s="59">
        <f t="shared" si="19"/>
        <v>101.89800000000001</v>
      </c>
      <c r="AZ93" s="60">
        <f t="shared" si="20"/>
        <v>164.73336081179218</v>
      </c>
      <c r="BA93" s="60">
        <f t="shared" si="21"/>
        <v>199.83333333333334</v>
      </c>
      <c r="BB93" s="45"/>
      <c r="BC93" s="45"/>
    </row>
    <row r="94" spans="1:55" ht="14.25" customHeight="1">
      <c r="A94" s="43"/>
      <c r="B94" s="43"/>
      <c r="C94" s="43"/>
      <c r="D94" s="69"/>
      <c r="E94" s="69"/>
      <c r="F94" s="47" t="s">
        <v>548</v>
      </c>
      <c r="G94" s="46" t="s">
        <v>549</v>
      </c>
      <c r="H94" s="45" t="s">
        <v>550</v>
      </c>
      <c r="I94" s="47" t="s">
        <v>314</v>
      </c>
      <c r="J94" s="61" t="s">
        <v>465</v>
      </c>
      <c r="K94" s="45"/>
      <c r="L94" s="45" t="s">
        <v>546</v>
      </c>
      <c r="M94" s="107" t="s">
        <v>551</v>
      </c>
      <c r="N94" s="45">
        <v>90191020</v>
      </c>
      <c r="O94" s="48"/>
      <c r="P94" s="46"/>
      <c r="Q94" s="46"/>
      <c r="R94" s="46"/>
      <c r="S94" s="48"/>
      <c r="T94" s="48"/>
      <c r="U94" s="49">
        <v>6</v>
      </c>
      <c r="V94" s="49"/>
      <c r="W94" s="50">
        <f t="shared" si="49"/>
        <v>0.12</v>
      </c>
      <c r="X94" s="50">
        <f t="shared" si="95"/>
        <v>0.67320000000000013</v>
      </c>
      <c r="Y94" s="51">
        <f t="shared" si="4"/>
        <v>611.38800000000003</v>
      </c>
      <c r="Z94" s="51">
        <f t="shared" si="94"/>
        <v>721.43784000000005</v>
      </c>
      <c r="AA94" s="52">
        <f t="shared" si="96"/>
        <v>115.425</v>
      </c>
      <c r="AB94" s="52">
        <v>51</v>
      </c>
      <c r="AC94" s="52">
        <v>59</v>
      </c>
      <c r="AD94" s="52">
        <f t="shared" si="7"/>
        <v>225.42500000000001</v>
      </c>
      <c r="AE94" s="53">
        <f t="shared" si="97"/>
        <v>307.8</v>
      </c>
      <c r="AF94" s="53">
        <f t="shared" si="90"/>
        <v>30.78</v>
      </c>
      <c r="AG94" s="53">
        <v>0</v>
      </c>
      <c r="AH94" s="54">
        <f t="shared" si="92"/>
        <v>30.78</v>
      </c>
      <c r="AI94" s="54">
        <f t="shared" ref="AI94:AI108" si="98">AN94-(AN94/1.18)</f>
        <v>234.76271186440681</v>
      </c>
      <c r="AJ94" s="54">
        <f t="shared" si="57"/>
        <v>36.071892000000005</v>
      </c>
      <c r="AK94" s="54">
        <f t="shared" si="58"/>
        <v>21.6431352</v>
      </c>
      <c r="AL94" s="55">
        <f t="shared" si="81"/>
        <v>40.349260935593065</v>
      </c>
      <c r="AM94" s="62">
        <f t="shared" si="82"/>
        <v>2.6217843362958456E-2</v>
      </c>
      <c r="AN94" s="71">
        <v>1539</v>
      </c>
      <c r="AO94" s="71"/>
      <c r="AP94" s="71"/>
      <c r="AQ94" s="71"/>
      <c r="AR94" s="71">
        <v>2999</v>
      </c>
      <c r="AS94" s="45"/>
      <c r="AT94" s="45"/>
      <c r="AU94" s="45"/>
      <c r="AV94" s="57">
        <f t="shared" si="17"/>
        <v>692.84928813559316</v>
      </c>
      <c r="AW94" s="58">
        <f t="shared" si="18"/>
        <v>0.45019446922390716</v>
      </c>
      <c r="AX94" s="45">
        <v>8904422504264</v>
      </c>
      <c r="AY94" s="59">
        <f t="shared" si="19"/>
        <v>101.89800000000001</v>
      </c>
      <c r="AZ94" s="60">
        <f t="shared" si="20"/>
        <v>211.44674085850556</v>
      </c>
      <c r="BA94" s="60">
        <f t="shared" si="21"/>
        <v>256.5</v>
      </c>
      <c r="BB94" s="45"/>
      <c r="BC94" s="45"/>
    </row>
    <row r="95" spans="1:55" ht="14.25" hidden="1" customHeight="1">
      <c r="A95" s="43"/>
      <c r="B95" s="43"/>
      <c r="C95" s="43"/>
      <c r="D95" s="69"/>
      <c r="E95" s="69"/>
      <c r="F95" s="47" t="s">
        <v>552</v>
      </c>
      <c r="G95" s="46" t="s">
        <v>553</v>
      </c>
      <c r="H95" s="45" t="s">
        <v>554</v>
      </c>
      <c r="I95" s="47" t="s">
        <v>314</v>
      </c>
      <c r="J95" s="61" t="s">
        <v>437</v>
      </c>
      <c r="K95" s="45"/>
      <c r="L95" s="45" t="s">
        <v>555</v>
      </c>
      <c r="M95" s="107" t="s">
        <v>556</v>
      </c>
      <c r="N95" s="107">
        <v>85437093</v>
      </c>
      <c r="O95" s="48"/>
      <c r="P95" s="46"/>
      <c r="Q95" s="46"/>
      <c r="R95" s="46"/>
      <c r="S95" s="48"/>
      <c r="T95" s="48"/>
      <c r="U95" s="49">
        <v>3.15</v>
      </c>
      <c r="V95" s="49">
        <v>3.15</v>
      </c>
      <c r="W95" s="50">
        <f t="shared" si="49"/>
        <v>6.3E-2</v>
      </c>
      <c r="X95" s="50">
        <f t="shared" si="95"/>
        <v>0.35343000000000008</v>
      </c>
      <c r="Y95" s="51">
        <f t="shared" si="4"/>
        <v>320.9787</v>
      </c>
      <c r="Z95" s="51">
        <f t="shared" si="94"/>
        <v>378.75486599999999</v>
      </c>
      <c r="AA95" s="52">
        <f>AN95*11%</f>
        <v>65.89</v>
      </c>
      <c r="AB95" s="52">
        <v>25</v>
      </c>
      <c r="AC95" s="52">
        <v>59</v>
      </c>
      <c r="AD95" s="52">
        <f t="shared" si="7"/>
        <v>149.88999999999999</v>
      </c>
      <c r="AE95" s="53">
        <f t="shared" ref="AE95:AE96" si="99">AN95*B$66</f>
        <v>89.85</v>
      </c>
      <c r="AF95" s="53"/>
      <c r="AG95" s="53">
        <v>0</v>
      </c>
      <c r="AH95" s="54"/>
      <c r="AI95" s="54">
        <f t="shared" si="98"/>
        <v>91.372881355932179</v>
      </c>
      <c r="AJ95" s="54">
        <f t="shared" si="57"/>
        <v>18.937743300000001</v>
      </c>
      <c r="AK95" s="54">
        <f t="shared" si="58"/>
        <v>11.36264598</v>
      </c>
      <c r="AL95" s="55">
        <f t="shared" si="81"/>
        <v>-83.391970635932154</v>
      </c>
      <c r="AM95" s="56">
        <f t="shared" si="82"/>
        <v>-0.13921864880790008</v>
      </c>
      <c r="AN95" s="71">
        <v>599</v>
      </c>
      <c r="AO95" s="71"/>
      <c r="AP95" s="71"/>
      <c r="AQ95" s="71"/>
      <c r="AR95" s="71">
        <v>1499</v>
      </c>
      <c r="AS95" s="45"/>
      <c r="AT95" s="45"/>
      <c r="AU95" s="45"/>
      <c r="AV95" s="57">
        <f t="shared" si="17"/>
        <v>186.64841864406782</v>
      </c>
      <c r="AW95" s="58">
        <f t="shared" si="18"/>
        <v>0.31160003112532192</v>
      </c>
      <c r="AX95" s="45">
        <v>8904422504325</v>
      </c>
      <c r="AY95" s="59">
        <f t="shared" si="19"/>
        <v>101.89800000000001</v>
      </c>
      <c r="AZ95" s="60">
        <f t="shared" si="20"/>
        <v>156.75806525479726</v>
      </c>
      <c r="BA95" s="60">
        <f t="shared" si="21"/>
        <v>190.15873015873015</v>
      </c>
      <c r="BB95" s="45"/>
      <c r="BC95" s="45"/>
    </row>
    <row r="96" spans="1:55" ht="14.25" customHeight="1">
      <c r="A96" s="43"/>
      <c r="B96" s="43"/>
      <c r="C96" s="43"/>
      <c r="D96" s="44"/>
      <c r="E96" s="44"/>
      <c r="F96" s="45" t="s">
        <v>557</v>
      </c>
      <c r="G96" s="45" t="s">
        <v>558</v>
      </c>
      <c r="H96" s="71" t="s">
        <v>559</v>
      </c>
      <c r="I96" s="47" t="s">
        <v>304</v>
      </c>
      <c r="J96" s="61" t="s">
        <v>304</v>
      </c>
      <c r="K96" s="71"/>
      <c r="L96" s="71" t="s">
        <v>560</v>
      </c>
      <c r="M96" s="71" t="s">
        <v>561</v>
      </c>
      <c r="N96" s="45">
        <v>84212190</v>
      </c>
      <c r="O96" s="71">
        <v>0.06</v>
      </c>
      <c r="P96" s="71">
        <v>20</v>
      </c>
      <c r="Q96" s="71">
        <v>18</v>
      </c>
      <c r="R96" s="71">
        <v>14</v>
      </c>
      <c r="S96" s="48">
        <f>(P96*Q96*R96)/1000000</f>
        <v>5.0400000000000002E-3</v>
      </c>
      <c r="T96" s="48">
        <f>(P96*Q96*R96)/5000</f>
        <v>1.008</v>
      </c>
      <c r="U96" s="49">
        <v>4.5</v>
      </c>
      <c r="V96" s="49">
        <v>4.7</v>
      </c>
      <c r="W96" s="50">
        <f t="shared" si="49"/>
        <v>0.09</v>
      </c>
      <c r="X96" s="50">
        <f>(U96+W96)*(B$43+(B$43*B$45))</f>
        <v>0.37867499999999993</v>
      </c>
      <c r="Y96" s="51">
        <f t="shared" si="4"/>
        <v>447.18074999999999</v>
      </c>
      <c r="Z96" s="51">
        <f t="shared" si="94"/>
        <v>527.67328499999996</v>
      </c>
      <c r="AA96" s="52">
        <f>AN96*12.5%</f>
        <v>156.125</v>
      </c>
      <c r="AB96" s="52">
        <v>51</v>
      </c>
      <c r="AC96" s="52">
        <v>115</v>
      </c>
      <c r="AD96" s="52">
        <f t="shared" si="7"/>
        <v>322.125</v>
      </c>
      <c r="AE96" s="53">
        <f t="shared" si="99"/>
        <v>187.35</v>
      </c>
      <c r="AF96" s="53"/>
      <c r="AG96" s="53">
        <f>AN96*B$67</f>
        <v>62.45</v>
      </c>
      <c r="AH96" s="54"/>
      <c r="AI96" s="54">
        <f t="shared" si="98"/>
        <v>190.52542372881339</v>
      </c>
      <c r="AJ96" s="54">
        <f t="shared" si="57"/>
        <v>26.383664249999999</v>
      </c>
      <c r="AK96" s="54">
        <f t="shared" si="58"/>
        <v>15.830198549999999</v>
      </c>
      <c r="AL96" s="55">
        <f t="shared" si="81"/>
        <v>-2.8450365288133916</v>
      </c>
      <c r="AM96" s="62">
        <f t="shared" si="82"/>
        <v>-2.2778515042541168E-3</v>
      </c>
      <c r="AN96" s="71">
        <v>1249</v>
      </c>
      <c r="AO96" s="71"/>
      <c r="AP96" s="71"/>
      <c r="AQ96" s="71"/>
      <c r="AR96" s="71">
        <v>2999</v>
      </c>
      <c r="AS96" s="45"/>
      <c r="AT96" s="45"/>
      <c r="AU96" s="45"/>
      <c r="AV96" s="57">
        <f t="shared" si="17"/>
        <v>611.29382627118662</v>
      </c>
      <c r="AW96" s="58">
        <f t="shared" si="18"/>
        <v>0.48942660229878832</v>
      </c>
      <c r="AX96" s="71">
        <v>8904422504257</v>
      </c>
      <c r="AY96" s="59">
        <f t="shared" si="19"/>
        <v>99.373499999999993</v>
      </c>
      <c r="AZ96" s="60">
        <f t="shared" si="20"/>
        <v>234.61653928528901</v>
      </c>
      <c r="BA96" s="60">
        <f t="shared" si="21"/>
        <v>277.55555555555554</v>
      </c>
      <c r="BB96" s="45"/>
      <c r="BC96" s="45"/>
    </row>
    <row r="97" spans="1:55" ht="14.25" customHeight="1">
      <c r="A97" s="43"/>
      <c r="B97" s="43"/>
      <c r="C97" s="43"/>
      <c r="D97" s="44"/>
      <c r="E97" s="44"/>
      <c r="F97" s="73" t="s">
        <v>562</v>
      </c>
      <c r="G97" s="96" t="s">
        <v>563</v>
      </c>
      <c r="H97" s="71" t="s">
        <v>564</v>
      </c>
      <c r="I97" s="47" t="s">
        <v>314</v>
      </c>
      <c r="J97" s="61" t="s">
        <v>315</v>
      </c>
      <c r="K97" s="71"/>
      <c r="L97" s="71" t="s">
        <v>332</v>
      </c>
      <c r="M97" s="71" t="s">
        <v>565</v>
      </c>
      <c r="N97" s="45">
        <v>85098000</v>
      </c>
      <c r="O97" s="71"/>
      <c r="P97" s="71"/>
      <c r="Q97" s="71"/>
      <c r="R97" s="71"/>
      <c r="S97" s="71"/>
      <c r="T97" s="71"/>
      <c r="U97" s="49">
        <v>5.16</v>
      </c>
      <c r="V97" s="49">
        <v>5.16</v>
      </c>
      <c r="W97" s="50">
        <f t="shared" si="49"/>
        <v>0.1032</v>
      </c>
      <c r="X97" s="50">
        <f t="shared" ref="X97:X102" si="100">(U97+W97)*(B$31+(B$31*B$45))</f>
        <v>1.1579040000000003</v>
      </c>
      <c r="Y97" s="51">
        <f t="shared" si="4"/>
        <v>577.89936</v>
      </c>
      <c r="Z97" s="51">
        <f t="shared" si="94"/>
        <v>681.92124479999995</v>
      </c>
      <c r="AA97" s="52">
        <f>AN97*7.5%</f>
        <v>89.924999999999997</v>
      </c>
      <c r="AB97" s="52">
        <v>51</v>
      </c>
      <c r="AC97" s="52">
        <v>59</v>
      </c>
      <c r="AD97" s="52">
        <f t="shared" si="7"/>
        <v>199.92500000000001</v>
      </c>
      <c r="AE97" s="53">
        <f t="shared" ref="AE97:AE102" si="101">AN97*B$72</f>
        <v>239.8</v>
      </c>
      <c r="AF97" s="53"/>
      <c r="AG97" s="53">
        <v>0</v>
      </c>
      <c r="AH97" s="54"/>
      <c r="AI97" s="54">
        <f t="shared" si="98"/>
        <v>182.89830508474574</v>
      </c>
      <c r="AJ97" s="54">
        <f t="shared" si="57"/>
        <v>34.096062240000002</v>
      </c>
      <c r="AK97" s="54">
        <f t="shared" si="58"/>
        <v>20.457637343999998</v>
      </c>
      <c r="AL97" s="55">
        <f t="shared" si="81"/>
        <v>-56.076364668745768</v>
      </c>
      <c r="AM97" s="62">
        <f t="shared" si="82"/>
        <v>-4.6769278289195804E-2</v>
      </c>
      <c r="AN97" s="71">
        <v>1199</v>
      </c>
      <c r="AO97" s="71"/>
      <c r="AP97" s="71">
        <v>1199</v>
      </c>
      <c r="AQ97" s="71"/>
      <c r="AR97" s="71">
        <v>1699</v>
      </c>
      <c r="AS97" s="45"/>
      <c r="AT97" s="45"/>
      <c r="AU97" s="45"/>
      <c r="AV97" s="57">
        <f t="shared" si="17"/>
        <v>438.20233491525426</v>
      </c>
      <c r="AW97" s="58">
        <f t="shared" si="18"/>
        <v>0.36547317340721791</v>
      </c>
      <c r="AX97" s="45">
        <v>8904422504646</v>
      </c>
      <c r="AY97" s="59">
        <f t="shared" si="19"/>
        <v>111.996</v>
      </c>
      <c r="AZ97" s="60">
        <f t="shared" si="20"/>
        <v>174.27948008109922</v>
      </c>
      <c r="BA97" s="60">
        <f t="shared" si="21"/>
        <v>232.36434108527132</v>
      </c>
      <c r="BB97" s="45"/>
      <c r="BC97" s="45"/>
    </row>
    <row r="98" spans="1:55" ht="14.25" hidden="1" customHeight="1">
      <c r="A98" s="43"/>
      <c r="B98" s="43"/>
      <c r="C98" s="43"/>
      <c r="D98" s="44"/>
      <c r="E98" s="44"/>
      <c r="F98" s="73" t="s">
        <v>566</v>
      </c>
      <c r="G98" s="96"/>
      <c r="H98" s="71" t="s">
        <v>394</v>
      </c>
      <c r="I98" s="47" t="s">
        <v>314</v>
      </c>
      <c r="J98" s="61" t="s">
        <v>315</v>
      </c>
      <c r="K98" s="71"/>
      <c r="L98" s="71" t="s">
        <v>332</v>
      </c>
      <c r="M98" s="71" t="s">
        <v>567</v>
      </c>
      <c r="N98" s="45">
        <v>85098000</v>
      </c>
      <c r="O98" s="71"/>
      <c r="P98" s="71"/>
      <c r="Q98" s="71"/>
      <c r="R98" s="71"/>
      <c r="S98" s="71"/>
      <c r="T98" s="71"/>
      <c r="U98" s="49">
        <f t="shared" ref="U98:U99" si="102">2.15+0.2</f>
        <v>2.35</v>
      </c>
      <c r="V98" s="49"/>
      <c r="W98" s="50">
        <f t="shared" si="49"/>
        <v>4.7E-2</v>
      </c>
      <c r="X98" s="50">
        <f t="shared" si="100"/>
        <v>0.52734000000000014</v>
      </c>
      <c r="Y98" s="51">
        <f t="shared" si="4"/>
        <v>263.19060000000002</v>
      </c>
      <c r="Z98" s="51">
        <f t="shared" si="94"/>
        <v>310.564908</v>
      </c>
      <c r="AA98" s="52">
        <f t="shared" ref="AA98:AA99" si="103">AN98*4.5%</f>
        <v>22.454999999999998</v>
      </c>
      <c r="AB98" s="52">
        <v>12</v>
      </c>
      <c r="AC98" s="52">
        <v>60</v>
      </c>
      <c r="AD98" s="52">
        <f t="shared" si="7"/>
        <v>94.454999999999998</v>
      </c>
      <c r="AE98" s="53">
        <f t="shared" si="101"/>
        <v>99.800000000000011</v>
      </c>
      <c r="AF98" s="53">
        <f t="shared" ref="AF98:AF142" si="104">AN98*$B$70</f>
        <v>9.98</v>
      </c>
      <c r="AG98" s="53">
        <v>0</v>
      </c>
      <c r="AH98" s="54">
        <f t="shared" ref="AH98:AH142" si="105">AN98*$B$74</f>
        <v>9.98</v>
      </c>
      <c r="AI98" s="54">
        <f t="shared" si="98"/>
        <v>76.118644067796595</v>
      </c>
      <c r="AJ98" s="54">
        <f t="shared" si="57"/>
        <v>15.528245400000001</v>
      </c>
      <c r="AK98" s="54">
        <f t="shared" si="58"/>
        <v>9.3169472399999993</v>
      </c>
      <c r="AL98" s="55">
        <f t="shared" si="81"/>
        <v>-79.369436707796609</v>
      </c>
      <c r="AM98" s="56">
        <f t="shared" si="82"/>
        <v>-0.15905698739037397</v>
      </c>
      <c r="AN98" s="71">
        <v>499</v>
      </c>
      <c r="AO98" s="71"/>
      <c r="AP98" s="71"/>
      <c r="AQ98" s="71"/>
      <c r="AR98" s="71">
        <v>1249</v>
      </c>
      <c r="AS98" s="45"/>
      <c r="AT98" s="45"/>
      <c r="AU98" s="45"/>
      <c r="AV98" s="57">
        <f t="shared" si="17"/>
        <v>159.69075593220339</v>
      </c>
      <c r="AW98" s="58">
        <f t="shared" si="18"/>
        <v>0.32002155497435547</v>
      </c>
      <c r="AX98" s="77" t="s">
        <v>396</v>
      </c>
      <c r="AY98" s="59">
        <f t="shared" si="19"/>
        <v>111.99600000000001</v>
      </c>
      <c r="AZ98" s="60">
        <f t="shared" si="20"/>
        <v>159.26100704204481</v>
      </c>
      <c r="BA98" s="60">
        <f t="shared" si="21"/>
        <v>212.34042553191489</v>
      </c>
      <c r="BB98" s="45"/>
      <c r="BC98" s="45"/>
    </row>
    <row r="99" spans="1:55" ht="14.25" hidden="1" customHeight="1">
      <c r="A99" s="43"/>
      <c r="B99" s="43"/>
      <c r="C99" s="43"/>
      <c r="D99" s="44"/>
      <c r="E99" s="44"/>
      <c r="F99" s="73" t="s">
        <v>568</v>
      </c>
      <c r="G99" s="45" t="s">
        <v>569</v>
      </c>
      <c r="H99" s="71" t="s">
        <v>399</v>
      </c>
      <c r="I99" s="47" t="s">
        <v>314</v>
      </c>
      <c r="J99" s="61" t="s">
        <v>315</v>
      </c>
      <c r="K99" s="71"/>
      <c r="L99" s="71" t="s">
        <v>332</v>
      </c>
      <c r="M99" s="71" t="s">
        <v>567</v>
      </c>
      <c r="N99" s="45">
        <v>85098000</v>
      </c>
      <c r="O99" s="71"/>
      <c r="P99" s="71"/>
      <c r="Q99" s="71"/>
      <c r="R99" s="71"/>
      <c r="S99" s="71"/>
      <c r="T99" s="71"/>
      <c r="U99" s="49">
        <f t="shared" si="102"/>
        <v>2.35</v>
      </c>
      <c r="V99" s="49"/>
      <c r="W99" s="50">
        <f t="shared" si="49"/>
        <v>4.7E-2</v>
      </c>
      <c r="X99" s="50">
        <f t="shared" si="100"/>
        <v>0.52734000000000014</v>
      </c>
      <c r="Y99" s="51">
        <f t="shared" si="4"/>
        <v>263.19060000000002</v>
      </c>
      <c r="Z99" s="51">
        <f t="shared" si="94"/>
        <v>310.564908</v>
      </c>
      <c r="AA99" s="52">
        <f t="shared" si="103"/>
        <v>22.454999999999998</v>
      </c>
      <c r="AB99" s="52">
        <v>12</v>
      </c>
      <c r="AC99" s="52">
        <v>60</v>
      </c>
      <c r="AD99" s="52">
        <f t="shared" si="7"/>
        <v>94.454999999999998</v>
      </c>
      <c r="AE99" s="53">
        <f t="shared" si="101"/>
        <v>99.800000000000011</v>
      </c>
      <c r="AF99" s="53">
        <f t="shared" si="104"/>
        <v>9.98</v>
      </c>
      <c r="AG99" s="53">
        <v>0</v>
      </c>
      <c r="AH99" s="54">
        <f t="shared" si="105"/>
        <v>9.98</v>
      </c>
      <c r="AI99" s="54">
        <f t="shared" si="98"/>
        <v>76.118644067796595</v>
      </c>
      <c r="AJ99" s="54">
        <f t="shared" si="57"/>
        <v>15.528245400000001</v>
      </c>
      <c r="AK99" s="54">
        <f t="shared" si="58"/>
        <v>9.3169472399999993</v>
      </c>
      <c r="AL99" s="55">
        <f t="shared" si="81"/>
        <v>-79.369436707796609</v>
      </c>
      <c r="AM99" s="56">
        <f t="shared" si="82"/>
        <v>-0.15905698739037397</v>
      </c>
      <c r="AN99" s="71">
        <v>499</v>
      </c>
      <c r="AO99" s="71"/>
      <c r="AP99" s="71"/>
      <c r="AQ99" s="71"/>
      <c r="AR99" s="71">
        <v>1249</v>
      </c>
      <c r="AS99" s="45"/>
      <c r="AT99" s="45"/>
      <c r="AU99" s="45"/>
      <c r="AV99" s="57">
        <f t="shared" si="17"/>
        <v>159.69075593220339</v>
      </c>
      <c r="AW99" s="58">
        <f t="shared" si="18"/>
        <v>0.32002155497435547</v>
      </c>
      <c r="AX99" s="77" t="s">
        <v>401</v>
      </c>
      <c r="AY99" s="59">
        <f t="shared" si="19"/>
        <v>111.99600000000001</v>
      </c>
      <c r="AZ99" s="60">
        <f t="shared" si="20"/>
        <v>159.26100704204481</v>
      </c>
      <c r="BA99" s="60">
        <f t="shared" si="21"/>
        <v>212.34042553191489</v>
      </c>
      <c r="BB99" s="45"/>
      <c r="BC99" s="45"/>
    </row>
    <row r="100" spans="1:55" ht="14.25" customHeight="1">
      <c r="A100" s="43"/>
      <c r="B100" s="43"/>
      <c r="C100" s="43"/>
      <c r="D100" s="44"/>
      <c r="E100" s="44"/>
      <c r="F100" s="73" t="s">
        <v>570</v>
      </c>
      <c r="G100" s="96" t="s">
        <v>571</v>
      </c>
      <c r="H100" s="71" t="s">
        <v>572</v>
      </c>
      <c r="I100" s="47" t="s">
        <v>314</v>
      </c>
      <c r="J100" s="61" t="s">
        <v>437</v>
      </c>
      <c r="K100" s="71"/>
      <c r="L100" s="71" t="s">
        <v>573</v>
      </c>
      <c r="M100" s="71" t="s">
        <v>574</v>
      </c>
      <c r="N100" s="45">
        <v>85437093</v>
      </c>
      <c r="O100" s="71"/>
      <c r="P100" s="71"/>
      <c r="Q100" s="71"/>
      <c r="R100" s="71"/>
      <c r="S100" s="71"/>
      <c r="T100" s="71"/>
      <c r="U100" s="49">
        <v>6.65</v>
      </c>
      <c r="V100" s="49">
        <v>6.7</v>
      </c>
      <c r="W100" s="50">
        <f t="shared" si="49"/>
        <v>0.13300000000000001</v>
      </c>
      <c r="X100" s="50">
        <f t="shared" si="100"/>
        <v>1.4922600000000004</v>
      </c>
      <c r="Y100" s="51">
        <f t="shared" si="4"/>
        <v>744.77340000000015</v>
      </c>
      <c r="Z100" s="51">
        <f t="shared" si="94"/>
        <v>878.83261200000015</v>
      </c>
      <c r="AA100" s="52">
        <f>AN100*7%</f>
        <v>122.43</v>
      </c>
      <c r="AB100" s="52">
        <v>51</v>
      </c>
      <c r="AC100" s="52">
        <v>115</v>
      </c>
      <c r="AD100" s="52">
        <f t="shared" si="7"/>
        <v>288.43</v>
      </c>
      <c r="AE100" s="53">
        <f t="shared" si="101"/>
        <v>349.8</v>
      </c>
      <c r="AF100" s="53">
        <f t="shared" si="104"/>
        <v>34.980000000000004</v>
      </c>
      <c r="AG100" s="53">
        <f t="shared" ref="AG100:AG149" si="106">AN100*B$67</f>
        <v>87.45</v>
      </c>
      <c r="AH100" s="54">
        <f t="shared" si="105"/>
        <v>34.980000000000004</v>
      </c>
      <c r="AI100" s="54">
        <f t="shared" si="98"/>
        <v>266.79661016949149</v>
      </c>
      <c r="AJ100" s="54">
        <f t="shared" si="57"/>
        <v>43.941630600000011</v>
      </c>
      <c r="AK100" s="54">
        <f t="shared" si="58"/>
        <v>26.364978360000002</v>
      </c>
      <c r="AL100" s="55">
        <f t="shared" si="81"/>
        <v>-128.51661912949163</v>
      </c>
      <c r="AM100" s="62">
        <f t="shared" si="82"/>
        <v>-7.3480056677811115E-2</v>
      </c>
      <c r="AN100" s="71">
        <v>1749</v>
      </c>
      <c r="AO100" s="71"/>
      <c r="AP100" s="71">
        <v>1549</v>
      </c>
      <c r="AQ100" s="71"/>
      <c r="AR100" s="71">
        <v>3399</v>
      </c>
      <c r="AS100" s="45"/>
      <c r="AT100" s="45"/>
      <c r="AU100" s="45"/>
      <c r="AV100" s="57">
        <f t="shared" si="17"/>
        <v>737.42998983050836</v>
      </c>
      <c r="AW100" s="58">
        <f t="shared" si="18"/>
        <v>0.42162949675843819</v>
      </c>
      <c r="AX100" s="45">
        <v>8904422504653</v>
      </c>
      <c r="AY100" s="59">
        <f t="shared" si="19"/>
        <v>111.99600000000002</v>
      </c>
      <c r="AZ100" s="60">
        <f t="shared" si="20"/>
        <v>197.26268419360838</v>
      </c>
      <c r="BA100" s="60">
        <f t="shared" si="21"/>
        <v>263.00751879699249</v>
      </c>
      <c r="BB100" s="45"/>
      <c r="BC100" s="45"/>
    </row>
    <row r="101" spans="1:55" ht="14.25" customHeight="1">
      <c r="A101" s="43"/>
      <c r="B101" s="43"/>
      <c r="C101" s="43"/>
      <c r="D101" s="44"/>
      <c r="E101" s="44"/>
      <c r="F101" s="45" t="s">
        <v>575</v>
      </c>
      <c r="G101" s="96" t="s">
        <v>576</v>
      </c>
      <c r="H101" s="71" t="s">
        <v>577</v>
      </c>
      <c r="I101" s="47" t="s">
        <v>314</v>
      </c>
      <c r="J101" s="61" t="s">
        <v>465</v>
      </c>
      <c r="K101" s="71"/>
      <c r="L101" s="71" t="s">
        <v>578</v>
      </c>
      <c r="M101" s="71" t="s">
        <v>579</v>
      </c>
      <c r="N101" s="45">
        <v>85163200</v>
      </c>
      <c r="O101" s="71"/>
      <c r="P101" s="71"/>
      <c r="Q101" s="71"/>
      <c r="R101" s="71"/>
      <c r="S101" s="71"/>
      <c r="T101" s="71"/>
      <c r="U101" s="49">
        <v>6.34</v>
      </c>
      <c r="V101" s="49">
        <v>6.64</v>
      </c>
      <c r="W101" s="50">
        <f t="shared" si="49"/>
        <v>0.1268</v>
      </c>
      <c r="X101" s="50">
        <f t="shared" si="100"/>
        <v>1.4226960000000002</v>
      </c>
      <c r="Y101" s="51">
        <f t="shared" si="4"/>
        <v>710.05464000000006</v>
      </c>
      <c r="Z101" s="51">
        <f t="shared" si="94"/>
        <v>837.86447520000002</v>
      </c>
      <c r="AA101" s="52">
        <f t="shared" ref="AA101:AA102" si="107">AN101*9.5%</f>
        <v>180.405</v>
      </c>
      <c r="AB101" s="52">
        <v>51</v>
      </c>
      <c r="AC101" s="52">
        <v>77</v>
      </c>
      <c r="AD101" s="52">
        <f t="shared" si="7"/>
        <v>308.40499999999997</v>
      </c>
      <c r="AE101" s="53">
        <f t="shared" si="101"/>
        <v>379.8</v>
      </c>
      <c r="AF101" s="53">
        <f t="shared" si="104"/>
        <v>37.980000000000004</v>
      </c>
      <c r="AG101" s="53">
        <f t="shared" si="106"/>
        <v>94.95</v>
      </c>
      <c r="AH101" s="54">
        <f t="shared" si="105"/>
        <v>37.980000000000004</v>
      </c>
      <c r="AI101" s="54">
        <f t="shared" si="98"/>
        <v>289.67796610169489</v>
      </c>
      <c r="AJ101" s="54">
        <f t="shared" si="57"/>
        <v>41.893223760000005</v>
      </c>
      <c r="AK101" s="54">
        <f t="shared" si="58"/>
        <v>25.135934255999999</v>
      </c>
      <c r="AL101" s="55">
        <f t="shared" si="81"/>
        <v>-26.876764117694947</v>
      </c>
      <c r="AM101" s="105">
        <f t="shared" si="82"/>
        <v>-1.4153114332646101E-2</v>
      </c>
      <c r="AN101" s="71">
        <v>1899</v>
      </c>
      <c r="AO101" s="71"/>
      <c r="AP101" s="71">
        <v>1899</v>
      </c>
      <c r="AQ101" s="71"/>
      <c r="AR101" s="71">
        <v>3599</v>
      </c>
      <c r="AS101" s="45"/>
      <c r="AT101" s="45"/>
      <c r="AU101" s="45"/>
      <c r="AV101" s="57">
        <f t="shared" si="17"/>
        <v>899.26739389830504</v>
      </c>
      <c r="AW101" s="58">
        <f t="shared" si="18"/>
        <v>0.47354786408546867</v>
      </c>
      <c r="AX101" s="71">
        <v>8904422504790</v>
      </c>
      <c r="AY101" s="59">
        <f t="shared" si="19"/>
        <v>111.99600000000001</v>
      </c>
      <c r="AZ101" s="60">
        <f t="shared" si="20"/>
        <v>224.65313373629945</v>
      </c>
      <c r="BA101" s="60">
        <f t="shared" si="21"/>
        <v>299.52681388012621</v>
      </c>
      <c r="BB101" s="45"/>
      <c r="BC101" s="45"/>
    </row>
    <row r="102" spans="1:55" ht="14.25" customHeight="1">
      <c r="A102" s="43"/>
      <c r="B102" s="43"/>
      <c r="C102" s="43"/>
      <c r="D102" s="44"/>
      <c r="E102" s="44"/>
      <c r="F102" s="45" t="s">
        <v>580</v>
      </c>
      <c r="G102" s="96" t="s">
        <v>581</v>
      </c>
      <c r="H102" s="71" t="s">
        <v>582</v>
      </c>
      <c r="I102" s="47" t="s">
        <v>314</v>
      </c>
      <c r="J102" s="61" t="s">
        <v>465</v>
      </c>
      <c r="K102" s="71"/>
      <c r="L102" s="45" t="s">
        <v>438</v>
      </c>
      <c r="M102" s="71" t="s">
        <v>583</v>
      </c>
      <c r="N102" s="45">
        <v>85163200</v>
      </c>
      <c r="O102" s="71"/>
      <c r="P102" s="71"/>
      <c r="Q102" s="71"/>
      <c r="R102" s="71"/>
      <c r="S102" s="71"/>
      <c r="T102" s="71"/>
      <c r="U102" s="49">
        <v>7.39</v>
      </c>
      <c r="V102" s="49"/>
      <c r="W102" s="50">
        <f t="shared" si="49"/>
        <v>0.14779999999999999</v>
      </c>
      <c r="X102" s="50">
        <f t="shared" si="100"/>
        <v>1.6583160000000001</v>
      </c>
      <c r="Y102" s="51">
        <f t="shared" si="4"/>
        <v>827.65044</v>
      </c>
      <c r="Z102" s="51">
        <f t="shared" si="94"/>
        <v>976.62751919999994</v>
      </c>
      <c r="AA102" s="52">
        <f t="shared" si="107"/>
        <v>225.53</v>
      </c>
      <c r="AB102" s="52">
        <v>51</v>
      </c>
      <c r="AC102" s="52">
        <v>59</v>
      </c>
      <c r="AD102" s="52">
        <f t="shared" si="7"/>
        <v>335.53</v>
      </c>
      <c r="AE102" s="53">
        <f t="shared" si="101"/>
        <v>474.8</v>
      </c>
      <c r="AF102" s="53">
        <f t="shared" si="104"/>
        <v>47.480000000000004</v>
      </c>
      <c r="AG102" s="53">
        <f t="shared" si="106"/>
        <v>118.7</v>
      </c>
      <c r="AH102" s="54">
        <f t="shared" si="105"/>
        <v>47.480000000000004</v>
      </c>
      <c r="AI102" s="54">
        <f t="shared" si="98"/>
        <v>362.13559322033893</v>
      </c>
      <c r="AJ102" s="54">
        <f t="shared" si="57"/>
        <v>48.831375960000003</v>
      </c>
      <c r="AK102" s="54">
        <f t="shared" si="58"/>
        <v>29.298825575999999</v>
      </c>
      <c r="AL102" s="55">
        <f t="shared" si="81"/>
        <v>82.093765243661167</v>
      </c>
      <c r="AM102" s="105">
        <f t="shared" si="82"/>
        <v>3.4580356041980273E-2</v>
      </c>
      <c r="AN102" s="71">
        <v>2374</v>
      </c>
      <c r="AO102" s="71"/>
      <c r="AP102" s="71">
        <v>2349</v>
      </c>
      <c r="AQ102" s="71"/>
      <c r="AR102" s="71">
        <v>3599</v>
      </c>
      <c r="AS102" s="45"/>
      <c r="AT102" s="45"/>
      <c r="AU102" s="45"/>
      <c r="AV102" s="57">
        <f t="shared" si="17"/>
        <v>1184.213966779661</v>
      </c>
      <c r="AW102" s="58">
        <f t="shared" si="18"/>
        <v>0.49882643925006781</v>
      </c>
      <c r="AX102" s="71">
        <v>8904422504813</v>
      </c>
      <c r="AY102" s="59">
        <f t="shared" si="19"/>
        <v>111.99600000000001</v>
      </c>
      <c r="AZ102" s="60">
        <f t="shared" si="20"/>
        <v>240.94229926344266</v>
      </c>
      <c r="BA102" s="60">
        <f t="shared" si="21"/>
        <v>321.24492557510149</v>
      </c>
      <c r="BB102" s="45"/>
      <c r="BC102" s="45"/>
    </row>
    <row r="103" spans="1:55" ht="14.25" customHeight="1">
      <c r="A103" s="43"/>
      <c r="B103" s="43"/>
      <c r="C103" s="43"/>
      <c r="D103" s="44"/>
      <c r="E103" s="44"/>
      <c r="F103" s="45" t="s">
        <v>584</v>
      </c>
      <c r="G103" s="96" t="s">
        <v>585</v>
      </c>
      <c r="H103" s="71" t="s">
        <v>586</v>
      </c>
      <c r="I103" s="47" t="s">
        <v>234</v>
      </c>
      <c r="J103" s="61" t="s">
        <v>249</v>
      </c>
      <c r="K103" s="71"/>
      <c r="L103" s="71" t="s">
        <v>587</v>
      </c>
      <c r="M103" s="71" t="s">
        <v>588</v>
      </c>
      <c r="N103" s="45">
        <v>85086000</v>
      </c>
      <c r="O103" s="71"/>
      <c r="P103" s="71"/>
      <c r="Q103" s="71"/>
      <c r="R103" s="71"/>
      <c r="S103" s="71"/>
      <c r="T103" s="71"/>
      <c r="U103" s="49">
        <v>11.3</v>
      </c>
      <c r="V103" s="49">
        <v>11.3</v>
      </c>
      <c r="W103" s="50">
        <f t="shared" si="49"/>
        <v>0.22600000000000001</v>
      </c>
      <c r="X103" s="50">
        <f t="shared" ref="X103:X104" si="108">(U103+W103)*(B$42+(B$42*B$45))</f>
        <v>1.2678600000000004</v>
      </c>
      <c r="Y103" s="51">
        <f t="shared" si="4"/>
        <v>1151.4474000000002</v>
      </c>
      <c r="Z103" s="51">
        <f t="shared" si="94"/>
        <v>1358.7079320000003</v>
      </c>
      <c r="AA103" s="52">
        <f>AN103*4.5%</f>
        <v>148.45499999999998</v>
      </c>
      <c r="AB103" s="52">
        <v>51</v>
      </c>
      <c r="AC103" s="52">
        <v>147</v>
      </c>
      <c r="AD103" s="52">
        <f t="shared" si="7"/>
        <v>346.45499999999998</v>
      </c>
      <c r="AE103" s="53">
        <f>AN103*B$66</f>
        <v>494.84999999999997</v>
      </c>
      <c r="AF103" s="53">
        <f t="shared" si="104"/>
        <v>65.98</v>
      </c>
      <c r="AG103" s="53">
        <f t="shared" si="106"/>
        <v>164.95000000000002</v>
      </c>
      <c r="AH103" s="54">
        <f t="shared" si="105"/>
        <v>65.98</v>
      </c>
      <c r="AI103" s="54">
        <f t="shared" si="98"/>
        <v>503.23728813559319</v>
      </c>
      <c r="AJ103" s="54">
        <f t="shared" si="57"/>
        <v>67.935396600000018</v>
      </c>
      <c r="AK103" s="54">
        <f t="shared" si="58"/>
        <v>40.76123796000001</v>
      </c>
      <c r="AL103" s="55">
        <f>SUM(AN103-AI103)-Y103-AD103-AE103-AG103-AJ103-AK103-AF103-AH103</f>
        <v>397.40367730440664</v>
      </c>
      <c r="AM103" s="62">
        <f>AL103/SUM(AN103-AI103)</f>
        <v>0.14214499521648979</v>
      </c>
      <c r="AN103" s="71">
        <v>3299</v>
      </c>
      <c r="AO103" s="71"/>
      <c r="AP103" s="71">
        <v>3299</v>
      </c>
      <c r="AQ103" s="71"/>
      <c r="AR103" s="71">
        <v>6599</v>
      </c>
      <c r="AS103" s="45"/>
      <c r="AT103" s="45"/>
      <c r="AU103" s="45"/>
      <c r="AV103" s="57">
        <f t="shared" si="17"/>
        <v>1644.3153118644066</v>
      </c>
      <c r="AW103" s="58">
        <f t="shared" si="18"/>
        <v>0.49842840614259065</v>
      </c>
      <c r="AX103" s="71">
        <v>8904422504820</v>
      </c>
      <c r="AY103" s="59">
        <f t="shared" si="19"/>
        <v>101.89800000000001</v>
      </c>
      <c r="AZ103" s="60">
        <f t="shared" si="20"/>
        <v>240.66752853842905</v>
      </c>
      <c r="BA103" s="60">
        <f t="shared" si="21"/>
        <v>291.94690265486724</v>
      </c>
      <c r="BB103" s="45"/>
      <c r="BC103" s="45"/>
    </row>
    <row r="104" spans="1:55" ht="14.25" customHeight="1">
      <c r="A104" s="43"/>
      <c r="B104" s="43"/>
      <c r="C104" s="43"/>
      <c r="D104" s="44"/>
      <c r="E104" s="44"/>
      <c r="F104" s="45" t="s">
        <v>589</v>
      </c>
      <c r="G104" s="96" t="s">
        <v>590</v>
      </c>
      <c r="H104" s="71" t="s">
        <v>591</v>
      </c>
      <c r="I104" s="47" t="s">
        <v>314</v>
      </c>
      <c r="J104" s="61" t="s">
        <v>437</v>
      </c>
      <c r="K104" s="71"/>
      <c r="L104" s="71" t="s">
        <v>592</v>
      </c>
      <c r="M104" s="71" t="s">
        <v>593</v>
      </c>
      <c r="N104" s="45">
        <v>85437093</v>
      </c>
      <c r="O104" s="71"/>
      <c r="P104" s="71">
        <v>27.4</v>
      </c>
      <c r="Q104" s="71">
        <v>7.4</v>
      </c>
      <c r="R104" s="71">
        <v>4.5</v>
      </c>
      <c r="S104" s="108">
        <f t="shared" ref="S104:S105" si="109">R104*Q104*P104/1000000</f>
        <v>9.1242000000000005E-4</v>
      </c>
      <c r="T104" s="71"/>
      <c r="U104" s="49">
        <v>5.3</v>
      </c>
      <c r="V104" s="49">
        <v>6.8</v>
      </c>
      <c r="W104" s="50">
        <f t="shared" si="49"/>
        <v>0.106</v>
      </c>
      <c r="X104" s="50">
        <f t="shared" si="108"/>
        <v>0.59466000000000008</v>
      </c>
      <c r="Y104" s="51">
        <f t="shared" si="4"/>
        <v>540.05939999999998</v>
      </c>
      <c r="Z104" s="51">
        <f t="shared" si="94"/>
        <v>637.27009199999998</v>
      </c>
      <c r="AA104" s="52">
        <f>AN104*9.5%</f>
        <v>189.905</v>
      </c>
      <c r="AB104" s="52">
        <v>51</v>
      </c>
      <c r="AC104" s="52">
        <v>59</v>
      </c>
      <c r="AD104" s="52">
        <f t="shared" si="7"/>
        <v>299.90499999999997</v>
      </c>
      <c r="AE104" s="53">
        <f t="shared" ref="AE104:AE105" si="110">AN104*B$72</f>
        <v>399.8</v>
      </c>
      <c r="AF104" s="53">
        <f t="shared" si="104"/>
        <v>39.980000000000004</v>
      </c>
      <c r="AG104" s="53">
        <f t="shared" si="106"/>
        <v>99.95</v>
      </c>
      <c r="AH104" s="54">
        <f t="shared" si="105"/>
        <v>39.980000000000004</v>
      </c>
      <c r="AI104" s="54">
        <f t="shared" si="98"/>
        <v>304.93220338983042</v>
      </c>
      <c r="AJ104" s="54">
        <f t="shared" si="57"/>
        <v>31.863504599999999</v>
      </c>
      <c r="AK104" s="54">
        <f t="shared" si="58"/>
        <v>19.118102759999999</v>
      </c>
      <c r="AL104" s="55">
        <f t="shared" ref="AL104:AL105" si="111">AN104-Y104-AD104-AE104-AG104-AI104-AJ104-AK104-AF104-AH104</f>
        <v>223.41178925016948</v>
      </c>
      <c r="AM104" s="62">
        <f t="shared" ref="AM104:AM105" si="112">AL104/AN104</f>
        <v>0.11176177551284115</v>
      </c>
      <c r="AN104" s="71">
        <v>1999</v>
      </c>
      <c r="AO104" s="71"/>
      <c r="AP104" s="71">
        <v>1999</v>
      </c>
      <c r="AQ104" s="71"/>
      <c r="AR104" s="71">
        <v>2999</v>
      </c>
      <c r="AS104" s="45"/>
      <c r="AT104" s="45"/>
      <c r="AU104" s="45"/>
      <c r="AV104" s="57">
        <f t="shared" si="17"/>
        <v>1154.0083966101697</v>
      </c>
      <c r="AW104" s="58">
        <f t="shared" si="18"/>
        <v>0.57729284472744857</v>
      </c>
      <c r="AX104" s="71">
        <v>8904422504837</v>
      </c>
      <c r="AY104" s="59">
        <f t="shared" si="19"/>
        <v>101.898</v>
      </c>
      <c r="AZ104" s="60">
        <f t="shared" si="20"/>
        <v>310.92135420659287</v>
      </c>
      <c r="BA104" s="60">
        <f t="shared" si="21"/>
        <v>377.16981132075472</v>
      </c>
      <c r="BB104" s="45"/>
      <c r="BC104" s="45"/>
    </row>
    <row r="105" spans="1:55" ht="14.25" customHeight="1">
      <c r="A105" s="43"/>
      <c r="B105" s="43"/>
      <c r="C105" s="43"/>
      <c r="D105" s="44"/>
      <c r="E105" s="44"/>
      <c r="F105" s="45" t="s">
        <v>594</v>
      </c>
      <c r="G105" s="96" t="s">
        <v>595</v>
      </c>
      <c r="H105" s="71" t="s">
        <v>596</v>
      </c>
      <c r="I105" s="47" t="s">
        <v>314</v>
      </c>
      <c r="J105" s="61" t="s">
        <v>437</v>
      </c>
      <c r="K105" s="71"/>
      <c r="L105" s="71" t="s">
        <v>597</v>
      </c>
      <c r="M105" s="71" t="s">
        <v>598</v>
      </c>
      <c r="N105" s="45">
        <v>85437099</v>
      </c>
      <c r="O105" s="71"/>
      <c r="P105" s="71">
        <v>19</v>
      </c>
      <c r="Q105" s="71">
        <v>9</v>
      </c>
      <c r="R105" s="71">
        <v>2.7</v>
      </c>
      <c r="S105" s="108">
        <f t="shared" si="109"/>
        <v>4.617E-4</v>
      </c>
      <c r="T105" s="71"/>
      <c r="U105" s="49">
        <v>8.6999999999999993</v>
      </c>
      <c r="V105" s="49">
        <v>9.4</v>
      </c>
      <c r="W105" s="50">
        <f t="shared" si="49"/>
        <v>0.17399999999999999</v>
      </c>
      <c r="X105" s="50">
        <f>(U105+W105)*(B$43+(B$43*B$45))</f>
        <v>0.73210499999999978</v>
      </c>
      <c r="Y105" s="51">
        <f t="shared" si="4"/>
        <v>864.54944999999998</v>
      </c>
      <c r="Z105" s="51">
        <f t="shared" si="94"/>
        <v>1020.1683509999999</v>
      </c>
      <c r="AA105" s="52">
        <f>AN105*7%</f>
        <v>118.93</v>
      </c>
      <c r="AB105" s="52">
        <v>51</v>
      </c>
      <c r="AC105" s="52">
        <v>59</v>
      </c>
      <c r="AD105" s="52">
        <f t="shared" si="7"/>
        <v>228.93</v>
      </c>
      <c r="AE105" s="53">
        <f t="shared" si="110"/>
        <v>339.8</v>
      </c>
      <c r="AF105" s="53">
        <f t="shared" si="104"/>
        <v>33.980000000000004</v>
      </c>
      <c r="AG105" s="53">
        <f t="shared" si="106"/>
        <v>84.95</v>
      </c>
      <c r="AH105" s="54">
        <f t="shared" si="105"/>
        <v>33.980000000000004</v>
      </c>
      <c r="AI105" s="54">
        <f t="shared" si="98"/>
        <v>259.16949152542361</v>
      </c>
      <c r="AJ105" s="54">
        <f t="shared" si="57"/>
        <v>51.008417549999997</v>
      </c>
      <c r="AK105" s="54">
        <f t="shared" si="58"/>
        <v>30.605050529999996</v>
      </c>
      <c r="AL105" s="55">
        <f t="shared" si="111"/>
        <v>-227.97240960542365</v>
      </c>
      <c r="AM105" s="62">
        <f t="shared" si="112"/>
        <v>-0.1341803470308556</v>
      </c>
      <c r="AN105" s="71">
        <v>1699</v>
      </c>
      <c r="AO105" s="71"/>
      <c r="AP105" s="71">
        <v>1699</v>
      </c>
      <c r="AQ105" s="71"/>
      <c r="AR105" s="71">
        <v>3399</v>
      </c>
      <c r="AS105" s="45"/>
      <c r="AT105" s="45"/>
      <c r="AU105" s="45"/>
      <c r="AV105" s="57">
        <f t="shared" si="17"/>
        <v>575.28105847457641</v>
      </c>
      <c r="AW105" s="58">
        <f t="shared" si="18"/>
        <v>0.33859979898444759</v>
      </c>
      <c r="AX105" s="71">
        <v>8904422504844</v>
      </c>
      <c r="AY105" s="59">
        <f t="shared" si="19"/>
        <v>99.373500000000007</v>
      </c>
      <c r="AZ105" s="60">
        <f t="shared" si="20"/>
        <v>165.07557780529501</v>
      </c>
      <c r="BA105" s="60">
        <f t="shared" si="21"/>
        <v>195.2873563218391</v>
      </c>
      <c r="BB105" s="45"/>
      <c r="BC105" s="45"/>
    </row>
    <row r="106" spans="1:55" ht="14.25" customHeight="1">
      <c r="A106" s="43"/>
      <c r="B106" s="43"/>
      <c r="C106" s="43"/>
      <c r="D106" s="44"/>
      <c r="E106" s="44"/>
      <c r="F106" s="45" t="s">
        <v>599</v>
      </c>
      <c r="G106" s="96" t="s">
        <v>600</v>
      </c>
      <c r="H106" s="71" t="s">
        <v>601</v>
      </c>
      <c r="I106" s="47" t="s">
        <v>234</v>
      </c>
      <c r="J106" s="61" t="s">
        <v>249</v>
      </c>
      <c r="K106" s="71"/>
      <c r="L106" s="71" t="s">
        <v>587</v>
      </c>
      <c r="M106" s="71" t="s">
        <v>602</v>
      </c>
      <c r="N106" s="45">
        <v>85086000</v>
      </c>
      <c r="O106" s="71"/>
      <c r="P106" s="71"/>
      <c r="Q106" s="71"/>
      <c r="R106" s="71"/>
      <c r="S106" s="71"/>
      <c r="T106" s="71"/>
      <c r="U106" s="49">
        <v>8.3000000000000007</v>
      </c>
      <c r="V106" s="49">
        <v>8.6999999999999993</v>
      </c>
      <c r="W106" s="50">
        <f t="shared" si="49"/>
        <v>0.16600000000000001</v>
      </c>
      <c r="X106" s="50">
        <f>(U106+W106)*(B$42+(B$42*B$45))</f>
        <v>0.9312600000000002</v>
      </c>
      <c r="Y106" s="51">
        <f t="shared" si="4"/>
        <v>845.75340000000006</v>
      </c>
      <c r="Z106" s="51">
        <f t="shared" si="94"/>
        <v>997.989012</v>
      </c>
      <c r="AA106" s="52">
        <f>AN106*4.5%</f>
        <v>94.454999999999998</v>
      </c>
      <c r="AB106" s="52">
        <v>51</v>
      </c>
      <c r="AC106" s="52">
        <v>143</v>
      </c>
      <c r="AD106" s="52">
        <f t="shared" si="7"/>
        <v>288.45499999999998</v>
      </c>
      <c r="AE106" s="53">
        <f t="shared" ref="AE106:AE108" si="113">AN106*B$66</f>
        <v>314.84999999999997</v>
      </c>
      <c r="AF106" s="53">
        <f t="shared" si="104"/>
        <v>41.980000000000004</v>
      </c>
      <c r="AG106" s="53">
        <f t="shared" si="106"/>
        <v>104.95</v>
      </c>
      <c r="AH106" s="54">
        <f t="shared" si="105"/>
        <v>41.980000000000004</v>
      </c>
      <c r="AI106" s="54">
        <f t="shared" si="98"/>
        <v>320.18644067796595</v>
      </c>
      <c r="AJ106" s="54">
        <f t="shared" si="57"/>
        <v>49.899450600000002</v>
      </c>
      <c r="AK106" s="54">
        <f t="shared" si="58"/>
        <v>29.939670359999997</v>
      </c>
      <c r="AL106" s="55">
        <f t="shared" ref="AL106:AL108" si="114">SUM(AN106-AI106)-Y106-AD106-AE106-AG106-AJ106-AK106-AF106-AH106</f>
        <v>61.006038362034104</v>
      </c>
      <c r="AM106" s="62">
        <f t="shared" ref="AM106:AM108" si="115">AL106/SUM(AN106-AI106)</f>
        <v>3.4295914848594684E-2</v>
      </c>
      <c r="AN106" s="71">
        <v>2099</v>
      </c>
      <c r="AO106" s="71"/>
      <c r="AP106" s="71">
        <v>1999</v>
      </c>
      <c r="AQ106" s="71"/>
      <c r="AR106" s="71">
        <v>3899</v>
      </c>
      <c r="AS106" s="45"/>
      <c r="AT106" s="45"/>
      <c r="AU106" s="45"/>
      <c r="AV106" s="57">
        <f t="shared" si="17"/>
        <v>933.060159322034</v>
      </c>
      <c r="AW106" s="58">
        <f t="shared" si="18"/>
        <v>0.44452604064889661</v>
      </c>
      <c r="AX106" s="71">
        <v>8904422504882</v>
      </c>
      <c r="AY106" s="59">
        <f t="shared" si="19"/>
        <v>101.898</v>
      </c>
      <c r="AZ106" s="60">
        <f t="shared" si="20"/>
        <v>208.47211492144163</v>
      </c>
      <c r="BA106" s="60">
        <f t="shared" si="21"/>
        <v>252.89156626506022</v>
      </c>
      <c r="BB106" s="45"/>
      <c r="BC106" s="45"/>
    </row>
    <row r="107" spans="1:55" ht="14.25" customHeight="1">
      <c r="A107" s="43"/>
      <c r="B107" s="43"/>
      <c r="C107" s="43"/>
      <c r="D107" s="44"/>
      <c r="E107" s="44"/>
      <c r="F107" s="45" t="s">
        <v>603</v>
      </c>
      <c r="G107" s="96" t="s">
        <v>604</v>
      </c>
      <c r="H107" s="71" t="s">
        <v>605</v>
      </c>
      <c r="I107" s="47" t="s">
        <v>234</v>
      </c>
      <c r="J107" s="61" t="s">
        <v>249</v>
      </c>
      <c r="K107" s="71"/>
      <c r="L107" s="71" t="s">
        <v>606</v>
      </c>
      <c r="M107" s="71" t="s">
        <v>607</v>
      </c>
      <c r="N107" s="45">
        <v>85098000</v>
      </c>
      <c r="O107" s="71"/>
      <c r="P107" s="71"/>
      <c r="Q107" s="71"/>
      <c r="R107" s="71"/>
      <c r="S107" s="71"/>
      <c r="T107" s="71"/>
      <c r="U107" s="49">
        <v>9.2899999999999991</v>
      </c>
      <c r="V107" s="49">
        <v>11.6</v>
      </c>
      <c r="W107" s="50">
        <f t="shared" si="49"/>
        <v>0.18579999999999999</v>
      </c>
      <c r="X107" s="50">
        <f t="shared" ref="X107:X108" si="116">(U107+W107)*(B$31+(B$31*B$45))</f>
        <v>2.084676</v>
      </c>
      <c r="Y107" s="51">
        <f t="shared" si="4"/>
        <v>1040.4428399999999</v>
      </c>
      <c r="Z107" s="51">
        <f t="shared" si="94"/>
        <v>1227.7225511999998</v>
      </c>
      <c r="AA107" s="52">
        <f>AN107*10%</f>
        <v>249.9</v>
      </c>
      <c r="AB107" s="52">
        <v>50</v>
      </c>
      <c r="AC107" s="52">
        <v>108</v>
      </c>
      <c r="AD107" s="52">
        <f t="shared" si="7"/>
        <v>407.9</v>
      </c>
      <c r="AE107" s="53">
        <f t="shared" si="113"/>
        <v>374.84999999999997</v>
      </c>
      <c r="AF107" s="53">
        <f t="shared" si="104"/>
        <v>49.980000000000004</v>
      </c>
      <c r="AG107" s="53">
        <f t="shared" si="106"/>
        <v>124.95</v>
      </c>
      <c r="AH107" s="54">
        <f t="shared" si="105"/>
        <v>49.980000000000004</v>
      </c>
      <c r="AI107" s="54">
        <f t="shared" si="98"/>
        <v>381.20338983050851</v>
      </c>
      <c r="AJ107" s="54">
        <f t="shared" si="57"/>
        <v>61.386127559999991</v>
      </c>
      <c r="AK107" s="54">
        <f t="shared" si="58"/>
        <v>36.831676535999989</v>
      </c>
      <c r="AL107" s="55">
        <f t="shared" si="114"/>
        <v>-28.524033926508366</v>
      </c>
      <c r="AM107" s="62">
        <f t="shared" si="115"/>
        <v>-1.3468731505914315E-2</v>
      </c>
      <c r="AN107" s="71">
        <v>2499</v>
      </c>
      <c r="AO107" s="71"/>
      <c r="AP107" s="71"/>
      <c r="AQ107" s="71"/>
      <c r="AR107" s="71">
        <v>4999</v>
      </c>
      <c r="AS107" s="45"/>
      <c r="AT107" s="45"/>
      <c r="AU107" s="45"/>
      <c r="AV107" s="57">
        <f t="shared" si="17"/>
        <v>1077.3537701694916</v>
      </c>
      <c r="AW107" s="58">
        <f t="shared" si="18"/>
        <v>0.43111395364925631</v>
      </c>
      <c r="AX107" s="71">
        <v>8904422504875</v>
      </c>
      <c r="AY107" s="59">
        <f t="shared" si="19"/>
        <v>111.99600000000001</v>
      </c>
      <c r="AZ107" s="60">
        <f t="shared" si="20"/>
        <v>201.75639826595378</v>
      </c>
      <c r="BA107" s="60">
        <f t="shared" si="21"/>
        <v>268.99892357373523</v>
      </c>
      <c r="BB107" s="45"/>
      <c r="BC107" s="45"/>
    </row>
    <row r="108" spans="1:55" ht="14.25" customHeight="1">
      <c r="A108" s="43"/>
      <c r="B108" s="43"/>
      <c r="C108" s="43"/>
      <c r="D108" s="44"/>
      <c r="E108" s="44"/>
      <c r="F108" s="45" t="s">
        <v>608</v>
      </c>
      <c r="G108" s="45" t="s">
        <v>609</v>
      </c>
      <c r="H108" s="71" t="s">
        <v>610</v>
      </c>
      <c r="I108" s="47" t="s">
        <v>234</v>
      </c>
      <c r="J108" s="61" t="s">
        <v>249</v>
      </c>
      <c r="K108" s="71"/>
      <c r="L108" s="71" t="s">
        <v>611</v>
      </c>
      <c r="M108" s="71" t="s">
        <v>612</v>
      </c>
      <c r="N108" s="45">
        <v>85086000</v>
      </c>
      <c r="O108" s="71"/>
      <c r="P108" s="71"/>
      <c r="Q108" s="71"/>
      <c r="R108" s="71"/>
      <c r="S108" s="71"/>
      <c r="T108" s="109"/>
      <c r="U108" s="49">
        <v>10.76</v>
      </c>
      <c r="V108" s="49">
        <v>10.76</v>
      </c>
      <c r="W108" s="50">
        <f t="shared" si="49"/>
        <v>0.2152</v>
      </c>
      <c r="X108" s="50">
        <f t="shared" si="116"/>
        <v>2.4145440000000002</v>
      </c>
      <c r="Y108" s="51">
        <f t="shared" si="4"/>
        <v>1205.0769600000001</v>
      </c>
      <c r="Z108" s="51">
        <f t="shared" si="94"/>
        <v>1421.9908128</v>
      </c>
      <c r="AA108" s="52">
        <f>AN108*4.5%</f>
        <v>112.455</v>
      </c>
      <c r="AB108" s="52">
        <v>51</v>
      </c>
      <c r="AC108" s="52">
        <v>112</v>
      </c>
      <c r="AD108" s="52">
        <f t="shared" si="7"/>
        <v>275.45499999999998</v>
      </c>
      <c r="AE108" s="53">
        <f t="shared" si="113"/>
        <v>374.84999999999997</v>
      </c>
      <c r="AF108" s="53">
        <f t="shared" si="104"/>
        <v>49.980000000000004</v>
      </c>
      <c r="AG108" s="53">
        <f t="shared" si="106"/>
        <v>124.95</v>
      </c>
      <c r="AH108" s="54">
        <f t="shared" si="105"/>
        <v>49.980000000000004</v>
      </c>
      <c r="AI108" s="54">
        <f t="shared" si="98"/>
        <v>381.20338983050851</v>
      </c>
      <c r="AJ108" s="54">
        <f t="shared" si="57"/>
        <v>71.099540640000001</v>
      </c>
      <c r="AK108" s="54">
        <f t="shared" si="58"/>
        <v>42.659724384</v>
      </c>
      <c r="AL108" s="55">
        <f t="shared" si="114"/>
        <v>-76.254614854508503</v>
      </c>
      <c r="AM108" s="62">
        <f t="shared" si="115"/>
        <v>-3.6006580843665481E-2</v>
      </c>
      <c r="AN108" s="71">
        <v>2499</v>
      </c>
      <c r="AO108" s="71"/>
      <c r="AP108" s="71">
        <v>2449</v>
      </c>
      <c r="AQ108" s="71"/>
      <c r="AR108" s="71">
        <v>5499</v>
      </c>
      <c r="AS108" s="45"/>
      <c r="AT108" s="45"/>
      <c r="AU108" s="45"/>
      <c r="AV108" s="57">
        <f t="shared" si="17"/>
        <v>912.71965016949139</v>
      </c>
      <c r="AW108" s="58">
        <f t="shared" si="18"/>
        <v>0.36523395364925626</v>
      </c>
      <c r="AX108" s="71">
        <v>8904422504899</v>
      </c>
      <c r="AY108" s="59">
        <f t="shared" si="19"/>
        <v>111.99600000000001</v>
      </c>
      <c r="AZ108" s="60">
        <f t="shared" si="20"/>
        <v>174.19302415341173</v>
      </c>
      <c r="BA108" s="60">
        <f t="shared" si="21"/>
        <v>232.24907063197026</v>
      </c>
      <c r="BB108" s="45"/>
      <c r="BC108" s="45"/>
    </row>
    <row r="109" spans="1:55" ht="14.25" customHeight="1">
      <c r="A109" s="43"/>
      <c r="B109" s="43"/>
      <c r="C109" s="43"/>
      <c r="D109" s="44" t="s">
        <v>613</v>
      </c>
      <c r="E109" s="44" t="s">
        <v>614</v>
      </c>
      <c r="F109" s="45" t="s">
        <v>615</v>
      </c>
      <c r="G109" s="45" t="s">
        <v>616</v>
      </c>
      <c r="H109" s="71" t="s">
        <v>617</v>
      </c>
      <c r="I109" s="47" t="s">
        <v>314</v>
      </c>
      <c r="J109" s="61" t="s">
        <v>618</v>
      </c>
      <c r="K109" s="71"/>
      <c r="L109" s="71" t="s">
        <v>619</v>
      </c>
      <c r="M109" s="71" t="s">
        <v>620</v>
      </c>
      <c r="N109" s="45">
        <v>90191020</v>
      </c>
      <c r="O109" s="71"/>
      <c r="P109" s="71"/>
      <c r="Q109" s="71"/>
      <c r="R109" s="110"/>
      <c r="S109" s="110"/>
      <c r="T109" s="109"/>
      <c r="U109" s="49">
        <v>4.7</v>
      </c>
      <c r="V109" s="49"/>
      <c r="W109" s="50">
        <f t="shared" si="49"/>
        <v>9.4E-2</v>
      </c>
      <c r="X109" s="50">
        <f t="shared" ref="X109:X110" si="117">(U109+W109)*(B$42+(B$42*B$45))</f>
        <v>0.52734000000000014</v>
      </c>
      <c r="Y109" s="51">
        <f t="shared" si="4"/>
        <v>478.92060000000009</v>
      </c>
      <c r="Z109" s="51">
        <f t="shared" ref="Z109:Z110" si="118">Y109*1.12</f>
        <v>536.39107200000012</v>
      </c>
      <c r="AA109" s="52">
        <f t="shared" ref="AA109:AA110" si="119">AN109*7.5%</f>
        <v>86.924999999999997</v>
      </c>
      <c r="AB109" s="52">
        <v>51</v>
      </c>
      <c r="AC109" s="52">
        <v>59</v>
      </c>
      <c r="AD109" s="52">
        <f t="shared" si="7"/>
        <v>196.92500000000001</v>
      </c>
      <c r="AE109" s="53">
        <f t="shared" ref="AE109:AE110" si="120">AN109*B$72</f>
        <v>231.8</v>
      </c>
      <c r="AF109" s="53">
        <f t="shared" si="104"/>
        <v>23.18</v>
      </c>
      <c r="AG109" s="53">
        <f t="shared" si="106"/>
        <v>57.95</v>
      </c>
      <c r="AH109" s="54">
        <f t="shared" si="105"/>
        <v>23.18</v>
      </c>
      <c r="AI109" s="54">
        <f t="shared" ref="AI109:AI110" si="121">AN109-(AN109/1.05)</f>
        <v>55.190476190476147</v>
      </c>
      <c r="AJ109" s="54">
        <f t="shared" si="57"/>
        <v>26.819553600000006</v>
      </c>
      <c r="AK109" s="54">
        <f t="shared" si="58"/>
        <v>16.091732160000003</v>
      </c>
      <c r="AL109" s="55">
        <f t="shared" ref="AL109:AL112" si="122">AN109-Y109-AD109-AE109-AG109-AI109-AJ109-AK109-AF109-AH109</f>
        <v>48.942638049523687</v>
      </c>
      <c r="AM109" s="62">
        <f t="shared" ref="AM109:AM112" si="123">AL109/AN109</f>
        <v>4.2228333088458747E-2</v>
      </c>
      <c r="AN109" s="71">
        <v>1159</v>
      </c>
      <c r="AO109" s="71"/>
      <c r="AP109" s="71">
        <v>1199</v>
      </c>
      <c r="AQ109" s="71"/>
      <c r="AR109" s="71">
        <v>2499</v>
      </c>
      <c r="AS109" s="45">
        <v>1199</v>
      </c>
      <c r="AT109" s="45">
        <v>1499</v>
      </c>
      <c r="AU109" s="45"/>
      <c r="AV109" s="57">
        <f t="shared" si="17"/>
        <v>624.8889238095237</v>
      </c>
      <c r="AW109" s="58">
        <f t="shared" si="18"/>
        <v>0.53916214306257437</v>
      </c>
      <c r="AX109" s="71">
        <v>8904422504929</v>
      </c>
      <c r="AY109" s="59">
        <f t="shared" si="19"/>
        <v>101.89800000000001</v>
      </c>
      <c r="AZ109" s="60">
        <f t="shared" si="20"/>
        <v>203.28213069139224</v>
      </c>
      <c r="BA109" s="60">
        <f t="shared" si="21"/>
        <v>246.59574468085106</v>
      </c>
      <c r="BB109" s="45">
        <v>4</v>
      </c>
      <c r="BC109" s="45">
        <v>96</v>
      </c>
    </row>
    <row r="110" spans="1:55" ht="14.25" customHeight="1">
      <c r="A110" s="43"/>
      <c r="B110" s="43"/>
      <c r="C110" s="43"/>
      <c r="D110" s="44" t="s">
        <v>613</v>
      </c>
      <c r="E110" s="44" t="s">
        <v>614</v>
      </c>
      <c r="F110" s="45" t="s">
        <v>621</v>
      </c>
      <c r="G110" s="45" t="s">
        <v>622</v>
      </c>
      <c r="H110" s="71" t="s">
        <v>623</v>
      </c>
      <c r="I110" s="47" t="s">
        <v>314</v>
      </c>
      <c r="J110" s="61" t="s">
        <v>618</v>
      </c>
      <c r="K110" s="71"/>
      <c r="L110" s="71" t="s">
        <v>619</v>
      </c>
      <c r="M110" s="71" t="s">
        <v>624</v>
      </c>
      <c r="N110" s="45">
        <v>90191020</v>
      </c>
      <c r="O110" s="71"/>
      <c r="P110" s="71"/>
      <c r="Q110" s="71"/>
      <c r="R110" s="71"/>
      <c r="S110" s="71"/>
      <c r="T110" s="109"/>
      <c r="U110" s="49">
        <v>4.7</v>
      </c>
      <c r="V110" s="49"/>
      <c r="W110" s="50">
        <f t="shared" si="49"/>
        <v>9.4E-2</v>
      </c>
      <c r="X110" s="50">
        <f t="shared" si="117"/>
        <v>0.52734000000000014</v>
      </c>
      <c r="Y110" s="51">
        <f t="shared" si="4"/>
        <v>478.92060000000009</v>
      </c>
      <c r="Z110" s="51">
        <f t="shared" si="118"/>
        <v>536.39107200000012</v>
      </c>
      <c r="AA110" s="52">
        <f t="shared" si="119"/>
        <v>97.424999999999997</v>
      </c>
      <c r="AB110" s="52">
        <v>51</v>
      </c>
      <c r="AC110" s="52">
        <v>59</v>
      </c>
      <c r="AD110" s="52">
        <f t="shared" si="7"/>
        <v>207.42500000000001</v>
      </c>
      <c r="AE110" s="53">
        <f t="shared" si="120"/>
        <v>259.8</v>
      </c>
      <c r="AF110" s="53">
        <f t="shared" si="104"/>
        <v>25.98</v>
      </c>
      <c r="AG110" s="53">
        <f t="shared" si="106"/>
        <v>64.95</v>
      </c>
      <c r="AH110" s="54">
        <f t="shared" si="105"/>
        <v>25.98</v>
      </c>
      <c r="AI110" s="54">
        <f t="shared" si="121"/>
        <v>61.85714285714289</v>
      </c>
      <c r="AJ110" s="54">
        <f t="shared" si="57"/>
        <v>26.819553600000006</v>
      </c>
      <c r="AK110" s="54">
        <f t="shared" si="58"/>
        <v>16.091732160000003</v>
      </c>
      <c r="AL110" s="55">
        <f t="shared" si="122"/>
        <v>131.17597138285703</v>
      </c>
      <c r="AM110" s="62">
        <f t="shared" si="123"/>
        <v>0.1009822720422302</v>
      </c>
      <c r="AN110" s="71">
        <v>1299</v>
      </c>
      <c r="AO110" s="71"/>
      <c r="AP110" s="71">
        <v>1199</v>
      </c>
      <c r="AQ110" s="71"/>
      <c r="AR110" s="71">
        <v>2499</v>
      </c>
      <c r="AS110" s="45">
        <v>1199</v>
      </c>
      <c r="AT110" s="45">
        <v>1499</v>
      </c>
      <c r="AU110" s="45"/>
      <c r="AV110" s="57">
        <f t="shared" si="17"/>
        <v>758.22225714285696</v>
      </c>
      <c r="AW110" s="58">
        <f t="shared" si="18"/>
        <v>0.58369688771582517</v>
      </c>
      <c r="AX110" s="71">
        <v>8904422504936</v>
      </c>
      <c r="AY110" s="59">
        <f t="shared" si="19"/>
        <v>101.89800000000001</v>
      </c>
      <c r="AZ110" s="60">
        <f t="shared" si="20"/>
        <v>227.8373492391014</v>
      </c>
      <c r="BA110" s="60">
        <f t="shared" si="21"/>
        <v>276.38297872340422</v>
      </c>
      <c r="BB110" s="45">
        <v>4</v>
      </c>
      <c r="BC110" s="45">
        <v>96</v>
      </c>
    </row>
    <row r="111" spans="1:55" ht="14.25" customHeight="1">
      <c r="A111" s="43"/>
      <c r="B111" s="43"/>
      <c r="C111" s="43"/>
      <c r="D111" s="44"/>
      <c r="E111" s="44"/>
      <c r="F111" s="45" t="s">
        <v>625</v>
      </c>
      <c r="G111" s="96" t="s">
        <v>626</v>
      </c>
      <c r="H111" s="71" t="s">
        <v>627</v>
      </c>
      <c r="I111" s="47" t="s">
        <v>628</v>
      </c>
      <c r="J111" s="61" t="s">
        <v>629</v>
      </c>
      <c r="K111" s="71"/>
      <c r="L111" s="71" t="s">
        <v>630</v>
      </c>
      <c r="M111" s="71" t="s">
        <v>631</v>
      </c>
      <c r="N111" s="45">
        <v>84148090</v>
      </c>
      <c r="O111" s="71"/>
      <c r="P111" s="71"/>
      <c r="Q111" s="71"/>
      <c r="R111" s="71"/>
      <c r="S111" s="71"/>
      <c r="T111" s="109"/>
      <c r="U111" s="49">
        <v>10.7</v>
      </c>
      <c r="V111" s="49">
        <v>10.7</v>
      </c>
      <c r="W111" s="50">
        <f t="shared" si="49"/>
        <v>0.214</v>
      </c>
      <c r="X111" s="50">
        <f>(U111+W111)*(B$43+(B$43*B$45))</f>
        <v>0.9004049999999999</v>
      </c>
      <c r="Y111" s="51">
        <f t="shared" si="4"/>
        <v>1063.2964499999998</v>
      </c>
      <c r="Z111" s="51">
        <f t="shared" ref="Z111:Z153" si="124">Y111*1.18</f>
        <v>1254.6898109999997</v>
      </c>
      <c r="AA111" s="52">
        <f>AN111*13%</f>
        <v>298.87</v>
      </c>
      <c r="AB111" s="52">
        <v>50</v>
      </c>
      <c r="AC111" s="52">
        <v>80</v>
      </c>
      <c r="AD111" s="52">
        <f t="shared" si="7"/>
        <v>428.87</v>
      </c>
      <c r="AE111" s="53">
        <f>AN111*B$66</f>
        <v>344.84999999999997</v>
      </c>
      <c r="AF111" s="53">
        <f t="shared" si="104"/>
        <v>45.980000000000004</v>
      </c>
      <c r="AG111" s="53">
        <f t="shared" si="106"/>
        <v>114.95</v>
      </c>
      <c r="AH111" s="54">
        <f t="shared" si="105"/>
        <v>45.980000000000004</v>
      </c>
      <c r="AI111" s="54">
        <f t="shared" ref="AI111:AI135" si="125">AN111-(AN111/1.18)</f>
        <v>350.69491525423723</v>
      </c>
      <c r="AJ111" s="54">
        <f t="shared" si="57"/>
        <v>62.73449054999999</v>
      </c>
      <c r="AK111" s="54">
        <f t="shared" si="58"/>
        <v>37.640694329999988</v>
      </c>
      <c r="AL111" s="55">
        <f t="shared" si="122"/>
        <v>-195.996550134237</v>
      </c>
      <c r="AM111" s="62">
        <f t="shared" si="123"/>
        <v>-8.5252957866131795E-2</v>
      </c>
      <c r="AN111" s="71">
        <v>2299</v>
      </c>
      <c r="AO111" s="71"/>
      <c r="AP111" s="71">
        <v>1749</v>
      </c>
      <c r="AQ111" s="71"/>
      <c r="AR111" s="71">
        <v>4199</v>
      </c>
      <c r="AS111" s="45"/>
      <c r="AT111" s="45"/>
      <c r="AU111" s="45"/>
      <c r="AV111" s="57">
        <f t="shared" si="17"/>
        <v>885.00863474576295</v>
      </c>
      <c r="AW111" s="58">
        <f t="shared" si="18"/>
        <v>0.38495373412168898</v>
      </c>
      <c r="AX111" s="71">
        <v>8904422504905</v>
      </c>
      <c r="AY111" s="59">
        <f t="shared" si="19"/>
        <v>99.373499999999993</v>
      </c>
      <c r="AZ111" s="60">
        <f t="shared" si="20"/>
        <v>181.62009287250044</v>
      </c>
      <c r="BA111" s="60"/>
      <c r="BB111" s="60"/>
      <c r="BC111" s="60"/>
    </row>
    <row r="112" spans="1:55" ht="14.25" customHeight="1">
      <c r="A112" s="43"/>
      <c r="B112" s="43"/>
      <c r="C112" s="43"/>
      <c r="D112" s="44"/>
      <c r="E112" s="44"/>
      <c r="F112" s="45" t="s">
        <v>632</v>
      </c>
      <c r="G112" s="96" t="s">
        <v>633</v>
      </c>
      <c r="H112" s="71" t="s">
        <v>634</v>
      </c>
      <c r="I112" s="47" t="s">
        <v>314</v>
      </c>
      <c r="J112" s="61" t="s">
        <v>444</v>
      </c>
      <c r="K112" s="71"/>
      <c r="L112" s="71" t="s">
        <v>635</v>
      </c>
      <c r="M112" s="71" t="s">
        <v>636</v>
      </c>
      <c r="N112" s="45">
        <v>85101000</v>
      </c>
      <c r="O112" s="71"/>
      <c r="P112" s="71"/>
      <c r="Q112" s="71"/>
      <c r="R112" s="71"/>
      <c r="S112" s="71"/>
      <c r="T112" s="109"/>
      <c r="U112" s="49">
        <v>3.7</v>
      </c>
      <c r="V112" s="49">
        <v>3.7</v>
      </c>
      <c r="W112" s="50">
        <f t="shared" si="49"/>
        <v>7.400000000000001E-2</v>
      </c>
      <c r="X112" s="50">
        <f t="shared" ref="X112:X113" si="126">(U112+W112)*(B$31+(B$31*B$45))</f>
        <v>0.83028000000000013</v>
      </c>
      <c r="Y112" s="51">
        <f t="shared" si="4"/>
        <v>414.3852</v>
      </c>
      <c r="Z112" s="51">
        <f t="shared" si="124"/>
        <v>488.97453599999994</v>
      </c>
      <c r="AA112" s="52">
        <f>AN112*7%</f>
        <v>62.930000000000007</v>
      </c>
      <c r="AB112" s="52">
        <v>26</v>
      </c>
      <c r="AC112" s="52">
        <v>59</v>
      </c>
      <c r="AD112" s="52">
        <f t="shared" si="7"/>
        <v>147.93</v>
      </c>
      <c r="AE112" s="53">
        <f>AN112*B$72</f>
        <v>179.8</v>
      </c>
      <c r="AF112" s="53">
        <f t="shared" si="104"/>
        <v>17.98</v>
      </c>
      <c r="AG112" s="53">
        <f t="shared" si="106"/>
        <v>44.95</v>
      </c>
      <c r="AH112" s="54">
        <f t="shared" si="105"/>
        <v>17.98</v>
      </c>
      <c r="AI112" s="54">
        <f t="shared" si="125"/>
        <v>137.13559322033893</v>
      </c>
      <c r="AJ112" s="54">
        <f t="shared" si="57"/>
        <v>24.448726799999999</v>
      </c>
      <c r="AK112" s="54">
        <f t="shared" si="58"/>
        <v>14.669236079999997</v>
      </c>
      <c r="AL112" s="55">
        <f t="shared" si="122"/>
        <v>-100.27875610033897</v>
      </c>
      <c r="AM112" s="62">
        <f t="shared" si="123"/>
        <v>-0.11154477875454835</v>
      </c>
      <c r="AN112" s="71">
        <v>899</v>
      </c>
      <c r="AO112" s="71"/>
      <c r="AP112" s="71"/>
      <c r="AQ112" s="71"/>
      <c r="AR112" s="71">
        <v>1499</v>
      </c>
      <c r="AS112" s="45"/>
      <c r="AT112" s="45"/>
      <c r="AU112" s="45"/>
      <c r="AV112" s="57">
        <f t="shared" si="17"/>
        <v>347.47920677966107</v>
      </c>
      <c r="AW112" s="58">
        <f t="shared" si="18"/>
        <v>0.38651747139005682</v>
      </c>
      <c r="AX112" s="71">
        <v>8904422504912</v>
      </c>
      <c r="AY112" s="59">
        <f t="shared" si="19"/>
        <v>111.996</v>
      </c>
      <c r="AZ112" s="60">
        <f t="shared" si="20"/>
        <v>182.23623816680711</v>
      </c>
      <c r="BA112" s="60"/>
      <c r="BB112" s="60"/>
      <c r="BC112" s="60"/>
    </row>
    <row r="113" spans="1:55" ht="14.25" customHeight="1">
      <c r="A113" s="43"/>
      <c r="B113" s="43"/>
      <c r="C113" s="43"/>
      <c r="D113" s="44"/>
      <c r="E113" s="44"/>
      <c r="F113" s="45" t="s">
        <v>637</v>
      </c>
      <c r="G113" s="45" t="s">
        <v>638</v>
      </c>
      <c r="H113" s="71" t="s">
        <v>639</v>
      </c>
      <c r="I113" s="71" t="s">
        <v>249</v>
      </c>
      <c r="J113" s="71"/>
      <c r="K113" s="71"/>
      <c r="L113" s="71" t="s">
        <v>640</v>
      </c>
      <c r="M113" s="71" t="s">
        <v>641</v>
      </c>
      <c r="N113" s="45">
        <v>85098000</v>
      </c>
      <c r="O113" s="71"/>
      <c r="P113" s="71"/>
      <c r="Q113" s="71"/>
      <c r="R113" s="71"/>
      <c r="S113" s="71"/>
      <c r="T113" s="109"/>
      <c r="U113" s="49">
        <v>21</v>
      </c>
      <c r="V113" s="49">
        <v>21.5</v>
      </c>
      <c r="W113" s="50">
        <f t="shared" si="49"/>
        <v>0.42</v>
      </c>
      <c r="X113" s="50">
        <f t="shared" si="126"/>
        <v>4.7124000000000006</v>
      </c>
      <c r="Y113" s="51">
        <f t="shared" si="4"/>
        <v>2351.9160000000002</v>
      </c>
      <c r="Z113" s="51">
        <f t="shared" si="124"/>
        <v>2775.2608800000003</v>
      </c>
      <c r="AA113" s="52">
        <f>AN113*6.5%</f>
        <v>259.935</v>
      </c>
      <c r="AB113" s="52">
        <v>60</v>
      </c>
      <c r="AC113" s="52">
        <v>163</v>
      </c>
      <c r="AD113" s="52">
        <f t="shared" si="7"/>
        <v>482.935</v>
      </c>
      <c r="AE113" s="53">
        <f>AN113*B$66</f>
        <v>599.85</v>
      </c>
      <c r="AF113" s="53">
        <f t="shared" si="104"/>
        <v>79.98</v>
      </c>
      <c r="AG113" s="53">
        <f t="shared" si="106"/>
        <v>199.95000000000002</v>
      </c>
      <c r="AH113" s="54">
        <f t="shared" si="105"/>
        <v>79.98</v>
      </c>
      <c r="AI113" s="54">
        <f t="shared" si="125"/>
        <v>610.01694915254211</v>
      </c>
      <c r="AJ113" s="54">
        <f t="shared" si="57"/>
        <v>138.76304400000001</v>
      </c>
      <c r="AK113" s="54">
        <f t="shared" si="58"/>
        <v>83.257826399999999</v>
      </c>
      <c r="AL113" s="55">
        <f>SUM(AN113-AI113)-Y113-AD113-AE113-AG113-AJ113-AK113-AF113-AH113</f>
        <v>-627.64881955254225</v>
      </c>
      <c r="AM113" s="62">
        <f>AL113/SUM(AN113-AI113)</f>
        <v>-0.18520270244361084</v>
      </c>
      <c r="AN113" s="71">
        <v>3999</v>
      </c>
      <c r="AO113" s="71"/>
      <c r="AP113" s="71">
        <v>3999</v>
      </c>
      <c r="AQ113" s="71"/>
      <c r="AR113" s="71">
        <v>7499</v>
      </c>
      <c r="AS113" s="45"/>
      <c r="AT113" s="45"/>
      <c r="AU113" s="45"/>
      <c r="AV113" s="57">
        <f t="shared" si="17"/>
        <v>1037.0670508474577</v>
      </c>
      <c r="AW113" s="58">
        <f t="shared" si="18"/>
        <v>0.25933159561076713</v>
      </c>
      <c r="AX113" s="71">
        <v>8904422504943</v>
      </c>
      <c r="AY113" s="59">
        <f t="shared" si="19"/>
        <v>111.99600000000001</v>
      </c>
      <c r="AZ113" s="60">
        <f t="shared" si="20"/>
        <v>142.82652951891137</v>
      </c>
      <c r="BA113" s="60"/>
      <c r="BB113" s="60"/>
      <c r="BC113" s="60"/>
    </row>
    <row r="114" spans="1:55" ht="14.25" customHeight="1">
      <c r="A114" s="43"/>
      <c r="B114" s="43"/>
      <c r="C114" s="43"/>
      <c r="D114" s="44"/>
      <c r="E114" s="44"/>
      <c r="F114" s="45" t="s">
        <v>642</v>
      </c>
      <c r="G114" s="96" t="s">
        <v>643</v>
      </c>
      <c r="H114" s="71" t="s">
        <v>644</v>
      </c>
      <c r="I114" s="47" t="s">
        <v>314</v>
      </c>
      <c r="J114" s="61" t="s">
        <v>437</v>
      </c>
      <c r="K114" s="71"/>
      <c r="L114" s="71"/>
      <c r="M114" s="71" t="s">
        <v>645</v>
      </c>
      <c r="N114" s="107">
        <v>85437093</v>
      </c>
      <c r="O114" s="71"/>
      <c r="P114" s="71"/>
      <c r="Q114" s="71"/>
      <c r="R114" s="71"/>
      <c r="S114" s="71"/>
      <c r="T114" s="109"/>
      <c r="U114" s="49">
        <v>5</v>
      </c>
      <c r="V114" s="49">
        <v>5</v>
      </c>
      <c r="W114" s="50">
        <f t="shared" si="49"/>
        <v>0.1</v>
      </c>
      <c r="X114" s="50">
        <f>(U114+W114)*(B$42+(B$42*B$45))</f>
        <v>0.56100000000000005</v>
      </c>
      <c r="Y114" s="51">
        <f t="shared" si="4"/>
        <v>509.48999999999995</v>
      </c>
      <c r="Z114" s="51">
        <f t="shared" si="124"/>
        <v>601.19819999999993</v>
      </c>
      <c r="AA114" s="52">
        <f>AN114*14.5%</f>
        <v>217.35499999999999</v>
      </c>
      <c r="AB114" s="52">
        <v>51</v>
      </c>
      <c r="AC114" s="52">
        <v>59</v>
      </c>
      <c r="AD114" s="52">
        <f t="shared" si="7"/>
        <v>327.35500000000002</v>
      </c>
      <c r="AE114" s="53">
        <f>AN114*B$72</f>
        <v>299.8</v>
      </c>
      <c r="AF114" s="53">
        <f t="shared" si="104"/>
        <v>29.98</v>
      </c>
      <c r="AG114" s="53">
        <f t="shared" si="106"/>
        <v>74.95</v>
      </c>
      <c r="AH114" s="54">
        <f t="shared" si="105"/>
        <v>29.98</v>
      </c>
      <c r="AI114" s="54">
        <f t="shared" si="125"/>
        <v>228.66101694915255</v>
      </c>
      <c r="AJ114" s="54">
        <f t="shared" si="57"/>
        <v>30.059909999999999</v>
      </c>
      <c r="AK114" s="54">
        <f t="shared" si="58"/>
        <v>18.035945999999996</v>
      </c>
      <c r="AL114" s="55">
        <f t="shared" ref="AL114:AL117" si="127">AN114-Y114-AD114-AE114-AG114-AI114-AJ114-AK114-AF114-AH114</f>
        <v>-49.311872949152573</v>
      </c>
      <c r="AM114" s="62">
        <f t="shared" ref="AM114:AM117" si="128">AL114/AN114</f>
        <v>-3.2896512974751546E-2</v>
      </c>
      <c r="AN114" s="71">
        <v>1499</v>
      </c>
      <c r="AO114" s="71"/>
      <c r="AP114" s="71">
        <v>1399</v>
      </c>
      <c r="AQ114" s="71"/>
      <c r="AR114" s="71">
        <v>2499</v>
      </c>
      <c r="AS114" s="45"/>
      <c r="AT114" s="45"/>
      <c r="AU114" s="45"/>
      <c r="AV114" s="57">
        <f t="shared" si="17"/>
        <v>760.84898305084744</v>
      </c>
      <c r="AW114" s="58">
        <f t="shared" si="18"/>
        <v>0.50757103605793696</v>
      </c>
      <c r="AX114" s="71">
        <v>8904422505131</v>
      </c>
      <c r="AY114" s="59">
        <f t="shared" si="19"/>
        <v>101.898</v>
      </c>
      <c r="AZ114" s="60">
        <f t="shared" si="20"/>
        <v>247.1412589059648</v>
      </c>
      <c r="BA114" s="60"/>
      <c r="BB114" s="60"/>
      <c r="BC114" s="60"/>
    </row>
    <row r="115" spans="1:55" ht="14.25" customHeight="1">
      <c r="A115" s="43"/>
      <c r="B115" s="43"/>
      <c r="C115" s="43"/>
      <c r="D115" s="44"/>
      <c r="E115" s="44"/>
      <c r="F115" s="45" t="s">
        <v>646</v>
      </c>
      <c r="G115" s="96" t="s">
        <v>647</v>
      </c>
      <c r="H115" s="71" t="s">
        <v>648</v>
      </c>
      <c r="I115" s="47" t="s">
        <v>628</v>
      </c>
      <c r="J115" s="61" t="s">
        <v>629</v>
      </c>
      <c r="K115" s="71"/>
      <c r="L115" s="71" t="s">
        <v>649</v>
      </c>
      <c r="M115" s="71" t="s">
        <v>650</v>
      </c>
      <c r="N115" s="45">
        <v>84148090</v>
      </c>
      <c r="O115" s="71"/>
      <c r="P115" s="71"/>
      <c r="Q115" s="71"/>
      <c r="R115" s="71"/>
      <c r="S115" s="71"/>
      <c r="T115" s="109"/>
      <c r="U115" s="49">
        <v>7</v>
      </c>
      <c r="V115" s="49">
        <v>7.4</v>
      </c>
      <c r="W115" s="50">
        <f t="shared" si="49"/>
        <v>0.14000000000000001</v>
      </c>
      <c r="X115" s="50">
        <f t="shared" ref="X115:X117" si="129">(U115+W115)*(B$43+(B$43*B$45))</f>
        <v>0.58904999999999985</v>
      </c>
      <c r="Y115" s="51">
        <f t="shared" si="4"/>
        <v>695.61449999999991</v>
      </c>
      <c r="Z115" s="51">
        <f t="shared" si="124"/>
        <v>820.82510999999988</v>
      </c>
      <c r="AA115" s="52">
        <f>AN115*0.15</f>
        <v>209.85</v>
      </c>
      <c r="AB115" s="52">
        <v>50</v>
      </c>
      <c r="AC115" s="52">
        <v>80</v>
      </c>
      <c r="AD115" s="52">
        <f t="shared" si="7"/>
        <v>339.85</v>
      </c>
      <c r="AE115" s="53">
        <f t="shared" ref="AE115:AE118" si="130">AN115*B$66</f>
        <v>209.85</v>
      </c>
      <c r="AF115" s="53">
        <f t="shared" si="104"/>
        <v>27.98</v>
      </c>
      <c r="AG115" s="53">
        <f t="shared" si="106"/>
        <v>69.95</v>
      </c>
      <c r="AH115" s="54">
        <f t="shared" si="105"/>
        <v>27.98</v>
      </c>
      <c r="AI115" s="54">
        <f t="shared" si="125"/>
        <v>213.4067796610168</v>
      </c>
      <c r="AJ115" s="54">
        <f t="shared" si="57"/>
        <v>41.041255499999998</v>
      </c>
      <c r="AK115" s="54">
        <f t="shared" si="58"/>
        <v>24.624753299999995</v>
      </c>
      <c r="AL115" s="55">
        <f t="shared" si="127"/>
        <v>-251.29728846101671</v>
      </c>
      <c r="AM115" s="62">
        <f t="shared" si="128"/>
        <v>-0.17962636773482252</v>
      </c>
      <c r="AN115" s="71">
        <v>1399</v>
      </c>
      <c r="AO115" s="71"/>
      <c r="AP115" s="71"/>
      <c r="AQ115" s="71"/>
      <c r="AR115" s="71">
        <v>2799</v>
      </c>
      <c r="AS115" s="45"/>
      <c r="AT115" s="45"/>
      <c r="AU115" s="45"/>
      <c r="AV115" s="57">
        <f t="shared" si="17"/>
        <v>489.97872033898329</v>
      </c>
      <c r="AW115" s="58">
        <f t="shared" si="18"/>
        <v>0.35023496807647125</v>
      </c>
      <c r="AX115" s="71">
        <v>8904422505100</v>
      </c>
      <c r="AY115" s="59">
        <f t="shared" si="19"/>
        <v>99.373499999999993</v>
      </c>
      <c r="AZ115" s="60">
        <f t="shared" si="20"/>
        <v>168.93839907017465</v>
      </c>
      <c r="BA115" s="60"/>
      <c r="BB115" s="60"/>
      <c r="BC115" s="60"/>
    </row>
    <row r="116" spans="1:55" ht="14.25" customHeight="1">
      <c r="A116" s="43"/>
      <c r="B116" s="43"/>
      <c r="C116" s="43"/>
      <c r="D116" s="44"/>
      <c r="E116" s="44"/>
      <c r="F116" s="45" t="s">
        <v>651</v>
      </c>
      <c r="G116" s="96" t="s">
        <v>652</v>
      </c>
      <c r="H116" s="71" t="s">
        <v>653</v>
      </c>
      <c r="I116" s="47" t="s">
        <v>628</v>
      </c>
      <c r="J116" s="61" t="s">
        <v>629</v>
      </c>
      <c r="K116" s="71"/>
      <c r="L116" s="71" t="s">
        <v>649</v>
      </c>
      <c r="M116" s="71" t="s">
        <v>654</v>
      </c>
      <c r="N116" s="45">
        <v>84148090</v>
      </c>
      <c r="O116" s="71"/>
      <c r="P116" s="71"/>
      <c r="Q116" s="71"/>
      <c r="R116" s="71"/>
      <c r="S116" s="71"/>
      <c r="T116" s="109"/>
      <c r="U116" s="49">
        <v>7</v>
      </c>
      <c r="V116" s="49">
        <v>7</v>
      </c>
      <c r="W116" s="50">
        <f t="shared" si="49"/>
        <v>0.14000000000000001</v>
      </c>
      <c r="X116" s="50">
        <f t="shared" si="129"/>
        <v>0.58904999999999985</v>
      </c>
      <c r="Y116" s="51">
        <f t="shared" si="4"/>
        <v>695.61449999999991</v>
      </c>
      <c r="Z116" s="51">
        <f t="shared" si="124"/>
        <v>820.82510999999988</v>
      </c>
      <c r="AA116" s="52">
        <f>AN116*0.13</f>
        <v>253.37</v>
      </c>
      <c r="AB116" s="52">
        <v>50</v>
      </c>
      <c r="AC116" s="52">
        <v>76</v>
      </c>
      <c r="AD116" s="52">
        <f t="shared" si="7"/>
        <v>379.37</v>
      </c>
      <c r="AE116" s="53">
        <f t="shared" si="130"/>
        <v>292.34999999999997</v>
      </c>
      <c r="AF116" s="53">
        <f t="shared" si="104"/>
        <v>38.980000000000004</v>
      </c>
      <c r="AG116" s="53">
        <f t="shared" si="106"/>
        <v>97.45</v>
      </c>
      <c r="AH116" s="54">
        <f t="shared" si="105"/>
        <v>38.980000000000004</v>
      </c>
      <c r="AI116" s="54">
        <f t="shared" si="125"/>
        <v>297.30508474576254</v>
      </c>
      <c r="AJ116" s="54">
        <f t="shared" si="57"/>
        <v>41.041255499999998</v>
      </c>
      <c r="AK116" s="54">
        <f t="shared" si="58"/>
        <v>24.624753299999995</v>
      </c>
      <c r="AL116" s="55">
        <f t="shared" si="127"/>
        <v>43.284406454237526</v>
      </c>
      <c r="AM116" s="62">
        <f t="shared" si="128"/>
        <v>2.2208520499865329E-2</v>
      </c>
      <c r="AN116" s="71">
        <v>1949</v>
      </c>
      <c r="AO116" s="71"/>
      <c r="AP116" s="71"/>
      <c r="AQ116" s="71"/>
      <c r="AR116" s="71">
        <v>3699</v>
      </c>
      <c r="AS116" s="45"/>
      <c r="AT116" s="45"/>
      <c r="AU116" s="45"/>
      <c r="AV116" s="57">
        <f t="shared" si="17"/>
        <v>956.08041525423755</v>
      </c>
      <c r="AW116" s="58">
        <f t="shared" si="18"/>
        <v>0.49054921254706901</v>
      </c>
      <c r="AX116" s="71">
        <v>8904422505117</v>
      </c>
      <c r="AY116" s="59">
        <f t="shared" si="19"/>
        <v>99.373499999999993</v>
      </c>
      <c r="AZ116" s="60">
        <f t="shared" si="20"/>
        <v>235.35449591691952</v>
      </c>
      <c r="BA116" s="60"/>
      <c r="BB116" s="60"/>
      <c r="BC116" s="60"/>
    </row>
    <row r="117" spans="1:55" ht="14.25" customHeight="1">
      <c r="A117" s="43"/>
      <c r="B117" s="43"/>
      <c r="C117" s="43"/>
      <c r="D117" s="44"/>
      <c r="E117" s="44"/>
      <c r="F117" s="45" t="s">
        <v>655</v>
      </c>
      <c r="G117" s="96" t="s">
        <v>656</v>
      </c>
      <c r="H117" s="71" t="s">
        <v>657</v>
      </c>
      <c r="I117" s="47" t="s">
        <v>628</v>
      </c>
      <c r="J117" s="61" t="s">
        <v>629</v>
      </c>
      <c r="K117" s="71"/>
      <c r="L117" s="71" t="s">
        <v>649</v>
      </c>
      <c r="M117" s="71" t="s">
        <v>658</v>
      </c>
      <c r="N117" s="45">
        <v>84148090</v>
      </c>
      <c r="O117" s="71"/>
      <c r="P117" s="71"/>
      <c r="Q117" s="71"/>
      <c r="R117" s="71"/>
      <c r="S117" s="71"/>
      <c r="T117" s="109"/>
      <c r="U117" s="49">
        <v>9.42</v>
      </c>
      <c r="V117" s="49">
        <v>12</v>
      </c>
      <c r="W117" s="50">
        <f t="shared" si="49"/>
        <v>0.18840000000000001</v>
      </c>
      <c r="X117" s="50">
        <f t="shared" si="129"/>
        <v>0.79269299999999987</v>
      </c>
      <c r="Y117" s="51">
        <f t="shared" si="4"/>
        <v>936.09836999999993</v>
      </c>
      <c r="Z117" s="51">
        <f t="shared" si="124"/>
        <v>1104.5960765999998</v>
      </c>
      <c r="AA117" s="52">
        <f>AN117*0.15</f>
        <v>344.84999999999997</v>
      </c>
      <c r="AB117" s="52">
        <v>50</v>
      </c>
      <c r="AC117" s="52">
        <v>80</v>
      </c>
      <c r="AD117" s="52">
        <f t="shared" si="7"/>
        <v>474.84999999999997</v>
      </c>
      <c r="AE117" s="53">
        <f t="shared" si="130"/>
        <v>344.84999999999997</v>
      </c>
      <c r="AF117" s="53">
        <f t="shared" si="104"/>
        <v>45.980000000000004</v>
      </c>
      <c r="AG117" s="53">
        <f t="shared" si="106"/>
        <v>114.95</v>
      </c>
      <c r="AH117" s="54">
        <f t="shared" si="105"/>
        <v>45.980000000000004</v>
      </c>
      <c r="AI117" s="54">
        <f t="shared" si="125"/>
        <v>350.69491525423723</v>
      </c>
      <c r="AJ117" s="54">
        <f t="shared" si="57"/>
        <v>55.229803829999994</v>
      </c>
      <c r="AK117" s="54">
        <f t="shared" si="58"/>
        <v>33.137882297999994</v>
      </c>
      <c r="AL117" s="55">
        <f t="shared" si="127"/>
        <v>-102.77097138223697</v>
      </c>
      <c r="AM117" s="62">
        <f t="shared" si="128"/>
        <v>-4.470246689092517E-2</v>
      </c>
      <c r="AN117" s="71">
        <v>2299</v>
      </c>
      <c r="AO117" s="71"/>
      <c r="AP117" s="71"/>
      <c r="AQ117" s="71"/>
      <c r="AR117" s="71">
        <v>4699</v>
      </c>
      <c r="AS117" s="45"/>
      <c r="AT117" s="45"/>
      <c r="AU117" s="45"/>
      <c r="AV117" s="57">
        <f t="shared" si="17"/>
        <v>1012.2067147457628</v>
      </c>
      <c r="AW117" s="58">
        <f t="shared" si="18"/>
        <v>0.44028130262973592</v>
      </c>
      <c r="AX117" s="71">
        <v>8904422505124</v>
      </c>
      <c r="AY117" s="59">
        <f t="shared" si="19"/>
        <v>99.373499999999993</v>
      </c>
      <c r="AZ117" s="60">
        <f t="shared" si="20"/>
        <v>206.298831606768</v>
      </c>
      <c r="BA117" s="60"/>
      <c r="BB117" s="60"/>
      <c r="BC117" s="60"/>
    </row>
    <row r="118" spans="1:55" ht="14.25" customHeight="1">
      <c r="A118" s="43"/>
      <c r="B118" s="43"/>
      <c r="C118" s="43"/>
      <c r="D118" s="44"/>
      <c r="E118" s="44"/>
      <c r="F118" s="45" t="s">
        <v>659</v>
      </c>
      <c r="G118" s="96" t="s">
        <v>660</v>
      </c>
      <c r="H118" s="71" t="s">
        <v>661</v>
      </c>
      <c r="I118" s="47" t="s">
        <v>234</v>
      </c>
      <c r="J118" s="61" t="s">
        <v>249</v>
      </c>
      <c r="K118" s="71"/>
      <c r="L118" s="71" t="s">
        <v>611</v>
      </c>
      <c r="M118" s="71" t="s">
        <v>662</v>
      </c>
      <c r="N118" s="45">
        <v>85086000</v>
      </c>
      <c r="O118" s="71"/>
      <c r="P118" s="71"/>
      <c r="Q118" s="71"/>
      <c r="R118" s="71"/>
      <c r="S118" s="71"/>
      <c r="T118" s="109"/>
      <c r="U118" s="49">
        <v>6.73</v>
      </c>
      <c r="V118" s="49">
        <v>6.73</v>
      </c>
      <c r="W118" s="50">
        <f t="shared" si="49"/>
        <v>0.13460000000000003</v>
      </c>
      <c r="X118" s="50">
        <f t="shared" ref="X118:X124" si="131">(U118+W118)*(B$31+(B$31*B$45))</f>
        <v>1.5102120000000003</v>
      </c>
      <c r="Y118" s="51">
        <f t="shared" si="4"/>
        <v>753.73308000000009</v>
      </c>
      <c r="Z118" s="51">
        <f t="shared" si="124"/>
        <v>889.40503440000009</v>
      </c>
      <c r="AA118" s="52">
        <f>AN118*4.5%</f>
        <v>89.954999999999998</v>
      </c>
      <c r="AB118" s="52">
        <v>51</v>
      </c>
      <c r="AC118" s="52">
        <v>76</v>
      </c>
      <c r="AD118" s="52">
        <f t="shared" si="7"/>
        <v>216.95499999999998</v>
      </c>
      <c r="AE118" s="53">
        <f t="shared" si="130"/>
        <v>299.84999999999997</v>
      </c>
      <c r="AF118" s="53">
        <f t="shared" si="104"/>
        <v>39.980000000000004</v>
      </c>
      <c r="AG118" s="53">
        <f t="shared" si="106"/>
        <v>99.95</v>
      </c>
      <c r="AH118" s="54">
        <f t="shared" si="105"/>
        <v>39.980000000000004</v>
      </c>
      <c r="AI118" s="54">
        <f t="shared" si="125"/>
        <v>304.93220338983042</v>
      </c>
      <c r="AJ118" s="54">
        <f t="shared" si="57"/>
        <v>44.470251720000007</v>
      </c>
      <c r="AK118" s="54">
        <f t="shared" si="58"/>
        <v>26.682151032</v>
      </c>
      <c r="AL118" s="55">
        <f>SUM(AN118-AI118)-Y118-AD118-AE118-AG118-AJ118-AK118-AF118-AH118</f>
        <v>172.46731385816946</v>
      </c>
      <c r="AM118" s="62">
        <f>AL118/SUM(AN118-AI118)</f>
        <v>0.10180661848556276</v>
      </c>
      <c r="AN118" s="71">
        <v>1999</v>
      </c>
      <c r="AO118" s="71"/>
      <c r="AP118" s="71">
        <v>1999</v>
      </c>
      <c r="AQ118" s="71"/>
      <c r="AR118" s="71">
        <v>3999</v>
      </c>
      <c r="AS118" s="45"/>
      <c r="AT118" s="45"/>
      <c r="AU118" s="45"/>
      <c r="AV118" s="57">
        <f t="shared" si="17"/>
        <v>940.33471661016949</v>
      </c>
      <c r="AW118" s="58">
        <f t="shared" si="18"/>
        <v>0.4704025595848772</v>
      </c>
      <c r="AX118" s="71">
        <v>8904422505001</v>
      </c>
      <c r="AY118" s="59">
        <f t="shared" si="19"/>
        <v>111.99600000000001</v>
      </c>
      <c r="AZ118" s="60">
        <f t="shared" si="20"/>
        <v>222.77913024594858</v>
      </c>
      <c r="BA118" s="60"/>
      <c r="BB118" s="60"/>
      <c r="BC118" s="60"/>
    </row>
    <row r="119" spans="1:55" ht="14.25" customHeight="1">
      <c r="A119" s="43"/>
      <c r="B119" s="43"/>
      <c r="C119" s="43"/>
      <c r="D119" s="44"/>
      <c r="E119" s="44"/>
      <c r="F119" s="45" t="s">
        <v>663</v>
      </c>
      <c r="G119" s="96" t="s">
        <v>664</v>
      </c>
      <c r="H119" s="71" t="s">
        <v>665</v>
      </c>
      <c r="I119" s="47" t="s">
        <v>314</v>
      </c>
      <c r="J119" s="61" t="s">
        <v>444</v>
      </c>
      <c r="K119" s="71"/>
      <c r="L119" s="71" t="s">
        <v>666</v>
      </c>
      <c r="M119" s="71" t="s">
        <v>667</v>
      </c>
      <c r="N119" s="45">
        <v>85101000</v>
      </c>
      <c r="O119" s="71"/>
      <c r="P119" s="71"/>
      <c r="Q119" s="71"/>
      <c r="R119" s="71"/>
      <c r="S119" s="71"/>
      <c r="T119" s="109"/>
      <c r="U119" s="49">
        <v>10</v>
      </c>
      <c r="V119" s="49">
        <v>10</v>
      </c>
      <c r="W119" s="50">
        <f t="shared" si="49"/>
        <v>0.2</v>
      </c>
      <c r="X119" s="50">
        <f t="shared" si="131"/>
        <v>2.2440000000000002</v>
      </c>
      <c r="Y119" s="51">
        <f t="shared" si="4"/>
        <v>1119.9599999999998</v>
      </c>
      <c r="Z119" s="51">
        <f t="shared" si="124"/>
        <v>1321.5527999999997</v>
      </c>
      <c r="AA119" s="52">
        <f>AN119*9.5%</f>
        <v>268.755</v>
      </c>
      <c r="AB119" s="52">
        <v>51</v>
      </c>
      <c r="AC119" s="52">
        <v>59</v>
      </c>
      <c r="AD119" s="52">
        <f t="shared" si="7"/>
        <v>378.755</v>
      </c>
      <c r="AE119" s="53">
        <f>AN119*B$72</f>
        <v>565.80000000000007</v>
      </c>
      <c r="AF119" s="53">
        <f t="shared" si="104"/>
        <v>56.58</v>
      </c>
      <c r="AG119" s="53">
        <f t="shared" si="106"/>
        <v>141.45000000000002</v>
      </c>
      <c r="AH119" s="54">
        <f t="shared" si="105"/>
        <v>56.58</v>
      </c>
      <c r="AI119" s="54">
        <f t="shared" si="125"/>
        <v>431.54237288135573</v>
      </c>
      <c r="AJ119" s="54">
        <f t="shared" si="57"/>
        <v>66.077639999999988</v>
      </c>
      <c r="AK119" s="54">
        <f t="shared" si="58"/>
        <v>39.64658399999999</v>
      </c>
      <c r="AL119" s="55">
        <f t="shared" ref="AL119:AL127" si="132">AN119-Y119-AD119-AE119-AG119-AI119-AJ119-AK119-AF119-AH119</f>
        <v>-27.391596881355511</v>
      </c>
      <c r="AM119" s="62">
        <f t="shared" ref="AM119:AM127" si="133">AL119/AN119</f>
        <v>-9.6824308523702756E-3</v>
      </c>
      <c r="AN119" s="71">
        <v>2829</v>
      </c>
      <c r="AO119" s="71"/>
      <c r="AP119" s="71">
        <v>2999</v>
      </c>
      <c r="AQ119" s="71"/>
      <c r="AR119" s="71">
        <v>3999</v>
      </c>
      <c r="AS119" s="45"/>
      <c r="AT119" s="45"/>
      <c r="AU119" s="45"/>
      <c r="AV119" s="57">
        <f t="shared" si="17"/>
        <v>1277.4976271186445</v>
      </c>
      <c r="AW119" s="58">
        <f t="shared" si="18"/>
        <v>0.45157215522044697</v>
      </c>
      <c r="AX119" s="71">
        <v>8904422505018</v>
      </c>
      <c r="AY119" s="59">
        <f t="shared" si="19"/>
        <v>111.99599999999998</v>
      </c>
      <c r="AZ119" s="60">
        <f t="shared" si="20"/>
        <v>212.18257794921252</v>
      </c>
      <c r="BA119" s="60"/>
      <c r="BB119" s="60"/>
      <c r="BC119" s="60"/>
    </row>
    <row r="120" spans="1:55" ht="14.25" customHeight="1">
      <c r="A120" s="43"/>
      <c r="B120" s="43"/>
      <c r="C120" s="43"/>
      <c r="D120" s="44"/>
      <c r="E120" s="44"/>
      <c r="F120" s="45" t="s">
        <v>668</v>
      </c>
      <c r="G120" s="96" t="s">
        <v>669</v>
      </c>
      <c r="H120" s="71" t="s">
        <v>670</v>
      </c>
      <c r="I120" s="71" t="s">
        <v>671</v>
      </c>
      <c r="J120" s="71"/>
      <c r="K120" s="71"/>
      <c r="L120" s="71" t="s">
        <v>672</v>
      </c>
      <c r="M120" s="71" t="s">
        <v>673</v>
      </c>
      <c r="N120" s="45">
        <v>85167100</v>
      </c>
      <c r="O120" s="71"/>
      <c r="P120" s="71"/>
      <c r="Q120" s="71"/>
      <c r="R120" s="71"/>
      <c r="S120" s="71"/>
      <c r="T120" s="109"/>
      <c r="U120" s="49">
        <v>5.2</v>
      </c>
      <c r="V120" s="49">
        <v>5.2</v>
      </c>
      <c r="W120" s="50">
        <f t="shared" si="49"/>
        <v>0.10400000000000001</v>
      </c>
      <c r="X120" s="50">
        <f t="shared" si="131"/>
        <v>1.1668800000000001</v>
      </c>
      <c r="Y120" s="51">
        <f t="shared" si="4"/>
        <v>582.37919999999997</v>
      </c>
      <c r="Z120" s="51">
        <f t="shared" si="124"/>
        <v>687.20745599999998</v>
      </c>
      <c r="AA120" s="52">
        <f>AN120*4.5%</f>
        <v>67.454999999999998</v>
      </c>
      <c r="AB120" s="52">
        <v>51</v>
      </c>
      <c r="AC120" s="52">
        <v>148</v>
      </c>
      <c r="AD120" s="52">
        <f t="shared" si="7"/>
        <v>266.45499999999998</v>
      </c>
      <c r="AE120" s="53">
        <f>AN120*B$66</f>
        <v>224.85</v>
      </c>
      <c r="AF120" s="53">
        <f t="shared" si="104"/>
        <v>29.98</v>
      </c>
      <c r="AG120" s="53">
        <f t="shared" si="106"/>
        <v>74.95</v>
      </c>
      <c r="AH120" s="54">
        <f t="shared" si="105"/>
        <v>29.98</v>
      </c>
      <c r="AI120" s="54">
        <f t="shared" si="125"/>
        <v>228.66101694915255</v>
      </c>
      <c r="AJ120" s="54">
        <f t="shared" si="57"/>
        <v>34.3603728</v>
      </c>
      <c r="AK120" s="54">
        <f t="shared" si="58"/>
        <v>20.616223679999997</v>
      </c>
      <c r="AL120" s="55">
        <f t="shared" si="132"/>
        <v>6.7681865708474369</v>
      </c>
      <c r="AM120" s="62">
        <f t="shared" si="133"/>
        <v>4.5151344702117659E-3</v>
      </c>
      <c r="AN120" s="71">
        <v>1499</v>
      </c>
      <c r="AO120" s="71"/>
      <c r="AP120" s="71">
        <v>1399</v>
      </c>
      <c r="AQ120" s="71"/>
      <c r="AR120" s="71">
        <v>2699</v>
      </c>
      <c r="AS120" s="45"/>
      <c r="AT120" s="45"/>
      <c r="AU120" s="45"/>
      <c r="AV120" s="57">
        <f t="shared" si="17"/>
        <v>687.95978305084748</v>
      </c>
      <c r="AW120" s="58">
        <f t="shared" si="18"/>
        <v>0.45894581924672945</v>
      </c>
      <c r="AX120" s="111" t="s">
        <v>674</v>
      </c>
      <c r="AY120" s="59">
        <f t="shared" si="19"/>
        <v>111.996</v>
      </c>
      <c r="AZ120" s="60">
        <f t="shared" si="20"/>
        <v>216.20964484995343</v>
      </c>
      <c r="BA120" s="60"/>
      <c r="BB120" s="60"/>
      <c r="BC120" s="60"/>
    </row>
    <row r="121" spans="1:55" ht="14.25" customHeight="1">
      <c r="A121" s="43"/>
      <c r="B121" s="43"/>
      <c r="C121" s="43"/>
      <c r="D121" s="44"/>
      <c r="E121" s="44"/>
      <c r="F121" s="45" t="s">
        <v>675</v>
      </c>
      <c r="G121" s="96" t="s">
        <v>676</v>
      </c>
      <c r="H121" s="71" t="s">
        <v>677</v>
      </c>
      <c r="I121" s="71" t="s">
        <v>314</v>
      </c>
      <c r="J121" s="71"/>
      <c r="K121" s="71"/>
      <c r="L121" s="71" t="s">
        <v>635</v>
      </c>
      <c r="M121" s="71" t="s">
        <v>678</v>
      </c>
      <c r="N121" s="45">
        <v>85101000</v>
      </c>
      <c r="O121" s="71"/>
      <c r="P121" s="71"/>
      <c r="Q121" s="71"/>
      <c r="R121" s="71"/>
      <c r="S121" s="71"/>
      <c r="T121" s="109"/>
      <c r="U121" s="49">
        <v>4.55</v>
      </c>
      <c r="V121" s="49">
        <v>4.55</v>
      </c>
      <c r="W121" s="50">
        <f t="shared" si="49"/>
        <v>9.0999999999999998E-2</v>
      </c>
      <c r="X121" s="50">
        <f t="shared" si="131"/>
        <v>1.02102</v>
      </c>
      <c r="Y121" s="51">
        <f t="shared" si="4"/>
        <v>509.58179999999999</v>
      </c>
      <c r="Z121" s="51">
        <f t="shared" si="124"/>
        <v>601.30652399999997</v>
      </c>
      <c r="AA121" s="52">
        <f t="shared" ref="AA121:AA122" si="134">AN121*9.5%</f>
        <v>103.455</v>
      </c>
      <c r="AB121" s="52">
        <v>51</v>
      </c>
      <c r="AC121" s="52">
        <v>59</v>
      </c>
      <c r="AD121" s="52">
        <f t="shared" si="7"/>
        <v>213.45499999999998</v>
      </c>
      <c r="AE121" s="53">
        <f t="shared" ref="AE121:AE122" si="135">AN121*B$72</f>
        <v>217.8</v>
      </c>
      <c r="AF121" s="53">
        <f t="shared" si="104"/>
        <v>21.78</v>
      </c>
      <c r="AG121" s="53">
        <f t="shared" si="106"/>
        <v>54.45</v>
      </c>
      <c r="AH121" s="54">
        <f t="shared" si="105"/>
        <v>21.78</v>
      </c>
      <c r="AI121" s="54">
        <f t="shared" si="125"/>
        <v>166.11864406779659</v>
      </c>
      <c r="AJ121" s="54">
        <f t="shared" si="57"/>
        <v>30.065326200000001</v>
      </c>
      <c r="AK121" s="54">
        <f t="shared" si="58"/>
        <v>18.039195719999999</v>
      </c>
      <c r="AL121" s="55">
        <f t="shared" si="132"/>
        <v>-164.06996598779651</v>
      </c>
      <c r="AM121" s="62">
        <f t="shared" si="133"/>
        <v>-0.1506611257922833</v>
      </c>
      <c r="AN121" s="71">
        <v>1089</v>
      </c>
      <c r="AO121" s="71"/>
      <c r="AP121" s="71">
        <v>1399</v>
      </c>
      <c r="AQ121" s="71"/>
      <c r="AR121" s="71">
        <v>1999</v>
      </c>
      <c r="AS121" s="45"/>
      <c r="AT121" s="45"/>
      <c r="AU121" s="45"/>
      <c r="AV121" s="57">
        <f t="shared" si="17"/>
        <v>413.29955593220342</v>
      </c>
      <c r="AW121" s="58">
        <f t="shared" si="18"/>
        <v>0.37952208992856146</v>
      </c>
      <c r="AX121" s="71">
        <v>8904422505094</v>
      </c>
      <c r="AY121" s="59">
        <f t="shared" si="19"/>
        <v>111.996</v>
      </c>
      <c r="AZ121" s="60">
        <f t="shared" si="20"/>
        <v>179.51190564498182</v>
      </c>
      <c r="BA121" s="60"/>
      <c r="BB121" s="60"/>
      <c r="BC121" s="60"/>
    </row>
    <row r="122" spans="1:55" ht="14.25" customHeight="1">
      <c r="A122" s="43"/>
      <c r="B122" s="43"/>
      <c r="C122" s="43"/>
      <c r="D122" s="44"/>
      <c r="E122" s="44"/>
      <c r="F122" s="45" t="s">
        <v>679</v>
      </c>
      <c r="G122" s="96" t="s">
        <v>680</v>
      </c>
      <c r="H122" s="71" t="s">
        <v>681</v>
      </c>
      <c r="I122" s="71" t="s">
        <v>314</v>
      </c>
      <c r="J122" s="71"/>
      <c r="K122" s="71"/>
      <c r="L122" s="71" t="s">
        <v>438</v>
      </c>
      <c r="M122" s="71" t="s">
        <v>682</v>
      </c>
      <c r="N122" s="45">
        <v>85101000</v>
      </c>
      <c r="O122" s="71"/>
      <c r="P122" s="71"/>
      <c r="Q122" s="71"/>
      <c r="R122" s="71"/>
      <c r="S122" s="71"/>
      <c r="T122" s="109"/>
      <c r="U122" s="49">
        <v>3.52</v>
      </c>
      <c r="V122" s="49">
        <v>3.52</v>
      </c>
      <c r="W122" s="50">
        <f t="shared" si="49"/>
        <v>7.0400000000000004E-2</v>
      </c>
      <c r="X122" s="50">
        <f t="shared" si="131"/>
        <v>0.78988800000000003</v>
      </c>
      <c r="Y122" s="51">
        <f t="shared" si="4"/>
        <v>394.22592000000003</v>
      </c>
      <c r="Z122" s="51">
        <f t="shared" si="124"/>
        <v>465.1865856</v>
      </c>
      <c r="AA122" s="52">
        <f t="shared" si="134"/>
        <v>113.905</v>
      </c>
      <c r="AB122" s="52">
        <v>51</v>
      </c>
      <c r="AC122" s="52">
        <v>59</v>
      </c>
      <c r="AD122" s="52">
        <f t="shared" si="7"/>
        <v>223.905</v>
      </c>
      <c r="AE122" s="53">
        <f t="shared" si="135"/>
        <v>239.8</v>
      </c>
      <c r="AF122" s="53">
        <f t="shared" si="104"/>
        <v>23.98</v>
      </c>
      <c r="AG122" s="53">
        <f t="shared" si="106"/>
        <v>59.95</v>
      </c>
      <c r="AH122" s="54">
        <f t="shared" si="105"/>
        <v>23.98</v>
      </c>
      <c r="AI122" s="54">
        <f t="shared" si="125"/>
        <v>182.89830508474574</v>
      </c>
      <c r="AJ122" s="54">
        <f t="shared" si="57"/>
        <v>23.259329280000003</v>
      </c>
      <c r="AK122" s="54">
        <f t="shared" si="58"/>
        <v>13.955597568</v>
      </c>
      <c r="AL122" s="55">
        <f t="shared" si="132"/>
        <v>13.045848067254187</v>
      </c>
      <c r="AM122" s="62">
        <f t="shared" si="133"/>
        <v>1.0880607228735769E-2</v>
      </c>
      <c r="AN122" s="71">
        <v>1199</v>
      </c>
      <c r="AO122" s="71"/>
      <c r="AP122" s="71">
        <v>1159</v>
      </c>
      <c r="AQ122" s="71"/>
      <c r="AR122" s="71">
        <v>1599</v>
      </c>
      <c r="AS122" s="45"/>
      <c r="AT122" s="45"/>
      <c r="AU122" s="45"/>
      <c r="AV122" s="57">
        <f t="shared" si="17"/>
        <v>621.87577491525417</v>
      </c>
      <c r="AW122" s="58">
        <f t="shared" si="18"/>
        <v>0.51866203078836881</v>
      </c>
      <c r="AX122" s="71">
        <v>8904422505087</v>
      </c>
      <c r="AY122" s="59">
        <f t="shared" si="19"/>
        <v>111.99600000000001</v>
      </c>
      <c r="AZ122" s="60">
        <f t="shared" si="20"/>
        <v>255.47787420979319</v>
      </c>
      <c r="BA122" s="60"/>
      <c r="BB122" s="60"/>
      <c r="BC122" s="60"/>
    </row>
    <row r="123" spans="1:55" ht="14.25" customHeight="1">
      <c r="A123" s="43"/>
      <c r="B123" s="43"/>
      <c r="C123" s="43"/>
      <c r="D123" s="44"/>
      <c r="E123" s="44"/>
      <c r="F123" s="45" t="s">
        <v>683</v>
      </c>
      <c r="G123" s="96" t="s">
        <v>684</v>
      </c>
      <c r="H123" s="71" t="s">
        <v>685</v>
      </c>
      <c r="I123" s="47" t="s">
        <v>234</v>
      </c>
      <c r="J123" s="61" t="s">
        <v>671</v>
      </c>
      <c r="K123" s="71"/>
      <c r="L123" s="71" t="s">
        <v>686</v>
      </c>
      <c r="M123" s="71" t="s">
        <v>687</v>
      </c>
      <c r="N123" s="45">
        <v>85167990</v>
      </c>
      <c r="O123" s="71"/>
      <c r="P123" s="71"/>
      <c r="Q123" s="71"/>
      <c r="R123" s="71"/>
      <c r="S123" s="71"/>
      <c r="T123" s="109"/>
      <c r="U123" s="49">
        <v>7.25</v>
      </c>
      <c r="V123" s="49">
        <v>7.25</v>
      </c>
      <c r="W123" s="50">
        <f t="shared" si="49"/>
        <v>0.14499999999999999</v>
      </c>
      <c r="X123" s="50">
        <f t="shared" si="131"/>
        <v>1.6269</v>
      </c>
      <c r="Y123" s="51">
        <f t="shared" si="4"/>
        <v>811.97099999999989</v>
      </c>
      <c r="Z123" s="51">
        <f t="shared" si="124"/>
        <v>958.12577999999985</v>
      </c>
      <c r="AA123" s="52">
        <f t="shared" ref="AA123:AA124" si="136">AN123*4.5%</f>
        <v>76.454999999999998</v>
      </c>
      <c r="AB123" s="52">
        <v>51</v>
      </c>
      <c r="AC123" s="52">
        <v>148</v>
      </c>
      <c r="AD123" s="52">
        <f t="shared" si="7"/>
        <v>275.45499999999998</v>
      </c>
      <c r="AE123" s="53">
        <f t="shared" ref="AE123:AE125" si="137">AN123*B$66</f>
        <v>254.85</v>
      </c>
      <c r="AF123" s="53">
        <f t="shared" si="104"/>
        <v>33.980000000000004</v>
      </c>
      <c r="AG123" s="53">
        <f t="shared" si="106"/>
        <v>84.95</v>
      </c>
      <c r="AH123" s="54">
        <f t="shared" si="105"/>
        <v>33.980000000000004</v>
      </c>
      <c r="AI123" s="54">
        <f t="shared" si="125"/>
        <v>259.16949152542361</v>
      </c>
      <c r="AJ123" s="54">
        <f t="shared" si="57"/>
        <v>47.906288999999994</v>
      </c>
      <c r="AK123" s="54">
        <f t="shared" si="58"/>
        <v>28.743773399999995</v>
      </c>
      <c r="AL123" s="55">
        <f t="shared" si="132"/>
        <v>-132.00555392542356</v>
      </c>
      <c r="AM123" s="62">
        <f t="shared" si="133"/>
        <v>-7.7696029385181609E-2</v>
      </c>
      <c r="AN123" s="71">
        <v>1699</v>
      </c>
      <c r="AO123" s="71"/>
      <c r="AP123" s="71">
        <v>1649</v>
      </c>
      <c r="AQ123" s="71"/>
      <c r="AR123" s="71">
        <v>2799</v>
      </c>
      <c r="AS123" s="45"/>
      <c r="AT123" s="45"/>
      <c r="AU123" s="45"/>
      <c r="AV123" s="57">
        <f t="shared" si="17"/>
        <v>627.8595084745765</v>
      </c>
      <c r="AW123" s="58">
        <f t="shared" si="18"/>
        <v>0.36954650292794378</v>
      </c>
      <c r="AX123" s="71">
        <v>8904422505148</v>
      </c>
      <c r="AY123" s="59">
        <f t="shared" si="19"/>
        <v>111.99599999999998</v>
      </c>
      <c r="AZ123" s="60">
        <f t="shared" si="20"/>
        <v>175.76489800744119</v>
      </c>
      <c r="BA123" s="60"/>
      <c r="BB123" s="60"/>
      <c r="BC123" s="60"/>
    </row>
    <row r="124" spans="1:55" ht="14.25" customHeight="1">
      <c r="A124" s="43"/>
      <c r="B124" s="43"/>
      <c r="C124" s="43"/>
      <c r="D124" s="44"/>
      <c r="E124" s="44"/>
      <c r="F124" s="45" t="s">
        <v>688</v>
      </c>
      <c r="G124" s="96" t="s">
        <v>689</v>
      </c>
      <c r="H124" s="71" t="s">
        <v>690</v>
      </c>
      <c r="I124" s="47" t="s">
        <v>234</v>
      </c>
      <c r="J124" s="61" t="s">
        <v>671</v>
      </c>
      <c r="K124" s="71"/>
      <c r="L124" s="71" t="s">
        <v>686</v>
      </c>
      <c r="M124" s="71" t="s">
        <v>691</v>
      </c>
      <c r="N124" s="45">
        <v>85167990</v>
      </c>
      <c r="O124" s="71"/>
      <c r="P124" s="71"/>
      <c r="Q124" s="71"/>
      <c r="R124" s="71"/>
      <c r="S124" s="71"/>
      <c r="T124" s="109"/>
      <c r="U124" s="49">
        <v>7.25</v>
      </c>
      <c r="V124" s="49">
        <v>7.25</v>
      </c>
      <c r="W124" s="50">
        <f t="shared" si="49"/>
        <v>0.14499999999999999</v>
      </c>
      <c r="X124" s="50">
        <f t="shared" si="131"/>
        <v>1.6269</v>
      </c>
      <c r="Y124" s="51">
        <f t="shared" si="4"/>
        <v>811.97099999999989</v>
      </c>
      <c r="Z124" s="51">
        <f t="shared" si="124"/>
        <v>958.12577999999985</v>
      </c>
      <c r="AA124" s="52">
        <f t="shared" si="136"/>
        <v>71.954999999999998</v>
      </c>
      <c r="AB124" s="52">
        <v>51</v>
      </c>
      <c r="AC124" s="52">
        <v>148</v>
      </c>
      <c r="AD124" s="52">
        <f t="shared" si="7"/>
        <v>270.95499999999998</v>
      </c>
      <c r="AE124" s="53">
        <f t="shared" si="137"/>
        <v>239.85</v>
      </c>
      <c r="AF124" s="53">
        <f t="shared" si="104"/>
        <v>31.98</v>
      </c>
      <c r="AG124" s="53">
        <f t="shared" si="106"/>
        <v>79.95</v>
      </c>
      <c r="AH124" s="54">
        <f t="shared" si="105"/>
        <v>31.98</v>
      </c>
      <c r="AI124" s="54">
        <f t="shared" si="125"/>
        <v>243.91525423728808</v>
      </c>
      <c r="AJ124" s="54">
        <f t="shared" si="57"/>
        <v>47.906288999999994</v>
      </c>
      <c r="AK124" s="54">
        <f t="shared" si="58"/>
        <v>28.743773399999995</v>
      </c>
      <c r="AL124" s="55">
        <f t="shared" si="132"/>
        <v>-188.251316637288</v>
      </c>
      <c r="AM124" s="62">
        <f t="shared" si="133"/>
        <v>-0.11773065455740338</v>
      </c>
      <c r="AN124" s="71">
        <v>1599</v>
      </c>
      <c r="AO124" s="71"/>
      <c r="AP124" s="71">
        <v>1449</v>
      </c>
      <c r="AQ124" s="71"/>
      <c r="AR124" s="71">
        <v>2799</v>
      </c>
      <c r="AS124" s="45"/>
      <c r="AT124" s="45"/>
      <c r="AU124" s="45"/>
      <c r="AV124" s="57">
        <f t="shared" si="17"/>
        <v>543.11374576271203</v>
      </c>
      <c r="AW124" s="58">
        <f t="shared" si="18"/>
        <v>0.3396583775876873</v>
      </c>
      <c r="AX124" s="71">
        <v>8904422505155</v>
      </c>
      <c r="AY124" s="59">
        <f t="shared" si="19"/>
        <v>111.99599999999998</v>
      </c>
      <c r="AZ124" s="60">
        <f t="shared" si="20"/>
        <v>165.4197009499108</v>
      </c>
      <c r="BA124" s="60"/>
      <c r="BB124" s="60"/>
      <c r="BC124" s="60"/>
    </row>
    <row r="125" spans="1:55" ht="14.25" hidden="1" customHeight="1">
      <c r="A125" s="78"/>
      <c r="B125" s="78"/>
      <c r="C125" s="78"/>
      <c r="D125" s="112"/>
      <c r="E125" s="112"/>
      <c r="F125" s="81" t="s">
        <v>692</v>
      </c>
      <c r="G125" s="80"/>
      <c r="H125" s="79" t="s">
        <v>693</v>
      </c>
      <c r="I125" s="79" t="s">
        <v>314</v>
      </c>
      <c r="J125" s="79"/>
      <c r="K125" s="79"/>
      <c r="L125" s="79"/>
      <c r="M125" s="79" t="s">
        <v>694</v>
      </c>
      <c r="N125" s="113">
        <v>85437093</v>
      </c>
      <c r="O125" s="79"/>
      <c r="P125" s="79">
        <v>17.399999999999999</v>
      </c>
      <c r="Q125" s="79">
        <v>17.399999999999999</v>
      </c>
      <c r="R125" s="79">
        <v>5.2</v>
      </c>
      <c r="S125" s="79"/>
      <c r="T125" s="114"/>
      <c r="U125" s="84">
        <v>1.9</v>
      </c>
      <c r="V125" s="84"/>
      <c r="W125" s="85">
        <f t="shared" si="49"/>
        <v>3.7999999999999999E-2</v>
      </c>
      <c r="X125" s="85">
        <f>(U125+W125)*(B$42+(B$42*B$45))</f>
        <v>0.21318000000000001</v>
      </c>
      <c r="Y125" s="86">
        <f t="shared" si="4"/>
        <v>193.6062</v>
      </c>
      <c r="Z125" s="86">
        <f t="shared" si="124"/>
        <v>228.45531599999998</v>
      </c>
      <c r="AA125" s="87">
        <f>AN125*0.145</f>
        <v>101.35499999999999</v>
      </c>
      <c r="AB125" s="87">
        <v>25</v>
      </c>
      <c r="AC125" s="87">
        <v>60</v>
      </c>
      <c r="AD125" s="87">
        <f t="shared" si="7"/>
        <v>186.35499999999999</v>
      </c>
      <c r="AE125" s="88">
        <f t="shared" si="137"/>
        <v>104.85</v>
      </c>
      <c r="AF125" s="53">
        <f t="shared" si="104"/>
        <v>13.98</v>
      </c>
      <c r="AG125" s="88">
        <f t="shared" si="106"/>
        <v>34.950000000000003</v>
      </c>
      <c r="AH125" s="54">
        <f t="shared" si="105"/>
        <v>13.98</v>
      </c>
      <c r="AI125" s="89">
        <f t="shared" si="125"/>
        <v>106.62711864406776</v>
      </c>
      <c r="AJ125" s="54">
        <f t="shared" si="57"/>
        <v>11.422765800000001</v>
      </c>
      <c r="AK125" s="89">
        <f t="shared" si="58"/>
        <v>6.8536594799999992</v>
      </c>
      <c r="AL125" s="55">
        <f t="shared" si="132"/>
        <v>26.37525607593226</v>
      </c>
      <c r="AM125" s="91">
        <f t="shared" si="133"/>
        <v>3.7732841310346578E-2</v>
      </c>
      <c r="AN125" s="79">
        <v>699</v>
      </c>
      <c r="AO125" s="79"/>
      <c r="AP125" s="79"/>
      <c r="AQ125" s="79"/>
      <c r="AR125" s="79">
        <v>1299</v>
      </c>
      <c r="AS125" s="45"/>
      <c r="AT125" s="45"/>
      <c r="AU125" s="45"/>
      <c r="AV125" s="57">
        <f t="shared" si="17"/>
        <v>398.76668135593223</v>
      </c>
      <c r="AW125" s="58">
        <f t="shared" si="18"/>
        <v>0.57048166145340806</v>
      </c>
      <c r="AX125" s="79">
        <v>8904422505162</v>
      </c>
      <c r="AY125" s="59">
        <f t="shared" si="19"/>
        <v>101.89800000000001</v>
      </c>
      <c r="AZ125" s="60">
        <f t="shared" si="20"/>
        <v>303.27541163454475</v>
      </c>
      <c r="BA125" s="60"/>
      <c r="BB125" s="60"/>
      <c r="BC125" s="60"/>
    </row>
    <row r="126" spans="1:55" ht="14.25" customHeight="1">
      <c r="A126" s="43"/>
      <c r="B126" s="43"/>
      <c r="C126" s="43"/>
      <c r="D126" s="44"/>
      <c r="E126" s="44"/>
      <c r="F126" s="45" t="s">
        <v>695</v>
      </c>
      <c r="G126" s="45" t="s">
        <v>696</v>
      </c>
      <c r="H126" s="71" t="s">
        <v>697</v>
      </c>
      <c r="I126" s="47" t="s">
        <v>314</v>
      </c>
      <c r="J126" s="61" t="s">
        <v>465</v>
      </c>
      <c r="K126" s="71"/>
      <c r="L126" s="71" t="s">
        <v>698</v>
      </c>
      <c r="M126" s="71" t="s">
        <v>699</v>
      </c>
      <c r="N126" s="107">
        <v>85163100</v>
      </c>
      <c r="O126" s="71"/>
      <c r="P126" s="71"/>
      <c r="Q126" s="71"/>
      <c r="R126" s="71"/>
      <c r="S126" s="71"/>
      <c r="T126" s="109"/>
      <c r="U126" s="49">
        <v>8.32</v>
      </c>
      <c r="V126" s="49">
        <v>8.32</v>
      </c>
      <c r="W126" s="50">
        <f t="shared" si="49"/>
        <v>0.16640000000000002</v>
      </c>
      <c r="X126" s="50">
        <f t="shared" ref="X126:X131" si="138">(U126+W126)*(B$31+(B$31*B$45))</f>
        <v>1.8670080000000002</v>
      </c>
      <c r="Y126" s="51">
        <f t="shared" si="4"/>
        <v>931.80672000000004</v>
      </c>
      <c r="Z126" s="51">
        <f t="shared" si="124"/>
        <v>1099.5319296</v>
      </c>
      <c r="AA126" s="52">
        <f t="shared" ref="AA126:AA127" si="139">AN126*9.5%</f>
        <v>208.905</v>
      </c>
      <c r="AB126" s="52">
        <v>51</v>
      </c>
      <c r="AC126" s="52">
        <v>77</v>
      </c>
      <c r="AD126" s="52">
        <f t="shared" si="7"/>
        <v>336.90499999999997</v>
      </c>
      <c r="AE126" s="53">
        <f t="shared" ref="AE126:AE127" si="140">AN126*B$72</f>
        <v>439.8</v>
      </c>
      <c r="AF126" s="53">
        <f t="shared" si="104"/>
        <v>43.980000000000004</v>
      </c>
      <c r="AG126" s="53">
        <f t="shared" si="106"/>
        <v>109.95</v>
      </c>
      <c r="AH126" s="54">
        <f t="shared" si="105"/>
        <v>43.980000000000004</v>
      </c>
      <c r="AI126" s="54">
        <f t="shared" si="125"/>
        <v>335.4406779661017</v>
      </c>
      <c r="AJ126" s="54">
        <f t="shared" si="57"/>
        <v>54.976596480000005</v>
      </c>
      <c r="AK126" s="54">
        <f t="shared" si="58"/>
        <v>32.985957888000002</v>
      </c>
      <c r="AL126" s="55">
        <f t="shared" si="132"/>
        <v>-130.82495233410174</v>
      </c>
      <c r="AM126" s="62">
        <f t="shared" si="133"/>
        <v>-5.9492929665348679E-2</v>
      </c>
      <c r="AN126" s="71">
        <v>2199</v>
      </c>
      <c r="AO126" s="71"/>
      <c r="AP126" s="71">
        <v>1999</v>
      </c>
      <c r="AQ126" s="71"/>
      <c r="AR126" s="71">
        <v>3699</v>
      </c>
      <c r="AS126" s="45"/>
      <c r="AT126" s="45"/>
      <c r="AU126" s="45"/>
      <c r="AV126" s="57">
        <f t="shared" si="17"/>
        <v>931.75260203389826</v>
      </c>
      <c r="AW126" s="58">
        <f t="shared" si="18"/>
        <v>0.42371650842833025</v>
      </c>
      <c r="AX126" s="71">
        <v>8904422505186</v>
      </c>
      <c r="AY126" s="59">
        <f t="shared" si="19"/>
        <v>111.996</v>
      </c>
      <c r="AZ126" s="60">
        <f t="shared" si="20"/>
        <v>198.23424325594044</v>
      </c>
      <c r="BA126" s="60"/>
      <c r="BB126" s="60"/>
      <c r="BC126" s="60"/>
    </row>
    <row r="127" spans="1:55" ht="14.25" customHeight="1">
      <c r="A127" s="43"/>
      <c r="B127" s="43"/>
      <c r="C127" s="43"/>
      <c r="D127" s="44"/>
      <c r="E127" s="44"/>
      <c r="F127" s="45" t="s">
        <v>700</v>
      </c>
      <c r="G127" s="96" t="s">
        <v>701</v>
      </c>
      <c r="H127" s="71" t="s">
        <v>702</v>
      </c>
      <c r="I127" s="47" t="s">
        <v>314</v>
      </c>
      <c r="J127" s="61" t="s">
        <v>465</v>
      </c>
      <c r="K127" s="71"/>
      <c r="L127" s="71" t="s">
        <v>698</v>
      </c>
      <c r="M127" s="71" t="s">
        <v>703</v>
      </c>
      <c r="N127" s="107">
        <v>85163100</v>
      </c>
      <c r="O127" s="71"/>
      <c r="P127" s="71"/>
      <c r="Q127" s="71"/>
      <c r="R127" s="71"/>
      <c r="S127" s="71"/>
      <c r="T127" s="109"/>
      <c r="U127" s="49">
        <v>6.47</v>
      </c>
      <c r="V127" s="49">
        <v>6.47</v>
      </c>
      <c r="W127" s="50">
        <f t="shared" si="49"/>
        <v>0.12939999999999999</v>
      </c>
      <c r="X127" s="50">
        <f t="shared" si="138"/>
        <v>1.4518680000000002</v>
      </c>
      <c r="Y127" s="51">
        <f t="shared" si="4"/>
        <v>724.61412000000007</v>
      </c>
      <c r="Z127" s="51">
        <f t="shared" si="124"/>
        <v>855.04466160000004</v>
      </c>
      <c r="AA127" s="52">
        <f t="shared" si="139"/>
        <v>192.755</v>
      </c>
      <c r="AB127" s="52">
        <v>51</v>
      </c>
      <c r="AC127" s="52">
        <v>77</v>
      </c>
      <c r="AD127" s="52">
        <f t="shared" si="7"/>
        <v>320.755</v>
      </c>
      <c r="AE127" s="53">
        <f t="shared" si="140"/>
        <v>405.8</v>
      </c>
      <c r="AF127" s="53">
        <f t="shared" si="104"/>
        <v>40.58</v>
      </c>
      <c r="AG127" s="53">
        <f t="shared" si="106"/>
        <v>101.45</v>
      </c>
      <c r="AH127" s="54">
        <f t="shared" si="105"/>
        <v>40.58</v>
      </c>
      <c r="AI127" s="54">
        <f t="shared" si="125"/>
        <v>309.50847457627106</v>
      </c>
      <c r="AJ127" s="54">
        <f t="shared" si="57"/>
        <v>42.752233080000003</v>
      </c>
      <c r="AK127" s="54">
        <f t="shared" si="58"/>
        <v>25.651339847999999</v>
      </c>
      <c r="AL127" s="55">
        <f t="shared" si="132"/>
        <v>17.308832495728723</v>
      </c>
      <c r="AM127" s="62">
        <f t="shared" si="133"/>
        <v>8.5307207963177534E-3</v>
      </c>
      <c r="AN127" s="71">
        <v>2029</v>
      </c>
      <c r="AO127" s="71"/>
      <c r="AP127" s="71">
        <v>2099</v>
      </c>
      <c r="AQ127" s="71"/>
      <c r="AR127" s="71">
        <v>3399</v>
      </c>
      <c r="AS127" s="45"/>
      <c r="AT127" s="45"/>
      <c r="AU127" s="45"/>
      <c r="AV127" s="57">
        <f t="shared" si="17"/>
        <v>994.87740542372887</v>
      </c>
      <c r="AW127" s="58">
        <f t="shared" si="18"/>
        <v>0.49032893318074366</v>
      </c>
      <c r="AX127" s="71">
        <v>8904422505193</v>
      </c>
      <c r="AY127" s="59">
        <f t="shared" si="19"/>
        <v>111.99600000000001</v>
      </c>
      <c r="AZ127" s="60">
        <f t="shared" si="20"/>
        <v>235.20932769016423</v>
      </c>
      <c r="BA127" s="60"/>
      <c r="BB127" s="60"/>
      <c r="BC127" s="60"/>
    </row>
    <row r="128" spans="1:55" ht="14.25" customHeight="1">
      <c r="A128" s="43"/>
      <c r="B128" s="43"/>
      <c r="C128" s="43"/>
      <c r="D128" s="44"/>
      <c r="E128" s="43" t="s">
        <v>614</v>
      </c>
      <c r="F128" s="45" t="s">
        <v>704</v>
      </c>
      <c r="G128" s="96" t="s">
        <v>705</v>
      </c>
      <c r="H128" s="71" t="s">
        <v>706</v>
      </c>
      <c r="I128" s="47" t="s">
        <v>234</v>
      </c>
      <c r="J128" s="61" t="s">
        <v>249</v>
      </c>
      <c r="K128" s="71"/>
      <c r="L128" s="71" t="s">
        <v>707</v>
      </c>
      <c r="M128" s="71" t="s">
        <v>708</v>
      </c>
      <c r="N128" s="107">
        <v>85098000</v>
      </c>
      <c r="O128" s="71"/>
      <c r="P128" s="71"/>
      <c r="Q128" s="71"/>
      <c r="R128" s="71"/>
      <c r="S128" s="71"/>
      <c r="T128" s="109"/>
      <c r="U128" s="49">
        <v>20</v>
      </c>
      <c r="V128" s="49">
        <v>20</v>
      </c>
      <c r="W128" s="50">
        <f t="shared" si="49"/>
        <v>0.4</v>
      </c>
      <c r="X128" s="50">
        <f t="shared" si="138"/>
        <v>4.4880000000000004</v>
      </c>
      <c r="Y128" s="51">
        <f t="shared" si="4"/>
        <v>2239.9199999999996</v>
      </c>
      <c r="Z128" s="51">
        <f t="shared" si="124"/>
        <v>2643.1055999999994</v>
      </c>
      <c r="AA128" s="52">
        <f>AN128*8%</f>
        <v>479.92</v>
      </c>
      <c r="AB128" s="52">
        <v>51</v>
      </c>
      <c r="AC128" s="52">
        <v>147</v>
      </c>
      <c r="AD128" s="52">
        <f t="shared" si="7"/>
        <v>677.92000000000007</v>
      </c>
      <c r="AE128" s="53">
        <f t="shared" ref="AE128:AE131" si="141">AN128*B$66</f>
        <v>899.85</v>
      </c>
      <c r="AF128" s="53">
        <f t="shared" si="104"/>
        <v>119.98</v>
      </c>
      <c r="AG128" s="53">
        <f t="shared" si="106"/>
        <v>299.95</v>
      </c>
      <c r="AH128" s="54">
        <f t="shared" si="105"/>
        <v>119.98</v>
      </c>
      <c r="AI128" s="54">
        <f t="shared" si="125"/>
        <v>915.10169491525357</v>
      </c>
      <c r="AJ128" s="54">
        <f t="shared" si="57"/>
        <v>132.15527999999998</v>
      </c>
      <c r="AK128" s="54">
        <f t="shared" si="58"/>
        <v>79.29316799999998</v>
      </c>
      <c r="AL128" s="55">
        <f t="shared" ref="AL128:AL131" si="142">SUM(AN128-AI128)-Y128-AD128-AE128-AG128-AJ128-AK128-AF128-AH128</f>
        <v>514.84985708474687</v>
      </c>
      <c r="AM128" s="62">
        <f t="shared" ref="AM128:AM131" si="143">AL128/SUM(AN128-AI128)</f>
        <v>0.10127068367394586</v>
      </c>
      <c r="AN128" s="71">
        <v>5999</v>
      </c>
      <c r="AO128" s="71"/>
      <c r="AP128" s="71">
        <v>5999</v>
      </c>
      <c r="AQ128" s="71"/>
      <c r="AR128" s="71">
        <v>10299</v>
      </c>
      <c r="AS128" s="45"/>
      <c r="AT128" s="45"/>
      <c r="AU128" s="45"/>
      <c r="AV128" s="57">
        <f t="shared" si="17"/>
        <v>2843.9783050847468</v>
      </c>
      <c r="AW128" s="58">
        <f t="shared" si="18"/>
        <v>0.47407539674691562</v>
      </c>
      <c r="AX128" s="71">
        <v>8904422505223</v>
      </c>
      <c r="AY128" s="59">
        <f t="shared" si="19"/>
        <v>111.99599999999998</v>
      </c>
      <c r="AZ128" s="60">
        <f t="shared" si="20"/>
        <v>224.97053466195226</v>
      </c>
      <c r="BA128" s="60"/>
      <c r="BB128" s="60"/>
      <c r="BC128" s="60"/>
    </row>
    <row r="129" spans="1:55" ht="14.25" hidden="1" customHeight="1">
      <c r="A129" s="43"/>
      <c r="B129" s="43"/>
      <c r="C129" s="43"/>
      <c r="D129" s="112"/>
      <c r="E129" s="112"/>
      <c r="F129" s="81" t="s">
        <v>709</v>
      </c>
      <c r="G129" s="80"/>
      <c r="H129" s="79" t="s">
        <v>710</v>
      </c>
      <c r="I129" s="79" t="s">
        <v>249</v>
      </c>
      <c r="J129" s="79"/>
      <c r="K129" s="79"/>
      <c r="L129" s="79" t="s">
        <v>707</v>
      </c>
      <c r="M129" s="79" t="s">
        <v>711</v>
      </c>
      <c r="N129" s="113">
        <v>85098000</v>
      </c>
      <c r="O129" s="79"/>
      <c r="P129" s="79"/>
      <c r="Q129" s="79"/>
      <c r="R129" s="79"/>
      <c r="S129" s="79"/>
      <c r="T129" s="114"/>
      <c r="U129" s="84">
        <v>35</v>
      </c>
      <c r="V129" s="84">
        <v>35</v>
      </c>
      <c r="W129" s="85">
        <f t="shared" si="49"/>
        <v>0.70000000000000007</v>
      </c>
      <c r="X129" s="85">
        <f t="shared" si="138"/>
        <v>7.8540000000000019</v>
      </c>
      <c r="Y129" s="86">
        <f t="shared" si="4"/>
        <v>3919.86</v>
      </c>
      <c r="Z129" s="86">
        <f t="shared" si="124"/>
        <v>4625.4348</v>
      </c>
      <c r="AA129" s="87">
        <f>AN129*0.125</f>
        <v>1000</v>
      </c>
      <c r="AB129" s="87">
        <v>47</v>
      </c>
      <c r="AC129" s="87">
        <v>162</v>
      </c>
      <c r="AD129" s="87">
        <f t="shared" si="7"/>
        <v>1209</v>
      </c>
      <c r="AE129" s="53">
        <f t="shared" si="141"/>
        <v>1200</v>
      </c>
      <c r="AF129" s="53">
        <f t="shared" si="104"/>
        <v>160</v>
      </c>
      <c r="AG129" s="88">
        <f t="shared" si="106"/>
        <v>400</v>
      </c>
      <c r="AH129" s="54">
        <f t="shared" si="105"/>
        <v>160</v>
      </c>
      <c r="AI129" s="89">
        <f t="shared" si="125"/>
        <v>1220.3389830508468</v>
      </c>
      <c r="AJ129" s="54">
        <f t="shared" si="57"/>
        <v>231.27174000000002</v>
      </c>
      <c r="AK129" s="89">
        <f t="shared" si="58"/>
        <v>138.76304400000001</v>
      </c>
      <c r="AL129" s="55">
        <f t="shared" si="142"/>
        <v>-639.23376705084695</v>
      </c>
      <c r="AM129" s="62">
        <f t="shared" si="143"/>
        <v>-9.4286980639999921E-2</v>
      </c>
      <c r="AN129" s="79">
        <v>8000</v>
      </c>
      <c r="AO129" s="79"/>
      <c r="AP129" s="79"/>
      <c r="AQ129" s="79"/>
      <c r="AR129" s="79">
        <v>13999</v>
      </c>
      <c r="AS129" s="45"/>
      <c r="AT129" s="45"/>
      <c r="AU129" s="45"/>
      <c r="AV129" s="57">
        <f t="shared" si="17"/>
        <v>2859.8010169491531</v>
      </c>
      <c r="AW129" s="58">
        <f t="shared" si="18"/>
        <v>0.35747512711864415</v>
      </c>
      <c r="AX129" s="79">
        <v>8904422505230</v>
      </c>
      <c r="AY129" s="59">
        <f t="shared" si="19"/>
        <v>111.99600000000001</v>
      </c>
      <c r="AZ129" s="60">
        <f t="shared" si="20"/>
        <v>171.43469409621773</v>
      </c>
      <c r="BA129" s="60"/>
      <c r="BB129" s="60"/>
      <c r="BC129" s="60"/>
    </row>
    <row r="130" spans="1:55" ht="14.25" customHeight="1">
      <c r="A130" s="43"/>
      <c r="B130" s="43"/>
      <c r="C130" s="43"/>
      <c r="D130" s="44"/>
      <c r="E130" s="44"/>
      <c r="F130" s="45" t="s">
        <v>712</v>
      </c>
      <c r="G130" s="96" t="s">
        <v>713</v>
      </c>
      <c r="H130" s="71" t="s">
        <v>714</v>
      </c>
      <c r="I130" s="47" t="s">
        <v>234</v>
      </c>
      <c r="J130" s="61" t="s">
        <v>249</v>
      </c>
      <c r="K130" s="71"/>
      <c r="L130" s="71" t="s">
        <v>715</v>
      </c>
      <c r="M130" s="71" t="s">
        <v>716</v>
      </c>
      <c r="N130" s="45">
        <v>85086000</v>
      </c>
      <c r="O130" s="71"/>
      <c r="P130" s="71"/>
      <c r="Q130" s="71"/>
      <c r="R130" s="71"/>
      <c r="S130" s="71"/>
      <c r="T130" s="109"/>
      <c r="U130" s="49">
        <v>8.83</v>
      </c>
      <c r="V130" s="49"/>
      <c r="W130" s="50">
        <f t="shared" si="49"/>
        <v>0.17660000000000001</v>
      </c>
      <c r="X130" s="50">
        <f t="shared" si="138"/>
        <v>1.9814520000000004</v>
      </c>
      <c r="Y130" s="51">
        <f t="shared" si="4"/>
        <v>988.92468000000008</v>
      </c>
      <c r="Z130" s="51">
        <f t="shared" si="124"/>
        <v>1166.9311224</v>
      </c>
      <c r="AA130" s="52">
        <f t="shared" ref="AA130:AA132" si="144">AN130*7.5%</f>
        <v>172.42499999999998</v>
      </c>
      <c r="AB130" s="52">
        <v>51</v>
      </c>
      <c r="AC130" s="52">
        <v>114</v>
      </c>
      <c r="AD130" s="52">
        <f t="shared" si="7"/>
        <v>337.42499999999995</v>
      </c>
      <c r="AE130" s="53">
        <f t="shared" si="141"/>
        <v>344.84999999999997</v>
      </c>
      <c r="AF130" s="53">
        <f t="shared" si="104"/>
        <v>45.980000000000004</v>
      </c>
      <c r="AG130" s="53">
        <f t="shared" si="106"/>
        <v>114.95</v>
      </c>
      <c r="AH130" s="54">
        <f t="shared" si="105"/>
        <v>45.980000000000004</v>
      </c>
      <c r="AI130" s="54">
        <f t="shared" si="125"/>
        <v>350.69491525423723</v>
      </c>
      <c r="AJ130" s="54">
        <f t="shared" si="57"/>
        <v>58.346556120000002</v>
      </c>
      <c r="AK130" s="54">
        <f t="shared" si="58"/>
        <v>35.007933672</v>
      </c>
      <c r="AL130" s="55">
        <f t="shared" si="142"/>
        <v>-23.159085046237237</v>
      </c>
      <c r="AM130" s="62">
        <f t="shared" si="143"/>
        <v>-1.1886785713162217E-2</v>
      </c>
      <c r="AN130" s="71">
        <v>2299</v>
      </c>
      <c r="AO130" s="71"/>
      <c r="AP130" s="71">
        <v>2199</v>
      </c>
      <c r="AQ130" s="71"/>
      <c r="AR130" s="71">
        <v>4499</v>
      </c>
      <c r="AS130" s="45"/>
      <c r="AT130" s="45"/>
      <c r="AU130" s="45"/>
      <c r="AV130" s="57">
        <f t="shared" si="17"/>
        <v>959.38040474576269</v>
      </c>
      <c r="AW130" s="58">
        <f t="shared" si="18"/>
        <v>0.41730335134656926</v>
      </c>
      <c r="AX130" s="71">
        <v>8904422505209</v>
      </c>
      <c r="AY130" s="59">
        <f t="shared" si="19"/>
        <v>111.99600000000001</v>
      </c>
      <c r="AZ130" s="60">
        <f t="shared" si="20"/>
        <v>195.27877492146317</v>
      </c>
      <c r="BA130" s="60"/>
      <c r="BB130" s="60"/>
      <c r="BC130" s="60"/>
    </row>
    <row r="131" spans="1:55" ht="14.25" customHeight="1">
      <c r="A131" s="43"/>
      <c r="B131" s="43"/>
      <c r="C131" s="43"/>
      <c r="D131" s="44"/>
      <c r="E131" s="44"/>
      <c r="F131" s="45" t="s">
        <v>717</v>
      </c>
      <c r="G131" s="96" t="s">
        <v>718</v>
      </c>
      <c r="H131" s="71" t="s">
        <v>719</v>
      </c>
      <c r="I131" s="47" t="s">
        <v>234</v>
      </c>
      <c r="J131" s="61" t="s">
        <v>249</v>
      </c>
      <c r="K131" s="71"/>
      <c r="L131" s="71" t="s">
        <v>715</v>
      </c>
      <c r="M131" s="71" t="s">
        <v>716</v>
      </c>
      <c r="N131" s="45">
        <v>85086000</v>
      </c>
      <c r="O131" s="71"/>
      <c r="P131" s="71"/>
      <c r="Q131" s="71"/>
      <c r="R131" s="71"/>
      <c r="S131" s="71"/>
      <c r="T131" s="109"/>
      <c r="U131" s="49">
        <v>9.35</v>
      </c>
      <c r="V131" s="49">
        <v>9.35</v>
      </c>
      <c r="W131" s="50">
        <f t="shared" si="49"/>
        <v>0.187</v>
      </c>
      <c r="X131" s="50">
        <f t="shared" si="138"/>
        <v>2.0981399999999999</v>
      </c>
      <c r="Y131" s="51">
        <f t="shared" si="4"/>
        <v>1047.1625999999999</v>
      </c>
      <c r="Z131" s="51">
        <f t="shared" si="124"/>
        <v>1235.6518679999997</v>
      </c>
      <c r="AA131" s="52">
        <f t="shared" si="144"/>
        <v>187.42499999999998</v>
      </c>
      <c r="AB131" s="52">
        <v>51</v>
      </c>
      <c r="AC131" s="52">
        <v>77</v>
      </c>
      <c r="AD131" s="52">
        <f t="shared" si="7"/>
        <v>315.42499999999995</v>
      </c>
      <c r="AE131" s="53">
        <f t="shared" si="141"/>
        <v>374.84999999999997</v>
      </c>
      <c r="AF131" s="53">
        <f t="shared" si="104"/>
        <v>49.980000000000004</v>
      </c>
      <c r="AG131" s="53">
        <f t="shared" si="106"/>
        <v>124.95</v>
      </c>
      <c r="AH131" s="54">
        <f t="shared" si="105"/>
        <v>49.980000000000004</v>
      </c>
      <c r="AI131" s="54">
        <f t="shared" si="125"/>
        <v>381.20338983050851</v>
      </c>
      <c r="AJ131" s="54">
        <f t="shared" si="57"/>
        <v>61.782593399999989</v>
      </c>
      <c r="AK131" s="54">
        <f t="shared" si="58"/>
        <v>37.069556039999988</v>
      </c>
      <c r="AL131" s="55">
        <f t="shared" si="142"/>
        <v>56.596860729491709</v>
      </c>
      <c r="AM131" s="62">
        <f t="shared" si="143"/>
        <v>2.6724408027531101E-2</v>
      </c>
      <c r="AN131" s="71">
        <v>2499</v>
      </c>
      <c r="AO131" s="71"/>
      <c r="AP131" s="71">
        <v>1999</v>
      </c>
      <c r="AQ131" s="71"/>
      <c r="AR131" s="71">
        <v>4499</v>
      </c>
      <c r="AS131" s="45"/>
      <c r="AT131" s="45"/>
      <c r="AU131" s="45"/>
      <c r="AV131" s="57">
        <f t="shared" si="17"/>
        <v>1070.6340101694916</v>
      </c>
      <c r="AW131" s="58">
        <f t="shared" si="18"/>
        <v>0.42842497405741958</v>
      </c>
      <c r="AX131" s="71">
        <v>8904422505209</v>
      </c>
      <c r="AY131" s="59">
        <f t="shared" si="19"/>
        <v>111.996</v>
      </c>
      <c r="AZ131" s="60">
        <f t="shared" si="20"/>
        <v>200.46170480114554</v>
      </c>
      <c r="BA131" s="60"/>
      <c r="BB131" s="60"/>
      <c r="BC131" s="60"/>
    </row>
    <row r="132" spans="1:55" ht="14.25" customHeight="1">
      <c r="A132" s="43"/>
      <c r="B132" s="43"/>
      <c r="C132" s="43"/>
      <c r="D132" s="44"/>
      <c r="E132" s="44"/>
      <c r="F132" s="45" t="s">
        <v>720</v>
      </c>
      <c r="G132" s="96" t="s">
        <v>721</v>
      </c>
      <c r="H132" s="71" t="s">
        <v>722</v>
      </c>
      <c r="I132" s="71" t="s">
        <v>314</v>
      </c>
      <c r="J132" s="71"/>
      <c r="K132" s="71"/>
      <c r="L132" s="71" t="s">
        <v>546</v>
      </c>
      <c r="M132" s="71" t="s">
        <v>723</v>
      </c>
      <c r="N132" s="45">
        <v>85437093</v>
      </c>
      <c r="O132" s="71"/>
      <c r="P132" s="71"/>
      <c r="Q132" s="71"/>
      <c r="R132" s="71"/>
      <c r="S132" s="71"/>
      <c r="T132" s="109"/>
      <c r="U132" s="49">
        <v>6</v>
      </c>
      <c r="V132" s="49">
        <v>6</v>
      </c>
      <c r="W132" s="50">
        <f t="shared" si="49"/>
        <v>0.12</v>
      </c>
      <c r="X132" s="50">
        <f t="shared" ref="X132:X147" si="145">(U132+W132)*(B$42+(B$42*B$45))</f>
        <v>0.67320000000000013</v>
      </c>
      <c r="Y132" s="51">
        <f t="shared" si="4"/>
        <v>611.38800000000003</v>
      </c>
      <c r="Z132" s="51">
        <f t="shared" si="124"/>
        <v>721.43784000000005</v>
      </c>
      <c r="AA132" s="52">
        <f t="shared" si="144"/>
        <v>127.425</v>
      </c>
      <c r="AB132" s="52">
        <v>51</v>
      </c>
      <c r="AC132" s="52">
        <v>59</v>
      </c>
      <c r="AD132" s="52">
        <f t="shared" si="7"/>
        <v>237.42500000000001</v>
      </c>
      <c r="AE132" s="53">
        <f t="shared" ref="AE132:AE136" si="146">AN132*B$72</f>
        <v>339.8</v>
      </c>
      <c r="AF132" s="53">
        <f t="shared" si="104"/>
        <v>33.980000000000004</v>
      </c>
      <c r="AG132" s="53">
        <f t="shared" si="106"/>
        <v>84.95</v>
      </c>
      <c r="AH132" s="54">
        <f t="shared" si="105"/>
        <v>33.980000000000004</v>
      </c>
      <c r="AI132" s="54">
        <f t="shared" si="125"/>
        <v>259.16949152542361</v>
      </c>
      <c r="AJ132" s="54">
        <f t="shared" si="57"/>
        <v>36.071892000000005</v>
      </c>
      <c r="AK132" s="54">
        <f t="shared" si="58"/>
        <v>21.6431352</v>
      </c>
      <c r="AL132" s="55">
        <f t="shared" ref="AL132:AL136" si="147">AN132-Y132-AD132-AE132-AG132-AI132-AJ132-AK132-AF132-AH132</f>
        <v>40.592481274576514</v>
      </c>
      <c r="AM132" s="62">
        <f t="shared" ref="AM132:AM136" si="148">AL132/AN132</f>
        <v>2.3891984269909662E-2</v>
      </c>
      <c r="AN132" s="71">
        <v>1699</v>
      </c>
      <c r="AO132" s="71"/>
      <c r="AP132" s="71"/>
      <c r="AQ132" s="71"/>
      <c r="AR132" s="71">
        <v>2299</v>
      </c>
      <c r="AS132" s="45"/>
      <c r="AT132" s="45"/>
      <c r="AU132" s="45"/>
      <c r="AV132" s="57">
        <f t="shared" si="17"/>
        <v>828.44250847457636</v>
      </c>
      <c r="AW132" s="58">
        <f t="shared" si="18"/>
        <v>0.48760594966131626</v>
      </c>
      <c r="AX132" s="71">
        <v>8904422505247</v>
      </c>
      <c r="AY132" s="59">
        <f t="shared" si="19"/>
        <v>101.89800000000001</v>
      </c>
      <c r="AZ132" s="60">
        <f t="shared" si="20"/>
        <v>233.42950793931183</v>
      </c>
      <c r="BA132" s="60"/>
      <c r="BB132" s="60"/>
      <c r="BC132" s="60"/>
    </row>
    <row r="133" spans="1:55" ht="14.25" customHeight="1">
      <c r="A133" s="43"/>
      <c r="B133" s="43"/>
      <c r="C133" s="43"/>
      <c r="D133" s="44"/>
      <c r="E133" s="44"/>
      <c r="F133" s="45" t="s">
        <v>724</v>
      </c>
      <c r="G133" s="45" t="s">
        <v>725</v>
      </c>
      <c r="H133" s="71" t="s">
        <v>726</v>
      </c>
      <c r="I133" s="71" t="s">
        <v>314</v>
      </c>
      <c r="J133" s="71"/>
      <c r="K133" s="71"/>
      <c r="L133" s="71" t="s">
        <v>546</v>
      </c>
      <c r="M133" s="71" t="s">
        <v>727</v>
      </c>
      <c r="N133" s="45">
        <v>85437093</v>
      </c>
      <c r="O133" s="71"/>
      <c r="P133" s="71"/>
      <c r="Q133" s="71"/>
      <c r="R133" s="71"/>
      <c r="S133" s="71"/>
      <c r="T133" s="109"/>
      <c r="U133" s="49">
        <v>4.5</v>
      </c>
      <c r="V133" s="49">
        <v>4.5</v>
      </c>
      <c r="W133" s="50">
        <f t="shared" si="49"/>
        <v>0.09</v>
      </c>
      <c r="X133" s="50">
        <f t="shared" si="145"/>
        <v>0.50490000000000002</v>
      </c>
      <c r="Y133" s="51">
        <f t="shared" si="4"/>
        <v>458.541</v>
      </c>
      <c r="Z133" s="51">
        <f t="shared" si="124"/>
        <v>541.07837999999992</v>
      </c>
      <c r="AA133" s="52">
        <f>AN133*7%</f>
        <v>108.43</v>
      </c>
      <c r="AB133" s="52">
        <v>51</v>
      </c>
      <c r="AC133" s="52">
        <v>59</v>
      </c>
      <c r="AD133" s="52">
        <f t="shared" si="7"/>
        <v>218.43</v>
      </c>
      <c r="AE133" s="53">
        <f t="shared" si="146"/>
        <v>309.8</v>
      </c>
      <c r="AF133" s="53">
        <f t="shared" si="104"/>
        <v>30.98</v>
      </c>
      <c r="AG133" s="53">
        <f t="shared" si="106"/>
        <v>77.45</v>
      </c>
      <c r="AH133" s="54">
        <f t="shared" si="105"/>
        <v>30.98</v>
      </c>
      <c r="AI133" s="54">
        <f t="shared" si="125"/>
        <v>236.2881355932202</v>
      </c>
      <c r="AJ133" s="54">
        <f t="shared" si="57"/>
        <v>27.053918999999997</v>
      </c>
      <c r="AK133" s="54">
        <f t="shared" si="58"/>
        <v>16.232351399999999</v>
      </c>
      <c r="AL133" s="55">
        <f t="shared" si="147"/>
        <v>143.24459400677986</v>
      </c>
      <c r="AM133" s="62">
        <f t="shared" si="148"/>
        <v>9.2475528732588685E-2</v>
      </c>
      <c r="AN133" s="71">
        <v>1549</v>
      </c>
      <c r="AO133" s="71"/>
      <c r="AP133" s="71">
        <v>1499</v>
      </c>
      <c r="AQ133" s="71"/>
      <c r="AR133" s="71">
        <v>1699</v>
      </c>
      <c r="AS133" s="45"/>
      <c r="AT133" s="45"/>
      <c r="AU133" s="45">
        <v>2799</v>
      </c>
      <c r="AV133" s="57">
        <f t="shared" si="17"/>
        <v>854.17086440677986</v>
      </c>
      <c r="AW133" s="58">
        <f t="shared" si="18"/>
        <v>0.55143374074033558</v>
      </c>
      <c r="AX133" s="71">
        <v>8904422505254</v>
      </c>
      <c r="AY133" s="59">
        <f t="shared" si="19"/>
        <v>101.898</v>
      </c>
      <c r="AZ133" s="60">
        <f t="shared" si="20"/>
        <v>283.76088506807463</v>
      </c>
      <c r="BA133" s="60"/>
      <c r="BB133" s="60"/>
      <c r="BC133" s="60"/>
    </row>
    <row r="134" spans="1:55" ht="14.25" customHeight="1">
      <c r="A134" s="43"/>
      <c r="B134" s="43"/>
      <c r="C134" s="43"/>
      <c r="D134" s="44"/>
      <c r="E134" s="44"/>
      <c r="F134" s="45" t="s">
        <v>728</v>
      </c>
      <c r="G134" s="96" t="s">
        <v>729</v>
      </c>
      <c r="H134" s="71" t="s">
        <v>730</v>
      </c>
      <c r="I134" s="47" t="s">
        <v>314</v>
      </c>
      <c r="J134" s="61" t="s">
        <v>465</v>
      </c>
      <c r="K134" s="71"/>
      <c r="L134" s="71" t="s">
        <v>546</v>
      </c>
      <c r="M134" s="71" t="s">
        <v>731</v>
      </c>
      <c r="N134" s="45">
        <v>85437093</v>
      </c>
      <c r="O134" s="71"/>
      <c r="P134" s="71"/>
      <c r="Q134" s="71"/>
      <c r="R134" s="71"/>
      <c r="S134" s="71"/>
      <c r="T134" s="109"/>
      <c r="U134" s="49">
        <v>11</v>
      </c>
      <c r="V134" s="49"/>
      <c r="W134" s="50">
        <f t="shared" si="49"/>
        <v>0.22</v>
      </c>
      <c r="X134" s="50">
        <f t="shared" si="145"/>
        <v>1.2342000000000002</v>
      </c>
      <c r="Y134" s="51">
        <f t="shared" si="4"/>
        <v>1120.8779999999999</v>
      </c>
      <c r="Z134" s="51">
        <f t="shared" si="124"/>
        <v>1322.6360399999999</v>
      </c>
      <c r="AA134" s="52">
        <f>AN134*9.5%</f>
        <v>284.90500000000003</v>
      </c>
      <c r="AB134" s="52">
        <v>51</v>
      </c>
      <c r="AC134" s="52">
        <v>77</v>
      </c>
      <c r="AD134" s="52">
        <f t="shared" si="7"/>
        <v>412.90500000000003</v>
      </c>
      <c r="AE134" s="53">
        <f t="shared" si="146"/>
        <v>599.80000000000007</v>
      </c>
      <c r="AF134" s="53">
        <f t="shared" si="104"/>
        <v>59.980000000000004</v>
      </c>
      <c r="AG134" s="53">
        <f t="shared" si="106"/>
        <v>149.95000000000002</v>
      </c>
      <c r="AH134" s="54">
        <f t="shared" si="105"/>
        <v>59.980000000000004</v>
      </c>
      <c r="AI134" s="54">
        <f t="shared" si="125"/>
        <v>457.47457627118638</v>
      </c>
      <c r="AJ134" s="54">
        <f t="shared" si="57"/>
        <v>66.131801999999993</v>
      </c>
      <c r="AK134" s="54">
        <f t="shared" si="58"/>
        <v>39.679081199999992</v>
      </c>
      <c r="AL134" s="55">
        <f t="shared" si="147"/>
        <v>32.22154052881362</v>
      </c>
      <c r="AM134" s="62">
        <f t="shared" si="148"/>
        <v>1.0744094874562727E-2</v>
      </c>
      <c r="AN134" s="71">
        <v>2999</v>
      </c>
      <c r="AO134" s="71"/>
      <c r="AP134" s="71">
        <v>2899</v>
      </c>
      <c r="AQ134" s="71"/>
      <c r="AR134" s="71">
        <v>5399</v>
      </c>
      <c r="AS134" s="45"/>
      <c r="AT134" s="45"/>
      <c r="AU134" s="45"/>
      <c r="AV134" s="57">
        <f t="shared" si="17"/>
        <v>1420.6474237288137</v>
      </c>
      <c r="AW134" s="58">
        <f t="shared" si="18"/>
        <v>0.47370704359080151</v>
      </c>
      <c r="AX134" s="71">
        <v>8904422505261</v>
      </c>
      <c r="AY134" s="59">
        <f t="shared" si="19"/>
        <v>101.898</v>
      </c>
      <c r="AZ134" s="60">
        <f t="shared" si="20"/>
        <v>224.7488129841071</v>
      </c>
      <c r="BA134" s="60"/>
      <c r="BB134" s="60"/>
      <c r="BC134" s="60"/>
    </row>
    <row r="135" spans="1:55" ht="14.25" customHeight="1">
      <c r="A135" s="43"/>
      <c r="B135" s="43"/>
      <c r="C135" s="43"/>
      <c r="D135" s="44"/>
      <c r="E135" s="44"/>
      <c r="F135" s="45" t="s">
        <v>732</v>
      </c>
      <c r="G135" s="45" t="s">
        <v>733</v>
      </c>
      <c r="H135" s="71" t="s">
        <v>734</v>
      </c>
      <c r="I135" s="47" t="s">
        <v>314</v>
      </c>
      <c r="J135" s="61" t="s">
        <v>437</v>
      </c>
      <c r="K135" s="71"/>
      <c r="L135" s="71" t="s">
        <v>546</v>
      </c>
      <c r="M135" s="71" t="s">
        <v>735</v>
      </c>
      <c r="N135" s="45">
        <v>85437093</v>
      </c>
      <c r="O135" s="71"/>
      <c r="P135" s="71"/>
      <c r="Q135" s="71"/>
      <c r="R135" s="71"/>
      <c r="S135" s="71"/>
      <c r="T135" s="109"/>
      <c r="U135" s="49">
        <v>5.9</v>
      </c>
      <c r="V135" s="49">
        <v>5.9</v>
      </c>
      <c r="W135" s="50">
        <f t="shared" si="49"/>
        <v>0.11800000000000001</v>
      </c>
      <c r="X135" s="50">
        <f t="shared" si="145"/>
        <v>0.66198000000000012</v>
      </c>
      <c r="Y135" s="51">
        <f t="shared" si="4"/>
        <v>601.19820000000004</v>
      </c>
      <c r="Z135" s="51">
        <f t="shared" si="124"/>
        <v>709.41387599999996</v>
      </c>
      <c r="AA135" s="52">
        <f>AN135*0.09</f>
        <v>143.91</v>
      </c>
      <c r="AB135" s="52">
        <v>51</v>
      </c>
      <c r="AC135" s="52">
        <v>110</v>
      </c>
      <c r="AD135" s="52">
        <f t="shared" si="7"/>
        <v>304.90999999999997</v>
      </c>
      <c r="AE135" s="53">
        <f t="shared" si="146"/>
        <v>319.8</v>
      </c>
      <c r="AF135" s="53">
        <f t="shared" si="104"/>
        <v>31.98</v>
      </c>
      <c r="AG135" s="53">
        <f t="shared" si="106"/>
        <v>79.95</v>
      </c>
      <c r="AH135" s="54">
        <f t="shared" si="105"/>
        <v>31.98</v>
      </c>
      <c r="AI135" s="54">
        <f t="shared" si="125"/>
        <v>243.91525423728808</v>
      </c>
      <c r="AJ135" s="54">
        <f t="shared" si="57"/>
        <v>35.470693799999999</v>
      </c>
      <c r="AK135" s="54">
        <f t="shared" si="58"/>
        <v>21.28241628</v>
      </c>
      <c r="AL135" s="55">
        <f t="shared" si="147"/>
        <v>-71.486564317288099</v>
      </c>
      <c r="AM135" s="62">
        <f t="shared" si="148"/>
        <v>-4.4707044601180801E-2</v>
      </c>
      <c r="AN135" s="71">
        <v>1599</v>
      </c>
      <c r="AO135" s="71"/>
      <c r="AP135" s="71"/>
      <c r="AQ135" s="71"/>
      <c r="AR135" s="71">
        <v>2299</v>
      </c>
      <c r="AS135" s="45"/>
      <c r="AT135" s="45"/>
      <c r="AU135" s="45"/>
      <c r="AV135" s="57">
        <f t="shared" si="17"/>
        <v>753.88654576271188</v>
      </c>
      <c r="AW135" s="58">
        <f t="shared" si="18"/>
        <v>0.47147376220307186</v>
      </c>
      <c r="AX135" s="71">
        <v>8904422505278</v>
      </c>
      <c r="AY135" s="59">
        <f t="shared" si="19"/>
        <v>101.898</v>
      </c>
      <c r="AZ135" s="60">
        <f t="shared" si="20"/>
        <v>223.41384255641483</v>
      </c>
      <c r="BA135" s="60"/>
      <c r="BB135" s="60"/>
      <c r="BC135" s="60"/>
    </row>
    <row r="136" spans="1:55" ht="14.25" customHeight="1">
      <c r="A136" s="43"/>
      <c r="B136" s="43"/>
      <c r="C136" s="43"/>
      <c r="D136" s="44"/>
      <c r="E136" s="44"/>
      <c r="F136" s="45" t="s">
        <v>736</v>
      </c>
      <c r="G136" s="96" t="s">
        <v>737</v>
      </c>
      <c r="H136" s="71" t="s">
        <v>738</v>
      </c>
      <c r="I136" s="47" t="s">
        <v>314</v>
      </c>
      <c r="J136" s="61" t="s">
        <v>465</v>
      </c>
      <c r="K136" s="71"/>
      <c r="L136" s="71" t="s">
        <v>546</v>
      </c>
      <c r="M136" s="71" t="s">
        <v>739</v>
      </c>
      <c r="N136" s="45">
        <v>90191020</v>
      </c>
      <c r="O136" s="71"/>
      <c r="P136" s="71"/>
      <c r="Q136" s="71"/>
      <c r="R136" s="71"/>
      <c r="S136" s="71"/>
      <c r="T136" s="109"/>
      <c r="U136" s="49">
        <v>10.15</v>
      </c>
      <c r="V136" s="49">
        <v>11.35</v>
      </c>
      <c r="W136" s="50">
        <f t="shared" si="49"/>
        <v>0.20300000000000001</v>
      </c>
      <c r="X136" s="50">
        <f t="shared" si="145"/>
        <v>1.1388300000000002</v>
      </c>
      <c r="Y136" s="51">
        <f t="shared" si="4"/>
        <v>1034.2646999999999</v>
      </c>
      <c r="Z136" s="51">
        <f t="shared" si="124"/>
        <v>1220.4323459999998</v>
      </c>
      <c r="AA136" s="52">
        <f>AN136*7.5%</f>
        <v>194.92499999999998</v>
      </c>
      <c r="AB136" s="52">
        <v>51</v>
      </c>
      <c r="AC136" s="52">
        <v>77</v>
      </c>
      <c r="AD136" s="52">
        <f t="shared" si="7"/>
        <v>322.92499999999995</v>
      </c>
      <c r="AE136" s="53">
        <f t="shared" si="146"/>
        <v>519.80000000000007</v>
      </c>
      <c r="AF136" s="53">
        <f t="shared" si="104"/>
        <v>51.980000000000004</v>
      </c>
      <c r="AG136" s="53">
        <f t="shared" si="106"/>
        <v>129.95000000000002</v>
      </c>
      <c r="AH136" s="54">
        <f t="shared" si="105"/>
        <v>51.980000000000004</v>
      </c>
      <c r="AI136" s="54">
        <f>AN136-(AN136/1.05)</f>
        <v>123.76190476190504</v>
      </c>
      <c r="AJ136" s="54">
        <f t="shared" si="57"/>
        <v>61.021617299999996</v>
      </c>
      <c r="AK136" s="54">
        <f t="shared" si="58"/>
        <v>36.612970379999993</v>
      </c>
      <c r="AL136" s="55">
        <f t="shared" si="147"/>
        <v>266.70380755809492</v>
      </c>
      <c r="AM136" s="62">
        <f t="shared" si="148"/>
        <v>0.10261785592847053</v>
      </c>
      <c r="AN136" s="71">
        <v>2599</v>
      </c>
      <c r="AO136" s="71"/>
      <c r="AP136" s="71">
        <v>2699</v>
      </c>
      <c r="AQ136" s="71"/>
      <c r="AR136" s="71">
        <v>3999</v>
      </c>
      <c r="AS136" s="45"/>
      <c r="AT136" s="45"/>
      <c r="AU136" s="45"/>
      <c r="AV136" s="57">
        <f t="shared" si="17"/>
        <v>1440.973395238095</v>
      </c>
      <c r="AW136" s="58">
        <f t="shared" si="18"/>
        <v>0.55443378039172564</v>
      </c>
      <c r="AX136" s="71">
        <v>8904422505285</v>
      </c>
      <c r="AY136" s="59">
        <f t="shared" si="19"/>
        <v>101.898</v>
      </c>
      <c r="AZ136" s="60">
        <f t="shared" si="20"/>
        <v>211.08329424759447</v>
      </c>
      <c r="BA136" s="60"/>
      <c r="BB136" s="60"/>
      <c r="BC136" s="60"/>
    </row>
    <row r="137" spans="1:55" ht="14.25" customHeight="1">
      <c r="A137" s="43"/>
      <c r="B137" s="43"/>
      <c r="C137" s="43"/>
      <c r="D137" s="44"/>
      <c r="E137" s="44"/>
      <c r="F137" s="45" t="s">
        <v>740</v>
      </c>
      <c r="G137" s="96" t="s">
        <v>741</v>
      </c>
      <c r="H137" s="71" t="s">
        <v>742</v>
      </c>
      <c r="I137" s="71" t="s">
        <v>249</v>
      </c>
      <c r="J137" s="71"/>
      <c r="K137" s="71"/>
      <c r="L137" s="71" t="s">
        <v>606</v>
      </c>
      <c r="M137" s="71" t="s">
        <v>743</v>
      </c>
      <c r="N137" s="45">
        <v>85098000</v>
      </c>
      <c r="O137" s="71"/>
      <c r="P137" s="71"/>
      <c r="Q137" s="71"/>
      <c r="R137" s="71"/>
      <c r="S137" s="71"/>
      <c r="T137" s="71"/>
      <c r="U137" s="49">
        <v>9</v>
      </c>
      <c r="V137" s="49">
        <v>9.9</v>
      </c>
      <c r="W137" s="50">
        <f t="shared" si="49"/>
        <v>0.18</v>
      </c>
      <c r="X137" s="50">
        <f t="shared" si="145"/>
        <v>1.0098</v>
      </c>
      <c r="Y137" s="51">
        <f t="shared" si="4"/>
        <v>917.08199999999999</v>
      </c>
      <c r="Z137" s="51">
        <f t="shared" si="124"/>
        <v>1082.1567599999998</v>
      </c>
      <c r="AA137" s="52">
        <f>AN137*10%</f>
        <v>204.9</v>
      </c>
      <c r="AB137" s="52">
        <v>51</v>
      </c>
      <c r="AC137" s="52">
        <v>114</v>
      </c>
      <c r="AD137" s="52">
        <f t="shared" si="7"/>
        <v>369.9</v>
      </c>
      <c r="AE137" s="53">
        <f>AN137*B$66</f>
        <v>307.34999999999997</v>
      </c>
      <c r="AF137" s="53">
        <f t="shared" si="104"/>
        <v>40.980000000000004</v>
      </c>
      <c r="AG137" s="53">
        <f t="shared" si="106"/>
        <v>102.45</v>
      </c>
      <c r="AH137" s="54">
        <f t="shared" si="105"/>
        <v>40.980000000000004</v>
      </c>
      <c r="AI137" s="54">
        <f>AN137-(AN137/1.18)</f>
        <v>312.5593220338983</v>
      </c>
      <c r="AJ137" s="54">
        <f t="shared" si="57"/>
        <v>54.107837999999994</v>
      </c>
      <c r="AK137" s="54">
        <f t="shared" si="58"/>
        <v>32.464702799999998</v>
      </c>
      <c r="AL137" s="55">
        <f>SUM(AN137-AI137)-Y137-AD137-AE137-AG137-AJ137-AK137-AF137-AH137</f>
        <v>-128.87386283389822</v>
      </c>
      <c r="AM137" s="62">
        <f>AL137/SUM(AN137-AI137)</f>
        <v>-7.4217256292825717E-2</v>
      </c>
      <c r="AN137" s="71">
        <v>2049</v>
      </c>
      <c r="AO137" s="45"/>
      <c r="AP137" s="71"/>
      <c r="AQ137" s="71"/>
      <c r="AR137" s="71">
        <v>4999</v>
      </c>
      <c r="AS137" s="45"/>
      <c r="AT137" s="45"/>
      <c r="AU137" s="45"/>
      <c r="AV137" s="57">
        <f t="shared" si="17"/>
        <v>819.35867796610171</v>
      </c>
      <c r="AW137" s="58">
        <f t="shared" si="18"/>
        <v>0.39988222448321215</v>
      </c>
      <c r="AX137" s="71">
        <v>8904422505292</v>
      </c>
      <c r="AY137" s="59">
        <f t="shared" si="19"/>
        <v>101.898</v>
      </c>
      <c r="AZ137" s="60">
        <f t="shared" si="20"/>
        <v>187.67787395238375</v>
      </c>
      <c r="BA137" s="60"/>
      <c r="BB137" s="60"/>
      <c r="BC137" s="60"/>
    </row>
    <row r="138" spans="1:55" ht="14.25" customHeight="1">
      <c r="A138" s="43"/>
      <c r="B138" s="43"/>
      <c r="C138" s="43"/>
      <c r="D138" s="44"/>
      <c r="E138" s="44"/>
      <c r="F138" s="45" t="s">
        <v>744</v>
      </c>
      <c r="G138" s="96" t="s">
        <v>745</v>
      </c>
      <c r="H138" s="71" t="s">
        <v>746</v>
      </c>
      <c r="I138" s="47" t="s">
        <v>314</v>
      </c>
      <c r="J138" s="61" t="s">
        <v>618</v>
      </c>
      <c r="K138" s="71"/>
      <c r="L138" s="71" t="s">
        <v>747</v>
      </c>
      <c r="M138" s="71" t="s">
        <v>748</v>
      </c>
      <c r="N138" s="45">
        <v>90191020</v>
      </c>
      <c r="O138" s="71"/>
      <c r="P138" s="71"/>
      <c r="Q138" s="71"/>
      <c r="R138" s="71"/>
      <c r="S138" s="71"/>
      <c r="T138" s="71"/>
      <c r="U138" s="49">
        <v>8.4</v>
      </c>
      <c r="V138" s="49"/>
      <c r="W138" s="50">
        <f t="shared" si="49"/>
        <v>0.16800000000000001</v>
      </c>
      <c r="X138" s="50">
        <f t="shared" si="145"/>
        <v>0.9424800000000001</v>
      </c>
      <c r="Y138" s="51">
        <f t="shared" si="4"/>
        <v>855.94319999999993</v>
      </c>
      <c r="Z138" s="51">
        <f t="shared" si="124"/>
        <v>1010.0129759999999</v>
      </c>
      <c r="AA138" s="52">
        <f t="shared" ref="AA138:AA141" si="149">AN138*7.5%</f>
        <v>202.42499999999998</v>
      </c>
      <c r="AB138" s="52">
        <v>51</v>
      </c>
      <c r="AC138" s="52">
        <v>115</v>
      </c>
      <c r="AD138" s="52">
        <f t="shared" si="7"/>
        <v>368.42499999999995</v>
      </c>
      <c r="AE138" s="53">
        <f t="shared" ref="AE138:AE146" si="150">AN138*B$72</f>
        <v>539.80000000000007</v>
      </c>
      <c r="AF138" s="53">
        <f t="shared" si="104"/>
        <v>53.980000000000004</v>
      </c>
      <c r="AG138" s="53">
        <f t="shared" si="106"/>
        <v>134.95000000000002</v>
      </c>
      <c r="AH138" s="54">
        <f t="shared" si="105"/>
        <v>53.980000000000004</v>
      </c>
      <c r="AI138" s="54">
        <f t="shared" ref="AI138:AI139" si="151">AN138-(AN138/1.05)</f>
        <v>128.52380952380963</v>
      </c>
      <c r="AJ138" s="54">
        <f t="shared" si="57"/>
        <v>50.500648799999993</v>
      </c>
      <c r="AK138" s="54">
        <f t="shared" si="58"/>
        <v>30.300389279999994</v>
      </c>
      <c r="AL138" s="55">
        <f t="shared" ref="AL138:AL139" si="152">AN138-Y138-AD138-AE138-AG138-AI138-AJ138-AK138-AF138-AH138</f>
        <v>482.59695239619032</v>
      </c>
      <c r="AM138" s="62">
        <f t="shared" ref="AM138:AM146" si="153">AL138/AN138</f>
        <v>0.17880583638243436</v>
      </c>
      <c r="AN138" s="71">
        <v>2699</v>
      </c>
      <c r="AO138" s="71"/>
      <c r="AP138" s="71">
        <v>2699</v>
      </c>
      <c r="AQ138" s="71"/>
      <c r="AR138" s="71">
        <v>3999</v>
      </c>
      <c r="AS138" s="45"/>
      <c r="AT138" s="45"/>
      <c r="AU138" s="45"/>
      <c r="AV138" s="57">
        <f t="shared" si="17"/>
        <v>1714.5329904761904</v>
      </c>
      <c r="AW138" s="58">
        <f t="shared" si="18"/>
        <v>0.63524749554508719</v>
      </c>
      <c r="AX138" s="71">
        <v>8904422505308</v>
      </c>
      <c r="AY138" s="59">
        <f t="shared" si="19"/>
        <v>101.89799999999998</v>
      </c>
      <c r="AZ138" s="60">
        <f t="shared" si="20"/>
        <v>264.87271585310799</v>
      </c>
      <c r="BA138" s="60"/>
      <c r="BB138" s="60"/>
      <c r="BC138" s="60"/>
    </row>
    <row r="139" spans="1:55" ht="14.25" customHeight="1">
      <c r="A139" s="43"/>
      <c r="B139" s="43"/>
      <c r="C139" s="43"/>
      <c r="D139" s="44"/>
      <c r="E139" s="44"/>
      <c r="F139" s="45" t="s">
        <v>749</v>
      </c>
      <c r="G139" s="96" t="s">
        <v>750</v>
      </c>
      <c r="H139" s="71" t="s">
        <v>751</v>
      </c>
      <c r="I139" s="47" t="s">
        <v>314</v>
      </c>
      <c r="J139" s="61" t="s">
        <v>618</v>
      </c>
      <c r="K139" s="71"/>
      <c r="L139" s="71" t="s">
        <v>747</v>
      </c>
      <c r="M139" s="71" t="s">
        <v>752</v>
      </c>
      <c r="N139" s="45">
        <v>90191020</v>
      </c>
      <c r="O139" s="71"/>
      <c r="P139" s="71"/>
      <c r="Q139" s="71"/>
      <c r="R139" s="71"/>
      <c r="S139" s="71"/>
      <c r="T139" s="71"/>
      <c r="U139" s="49">
        <v>8.65</v>
      </c>
      <c r="V139" s="49"/>
      <c r="W139" s="50">
        <f t="shared" si="49"/>
        <v>0.17300000000000001</v>
      </c>
      <c r="X139" s="50">
        <f t="shared" si="145"/>
        <v>0.97053000000000023</v>
      </c>
      <c r="Y139" s="51">
        <f t="shared" si="4"/>
        <v>881.41770000000008</v>
      </c>
      <c r="Z139" s="51">
        <f t="shared" si="124"/>
        <v>1040.0728860000002</v>
      </c>
      <c r="AA139" s="52">
        <f t="shared" si="149"/>
        <v>108.675</v>
      </c>
      <c r="AB139" s="52">
        <v>51</v>
      </c>
      <c r="AC139" s="52">
        <v>115</v>
      </c>
      <c r="AD139" s="52">
        <f t="shared" si="7"/>
        <v>274.67500000000001</v>
      </c>
      <c r="AE139" s="53">
        <f t="shared" si="150"/>
        <v>289.8</v>
      </c>
      <c r="AF139" s="53">
        <f t="shared" si="104"/>
        <v>28.98</v>
      </c>
      <c r="AG139" s="53">
        <f t="shared" si="106"/>
        <v>72.45</v>
      </c>
      <c r="AH139" s="54">
        <f t="shared" si="105"/>
        <v>28.98</v>
      </c>
      <c r="AI139" s="54">
        <f t="shared" si="151"/>
        <v>69</v>
      </c>
      <c r="AJ139" s="54">
        <f t="shared" si="57"/>
        <v>52.003644300000012</v>
      </c>
      <c r="AK139" s="54">
        <f t="shared" si="58"/>
        <v>31.202186580000003</v>
      </c>
      <c r="AL139" s="55">
        <f t="shared" si="152"/>
        <v>-279.50853088000008</v>
      </c>
      <c r="AM139" s="62">
        <f t="shared" si="153"/>
        <v>-0.1928975368391995</v>
      </c>
      <c r="AN139" s="71">
        <v>1449</v>
      </c>
      <c r="AO139" s="71"/>
      <c r="AP139" s="71">
        <v>1599</v>
      </c>
      <c r="AQ139" s="71"/>
      <c r="AR139" s="71">
        <v>3399</v>
      </c>
      <c r="AS139" s="45"/>
      <c r="AT139" s="45"/>
      <c r="AU139" s="45"/>
      <c r="AV139" s="57">
        <f t="shared" si="17"/>
        <v>498.58229999999992</v>
      </c>
      <c r="AW139" s="58">
        <f t="shared" si="18"/>
        <v>0.34408716356107655</v>
      </c>
      <c r="AX139" s="71">
        <v>8904422505315</v>
      </c>
      <c r="AY139" s="59">
        <f t="shared" si="19"/>
        <v>101.89800000000001</v>
      </c>
      <c r="AZ139" s="60">
        <f t="shared" si="20"/>
        <v>138.09116835298406</v>
      </c>
      <c r="BA139" s="60"/>
      <c r="BB139" s="60"/>
      <c r="BC139" s="60"/>
    </row>
    <row r="140" spans="1:55" ht="14.25" customHeight="1">
      <c r="A140" s="43"/>
      <c r="B140" s="43"/>
      <c r="C140" s="43"/>
      <c r="D140" s="44"/>
      <c r="E140" s="44"/>
      <c r="F140" s="45" t="s">
        <v>753</v>
      </c>
      <c r="G140" s="96" t="s">
        <v>754</v>
      </c>
      <c r="H140" s="71" t="s">
        <v>138</v>
      </c>
      <c r="I140" s="47" t="s">
        <v>314</v>
      </c>
      <c r="J140" s="61" t="s">
        <v>618</v>
      </c>
      <c r="K140" s="71"/>
      <c r="L140" s="71" t="s">
        <v>747</v>
      </c>
      <c r="M140" s="71" t="s">
        <v>755</v>
      </c>
      <c r="N140" s="45">
        <v>90191020</v>
      </c>
      <c r="O140" s="71"/>
      <c r="P140" s="71"/>
      <c r="Q140" s="71"/>
      <c r="R140" s="71"/>
      <c r="S140" s="71"/>
      <c r="T140" s="71"/>
      <c r="U140" s="49">
        <v>15</v>
      </c>
      <c r="V140" s="49"/>
      <c r="W140" s="50">
        <f t="shared" si="49"/>
        <v>0.3</v>
      </c>
      <c r="X140" s="50">
        <f t="shared" si="145"/>
        <v>1.6830000000000003</v>
      </c>
      <c r="Y140" s="51">
        <f t="shared" si="4"/>
        <v>1528.47</v>
      </c>
      <c r="Z140" s="51">
        <f t="shared" si="124"/>
        <v>1803.5945999999999</v>
      </c>
      <c r="AA140" s="52">
        <f t="shared" si="149"/>
        <v>224.92499999999998</v>
      </c>
      <c r="AB140" s="52">
        <v>51</v>
      </c>
      <c r="AC140" s="52">
        <v>209</v>
      </c>
      <c r="AD140" s="52">
        <f t="shared" si="7"/>
        <v>484.92499999999995</v>
      </c>
      <c r="AE140" s="53">
        <f t="shared" si="150"/>
        <v>599.80000000000007</v>
      </c>
      <c r="AF140" s="53">
        <f t="shared" si="104"/>
        <v>59.980000000000004</v>
      </c>
      <c r="AG140" s="53">
        <f t="shared" si="106"/>
        <v>149.95000000000002</v>
      </c>
      <c r="AH140" s="54">
        <f t="shared" si="105"/>
        <v>59.980000000000004</v>
      </c>
      <c r="AI140" s="54">
        <f t="shared" ref="AI140:AI142" si="154">AN140-(AN140/1.18)</f>
        <v>457.47457627118638</v>
      </c>
      <c r="AJ140" s="54">
        <f t="shared" si="57"/>
        <v>90.179730000000006</v>
      </c>
      <c r="AK140" s="54">
        <f t="shared" si="58"/>
        <v>54.107837999999994</v>
      </c>
      <c r="AL140" s="55">
        <f t="shared" ref="AL140:AL141" si="155">AN140-Y140-AD140-AE140-AG140-AI140-AJ140-AK140-AF140-AH140-AO140</f>
        <v>-785.86714427118648</v>
      </c>
      <c r="AM140" s="62">
        <f t="shared" si="153"/>
        <v>-0.26204306244454367</v>
      </c>
      <c r="AN140" s="71">
        <v>2999</v>
      </c>
      <c r="AO140" s="71">
        <v>300</v>
      </c>
      <c r="AP140" s="71"/>
      <c r="AQ140" s="71"/>
      <c r="AR140" s="71">
        <v>6299</v>
      </c>
      <c r="AS140" s="45"/>
      <c r="AT140" s="45"/>
      <c r="AU140" s="45"/>
      <c r="AV140" s="57">
        <f t="shared" si="17"/>
        <v>1013.0554237288136</v>
      </c>
      <c r="AW140" s="58">
        <f t="shared" si="18"/>
        <v>0.33779774048976779</v>
      </c>
      <c r="AX140" s="71">
        <v>8904422505322</v>
      </c>
      <c r="AY140" s="59">
        <f t="shared" si="19"/>
        <v>101.898</v>
      </c>
      <c r="AZ140" s="60">
        <f t="shared" si="20"/>
        <v>164.81579618834522</v>
      </c>
      <c r="BA140" s="60"/>
      <c r="BB140" s="60"/>
      <c r="BC140" s="60"/>
    </row>
    <row r="141" spans="1:55" ht="14.25" customHeight="1">
      <c r="A141" s="43"/>
      <c r="B141" s="43"/>
      <c r="C141" s="43"/>
      <c r="D141" s="44"/>
      <c r="E141" s="44"/>
      <c r="F141" s="45" t="s">
        <v>756</v>
      </c>
      <c r="G141" s="96" t="s">
        <v>757</v>
      </c>
      <c r="H141" s="71" t="s">
        <v>758</v>
      </c>
      <c r="I141" s="47" t="s">
        <v>314</v>
      </c>
      <c r="J141" s="61" t="s">
        <v>618</v>
      </c>
      <c r="K141" s="71"/>
      <c r="L141" s="71" t="s">
        <v>747</v>
      </c>
      <c r="M141" s="71" t="s">
        <v>759</v>
      </c>
      <c r="N141" s="45">
        <v>90191020</v>
      </c>
      <c r="O141" s="71"/>
      <c r="P141" s="71"/>
      <c r="Q141" s="71"/>
      <c r="R141" s="71"/>
      <c r="S141" s="71"/>
      <c r="T141" s="71"/>
      <c r="U141" s="49">
        <v>7.2</v>
      </c>
      <c r="V141" s="49"/>
      <c r="W141" s="50">
        <f t="shared" si="49"/>
        <v>0.14400000000000002</v>
      </c>
      <c r="X141" s="50">
        <f t="shared" si="145"/>
        <v>0.80784000000000011</v>
      </c>
      <c r="Y141" s="51">
        <f t="shared" si="4"/>
        <v>733.66560000000004</v>
      </c>
      <c r="Z141" s="51">
        <f t="shared" si="124"/>
        <v>865.72540800000002</v>
      </c>
      <c r="AA141" s="52">
        <f t="shared" si="149"/>
        <v>127.425</v>
      </c>
      <c r="AB141" s="52">
        <v>51</v>
      </c>
      <c r="AC141" s="52">
        <v>148</v>
      </c>
      <c r="AD141" s="52">
        <f t="shared" si="7"/>
        <v>326.42500000000001</v>
      </c>
      <c r="AE141" s="53">
        <f t="shared" si="150"/>
        <v>339.8</v>
      </c>
      <c r="AF141" s="53">
        <f t="shared" si="104"/>
        <v>33.980000000000004</v>
      </c>
      <c r="AG141" s="53">
        <f t="shared" si="106"/>
        <v>84.95</v>
      </c>
      <c r="AH141" s="54">
        <f t="shared" si="105"/>
        <v>33.980000000000004</v>
      </c>
      <c r="AI141" s="54">
        <f t="shared" si="154"/>
        <v>259.16949152542361</v>
      </c>
      <c r="AJ141" s="54">
        <f t="shared" si="57"/>
        <v>43.286270400000006</v>
      </c>
      <c r="AK141" s="54">
        <f t="shared" si="58"/>
        <v>25.97176224</v>
      </c>
      <c r="AL141" s="55">
        <f t="shared" si="155"/>
        <v>-482.22812416542365</v>
      </c>
      <c r="AM141" s="62">
        <f t="shared" si="153"/>
        <v>-0.283830561604134</v>
      </c>
      <c r="AN141" s="71">
        <v>1699</v>
      </c>
      <c r="AO141" s="71">
        <v>300</v>
      </c>
      <c r="AP141" s="71"/>
      <c r="AQ141" s="71"/>
      <c r="AR141" s="71">
        <v>3899</v>
      </c>
      <c r="AS141" s="45"/>
      <c r="AT141" s="45"/>
      <c r="AU141" s="45"/>
      <c r="AV141" s="57">
        <f t="shared" si="17"/>
        <v>706.16490847457635</v>
      </c>
      <c r="AW141" s="58">
        <f t="shared" si="18"/>
        <v>0.41563561416985073</v>
      </c>
      <c r="AX141" s="71">
        <v>8904422505339</v>
      </c>
      <c r="AY141" s="59">
        <f t="shared" si="19"/>
        <v>101.898</v>
      </c>
      <c r="AZ141" s="60">
        <f t="shared" si="20"/>
        <v>194.52458994942654</v>
      </c>
      <c r="BA141" s="60"/>
      <c r="BB141" s="60"/>
      <c r="BC141" s="60"/>
    </row>
    <row r="142" spans="1:55" ht="14.25" customHeight="1">
      <c r="A142" s="43"/>
      <c r="B142" s="43"/>
      <c r="C142" s="43"/>
      <c r="D142" s="44"/>
      <c r="E142" s="44"/>
      <c r="F142" s="45" t="s">
        <v>760</v>
      </c>
      <c r="G142" s="96" t="s">
        <v>761</v>
      </c>
      <c r="H142" s="71" t="s">
        <v>762</v>
      </c>
      <c r="I142" s="47" t="s">
        <v>314</v>
      </c>
      <c r="J142" s="61" t="s">
        <v>618</v>
      </c>
      <c r="K142" s="71"/>
      <c r="L142" s="71" t="s">
        <v>747</v>
      </c>
      <c r="M142" s="71" t="s">
        <v>763</v>
      </c>
      <c r="N142" s="45">
        <v>90191020</v>
      </c>
      <c r="O142" s="71"/>
      <c r="P142" s="71"/>
      <c r="Q142" s="71"/>
      <c r="R142" s="71"/>
      <c r="S142" s="71"/>
      <c r="T142" s="71"/>
      <c r="U142" s="49">
        <v>6</v>
      </c>
      <c r="V142" s="49"/>
      <c r="W142" s="50">
        <f t="shared" si="49"/>
        <v>0.12</v>
      </c>
      <c r="X142" s="50">
        <f t="shared" si="145"/>
        <v>0.67320000000000013</v>
      </c>
      <c r="Y142" s="51">
        <f t="shared" si="4"/>
        <v>611.38800000000003</v>
      </c>
      <c r="Z142" s="51">
        <f t="shared" si="124"/>
        <v>721.43784000000005</v>
      </c>
      <c r="AA142" s="52">
        <f>AN142*14.5%</f>
        <v>217.35499999999999</v>
      </c>
      <c r="AB142" s="52">
        <v>51</v>
      </c>
      <c r="AC142" s="52">
        <v>59</v>
      </c>
      <c r="AD142" s="52">
        <f t="shared" si="7"/>
        <v>327.35500000000002</v>
      </c>
      <c r="AE142" s="53">
        <f t="shared" si="150"/>
        <v>299.8</v>
      </c>
      <c r="AF142" s="53">
        <f t="shared" si="104"/>
        <v>29.98</v>
      </c>
      <c r="AG142" s="53">
        <f t="shared" si="106"/>
        <v>74.95</v>
      </c>
      <c r="AH142" s="54">
        <f t="shared" si="105"/>
        <v>29.98</v>
      </c>
      <c r="AI142" s="54">
        <f t="shared" si="154"/>
        <v>228.66101694915255</v>
      </c>
      <c r="AJ142" s="54">
        <f t="shared" si="57"/>
        <v>36.071892000000005</v>
      </c>
      <c r="AK142" s="54">
        <f t="shared" si="58"/>
        <v>21.6431352</v>
      </c>
      <c r="AL142" s="55">
        <f t="shared" ref="AL142:AL144" si="156">AN142-Y142-AD142-AE142-AG142-AI142-AJ142-AK142-AF142-AH142</f>
        <v>-160.82904414915259</v>
      </c>
      <c r="AM142" s="62">
        <f t="shared" si="153"/>
        <v>-0.10729089002611915</v>
      </c>
      <c r="AN142" s="71">
        <v>1499</v>
      </c>
      <c r="AO142" s="71"/>
      <c r="AP142" s="71"/>
      <c r="AQ142" s="71"/>
      <c r="AR142" s="71">
        <v>4599</v>
      </c>
      <c r="AS142" s="45"/>
      <c r="AT142" s="45"/>
      <c r="AU142" s="45"/>
      <c r="AV142" s="57">
        <f t="shared" si="17"/>
        <v>658.95098305084741</v>
      </c>
      <c r="AW142" s="58">
        <f t="shared" si="18"/>
        <v>0.43959371784579548</v>
      </c>
      <c r="AX142" s="71">
        <v>8904422505346</v>
      </c>
      <c r="AY142" s="59">
        <f t="shared" si="19"/>
        <v>101.89800000000001</v>
      </c>
      <c r="AZ142" s="60">
        <f t="shared" si="20"/>
        <v>205.95104908830399</v>
      </c>
      <c r="BA142" s="60"/>
      <c r="BB142" s="60"/>
      <c r="BC142" s="60"/>
    </row>
    <row r="143" spans="1:55" ht="14.25" customHeight="1">
      <c r="A143" s="43"/>
      <c r="B143" s="43"/>
      <c r="C143" s="43"/>
      <c r="D143" s="44"/>
      <c r="E143" s="44"/>
      <c r="F143" s="45" t="s">
        <v>764</v>
      </c>
      <c r="G143" s="96" t="s">
        <v>765</v>
      </c>
      <c r="H143" s="71" t="s">
        <v>766</v>
      </c>
      <c r="I143" s="47" t="s">
        <v>314</v>
      </c>
      <c r="J143" s="61" t="s">
        <v>618</v>
      </c>
      <c r="K143" s="71"/>
      <c r="L143" s="71" t="s">
        <v>747</v>
      </c>
      <c r="M143" s="71" t="s">
        <v>767</v>
      </c>
      <c r="N143" s="45">
        <v>90191020</v>
      </c>
      <c r="O143" s="71"/>
      <c r="P143" s="71"/>
      <c r="Q143" s="71"/>
      <c r="R143" s="71"/>
      <c r="S143" s="71"/>
      <c r="T143" s="71"/>
      <c r="U143" s="49">
        <v>12</v>
      </c>
      <c r="V143" s="49"/>
      <c r="W143" s="50">
        <f t="shared" si="49"/>
        <v>0.24</v>
      </c>
      <c r="X143" s="50">
        <f t="shared" si="145"/>
        <v>1.3464000000000003</v>
      </c>
      <c r="Y143" s="51">
        <f t="shared" si="4"/>
        <v>1222.7760000000001</v>
      </c>
      <c r="Z143" s="51">
        <f t="shared" si="124"/>
        <v>1442.8756800000001</v>
      </c>
      <c r="AA143" s="52">
        <f t="shared" ref="AA143:AA146" si="157">AN143*7.5%</f>
        <v>132.22499999999999</v>
      </c>
      <c r="AB143" s="52">
        <v>51</v>
      </c>
      <c r="AC143" s="52">
        <v>59</v>
      </c>
      <c r="AD143" s="52">
        <f t="shared" si="7"/>
        <v>242.22499999999999</v>
      </c>
      <c r="AE143" s="53">
        <f t="shared" si="150"/>
        <v>352.6</v>
      </c>
      <c r="AF143" s="53"/>
      <c r="AG143" s="53">
        <f t="shared" si="106"/>
        <v>88.15</v>
      </c>
      <c r="AH143" s="54"/>
      <c r="AI143" s="54">
        <f t="shared" ref="AI143:AI144" si="158">AN143-(AN143/1.05)</f>
        <v>83.952380952380963</v>
      </c>
      <c r="AJ143" s="54">
        <f t="shared" si="57"/>
        <v>72.143784000000011</v>
      </c>
      <c r="AK143" s="54">
        <f t="shared" si="58"/>
        <v>43.286270399999999</v>
      </c>
      <c r="AL143" s="55">
        <f t="shared" si="156"/>
        <v>-342.13343535238107</v>
      </c>
      <c r="AM143" s="62">
        <f t="shared" si="153"/>
        <v>-0.19406320780055647</v>
      </c>
      <c r="AN143" s="71">
        <v>1763</v>
      </c>
      <c r="AO143" s="71"/>
      <c r="AP143" s="71">
        <v>1859</v>
      </c>
      <c r="AQ143" s="71"/>
      <c r="AR143" s="71">
        <v>6299</v>
      </c>
      <c r="AS143" s="45"/>
      <c r="AT143" s="45"/>
      <c r="AU143" s="45"/>
      <c r="AV143" s="57">
        <f t="shared" si="17"/>
        <v>456.27161904761897</v>
      </c>
      <c r="AW143" s="58">
        <f t="shared" si="18"/>
        <v>0.25880409475191091</v>
      </c>
      <c r="AX143" s="71">
        <v>8904422505353</v>
      </c>
      <c r="AY143" s="59">
        <f t="shared" si="19"/>
        <v>101.89800000000001</v>
      </c>
      <c r="AZ143" s="60">
        <f t="shared" si="20"/>
        <v>121.11130738581718</v>
      </c>
      <c r="BA143" s="60"/>
      <c r="BB143" s="60"/>
      <c r="BC143" s="60"/>
    </row>
    <row r="144" spans="1:55" ht="14.25" customHeight="1">
      <c r="A144" s="43"/>
      <c r="B144" s="43"/>
      <c r="C144" s="43"/>
      <c r="D144" s="44"/>
      <c r="E144" s="44"/>
      <c r="F144" s="45" t="s">
        <v>768</v>
      </c>
      <c r="G144" s="75" t="s">
        <v>769</v>
      </c>
      <c r="H144" s="71" t="s">
        <v>770</v>
      </c>
      <c r="I144" s="47" t="s">
        <v>314</v>
      </c>
      <c r="J144" s="61" t="s">
        <v>618</v>
      </c>
      <c r="K144" s="71"/>
      <c r="L144" s="71" t="s">
        <v>747</v>
      </c>
      <c r="M144" s="71" t="s">
        <v>771</v>
      </c>
      <c r="N144" s="45">
        <v>90191020</v>
      </c>
      <c r="O144" s="71"/>
      <c r="P144" s="71"/>
      <c r="Q144" s="71"/>
      <c r="R144" s="71"/>
      <c r="S144" s="71"/>
      <c r="T144" s="71"/>
      <c r="U144" s="49">
        <v>7.67</v>
      </c>
      <c r="V144" s="49"/>
      <c r="W144" s="50">
        <f t="shared" si="49"/>
        <v>0.15340000000000001</v>
      </c>
      <c r="X144" s="50">
        <f t="shared" si="145"/>
        <v>0.86057400000000017</v>
      </c>
      <c r="Y144" s="51">
        <f t="shared" si="4"/>
        <v>781.55766000000006</v>
      </c>
      <c r="Z144" s="51">
        <f t="shared" si="124"/>
        <v>922.23803880000003</v>
      </c>
      <c r="AA144" s="52">
        <f t="shared" si="157"/>
        <v>108</v>
      </c>
      <c r="AB144" s="52">
        <v>51</v>
      </c>
      <c r="AC144" s="52">
        <v>115</v>
      </c>
      <c r="AD144" s="52">
        <f t="shared" si="7"/>
        <v>274</v>
      </c>
      <c r="AE144" s="53">
        <f t="shared" si="150"/>
        <v>288</v>
      </c>
      <c r="AF144" s="53">
        <f t="shared" ref="AF144:AF150" si="159">AN144*$B$70</f>
        <v>28.8</v>
      </c>
      <c r="AG144" s="53">
        <f t="shared" si="106"/>
        <v>72</v>
      </c>
      <c r="AH144" s="54">
        <f t="shared" ref="AH144:AH147" si="160">AN144*$B$74</f>
        <v>28.8</v>
      </c>
      <c r="AI144" s="54">
        <f t="shared" si="158"/>
        <v>68.571428571428669</v>
      </c>
      <c r="AJ144" s="54">
        <f t="shared" si="57"/>
        <v>46.111901940000003</v>
      </c>
      <c r="AK144" s="54">
        <f t="shared" si="58"/>
        <v>27.667141164</v>
      </c>
      <c r="AL144" s="55">
        <f t="shared" si="156"/>
        <v>-175.50813167542873</v>
      </c>
      <c r="AM144" s="62">
        <f t="shared" si="153"/>
        <v>-0.12188064699682551</v>
      </c>
      <c r="AN144" s="71">
        <v>1440</v>
      </c>
      <c r="AO144" s="71"/>
      <c r="AP144" s="71"/>
      <c r="AQ144" s="71"/>
      <c r="AR144" s="71">
        <v>3199</v>
      </c>
      <c r="AS144" s="45"/>
      <c r="AT144" s="45"/>
      <c r="AU144" s="45"/>
      <c r="AV144" s="57">
        <f t="shared" si="17"/>
        <v>589.87091142857128</v>
      </c>
      <c r="AW144" s="58">
        <f t="shared" si="18"/>
        <v>0.40963257738095227</v>
      </c>
      <c r="AX144" s="71">
        <v>8904422505360</v>
      </c>
      <c r="AY144" s="59">
        <f t="shared" si="19"/>
        <v>101.89800000000001</v>
      </c>
      <c r="AZ144" s="60">
        <f t="shared" si="20"/>
        <v>154.76785167712384</v>
      </c>
      <c r="BA144" s="60"/>
      <c r="BB144" s="60"/>
      <c r="BC144" s="60"/>
    </row>
    <row r="145" spans="1:55" ht="14.25" customHeight="1">
      <c r="A145" s="43"/>
      <c r="B145" s="43"/>
      <c r="C145" s="43"/>
      <c r="D145" s="44"/>
      <c r="E145" s="44"/>
      <c r="F145" s="45" t="s">
        <v>772</v>
      </c>
      <c r="G145" s="96" t="s">
        <v>773</v>
      </c>
      <c r="H145" s="71" t="s">
        <v>133</v>
      </c>
      <c r="I145" s="47" t="s">
        <v>314</v>
      </c>
      <c r="J145" s="61" t="s">
        <v>618</v>
      </c>
      <c r="K145" s="71"/>
      <c r="L145" s="71" t="s">
        <v>747</v>
      </c>
      <c r="M145" s="71" t="s">
        <v>774</v>
      </c>
      <c r="N145" s="45">
        <v>90191020</v>
      </c>
      <c r="O145" s="71"/>
      <c r="P145" s="71"/>
      <c r="Q145" s="71"/>
      <c r="R145" s="71"/>
      <c r="S145" s="71"/>
      <c r="T145" s="71"/>
      <c r="U145" s="49">
        <v>6.17</v>
      </c>
      <c r="V145" s="49"/>
      <c r="W145" s="50">
        <f t="shared" si="49"/>
        <v>0.1234</v>
      </c>
      <c r="X145" s="50">
        <f t="shared" si="145"/>
        <v>0.69227400000000006</v>
      </c>
      <c r="Y145" s="51">
        <f t="shared" si="4"/>
        <v>628.71066000000008</v>
      </c>
      <c r="Z145" s="51">
        <f t="shared" si="124"/>
        <v>741.87857880000001</v>
      </c>
      <c r="AA145" s="52">
        <f t="shared" si="157"/>
        <v>119.925</v>
      </c>
      <c r="AB145" s="52">
        <v>51</v>
      </c>
      <c r="AC145" s="52">
        <v>148</v>
      </c>
      <c r="AD145" s="52">
        <f t="shared" si="7"/>
        <v>318.92500000000001</v>
      </c>
      <c r="AE145" s="53">
        <f t="shared" si="150"/>
        <v>319.8</v>
      </c>
      <c r="AF145" s="53">
        <f t="shared" si="159"/>
        <v>31.98</v>
      </c>
      <c r="AG145" s="53">
        <f t="shared" si="106"/>
        <v>79.95</v>
      </c>
      <c r="AH145" s="54">
        <f t="shared" si="160"/>
        <v>31.98</v>
      </c>
      <c r="AI145" s="54">
        <f>AN145-(AN145/1.18)</f>
        <v>243.91525423728808</v>
      </c>
      <c r="AJ145" s="54">
        <f t="shared" si="57"/>
        <v>37.093928940000005</v>
      </c>
      <c r="AK145" s="54">
        <f t="shared" si="58"/>
        <v>22.256357363999999</v>
      </c>
      <c r="AL145" s="55">
        <f t="shared" ref="AL145:AL146" si="161">AN145-Y145-AD145-AE145-AG145-AI145-AJ145-AK145-AF145-AH145-AO145</f>
        <v>-415.61120054128821</v>
      </c>
      <c r="AM145" s="62">
        <f t="shared" si="153"/>
        <v>-0.25991944999455174</v>
      </c>
      <c r="AN145" s="71">
        <v>1599</v>
      </c>
      <c r="AO145" s="71">
        <v>300</v>
      </c>
      <c r="AP145" s="71"/>
      <c r="AQ145" s="71"/>
      <c r="AR145" s="71">
        <v>2799</v>
      </c>
      <c r="AS145" s="45"/>
      <c r="AT145" s="45"/>
      <c r="AU145" s="45"/>
      <c r="AV145" s="57">
        <f t="shared" si="17"/>
        <v>726.37408576271184</v>
      </c>
      <c r="AW145" s="58">
        <f t="shared" si="18"/>
        <v>0.45426772092727447</v>
      </c>
      <c r="AX145" s="71">
        <v>8904422505377</v>
      </c>
      <c r="AY145" s="59">
        <f t="shared" si="19"/>
        <v>101.89800000000001</v>
      </c>
      <c r="AZ145" s="60">
        <f t="shared" si="20"/>
        <v>213.63722383838694</v>
      </c>
      <c r="BA145" s="60"/>
      <c r="BB145" s="60"/>
      <c r="BC145" s="60"/>
    </row>
    <row r="146" spans="1:55" ht="14.25" customHeight="1">
      <c r="A146" s="43"/>
      <c r="B146" s="43"/>
      <c r="C146" s="43"/>
      <c r="D146" s="44"/>
      <c r="E146" s="44"/>
      <c r="F146" s="45" t="s">
        <v>775</v>
      </c>
      <c r="G146" s="96" t="s">
        <v>776</v>
      </c>
      <c r="H146" s="71" t="s">
        <v>777</v>
      </c>
      <c r="I146" s="47" t="s">
        <v>314</v>
      </c>
      <c r="J146" s="61" t="s">
        <v>618</v>
      </c>
      <c r="K146" s="71"/>
      <c r="L146" s="71" t="s">
        <v>747</v>
      </c>
      <c r="M146" s="71" t="s">
        <v>778</v>
      </c>
      <c r="N146" s="45">
        <v>90191020</v>
      </c>
      <c r="O146" s="71"/>
      <c r="P146" s="71"/>
      <c r="Q146" s="71"/>
      <c r="R146" s="71"/>
      <c r="S146" s="71"/>
      <c r="T146" s="71"/>
      <c r="U146" s="49">
        <v>7.82</v>
      </c>
      <c r="V146" s="49"/>
      <c r="W146" s="50">
        <f t="shared" si="49"/>
        <v>0.15640000000000001</v>
      </c>
      <c r="X146" s="50">
        <f t="shared" si="145"/>
        <v>0.87740400000000007</v>
      </c>
      <c r="Y146" s="51">
        <f>(U146+W146+X146)*B$26+150</f>
        <v>946.84235999999999</v>
      </c>
      <c r="Z146" s="51">
        <f t="shared" si="124"/>
        <v>1117.2739847999999</v>
      </c>
      <c r="AA146" s="52">
        <f t="shared" si="157"/>
        <v>139.42499999999998</v>
      </c>
      <c r="AB146" s="52">
        <v>51</v>
      </c>
      <c r="AC146" s="52">
        <v>148</v>
      </c>
      <c r="AD146" s="52">
        <f t="shared" si="7"/>
        <v>338.42499999999995</v>
      </c>
      <c r="AE146" s="53">
        <f t="shared" si="150"/>
        <v>371.8</v>
      </c>
      <c r="AF146" s="53">
        <f t="shared" si="159"/>
        <v>37.18</v>
      </c>
      <c r="AG146" s="53">
        <f t="shared" si="106"/>
        <v>92.95</v>
      </c>
      <c r="AH146" s="54">
        <f t="shared" si="160"/>
        <v>37.18</v>
      </c>
      <c r="AI146" s="54">
        <f>AN146-(AN146/1.05)</f>
        <v>88.523809523809632</v>
      </c>
      <c r="AJ146" s="54">
        <f t="shared" si="57"/>
        <v>55.863699239999995</v>
      </c>
      <c r="AK146" s="54">
        <f t="shared" si="58"/>
        <v>33.518219543999997</v>
      </c>
      <c r="AL146" s="55">
        <f t="shared" si="161"/>
        <v>-143.28308830780958</v>
      </c>
      <c r="AM146" s="62">
        <f t="shared" si="153"/>
        <v>-7.7075356808934681E-2</v>
      </c>
      <c r="AN146" s="71">
        <v>1859</v>
      </c>
      <c r="AO146" s="71"/>
      <c r="AP146" s="71">
        <v>1799</v>
      </c>
      <c r="AQ146" s="71"/>
      <c r="AR146" s="71">
        <v>3399</v>
      </c>
      <c r="AS146" s="45"/>
      <c r="AT146" s="45"/>
      <c r="AU146" s="45"/>
      <c r="AV146" s="57">
        <f t="shared" si="17"/>
        <v>823.63383047619038</v>
      </c>
      <c r="AW146" s="58">
        <f t="shared" si="18"/>
        <v>0.44305208739977964</v>
      </c>
      <c r="AX146" s="71">
        <v>8904422505384</v>
      </c>
      <c r="AY146" s="59">
        <f t="shared" si="19"/>
        <v>121.07958567774935</v>
      </c>
      <c r="AZ146" s="60">
        <f t="shared" si="20"/>
        <v>164.92291282785447</v>
      </c>
      <c r="BA146" s="60"/>
      <c r="BB146" s="60"/>
      <c r="BC146" s="60"/>
    </row>
    <row r="147" spans="1:55" ht="14.25" customHeight="1">
      <c r="A147" s="43"/>
      <c r="B147" s="43"/>
      <c r="C147" s="43"/>
      <c r="D147" s="44"/>
      <c r="E147" s="44"/>
      <c r="F147" s="45" t="s">
        <v>779</v>
      </c>
      <c r="G147" s="96" t="s">
        <v>780</v>
      </c>
      <c r="H147" s="71" t="s">
        <v>781</v>
      </c>
      <c r="I147" s="47" t="s">
        <v>234</v>
      </c>
      <c r="J147" s="61" t="s">
        <v>249</v>
      </c>
      <c r="K147" s="71"/>
      <c r="L147" s="71" t="s">
        <v>587</v>
      </c>
      <c r="M147" s="71" t="s">
        <v>782</v>
      </c>
      <c r="N147" s="45">
        <v>85086000</v>
      </c>
      <c r="O147" s="71"/>
      <c r="P147" s="71"/>
      <c r="Q147" s="71"/>
      <c r="R147" s="71"/>
      <c r="S147" s="71"/>
      <c r="T147" s="71"/>
      <c r="U147" s="49">
        <v>7.4</v>
      </c>
      <c r="V147" s="49"/>
      <c r="W147" s="50">
        <f t="shared" si="49"/>
        <v>0.14800000000000002</v>
      </c>
      <c r="X147" s="50">
        <f t="shared" si="145"/>
        <v>0.83028000000000013</v>
      </c>
      <c r="Y147" s="51">
        <f t="shared" ref="Y147:Y169" si="162">(U147+W147+X147)*B$26</f>
        <v>754.04520000000002</v>
      </c>
      <c r="Z147" s="51">
        <f t="shared" si="124"/>
        <v>889.77333599999997</v>
      </c>
      <c r="AA147" s="52">
        <f>AN147*6.5%</f>
        <v>97.435000000000002</v>
      </c>
      <c r="AB147" s="52">
        <v>50</v>
      </c>
      <c r="AC147" s="52">
        <v>135</v>
      </c>
      <c r="AD147" s="52">
        <f t="shared" si="7"/>
        <v>282.435</v>
      </c>
      <c r="AE147" s="53">
        <f t="shared" ref="AE147:AE149" si="163">AN147*B$66</f>
        <v>224.85</v>
      </c>
      <c r="AF147" s="53">
        <f t="shared" si="159"/>
        <v>29.98</v>
      </c>
      <c r="AG147" s="53">
        <f t="shared" si="106"/>
        <v>74.95</v>
      </c>
      <c r="AH147" s="54">
        <f t="shared" si="160"/>
        <v>29.98</v>
      </c>
      <c r="AI147" s="54">
        <f t="shared" ref="AI147:AI153" si="164">AN147-(AN147/1.18)</f>
        <v>228.66101694915255</v>
      </c>
      <c r="AJ147" s="54">
        <f t="shared" si="57"/>
        <v>44.488666800000004</v>
      </c>
      <c r="AK147" s="54">
        <f t="shared" si="58"/>
        <v>26.693200079999997</v>
      </c>
      <c r="AL147" s="55">
        <f t="shared" ref="AL147:AL149" si="165">SUM(AN147-AI147)-Y147-AD147-AE147-AG147-AJ147-AK147-AF147-AH147</f>
        <v>-197.08308382915254</v>
      </c>
      <c r="AM147" s="105">
        <f t="shared" ref="AM147:AM149" si="166">AL147/SUM(AN147-AI147)</f>
        <v>-0.15514212069272848</v>
      </c>
      <c r="AN147" s="71">
        <v>1499</v>
      </c>
      <c r="AO147" s="71"/>
      <c r="AP147" s="71">
        <v>1449</v>
      </c>
      <c r="AQ147" s="71"/>
      <c r="AR147" s="71">
        <v>3699</v>
      </c>
      <c r="AS147" s="45"/>
      <c r="AT147" s="45"/>
      <c r="AU147" s="45"/>
      <c r="AV147" s="57">
        <f t="shared" si="17"/>
        <v>516.29378305084742</v>
      </c>
      <c r="AW147" s="58">
        <f t="shared" si="18"/>
        <v>0.3444254723487975</v>
      </c>
      <c r="AX147" s="71">
        <v>8904422505391</v>
      </c>
      <c r="AY147" s="59">
        <f t="shared" si="19"/>
        <v>101.898</v>
      </c>
      <c r="AZ147" s="60">
        <f t="shared" si="20"/>
        <v>166.98733709862486</v>
      </c>
      <c r="BA147" s="60"/>
      <c r="BB147" s="60"/>
      <c r="BC147" s="60"/>
    </row>
    <row r="148" spans="1:55" ht="14.25" customHeight="1">
      <c r="A148" s="43"/>
      <c r="B148" s="43"/>
      <c r="C148" s="43"/>
      <c r="D148" s="69"/>
      <c r="E148" s="43" t="s">
        <v>614</v>
      </c>
      <c r="F148" s="70" t="s">
        <v>783</v>
      </c>
      <c r="G148" s="96" t="s">
        <v>784</v>
      </c>
      <c r="H148" s="45" t="s">
        <v>785</v>
      </c>
      <c r="I148" s="45" t="s">
        <v>786</v>
      </c>
      <c r="J148" s="45"/>
      <c r="K148" s="45"/>
      <c r="L148" s="45" t="s">
        <v>421</v>
      </c>
      <c r="M148" s="45" t="s">
        <v>787</v>
      </c>
      <c r="N148" s="45">
        <v>85098000</v>
      </c>
      <c r="O148" s="48"/>
      <c r="P148" s="46"/>
      <c r="Q148" s="46"/>
      <c r="R148" s="46"/>
      <c r="S148" s="48"/>
      <c r="T148" s="48"/>
      <c r="U148" s="49">
        <v>10.8</v>
      </c>
      <c r="V148" s="49"/>
      <c r="W148" s="50">
        <f t="shared" si="49"/>
        <v>0.21600000000000003</v>
      </c>
      <c r="X148" s="50">
        <f t="shared" ref="X148:X150" si="167">(U148+W148)*(B$31+(B$31*B$45))</f>
        <v>2.4235200000000003</v>
      </c>
      <c r="Y148" s="51">
        <f t="shared" si="162"/>
        <v>1209.5568000000001</v>
      </c>
      <c r="Z148" s="51">
        <f t="shared" si="124"/>
        <v>1427.277024</v>
      </c>
      <c r="AA148" s="52">
        <f>AN148*7.5%</f>
        <v>180</v>
      </c>
      <c r="AB148" s="52">
        <v>51</v>
      </c>
      <c r="AC148" s="52">
        <v>147</v>
      </c>
      <c r="AD148" s="52">
        <f t="shared" si="7"/>
        <v>378</v>
      </c>
      <c r="AE148" s="53">
        <f t="shared" si="163"/>
        <v>360</v>
      </c>
      <c r="AF148" s="53">
        <f t="shared" si="159"/>
        <v>48</v>
      </c>
      <c r="AG148" s="53">
        <f t="shared" si="106"/>
        <v>120</v>
      </c>
      <c r="AH148" s="54"/>
      <c r="AI148" s="54">
        <f t="shared" si="164"/>
        <v>366.10169491525403</v>
      </c>
      <c r="AJ148" s="54">
        <f t="shared" si="57"/>
        <v>71.363851199999999</v>
      </c>
      <c r="AK148" s="54">
        <f t="shared" si="58"/>
        <v>42.818310719999999</v>
      </c>
      <c r="AL148" s="55">
        <f t="shared" si="165"/>
        <v>-195.84065683525409</v>
      </c>
      <c r="AM148" s="105">
        <f t="shared" si="166"/>
        <v>-9.6288322943999916E-2</v>
      </c>
      <c r="AN148" s="45">
        <v>2400</v>
      </c>
      <c r="AO148" s="45"/>
      <c r="AP148" s="45">
        <v>2699</v>
      </c>
      <c r="AQ148" s="45"/>
      <c r="AR148" s="45">
        <v>5499</v>
      </c>
      <c r="AS148" s="45"/>
      <c r="AT148" s="45"/>
      <c r="AU148" s="45"/>
      <c r="AV148" s="57">
        <f t="shared" si="17"/>
        <v>824.3415050847459</v>
      </c>
      <c r="AW148" s="58">
        <f t="shared" si="18"/>
        <v>0.3434756271186441</v>
      </c>
      <c r="AX148" s="63">
        <v>8904422505520</v>
      </c>
      <c r="AY148" s="59">
        <f t="shared" si="19"/>
        <v>111.996</v>
      </c>
      <c r="AZ148" s="60">
        <f t="shared" si="20"/>
        <v>166.67261926021166</v>
      </c>
      <c r="BA148" s="60"/>
      <c r="BB148" s="60"/>
      <c r="BC148" s="60"/>
    </row>
    <row r="149" spans="1:55" ht="14.25" customHeight="1">
      <c r="A149" s="43"/>
      <c r="B149" s="43"/>
      <c r="C149" s="43"/>
      <c r="D149" s="69"/>
      <c r="E149" s="69"/>
      <c r="F149" s="70" t="s">
        <v>788</v>
      </c>
      <c r="G149" s="96" t="s">
        <v>789</v>
      </c>
      <c r="H149" s="45" t="s">
        <v>790</v>
      </c>
      <c r="I149" s="45" t="s">
        <v>671</v>
      </c>
      <c r="J149" s="45"/>
      <c r="K149" s="45"/>
      <c r="L149" s="45"/>
      <c r="M149" s="45" t="s">
        <v>791</v>
      </c>
      <c r="N149" s="45">
        <v>85094090</v>
      </c>
      <c r="O149" s="43"/>
      <c r="P149" s="43"/>
      <c r="Q149" s="43"/>
      <c r="R149" s="43"/>
      <c r="S149" s="43"/>
      <c r="T149" s="43"/>
      <c r="U149" s="49">
        <v>25.5</v>
      </c>
      <c r="V149" s="49"/>
      <c r="W149" s="50">
        <f t="shared" si="49"/>
        <v>0.51</v>
      </c>
      <c r="X149" s="50">
        <f t="shared" si="167"/>
        <v>5.7222000000000008</v>
      </c>
      <c r="Y149" s="51">
        <f t="shared" si="162"/>
        <v>2855.8980000000001</v>
      </c>
      <c r="Z149" s="51">
        <f t="shared" si="124"/>
        <v>3369.95964</v>
      </c>
      <c r="AA149" s="115">
        <f>AN149*8%</f>
        <v>479.92</v>
      </c>
      <c r="AB149" s="52">
        <v>51</v>
      </c>
      <c r="AC149" s="52">
        <v>148</v>
      </c>
      <c r="AD149" s="52">
        <f t="shared" si="7"/>
        <v>678.92000000000007</v>
      </c>
      <c r="AE149" s="53">
        <f t="shared" si="163"/>
        <v>899.85</v>
      </c>
      <c r="AF149" s="53">
        <f t="shared" si="159"/>
        <v>119.98</v>
      </c>
      <c r="AG149" s="53">
        <f t="shared" si="106"/>
        <v>299.95</v>
      </c>
      <c r="AH149" s="54">
        <f t="shared" ref="AH149:AH150" si="168">AN149*$B$74</f>
        <v>119.98</v>
      </c>
      <c r="AI149" s="54">
        <f t="shared" si="164"/>
        <v>915.10169491525357</v>
      </c>
      <c r="AJ149" s="54">
        <f t="shared" si="57"/>
        <v>168.49798200000001</v>
      </c>
      <c r="AK149" s="54">
        <f t="shared" si="58"/>
        <v>101.0987892</v>
      </c>
      <c r="AL149" s="55">
        <f t="shared" si="165"/>
        <v>-160.27646611525381</v>
      </c>
      <c r="AM149" s="105">
        <f t="shared" si="166"/>
        <v>-3.1526292718119596E-2</v>
      </c>
      <c r="AN149" s="45">
        <v>5999</v>
      </c>
      <c r="AO149" s="116"/>
      <c r="AP149" s="45">
        <v>6199</v>
      </c>
      <c r="AQ149" s="45"/>
      <c r="AR149" s="45">
        <v>10999</v>
      </c>
      <c r="AS149" s="45"/>
      <c r="AT149" s="45"/>
      <c r="AU149" s="45"/>
      <c r="AV149" s="57">
        <f t="shared" si="17"/>
        <v>2228.0003050847463</v>
      </c>
      <c r="AW149" s="58">
        <f t="shared" si="18"/>
        <v>0.37139528339469019</v>
      </c>
      <c r="AX149" s="63">
        <v>8904422505759</v>
      </c>
      <c r="AY149" s="59">
        <f t="shared" si="19"/>
        <v>111.99600000000001</v>
      </c>
      <c r="AZ149" s="60">
        <f t="shared" si="20"/>
        <v>176.447478166237</v>
      </c>
      <c r="BA149" s="60"/>
      <c r="BB149" s="60"/>
      <c r="BC149" s="60"/>
    </row>
    <row r="150" spans="1:55" ht="14.25" customHeight="1">
      <c r="A150" s="43"/>
      <c r="B150" s="43"/>
      <c r="C150" s="43"/>
      <c r="D150" s="69"/>
      <c r="E150" s="69"/>
      <c r="F150" s="70" t="s">
        <v>792</v>
      </c>
      <c r="G150" s="96" t="s">
        <v>793</v>
      </c>
      <c r="H150" s="71" t="s">
        <v>794</v>
      </c>
      <c r="I150" s="71" t="s">
        <v>795</v>
      </c>
      <c r="J150" s="71"/>
      <c r="K150" s="71"/>
      <c r="L150" s="71" t="s">
        <v>332</v>
      </c>
      <c r="M150" s="71" t="s">
        <v>796</v>
      </c>
      <c r="N150" s="45">
        <v>85098000</v>
      </c>
      <c r="O150" s="48"/>
      <c r="P150" s="46"/>
      <c r="Q150" s="46"/>
      <c r="R150" s="46"/>
      <c r="S150" s="48"/>
      <c r="T150" s="48"/>
      <c r="U150" s="49">
        <v>2.84</v>
      </c>
      <c r="V150" s="49"/>
      <c r="W150" s="50">
        <f t="shared" si="49"/>
        <v>5.6799999999999996E-2</v>
      </c>
      <c r="X150" s="50">
        <f t="shared" si="167"/>
        <v>0.63729600000000008</v>
      </c>
      <c r="Y150" s="51">
        <f t="shared" si="162"/>
        <v>318.06864000000002</v>
      </c>
      <c r="Z150" s="51">
        <f t="shared" si="124"/>
        <v>375.32099520000003</v>
      </c>
      <c r="AA150" s="52">
        <f t="shared" ref="AA150:AA153" si="169">AN150*7.5%</f>
        <v>56.174999999999997</v>
      </c>
      <c r="AB150" s="52">
        <v>26</v>
      </c>
      <c r="AC150" s="52">
        <v>59</v>
      </c>
      <c r="AD150" s="52">
        <f t="shared" si="7"/>
        <v>141.17500000000001</v>
      </c>
      <c r="AE150" s="53">
        <f t="shared" ref="AE150:AE153" si="170">AN150*B$72</f>
        <v>149.80000000000001</v>
      </c>
      <c r="AF150" s="53">
        <f t="shared" si="159"/>
        <v>14.98</v>
      </c>
      <c r="AG150" s="53">
        <v>0</v>
      </c>
      <c r="AH150" s="54">
        <f t="shared" si="168"/>
        <v>14.98</v>
      </c>
      <c r="AI150" s="54">
        <f t="shared" si="164"/>
        <v>114.25423728813553</v>
      </c>
      <c r="AJ150" s="54">
        <f t="shared" si="57"/>
        <v>18.766049760000001</v>
      </c>
      <c r="AK150" s="54">
        <f t="shared" si="58"/>
        <v>11.259629856</v>
      </c>
      <c r="AL150" s="55">
        <f>AN150-Y150-AD150-AE150-AG150-AI150-AJ150-AK150-AF150-AH150</f>
        <v>-34.283556904135565</v>
      </c>
      <c r="AM150" s="62">
        <f t="shared" ref="AM150:AM167" si="171">AL150/AN150</f>
        <v>-4.5772439124346552E-2</v>
      </c>
      <c r="AN150" s="71">
        <v>749</v>
      </c>
      <c r="AO150" s="71"/>
      <c r="AP150" s="71">
        <v>649</v>
      </c>
      <c r="AQ150" s="71"/>
      <c r="AR150" s="71">
        <v>1199</v>
      </c>
      <c r="AS150" s="45"/>
      <c r="AT150" s="45"/>
      <c r="AU150" s="45"/>
      <c r="AV150" s="57">
        <f t="shared" si="17"/>
        <v>316.67712271186446</v>
      </c>
      <c r="AW150" s="58">
        <f t="shared" si="18"/>
        <v>0.42279989681156804</v>
      </c>
      <c r="AX150" s="45">
        <v>8904422505780</v>
      </c>
      <c r="AY150" s="59">
        <f t="shared" si="19"/>
        <v>111.99600000000001</v>
      </c>
      <c r="AZ150" s="60">
        <f t="shared" si="20"/>
        <v>197.8063602875153</v>
      </c>
      <c r="BA150" s="60"/>
      <c r="BB150" s="60"/>
      <c r="BC150" s="60"/>
    </row>
    <row r="151" spans="1:55" ht="14.25" customHeight="1">
      <c r="A151" s="43"/>
      <c r="B151" s="43"/>
      <c r="C151" s="43"/>
      <c r="D151" s="44"/>
      <c r="E151" s="44"/>
      <c r="F151" s="45" t="s">
        <v>797</v>
      </c>
      <c r="G151" s="96" t="s">
        <v>798</v>
      </c>
      <c r="H151" s="71" t="s">
        <v>799</v>
      </c>
      <c r="I151" s="71" t="s">
        <v>800</v>
      </c>
      <c r="J151" s="71"/>
      <c r="K151" s="71"/>
      <c r="L151" s="71" t="s">
        <v>747</v>
      </c>
      <c r="M151" s="71" t="s">
        <v>801</v>
      </c>
      <c r="N151" s="45">
        <v>90191020</v>
      </c>
      <c r="O151" s="71"/>
      <c r="P151" s="71"/>
      <c r="Q151" s="71"/>
      <c r="R151" s="71"/>
      <c r="S151" s="71"/>
      <c r="T151" s="71"/>
      <c r="U151" s="49">
        <v>8</v>
      </c>
      <c r="V151" s="49"/>
      <c r="W151" s="50">
        <f t="shared" si="49"/>
        <v>0.16</v>
      </c>
      <c r="X151" s="50">
        <f t="shared" ref="X151:X153" si="172">(U151+W151)*(B$42+(B$42*B$45))</f>
        <v>0.89760000000000018</v>
      </c>
      <c r="Y151" s="51">
        <f t="shared" si="162"/>
        <v>815.18400000000008</v>
      </c>
      <c r="Z151" s="51">
        <f t="shared" si="124"/>
        <v>961.91712000000007</v>
      </c>
      <c r="AA151" s="52">
        <f t="shared" si="169"/>
        <v>139.42499999999998</v>
      </c>
      <c r="AB151" s="52">
        <v>51</v>
      </c>
      <c r="AC151" s="52">
        <v>115</v>
      </c>
      <c r="AD151" s="52">
        <f t="shared" si="7"/>
        <v>305.42499999999995</v>
      </c>
      <c r="AE151" s="53">
        <f t="shared" si="170"/>
        <v>371.8</v>
      </c>
      <c r="AF151" s="53"/>
      <c r="AG151" s="53">
        <f t="shared" ref="AG151:AG168" si="173">AN151*B$67</f>
        <v>92.95</v>
      </c>
      <c r="AH151" s="54"/>
      <c r="AI151" s="54">
        <f t="shared" si="164"/>
        <v>283.57627118644064</v>
      </c>
      <c r="AJ151" s="54">
        <f t="shared" si="57"/>
        <v>48.095856000000005</v>
      </c>
      <c r="AK151" s="54">
        <f t="shared" si="58"/>
        <v>28.857513600000001</v>
      </c>
      <c r="AL151" s="55">
        <f>AN151-Y151-AD151-AE151-AG151-AI151-AJ151-AK151-AF151-AH151-AO151</f>
        <v>-386.88864078644076</v>
      </c>
      <c r="AM151" s="62">
        <f t="shared" si="171"/>
        <v>-0.20811653619496545</v>
      </c>
      <c r="AN151" s="71">
        <v>1859</v>
      </c>
      <c r="AO151" s="71">
        <v>300</v>
      </c>
      <c r="AP151" s="71"/>
      <c r="AQ151" s="71"/>
      <c r="AR151" s="71">
        <v>3499</v>
      </c>
      <c r="AS151" s="45"/>
      <c r="AT151" s="45"/>
      <c r="AU151" s="45"/>
      <c r="AV151" s="57">
        <f t="shared" si="17"/>
        <v>760.23972881355928</v>
      </c>
      <c r="AW151" s="58">
        <f t="shared" si="18"/>
        <v>0.40895090307345844</v>
      </c>
      <c r="AX151" s="71">
        <v>8904422505728</v>
      </c>
      <c r="AY151" s="59">
        <f t="shared" si="19"/>
        <v>101.89800000000001</v>
      </c>
      <c r="AZ151" s="60">
        <f t="shared" si="20"/>
        <v>191.55920626508859</v>
      </c>
      <c r="BA151" s="60"/>
      <c r="BB151" s="60"/>
      <c r="BC151" s="60"/>
    </row>
    <row r="152" spans="1:55" ht="14.25" customHeight="1">
      <c r="A152" s="43"/>
      <c r="B152" s="43"/>
      <c r="C152" s="43"/>
      <c r="D152" s="44"/>
      <c r="E152" s="44"/>
      <c r="F152" s="45" t="s">
        <v>802</v>
      </c>
      <c r="G152" s="96" t="s">
        <v>803</v>
      </c>
      <c r="H152" s="71" t="s">
        <v>804</v>
      </c>
      <c r="I152" s="71" t="s">
        <v>800</v>
      </c>
      <c r="J152" s="71"/>
      <c r="K152" s="71"/>
      <c r="L152" s="71" t="s">
        <v>747</v>
      </c>
      <c r="M152" s="71" t="s">
        <v>805</v>
      </c>
      <c r="N152" s="45">
        <v>90191020</v>
      </c>
      <c r="O152" s="71"/>
      <c r="P152" s="71"/>
      <c r="Q152" s="71"/>
      <c r="R152" s="71"/>
      <c r="S152" s="71"/>
      <c r="T152" s="71"/>
      <c r="U152" s="49">
        <v>7.9</v>
      </c>
      <c r="V152" s="49"/>
      <c r="W152" s="50">
        <f t="shared" si="49"/>
        <v>0.158</v>
      </c>
      <c r="X152" s="50">
        <f t="shared" si="172"/>
        <v>0.88638000000000006</v>
      </c>
      <c r="Y152" s="51">
        <f t="shared" si="162"/>
        <v>804.99420000000009</v>
      </c>
      <c r="Z152" s="51">
        <f t="shared" si="124"/>
        <v>949.89315600000009</v>
      </c>
      <c r="AA152" s="52">
        <f t="shared" si="169"/>
        <v>154.42499999999998</v>
      </c>
      <c r="AB152" s="52">
        <v>51</v>
      </c>
      <c r="AC152" s="52">
        <v>148</v>
      </c>
      <c r="AD152" s="52">
        <f t="shared" si="7"/>
        <v>353.42499999999995</v>
      </c>
      <c r="AE152" s="53">
        <f t="shared" si="170"/>
        <v>411.8</v>
      </c>
      <c r="AF152" s="53"/>
      <c r="AG152" s="53">
        <f t="shared" si="173"/>
        <v>102.95</v>
      </c>
      <c r="AH152" s="54"/>
      <c r="AI152" s="54">
        <f t="shared" si="164"/>
        <v>314.08474576271169</v>
      </c>
      <c r="AJ152" s="54">
        <f t="shared" si="57"/>
        <v>47.494657800000006</v>
      </c>
      <c r="AK152" s="54">
        <f t="shared" si="58"/>
        <v>28.496794680000001</v>
      </c>
      <c r="AL152" s="55">
        <f t="shared" ref="AL152:AL167" si="174">AN152-Y152-AD152-AE152-AG152-AI152-AJ152-AK152-AF152-AH152</f>
        <v>-4.2453982427117438</v>
      </c>
      <c r="AM152" s="62">
        <f t="shared" si="171"/>
        <v>-2.061873842987734E-3</v>
      </c>
      <c r="AN152" s="71">
        <v>2059</v>
      </c>
      <c r="AO152" s="71"/>
      <c r="AP152" s="71"/>
      <c r="AQ152" s="71"/>
      <c r="AR152" s="71">
        <v>3899</v>
      </c>
      <c r="AS152" s="45"/>
      <c r="AT152" s="45"/>
      <c r="AU152" s="45"/>
      <c r="AV152" s="57">
        <f t="shared" si="17"/>
        <v>939.92105423728822</v>
      </c>
      <c r="AW152" s="58">
        <f t="shared" si="18"/>
        <v>0.45649395543335997</v>
      </c>
      <c r="AX152" s="71">
        <v>8904422505735</v>
      </c>
      <c r="AY152" s="59">
        <f t="shared" si="19"/>
        <v>101.89800000000001</v>
      </c>
      <c r="AZ152" s="60">
        <f t="shared" si="20"/>
        <v>214.85372192743745</v>
      </c>
      <c r="BA152" s="60"/>
      <c r="BB152" s="60"/>
      <c r="BC152" s="60"/>
    </row>
    <row r="153" spans="1:55" ht="14.25" customHeight="1">
      <c r="A153" s="43"/>
      <c r="B153" s="43"/>
      <c r="C153" s="43"/>
      <c r="D153" s="44"/>
      <c r="E153" s="44"/>
      <c r="F153" s="45" t="s">
        <v>806</v>
      </c>
      <c r="G153" s="96" t="s">
        <v>807</v>
      </c>
      <c r="H153" s="71" t="s">
        <v>808</v>
      </c>
      <c r="I153" s="71" t="s">
        <v>800</v>
      </c>
      <c r="J153" s="71"/>
      <c r="K153" s="71"/>
      <c r="L153" s="71" t="s">
        <v>747</v>
      </c>
      <c r="M153" s="71" t="s">
        <v>809</v>
      </c>
      <c r="N153" s="45">
        <v>90191020</v>
      </c>
      <c r="O153" s="71"/>
      <c r="P153" s="71"/>
      <c r="Q153" s="71"/>
      <c r="R153" s="71"/>
      <c r="S153" s="71"/>
      <c r="T153" s="71"/>
      <c r="U153" s="49">
        <v>9.65</v>
      </c>
      <c r="V153" s="49"/>
      <c r="W153" s="50">
        <f t="shared" si="49"/>
        <v>0.193</v>
      </c>
      <c r="X153" s="50">
        <f t="shared" si="172"/>
        <v>1.0827300000000002</v>
      </c>
      <c r="Y153" s="51">
        <f t="shared" si="162"/>
        <v>983.31569999999999</v>
      </c>
      <c r="Z153" s="51">
        <f t="shared" si="124"/>
        <v>1160.3125259999999</v>
      </c>
      <c r="AA153" s="52">
        <f t="shared" si="169"/>
        <v>157.42499999999998</v>
      </c>
      <c r="AB153" s="52">
        <v>51</v>
      </c>
      <c r="AC153" s="52">
        <v>148</v>
      </c>
      <c r="AD153" s="52">
        <f t="shared" si="7"/>
        <v>356.42499999999995</v>
      </c>
      <c r="AE153" s="53">
        <f t="shared" si="170"/>
        <v>419.8</v>
      </c>
      <c r="AF153" s="53">
        <f t="shared" ref="AF153:AF159" si="175">AN153*$B$70</f>
        <v>41.980000000000004</v>
      </c>
      <c r="AG153" s="53">
        <f t="shared" si="173"/>
        <v>104.95</v>
      </c>
      <c r="AH153" s="54">
        <f t="shared" ref="AH153:AH159" si="176">AN153*$B$74</f>
        <v>41.980000000000004</v>
      </c>
      <c r="AI153" s="54">
        <f t="shared" si="164"/>
        <v>320.18644067796595</v>
      </c>
      <c r="AJ153" s="54">
        <f t="shared" si="57"/>
        <v>58.015626300000001</v>
      </c>
      <c r="AK153" s="54">
        <f t="shared" si="58"/>
        <v>34.809375779999996</v>
      </c>
      <c r="AL153" s="55">
        <f t="shared" si="174"/>
        <v>-262.46214275796603</v>
      </c>
      <c r="AM153" s="62">
        <f t="shared" si="171"/>
        <v>-0.12504151632108912</v>
      </c>
      <c r="AN153" s="71">
        <v>2099</v>
      </c>
      <c r="AO153" s="71">
        <v>180</v>
      </c>
      <c r="AP153" s="71"/>
      <c r="AQ153" s="71"/>
      <c r="AR153" s="71">
        <v>3499</v>
      </c>
      <c r="AS153" s="45"/>
      <c r="AT153" s="45"/>
      <c r="AU153" s="45"/>
      <c r="AV153" s="57">
        <f t="shared" si="17"/>
        <v>795.49785932203406</v>
      </c>
      <c r="AW153" s="58">
        <f t="shared" si="18"/>
        <v>0.37898897537972087</v>
      </c>
      <c r="AX153" s="71">
        <v>8904422505742</v>
      </c>
      <c r="AY153" s="59">
        <f t="shared" si="19"/>
        <v>101.898</v>
      </c>
      <c r="AZ153" s="60">
        <f t="shared" si="20"/>
        <v>179.30762216041094</v>
      </c>
      <c r="BA153" s="60"/>
      <c r="BB153" s="60"/>
      <c r="BC153" s="60"/>
    </row>
    <row r="154" spans="1:55" ht="14.25" customHeight="1">
      <c r="A154" s="43"/>
      <c r="B154" s="43"/>
      <c r="C154" s="43"/>
      <c r="D154" s="44"/>
      <c r="E154" s="44"/>
      <c r="F154" s="45" t="s">
        <v>810</v>
      </c>
      <c r="G154" s="46" t="s">
        <v>811</v>
      </c>
      <c r="H154" s="45" t="s">
        <v>812</v>
      </c>
      <c r="I154" s="45" t="s">
        <v>813</v>
      </c>
      <c r="J154" s="45"/>
      <c r="K154" s="45"/>
      <c r="L154" s="45" t="s">
        <v>258</v>
      </c>
      <c r="M154" s="45" t="s">
        <v>814</v>
      </c>
      <c r="N154" s="45">
        <v>94043090</v>
      </c>
      <c r="O154" s="48">
        <v>0.3</v>
      </c>
      <c r="P154" s="46">
        <v>21.6</v>
      </c>
      <c r="Q154" s="46">
        <v>16.600000000000001</v>
      </c>
      <c r="R154" s="46">
        <v>13.9</v>
      </c>
      <c r="S154" s="48">
        <f t="shared" ref="S154:S159" si="177">(P154*Q154*R154)/1000000</f>
        <v>4.9839840000000012E-3</v>
      </c>
      <c r="T154" s="48">
        <f t="shared" ref="T154:T159" si="178">(P154*Q154*R154)/5000</f>
        <v>0.99679680000000026</v>
      </c>
      <c r="U154" s="49">
        <v>3.6</v>
      </c>
      <c r="V154" s="49"/>
      <c r="W154" s="50">
        <f t="shared" ref="W154:W159" si="179">B$27/(B$28/S154)</f>
        <v>0.14658776470588239</v>
      </c>
      <c r="X154" s="50">
        <f t="shared" ref="X154:X155" si="180">(U154+W154)*(B$30+(B$30*B$45))</f>
        <v>1.0303116352941177</v>
      </c>
      <c r="Y154" s="51">
        <f t="shared" si="162"/>
        <v>429.92094600000001</v>
      </c>
      <c r="Z154" s="51">
        <f t="shared" ref="Z154:Z159" si="181">Y154*1.12</f>
        <v>481.51145952000007</v>
      </c>
      <c r="AA154" s="52">
        <f t="shared" ref="AA154:AA155" si="182">AN154*12%</f>
        <v>131.88</v>
      </c>
      <c r="AB154" s="52">
        <v>50</v>
      </c>
      <c r="AC154" s="52">
        <v>79</v>
      </c>
      <c r="AD154" s="52">
        <f t="shared" si="7"/>
        <v>260.88</v>
      </c>
      <c r="AE154" s="53">
        <f t="shared" ref="AE154:AE159" si="183">AN154*B$66</f>
        <v>164.85</v>
      </c>
      <c r="AF154" s="53">
        <f t="shared" si="175"/>
        <v>21.98</v>
      </c>
      <c r="AG154" s="53">
        <f t="shared" si="173"/>
        <v>54.95</v>
      </c>
      <c r="AH154" s="54">
        <f t="shared" si="176"/>
        <v>21.98</v>
      </c>
      <c r="AI154" s="54">
        <f t="shared" ref="AI154:AI159" si="184">AN154-(AN154/1.12)</f>
        <v>117.75000000000011</v>
      </c>
      <c r="AJ154" s="54">
        <f t="shared" si="57"/>
        <v>24.075572976000004</v>
      </c>
      <c r="AK154" s="54">
        <f t="shared" si="58"/>
        <v>14.445343785600002</v>
      </c>
      <c r="AL154" s="55">
        <f t="shared" si="174"/>
        <v>-11.831862761600085</v>
      </c>
      <c r="AM154" s="62">
        <f t="shared" si="171"/>
        <v>-1.0766026170700715E-2</v>
      </c>
      <c r="AN154" s="45">
        <v>1099</v>
      </c>
      <c r="AO154" s="45"/>
      <c r="AP154" s="45"/>
      <c r="AQ154" s="45"/>
      <c r="AR154" s="45">
        <v>1899</v>
      </c>
      <c r="AS154" s="45"/>
      <c r="AT154" s="45"/>
      <c r="AU154" s="45"/>
      <c r="AV154" s="57">
        <f t="shared" si="17"/>
        <v>551.32905399999981</v>
      </c>
      <c r="AW154" s="58">
        <f t="shared" si="18"/>
        <v>0.50166428935395802</v>
      </c>
      <c r="AX154" s="63">
        <v>8904422505766</v>
      </c>
      <c r="AY154" s="59">
        <f t="shared" si="19"/>
        <v>119.42248499999999</v>
      </c>
      <c r="AZ154" s="60">
        <f t="shared" si="20"/>
        <v>214.72784905902211</v>
      </c>
      <c r="BA154" s="60"/>
      <c r="BB154" s="60"/>
      <c r="BC154" s="60"/>
    </row>
    <row r="155" spans="1:55" ht="14.25" customHeight="1">
      <c r="A155" s="43"/>
      <c r="B155" s="43"/>
      <c r="C155" s="43"/>
      <c r="D155" s="44"/>
      <c r="E155" s="44"/>
      <c r="F155" s="45" t="s">
        <v>815</v>
      </c>
      <c r="G155" s="46" t="s">
        <v>816</v>
      </c>
      <c r="H155" s="45" t="s">
        <v>817</v>
      </c>
      <c r="I155" s="45" t="s">
        <v>813</v>
      </c>
      <c r="J155" s="45"/>
      <c r="K155" s="45"/>
      <c r="L155" s="45" t="s">
        <v>258</v>
      </c>
      <c r="M155" s="45" t="s">
        <v>818</v>
      </c>
      <c r="N155" s="45">
        <v>94043090</v>
      </c>
      <c r="O155" s="48">
        <v>0.3</v>
      </c>
      <c r="P155" s="46">
        <v>21.6</v>
      </c>
      <c r="Q155" s="46">
        <v>16.600000000000001</v>
      </c>
      <c r="R155" s="46">
        <v>13.9</v>
      </c>
      <c r="S155" s="48">
        <f t="shared" si="177"/>
        <v>4.9839840000000012E-3</v>
      </c>
      <c r="T155" s="48">
        <f t="shared" si="178"/>
        <v>0.99679680000000026</v>
      </c>
      <c r="U155" s="49">
        <v>3.6</v>
      </c>
      <c r="V155" s="49"/>
      <c r="W155" s="50">
        <f t="shared" si="179"/>
        <v>0.14658776470588239</v>
      </c>
      <c r="X155" s="50">
        <f t="shared" si="180"/>
        <v>1.0303116352941177</v>
      </c>
      <c r="Y155" s="51">
        <f t="shared" si="162"/>
        <v>429.92094600000001</v>
      </c>
      <c r="Z155" s="51">
        <f t="shared" si="181"/>
        <v>481.51145952000007</v>
      </c>
      <c r="AA155" s="52">
        <f t="shared" si="182"/>
        <v>131.88</v>
      </c>
      <c r="AB155" s="52">
        <v>50</v>
      </c>
      <c r="AC155" s="52">
        <v>79</v>
      </c>
      <c r="AD155" s="52">
        <f t="shared" si="7"/>
        <v>260.88</v>
      </c>
      <c r="AE155" s="53">
        <f t="shared" si="183"/>
        <v>164.85</v>
      </c>
      <c r="AF155" s="53">
        <f t="shared" si="175"/>
        <v>21.98</v>
      </c>
      <c r="AG155" s="53">
        <f t="shared" si="173"/>
        <v>54.95</v>
      </c>
      <c r="AH155" s="54">
        <f t="shared" si="176"/>
        <v>21.98</v>
      </c>
      <c r="AI155" s="54">
        <f t="shared" si="184"/>
        <v>117.75000000000011</v>
      </c>
      <c r="AJ155" s="54">
        <f t="shared" si="57"/>
        <v>24.075572976000004</v>
      </c>
      <c r="AK155" s="54">
        <f t="shared" si="58"/>
        <v>14.445343785600002</v>
      </c>
      <c r="AL155" s="55">
        <f t="shared" si="174"/>
        <v>-11.831862761600085</v>
      </c>
      <c r="AM155" s="62">
        <f t="shared" si="171"/>
        <v>-1.0766026170700715E-2</v>
      </c>
      <c r="AN155" s="45">
        <v>1099</v>
      </c>
      <c r="AO155" s="45"/>
      <c r="AP155" s="45"/>
      <c r="AQ155" s="45"/>
      <c r="AR155" s="45">
        <v>1899</v>
      </c>
      <c r="AS155" s="45"/>
      <c r="AT155" s="45"/>
      <c r="AU155" s="45"/>
      <c r="AV155" s="57">
        <f t="shared" si="17"/>
        <v>551.32905399999981</v>
      </c>
      <c r="AW155" s="58">
        <f t="shared" si="18"/>
        <v>0.50166428935395802</v>
      </c>
      <c r="AX155" s="63">
        <v>8904422505773</v>
      </c>
      <c r="AY155" s="59">
        <f t="shared" si="19"/>
        <v>119.42248499999999</v>
      </c>
      <c r="AZ155" s="60">
        <f t="shared" si="20"/>
        <v>214.72784905902211</v>
      </c>
      <c r="BA155" s="60"/>
      <c r="BB155" s="60"/>
      <c r="BC155" s="60"/>
    </row>
    <row r="156" spans="1:55" ht="14.25" customHeight="1">
      <c r="A156" s="43"/>
      <c r="B156" s="43"/>
      <c r="C156" s="43"/>
      <c r="D156" s="44"/>
      <c r="E156" s="44"/>
      <c r="F156" s="45" t="s">
        <v>819</v>
      </c>
      <c r="G156" s="46" t="s">
        <v>820</v>
      </c>
      <c r="H156" s="45" t="s">
        <v>821</v>
      </c>
      <c r="I156" s="45" t="s">
        <v>234</v>
      </c>
      <c r="J156" s="45"/>
      <c r="K156" s="45"/>
      <c r="L156" s="45"/>
      <c r="M156" s="45" t="s">
        <v>822</v>
      </c>
      <c r="N156" s="45">
        <v>84213920</v>
      </c>
      <c r="O156" s="48">
        <v>0.3</v>
      </c>
      <c r="P156" s="46">
        <v>21.6</v>
      </c>
      <c r="Q156" s="46">
        <v>16.600000000000001</v>
      </c>
      <c r="R156" s="46">
        <v>13.9</v>
      </c>
      <c r="S156" s="48">
        <f t="shared" si="177"/>
        <v>4.9839840000000012E-3</v>
      </c>
      <c r="T156" s="48">
        <f t="shared" si="178"/>
        <v>0.99679680000000026</v>
      </c>
      <c r="U156" s="49">
        <v>85</v>
      </c>
      <c r="V156" s="49"/>
      <c r="W156" s="50">
        <f t="shared" si="179"/>
        <v>0.14658776470588239</v>
      </c>
      <c r="X156" s="50">
        <f t="shared" ref="X156:X157" si="185">(U156+W156)*(B$43+(B$43*B$45))</f>
        <v>7.0245934905882343</v>
      </c>
      <c r="Y156" s="51">
        <f t="shared" si="162"/>
        <v>8295.4063129764709</v>
      </c>
      <c r="Z156" s="51">
        <f t="shared" si="181"/>
        <v>9290.8550705336474</v>
      </c>
      <c r="AA156" s="52">
        <f t="shared" ref="AA156:AA157" si="186">AN156*8.5%</f>
        <v>1214.6500000000001</v>
      </c>
      <c r="AB156" s="52">
        <v>50</v>
      </c>
      <c r="AC156" s="52">
        <v>191</v>
      </c>
      <c r="AD156" s="52">
        <f t="shared" si="7"/>
        <v>1455.65</v>
      </c>
      <c r="AE156" s="53">
        <f t="shared" si="183"/>
        <v>2143.5</v>
      </c>
      <c r="AF156" s="53">
        <f t="shared" si="175"/>
        <v>285.8</v>
      </c>
      <c r="AG156" s="53">
        <f t="shared" si="173"/>
        <v>714.5</v>
      </c>
      <c r="AH156" s="54">
        <f t="shared" si="176"/>
        <v>285.8</v>
      </c>
      <c r="AI156" s="54">
        <f t="shared" si="184"/>
        <v>1531.0714285714294</v>
      </c>
      <c r="AJ156" s="54">
        <f t="shared" si="57"/>
        <v>464.54275352668242</v>
      </c>
      <c r="AK156" s="54">
        <f t="shared" si="58"/>
        <v>278.72565211600943</v>
      </c>
      <c r="AL156" s="55">
        <f t="shared" si="174"/>
        <v>-1164.9961471905917</v>
      </c>
      <c r="AM156" s="62">
        <f t="shared" si="171"/>
        <v>-8.1525272721524961E-2</v>
      </c>
      <c r="AN156" s="45">
        <v>14290</v>
      </c>
      <c r="AO156" s="45"/>
      <c r="AP156" s="45">
        <v>15499</v>
      </c>
      <c r="AQ156" s="45"/>
      <c r="AR156" s="45">
        <v>29999</v>
      </c>
      <c r="AS156" s="45"/>
      <c r="AT156" s="45"/>
      <c r="AU156" s="45"/>
      <c r="AV156" s="57">
        <f t="shared" si="17"/>
        <v>4463.5222584520998</v>
      </c>
      <c r="AW156" s="58">
        <f t="shared" si="18"/>
        <v>0.3123528522359762</v>
      </c>
      <c r="AX156" s="63">
        <v>8904422505810</v>
      </c>
      <c r="AY156" s="59">
        <f t="shared" si="19"/>
        <v>97.593015446782005</v>
      </c>
      <c r="AZ156" s="60">
        <f t="shared" si="20"/>
        <v>144.70177285014739</v>
      </c>
      <c r="BA156" s="60"/>
      <c r="BB156" s="60"/>
      <c r="BC156" s="60"/>
    </row>
    <row r="157" spans="1:55" ht="14.25" customHeight="1">
      <c r="A157" s="43"/>
      <c r="B157" s="43"/>
      <c r="C157" s="43"/>
      <c r="D157" s="44"/>
      <c r="E157" s="44"/>
      <c r="F157" s="45" t="s">
        <v>823</v>
      </c>
      <c r="G157" s="46" t="s">
        <v>824</v>
      </c>
      <c r="H157" s="45" t="s">
        <v>825</v>
      </c>
      <c r="I157" s="45" t="s">
        <v>234</v>
      </c>
      <c r="J157" s="45"/>
      <c r="K157" s="45"/>
      <c r="L157" s="45"/>
      <c r="M157" s="45" t="s">
        <v>826</v>
      </c>
      <c r="N157" s="45">
        <v>84213920</v>
      </c>
      <c r="O157" s="48">
        <v>0.3</v>
      </c>
      <c r="P157" s="46">
        <v>21.6</v>
      </c>
      <c r="Q157" s="46">
        <v>16.600000000000001</v>
      </c>
      <c r="R157" s="46">
        <v>13.9</v>
      </c>
      <c r="S157" s="48">
        <f t="shared" si="177"/>
        <v>4.9839840000000012E-3</v>
      </c>
      <c r="T157" s="48">
        <f t="shared" si="178"/>
        <v>0.99679680000000026</v>
      </c>
      <c r="U157" s="49">
        <v>53</v>
      </c>
      <c r="V157" s="49"/>
      <c r="W157" s="50">
        <f t="shared" si="179"/>
        <v>0.14658776470588239</v>
      </c>
      <c r="X157" s="50">
        <f t="shared" si="185"/>
        <v>4.3845934905882347</v>
      </c>
      <c r="Y157" s="51">
        <f t="shared" si="162"/>
        <v>5177.8063129764714</v>
      </c>
      <c r="Z157" s="51">
        <f t="shared" si="181"/>
        <v>5799.1430705336488</v>
      </c>
      <c r="AA157" s="52">
        <f t="shared" si="186"/>
        <v>849.91500000000008</v>
      </c>
      <c r="AB157" s="52">
        <v>50</v>
      </c>
      <c r="AC157" s="52">
        <v>191</v>
      </c>
      <c r="AD157" s="52">
        <f t="shared" si="7"/>
        <v>1090.915</v>
      </c>
      <c r="AE157" s="53">
        <f t="shared" si="183"/>
        <v>1499.85</v>
      </c>
      <c r="AF157" s="53">
        <f t="shared" si="175"/>
        <v>199.98000000000002</v>
      </c>
      <c r="AG157" s="53">
        <f t="shared" si="173"/>
        <v>499.95000000000005</v>
      </c>
      <c r="AH157" s="54">
        <f t="shared" si="176"/>
        <v>199.98000000000002</v>
      </c>
      <c r="AI157" s="54">
        <f t="shared" si="184"/>
        <v>1071.3214285714294</v>
      </c>
      <c r="AJ157" s="54">
        <f t="shared" si="57"/>
        <v>289.95715352668248</v>
      </c>
      <c r="AK157" s="54">
        <f t="shared" si="58"/>
        <v>173.97429211600945</v>
      </c>
      <c r="AL157" s="55">
        <f t="shared" si="174"/>
        <v>-204.73418719059265</v>
      </c>
      <c r="AM157" s="62">
        <f t="shared" si="171"/>
        <v>-2.0475466265685832E-2</v>
      </c>
      <c r="AN157" s="45">
        <v>9999</v>
      </c>
      <c r="AO157" s="45"/>
      <c r="AP157" s="45">
        <v>9999</v>
      </c>
      <c r="AQ157" s="45"/>
      <c r="AR157" s="45">
        <v>18999</v>
      </c>
      <c r="AS157" s="45"/>
      <c r="AT157" s="45"/>
      <c r="AU157" s="45"/>
      <c r="AV157" s="57">
        <f t="shared" si="17"/>
        <v>3749.8722584520992</v>
      </c>
      <c r="AW157" s="58">
        <f t="shared" si="18"/>
        <v>0.37502472831804173</v>
      </c>
      <c r="AX157" s="63">
        <v>8904422505827</v>
      </c>
      <c r="AY157" s="59">
        <f t="shared" si="19"/>
        <v>97.694458735405121</v>
      </c>
      <c r="AZ157" s="60">
        <f t="shared" si="20"/>
        <v>162.21464250121261</v>
      </c>
      <c r="BA157" s="60"/>
      <c r="BB157" s="60"/>
      <c r="BC157" s="60"/>
    </row>
    <row r="158" spans="1:55" ht="14.25" customHeight="1">
      <c r="A158" s="43"/>
      <c r="B158" s="43"/>
      <c r="C158" s="43"/>
      <c r="D158" s="44"/>
      <c r="E158" s="44"/>
      <c r="F158" s="45" t="s">
        <v>827</v>
      </c>
      <c r="G158" s="46" t="s">
        <v>828</v>
      </c>
      <c r="H158" s="45" t="s">
        <v>829</v>
      </c>
      <c r="I158" s="45" t="s">
        <v>234</v>
      </c>
      <c r="J158" s="45"/>
      <c r="K158" s="45"/>
      <c r="L158" s="45"/>
      <c r="M158" s="45" t="s">
        <v>830</v>
      </c>
      <c r="N158" s="45">
        <v>85098000</v>
      </c>
      <c r="O158" s="48">
        <v>0.3</v>
      </c>
      <c r="P158" s="46">
        <v>21.6</v>
      </c>
      <c r="Q158" s="46">
        <v>16.600000000000001</v>
      </c>
      <c r="R158" s="46">
        <v>13.9</v>
      </c>
      <c r="S158" s="48">
        <f t="shared" si="177"/>
        <v>4.9839840000000012E-3</v>
      </c>
      <c r="T158" s="48">
        <f t="shared" si="178"/>
        <v>0.99679680000000026</v>
      </c>
      <c r="U158" s="49">
        <v>6</v>
      </c>
      <c r="V158" s="49"/>
      <c r="W158" s="50">
        <f t="shared" si="179"/>
        <v>0.14658776470588239</v>
      </c>
      <c r="X158" s="50">
        <f t="shared" ref="X158:X159" si="187">(U158+W158)*(B$31+(B$31*B$45))</f>
        <v>1.3522493082352942</v>
      </c>
      <c r="Y158" s="51">
        <f t="shared" si="162"/>
        <v>674.89533656470587</v>
      </c>
      <c r="Z158" s="51">
        <f t="shared" si="181"/>
        <v>755.88277695247064</v>
      </c>
      <c r="AA158" s="52">
        <f t="shared" ref="AA158:AA160" si="188">AN158*7.5%</f>
        <v>138.67499999999998</v>
      </c>
      <c r="AB158" s="52">
        <v>51</v>
      </c>
      <c r="AC158" s="52">
        <v>147</v>
      </c>
      <c r="AD158" s="52">
        <f t="shared" si="7"/>
        <v>336.67499999999995</v>
      </c>
      <c r="AE158" s="53">
        <f t="shared" si="183"/>
        <v>277.34999999999997</v>
      </c>
      <c r="AF158" s="53">
        <f t="shared" si="175"/>
        <v>36.980000000000004</v>
      </c>
      <c r="AG158" s="53">
        <f t="shared" si="173"/>
        <v>92.45</v>
      </c>
      <c r="AH158" s="54">
        <f t="shared" si="176"/>
        <v>36.980000000000004</v>
      </c>
      <c r="AI158" s="54">
        <f t="shared" si="184"/>
        <v>198.10714285714312</v>
      </c>
      <c r="AJ158" s="54">
        <f t="shared" si="57"/>
        <v>37.794138847623536</v>
      </c>
      <c r="AK158" s="54">
        <f t="shared" si="58"/>
        <v>22.676483308574117</v>
      </c>
      <c r="AL158" s="55">
        <f t="shared" si="174"/>
        <v>135.0918984219536</v>
      </c>
      <c r="AM158" s="62">
        <f t="shared" si="171"/>
        <v>7.3062140844755874E-2</v>
      </c>
      <c r="AN158" s="45">
        <v>1849</v>
      </c>
      <c r="AO158" s="45"/>
      <c r="AP158" s="45">
        <v>1799</v>
      </c>
      <c r="AQ158" s="45"/>
      <c r="AR158" s="45">
        <v>3599</v>
      </c>
      <c r="AS158" s="45"/>
      <c r="AT158" s="45"/>
      <c r="AU158" s="45"/>
      <c r="AV158" s="57">
        <f t="shared" si="17"/>
        <v>975.99752057815101</v>
      </c>
      <c r="AW158" s="58">
        <f t="shared" si="18"/>
        <v>0.52785155250305626</v>
      </c>
      <c r="AX158" s="63">
        <v>8904422505797</v>
      </c>
      <c r="AY158" s="59">
        <f t="shared" si="19"/>
        <v>112.48255609411764</v>
      </c>
      <c r="AZ158" s="60">
        <f t="shared" si="20"/>
        <v>230.13346156839094</v>
      </c>
      <c r="BA158" s="60"/>
      <c r="BB158" s="60"/>
      <c r="BC158" s="60"/>
    </row>
    <row r="159" spans="1:55" ht="14.25" customHeight="1">
      <c r="A159" s="43"/>
      <c r="B159" s="43"/>
      <c r="C159" s="43"/>
      <c r="D159" s="44"/>
      <c r="E159" s="44"/>
      <c r="F159" s="45" t="s">
        <v>831</v>
      </c>
      <c r="G159" s="46" t="s">
        <v>832</v>
      </c>
      <c r="H159" s="45" t="s">
        <v>833</v>
      </c>
      <c r="I159" s="45" t="s">
        <v>234</v>
      </c>
      <c r="J159" s="45"/>
      <c r="K159" s="45"/>
      <c r="L159" s="45"/>
      <c r="M159" s="45" t="s">
        <v>834</v>
      </c>
      <c r="N159" s="45">
        <v>85098000</v>
      </c>
      <c r="O159" s="48">
        <v>0.3</v>
      </c>
      <c r="P159" s="46">
        <v>21.6</v>
      </c>
      <c r="Q159" s="46">
        <v>16.600000000000001</v>
      </c>
      <c r="R159" s="46">
        <v>13.9</v>
      </c>
      <c r="S159" s="48">
        <f t="shared" si="177"/>
        <v>4.9839840000000012E-3</v>
      </c>
      <c r="T159" s="48">
        <f t="shared" si="178"/>
        <v>0.99679680000000026</v>
      </c>
      <c r="U159" s="49">
        <v>6</v>
      </c>
      <c r="V159" s="49"/>
      <c r="W159" s="50">
        <f t="shared" si="179"/>
        <v>0.14658776470588239</v>
      </c>
      <c r="X159" s="50">
        <f t="shared" si="187"/>
        <v>1.3522493082352942</v>
      </c>
      <c r="Y159" s="51">
        <f t="shared" si="162"/>
        <v>674.89533656470587</v>
      </c>
      <c r="Z159" s="51">
        <f t="shared" si="181"/>
        <v>755.88277695247064</v>
      </c>
      <c r="AA159" s="52">
        <f t="shared" si="188"/>
        <v>146.17499999999998</v>
      </c>
      <c r="AB159" s="52">
        <v>51</v>
      </c>
      <c r="AC159" s="52">
        <v>147</v>
      </c>
      <c r="AD159" s="52">
        <f t="shared" si="7"/>
        <v>344.17499999999995</v>
      </c>
      <c r="AE159" s="53">
        <f t="shared" si="183"/>
        <v>292.34999999999997</v>
      </c>
      <c r="AF159" s="53">
        <f t="shared" si="175"/>
        <v>38.980000000000004</v>
      </c>
      <c r="AG159" s="53">
        <f t="shared" si="173"/>
        <v>97.45</v>
      </c>
      <c r="AH159" s="54">
        <f t="shared" si="176"/>
        <v>38.980000000000004</v>
      </c>
      <c r="AI159" s="54">
        <f t="shared" si="184"/>
        <v>208.82142857142867</v>
      </c>
      <c r="AJ159" s="54">
        <f t="shared" si="57"/>
        <v>37.794138847623536</v>
      </c>
      <c r="AK159" s="54">
        <f t="shared" si="58"/>
        <v>22.676483308574117</v>
      </c>
      <c r="AL159" s="55">
        <f t="shared" si="174"/>
        <v>192.87761270766799</v>
      </c>
      <c r="AM159" s="62">
        <f t="shared" si="171"/>
        <v>9.8962346181461255E-2</v>
      </c>
      <c r="AN159" s="45">
        <v>1949</v>
      </c>
      <c r="AO159" s="45"/>
      <c r="AP159" s="45">
        <v>1699</v>
      </c>
      <c r="AQ159" s="45"/>
      <c r="AR159" s="45">
        <v>2899</v>
      </c>
      <c r="AS159" s="45"/>
      <c r="AT159" s="45"/>
      <c r="AU159" s="45"/>
      <c r="AV159" s="57">
        <f t="shared" si="17"/>
        <v>1065.2832348638653</v>
      </c>
      <c r="AW159" s="58">
        <f t="shared" si="18"/>
        <v>0.54657939192604688</v>
      </c>
      <c r="AX159" s="63">
        <v>8904422505803</v>
      </c>
      <c r="AY159" s="59">
        <f t="shared" si="19"/>
        <v>112.48255609411764</v>
      </c>
      <c r="AZ159" s="60">
        <f t="shared" si="20"/>
        <v>242.57983590956945</v>
      </c>
      <c r="BA159" s="60"/>
      <c r="BB159" s="60"/>
      <c r="BC159" s="60"/>
    </row>
    <row r="160" spans="1:55" ht="14.25" customHeight="1">
      <c r="A160" s="43"/>
      <c r="B160" s="43"/>
      <c r="C160" s="43"/>
      <c r="D160" s="44"/>
      <c r="E160" s="44"/>
      <c r="F160" s="45" t="s">
        <v>835</v>
      </c>
      <c r="G160" s="96" t="s">
        <v>836</v>
      </c>
      <c r="H160" s="71" t="s">
        <v>837</v>
      </c>
      <c r="I160" s="71" t="s">
        <v>800</v>
      </c>
      <c r="J160" s="71"/>
      <c r="K160" s="71"/>
      <c r="L160" s="71" t="s">
        <v>747</v>
      </c>
      <c r="M160" s="70" t="s">
        <v>838</v>
      </c>
      <c r="N160" s="45">
        <v>90191020</v>
      </c>
      <c r="O160" s="71"/>
      <c r="P160" s="71"/>
      <c r="Q160" s="71"/>
      <c r="R160" s="71"/>
      <c r="S160" s="71"/>
      <c r="T160" s="71"/>
      <c r="U160" s="49">
        <v>6.5</v>
      </c>
      <c r="V160" s="49"/>
      <c r="W160" s="50">
        <f t="shared" ref="W160:W183" si="189">U160*2%</f>
        <v>0.13</v>
      </c>
      <c r="X160" s="50">
        <f t="shared" ref="X160:X166" si="190">(U160+W160)*(B$42+(B$42*B$45))</f>
        <v>0.72930000000000006</v>
      </c>
      <c r="Y160" s="51">
        <f t="shared" si="162"/>
        <v>662.33699999999999</v>
      </c>
      <c r="Z160" s="51">
        <f t="shared" ref="Z160:Z177" si="191">Y160*1.18</f>
        <v>781.55765999999994</v>
      </c>
      <c r="AA160" s="52">
        <f t="shared" si="188"/>
        <v>112.425</v>
      </c>
      <c r="AB160" s="52">
        <v>51</v>
      </c>
      <c r="AC160" s="52">
        <v>77</v>
      </c>
      <c r="AD160" s="52">
        <f t="shared" si="7"/>
        <v>240.42500000000001</v>
      </c>
      <c r="AE160" s="53">
        <f t="shared" ref="AE160:AE165" si="192">AN160*B$72</f>
        <v>299.8</v>
      </c>
      <c r="AF160" s="53"/>
      <c r="AG160" s="53">
        <f t="shared" si="173"/>
        <v>74.95</v>
      </c>
      <c r="AH160" s="54"/>
      <c r="AI160" s="54">
        <f>AN160-(AN160/1.18)</f>
        <v>228.66101694915255</v>
      </c>
      <c r="AJ160" s="54">
        <f t="shared" si="57"/>
        <v>39.077883</v>
      </c>
      <c r="AK160" s="54">
        <f t="shared" si="58"/>
        <v>23.446729799999996</v>
      </c>
      <c r="AL160" s="55">
        <f t="shared" si="174"/>
        <v>-69.697629749152497</v>
      </c>
      <c r="AM160" s="62">
        <f t="shared" si="171"/>
        <v>-4.6496083888694126E-2</v>
      </c>
      <c r="AN160" s="71">
        <v>1499</v>
      </c>
      <c r="AO160" s="71"/>
      <c r="AP160" s="71"/>
      <c r="AQ160" s="71"/>
      <c r="AR160" s="71">
        <v>3099</v>
      </c>
      <c r="AS160" s="45"/>
      <c r="AT160" s="45"/>
      <c r="AU160" s="45"/>
      <c r="AV160" s="57">
        <f t="shared" si="17"/>
        <v>608.00198305084746</v>
      </c>
      <c r="AW160" s="58">
        <f t="shared" si="18"/>
        <v>0.4056050587397248</v>
      </c>
      <c r="AX160" s="71">
        <v>8904422505834</v>
      </c>
      <c r="AY160" s="59">
        <f t="shared" si="19"/>
        <v>101.898</v>
      </c>
      <c r="AZ160" s="60">
        <f t="shared" si="20"/>
        <v>190.10866069689601</v>
      </c>
      <c r="BA160" s="60"/>
      <c r="BB160" s="60"/>
      <c r="BC160" s="60"/>
    </row>
    <row r="161" spans="1:55" ht="14.25" customHeight="1">
      <c r="A161" s="43"/>
      <c r="B161" s="43"/>
      <c r="C161" s="43"/>
      <c r="D161" s="44"/>
      <c r="E161" s="44"/>
      <c r="F161" s="45" t="s">
        <v>839</v>
      </c>
      <c r="G161" s="96" t="s">
        <v>840</v>
      </c>
      <c r="H161" s="71" t="s">
        <v>841</v>
      </c>
      <c r="I161" s="71" t="s">
        <v>800</v>
      </c>
      <c r="J161" s="71"/>
      <c r="K161" s="71"/>
      <c r="L161" s="71" t="s">
        <v>747</v>
      </c>
      <c r="M161" s="70" t="s">
        <v>842</v>
      </c>
      <c r="N161" s="45">
        <v>90191020</v>
      </c>
      <c r="O161" s="71"/>
      <c r="P161" s="71"/>
      <c r="Q161" s="71"/>
      <c r="R161" s="71"/>
      <c r="S161" s="71"/>
      <c r="T161" s="71"/>
      <c r="U161" s="49">
        <v>3.61</v>
      </c>
      <c r="V161" s="49"/>
      <c r="W161" s="50">
        <f t="shared" si="189"/>
        <v>7.22E-2</v>
      </c>
      <c r="X161" s="50">
        <f t="shared" si="190"/>
        <v>0.40504200000000007</v>
      </c>
      <c r="Y161" s="51">
        <f t="shared" si="162"/>
        <v>367.85177999999996</v>
      </c>
      <c r="Z161" s="51">
        <f t="shared" si="191"/>
        <v>434.06510039999995</v>
      </c>
      <c r="AA161" s="52">
        <f>AN161*11%</f>
        <v>102.19</v>
      </c>
      <c r="AB161" s="52">
        <v>26</v>
      </c>
      <c r="AC161" s="52">
        <v>77</v>
      </c>
      <c r="AD161" s="52">
        <f t="shared" si="7"/>
        <v>205.19</v>
      </c>
      <c r="AE161" s="53">
        <f t="shared" si="192"/>
        <v>185.8</v>
      </c>
      <c r="AF161" s="53">
        <f t="shared" ref="AF161:AF183" si="193">AN161*$B$70</f>
        <v>18.580000000000002</v>
      </c>
      <c r="AG161" s="53">
        <f t="shared" si="173"/>
        <v>46.45</v>
      </c>
      <c r="AH161" s="54">
        <f t="shared" ref="AH161:AH168" si="194">AN161*$B$74</f>
        <v>18.580000000000002</v>
      </c>
      <c r="AI161" s="54">
        <f t="shared" ref="AI161:AI162" si="195">AN161-(AN161/1.05)</f>
        <v>44.238095238095298</v>
      </c>
      <c r="AJ161" s="54">
        <f t="shared" si="57"/>
        <v>21.70325502</v>
      </c>
      <c r="AK161" s="54">
        <f t="shared" si="58"/>
        <v>13.021953011999997</v>
      </c>
      <c r="AL161" s="55">
        <f t="shared" si="174"/>
        <v>7.5849167299047267</v>
      </c>
      <c r="AM161" s="62">
        <f t="shared" si="171"/>
        <v>8.164603584396907E-3</v>
      </c>
      <c r="AN161" s="71">
        <v>929</v>
      </c>
      <c r="AO161" s="71"/>
      <c r="AP161" s="71"/>
      <c r="AQ161" s="71"/>
      <c r="AR161" s="71">
        <v>1999</v>
      </c>
      <c r="AS161" s="45"/>
      <c r="AT161" s="45"/>
      <c r="AU161" s="45"/>
      <c r="AV161" s="57">
        <f t="shared" si="17"/>
        <v>516.91012476190474</v>
      </c>
      <c r="AW161" s="58">
        <f t="shared" si="18"/>
        <v>0.55641563483520429</v>
      </c>
      <c r="AX161" s="71">
        <v>8904422505841</v>
      </c>
      <c r="AY161" s="59">
        <f t="shared" si="19"/>
        <v>101.898</v>
      </c>
      <c r="AZ161" s="60">
        <f t="shared" si="20"/>
        <v>212.13979173894441</v>
      </c>
      <c r="BA161" s="60"/>
      <c r="BB161" s="60"/>
      <c r="BC161" s="60"/>
    </row>
    <row r="162" spans="1:55" ht="14.25" customHeight="1">
      <c r="A162" s="43"/>
      <c r="B162" s="43"/>
      <c r="C162" s="43"/>
      <c r="D162" s="44"/>
      <c r="E162" s="44"/>
      <c r="F162" s="45" t="s">
        <v>843</v>
      </c>
      <c r="G162" s="96" t="s">
        <v>844</v>
      </c>
      <c r="H162" s="71" t="s">
        <v>845</v>
      </c>
      <c r="I162" s="71" t="s">
        <v>800</v>
      </c>
      <c r="J162" s="71"/>
      <c r="K162" s="71"/>
      <c r="L162" s="71" t="s">
        <v>747</v>
      </c>
      <c r="M162" s="70" t="s">
        <v>846</v>
      </c>
      <c r="N162" s="45">
        <v>90191020</v>
      </c>
      <c r="O162" s="71"/>
      <c r="P162" s="71"/>
      <c r="Q162" s="71"/>
      <c r="R162" s="71"/>
      <c r="S162" s="71"/>
      <c r="T162" s="71"/>
      <c r="U162" s="49">
        <v>8.15</v>
      </c>
      <c r="V162" s="49"/>
      <c r="W162" s="50">
        <f t="shared" si="189"/>
        <v>0.16300000000000001</v>
      </c>
      <c r="X162" s="50">
        <f t="shared" si="190"/>
        <v>0.91443000000000019</v>
      </c>
      <c r="Y162" s="51">
        <f t="shared" si="162"/>
        <v>830.46870000000001</v>
      </c>
      <c r="Z162" s="51">
        <f t="shared" si="191"/>
        <v>979.95306599999992</v>
      </c>
      <c r="AA162" s="52">
        <f>AN162*7.5%</f>
        <v>147.67499999999998</v>
      </c>
      <c r="AB162" s="52">
        <v>51</v>
      </c>
      <c r="AC162" s="52">
        <v>115</v>
      </c>
      <c r="AD162" s="52">
        <f t="shared" si="7"/>
        <v>313.67499999999995</v>
      </c>
      <c r="AE162" s="53">
        <f t="shared" si="192"/>
        <v>393.8</v>
      </c>
      <c r="AF162" s="53">
        <f t="shared" si="193"/>
        <v>39.380000000000003</v>
      </c>
      <c r="AG162" s="53">
        <f t="shared" si="173"/>
        <v>98.45</v>
      </c>
      <c r="AH162" s="54">
        <f t="shared" si="194"/>
        <v>39.380000000000003</v>
      </c>
      <c r="AI162" s="54">
        <f t="shared" si="195"/>
        <v>93.761904761904816</v>
      </c>
      <c r="AJ162" s="54">
        <f t="shared" si="57"/>
        <v>48.997653299999996</v>
      </c>
      <c r="AK162" s="54">
        <f t="shared" si="58"/>
        <v>29.398591979999996</v>
      </c>
      <c r="AL162" s="55">
        <f t="shared" si="174"/>
        <v>81.688149958095352</v>
      </c>
      <c r="AM162" s="62">
        <f t="shared" si="171"/>
        <v>4.1487125423105814E-2</v>
      </c>
      <c r="AN162" s="71">
        <v>1969</v>
      </c>
      <c r="AO162" s="71"/>
      <c r="AP162" s="71"/>
      <c r="AQ162" s="71"/>
      <c r="AR162" s="71">
        <v>3999</v>
      </c>
      <c r="AS162" s="45"/>
      <c r="AT162" s="45"/>
      <c r="AU162" s="45"/>
      <c r="AV162" s="57">
        <f t="shared" si="17"/>
        <v>1044.7693952380951</v>
      </c>
      <c r="AW162" s="58">
        <f t="shared" si="18"/>
        <v>0.53060913927785425</v>
      </c>
      <c r="AX162" s="71">
        <v>8904422505858</v>
      </c>
      <c r="AY162" s="59">
        <f t="shared" si="19"/>
        <v>101.898</v>
      </c>
      <c r="AZ162" s="60">
        <f t="shared" si="20"/>
        <v>199.15982384405334</v>
      </c>
      <c r="BA162" s="60"/>
      <c r="BB162" s="60"/>
      <c r="BC162" s="60"/>
    </row>
    <row r="163" spans="1:55" ht="14.25" customHeight="1">
      <c r="A163" s="43"/>
      <c r="B163" s="43"/>
      <c r="C163" s="43"/>
      <c r="D163" s="44"/>
      <c r="E163" s="44"/>
      <c r="F163" s="45" t="s">
        <v>847</v>
      </c>
      <c r="G163" s="96" t="s">
        <v>848</v>
      </c>
      <c r="H163" s="71" t="s">
        <v>849</v>
      </c>
      <c r="I163" s="71" t="s">
        <v>800</v>
      </c>
      <c r="J163" s="71"/>
      <c r="K163" s="71"/>
      <c r="L163" s="71" t="s">
        <v>747</v>
      </c>
      <c r="M163" s="70" t="s">
        <v>850</v>
      </c>
      <c r="N163" s="45">
        <v>90191020</v>
      </c>
      <c r="O163" s="71"/>
      <c r="P163" s="71"/>
      <c r="Q163" s="71"/>
      <c r="R163" s="71"/>
      <c r="S163" s="71"/>
      <c r="T163" s="71"/>
      <c r="U163" s="49">
        <v>51.8</v>
      </c>
      <c r="V163" s="49"/>
      <c r="W163" s="50">
        <f t="shared" si="189"/>
        <v>1.036</v>
      </c>
      <c r="X163" s="50">
        <f t="shared" si="190"/>
        <v>5.8119600000000009</v>
      </c>
      <c r="Y163" s="51">
        <f t="shared" si="162"/>
        <v>5278.3163999999997</v>
      </c>
      <c r="Z163" s="51">
        <f t="shared" si="191"/>
        <v>6228.4133519999996</v>
      </c>
      <c r="AA163" s="52">
        <f>AN163*6%</f>
        <v>599.93999999999994</v>
      </c>
      <c r="AB163" s="52">
        <v>51</v>
      </c>
      <c r="AC163" s="52">
        <v>228</v>
      </c>
      <c r="AD163" s="52">
        <f t="shared" si="7"/>
        <v>878.93999999999994</v>
      </c>
      <c r="AE163" s="53">
        <f t="shared" si="192"/>
        <v>1999.8000000000002</v>
      </c>
      <c r="AF163" s="53">
        <f t="shared" si="193"/>
        <v>199.98000000000002</v>
      </c>
      <c r="AG163" s="53">
        <f t="shared" si="173"/>
        <v>499.95000000000005</v>
      </c>
      <c r="AH163" s="54">
        <f t="shared" si="194"/>
        <v>199.98000000000002</v>
      </c>
      <c r="AI163" s="54">
        <f>AN163-(AN163/1.18)</f>
        <v>1525.2711864406774</v>
      </c>
      <c r="AJ163" s="54">
        <f t="shared" si="57"/>
        <v>311.4206676</v>
      </c>
      <c r="AK163" s="54">
        <f t="shared" si="58"/>
        <v>186.85240055999998</v>
      </c>
      <c r="AL163" s="55">
        <f t="shared" si="174"/>
        <v>-1081.5106546006773</v>
      </c>
      <c r="AM163" s="62">
        <f t="shared" si="171"/>
        <v>-0.10816188164823255</v>
      </c>
      <c r="AN163" s="71">
        <v>9999</v>
      </c>
      <c r="AO163" s="71">
        <v>180</v>
      </c>
      <c r="AP163" s="71"/>
      <c r="AQ163" s="71"/>
      <c r="AR163" s="71">
        <v>19999</v>
      </c>
      <c r="AS163" s="45"/>
      <c r="AT163" s="45"/>
      <c r="AU163" s="45"/>
      <c r="AV163" s="57">
        <f t="shared" si="17"/>
        <v>3195.4124135593229</v>
      </c>
      <c r="AW163" s="58">
        <f t="shared" si="18"/>
        <v>0.31957319867579986</v>
      </c>
      <c r="AX163" s="71">
        <v>8904422505865</v>
      </c>
      <c r="AY163" s="59">
        <f t="shared" si="19"/>
        <v>101.898</v>
      </c>
      <c r="AZ163" s="60">
        <f t="shared" si="20"/>
        <v>159.12573941190794</v>
      </c>
      <c r="BA163" s="60"/>
      <c r="BB163" s="60"/>
      <c r="BC163" s="60"/>
    </row>
    <row r="164" spans="1:55" ht="14.25" customHeight="1">
      <c r="A164" s="43"/>
      <c r="B164" s="43"/>
      <c r="C164" s="43"/>
      <c r="D164" s="44"/>
      <c r="E164" s="44"/>
      <c r="F164" s="45" t="s">
        <v>851</v>
      </c>
      <c r="G164" s="96" t="s">
        <v>852</v>
      </c>
      <c r="H164" s="71" t="s">
        <v>853</v>
      </c>
      <c r="I164" s="71" t="s">
        <v>800</v>
      </c>
      <c r="J164" s="71"/>
      <c r="K164" s="71"/>
      <c r="L164" s="71" t="s">
        <v>747</v>
      </c>
      <c r="M164" s="70" t="s">
        <v>854</v>
      </c>
      <c r="N164" s="45">
        <v>90191020</v>
      </c>
      <c r="O164" s="71"/>
      <c r="P164" s="71"/>
      <c r="Q164" s="71"/>
      <c r="R164" s="71"/>
      <c r="S164" s="71"/>
      <c r="T164" s="71"/>
      <c r="U164" s="49">
        <v>27</v>
      </c>
      <c r="V164" s="49"/>
      <c r="W164" s="50">
        <f t="shared" si="189"/>
        <v>0.54</v>
      </c>
      <c r="X164" s="50">
        <f t="shared" si="190"/>
        <v>3.0294000000000003</v>
      </c>
      <c r="Y164" s="51">
        <f t="shared" si="162"/>
        <v>2751.2459999999996</v>
      </c>
      <c r="Z164" s="51">
        <f t="shared" si="191"/>
        <v>3246.4702799999995</v>
      </c>
      <c r="AA164" s="52">
        <f>AN164*7.5%</f>
        <v>449.92500000000001</v>
      </c>
      <c r="AB164" s="52">
        <v>51</v>
      </c>
      <c r="AC164" s="52">
        <v>148</v>
      </c>
      <c r="AD164" s="52">
        <f t="shared" si="7"/>
        <v>648.92499999999995</v>
      </c>
      <c r="AE164" s="53">
        <f t="shared" si="192"/>
        <v>1199.8</v>
      </c>
      <c r="AF164" s="53">
        <f t="shared" si="193"/>
        <v>119.98</v>
      </c>
      <c r="AG164" s="53">
        <f t="shared" si="173"/>
        <v>299.95</v>
      </c>
      <c r="AH164" s="54">
        <f t="shared" si="194"/>
        <v>119.98</v>
      </c>
      <c r="AI164" s="54">
        <f t="shared" ref="AI164:AI165" si="196">AN164-(AN164/1.05)</f>
        <v>285.66666666666697</v>
      </c>
      <c r="AJ164" s="54">
        <f t="shared" si="57"/>
        <v>162.32351399999999</v>
      </c>
      <c r="AK164" s="54">
        <f t="shared" si="58"/>
        <v>97.394108399999979</v>
      </c>
      <c r="AL164" s="55">
        <f t="shared" si="174"/>
        <v>313.73471093333376</v>
      </c>
      <c r="AM164" s="62">
        <f t="shared" si="171"/>
        <v>5.2297834794688074E-2</v>
      </c>
      <c r="AN164" s="71">
        <v>5999</v>
      </c>
      <c r="AO164" s="71">
        <v>180</v>
      </c>
      <c r="AP164" s="71"/>
      <c r="AQ164" s="71"/>
      <c r="AR164" s="71">
        <v>11999</v>
      </c>
      <c r="AS164" s="45"/>
      <c r="AT164" s="45"/>
      <c r="AU164" s="45"/>
      <c r="AV164" s="57">
        <f t="shared" si="17"/>
        <v>2962.0873333333334</v>
      </c>
      <c r="AW164" s="58">
        <f t="shared" si="18"/>
        <v>0.49376351614157915</v>
      </c>
      <c r="AX164" s="71">
        <v>8904422505872</v>
      </c>
      <c r="AY164" s="59">
        <f t="shared" si="19"/>
        <v>101.89799999999998</v>
      </c>
      <c r="AZ164" s="60">
        <f t="shared" si="20"/>
        <v>183.15919405244026</v>
      </c>
      <c r="BA164" s="60"/>
      <c r="BB164" s="60"/>
      <c r="BC164" s="60"/>
    </row>
    <row r="165" spans="1:55" ht="14.25" customHeight="1">
      <c r="A165" s="43"/>
      <c r="B165" s="43"/>
      <c r="C165" s="43"/>
      <c r="D165" s="44"/>
      <c r="E165" s="44"/>
      <c r="F165" s="45" t="s">
        <v>855</v>
      </c>
      <c r="G165" s="96" t="s">
        <v>856</v>
      </c>
      <c r="H165" s="71" t="s">
        <v>857</v>
      </c>
      <c r="I165" s="71" t="s">
        <v>800</v>
      </c>
      <c r="J165" s="71"/>
      <c r="K165" s="71"/>
      <c r="L165" s="71" t="s">
        <v>747</v>
      </c>
      <c r="M165" s="70" t="s">
        <v>858</v>
      </c>
      <c r="N165" s="45">
        <v>90191020</v>
      </c>
      <c r="O165" s="71"/>
      <c r="P165" s="71"/>
      <c r="Q165" s="71"/>
      <c r="R165" s="71"/>
      <c r="S165" s="71"/>
      <c r="T165" s="71"/>
      <c r="U165" s="49">
        <v>8</v>
      </c>
      <c r="V165" s="49"/>
      <c r="W165" s="50">
        <f t="shared" si="189"/>
        <v>0.16</v>
      </c>
      <c r="X165" s="50">
        <f t="shared" si="190"/>
        <v>0.89760000000000018</v>
      </c>
      <c r="Y165" s="51">
        <f t="shared" si="162"/>
        <v>815.18400000000008</v>
      </c>
      <c r="Z165" s="51">
        <f t="shared" si="191"/>
        <v>961.91712000000007</v>
      </c>
      <c r="AA165" s="52">
        <f>AN165*14.5%</f>
        <v>250.55999999999997</v>
      </c>
      <c r="AB165" s="52">
        <v>51</v>
      </c>
      <c r="AC165" s="52">
        <v>115</v>
      </c>
      <c r="AD165" s="52">
        <f t="shared" si="7"/>
        <v>416.55999999999995</v>
      </c>
      <c r="AE165" s="53">
        <f t="shared" si="192"/>
        <v>345.6</v>
      </c>
      <c r="AF165" s="53">
        <f t="shared" si="193"/>
        <v>34.56</v>
      </c>
      <c r="AG165" s="53">
        <f t="shared" si="173"/>
        <v>86.4</v>
      </c>
      <c r="AH165" s="54">
        <f t="shared" si="194"/>
        <v>34.56</v>
      </c>
      <c r="AI165" s="54">
        <f t="shared" si="196"/>
        <v>82.285714285714448</v>
      </c>
      <c r="AJ165" s="54">
        <f t="shared" si="57"/>
        <v>48.095856000000005</v>
      </c>
      <c r="AK165" s="54">
        <f t="shared" si="58"/>
        <v>28.857513600000001</v>
      </c>
      <c r="AL165" s="55">
        <f t="shared" si="174"/>
        <v>-164.10308388571451</v>
      </c>
      <c r="AM165" s="62">
        <f t="shared" si="171"/>
        <v>-9.4967062433862562E-2</v>
      </c>
      <c r="AN165" s="71">
        <v>1728</v>
      </c>
      <c r="AO165" s="71"/>
      <c r="AP165" s="71">
        <v>1859</v>
      </c>
      <c r="AQ165" s="71"/>
      <c r="AR165" s="71">
        <v>3999</v>
      </c>
      <c r="AS165" s="45"/>
      <c r="AT165" s="45"/>
      <c r="AU165" s="45"/>
      <c r="AV165" s="57">
        <f t="shared" si="17"/>
        <v>830.53028571428547</v>
      </c>
      <c r="AW165" s="58">
        <f t="shared" si="18"/>
        <v>0.48063095238095221</v>
      </c>
      <c r="AX165" s="71">
        <v>8904422505889</v>
      </c>
      <c r="AY165" s="59">
        <f t="shared" si="19"/>
        <v>101.89800000000001</v>
      </c>
      <c r="AZ165" s="60">
        <f t="shared" si="20"/>
        <v>178.06041335453097</v>
      </c>
      <c r="BA165" s="60"/>
      <c r="BB165" s="60"/>
      <c r="BC165" s="60"/>
    </row>
    <row r="166" spans="1:55" ht="14.25" customHeight="1">
      <c r="A166" s="117"/>
      <c r="B166" s="117"/>
      <c r="C166" s="117"/>
      <c r="D166" s="69"/>
      <c r="E166" s="69"/>
      <c r="F166" s="47" t="s">
        <v>859</v>
      </c>
      <c r="G166" s="118" t="s">
        <v>860</v>
      </c>
      <c r="H166" s="47" t="s">
        <v>861</v>
      </c>
      <c r="I166" s="47" t="s">
        <v>234</v>
      </c>
      <c r="J166" s="47"/>
      <c r="K166" s="47" t="s">
        <v>243</v>
      </c>
      <c r="L166" s="47" t="s">
        <v>237</v>
      </c>
      <c r="M166" s="47" t="s">
        <v>862</v>
      </c>
      <c r="N166" s="47">
        <v>84213920</v>
      </c>
      <c r="O166" s="119">
        <v>0.3</v>
      </c>
      <c r="P166" s="118">
        <v>21.6</v>
      </c>
      <c r="Q166" s="118">
        <v>16.600000000000001</v>
      </c>
      <c r="R166" s="118">
        <v>13.9</v>
      </c>
      <c r="S166" s="119">
        <f>(P166*Q166*R166)/1000000</f>
        <v>4.9839840000000012E-3</v>
      </c>
      <c r="T166" s="119">
        <f>(P166*Q166*R166)/5000</f>
        <v>0.99679680000000026</v>
      </c>
      <c r="U166" s="120">
        <v>17.5</v>
      </c>
      <c r="V166" s="120"/>
      <c r="W166" s="121">
        <f t="shared" si="189"/>
        <v>0.35000000000000003</v>
      </c>
      <c r="X166" s="121">
        <f t="shared" si="190"/>
        <v>1.9635000000000005</v>
      </c>
      <c r="Y166" s="122">
        <f t="shared" si="162"/>
        <v>1783.2150000000001</v>
      </c>
      <c r="Z166" s="122">
        <f t="shared" si="191"/>
        <v>2104.1937000000003</v>
      </c>
      <c r="AA166" s="123">
        <f>AN166*7.5%</f>
        <v>299.92500000000001</v>
      </c>
      <c r="AB166" s="123">
        <v>50</v>
      </c>
      <c r="AC166" s="123">
        <v>143</v>
      </c>
      <c r="AD166" s="123">
        <f t="shared" si="7"/>
        <v>492.92500000000001</v>
      </c>
      <c r="AE166" s="53">
        <f>AN166*B$66</f>
        <v>599.85</v>
      </c>
      <c r="AF166" s="123">
        <f t="shared" si="193"/>
        <v>79.98</v>
      </c>
      <c r="AG166" s="123">
        <f t="shared" si="173"/>
        <v>199.95000000000002</v>
      </c>
      <c r="AH166" s="123">
        <f t="shared" si="194"/>
        <v>79.98</v>
      </c>
      <c r="AI166" s="123">
        <f t="shared" ref="AI166:AI177" si="197">AN166-(AN166/1.18)</f>
        <v>610.01694915254211</v>
      </c>
      <c r="AJ166" s="123">
        <f t="shared" si="57"/>
        <v>105.20968500000002</v>
      </c>
      <c r="AK166" s="123">
        <f t="shared" si="58"/>
        <v>63.125811000000006</v>
      </c>
      <c r="AL166" s="123">
        <f t="shared" si="174"/>
        <v>-15.252445152542435</v>
      </c>
      <c r="AM166" s="124">
        <f t="shared" si="171"/>
        <v>-3.814064804336693E-3</v>
      </c>
      <c r="AN166" s="125">
        <v>3999</v>
      </c>
      <c r="AO166" s="125"/>
      <c r="AP166" s="125">
        <v>3599</v>
      </c>
      <c r="AQ166" s="125"/>
      <c r="AR166" s="125">
        <v>7999</v>
      </c>
      <c r="AS166" s="47"/>
      <c r="AT166" s="47"/>
      <c r="AU166" s="47"/>
      <c r="AV166" s="126">
        <f t="shared" si="17"/>
        <v>1605.7680508474577</v>
      </c>
      <c r="AW166" s="127">
        <f t="shared" si="18"/>
        <v>0.40154239831144228</v>
      </c>
      <c r="AX166" s="128">
        <v>8904422505896</v>
      </c>
      <c r="AY166" s="129">
        <f t="shared" si="19"/>
        <v>101.89800000000001</v>
      </c>
      <c r="AZ166" s="130">
        <f t="shared" si="20"/>
        <v>188.37661190602367</v>
      </c>
      <c r="BA166" s="130"/>
      <c r="BB166" s="130"/>
      <c r="BC166" s="130"/>
    </row>
    <row r="167" spans="1:55" ht="14.25" customHeight="1">
      <c r="A167" s="43"/>
      <c r="B167" s="43"/>
      <c r="C167" s="43"/>
      <c r="D167" s="44"/>
      <c r="E167" s="44"/>
      <c r="F167" s="45" t="s">
        <v>863</v>
      </c>
      <c r="G167" s="45" t="s">
        <v>864</v>
      </c>
      <c r="H167" s="45" t="s">
        <v>865</v>
      </c>
      <c r="I167" s="45" t="s">
        <v>314</v>
      </c>
      <c r="J167" s="45"/>
      <c r="K167" s="45"/>
      <c r="L167" s="45" t="s">
        <v>635</v>
      </c>
      <c r="M167" s="45" t="s">
        <v>866</v>
      </c>
      <c r="N167" s="45">
        <v>85101000</v>
      </c>
      <c r="O167" s="45"/>
      <c r="P167" s="45"/>
      <c r="Q167" s="45"/>
      <c r="R167" s="45"/>
      <c r="S167" s="45"/>
      <c r="T167" s="131"/>
      <c r="U167" s="132">
        <v>9</v>
      </c>
      <c r="V167" s="132"/>
      <c r="W167" s="133">
        <f t="shared" si="189"/>
        <v>0.18</v>
      </c>
      <c r="X167" s="133">
        <f>(U167+W167)*(B$31+(B$31*B$45))</f>
        <v>2.0196000000000001</v>
      </c>
      <c r="Y167" s="134">
        <f t="shared" si="162"/>
        <v>1007.9640000000001</v>
      </c>
      <c r="Z167" s="134">
        <f t="shared" si="191"/>
        <v>1189.39752</v>
      </c>
      <c r="AA167" s="135">
        <f>AN167*9.5%</f>
        <v>246.905</v>
      </c>
      <c r="AB167" s="135">
        <v>51</v>
      </c>
      <c r="AC167" s="135">
        <v>77</v>
      </c>
      <c r="AD167" s="135">
        <f t="shared" si="7"/>
        <v>374.90499999999997</v>
      </c>
      <c r="AE167" s="53">
        <f>AN167*B$72</f>
        <v>519.80000000000007</v>
      </c>
      <c r="AF167" s="136">
        <f t="shared" si="193"/>
        <v>51.980000000000004</v>
      </c>
      <c r="AG167" s="136">
        <f t="shared" si="173"/>
        <v>129.95000000000002</v>
      </c>
      <c r="AH167" s="57">
        <f t="shared" si="194"/>
        <v>51.980000000000004</v>
      </c>
      <c r="AI167" s="57">
        <f t="shared" si="197"/>
        <v>396.45762711864381</v>
      </c>
      <c r="AJ167" s="57">
        <f t="shared" si="57"/>
        <v>59.469875999999999</v>
      </c>
      <c r="AK167" s="57">
        <f t="shared" ref="AK167:AK169" si="198">Z167*3%</f>
        <v>35.6819256</v>
      </c>
      <c r="AL167" s="137">
        <f t="shared" si="174"/>
        <v>-29.188428718643848</v>
      </c>
      <c r="AM167" s="138">
        <f t="shared" si="171"/>
        <v>-1.1230638214176164E-2</v>
      </c>
      <c r="AN167" s="45">
        <v>2599</v>
      </c>
      <c r="AO167" s="45"/>
      <c r="AP167" s="45">
        <v>2579</v>
      </c>
      <c r="AQ167" s="45"/>
      <c r="AR167" s="45">
        <v>3499</v>
      </c>
      <c r="AS167" s="57"/>
      <c r="AT167" s="57"/>
      <c r="AU167" s="57"/>
      <c r="AV167" s="57">
        <f t="shared" si="17"/>
        <v>1194.5783728813562</v>
      </c>
      <c r="AW167" s="58">
        <f t="shared" si="18"/>
        <v>0.45963000110864033</v>
      </c>
      <c r="AX167" s="45">
        <v>8904422505919</v>
      </c>
      <c r="AY167" s="59">
        <f t="shared" si="19"/>
        <v>111.99600000000001</v>
      </c>
      <c r="AZ167" s="139">
        <f t="shared" si="20"/>
        <v>216.59106872864507</v>
      </c>
      <c r="BA167" s="139"/>
      <c r="BB167" s="139"/>
      <c r="BC167" s="139"/>
    </row>
    <row r="168" spans="1:55" ht="14.25" customHeight="1">
      <c r="A168" s="140"/>
      <c r="B168" s="140"/>
      <c r="C168" s="140"/>
      <c r="D168" s="140"/>
      <c r="E168" s="140"/>
      <c r="F168" s="141" t="s">
        <v>867</v>
      </c>
      <c r="G168" s="141"/>
      <c r="H168" s="141" t="s">
        <v>868</v>
      </c>
      <c r="I168" s="142" t="s">
        <v>234</v>
      </c>
      <c r="J168" s="143" t="s">
        <v>249</v>
      </c>
      <c r="K168" s="141"/>
      <c r="L168" s="141"/>
      <c r="M168" s="141" t="s">
        <v>869</v>
      </c>
      <c r="N168" s="141">
        <v>85086000</v>
      </c>
      <c r="O168" s="141"/>
      <c r="P168" s="141"/>
      <c r="Q168" s="141"/>
      <c r="R168" s="141"/>
      <c r="S168" s="141"/>
      <c r="T168" s="144"/>
      <c r="U168" s="145">
        <v>13.8</v>
      </c>
      <c r="V168" s="145"/>
      <c r="W168" s="146">
        <f t="shared" si="189"/>
        <v>0.27600000000000002</v>
      </c>
      <c r="X168" s="146">
        <f>(U168+W168)*(B$42+(B$42*B$45))</f>
        <v>1.5483600000000002</v>
      </c>
      <c r="Y168" s="147">
        <f t="shared" si="162"/>
        <v>1406.1924000000001</v>
      </c>
      <c r="Z168" s="147">
        <f t="shared" si="191"/>
        <v>1659.3070320000002</v>
      </c>
      <c r="AA168" s="148">
        <f>AN168*6.5%</f>
        <v>259.935</v>
      </c>
      <c r="AB168" s="148">
        <v>50</v>
      </c>
      <c r="AC168" s="148">
        <v>135</v>
      </c>
      <c r="AD168" s="148">
        <f t="shared" si="7"/>
        <v>444.935</v>
      </c>
      <c r="AE168" s="53">
        <f>AN168*B$66</f>
        <v>599.85</v>
      </c>
      <c r="AF168" s="53">
        <f t="shared" si="193"/>
        <v>79.98</v>
      </c>
      <c r="AG168" s="149">
        <f t="shared" si="173"/>
        <v>199.95000000000002</v>
      </c>
      <c r="AH168" s="150">
        <f t="shared" si="194"/>
        <v>79.98</v>
      </c>
      <c r="AI168" s="150">
        <f t="shared" si="197"/>
        <v>610.01694915254211</v>
      </c>
      <c r="AJ168" s="150">
        <f t="shared" si="57"/>
        <v>82.96535160000002</v>
      </c>
      <c r="AK168" s="150">
        <f t="shared" si="198"/>
        <v>49.77921096</v>
      </c>
      <c r="AL168" s="151">
        <f>SUM(AN168-AI168)-Y168-AD168-AE168-AG168-AJ168-AK168-AF168-AH168</f>
        <v>445.35108828745774</v>
      </c>
      <c r="AM168" s="152">
        <f>AL168/SUM(AN168-AI168)</f>
        <v>0.1314114239007752</v>
      </c>
      <c r="AN168" s="141">
        <v>3999</v>
      </c>
      <c r="AO168" s="141"/>
      <c r="AP168" s="141"/>
      <c r="AQ168" s="141"/>
      <c r="AR168" s="141">
        <v>3699</v>
      </c>
      <c r="AS168" s="150"/>
      <c r="AT168" s="150"/>
      <c r="AU168" s="150"/>
      <c r="AV168" s="150">
        <f t="shared" si="17"/>
        <v>1982.7906508474578</v>
      </c>
      <c r="AW168" s="153">
        <f t="shared" si="18"/>
        <v>0.49582161811639353</v>
      </c>
      <c r="AX168" s="141">
        <v>8904422505391</v>
      </c>
      <c r="AY168" s="154">
        <f t="shared" si="19"/>
        <v>101.89800000000001</v>
      </c>
      <c r="AZ168" s="155">
        <f t="shared" si="20"/>
        <v>238.88338466343581</v>
      </c>
      <c r="BA168" s="155"/>
      <c r="BB168" s="155"/>
      <c r="BC168" s="155"/>
    </row>
    <row r="169" spans="1:55" ht="14.25" customHeight="1">
      <c r="A169" s="43"/>
      <c r="B169" s="43"/>
      <c r="C169" s="43"/>
      <c r="D169" s="69"/>
      <c r="E169" s="69"/>
      <c r="F169" s="70" t="s">
        <v>870</v>
      </c>
      <c r="G169" s="96" t="s">
        <v>871</v>
      </c>
      <c r="H169" s="71" t="s">
        <v>872</v>
      </c>
      <c r="I169" s="71" t="s">
        <v>795</v>
      </c>
      <c r="J169" s="71"/>
      <c r="K169" s="71"/>
      <c r="L169" s="71" t="s">
        <v>332</v>
      </c>
      <c r="M169" s="71" t="s">
        <v>873</v>
      </c>
      <c r="N169" s="45">
        <v>85098000</v>
      </c>
      <c r="O169" s="48"/>
      <c r="P169" s="46"/>
      <c r="Q169" s="46"/>
      <c r="R169" s="46"/>
      <c r="S169" s="48"/>
      <c r="T169" s="48"/>
      <c r="U169" s="49">
        <v>3.09</v>
      </c>
      <c r="V169" s="49"/>
      <c r="W169" s="50">
        <f t="shared" si="189"/>
        <v>6.1800000000000001E-2</v>
      </c>
      <c r="X169" s="50">
        <f t="shared" ref="X169:X174" si="199">(U169+W169)*(B$31+(B$31*B$45))</f>
        <v>0.69339600000000001</v>
      </c>
      <c r="Y169" s="51">
        <f t="shared" si="162"/>
        <v>346.06763999999998</v>
      </c>
      <c r="Z169" s="51">
        <f t="shared" si="191"/>
        <v>408.35981519999996</v>
      </c>
      <c r="AA169" s="52">
        <f>AN169*7.5%</f>
        <v>55.424999999999997</v>
      </c>
      <c r="AB169" s="52">
        <v>26</v>
      </c>
      <c r="AC169" s="52">
        <v>42</v>
      </c>
      <c r="AD169" s="52">
        <f t="shared" si="7"/>
        <v>123.425</v>
      </c>
      <c r="AE169" s="53">
        <f>AN169*B$72</f>
        <v>147.80000000000001</v>
      </c>
      <c r="AF169" s="53">
        <f t="shared" si="193"/>
        <v>14.780000000000001</v>
      </c>
      <c r="AG169" s="149">
        <v>0</v>
      </c>
      <c r="AH169" s="54"/>
      <c r="AI169" s="54">
        <f t="shared" si="197"/>
        <v>112.72881355932202</v>
      </c>
      <c r="AJ169" s="57">
        <f t="shared" si="57"/>
        <v>20.417990759999999</v>
      </c>
      <c r="AK169" s="57">
        <f t="shared" si="198"/>
        <v>12.250794455999998</v>
      </c>
      <c r="AL169" s="55">
        <f t="shared" ref="AL169:AL176" si="200">AN169-Y169-AD169-AE169-AG169-AI169-AJ169-AK169-AF169-AH169</f>
        <v>-38.470238775322024</v>
      </c>
      <c r="AM169" s="62">
        <f t="shared" ref="AM169:AM176" si="201">AL169/AN169</f>
        <v>-5.2057156664847122E-2</v>
      </c>
      <c r="AN169" s="71">
        <v>739</v>
      </c>
      <c r="AO169" s="71"/>
      <c r="AP169" s="71">
        <v>649</v>
      </c>
      <c r="AQ169" s="71"/>
      <c r="AR169" s="71">
        <v>1499</v>
      </c>
      <c r="AS169" s="45"/>
      <c r="AT169" s="45"/>
      <c r="AU169" s="45"/>
      <c r="AV169" s="57">
        <f t="shared" si="17"/>
        <v>280.203546440678</v>
      </c>
      <c r="AW169" s="58">
        <f t="shared" si="18"/>
        <v>0.37916582738928012</v>
      </c>
      <c r="AX169" s="45">
        <v>8904422505933</v>
      </c>
      <c r="AY169" s="59">
        <f t="shared" si="19"/>
        <v>111.996</v>
      </c>
      <c r="AZ169" s="60">
        <f t="shared" si="20"/>
        <v>179.37533830091712</v>
      </c>
      <c r="BA169" s="60"/>
      <c r="BB169" s="60"/>
      <c r="BC169" s="60"/>
    </row>
    <row r="170" spans="1:55" ht="14.25" customHeight="1">
      <c r="A170" s="43"/>
      <c r="B170" s="43"/>
      <c r="C170" s="43"/>
      <c r="D170" s="69"/>
      <c r="E170" s="69"/>
      <c r="F170" s="70" t="s">
        <v>874</v>
      </c>
      <c r="G170" s="96" t="s">
        <v>875</v>
      </c>
      <c r="H170" s="71" t="s">
        <v>876</v>
      </c>
      <c r="I170" s="142" t="s">
        <v>234</v>
      </c>
      <c r="J170" s="71" t="s">
        <v>671</v>
      </c>
      <c r="K170" s="71"/>
      <c r="L170" s="71" t="s">
        <v>877</v>
      </c>
      <c r="M170" s="71" t="s">
        <v>878</v>
      </c>
      <c r="N170" s="45">
        <v>85167990</v>
      </c>
      <c r="O170" s="48"/>
      <c r="P170" s="46"/>
      <c r="Q170" s="46"/>
      <c r="R170" s="46"/>
      <c r="S170" s="48"/>
      <c r="T170" s="48"/>
      <c r="U170" s="49"/>
      <c r="V170" s="49"/>
      <c r="W170" s="50">
        <f t="shared" si="189"/>
        <v>0</v>
      </c>
      <c r="X170" s="50">
        <f t="shared" si="199"/>
        <v>0</v>
      </c>
      <c r="Y170" s="51">
        <v>275</v>
      </c>
      <c r="Z170" s="51">
        <f t="shared" si="191"/>
        <v>324.5</v>
      </c>
      <c r="AA170" s="52">
        <f>AN170*4.5%</f>
        <v>31.454999999999998</v>
      </c>
      <c r="AB170" s="52">
        <v>51</v>
      </c>
      <c r="AC170" s="52">
        <v>114</v>
      </c>
      <c r="AD170" s="52">
        <f t="shared" si="7"/>
        <v>196.45499999999998</v>
      </c>
      <c r="AE170" s="53">
        <f t="shared" ref="AE170:AE174" si="202">AN170*B$66</f>
        <v>104.85</v>
      </c>
      <c r="AF170" s="53">
        <f t="shared" si="193"/>
        <v>13.98</v>
      </c>
      <c r="AG170" s="149">
        <f t="shared" ref="AG170:AG183" si="203">AN170*B$67</f>
        <v>34.950000000000003</v>
      </c>
      <c r="AH170" s="54">
        <f t="shared" ref="AH170:AH183" si="204">AN170*$B$74</f>
        <v>13.98</v>
      </c>
      <c r="AI170" s="54">
        <f t="shared" si="197"/>
        <v>106.62711864406776</v>
      </c>
      <c r="AJ170" s="54">
        <f t="shared" si="57"/>
        <v>16.225000000000001</v>
      </c>
      <c r="AK170" s="54">
        <f t="shared" ref="AK170:AK183" si="205">Z170*3%</f>
        <v>9.7349999999999994</v>
      </c>
      <c r="AL170" s="55">
        <f t="shared" si="200"/>
        <v>-72.802118644067747</v>
      </c>
      <c r="AM170" s="62">
        <f t="shared" si="201"/>
        <v>-0.1041518149414417</v>
      </c>
      <c r="AN170" s="71">
        <v>699</v>
      </c>
      <c r="AO170" s="71"/>
      <c r="AP170" s="71"/>
      <c r="AQ170" s="71"/>
      <c r="AR170" s="71">
        <v>1499</v>
      </c>
      <c r="AS170" s="57"/>
      <c r="AT170" s="57"/>
      <c r="AU170" s="57"/>
      <c r="AV170" s="57">
        <f t="shared" si="17"/>
        <v>317.37288135593224</v>
      </c>
      <c r="AW170" s="58">
        <f t="shared" si="18"/>
        <v>0.45403845687543953</v>
      </c>
      <c r="AX170" s="45">
        <v>8904422506015</v>
      </c>
      <c r="AY170" s="59"/>
      <c r="AZ170" s="60">
        <f t="shared" si="20"/>
        <v>213.51272727272729</v>
      </c>
      <c r="BA170" s="60"/>
      <c r="BB170" s="60"/>
      <c r="BC170" s="60"/>
    </row>
    <row r="171" spans="1:55" ht="14.25" customHeight="1">
      <c r="D171" s="2"/>
      <c r="E171" s="2"/>
      <c r="F171" s="156" t="s">
        <v>879</v>
      </c>
      <c r="G171" s="157" t="s">
        <v>880</v>
      </c>
      <c r="H171" s="158" t="s">
        <v>881</v>
      </c>
      <c r="I171" s="142" t="s">
        <v>234</v>
      </c>
      <c r="J171" s="71" t="s">
        <v>671</v>
      </c>
      <c r="K171" s="158"/>
      <c r="L171" s="158" t="s">
        <v>882</v>
      </c>
      <c r="M171" s="158" t="s">
        <v>883</v>
      </c>
      <c r="N171" s="156">
        <v>85094090</v>
      </c>
      <c r="O171" s="156"/>
      <c r="P171" s="156"/>
      <c r="Q171" s="156"/>
      <c r="R171" s="156"/>
      <c r="S171" s="156"/>
      <c r="T171" s="156"/>
      <c r="U171" s="49">
        <v>1.98</v>
      </c>
      <c r="V171" s="49"/>
      <c r="W171" s="50">
        <f t="shared" si="189"/>
        <v>3.9600000000000003E-2</v>
      </c>
      <c r="X171" s="50">
        <f t="shared" si="199"/>
        <v>0.4443120000000001</v>
      </c>
      <c r="Y171" s="51">
        <f t="shared" ref="Y171:Y183" si="206">(U171+W171+X171)*B$26</f>
        <v>221.75208000000001</v>
      </c>
      <c r="Z171" s="51">
        <f t="shared" si="191"/>
        <v>261.6674544</v>
      </c>
      <c r="AA171" s="52">
        <f>AN171*12.5%</f>
        <v>59.875</v>
      </c>
      <c r="AB171" s="52">
        <v>25</v>
      </c>
      <c r="AC171" s="52">
        <v>58</v>
      </c>
      <c r="AD171" s="52">
        <f t="shared" si="7"/>
        <v>142.875</v>
      </c>
      <c r="AE171" s="53">
        <f t="shared" si="202"/>
        <v>71.849999999999994</v>
      </c>
      <c r="AF171" s="53">
        <f t="shared" si="193"/>
        <v>9.58</v>
      </c>
      <c r="AG171" s="149">
        <f t="shared" si="203"/>
        <v>23.950000000000003</v>
      </c>
      <c r="AH171" s="54">
        <f t="shared" si="204"/>
        <v>9.58</v>
      </c>
      <c r="AI171" s="54">
        <f t="shared" si="197"/>
        <v>73.067796610169466</v>
      </c>
      <c r="AJ171" s="54">
        <f t="shared" si="57"/>
        <v>13.08337272</v>
      </c>
      <c r="AK171" s="54">
        <f t="shared" si="205"/>
        <v>7.8500236319999992</v>
      </c>
      <c r="AL171" s="55">
        <f t="shared" si="200"/>
        <v>-94.588272962169441</v>
      </c>
      <c r="AM171" s="62">
        <f t="shared" si="201"/>
        <v>-0.19747029845964392</v>
      </c>
      <c r="AN171" s="71">
        <v>479</v>
      </c>
      <c r="AO171" s="71"/>
      <c r="AP171" s="71"/>
      <c r="AQ171" s="71"/>
      <c r="AR171" s="71">
        <v>999</v>
      </c>
      <c r="AS171" s="57"/>
      <c r="AT171" s="57"/>
      <c r="AU171" s="57"/>
      <c r="AV171" s="57">
        <f t="shared" si="17"/>
        <v>184.18012338983053</v>
      </c>
      <c r="AW171" s="58">
        <f t="shared" si="18"/>
        <v>0.38450965217083616</v>
      </c>
      <c r="AX171" s="45">
        <v>8904422506183</v>
      </c>
      <c r="AY171" s="59"/>
      <c r="AZ171" s="60">
        <f t="shared" si="20"/>
        <v>181.44587414918499</v>
      </c>
      <c r="BA171" s="60"/>
      <c r="BB171" s="60"/>
      <c r="BC171" s="60"/>
    </row>
    <row r="172" spans="1:55" ht="14.25" customHeight="1">
      <c r="D172" s="2"/>
      <c r="E172" s="2"/>
      <c r="F172" s="156" t="s">
        <v>884</v>
      </c>
      <c r="G172" s="157" t="s">
        <v>885</v>
      </c>
      <c r="H172" s="158" t="s">
        <v>886</v>
      </c>
      <c r="I172" s="142" t="s">
        <v>234</v>
      </c>
      <c r="J172" s="71" t="s">
        <v>671</v>
      </c>
      <c r="K172" s="158"/>
      <c r="L172" s="158" t="s">
        <v>887</v>
      </c>
      <c r="M172" s="158" t="s">
        <v>888</v>
      </c>
      <c r="N172" s="156">
        <v>85094090</v>
      </c>
      <c r="O172" s="156"/>
      <c r="P172" s="156"/>
      <c r="Q172" s="156"/>
      <c r="R172" s="156"/>
      <c r="S172" s="156"/>
      <c r="T172" s="156"/>
      <c r="U172" s="49">
        <v>2.25</v>
      </c>
      <c r="V172" s="49"/>
      <c r="W172" s="50">
        <f t="shared" si="189"/>
        <v>4.4999999999999998E-2</v>
      </c>
      <c r="X172" s="50">
        <f t="shared" si="199"/>
        <v>0.50490000000000002</v>
      </c>
      <c r="Y172" s="51">
        <f t="shared" si="206"/>
        <v>251.99100000000001</v>
      </c>
      <c r="Z172" s="51">
        <f t="shared" si="191"/>
        <v>297.34938</v>
      </c>
      <c r="AA172" s="52">
        <v>0</v>
      </c>
      <c r="AB172" s="52">
        <v>25</v>
      </c>
      <c r="AC172" s="52">
        <v>58</v>
      </c>
      <c r="AD172" s="52">
        <f t="shared" si="7"/>
        <v>83</v>
      </c>
      <c r="AE172" s="53">
        <f t="shared" si="202"/>
        <v>79.349999999999994</v>
      </c>
      <c r="AF172" s="53">
        <f t="shared" si="193"/>
        <v>10.58</v>
      </c>
      <c r="AG172" s="149">
        <f t="shared" si="203"/>
        <v>26.450000000000003</v>
      </c>
      <c r="AH172" s="54">
        <f t="shared" si="204"/>
        <v>10.58</v>
      </c>
      <c r="AI172" s="54">
        <f t="shared" si="197"/>
        <v>80.694915254237287</v>
      </c>
      <c r="AJ172" s="54">
        <f t="shared" si="57"/>
        <v>14.867469</v>
      </c>
      <c r="AK172" s="54">
        <f t="shared" si="205"/>
        <v>8.9204813999999999</v>
      </c>
      <c r="AL172" s="55">
        <f t="shared" si="200"/>
        <v>-37.433865654237266</v>
      </c>
      <c r="AM172" s="62">
        <f t="shared" si="201"/>
        <v>-7.0763451142225459E-2</v>
      </c>
      <c r="AN172" s="71">
        <v>529</v>
      </c>
      <c r="AO172" s="71"/>
      <c r="AP172" s="71"/>
      <c r="AQ172" s="71"/>
      <c r="AR172" s="71">
        <v>1199</v>
      </c>
      <c r="AS172" s="57"/>
      <c r="AT172" s="57"/>
      <c r="AU172" s="57"/>
      <c r="AV172" s="57">
        <f t="shared" si="17"/>
        <v>196.3140847457627</v>
      </c>
      <c r="AW172" s="58">
        <f t="shared" si="18"/>
        <v>0.37110412995418279</v>
      </c>
      <c r="AX172" s="45">
        <v>8904422506176</v>
      </c>
      <c r="AY172" s="59"/>
      <c r="AZ172" s="60">
        <f t="shared" si="20"/>
        <v>176.33963117730394</v>
      </c>
      <c r="BA172" s="60"/>
      <c r="BB172" s="60"/>
      <c r="BC172" s="60"/>
    </row>
    <row r="173" spans="1:55" ht="14.25" customHeight="1">
      <c r="D173" s="2"/>
      <c r="E173" s="2"/>
      <c r="F173" s="156" t="s">
        <v>889</v>
      </c>
      <c r="G173" s="157" t="s">
        <v>890</v>
      </c>
      <c r="H173" s="158" t="s">
        <v>891</v>
      </c>
      <c r="I173" s="142" t="s">
        <v>234</v>
      </c>
      <c r="J173" s="71" t="s">
        <v>671</v>
      </c>
      <c r="K173" s="158"/>
      <c r="L173" s="158" t="s">
        <v>892</v>
      </c>
      <c r="M173" s="158" t="s">
        <v>893</v>
      </c>
      <c r="N173" s="156">
        <v>85094090</v>
      </c>
      <c r="O173" s="156"/>
      <c r="P173" s="156"/>
      <c r="Q173" s="156"/>
      <c r="R173" s="156"/>
      <c r="S173" s="156"/>
      <c r="T173" s="156"/>
      <c r="U173" s="49">
        <f>9.65 + 0.3</f>
        <v>9.9500000000000011</v>
      </c>
      <c r="V173" s="49"/>
      <c r="W173" s="50">
        <f t="shared" si="189"/>
        <v>0.19900000000000004</v>
      </c>
      <c r="X173" s="50">
        <f t="shared" si="199"/>
        <v>2.2327800000000004</v>
      </c>
      <c r="Y173" s="51">
        <f t="shared" si="206"/>
        <v>1114.3602000000001</v>
      </c>
      <c r="Z173" s="51">
        <f t="shared" si="191"/>
        <v>1314.9450360000001</v>
      </c>
      <c r="AA173" s="52">
        <f>AN173*4.5%</f>
        <v>103.455</v>
      </c>
      <c r="AB173" s="52">
        <v>50</v>
      </c>
      <c r="AC173" s="52">
        <v>76</v>
      </c>
      <c r="AD173" s="52">
        <f t="shared" si="7"/>
        <v>229.45499999999998</v>
      </c>
      <c r="AE173" s="53">
        <f t="shared" si="202"/>
        <v>344.84999999999997</v>
      </c>
      <c r="AF173" s="53">
        <f t="shared" si="193"/>
        <v>45.980000000000004</v>
      </c>
      <c r="AG173" s="149">
        <f t="shared" si="203"/>
        <v>114.95</v>
      </c>
      <c r="AH173" s="54">
        <f t="shared" si="204"/>
        <v>45.980000000000004</v>
      </c>
      <c r="AI173" s="54">
        <f t="shared" si="197"/>
        <v>350.69491525423723</v>
      </c>
      <c r="AJ173" s="54">
        <f t="shared" si="57"/>
        <v>65.747251800000001</v>
      </c>
      <c r="AK173" s="54">
        <f t="shared" si="205"/>
        <v>39.448351080000002</v>
      </c>
      <c r="AL173" s="55">
        <f t="shared" si="200"/>
        <v>-52.465718134237143</v>
      </c>
      <c r="AM173" s="62">
        <f t="shared" si="201"/>
        <v>-2.2821104016632076E-2</v>
      </c>
      <c r="AN173" s="71">
        <v>2299</v>
      </c>
      <c r="AO173" s="71"/>
      <c r="AP173" s="71"/>
      <c r="AQ173" s="71"/>
      <c r="AR173" s="71">
        <v>4999</v>
      </c>
      <c r="AS173" s="57"/>
      <c r="AT173" s="57"/>
      <c r="AU173" s="57"/>
      <c r="AV173" s="57">
        <f t="shared" si="17"/>
        <v>833.94488474576269</v>
      </c>
      <c r="AW173" s="58">
        <f t="shared" si="18"/>
        <v>0.36274244660537741</v>
      </c>
      <c r="AX173" s="77" t="s">
        <v>894</v>
      </c>
      <c r="AY173" s="59"/>
      <c r="AZ173" s="60">
        <f t="shared" si="20"/>
        <v>173.29764648809243</v>
      </c>
      <c r="BA173" s="60"/>
      <c r="BB173" s="60"/>
      <c r="BC173" s="60"/>
    </row>
    <row r="174" spans="1:55" ht="14.25" customHeight="1">
      <c r="D174" s="2"/>
      <c r="E174" s="2"/>
      <c r="F174" s="156" t="s">
        <v>895</v>
      </c>
      <c r="G174" s="157" t="s">
        <v>896</v>
      </c>
      <c r="H174" s="158" t="s">
        <v>897</v>
      </c>
      <c r="I174" s="47" t="s">
        <v>234</v>
      </c>
      <c r="J174" s="61" t="s">
        <v>235</v>
      </c>
      <c r="K174" s="158"/>
      <c r="L174" s="158" t="s">
        <v>898</v>
      </c>
      <c r="M174" s="158" t="s">
        <v>899</v>
      </c>
      <c r="N174" s="47">
        <v>85167990</v>
      </c>
      <c r="O174" s="156"/>
      <c r="P174" s="156"/>
      <c r="Q174" s="156"/>
      <c r="R174" s="156"/>
      <c r="S174" s="156"/>
      <c r="T174" s="156"/>
      <c r="U174" s="49">
        <v>1.1000000000000001</v>
      </c>
      <c r="V174" s="49"/>
      <c r="W174" s="50">
        <f t="shared" si="189"/>
        <v>2.2000000000000002E-2</v>
      </c>
      <c r="X174" s="50">
        <f t="shared" si="199"/>
        <v>0.24684000000000006</v>
      </c>
      <c r="Y174" s="51">
        <f t="shared" si="206"/>
        <v>123.1956</v>
      </c>
      <c r="Z174" s="51">
        <f t="shared" si="191"/>
        <v>145.37080799999998</v>
      </c>
      <c r="AA174" s="52">
        <v>0</v>
      </c>
      <c r="AB174" s="52">
        <v>20</v>
      </c>
      <c r="AC174" s="52">
        <v>58</v>
      </c>
      <c r="AD174" s="52">
        <f t="shared" si="7"/>
        <v>78</v>
      </c>
      <c r="AE174" s="53">
        <f t="shared" si="202"/>
        <v>59.099999999999994</v>
      </c>
      <c r="AF174" s="53">
        <f t="shared" si="193"/>
        <v>7.88</v>
      </c>
      <c r="AG174" s="149">
        <f t="shared" si="203"/>
        <v>19.700000000000003</v>
      </c>
      <c r="AH174" s="54">
        <f t="shared" si="204"/>
        <v>7.88</v>
      </c>
      <c r="AI174" s="54">
        <f t="shared" si="197"/>
        <v>60.1016949152542</v>
      </c>
      <c r="AJ174" s="54">
        <f t="shared" si="57"/>
        <v>7.2685403999999991</v>
      </c>
      <c r="AK174" s="54">
        <f t="shared" si="205"/>
        <v>4.3611242399999997</v>
      </c>
      <c r="AL174" s="55">
        <f t="shared" si="200"/>
        <v>26.513040444745787</v>
      </c>
      <c r="AM174" s="62">
        <f t="shared" si="201"/>
        <v>6.7291980824227882E-2</v>
      </c>
      <c r="AN174" s="71">
        <v>394</v>
      </c>
      <c r="AO174" s="71"/>
      <c r="AP174" s="71"/>
      <c r="AQ174" s="159"/>
      <c r="AR174" s="159">
        <v>699</v>
      </c>
      <c r="AS174" s="57"/>
      <c r="AT174" s="57"/>
      <c r="AU174" s="57"/>
      <c r="AV174" s="57">
        <f t="shared" si="17"/>
        <v>210.70270508474579</v>
      </c>
      <c r="AW174" s="58">
        <f t="shared" si="18"/>
        <v>0.53477843930138524</v>
      </c>
      <c r="AX174" s="45">
        <v>8904422506374</v>
      </c>
      <c r="AY174" s="59"/>
      <c r="AZ174" s="60"/>
      <c r="BA174" s="60"/>
      <c r="BB174" s="60"/>
      <c r="BC174" s="60"/>
    </row>
    <row r="175" spans="1:55" ht="14.25" customHeight="1">
      <c r="A175" s="43"/>
      <c r="B175" s="43"/>
      <c r="C175" s="43"/>
      <c r="D175" s="44"/>
      <c r="E175" s="44"/>
      <c r="F175" s="45" t="s">
        <v>900</v>
      </c>
      <c r="G175" s="96" t="s">
        <v>901</v>
      </c>
      <c r="H175" s="71" t="s">
        <v>902</v>
      </c>
      <c r="I175" s="47" t="s">
        <v>314</v>
      </c>
      <c r="J175" s="61" t="s">
        <v>618</v>
      </c>
      <c r="K175" s="71"/>
      <c r="L175" s="71" t="s">
        <v>747</v>
      </c>
      <c r="M175" s="71" t="s">
        <v>748</v>
      </c>
      <c r="N175" s="45">
        <v>90191020</v>
      </c>
      <c r="O175" s="71"/>
      <c r="P175" s="71"/>
      <c r="Q175" s="71"/>
      <c r="R175" s="71"/>
      <c r="S175" s="71"/>
      <c r="T175" s="71"/>
      <c r="U175" s="49">
        <f>8.4*2</f>
        <v>16.8</v>
      </c>
      <c r="V175" s="49"/>
      <c r="W175" s="50">
        <f t="shared" si="189"/>
        <v>0.33600000000000002</v>
      </c>
      <c r="X175" s="50">
        <f t="shared" ref="X175:X177" si="207">(U175+W175)*(B$42+(B$42*B$45))</f>
        <v>1.8849600000000002</v>
      </c>
      <c r="Y175" s="51">
        <f t="shared" si="206"/>
        <v>1711.8863999999999</v>
      </c>
      <c r="Z175" s="51">
        <f t="shared" si="191"/>
        <v>2020.0259519999997</v>
      </c>
      <c r="AA175" s="52">
        <f>AN175*7.5%</f>
        <v>344.92500000000001</v>
      </c>
      <c r="AB175" s="52">
        <v>50</v>
      </c>
      <c r="AC175" s="52">
        <v>109</v>
      </c>
      <c r="AD175" s="52">
        <f t="shared" si="7"/>
        <v>503.92500000000001</v>
      </c>
      <c r="AE175" s="53">
        <f>AN175*B$72</f>
        <v>919.80000000000007</v>
      </c>
      <c r="AF175" s="53">
        <f t="shared" si="193"/>
        <v>91.98</v>
      </c>
      <c r="AG175" s="53">
        <f t="shared" si="203"/>
        <v>229.95000000000002</v>
      </c>
      <c r="AH175" s="54">
        <f t="shared" si="204"/>
        <v>91.98</v>
      </c>
      <c r="AI175" s="54">
        <f t="shared" si="197"/>
        <v>701.54237288135573</v>
      </c>
      <c r="AJ175" s="54">
        <f t="shared" si="57"/>
        <v>101.00129759999999</v>
      </c>
      <c r="AK175" s="54">
        <f t="shared" si="205"/>
        <v>60.600778559999988</v>
      </c>
      <c r="AL175" s="55">
        <f t="shared" si="200"/>
        <v>186.33415095864399</v>
      </c>
      <c r="AM175" s="62">
        <f t="shared" si="201"/>
        <v>4.051623199796564E-2</v>
      </c>
      <c r="AN175" s="71">
        <v>4599</v>
      </c>
      <c r="AO175" s="71"/>
      <c r="AP175" s="71"/>
      <c r="AQ175" s="71"/>
      <c r="AR175" s="160">
        <v>7899</v>
      </c>
      <c r="AS175" s="45"/>
      <c r="AT175" s="45"/>
      <c r="AU175" s="45"/>
      <c r="AV175" s="57">
        <f t="shared" si="17"/>
        <v>2185.5712271186444</v>
      </c>
      <c r="AW175" s="58">
        <f t="shared" si="18"/>
        <v>0.47522749013234278</v>
      </c>
      <c r="AX175" s="71">
        <v>8904422506497</v>
      </c>
      <c r="AY175" s="59">
        <f t="shared" ref="AY175:AY183" si="208">Y175/U175</f>
        <v>101.89799999999998</v>
      </c>
      <c r="AZ175" s="60">
        <f t="shared" ref="AZ175:AZ183" si="209">AN175/+SUM(Y175/84)</f>
        <v>225.66684331390215</v>
      </c>
      <c r="BA175" s="60"/>
      <c r="BB175" s="60"/>
      <c r="BC175" s="60"/>
    </row>
    <row r="176" spans="1:55" ht="14.25" customHeight="1">
      <c r="F176" s="45" t="s">
        <v>903</v>
      </c>
      <c r="G176" s="96" t="s">
        <v>904</v>
      </c>
      <c r="H176" s="71" t="s">
        <v>905</v>
      </c>
      <c r="I176" s="47" t="s">
        <v>234</v>
      </c>
      <c r="J176" s="143" t="s">
        <v>249</v>
      </c>
      <c r="K176" s="71"/>
      <c r="L176" s="71" t="s">
        <v>747</v>
      </c>
      <c r="M176" s="71" t="s">
        <v>906</v>
      </c>
      <c r="N176" s="45">
        <v>85098000</v>
      </c>
      <c r="O176" s="71"/>
      <c r="P176" s="71"/>
      <c r="Q176" s="71"/>
      <c r="R176" s="71"/>
      <c r="S176" s="71"/>
      <c r="T176" s="71"/>
      <c r="U176" s="49">
        <v>38.200000000000003</v>
      </c>
      <c r="V176" s="49"/>
      <c r="W176" s="50">
        <f t="shared" si="189"/>
        <v>0.76400000000000012</v>
      </c>
      <c r="X176" s="50">
        <f t="shared" si="207"/>
        <v>4.2860400000000016</v>
      </c>
      <c r="Y176" s="51">
        <f t="shared" si="206"/>
        <v>3892.5036000000005</v>
      </c>
      <c r="Z176" s="51">
        <f t="shared" si="191"/>
        <v>4593.1542480000007</v>
      </c>
      <c r="AA176" s="52">
        <f>AN176*8.5%</f>
        <v>679.91500000000008</v>
      </c>
      <c r="AB176" s="52">
        <v>51</v>
      </c>
      <c r="AC176" s="52">
        <v>314.5</v>
      </c>
      <c r="AD176" s="52">
        <f t="shared" si="7"/>
        <v>1045.415</v>
      </c>
      <c r="AE176" s="53">
        <f t="shared" ref="AE176:AE183" si="210">AN176*B$66</f>
        <v>1199.8499999999999</v>
      </c>
      <c r="AF176" s="53">
        <f t="shared" si="193"/>
        <v>159.97999999999999</v>
      </c>
      <c r="AG176" s="53">
        <f t="shared" si="203"/>
        <v>399.95000000000005</v>
      </c>
      <c r="AH176" s="54">
        <f t="shared" si="204"/>
        <v>159.97999999999999</v>
      </c>
      <c r="AI176" s="54">
        <f t="shared" si="197"/>
        <v>1220.1864406779659</v>
      </c>
      <c r="AJ176" s="54">
        <f t="shared" si="57"/>
        <v>229.65771240000004</v>
      </c>
      <c r="AK176" s="54">
        <f t="shared" si="205"/>
        <v>137.79462744000003</v>
      </c>
      <c r="AL176" s="55">
        <f t="shared" si="200"/>
        <v>-446.31738051796594</v>
      </c>
      <c r="AM176" s="62">
        <f t="shared" si="201"/>
        <v>-5.579664714563895E-2</v>
      </c>
      <c r="AN176" s="71">
        <v>7999</v>
      </c>
      <c r="AO176" s="71"/>
      <c r="AP176" s="71"/>
      <c r="AQ176" s="71"/>
      <c r="AR176" s="160">
        <v>17899</v>
      </c>
      <c r="AS176" s="45"/>
      <c r="AT176" s="45"/>
      <c r="AU176" s="45"/>
      <c r="AV176" s="57">
        <f t="shared" si="17"/>
        <v>2886.3099593220336</v>
      </c>
      <c r="AW176" s="58">
        <f t="shared" si="18"/>
        <v>0.36083384914639749</v>
      </c>
      <c r="AX176" s="71">
        <v>8904422506688</v>
      </c>
      <c r="AY176" s="59">
        <f t="shared" si="208"/>
        <v>101.89800000000001</v>
      </c>
      <c r="AZ176" s="60">
        <f t="shared" si="209"/>
        <v>172.61795210671096</v>
      </c>
    </row>
    <row r="177" spans="1:55" ht="14.25" customHeight="1">
      <c r="F177" s="45" t="s">
        <v>907</v>
      </c>
      <c r="G177" s="96"/>
      <c r="H177" s="71" t="s">
        <v>908</v>
      </c>
      <c r="I177" s="47" t="s">
        <v>234</v>
      </c>
      <c r="J177" s="143" t="s">
        <v>249</v>
      </c>
      <c r="K177" s="71"/>
      <c r="L177" s="71" t="s">
        <v>747</v>
      </c>
      <c r="M177" s="71" t="s">
        <v>909</v>
      </c>
      <c r="N177" s="45">
        <v>85086000</v>
      </c>
      <c r="O177" s="71"/>
      <c r="P177" s="71"/>
      <c r="Q177" s="71"/>
      <c r="R177" s="71"/>
      <c r="S177" s="71"/>
      <c r="T177" s="71"/>
      <c r="U177" s="49">
        <v>16.3</v>
      </c>
      <c r="V177" s="49"/>
      <c r="W177" s="50">
        <f t="shared" si="189"/>
        <v>0.32600000000000001</v>
      </c>
      <c r="X177" s="50">
        <f t="shared" si="207"/>
        <v>1.8288600000000004</v>
      </c>
      <c r="Y177" s="51">
        <f t="shared" si="206"/>
        <v>1660.9374</v>
      </c>
      <c r="Z177" s="51">
        <f t="shared" si="191"/>
        <v>1959.9061319999998</v>
      </c>
      <c r="AA177" s="52">
        <f>AN177*4.5%</f>
        <v>179.95499999999998</v>
      </c>
      <c r="AB177" s="52">
        <v>51</v>
      </c>
      <c r="AC177" s="52">
        <v>180</v>
      </c>
      <c r="AD177" s="52">
        <f t="shared" si="7"/>
        <v>410.95499999999998</v>
      </c>
      <c r="AE177" s="53">
        <f t="shared" si="210"/>
        <v>599.85</v>
      </c>
      <c r="AF177" s="53">
        <f t="shared" si="193"/>
        <v>79.98</v>
      </c>
      <c r="AG177" s="53">
        <f t="shared" si="203"/>
        <v>199.95000000000002</v>
      </c>
      <c r="AH177" s="54">
        <f t="shared" si="204"/>
        <v>79.98</v>
      </c>
      <c r="AI177" s="54">
        <f t="shared" si="197"/>
        <v>610.01694915254211</v>
      </c>
      <c r="AJ177" s="54">
        <f t="shared" si="57"/>
        <v>97.995306599999992</v>
      </c>
      <c r="AK177" s="54">
        <f t="shared" si="205"/>
        <v>58.797183959999991</v>
      </c>
      <c r="AL177" s="55">
        <f>SUM(AN177-AI177)-Y177-AD177-AE177-AG177-AJ177-AK177-AF177-AH177</f>
        <v>200.53816028745786</v>
      </c>
      <c r="AM177" s="62">
        <f>AL177/SUM(AN177-AI177)</f>
        <v>5.9173550672468177E-2</v>
      </c>
      <c r="AN177" s="45">
        <v>3999</v>
      </c>
      <c r="AO177" s="71"/>
      <c r="AP177" s="71"/>
      <c r="AQ177" s="71"/>
      <c r="AR177" s="160">
        <v>7899</v>
      </c>
      <c r="AS177" s="45"/>
      <c r="AT177" s="45"/>
      <c r="AU177" s="45"/>
      <c r="AV177" s="57">
        <f t="shared" si="17"/>
        <v>1728.0456508474579</v>
      </c>
      <c r="AW177" s="58">
        <f t="shared" si="18"/>
        <v>0.43211944257250762</v>
      </c>
      <c r="AX177" s="71">
        <v>8904422506954</v>
      </c>
      <c r="AY177" s="59">
        <f t="shared" si="208"/>
        <v>101.898</v>
      </c>
      <c r="AZ177" s="60">
        <f t="shared" si="209"/>
        <v>202.24482873346099</v>
      </c>
    </row>
    <row r="178" spans="1:55" ht="14.25" customHeight="1">
      <c r="F178" s="45" t="s">
        <v>910</v>
      </c>
      <c r="G178" s="96"/>
      <c r="H178" s="71" t="s">
        <v>911</v>
      </c>
      <c r="I178" s="47" t="s">
        <v>234</v>
      </c>
      <c r="J178" s="143" t="s">
        <v>912</v>
      </c>
      <c r="K178" s="71"/>
      <c r="L178" s="71" t="s">
        <v>747</v>
      </c>
      <c r="M178" s="71" t="s">
        <v>913</v>
      </c>
      <c r="N178" s="45">
        <v>84213920</v>
      </c>
      <c r="O178" s="48"/>
      <c r="P178" s="46"/>
      <c r="Q178" s="46"/>
      <c r="R178" s="46"/>
      <c r="S178" s="48"/>
      <c r="T178" s="48"/>
      <c r="U178" s="49">
        <v>24.75</v>
      </c>
      <c r="V178" s="49"/>
      <c r="W178" s="50">
        <f t="shared" si="189"/>
        <v>0.495</v>
      </c>
      <c r="X178" s="50">
        <f t="shared" ref="X178:X181" si="211">(U178+W178)*(B$43+(B$43*B$45))</f>
        <v>2.0827125</v>
      </c>
      <c r="Y178" s="51">
        <f t="shared" si="206"/>
        <v>2459.4941250000002</v>
      </c>
      <c r="Z178" s="51">
        <f t="shared" ref="Z178:Z181" si="212">Y178*1.12</f>
        <v>2754.6334200000006</v>
      </c>
      <c r="AA178" s="52">
        <f t="shared" ref="AA178:AA181" si="213">AN178*8.5%</f>
        <v>509.91500000000002</v>
      </c>
      <c r="AB178" s="52">
        <v>50</v>
      </c>
      <c r="AC178" s="52">
        <v>191</v>
      </c>
      <c r="AD178" s="52">
        <f t="shared" si="7"/>
        <v>750.91499999999996</v>
      </c>
      <c r="AE178" s="53">
        <f t="shared" si="210"/>
        <v>899.85</v>
      </c>
      <c r="AF178" s="53">
        <f t="shared" si="193"/>
        <v>119.98</v>
      </c>
      <c r="AG178" s="53">
        <f t="shared" si="203"/>
        <v>299.95</v>
      </c>
      <c r="AH178" s="54">
        <f t="shared" si="204"/>
        <v>119.98</v>
      </c>
      <c r="AI178" s="54">
        <f t="shared" ref="AI178:AI181" si="214">AN178-(AN178/1.12)</f>
        <v>642.75000000000091</v>
      </c>
      <c r="AJ178" s="54">
        <f t="shared" si="57"/>
        <v>137.73167100000003</v>
      </c>
      <c r="AK178" s="54">
        <f t="shared" si="205"/>
        <v>82.639002600000012</v>
      </c>
      <c r="AL178" s="55">
        <f t="shared" ref="AL178:AL181" si="215">AN178-Y178-AD178-AE178-AG178-AI178-AJ178-AK178-AF178-AH178</f>
        <v>485.71020139999894</v>
      </c>
      <c r="AM178" s="62">
        <f t="shared" ref="AM178:AM181" si="216">AL178/AN178</f>
        <v>8.0965194432405227E-2</v>
      </c>
      <c r="AN178" s="45">
        <v>5999</v>
      </c>
      <c r="AO178" s="45"/>
      <c r="AP178" s="45"/>
      <c r="AQ178" s="45"/>
      <c r="AR178" s="116">
        <v>11099</v>
      </c>
      <c r="AS178" s="45"/>
      <c r="AT178" s="45"/>
      <c r="AU178" s="45"/>
      <c r="AV178" s="57">
        <f t="shared" si="17"/>
        <v>2896.7558749999989</v>
      </c>
      <c r="AW178" s="58">
        <f t="shared" si="18"/>
        <v>0.48287312468744775</v>
      </c>
      <c r="AX178" s="71">
        <v>8904422506961</v>
      </c>
      <c r="AY178" s="59">
        <f t="shared" si="208"/>
        <v>99.373500000000007</v>
      </c>
      <c r="AZ178" s="60">
        <f t="shared" si="209"/>
        <v>204.88603525328605</v>
      </c>
    </row>
    <row r="179" spans="1:55" ht="14.25" customHeight="1">
      <c r="F179" s="45" t="s">
        <v>914</v>
      </c>
      <c r="G179" s="96"/>
      <c r="H179" s="71" t="s">
        <v>915</v>
      </c>
      <c r="I179" s="47" t="s">
        <v>234</v>
      </c>
      <c r="J179" s="143" t="s">
        <v>912</v>
      </c>
      <c r="K179" s="71"/>
      <c r="L179" s="71" t="s">
        <v>747</v>
      </c>
      <c r="M179" s="71" t="s">
        <v>916</v>
      </c>
      <c r="N179" s="45">
        <v>84213920</v>
      </c>
      <c r="O179" s="48"/>
      <c r="P179" s="46"/>
      <c r="Q179" s="46"/>
      <c r="R179" s="46"/>
      <c r="S179" s="48"/>
      <c r="T179" s="48"/>
      <c r="U179" s="49">
        <v>10.98</v>
      </c>
      <c r="V179" s="49"/>
      <c r="W179" s="50">
        <f t="shared" si="189"/>
        <v>0.21960000000000002</v>
      </c>
      <c r="X179" s="50">
        <f t="shared" si="211"/>
        <v>0.92396699999999987</v>
      </c>
      <c r="Y179" s="51">
        <f t="shared" si="206"/>
        <v>1091.12103</v>
      </c>
      <c r="Z179" s="51">
        <f t="shared" si="212"/>
        <v>1222.0555536000002</v>
      </c>
      <c r="AA179" s="52">
        <f t="shared" si="213"/>
        <v>254.91500000000002</v>
      </c>
      <c r="AB179" s="52">
        <v>50</v>
      </c>
      <c r="AC179" s="52">
        <v>191</v>
      </c>
      <c r="AD179" s="52">
        <f t="shared" si="7"/>
        <v>495.91500000000002</v>
      </c>
      <c r="AE179" s="53">
        <f t="shared" si="210"/>
        <v>449.84999999999997</v>
      </c>
      <c r="AF179" s="53">
        <f t="shared" si="193"/>
        <v>59.980000000000004</v>
      </c>
      <c r="AG179" s="53">
        <f t="shared" si="203"/>
        <v>149.95000000000002</v>
      </c>
      <c r="AH179" s="54">
        <f t="shared" si="204"/>
        <v>59.980000000000004</v>
      </c>
      <c r="AI179" s="54">
        <f t="shared" si="214"/>
        <v>321.3214285714289</v>
      </c>
      <c r="AJ179" s="54">
        <f t="shared" si="57"/>
        <v>61.10277768000001</v>
      </c>
      <c r="AK179" s="54">
        <f t="shared" si="205"/>
        <v>36.661666608000004</v>
      </c>
      <c r="AL179" s="55">
        <f t="shared" si="215"/>
        <v>273.11809714057108</v>
      </c>
      <c r="AM179" s="62">
        <f t="shared" si="216"/>
        <v>9.1069722287619573E-2</v>
      </c>
      <c r="AN179" s="45">
        <v>2999</v>
      </c>
      <c r="AO179" s="45"/>
      <c r="AP179" s="45"/>
      <c r="AQ179" s="45"/>
      <c r="AR179" s="116">
        <v>4899</v>
      </c>
      <c r="AS179" s="45"/>
      <c r="AT179" s="45"/>
      <c r="AU179" s="45"/>
      <c r="AV179" s="57">
        <f t="shared" si="17"/>
        <v>1586.5575414285711</v>
      </c>
      <c r="AW179" s="58">
        <f t="shared" si="18"/>
        <v>0.52902885676177758</v>
      </c>
      <c r="AX179" s="71">
        <v>8904422506978</v>
      </c>
      <c r="AY179" s="59">
        <f t="shared" si="208"/>
        <v>99.373499999999993</v>
      </c>
      <c r="AZ179" s="60">
        <f t="shared" si="209"/>
        <v>230.87814557107382</v>
      </c>
    </row>
    <row r="180" spans="1:55" ht="14.25" customHeight="1">
      <c r="F180" s="45" t="s">
        <v>917</v>
      </c>
      <c r="G180" s="96"/>
      <c r="H180" s="71" t="s">
        <v>918</v>
      </c>
      <c r="I180" s="47" t="s">
        <v>234</v>
      </c>
      <c r="J180" s="143" t="s">
        <v>912</v>
      </c>
      <c r="K180" s="71"/>
      <c r="L180" s="71" t="s">
        <v>747</v>
      </c>
      <c r="M180" s="71" t="s">
        <v>919</v>
      </c>
      <c r="N180" s="45">
        <v>84213920</v>
      </c>
      <c r="O180" s="48"/>
      <c r="P180" s="46"/>
      <c r="Q180" s="46"/>
      <c r="R180" s="46"/>
      <c r="S180" s="48"/>
      <c r="T180" s="48"/>
      <c r="U180" s="49">
        <v>24</v>
      </c>
      <c r="V180" s="49"/>
      <c r="W180" s="50">
        <f t="shared" si="189"/>
        <v>0.48</v>
      </c>
      <c r="X180" s="50">
        <f t="shared" si="211"/>
        <v>2.0195999999999996</v>
      </c>
      <c r="Y180" s="51">
        <f t="shared" si="206"/>
        <v>2384.9639999999999</v>
      </c>
      <c r="Z180" s="51">
        <f t="shared" si="212"/>
        <v>2671.1596800000002</v>
      </c>
      <c r="AA180" s="52">
        <f t="shared" si="213"/>
        <v>509.91500000000002</v>
      </c>
      <c r="AB180" s="52">
        <v>50</v>
      </c>
      <c r="AC180" s="52">
        <v>191</v>
      </c>
      <c r="AD180" s="52">
        <f t="shared" si="7"/>
        <v>750.91499999999996</v>
      </c>
      <c r="AE180" s="53">
        <f t="shared" si="210"/>
        <v>899.85</v>
      </c>
      <c r="AF180" s="53">
        <f t="shared" si="193"/>
        <v>119.98</v>
      </c>
      <c r="AG180" s="53">
        <f t="shared" si="203"/>
        <v>299.95</v>
      </c>
      <c r="AH180" s="54">
        <f t="shared" si="204"/>
        <v>119.98</v>
      </c>
      <c r="AI180" s="54">
        <f t="shared" si="214"/>
        <v>642.75000000000091</v>
      </c>
      <c r="AJ180" s="54">
        <f t="shared" si="57"/>
        <v>133.557984</v>
      </c>
      <c r="AK180" s="54">
        <f t="shared" si="205"/>
        <v>80.1347904</v>
      </c>
      <c r="AL180" s="55">
        <f t="shared" si="215"/>
        <v>566.91822559999912</v>
      </c>
      <c r="AM180" s="62">
        <f t="shared" si="216"/>
        <v>9.4502121286881E-2</v>
      </c>
      <c r="AN180" s="45">
        <v>5999</v>
      </c>
      <c r="AO180" s="45"/>
      <c r="AP180" s="45"/>
      <c r="AQ180" s="45"/>
      <c r="AR180" s="116">
        <v>10699</v>
      </c>
      <c r="AS180" s="45"/>
      <c r="AT180" s="45"/>
      <c r="AU180" s="45"/>
      <c r="AV180" s="57">
        <f t="shared" si="17"/>
        <v>2971.2859999999991</v>
      </c>
      <c r="AW180" s="58">
        <f t="shared" si="18"/>
        <v>0.49529688281380219</v>
      </c>
      <c r="AX180" s="71">
        <v>8904422506985</v>
      </c>
      <c r="AY180" s="59">
        <f t="shared" si="208"/>
        <v>99.373499999999993</v>
      </c>
      <c r="AZ180" s="60">
        <f t="shared" si="209"/>
        <v>211.28872385495129</v>
      </c>
    </row>
    <row r="181" spans="1:55" ht="14.25" customHeight="1">
      <c r="F181" s="45" t="s">
        <v>920</v>
      </c>
      <c r="G181" s="96"/>
      <c r="H181" s="71" t="s">
        <v>921</v>
      </c>
      <c r="I181" s="47" t="s">
        <v>234</v>
      </c>
      <c r="J181" s="143" t="s">
        <v>912</v>
      </c>
      <c r="K181" s="71"/>
      <c r="L181" s="71" t="s">
        <v>747</v>
      </c>
      <c r="M181" s="71" t="s">
        <v>922</v>
      </c>
      <c r="N181" s="45">
        <v>84799090</v>
      </c>
      <c r="O181" s="48"/>
      <c r="P181" s="46"/>
      <c r="Q181" s="46"/>
      <c r="R181" s="46"/>
      <c r="S181" s="48"/>
      <c r="T181" s="48"/>
      <c r="U181" s="49">
        <v>17</v>
      </c>
      <c r="V181" s="49"/>
      <c r="W181" s="50">
        <f t="shared" si="189"/>
        <v>0.34</v>
      </c>
      <c r="X181" s="50">
        <f t="shared" si="211"/>
        <v>1.4305499999999998</v>
      </c>
      <c r="Y181" s="51">
        <f t="shared" si="206"/>
        <v>1689.3495</v>
      </c>
      <c r="Z181" s="51">
        <f t="shared" si="212"/>
        <v>1892.0714400000002</v>
      </c>
      <c r="AA181" s="52">
        <f t="shared" si="213"/>
        <v>339.91500000000002</v>
      </c>
      <c r="AB181" s="52">
        <v>50</v>
      </c>
      <c r="AC181" s="52">
        <v>191</v>
      </c>
      <c r="AD181" s="52">
        <f t="shared" si="7"/>
        <v>580.91499999999996</v>
      </c>
      <c r="AE181" s="53">
        <f t="shared" si="210"/>
        <v>599.85</v>
      </c>
      <c r="AF181" s="53">
        <f t="shared" si="193"/>
        <v>79.98</v>
      </c>
      <c r="AG181" s="53">
        <f t="shared" si="203"/>
        <v>199.95000000000002</v>
      </c>
      <c r="AH181" s="54">
        <f t="shared" si="204"/>
        <v>79.98</v>
      </c>
      <c r="AI181" s="54">
        <f t="shared" si="214"/>
        <v>428.46428571428623</v>
      </c>
      <c r="AJ181" s="54">
        <f t="shared" si="57"/>
        <v>94.603572000000014</v>
      </c>
      <c r="AK181" s="54">
        <f t="shared" si="205"/>
        <v>56.762143200000004</v>
      </c>
      <c r="AL181" s="55">
        <f t="shared" si="215"/>
        <v>189.14549908571354</v>
      </c>
      <c r="AM181" s="62">
        <f t="shared" si="216"/>
        <v>4.7298199321258699E-2</v>
      </c>
      <c r="AN181" s="45">
        <v>3999</v>
      </c>
      <c r="AO181" s="45"/>
      <c r="AP181" s="45"/>
      <c r="AQ181" s="45"/>
      <c r="AR181" s="116">
        <v>7599</v>
      </c>
      <c r="AS181" s="45"/>
      <c r="AT181" s="45"/>
      <c r="AU181" s="45"/>
      <c r="AV181" s="57">
        <f t="shared" si="17"/>
        <v>1881.1862142857137</v>
      </c>
      <c r="AW181" s="58">
        <f t="shared" si="18"/>
        <v>0.47041415711070611</v>
      </c>
      <c r="AX181" s="71">
        <v>8904422506992</v>
      </c>
      <c r="AY181" s="59">
        <f t="shared" si="208"/>
        <v>99.373500000000007</v>
      </c>
      <c r="AZ181" s="60">
        <f t="shared" si="209"/>
        <v>198.84340096587474</v>
      </c>
    </row>
    <row r="182" spans="1:55" ht="14.25" customHeight="1">
      <c r="A182" s="43"/>
      <c r="B182" s="43"/>
      <c r="C182" s="43"/>
      <c r="D182" s="69"/>
      <c r="E182" s="69"/>
      <c r="F182" s="70" t="s">
        <v>923</v>
      </c>
      <c r="G182" s="96"/>
      <c r="H182" s="45" t="s">
        <v>924</v>
      </c>
      <c r="I182" s="45" t="s">
        <v>671</v>
      </c>
      <c r="J182" s="45" t="s">
        <v>791</v>
      </c>
      <c r="K182" s="45"/>
      <c r="L182" s="45"/>
      <c r="M182" s="45" t="s">
        <v>925</v>
      </c>
      <c r="N182" s="45">
        <v>85094090</v>
      </c>
      <c r="O182" s="48"/>
      <c r="P182" s="46"/>
      <c r="Q182" s="46"/>
      <c r="R182" s="46"/>
      <c r="S182" s="48"/>
      <c r="T182" s="48"/>
      <c r="U182" s="49">
        <v>45</v>
      </c>
      <c r="V182" s="49"/>
      <c r="W182" s="50">
        <f t="shared" si="189"/>
        <v>0.9</v>
      </c>
      <c r="X182" s="50">
        <f t="shared" ref="X182:X183" si="217">(U182+W182)*(B$31+(B$31*B$45))</f>
        <v>10.098000000000001</v>
      </c>
      <c r="Y182" s="51">
        <f t="shared" si="206"/>
        <v>5039.82</v>
      </c>
      <c r="Z182" s="51">
        <f t="shared" ref="Z182:Z183" si="218">Y182*1.18</f>
        <v>5946.9875999999995</v>
      </c>
      <c r="AA182" s="115">
        <f t="shared" ref="AA182:AA183" si="219">AN182*8%</f>
        <v>799.92000000000007</v>
      </c>
      <c r="AB182" s="52">
        <v>51</v>
      </c>
      <c r="AC182" s="52">
        <v>148</v>
      </c>
      <c r="AD182" s="52">
        <f t="shared" si="7"/>
        <v>998.92000000000007</v>
      </c>
      <c r="AE182" s="53">
        <f t="shared" si="210"/>
        <v>1499.85</v>
      </c>
      <c r="AF182" s="53">
        <f t="shared" si="193"/>
        <v>199.98000000000002</v>
      </c>
      <c r="AG182" s="53">
        <f t="shared" si="203"/>
        <v>499.95000000000005</v>
      </c>
      <c r="AH182" s="54">
        <f t="shared" si="204"/>
        <v>199.98000000000002</v>
      </c>
      <c r="AI182" s="54">
        <f t="shared" ref="AI182:AI183" si="220">AN182-(AN182/1.18)</f>
        <v>1525.2711864406774</v>
      </c>
      <c r="AJ182" s="54">
        <f t="shared" si="57"/>
        <v>297.34938</v>
      </c>
      <c r="AK182" s="54">
        <f t="shared" si="205"/>
        <v>178.40962799999997</v>
      </c>
      <c r="AL182" s="55">
        <f t="shared" ref="AL182:AL183" si="221">SUM(AN182-AI182)-Y182-AD182-AE182-AG182-AJ182-AK182-AF182-AH182</f>
        <v>-440.53019444067718</v>
      </c>
      <c r="AM182" s="105">
        <f t="shared" ref="AM182:AM183" si="222">AL182/SUM(AN182-AI182)</f>
        <v>-5.1987761720171922E-2</v>
      </c>
      <c r="AN182" s="45">
        <v>9999</v>
      </c>
      <c r="AO182" s="116"/>
      <c r="AP182" s="45"/>
      <c r="AQ182" s="45"/>
      <c r="AR182" s="116">
        <v>23799</v>
      </c>
      <c r="AS182" s="45"/>
      <c r="AT182" s="45"/>
      <c r="AU182" s="45"/>
      <c r="AV182" s="57">
        <f t="shared" si="17"/>
        <v>3433.9088135593229</v>
      </c>
      <c r="AW182" s="58">
        <f t="shared" si="18"/>
        <v>0.34342522387832014</v>
      </c>
      <c r="AX182" s="63">
        <v>8904422507005</v>
      </c>
      <c r="AY182" s="59">
        <f t="shared" si="208"/>
        <v>111.996</v>
      </c>
      <c r="AZ182" s="60">
        <f t="shared" si="209"/>
        <v>166.65595199828564</v>
      </c>
      <c r="BA182" s="60"/>
      <c r="BB182" s="60"/>
      <c r="BC182" s="60"/>
    </row>
    <row r="183" spans="1:55" ht="14.25" customHeight="1">
      <c r="A183" s="43"/>
      <c r="B183" s="43"/>
      <c r="C183" s="43"/>
      <c r="D183" s="69"/>
      <c r="E183" s="69"/>
      <c r="F183" s="70" t="s">
        <v>926</v>
      </c>
      <c r="G183" s="96"/>
      <c r="H183" s="45" t="s">
        <v>927</v>
      </c>
      <c r="I183" s="45" t="s">
        <v>671</v>
      </c>
      <c r="J183" s="45" t="s">
        <v>791</v>
      </c>
      <c r="K183" s="45"/>
      <c r="L183" s="45"/>
      <c r="M183" s="45" t="s">
        <v>928</v>
      </c>
      <c r="N183" s="45">
        <v>85094090</v>
      </c>
      <c r="O183" s="48"/>
      <c r="P183" s="46"/>
      <c r="Q183" s="46"/>
      <c r="R183" s="46"/>
      <c r="S183" s="48"/>
      <c r="T183" s="48"/>
      <c r="U183" s="49">
        <v>51.5</v>
      </c>
      <c r="V183" s="49"/>
      <c r="W183" s="50">
        <f t="shared" si="189"/>
        <v>1.03</v>
      </c>
      <c r="X183" s="50">
        <f t="shared" si="217"/>
        <v>11.556600000000001</v>
      </c>
      <c r="Y183" s="51">
        <f t="shared" si="206"/>
        <v>5767.7940000000008</v>
      </c>
      <c r="Z183" s="51">
        <f t="shared" si="218"/>
        <v>6805.9969200000005</v>
      </c>
      <c r="AA183" s="115">
        <f t="shared" si="219"/>
        <v>799.92000000000007</v>
      </c>
      <c r="AB183" s="52">
        <v>51</v>
      </c>
      <c r="AC183" s="52">
        <v>148</v>
      </c>
      <c r="AD183" s="52">
        <f t="shared" si="7"/>
        <v>998.92000000000007</v>
      </c>
      <c r="AE183" s="53">
        <f t="shared" si="210"/>
        <v>1499.85</v>
      </c>
      <c r="AF183" s="53">
        <f t="shared" si="193"/>
        <v>199.98000000000002</v>
      </c>
      <c r="AG183" s="53">
        <f t="shared" si="203"/>
        <v>499.95000000000005</v>
      </c>
      <c r="AH183" s="54">
        <f t="shared" si="204"/>
        <v>199.98000000000002</v>
      </c>
      <c r="AI183" s="54">
        <f t="shared" si="220"/>
        <v>1525.2711864406774</v>
      </c>
      <c r="AJ183" s="54">
        <f t="shared" si="57"/>
        <v>340.29984600000006</v>
      </c>
      <c r="AK183" s="54">
        <f t="shared" si="205"/>
        <v>204.17990760000001</v>
      </c>
      <c r="AL183" s="55">
        <f t="shared" si="221"/>
        <v>-1237.2249400406783</v>
      </c>
      <c r="AM183" s="105">
        <f t="shared" si="222"/>
        <v>-0.14600714363916395</v>
      </c>
      <c r="AN183" s="45">
        <v>9999</v>
      </c>
      <c r="AO183" s="116"/>
      <c r="AP183" s="45"/>
      <c r="AQ183" s="45"/>
      <c r="AR183" s="116">
        <v>27229</v>
      </c>
      <c r="AS183" s="45"/>
      <c r="AT183" s="45"/>
      <c r="AU183" s="45"/>
      <c r="AV183" s="57">
        <f t="shared" si="17"/>
        <v>2705.9348135593218</v>
      </c>
      <c r="AW183" s="58">
        <f t="shared" si="18"/>
        <v>0.2706205434102732</v>
      </c>
      <c r="AX183" s="63">
        <v>8904422507012</v>
      </c>
      <c r="AY183" s="59">
        <f t="shared" si="208"/>
        <v>111.99600000000001</v>
      </c>
      <c r="AZ183" s="60">
        <f t="shared" si="209"/>
        <v>145.62170562956996</v>
      </c>
      <c r="BA183" s="60"/>
      <c r="BB183" s="60"/>
      <c r="BC183" s="60"/>
    </row>
    <row r="184" spans="1:55" ht="14.25" customHeight="1">
      <c r="G184" s="161"/>
      <c r="AH184" s="162"/>
      <c r="AM184" s="163"/>
    </row>
    <row r="185" spans="1:55" ht="14.25" customHeight="1">
      <c r="G185" s="161"/>
      <c r="AH185" s="162"/>
      <c r="AM185" s="163"/>
    </row>
    <row r="186" spans="1:55" ht="14.25" customHeight="1">
      <c r="G186" s="161"/>
      <c r="AH186" s="162"/>
      <c r="AM186" s="163"/>
    </row>
    <row r="187" spans="1:55" ht="14.25" customHeight="1">
      <c r="G187" s="161"/>
      <c r="AH187" s="162"/>
      <c r="AM187" s="163"/>
    </row>
    <row r="188" spans="1:55" ht="14.25" customHeight="1">
      <c r="G188" s="161"/>
      <c r="AH188" s="162"/>
      <c r="AM188" s="163"/>
    </row>
    <row r="189" spans="1:55" ht="14.25" customHeight="1">
      <c r="G189" s="161"/>
      <c r="AH189" s="162"/>
      <c r="AM189" s="163"/>
    </row>
    <row r="190" spans="1:55" ht="14.25" customHeight="1">
      <c r="G190" s="161"/>
      <c r="AH190" s="162"/>
      <c r="AM190" s="163"/>
    </row>
    <row r="191" spans="1:55" ht="14.25" customHeight="1">
      <c r="G191" s="161"/>
      <c r="AH191" s="162"/>
      <c r="AM191" s="163"/>
    </row>
    <row r="192" spans="1:55" ht="14.25" customHeight="1">
      <c r="G192" s="161"/>
      <c r="AH192" s="162"/>
      <c r="AM192" s="163"/>
    </row>
    <row r="193" spans="7:39" ht="14.25" customHeight="1">
      <c r="G193" s="161"/>
      <c r="AH193" s="162"/>
      <c r="AM193" s="163"/>
    </row>
    <row r="194" spans="7:39" ht="14.25" customHeight="1">
      <c r="G194" s="161"/>
      <c r="AH194" s="162"/>
      <c r="AM194" s="163"/>
    </row>
    <row r="195" spans="7:39" ht="14.25" customHeight="1">
      <c r="G195" s="161"/>
      <c r="AH195" s="162"/>
      <c r="AM195" s="163"/>
    </row>
    <row r="196" spans="7:39" ht="14.25" customHeight="1">
      <c r="G196" s="161"/>
      <c r="AH196" s="162"/>
      <c r="AM196" s="163"/>
    </row>
    <row r="197" spans="7:39" ht="14.25" customHeight="1">
      <c r="G197" s="161"/>
      <c r="AH197" s="162"/>
      <c r="AM197" s="163"/>
    </row>
    <row r="198" spans="7:39" ht="14.25" customHeight="1">
      <c r="G198" s="161"/>
      <c r="AH198" s="162"/>
      <c r="AM198" s="163"/>
    </row>
    <row r="199" spans="7:39" ht="14.25" customHeight="1">
      <c r="G199" s="161"/>
      <c r="AH199" s="162"/>
      <c r="AM199" s="163"/>
    </row>
    <row r="200" spans="7:39" ht="14.25" customHeight="1">
      <c r="G200" s="161"/>
      <c r="AH200" s="162"/>
      <c r="AM200" s="163"/>
    </row>
    <row r="201" spans="7:39" ht="14.25" customHeight="1">
      <c r="G201" s="161"/>
      <c r="AH201" s="162"/>
      <c r="AM201" s="163"/>
    </row>
    <row r="202" spans="7:39" ht="14.25" customHeight="1">
      <c r="G202" s="161"/>
      <c r="AH202" s="162"/>
      <c r="AM202" s="163"/>
    </row>
    <row r="203" spans="7:39" ht="14.25" customHeight="1">
      <c r="G203" s="161"/>
      <c r="AH203" s="162"/>
      <c r="AM203" s="163"/>
    </row>
    <row r="204" spans="7:39" ht="14.25" customHeight="1">
      <c r="G204" s="161"/>
      <c r="AH204" s="162"/>
      <c r="AM204" s="163"/>
    </row>
    <row r="205" spans="7:39" ht="14.25" customHeight="1">
      <c r="G205" s="161"/>
      <c r="AH205" s="162"/>
      <c r="AM205" s="163"/>
    </row>
    <row r="206" spans="7:39" ht="14.25" customHeight="1">
      <c r="G206" s="161"/>
      <c r="AH206" s="162"/>
      <c r="AM206" s="163"/>
    </row>
    <row r="207" spans="7:39" ht="14.25" customHeight="1">
      <c r="G207" s="161"/>
      <c r="AH207" s="162"/>
      <c r="AM207" s="163"/>
    </row>
    <row r="208" spans="7:39" ht="14.25" customHeight="1">
      <c r="G208" s="161"/>
      <c r="AH208" s="162"/>
      <c r="AM208" s="163"/>
    </row>
    <row r="209" spans="7:39" ht="14.25" customHeight="1">
      <c r="G209" s="161"/>
      <c r="AH209" s="162"/>
      <c r="AM209" s="163"/>
    </row>
    <row r="210" spans="7:39" ht="14.25" customHeight="1">
      <c r="G210" s="161"/>
      <c r="AH210" s="162"/>
      <c r="AM210" s="163"/>
    </row>
    <row r="211" spans="7:39" ht="14.25" customHeight="1">
      <c r="G211" s="161"/>
      <c r="AH211" s="162"/>
      <c r="AM211" s="163"/>
    </row>
    <row r="212" spans="7:39" ht="14.25" customHeight="1">
      <c r="G212" s="161"/>
      <c r="AH212" s="162"/>
      <c r="AM212" s="163"/>
    </row>
    <row r="213" spans="7:39" ht="14.25" customHeight="1">
      <c r="G213" s="161"/>
      <c r="AH213" s="162"/>
      <c r="AM213" s="163"/>
    </row>
    <row r="214" spans="7:39" ht="14.25" customHeight="1">
      <c r="G214" s="161"/>
      <c r="AH214" s="162"/>
      <c r="AM214" s="163"/>
    </row>
    <row r="215" spans="7:39" ht="14.25" customHeight="1">
      <c r="G215" s="161"/>
      <c r="AH215" s="162"/>
      <c r="AM215" s="163"/>
    </row>
    <row r="216" spans="7:39" ht="14.25" customHeight="1">
      <c r="G216" s="161"/>
      <c r="AH216" s="162"/>
      <c r="AM216" s="163"/>
    </row>
    <row r="217" spans="7:39" ht="14.25" customHeight="1">
      <c r="G217" s="161"/>
      <c r="AH217" s="162"/>
      <c r="AM217" s="163"/>
    </row>
    <row r="218" spans="7:39" ht="14.25" customHeight="1">
      <c r="G218" s="161"/>
      <c r="AH218" s="162"/>
      <c r="AM218" s="163"/>
    </row>
    <row r="219" spans="7:39" ht="14.25" customHeight="1">
      <c r="G219" s="161"/>
      <c r="AH219" s="162"/>
      <c r="AM219" s="163"/>
    </row>
    <row r="220" spans="7:39" ht="14.25" customHeight="1">
      <c r="G220" s="161"/>
      <c r="AH220" s="162"/>
      <c r="AM220" s="163"/>
    </row>
    <row r="221" spans="7:39" ht="14.25" customHeight="1">
      <c r="G221" s="161"/>
      <c r="AH221" s="162"/>
      <c r="AM221" s="163"/>
    </row>
    <row r="222" spans="7:39" ht="14.25" customHeight="1">
      <c r="G222" s="161"/>
      <c r="AH222" s="162"/>
      <c r="AM222" s="163"/>
    </row>
    <row r="223" spans="7:39" ht="14.25" customHeight="1">
      <c r="G223" s="161"/>
      <c r="AH223" s="162"/>
      <c r="AM223" s="163"/>
    </row>
    <row r="224" spans="7:39" ht="14.25" customHeight="1">
      <c r="G224" s="161"/>
      <c r="AH224" s="162"/>
      <c r="AM224" s="163"/>
    </row>
    <row r="225" spans="7:39" ht="14.25" customHeight="1">
      <c r="G225" s="161"/>
      <c r="AH225" s="162"/>
      <c r="AM225" s="163"/>
    </row>
    <row r="226" spans="7:39" ht="14.25" customHeight="1">
      <c r="G226" s="161"/>
      <c r="AH226" s="162"/>
      <c r="AM226" s="163"/>
    </row>
    <row r="227" spans="7:39" ht="14.25" customHeight="1">
      <c r="G227" s="161"/>
      <c r="AH227" s="162"/>
      <c r="AM227" s="163"/>
    </row>
    <row r="228" spans="7:39" ht="14.25" customHeight="1">
      <c r="G228" s="161"/>
      <c r="AH228" s="162"/>
      <c r="AM228" s="163"/>
    </row>
    <row r="229" spans="7:39" ht="14.25" customHeight="1">
      <c r="G229" s="161"/>
      <c r="AH229" s="162"/>
      <c r="AM229" s="163"/>
    </row>
    <row r="230" spans="7:39" ht="14.25" customHeight="1">
      <c r="G230" s="161"/>
      <c r="AH230" s="162"/>
      <c r="AM230" s="163"/>
    </row>
    <row r="231" spans="7:39" ht="14.25" customHeight="1">
      <c r="G231" s="161"/>
      <c r="AH231" s="162"/>
      <c r="AM231" s="163"/>
    </row>
    <row r="232" spans="7:39" ht="14.25" customHeight="1">
      <c r="G232" s="161"/>
      <c r="AH232" s="162"/>
      <c r="AM232" s="163"/>
    </row>
    <row r="233" spans="7:39" ht="14.25" customHeight="1">
      <c r="G233" s="161"/>
      <c r="AH233" s="162"/>
      <c r="AM233" s="163"/>
    </row>
    <row r="234" spans="7:39" ht="14.25" customHeight="1">
      <c r="G234" s="161"/>
      <c r="AH234" s="162"/>
      <c r="AM234" s="163"/>
    </row>
    <row r="235" spans="7:39" ht="14.25" customHeight="1">
      <c r="G235" s="161"/>
      <c r="AH235" s="162"/>
      <c r="AM235" s="163"/>
    </row>
    <row r="236" spans="7:39" ht="14.25" customHeight="1">
      <c r="G236" s="161"/>
      <c r="AH236" s="162"/>
      <c r="AM236" s="163"/>
    </row>
    <row r="237" spans="7:39" ht="14.25" customHeight="1">
      <c r="G237" s="161"/>
      <c r="AH237" s="162"/>
      <c r="AM237" s="163"/>
    </row>
    <row r="238" spans="7:39" ht="14.25" customHeight="1">
      <c r="G238" s="161"/>
      <c r="AH238" s="162"/>
      <c r="AM238" s="163"/>
    </row>
    <row r="239" spans="7:39" ht="14.25" customHeight="1">
      <c r="G239" s="161"/>
      <c r="AH239" s="162"/>
      <c r="AM239" s="163"/>
    </row>
    <row r="240" spans="7:39" ht="14.25" customHeight="1">
      <c r="G240" s="161"/>
      <c r="AH240" s="162"/>
      <c r="AM240" s="163"/>
    </row>
    <row r="241" spans="7:39" ht="14.25" customHeight="1">
      <c r="G241" s="161"/>
      <c r="AH241" s="162"/>
      <c r="AM241" s="163"/>
    </row>
    <row r="242" spans="7:39" ht="14.25" customHeight="1">
      <c r="G242" s="161"/>
      <c r="AH242" s="162"/>
      <c r="AM242" s="163"/>
    </row>
    <row r="243" spans="7:39" ht="14.25" customHeight="1">
      <c r="G243" s="161"/>
      <c r="AH243" s="162"/>
      <c r="AM243" s="163"/>
    </row>
    <row r="244" spans="7:39" ht="14.25" customHeight="1">
      <c r="G244" s="161"/>
      <c r="AH244" s="162"/>
      <c r="AM244" s="163"/>
    </row>
    <row r="245" spans="7:39" ht="14.25" customHeight="1">
      <c r="G245" s="161"/>
      <c r="AH245" s="162"/>
      <c r="AM245" s="163"/>
    </row>
    <row r="246" spans="7:39" ht="14.25" customHeight="1">
      <c r="G246" s="161"/>
      <c r="AH246" s="162"/>
      <c r="AM246" s="163"/>
    </row>
    <row r="247" spans="7:39" ht="14.25" customHeight="1">
      <c r="G247" s="161"/>
      <c r="AH247" s="162"/>
      <c r="AM247" s="163"/>
    </row>
    <row r="248" spans="7:39" ht="14.25" customHeight="1">
      <c r="G248" s="161"/>
      <c r="AH248" s="162"/>
      <c r="AM248" s="163"/>
    </row>
    <row r="249" spans="7:39" ht="14.25" customHeight="1">
      <c r="G249" s="161"/>
      <c r="AH249" s="162"/>
      <c r="AM249" s="163"/>
    </row>
    <row r="250" spans="7:39" ht="14.25" customHeight="1">
      <c r="G250" s="161"/>
      <c r="AH250" s="162"/>
      <c r="AM250" s="163"/>
    </row>
    <row r="251" spans="7:39" ht="14.25" customHeight="1">
      <c r="G251" s="161"/>
      <c r="AH251" s="162"/>
      <c r="AM251" s="163"/>
    </row>
    <row r="252" spans="7:39" ht="14.25" customHeight="1">
      <c r="G252" s="161"/>
      <c r="AH252" s="162"/>
      <c r="AM252" s="163"/>
    </row>
    <row r="253" spans="7:39" ht="14.25" customHeight="1">
      <c r="G253" s="161"/>
      <c r="AH253" s="162"/>
      <c r="AM253" s="163"/>
    </row>
    <row r="254" spans="7:39" ht="14.25" customHeight="1">
      <c r="G254" s="161"/>
      <c r="AH254" s="162"/>
      <c r="AM254" s="163"/>
    </row>
    <row r="255" spans="7:39" ht="14.25" customHeight="1">
      <c r="G255" s="161"/>
      <c r="AH255" s="162"/>
      <c r="AM255" s="163"/>
    </row>
    <row r="256" spans="7:39" ht="14.25" customHeight="1">
      <c r="G256" s="161"/>
      <c r="AH256" s="162"/>
      <c r="AM256" s="163"/>
    </row>
    <row r="257" spans="7:39" ht="14.25" customHeight="1">
      <c r="G257" s="161"/>
      <c r="AH257" s="162"/>
      <c r="AM257" s="163"/>
    </row>
    <row r="258" spans="7:39" ht="14.25" customHeight="1">
      <c r="G258" s="161"/>
      <c r="AH258" s="162"/>
      <c r="AM258" s="163"/>
    </row>
    <row r="259" spans="7:39" ht="14.25" customHeight="1">
      <c r="G259" s="161"/>
      <c r="AH259" s="162"/>
      <c r="AM259" s="163"/>
    </row>
    <row r="260" spans="7:39" ht="14.25" customHeight="1">
      <c r="G260" s="161"/>
      <c r="AH260" s="162"/>
      <c r="AM260" s="163"/>
    </row>
    <row r="261" spans="7:39" ht="14.25" customHeight="1">
      <c r="G261" s="161"/>
      <c r="AH261" s="162"/>
      <c r="AM261" s="163"/>
    </row>
    <row r="262" spans="7:39" ht="14.25" customHeight="1">
      <c r="G262" s="161"/>
      <c r="AH262" s="162"/>
      <c r="AM262" s="163"/>
    </row>
    <row r="263" spans="7:39" ht="14.25" customHeight="1">
      <c r="G263" s="161"/>
      <c r="AH263" s="162"/>
      <c r="AM263" s="163"/>
    </row>
    <row r="264" spans="7:39" ht="14.25" customHeight="1">
      <c r="G264" s="161"/>
      <c r="AH264" s="162"/>
      <c r="AM264" s="163"/>
    </row>
    <row r="265" spans="7:39" ht="14.25" customHeight="1">
      <c r="G265" s="161"/>
      <c r="AH265" s="162"/>
      <c r="AM265" s="163"/>
    </row>
    <row r="266" spans="7:39" ht="14.25" customHeight="1">
      <c r="G266" s="161"/>
      <c r="AH266" s="162"/>
      <c r="AM266" s="163"/>
    </row>
    <row r="267" spans="7:39" ht="14.25" customHeight="1">
      <c r="G267" s="161"/>
      <c r="AH267" s="162"/>
      <c r="AM267" s="163"/>
    </row>
    <row r="268" spans="7:39" ht="14.25" customHeight="1">
      <c r="G268" s="161"/>
      <c r="AH268" s="162"/>
      <c r="AM268" s="163"/>
    </row>
    <row r="269" spans="7:39" ht="14.25" customHeight="1">
      <c r="G269" s="161"/>
      <c r="AH269" s="162"/>
      <c r="AM269" s="163"/>
    </row>
    <row r="270" spans="7:39" ht="14.25" customHeight="1">
      <c r="G270" s="161"/>
      <c r="AH270" s="162"/>
      <c r="AM270" s="163"/>
    </row>
    <row r="271" spans="7:39" ht="14.25" customHeight="1">
      <c r="G271" s="161"/>
      <c r="AH271" s="162"/>
      <c r="AM271" s="163"/>
    </row>
    <row r="272" spans="7:39" ht="14.25" customHeight="1">
      <c r="G272" s="161"/>
      <c r="AH272" s="162"/>
      <c r="AM272" s="163"/>
    </row>
    <row r="273" spans="7:39" ht="14.25" customHeight="1">
      <c r="G273" s="161"/>
      <c r="AH273" s="162"/>
      <c r="AM273" s="163"/>
    </row>
    <row r="274" spans="7:39" ht="14.25" customHeight="1">
      <c r="G274" s="161"/>
      <c r="AH274" s="162"/>
      <c r="AM274" s="163"/>
    </row>
    <row r="275" spans="7:39" ht="14.25" customHeight="1">
      <c r="G275" s="161"/>
      <c r="AH275" s="162"/>
      <c r="AM275" s="163"/>
    </row>
    <row r="276" spans="7:39" ht="14.25" customHeight="1">
      <c r="G276" s="161"/>
      <c r="AH276" s="162"/>
      <c r="AM276" s="163"/>
    </row>
    <row r="277" spans="7:39" ht="14.25" customHeight="1">
      <c r="G277" s="161"/>
      <c r="AH277" s="162"/>
      <c r="AM277" s="163"/>
    </row>
    <row r="278" spans="7:39" ht="14.25" customHeight="1">
      <c r="G278" s="161"/>
      <c r="AH278" s="162"/>
      <c r="AM278" s="163"/>
    </row>
    <row r="279" spans="7:39" ht="14.25" customHeight="1">
      <c r="G279" s="161"/>
      <c r="AH279" s="162"/>
      <c r="AM279" s="163"/>
    </row>
    <row r="280" spans="7:39" ht="14.25" customHeight="1">
      <c r="G280" s="161"/>
      <c r="AH280" s="162"/>
      <c r="AM280" s="163"/>
    </row>
    <row r="281" spans="7:39" ht="14.25" customHeight="1">
      <c r="G281" s="161"/>
      <c r="AH281" s="162"/>
      <c r="AM281" s="163"/>
    </row>
    <row r="282" spans="7:39" ht="14.25" customHeight="1">
      <c r="G282" s="161"/>
      <c r="AH282" s="162"/>
      <c r="AM282" s="163"/>
    </row>
    <row r="283" spans="7:39" ht="14.25" customHeight="1">
      <c r="G283" s="161"/>
      <c r="AH283" s="162"/>
      <c r="AM283" s="163"/>
    </row>
    <row r="284" spans="7:39" ht="14.25" customHeight="1">
      <c r="G284" s="161"/>
      <c r="AH284" s="162"/>
      <c r="AM284" s="163"/>
    </row>
    <row r="285" spans="7:39" ht="14.25" customHeight="1">
      <c r="G285" s="161"/>
      <c r="AH285" s="162"/>
      <c r="AM285" s="163"/>
    </row>
    <row r="286" spans="7:39" ht="14.25" customHeight="1">
      <c r="G286" s="161"/>
      <c r="AH286" s="162"/>
      <c r="AM286" s="163"/>
    </row>
    <row r="287" spans="7:39" ht="14.25" customHeight="1">
      <c r="G287" s="161"/>
      <c r="AH287" s="162"/>
      <c r="AM287" s="163"/>
    </row>
    <row r="288" spans="7:39" ht="14.25" customHeight="1">
      <c r="G288" s="161"/>
      <c r="AH288" s="162"/>
      <c r="AM288" s="163"/>
    </row>
    <row r="289" spans="7:39" ht="14.25" customHeight="1">
      <c r="G289" s="161"/>
      <c r="AH289" s="162"/>
      <c r="AM289" s="163"/>
    </row>
    <row r="290" spans="7:39" ht="14.25" customHeight="1">
      <c r="G290" s="161"/>
      <c r="AH290" s="162"/>
      <c r="AM290" s="163"/>
    </row>
    <row r="291" spans="7:39" ht="14.25" customHeight="1">
      <c r="G291" s="161"/>
      <c r="AH291" s="162"/>
      <c r="AM291" s="163"/>
    </row>
    <row r="292" spans="7:39" ht="14.25" customHeight="1">
      <c r="G292" s="161"/>
      <c r="AH292" s="162"/>
      <c r="AM292" s="163"/>
    </row>
    <row r="293" spans="7:39" ht="14.25" customHeight="1">
      <c r="G293" s="161"/>
      <c r="AH293" s="162"/>
      <c r="AM293" s="163"/>
    </row>
    <row r="294" spans="7:39" ht="14.25" customHeight="1">
      <c r="G294" s="161"/>
      <c r="AH294" s="162"/>
      <c r="AM294" s="163"/>
    </row>
    <row r="295" spans="7:39" ht="14.25" customHeight="1">
      <c r="G295" s="161"/>
      <c r="AH295" s="162"/>
      <c r="AM295" s="163"/>
    </row>
    <row r="296" spans="7:39" ht="14.25" customHeight="1">
      <c r="G296" s="161"/>
      <c r="AH296" s="162"/>
      <c r="AM296" s="163"/>
    </row>
    <row r="297" spans="7:39" ht="14.25" customHeight="1">
      <c r="G297" s="161"/>
      <c r="AH297" s="162"/>
      <c r="AM297" s="163"/>
    </row>
    <row r="298" spans="7:39" ht="14.25" customHeight="1">
      <c r="G298" s="161"/>
      <c r="AH298" s="162"/>
      <c r="AM298" s="163"/>
    </row>
    <row r="299" spans="7:39" ht="14.25" customHeight="1">
      <c r="G299" s="161"/>
      <c r="AH299" s="162"/>
      <c r="AM299" s="163"/>
    </row>
    <row r="300" spans="7:39" ht="14.25" customHeight="1">
      <c r="G300" s="161"/>
      <c r="AH300" s="162"/>
      <c r="AM300" s="163"/>
    </row>
    <row r="301" spans="7:39" ht="14.25" customHeight="1">
      <c r="G301" s="161"/>
      <c r="AH301" s="162"/>
      <c r="AM301" s="163"/>
    </row>
    <row r="302" spans="7:39" ht="14.25" customHeight="1">
      <c r="G302" s="161"/>
      <c r="AH302" s="162"/>
      <c r="AM302" s="163"/>
    </row>
    <row r="303" spans="7:39" ht="14.25" customHeight="1">
      <c r="G303" s="161"/>
      <c r="AH303" s="162"/>
      <c r="AM303" s="163"/>
    </row>
    <row r="304" spans="7:39" ht="14.25" customHeight="1">
      <c r="G304" s="161"/>
      <c r="AH304" s="162"/>
      <c r="AM304" s="163"/>
    </row>
    <row r="305" spans="7:39" ht="14.25" customHeight="1">
      <c r="G305" s="161"/>
      <c r="AH305" s="162"/>
      <c r="AM305" s="163"/>
    </row>
    <row r="306" spans="7:39" ht="14.25" customHeight="1">
      <c r="G306" s="161"/>
      <c r="AH306" s="162"/>
      <c r="AM306" s="163"/>
    </row>
    <row r="307" spans="7:39" ht="14.25" customHeight="1">
      <c r="G307" s="161"/>
      <c r="AH307" s="162"/>
      <c r="AM307" s="163"/>
    </row>
    <row r="308" spans="7:39" ht="14.25" customHeight="1">
      <c r="G308" s="161"/>
      <c r="AH308" s="162"/>
      <c r="AM308" s="163"/>
    </row>
    <row r="309" spans="7:39" ht="14.25" customHeight="1">
      <c r="G309" s="161"/>
      <c r="AH309" s="162"/>
      <c r="AM309" s="163"/>
    </row>
    <row r="310" spans="7:39" ht="14.25" customHeight="1">
      <c r="G310" s="161"/>
      <c r="AH310" s="162"/>
      <c r="AM310" s="163"/>
    </row>
    <row r="311" spans="7:39" ht="14.25" customHeight="1">
      <c r="G311" s="161"/>
      <c r="AH311" s="162"/>
      <c r="AM311" s="163"/>
    </row>
    <row r="312" spans="7:39" ht="14.25" customHeight="1">
      <c r="G312" s="161"/>
      <c r="AH312" s="162"/>
      <c r="AM312" s="163"/>
    </row>
    <row r="313" spans="7:39" ht="14.25" customHeight="1">
      <c r="G313" s="161"/>
      <c r="AH313" s="162"/>
      <c r="AM313" s="163"/>
    </row>
    <row r="314" spans="7:39" ht="14.25" customHeight="1">
      <c r="G314" s="161"/>
      <c r="AH314" s="162"/>
      <c r="AM314" s="163"/>
    </row>
    <row r="315" spans="7:39" ht="14.25" customHeight="1">
      <c r="G315" s="161"/>
      <c r="AH315" s="162"/>
      <c r="AM315" s="163"/>
    </row>
    <row r="316" spans="7:39" ht="14.25" customHeight="1">
      <c r="G316" s="161"/>
      <c r="AH316" s="162"/>
      <c r="AM316" s="163"/>
    </row>
    <row r="317" spans="7:39" ht="14.25" customHeight="1">
      <c r="G317" s="161"/>
      <c r="AH317" s="162"/>
      <c r="AM317" s="163"/>
    </row>
    <row r="318" spans="7:39" ht="14.25" customHeight="1">
      <c r="G318" s="161"/>
      <c r="AH318" s="162"/>
      <c r="AM318" s="163"/>
    </row>
    <row r="319" spans="7:39" ht="14.25" customHeight="1">
      <c r="G319" s="161"/>
      <c r="AH319" s="162"/>
      <c r="AM319" s="163"/>
    </row>
    <row r="320" spans="7:39" ht="14.25" customHeight="1">
      <c r="G320" s="161"/>
      <c r="AH320" s="162"/>
      <c r="AM320" s="163"/>
    </row>
    <row r="321" spans="7:39" ht="14.25" customHeight="1">
      <c r="G321" s="161"/>
      <c r="AH321" s="162"/>
      <c r="AM321" s="163"/>
    </row>
    <row r="322" spans="7:39" ht="14.25" customHeight="1">
      <c r="G322" s="161"/>
      <c r="AH322" s="162"/>
      <c r="AM322" s="163"/>
    </row>
    <row r="323" spans="7:39" ht="14.25" customHeight="1">
      <c r="G323" s="161"/>
      <c r="AH323" s="162"/>
      <c r="AM323" s="163"/>
    </row>
    <row r="324" spans="7:39" ht="14.25" customHeight="1">
      <c r="G324" s="161"/>
      <c r="AH324" s="162"/>
      <c r="AM324" s="163"/>
    </row>
    <row r="325" spans="7:39" ht="14.25" customHeight="1">
      <c r="G325" s="161"/>
      <c r="AH325" s="162"/>
      <c r="AM325" s="163"/>
    </row>
    <row r="326" spans="7:39" ht="14.25" customHeight="1">
      <c r="G326" s="161"/>
      <c r="AH326" s="162"/>
      <c r="AM326" s="163"/>
    </row>
    <row r="327" spans="7:39" ht="14.25" customHeight="1">
      <c r="G327" s="161"/>
      <c r="AH327" s="162"/>
      <c r="AM327" s="163"/>
    </row>
    <row r="328" spans="7:39" ht="14.25" customHeight="1">
      <c r="G328" s="161"/>
      <c r="AH328" s="162"/>
      <c r="AM328" s="163"/>
    </row>
    <row r="329" spans="7:39" ht="14.25" customHeight="1">
      <c r="G329" s="161"/>
      <c r="AH329" s="162"/>
      <c r="AM329" s="163"/>
    </row>
    <row r="330" spans="7:39" ht="14.25" customHeight="1">
      <c r="G330" s="161"/>
      <c r="AH330" s="162"/>
      <c r="AM330" s="163"/>
    </row>
    <row r="331" spans="7:39" ht="14.25" customHeight="1">
      <c r="G331" s="161"/>
      <c r="AH331" s="162"/>
      <c r="AM331" s="163"/>
    </row>
    <row r="332" spans="7:39" ht="14.25" customHeight="1">
      <c r="G332" s="161"/>
      <c r="AH332" s="162"/>
      <c r="AM332" s="163"/>
    </row>
    <row r="333" spans="7:39" ht="14.25" customHeight="1">
      <c r="G333" s="161"/>
      <c r="AH333" s="162"/>
      <c r="AM333" s="163"/>
    </row>
    <row r="334" spans="7:39" ht="14.25" customHeight="1">
      <c r="G334" s="161"/>
      <c r="AH334" s="162"/>
      <c r="AM334" s="163"/>
    </row>
    <row r="335" spans="7:39" ht="14.25" customHeight="1">
      <c r="G335" s="161"/>
      <c r="AH335" s="162"/>
      <c r="AM335" s="163"/>
    </row>
    <row r="336" spans="7:39" ht="14.25" customHeight="1">
      <c r="G336" s="161"/>
      <c r="AH336" s="162"/>
      <c r="AM336" s="163"/>
    </row>
    <row r="337" spans="7:39" ht="14.25" customHeight="1">
      <c r="G337" s="161"/>
      <c r="AH337" s="162"/>
      <c r="AM337" s="163"/>
    </row>
    <row r="338" spans="7:39" ht="14.25" customHeight="1">
      <c r="G338" s="161"/>
      <c r="AH338" s="162"/>
      <c r="AM338" s="163"/>
    </row>
    <row r="339" spans="7:39" ht="14.25" customHeight="1">
      <c r="G339" s="161"/>
      <c r="AH339" s="162"/>
      <c r="AM339" s="163"/>
    </row>
    <row r="340" spans="7:39" ht="14.25" customHeight="1">
      <c r="G340" s="161"/>
      <c r="AH340" s="162"/>
      <c r="AM340" s="163"/>
    </row>
    <row r="341" spans="7:39" ht="14.25" customHeight="1">
      <c r="G341" s="161"/>
      <c r="AH341" s="162"/>
      <c r="AM341" s="163"/>
    </row>
    <row r="342" spans="7:39" ht="14.25" customHeight="1">
      <c r="G342" s="161"/>
      <c r="AH342" s="162"/>
      <c r="AM342" s="163"/>
    </row>
    <row r="343" spans="7:39" ht="14.25" customHeight="1">
      <c r="G343" s="161"/>
      <c r="AH343" s="162"/>
      <c r="AM343" s="163"/>
    </row>
    <row r="344" spans="7:39" ht="14.25" customHeight="1">
      <c r="G344" s="161"/>
      <c r="AH344" s="162"/>
      <c r="AM344" s="163"/>
    </row>
    <row r="345" spans="7:39" ht="14.25" customHeight="1">
      <c r="G345" s="161"/>
      <c r="AH345" s="162"/>
      <c r="AM345" s="163"/>
    </row>
    <row r="346" spans="7:39" ht="14.25" customHeight="1">
      <c r="G346" s="161"/>
      <c r="AH346" s="162"/>
      <c r="AM346" s="163"/>
    </row>
    <row r="347" spans="7:39" ht="14.25" customHeight="1">
      <c r="G347" s="161"/>
      <c r="AH347" s="162"/>
      <c r="AM347" s="163"/>
    </row>
    <row r="348" spans="7:39" ht="14.25" customHeight="1">
      <c r="G348" s="161"/>
      <c r="AH348" s="162"/>
      <c r="AM348" s="163"/>
    </row>
    <row r="349" spans="7:39" ht="14.25" customHeight="1">
      <c r="G349" s="161"/>
      <c r="AH349" s="162"/>
      <c r="AM349" s="163"/>
    </row>
    <row r="350" spans="7:39" ht="14.25" customHeight="1">
      <c r="G350" s="161"/>
      <c r="AH350" s="162"/>
      <c r="AM350" s="163"/>
    </row>
    <row r="351" spans="7:39" ht="14.25" customHeight="1">
      <c r="G351" s="161"/>
      <c r="AH351" s="162"/>
      <c r="AM351" s="163"/>
    </row>
    <row r="352" spans="7:39" ht="14.25" customHeight="1">
      <c r="G352" s="161"/>
      <c r="AH352" s="162"/>
      <c r="AM352" s="163"/>
    </row>
    <row r="353" spans="7:39" ht="14.25" customHeight="1">
      <c r="G353" s="161"/>
      <c r="AH353" s="162"/>
      <c r="AM353" s="163"/>
    </row>
    <row r="354" spans="7:39" ht="14.25" customHeight="1">
      <c r="G354" s="161"/>
      <c r="AH354" s="162"/>
      <c r="AM354" s="163"/>
    </row>
    <row r="355" spans="7:39" ht="14.25" customHeight="1">
      <c r="G355" s="161"/>
      <c r="AH355" s="162"/>
      <c r="AM355" s="163"/>
    </row>
    <row r="356" spans="7:39" ht="14.25" customHeight="1">
      <c r="G356" s="161"/>
      <c r="AH356" s="162"/>
      <c r="AM356" s="163"/>
    </row>
    <row r="357" spans="7:39" ht="14.25" customHeight="1">
      <c r="G357" s="161"/>
      <c r="AH357" s="162"/>
      <c r="AM357" s="163"/>
    </row>
    <row r="358" spans="7:39" ht="14.25" customHeight="1">
      <c r="G358" s="161"/>
      <c r="AH358" s="162"/>
      <c r="AM358" s="163"/>
    </row>
    <row r="359" spans="7:39" ht="14.25" customHeight="1">
      <c r="G359" s="161"/>
      <c r="AH359" s="162"/>
      <c r="AM359" s="163"/>
    </row>
    <row r="360" spans="7:39" ht="14.25" customHeight="1">
      <c r="G360" s="161"/>
      <c r="AH360" s="162"/>
      <c r="AM360" s="163"/>
    </row>
    <row r="361" spans="7:39" ht="14.25" customHeight="1">
      <c r="G361" s="161"/>
      <c r="AH361" s="162"/>
      <c r="AM361" s="163"/>
    </row>
    <row r="362" spans="7:39" ht="14.25" customHeight="1">
      <c r="G362" s="161"/>
      <c r="AH362" s="162"/>
      <c r="AM362" s="163"/>
    </row>
    <row r="363" spans="7:39" ht="14.25" customHeight="1">
      <c r="G363" s="161"/>
      <c r="AH363" s="162"/>
      <c r="AM363" s="163"/>
    </row>
    <row r="364" spans="7:39" ht="14.25" customHeight="1">
      <c r="G364" s="161"/>
      <c r="AH364" s="162"/>
      <c r="AM364" s="163"/>
    </row>
    <row r="365" spans="7:39" ht="14.25" customHeight="1">
      <c r="G365" s="161"/>
      <c r="AH365" s="162"/>
      <c r="AM365" s="163"/>
    </row>
    <row r="366" spans="7:39" ht="14.25" customHeight="1">
      <c r="G366" s="161"/>
      <c r="AH366" s="162"/>
      <c r="AM366" s="163"/>
    </row>
    <row r="367" spans="7:39" ht="14.25" customHeight="1">
      <c r="G367" s="161"/>
      <c r="AH367" s="162"/>
      <c r="AM367" s="163"/>
    </row>
    <row r="368" spans="7:39" ht="14.25" customHeight="1">
      <c r="G368" s="161"/>
      <c r="AH368" s="162"/>
      <c r="AM368" s="163"/>
    </row>
    <row r="369" spans="7:39" ht="14.25" customHeight="1">
      <c r="G369" s="161"/>
      <c r="AH369" s="162"/>
      <c r="AM369" s="163"/>
    </row>
    <row r="370" spans="7:39" ht="14.25" customHeight="1">
      <c r="G370" s="161"/>
      <c r="AH370" s="162"/>
      <c r="AM370" s="163"/>
    </row>
    <row r="371" spans="7:39" ht="14.25" customHeight="1">
      <c r="G371" s="161"/>
      <c r="AH371" s="162"/>
      <c r="AM371" s="163"/>
    </row>
    <row r="372" spans="7:39" ht="14.25" customHeight="1">
      <c r="G372" s="161"/>
      <c r="AH372" s="162"/>
      <c r="AM372" s="163"/>
    </row>
    <row r="373" spans="7:39" ht="14.25" customHeight="1">
      <c r="G373" s="161"/>
      <c r="AH373" s="162"/>
      <c r="AM373" s="163"/>
    </row>
    <row r="374" spans="7:39" ht="14.25" customHeight="1">
      <c r="G374" s="161"/>
      <c r="AH374" s="162"/>
      <c r="AM374" s="163"/>
    </row>
    <row r="375" spans="7:39" ht="14.25" customHeight="1">
      <c r="G375" s="161"/>
      <c r="AH375" s="162"/>
      <c r="AM375" s="163"/>
    </row>
    <row r="376" spans="7:39" ht="14.25" customHeight="1">
      <c r="G376" s="161"/>
      <c r="AH376" s="162"/>
      <c r="AM376" s="163"/>
    </row>
    <row r="377" spans="7:39" ht="14.25" customHeight="1">
      <c r="G377" s="161"/>
      <c r="AH377" s="162"/>
      <c r="AM377" s="163"/>
    </row>
    <row r="378" spans="7:39" ht="14.25" customHeight="1">
      <c r="G378" s="161"/>
      <c r="AH378" s="162"/>
      <c r="AM378" s="163"/>
    </row>
    <row r="379" spans="7:39" ht="14.25" customHeight="1">
      <c r="G379" s="161"/>
      <c r="AH379" s="162"/>
      <c r="AM379" s="163"/>
    </row>
    <row r="380" spans="7:39" ht="14.25" customHeight="1">
      <c r="G380" s="161"/>
      <c r="AH380" s="162"/>
      <c r="AM380" s="163"/>
    </row>
    <row r="381" spans="7:39" ht="14.25" customHeight="1">
      <c r="G381" s="161"/>
      <c r="AH381" s="162"/>
      <c r="AM381" s="163"/>
    </row>
    <row r="382" spans="7:39" ht="14.25" customHeight="1">
      <c r="G382" s="161"/>
      <c r="AH382" s="162"/>
      <c r="AM382" s="163"/>
    </row>
    <row r="383" spans="7:39" ht="14.25" customHeight="1">
      <c r="G383" s="161"/>
      <c r="AH383" s="162"/>
      <c r="AM383" s="163"/>
    </row>
    <row r="384" spans="7:39" ht="14.25" customHeight="1">
      <c r="G384" s="161"/>
      <c r="AH384" s="162"/>
      <c r="AM384" s="163"/>
    </row>
    <row r="385" spans="7:39" ht="14.25" customHeight="1">
      <c r="G385" s="161"/>
      <c r="AH385" s="162"/>
      <c r="AM385" s="163"/>
    </row>
    <row r="386" spans="7:39" ht="14.25" customHeight="1">
      <c r="G386" s="161"/>
      <c r="AH386" s="162"/>
      <c r="AM386" s="163"/>
    </row>
    <row r="387" spans="7:39" ht="14.25" customHeight="1">
      <c r="G387" s="161"/>
      <c r="AH387" s="162"/>
      <c r="AM387" s="163"/>
    </row>
    <row r="388" spans="7:39" ht="14.25" customHeight="1">
      <c r="G388" s="161"/>
      <c r="AH388" s="162"/>
      <c r="AM388" s="163"/>
    </row>
    <row r="389" spans="7:39" ht="14.25" customHeight="1">
      <c r="G389" s="161"/>
      <c r="AH389" s="162"/>
      <c r="AM389" s="163"/>
    </row>
    <row r="390" spans="7:39" ht="14.25" customHeight="1">
      <c r="G390" s="161"/>
      <c r="AH390" s="162"/>
      <c r="AM390" s="163"/>
    </row>
    <row r="391" spans="7:39" ht="14.25" customHeight="1">
      <c r="G391" s="161"/>
      <c r="AH391" s="162"/>
      <c r="AM391" s="163"/>
    </row>
    <row r="392" spans="7:39" ht="14.25" customHeight="1">
      <c r="G392" s="161"/>
      <c r="AH392" s="162"/>
      <c r="AM392" s="163"/>
    </row>
    <row r="393" spans="7:39" ht="14.25" customHeight="1">
      <c r="G393" s="161"/>
      <c r="AH393" s="162"/>
      <c r="AM393" s="163"/>
    </row>
    <row r="394" spans="7:39" ht="14.25" customHeight="1">
      <c r="G394" s="161"/>
      <c r="AH394" s="162"/>
      <c r="AM394" s="163"/>
    </row>
    <row r="395" spans="7:39" ht="14.25" customHeight="1">
      <c r="G395" s="161"/>
      <c r="AH395" s="162"/>
      <c r="AM395" s="163"/>
    </row>
    <row r="396" spans="7:39" ht="14.25" customHeight="1">
      <c r="G396" s="161"/>
      <c r="AH396" s="162"/>
      <c r="AM396" s="163"/>
    </row>
    <row r="397" spans="7:39" ht="14.25" customHeight="1">
      <c r="G397" s="161"/>
      <c r="AH397" s="162"/>
      <c r="AM397" s="163"/>
    </row>
    <row r="398" spans="7:39" ht="14.25" customHeight="1">
      <c r="G398" s="161"/>
      <c r="AH398" s="162"/>
      <c r="AM398" s="163"/>
    </row>
    <row r="399" spans="7:39" ht="14.25" customHeight="1">
      <c r="G399" s="161"/>
      <c r="AH399" s="162"/>
      <c r="AM399" s="163"/>
    </row>
    <row r="400" spans="7:39" ht="14.25" customHeight="1">
      <c r="G400" s="161"/>
      <c r="AH400" s="162"/>
      <c r="AM400" s="163"/>
    </row>
    <row r="401" spans="7:39" ht="14.25" customHeight="1">
      <c r="G401" s="161"/>
      <c r="AH401" s="162"/>
      <c r="AM401" s="163"/>
    </row>
    <row r="402" spans="7:39" ht="14.25" customHeight="1">
      <c r="G402" s="161"/>
      <c r="AH402" s="162"/>
      <c r="AM402" s="163"/>
    </row>
    <row r="403" spans="7:39" ht="14.25" customHeight="1">
      <c r="G403" s="161"/>
      <c r="AH403" s="162"/>
      <c r="AM403" s="163"/>
    </row>
    <row r="404" spans="7:39" ht="14.25" customHeight="1">
      <c r="G404" s="161"/>
      <c r="AH404" s="162"/>
      <c r="AM404" s="163"/>
    </row>
    <row r="405" spans="7:39" ht="14.25" customHeight="1">
      <c r="G405" s="161"/>
      <c r="AH405" s="162"/>
      <c r="AM405" s="163"/>
    </row>
    <row r="406" spans="7:39" ht="14.25" customHeight="1">
      <c r="G406" s="161"/>
      <c r="AH406" s="162"/>
      <c r="AM406" s="163"/>
    </row>
    <row r="407" spans="7:39" ht="14.25" customHeight="1">
      <c r="G407" s="161"/>
      <c r="AH407" s="162"/>
      <c r="AM407" s="163"/>
    </row>
    <row r="408" spans="7:39" ht="14.25" customHeight="1">
      <c r="G408" s="161"/>
      <c r="AH408" s="162"/>
      <c r="AM408" s="163"/>
    </row>
    <row r="409" spans="7:39" ht="14.25" customHeight="1">
      <c r="G409" s="161"/>
      <c r="AH409" s="162"/>
      <c r="AM409" s="163"/>
    </row>
    <row r="410" spans="7:39" ht="14.25" customHeight="1">
      <c r="G410" s="161"/>
      <c r="AH410" s="162"/>
      <c r="AM410" s="163"/>
    </row>
    <row r="411" spans="7:39" ht="14.25" customHeight="1">
      <c r="G411" s="161"/>
      <c r="AH411" s="162"/>
      <c r="AM411" s="163"/>
    </row>
    <row r="412" spans="7:39" ht="14.25" customHeight="1">
      <c r="G412" s="161"/>
      <c r="AH412" s="162"/>
      <c r="AM412" s="163"/>
    </row>
    <row r="413" spans="7:39" ht="14.25" customHeight="1">
      <c r="G413" s="161"/>
      <c r="AH413" s="162"/>
      <c r="AM413" s="163"/>
    </row>
    <row r="414" spans="7:39" ht="14.25" customHeight="1">
      <c r="G414" s="161"/>
      <c r="AH414" s="162"/>
      <c r="AM414" s="163"/>
    </row>
    <row r="415" spans="7:39" ht="14.25" customHeight="1">
      <c r="G415" s="161"/>
      <c r="AH415" s="162"/>
      <c r="AM415" s="163"/>
    </row>
    <row r="416" spans="7:39" ht="14.25" customHeight="1">
      <c r="G416" s="161"/>
      <c r="AH416" s="162"/>
      <c r="AM416" s="163"/>
    </row>
    <row r="417" spans="7:39" ht="14.25" customHeight="1">
      <c r="G417" s="161"/>
      <c r="AH417" s="162"/>
      <c r="AM417" s="163"/>
    </row>
    <row r="418" spans="7:39" ht="14.25" customHeight="1">
      <c r="G418" s="161"/>
      <c r="AH418" s="162"/>
      <c r="AM418" s="163"/>
    </row>
    <row r="419" spans="7:39" ht="14.25" customHeight="1">
      <c r="G419" s="161"/>
      <c r="AH419" s="162"/>
      <c r="AM419" s="163"/>
    </row>
    <row r="420" spans="7:39" ht="14.25" customHeight="1">
      <c r="G420" s="161"/>
      <c r="AH420" s="162"/>
      <c r="AM420" s="163"/>
    </row>
    <row r="421" spans="7:39" ht="14.25" customHeight="1">
      <c r="G421" s="161"/>
      <c r="AH421" s="162"/>
      <c r="AM421" s="163"/>
    </row>
    <row r="422" spans="7:39" ht="14.25" customHeight="1">
      <c r="G422" s="161"/>
      <c r="AH422" s="162"/>
      <c r="AM422" s="163"/>
    </row>
    <row r="423" spans="7:39" ht="14.25" customHeight="1">
      <c r="G423" s="161"/>
      <c r="AH423" s="162"/>
      <c r="AM423" s="163"/>
    </row>
    <row r="424" spans="7:39" ht="14.25" customHeight="1">
      <c r="G424" s="161"/>
      <c r="AH424" s="162"/>
      <c r="AM424" s="163"/>
    </row>
    <row r="425" spans="7:39" ht="14.25" customHeight="1">
      <c r="G425" s="161"/>
      <c r="AH425" s="162"/>
      <c r="AM425" s="163"/>
    </row>
    <row r="426" spans="7:39" ht="14.25" customHeight="1">
      <c r="G426" s="161"/>
      <c r="AH426" s="162"/>
      <c r="AM426" s="163"/>
    </row>
    <row r="427" spans="7:39" ht="14.25" customHeight="1">
      <c r="G427" s="161"/>
      <c r="AH427" s="162"/>
      <c r="AM427" s="163"/>
    </row>
    <row r="428" spans="7:39" ht="14.25" customHeight="1">
      <c r="G428" s="161"/>
      <c r="AH428" s="162"/>
      <c r="AM428" s="163"/>
    </row>
    <row r="429" spans="7:39" ht="14.25" customHeight="1">
      <c r="G429" s="161"/>
      <c r="AH429" s="162"/>
      <c r="AM429" s="163"/>
    </row>
    <row r="430" spans="7:39" ht="14.25" customHeight="1">
      <c r="G430" s="161"/>
      <c r="AH430" s="162"/>
      <c r="AM430" s="163"/>
    </row>
    <row r="431" spans="7:39" ht="14.25" customHeight="1">
      <c r="G431" s="161"/>
      <c r="AH431" s="162"/>
      <c r="AM431" s="163"/>
    </row>
    <row r="432" spans="7:39" ht="14.25" customHeight="1">
      <c r="G432" s="161"/>
      <c r="AH432" s="162"/>
      <c r="AM432" s="163"/>
    </row>
    <row r="433" spans="7:39" ht="14.25" customHeight="1">
      <c r="G433" s="161"/>
      <c r="AH433" s="162"/>
      <c r="AM433" s="163"/>
    </row>
    <row r="434" spans="7:39" ht="14.25" customHeight="1">
      <c r="G434" s="161"/>
      <c r="AH434" s="162"/>
      <c r="AM434" s="163"/>
    </row>
    <row r="435" spans="7:39" ht="14.25" customHeight="1">
      <c r="G435" s="161"/>
      <c r="AH435" s="162"/>
      <c r="AM435" s="163"/>
    </row>
    <row r="436" spans="7:39" ht="14.25" customHeight="1">
      <c r="G436" s="161"/>
      <c r="AH436" s="162"/>
      <c r="AM436" s="163"/>
    </row>
    <row r="437" spans="7:39" ht="14.25" customHeight="1">
      <c r="G437" s="161"/>
      <c r="AH437" s="162"/>
      <c r="AM437" s="163"/>
    </row>
    <row r="438" spans="7:39" ht="14.25" customHeight="1">
      <c r="G438" s="161"/>
      <c r="AH438" s="162"/>
      <c r="AM438" s="163"/>
    </row>
    <row r="439" spans="7:39" ht="14.25" customHeight="1">
      <c r="G439" s="161"/>
      <c r="AH439" s="162"/>
      <c r="AM439" s="163"/>
    </row>
    <row r="440" spans="7:39" ht="14.25" customHeight="1">
      <c r="G440" s="161"/>
      <c r="AH440" s="162"/>
      <c r="AM440" s="163"/>
    </row>
    <row r="441" spans="7:39" ht="14.25" customHeight="1">
      <c r="G441" s="161"/>
      <c r="AH441" s="162"/>
      <c r="AM441" s="163"/>
    </row>
    <row r="442" spans="7:39" ht="14.25" customHeight="1">
      <c r="G442" s="161"/>
      <c r="AH442" s="162"/>
      <c r="AM442" s="163"/>
    </row>
    <row r="443" spans="7:39" ht="14.25" customHeight="1">
      <c r="G443" s="161"/>
      <c r="AH443" s="162"/>
      <c r="AM443" s="163"/>
    </row>
    <row r="444" spans="7:39" ht="14.25" customHeight="1">
      <c r="G444" s="161"/>
      <c r="AH444" s="162"/>
      <c r="AM444" s="163"/>
    </row>
    <row r="445" spans="7:39" ht="14.25" customHeight="1">
      <c r="G445" s="161"/>
      <c r="AH445" s="162"/>
      <c r="AM445" s="163"/>
    </row>
    <row r="446" spans="7:39" ht="14.25" customHeight="1">
      <c r="G446" s="161"/>
      <c r="AH446" s="162"/>
      <c r="AM446" s="163"/>
    </row>
    <row r="447" spans="7:39" ht="14.25" customHeight="1">
      <c r="G447" s="161"/>
      <c r="AH447" s="162"/>
      <c r="AM447" s="163"/>
    </row>
    <row r="448" spans="7:39" ht="14.25" customHeight="1">
      <c r="G448" s="161"/>
      <c r="AH448" s="162"/>
      <c r="AM448" s="163"/>
    </row>
    <row r="449" spans="7:39" ht="14.25" customHeight="1">
      <c r="G449" s="161"/>
      <c r="AH449" s="162"/>
      <c r="AM449" s="163"/>
    </row>
    <row r="450" spans="7:39" ht="14.25" customHeight="1">
      <c r="G450" s="161"/>
      <c r="AH450" s="162"/>
      <c r="AM450" s="163"/>
    </row>
    <row r="451" spans="7:39" ht="14.25" customHeight="1">
      <c r="G451" s="161"/>
      <c r="AH451" s="162"/>
      <c r="AM451" s="163"/>
    </row>
    <row r="452" spans="7:39" ht="14.25" customHeight="1">
      <c r="G452" s="161"/>
      <c r="AH452" s="162"/>
      <c r="AM452" s="163"/>
    </row>
    <row r="453" spans="7:39" ht="14.25" customHeight="1">
      <c r="G453" s="161"/>
      <c r="AH453" s="162"/>
      <c r="AM453" s="163"/>
    </row>
    <row r="454" spans="7:39" ht="14.25" customHeight="1">
      <c r="G454" s="161"/>
      <c r="AH454" s="162"/>
      <c r="AM454" s="163"/>
    </row>
    <row r="455" spans="7:39" ht="14.25" customHeight="1">
      <c r="G455" s="161"/>
      <c r="AH455" s="162"/>
      <c r="AM455" s="163"/>
    </row>
    <row r="456" spans="7:39" ht="14.25" customHeight="1">
      <c r="G456" s="161"/>
      <c r="AH456" s="162"/>
      <c r="AM456" s="163"/>
    </row>
    <row r="457" spans="7:39" ht="14.25" customHeight="1">
      <c r="G457" s="161"/>
      <c r="AH457" s="162"/>
      <c r="AM457" s="163"/>
    </row>
    <row r="458" spans="7:39" ht="14.25" customHeight="1">
      <c r="G458" s="161"/>
      <c r="AH458" s="162"/>
      <c r="AM458" s="163"/>
    </row>
    <row r="459" spans="7:39" ht="14.25" customHeight="1">
      <c r="G459" s="161"/>
      <c r="AH459" s="162"/>
      <c r="AM459" s="163"/>
    </row>
    <row r="460" spans="7:39" ht="14.25" customHeight="1">
      <c r="G460" s="161"/>
      <c r="AH460" s="162"/>
      <c r="AM460" s="163"/>
    </row>
    <row r="461" spans="7:39" ht="14.25" customHeight="1">
      <c r="G461" s="161"/>
      <c r="AH461" s="162"/>
      <c r="AM461" s="163"/>
    </row>
    <row r="462" spans="7:39" ht="14.25" customHeight="1">
      <c r="G462" s="161"/>
      <c r="AH462" s="162"/>
      <c r="AM462" s="163"/>
    </row>
    <row r="463" spans="7:39" ht="14.25" customHeight="1">
      <c r="G463" s="161"/>
      <c r="AH463" s="162"/>
      <c r="AM463" s="163"/>
    </row>
    <row r="464" spans="7:39" ht="14.25" customHeight="1">
      <c r="G464" s="161"/>
      <c r="AH464" s="162"/>
      <c r="AM464" s="163"/>
    </row>
    <row r="465" spans="7:39" ht="14.25" customHeight="1">
      <c r="G465" s="161"/>
      <c r="AH465" s="162"/>
      <c r="AM465" s="163"/>
    </row>
    <row r="466" spans="7:39" ht="14.25" customHeight="1">
      <c r="G466" s="161"/>
      <c r="AH466" s="162"/>
      <c r="AM466" s="163"/>
    </row>
    <row r="467" spans="7:39" ht="14.25" customHeight="1">
      <c r="G467" s="161"/>
      <c r="AH467" s="162"/>
      <c r="AM467" s="163"/>
    </row>
    <row r="468" spans="7:39" ht="14.25" customHeight="1">
      <c r="G468" s="161"/>
      <c r="AH468" s="162"/>
      <c r="AM468" s="163"/>
    </row>
    <row r="469" spans="7:39" ht="14.25" customHeight="1">
      <c r="G469" s="161"/>
      <c r="AH469" s="162"/>
      <c r="AM469" s="163"/>
    </row>
    <row r="470" spans="7:39" ht="14.25" customHeight="1">
      <c r="G470" s="161"/>
      <c r="AH470" s="162"/>
      <c r="AM470" s="163"/>
    </row>
    <row r="471" spans="7:39" ht="14.25" customHeight="1">
      <c r="G471" s="161"/>
      <c r="AH471" s="162"/>
      <c r="AM471" s="163"/>
    </row>
    <row r="472" spans="7:39" ht="14.25" customHeight="1">
      <c r="G472" s="161"/>
      <c r="AH472" s="162"/>
      <c r="AM472" s="163"/>
    </row>
    <row r="473" spans="7:39" ht="14.25" customHeight="1">
      <c r="G473" s="161"/>
      <c r="AH473" s="162"/>
      <c r="AM473" s="163"/>
    </row>
    <row r="474" spans="7:39" ht="14.25" customHeight="1">
      <c r="G474" s="161"/>
      <c r="AH474" s="162"/>
      <c r="AM474" s="163"/>
    </row>
    <row r="475" spans="7:39" ht="14.25" customHeight="1">
      <c r="G475" s="161"/>
      <c r="AH475" s="162"/>
      <c r="AM475" s="163"/>
    </row>
    <row r="476" spans="7:39" ht="14.25" customHeight="1">
      <c r="G476" s="161"/>
      <c r="AH476" s="162"/>
      <c r="AM476" s="163"/>
    </row>
    <row r="477" spans="7:39" ht="14.25" customHeight="1">
      <c r="G477" s="161"/>
      <c r="AH477" s="162"/>
      <c r="AM477" s="163"/>
    </row>
    <row r="478" spans="7:39" ht="14.25" customHeight="1">
      <c r="G478" s="161"/>
      <c r="AH478" s="162"/>
      <c r="AM478" s="163"/>
    </row>
    <row r="479" spans="7:39" ht="14.25" customHeight="1">
      <c r="G479" s="161"/>
      <c r="AH479" s="162"/>
      <c r="AM479" s="163"/>
    </row>
    <row r="480" spans="7:39" ht="14.25" customHeight="1">
      <c r="G480" s="161"/>
      <c r="AH480" s="162"/>
      <c r="AM480" s="163"/>
    </row>
    <row r="481" spans="7:39" ht="14.25" customHeight="1">
      <c r="G481" s="161"/>
      <c r="AH481" s="162"/>
      <c r="AM481" s="163"/>
    </row>
    <row r="482" spans="7:39" ht="14.25" customHeight="1">
      <c r="G482" s="161"/>
      <c r="AH482" s="162"/>
      <c r="AM482" s="163"/>
    </row>
    <row r="483" spans="7:39" ht="14.25" customHeight="1">
      <c r="G483" s="161"/>
      <c r="AH483" s="162"/>
      <c r="AM483" s="163"/>
    </row>
    <row r="484" spans="7:39" ht="14.25" customHeight="1">
      <c r="G484" s="161"/>
      <c r="AH484" s="162"/>
      <c r="AM484" s="163"/>
    </row>
    <row r="485" spans="7:39" ht="14.25" customHeight="1">
      <c r="G485" s="161"/>
      <c r="AH485" s="162"/>
      <c r="AM485" s="163"/>
    </row>
    <row r="486" spans="7:39" ht="14.25" customHeight="1">
      <c r="G486" s="161"/>
      <c r="AH486" s="162"/>
      <c r="AM486" s="163"/>
    </row>
    <row r="487" spans="7:39" ht="14.25" customHeight="1">
      <c r="G487" s="161"/>
      <c r="AH487" s="162"/>
      <c r="AM487" s="163"/>
    </row>
    <row r="488" spans="7:39" ht="14.25" customHeight="1">
      <c r="G488" s="161"/>
      <c r="AH488" s="162"/>
      <c r="AM488" s="163"/>
    </row>
    <row r="489" spans="7:39" ht="14.25" customHeight="1">
      <c r="G489" s="161"/>
      <c r="AH489" s="162"/>
      <c r="AM489" s="163"/>
    </row>
    <row r="490" spans="7:39" ht="14.25" customHeight="1">
      <c r="G490" s="161"/>
      <c r="AH490" s="162"/>
      <c r="AM490" s="163"/>
    </row>
    <row r="491" spans="7:39" ht="14.25" customHeight="1">
      <c r="G491" s="161"/>
      <c r="AH491" s="162"/>
      <c r="AM491" s="163"/>
    </row>
    <row r="492" spans="7:39" ht="14.25" customHeight="1">
      <c r="G492" s="161"/>
      <c r="AH492" s="162"/>
      <c r="AM492" s="163"/>
    </row>
    <row r="493" spans="7:39" ht="14.25" customHeight="1">
      <c r="G493" s="161"/>
      <c r="AH493" s="162"/>
      <c r="AM493" s="163"/>
    </row>
    <row r="494" spans="7:39" ht="14.25" customHeight="1">
      <c r="G494" s="161"/>
      <c r="AH494" s="162"/>
      <c r="AM494" s="163"/>
    </row>
    <row r="495" spans="7:39" ht="14.25" customHeight="1">
      <c r="G495" s="161"/>
      <c r="AH495" s="162"/>
      <c r="AM495" s="163"/>
    </row>
    <row r="496" spans="7:39" ht="14.25" customHeight="1">
      <c r="G496" s="161"/>
      <c r="AH496" s="162"/>
      <c r="AM496" s="163"/>
    </row>
    <row r="497" spans="7:39" ht="14.25" customHeight="1">
      <c r="G497" s="161"/>
      <c r="AH497" s="162"/>
      <c r="AM497" s="163"/>
    </row>
    <row r="498" spans="7:39" ht="14.25" customHeight="1">
      <c r="G498" s="161"/>
      <c r="AH498" s="162"/>
      <c r="AM498" s="163"/>
    </row>
    <row r="499" spans="7:39" ht="14.25" customHeight="1">
      <c r="G499" s="161"/>
      <c r="AH499" s="162"/>
      <c r="AM499" s="163"/>
    </row>
    <row r="500" spans="7:39" ht="14.25" customHeight="1">
      <c r="G500" s="161"/>
      <c r="AH500" s="162"/>
      <c r="AM500" s="163"/>
    </row>
    <row r="501" spans="7:39" ht="14.25" customHeight="1">
      <c r="G501" s="161"/>
      <c r="AH501" s="162"/>
      <c r="AM501" s="163"/>
    </row>
    <row r="502" spans="7:39" ht="14.25" customHeight="1">
      <c r="G502" s="161"/>
      <c r="AH502" s="162"/>
      <c r="AM502" s="163"/>
    </row>
    <row r="503" spans="7:39" ht="14.25" customHeight="1">
      <c r="G503" s="161"/>
      <c r="AH503" s="162"/>
      <c r="AM503" s="163"/>
    </row>
    <row r="504" spans="7:39" ht="14.25" customHeight="1">
      <c r="G504" s="161"/>
      <c r="AH504" s="162"/>
      <c r="AM504" s="163"/>
    </row>
    <row r="505" spans="7:39" ht="14.25" customHeight="1">
      <c r="G505" s="161"/>
      <c r="AH505" s="162"/>
      <c r="AM505" s="163"/>
    </row>
    <row r="506" spans="7:39" ht="14.25" customHeight="1">
      <c r="G506" s="161"/>
      <c r="AH506" s="162"/>
      <c r="AM506" s="163"/>
    </row>
    <row r="507" spans="7:39" ht="14.25" customHeight="1">
      <c r="G507" s="161"/>
      <c r="AH507" s="162"/>
      <c r="AM507" s="163"/>
    </row>
    <row r="508" spans="7:39" ht="14.25" customHeight="1">
      <c r="G508" s="161"/>
      <c r="AH508" s="162"/>
      <c r="AM508" s="163"/>
    </row>
    <row r="509" spans="7:39" ht="14.25" customHeight="1">
      <c r="G509" s="161"/>
      <c r="AH509" s="162"/>
      <c r="AM509" s="163"/>
    </row>
    <row r="510" spans="7:39" ht="14.25" customHeight="1">
      <c r="G510" s="161"/>
      <c r="AH510" s="162"/>
      <c r="AM510" s="163"/>
    </row>
    <row r="511" spans="7:39" ht="14.25" customHeight="1">
      <c r="G511" s="161"/>
      <c r="AH511" s="162"/>
      <c r="AM511" s="163"/>
    </row>
    <row r="512" spans="7:39" ht="14.25" customHeight="1">
      <c r="G512" s="161"/>
      <c r="AH512" s="162"/>
      <c r="AM512" s="163"/>
    </row>
    <row r="513" spans="7:39" ht="14.25" customHeight="1">
      <c r="G513" s="161"/>
      <c r="AH513" s="162"/>
      <c r="AM513" s="163"/>
    </row>
    <row r="514" spans="7:39" ht="14.25" customHeight="1">
      <c r="G514" s="161"/>
      <c r="AH514" s="162"/>
      <c r="AM514" s="163"/>
    </row>
    <row r="515" spans="7:39" ht="14.25" customHeight="1">
      <c r="G515" s="161"/>
      <c r="AH515" s="162"/>
      <c r="AM515" s="163"/>
    </row>
    <row r="516" spans="7:39" ht="14.25" customHeight="1">
      <c r="G516" s="161"/>
      <c r="AH516" s="162"/>
      <c r="AM516" s="163"/>
    </row>
    <row r="517" spans="7:39" ht="14.25" customHeight="1">
      <c r="G517" s="161"/>
      <c r="AH517" s="162"/>
      <c r="AM517" s="163"/>
    </row>
    <row r="518" spans="7:39" ht="14.25" customHeight="1">
      <c r="G518" s="161"/>
      <c r="AH518" s="162"/>
      <c r="AM518" s="163"/>
    </row>
    <row r="519" spans="7:39" ht="14.25" customHeight="1">
      <c r="G519" s="161"/>
      <c r="AH519" s="162"/>
      <c r="AM519" s="163"/>
    </row>
    <row r="520" spans="7:39" ht="14.25" customHeight="1">
      <c r="G520" s="161"/>
      <c r="AH520" s="162"/>
      <c r="AM520" s="163"/>
    </row>
    <row r="521" spans="7:39" ht="14.25" customHeight="1">
      <c r="G521" s="161"/>
      <c r="AH521" s="162"/>
      <c r="AM521" s="163"/>
    </row>
    <row r="522" spans="7:39" ht="14.25" customHeight="1">
      <c r="G522" s="161"/>
      <c r="AH522" s="162"/>
      <c r="AM522" s="163"/>
    </row>
    <row r="523" spans="7:39" ht="14.25" customHeight="1">
      <c r="G523" s="161"/>
      <c r="AH523" s="162"/>
      <c r="AM523" s="163"/>
    </row>
    <row r="524" spans="7:39" ht="14.25" customHeight="1">
      <c r="G524" s="161"/>
      <c r="AH524" s="162"/>
      <c r="AM524" s="163"/>
    </row>
    <row r="525" spans="7:39" ht="14.25" customHeight="1">
      <c r="G525" s="161"/>
      <c r="AH525" s="162"/>
      <c r="AM525" s="163"/>
    </row>
    <row r="526" spans="7:39" ht="14.25" customHeight="1">
      <c r="G526" s="161"/>
      <c r="AH526" s="162"/>
      <c r="AM526" s="163"/>
    </row>
    <row r="527" spans="7:39" ht="14.25" customHeight="1">
      <c r="G527" s="161"/>
      <c r="AH527" s="162"/>
      <c r="AM527" s="163"/>
    </row>
    <row r="528" spans="7:39" ht="14.25" customHeight="1">
      <c r="G528" s="161"/>
      <c r="AH528" s="162"/>
      <c r="AM528" s="163"/>
    </row>
    <row r="529" spans="7:39" ht="14.25" customHeight="1">
      <c r="G529" s="161"/>
      <c r="AH529" s="162"/>
      <c r="AM529" s="163"/>
    </row>
    <row r="530" spans="7:39" ht="14.25" customHeight="1">
      <c r="G530" s="161"/>
      <c r="AH530" s="162"/>
      <c r="AM530" s="163"/>
    </row>
    <row r="531" spans="7:39" ht="14.25" customHeight="1">
      <c r="G531" s="161"/>
      <c r="AH531" s="162"/>
      <c r="AM531" s="163"/>
    </row>
    <row r="532" spans="7:39" ht="14.25" customHeight="1">
      <c r="G532" s="161"/>
      <c r="AH532" s="162"/>
      <c r="AM532" s="163"/>
    </row>
    <row r="533" spans="7:39" ht="14.25" customHeight="1">
      <c r="G533" s="161"/>
      <c r="AH533" s="162"/>
      <c r="AM533" s="163"/>
    </row>
    <row r="534" spans="7:39" ht="14.25" customHeight="1">
      <c r="G534" s="161"/>
      <c r="AH534" s="162"/>
      <c r="AM534" s="163"/>
    </row>
    <row r="535" spans="7:39" ht="14.25" customHeight="1">
      <c r="G535" s="161"/>
      <c r="AH535" s="162"/>
      <c r="AM535" s="163"/>
    </row>
    <row r="536" spans="7:39" ht="14.25" customHeight="1">
      <c r="G536" s="161"/>
      <c r="AH536" s="162"/>
      <c r="AM536" s="163"/>
    </row>
    <row r="537" spans="7:39" ht="14.25" customHeight="1">
      <c r="G537" s="161"/>
      <c r="AH537" s="162"/>
      <c r="AM537" s="163"/>
    </row>
    <row r="538" spans="7:39" ht="14.25" customHeight="1">
      <c r="G538" s="161"/>
      <c r="AH538" s="162"/>
      <c r="AM538" s="163"/>
    </row>
    <row r="539" spans="7:39" ht="14.25" customHeight="1">
      <c r="G539" s="161"/>
      <c r="AH539" s="162"/>
      <c r="AM539" s="163"/>
    </row>
    <row r="540" spans="7:39" ht="14.25" customHeight="1">
      <c r="G540" s="161"/>
      <c r="AH540" s="162"/>
      <c r="AM540" s="163"/>
    </row>
    <row r="541" spans="7:39" ht="14.25" customHeight="1">
      <c r="G541" s="161"/>
      <c r="AH541" s="162"/>
      <c r="AM541" s="163"/>
    </row>
    <row r="542" spans="7:39" ht="14.25" customHeight="1">
      <c r="G542" s="161"/>
      <c r="AH542" s="162"/>
      <c r="AM542" s="163"/>
    </row>
    <row r="543" spans="7:39" ht="14.25" customHeight="1">
      <c r="G543" s="161"/>
      <c r="AH543" s="162"/>
      <c r="AM543" s="163"/>
    </row>
    <row r="544" spans="7:39" ht="14.25" customHeight="1">
      <c r="G544" s="161"/>
      <c r="AH544" s="162"/>
      <c r="AM544" s="163"/>
    </row>
    <row r="545" spans="7:39" ht="14.25" customHeight="1">
      <c r="G545" s="161"/>
      <c r="AH545" s="162"/>
      <c r="AM545" s="163"/>
    </row>
    <row r="546" spans="7:39" ht="14.25" customHeight="1">
      <c r="G546" s="161"/>
      <c r="AH546" s="162"/>
      <c r="AM546" s="163"/>
    </row>
    <row r="547" spans="7:39" ht="14.25" customHeight="1">
      <c r="G547" s="161"/>
      <c r="AH547" s="162"/>
      <c r="AM547" s="163"/>
    </row>
    <row r="548" spans="7:39" ht="14.25" customHeight="1">
      <c r="G548" s="161"/>
      <c r="AH548" s="162"/>
      <c r="AM548" s="163"/>
    </row>
    <row r="549" spans="7:39" ht="14.25" customHeight="1">
      <c r="G549" s="161"/>
      <c r="AH549" s="162"/>
      <c r="AM549" s="163"/>
    </row>
    <row r="550" spans="7:39" ht="14.25" customHeight="1">
      <c r="G550" s="161"/>
      <c r="AH550" s="162"/>
      <c r="AM550" s="163"/>
    </row>
    <row r="551" spans="7:39" ht="14.25" customHeight="1">
      <c r="G551" s="161"/>
      <c r="AH551" s="162"/>
      <c r="AM551" s="163"/>
    </row>
    <row r="552" spans="7:39" ht="14.25" customHeight="1">
      <c r="G552" s="161"/>
      <c r="AH552" s="162"/>
      <c r="AM552" s="163"/>
    </row>
    <row r="553" spans="7:39" ht="14.25" customHeight="1">
      <c r="G553" s="161"/>
      <c r="AH553" s="162"/>
      <c r="AM553" s="163"/>
    </row>
    <row r="554" spans="7:39" ht="14.25" customHeight="1">
      <c r="G554" s="161"/>
      <c r="AH554" s="162"/>
      <c r="AM554" s="163"/>
    </row>
    <row r="555" spans="7:39" ht="14.25" customHeight="1">
      <c r="G555" s="161"/>
      <c r="AH555" s="162"/>
      <c r="AM555" s="163"/>
    </row>
    <row r="556" spans="7:39" ht="14.25" customHeight="1">
      <c r="G556" s="161"/>
      <c r="AH556" s="162"/>
      <c r="AM556" s="163"/>
    </row>
    <row r="557" spans="7:39" ht="14.25" customHeight="1">
      <c r="G557" s="161"/>
      <c r="AH557" s="162"/>
      <c r="AM557" s="163"/>
    </row>
    <row r="558" spans="7:39" ht="14.25" customHeight="1">
      <c r="G558" s="161"/>
      <c r="AH558" s="162"/>
      <c r="AM558" s="163"/>
    </row>
    <row r="559" spans="7:39" ht="14.25" customHeight="1">
      <c r="G559" s="161"/>
      <c r="AH559" s="162"/>
      <c r="AM559" s="163"/>
    </row>
    <row r="560" spans="7:39" ht="14.25" customHeight="1">
      <c r="G560" s="161"/>
      <c r="AH560" s="162"/>
      <c r="AM560" s="163"/>
    </row>
    <row r="561" spans="7:39" ht="14.25" customHeight="1">
      <c r="G561" s="161"/>
      <c r="AH561" s="162"/>
      <c r="AM561" s="163"/>
    </row>
    <row r="562" spans="7:39" ht="14.25" customHeight="1">
      <c r="G562" s="161"/>
      <c r="AH562" s="162"/>
      <c r="AM562" s="163"/>
    </row>
    <row r="563" spans="7:39" ht="14.25" customHeight="1">
      <c r="G563" s="161"/>
      <c r="AH563" s="162"/>
      <c r="AM563" s="163"/>
    </row>
    <row r="564" spans="7:39" ht="14.25" customHeight="1">
      <c r="G564" s="161"/>
      <c r="AH564" s="162"/>
      <c r="AM564" s="163"/>
    </row>
    <row r="565" spans="7:39" ht="14.25" customHeight="1">
      <c r="G565" s="161"/>
      <c r="AH565" s="162"/>
      <c r="AM565" s="163"/>
    </row>
    <row r="566" spans="7:39" ht="14.25" customHeight="1">
      <c r="G566" s="161"/>
      <c r="AH566" s="162"/>
      <c r="AM566" s="163"/>
    </row>
    <row r="567" spans="7:39" ht="14.25" customHeight="1">
      <c r="G567" s="161"/>
      <c r="AH567" s="162"/>
      <c r="AM567" s="163"/>
    </row>
    <row r="568" spans="7:39" ht="14.25" customHeight="1">
      <c r="G568" s="161"/>
      <c r="AH568" s="162"/>
      <c r="AM568" s="163"/>
    </row>
    <row r="569" spans="7:39" ht="14.25" customHeight="1">
      <c r="G569" s="161"/>
      <c r="AH569" s="162"/>
      <c r="AM569" s="163"/>
    </row>
    <row r="570" spans="7:39" ht="14.25" customHeight="1">
      <c r="G570" s="161"/>
      <c r="AH570" s="162"/>
      <c r="AM570" s="163"/>
    </row>
    <row r="571" spans="7:39" ht="14.25" customHeight="1">
      <c r="G571" s="161"/>
      <c r="AH571" s="162"/>
      <c r="AM571" s="163"/>
    </row>
    <row r="572" spans="7:39" ht="14.25" customHeight="1">
      <c r="G572" s="161"/>
      <c r="AH572" s="162"/>
      <c r="AM572" s="163"/>
    </row>
    <row r="573" spans="7:39" ht="14.25" customHeight="1">
      <c r="G573" s="161"/>
      <c r="AH573" s="162"/>
      <c r="AM573" s="163"/>
    </row>
    <row r="574" spans="7:39" ht="14.25" customHeight="1">
      <c r="G574" s="161"/>
      <c r="AH574" s="162"/>
      <c r="AM574" s="163"/>
    </row>
    <row r="575" spans="7:39" ht="14.25" customHeight="1">
      <c r="G575" s="161"/>
      <c r="AH575" s="162"/>
      <c r="AM575" s="163"/>
    </row>
    <row r="576" spans="7:39" ht="14.25" customHeight="1">
      <c r="G576" s="161"/>
      <c r="AH576" s="162"/>
      <c r="AM576" s="163"/>
    </row>
    <row r="577" spans="7:39" ht="14.25" customHeight="1">
      <c r="G577" s="161"/>
      <c r="AH577" s="162"/>
      <c r="AM577" s="163"/>
    </row>
    <row r="578" spans="7:39" ht="14.25" customHeight="1">
      <c r="G578" s="161"/>
      <c r="AH578" s="162"/>
      <c r="AM578" s="163"/>
    </row>
    <row r="579" spans="7:39" ht="14.25" customHeight="1">
      <c r="G579" s="161"/>
      <c r="AH579" s="162"/>
      <c r="AM579" s="163"/>
    </row>
    <row r="580" spans="7:39" ht="14.25" customHeight="1">
      <c r="G580" s="161"/>
      <c r="AH580" s="162"/>
      <c r="AM580" s="163"/>
    </row>
    <row r="581" spans="7:39" ht="14.25" customHeight="1">
      <c r="G581" s="161"/>
      <c r="AH581" s="162"/>
      <c r="AM581" s="163"/>
    </row>
    <row r="582" spans="7:39" ht="14.25" customHeight="1">
      <c r="G582" s="161"/>
      <c r="AH582" s="162"/>
      <c r="AM582" s="163"/>
    </row>
    <row r="583" spans="7:39" ht="14.25" customHeight="1">
      <c r="G583" s="161"/>
      <c r="AH583" s="162"/>
      <c r="AM583" s="163"/>
    </row>
    <row r="584" spans="7:39" ht="14.25" customHeight="1">
      <c r="G584" s="161"/>
      <c r="AH584" s="162"/>
      <c r="AM584" s="163"/>
    </row>
    <row r="585" spans="7:39" ht="14.25" customHeight="1">
      <c r="G585" s="161"/>
      <c r="AH585" s="162"/>
      <c r="AM585" s="163"/>
    </row>
    <row r="586" spans="7:39" ht="14.25" customHeight="1">
      <c r="G586" s="161"/>
      <c r="AH586" s="162"/>
      <c r="AM586" s="163"/>
    </row>
    <row r="587" spans="7:39" ht="14.25" customHeight="1">
      <c r="G587" s="161"/>
      <c r="AH587" s="162"/>
      <c r="AM587" s="163"/>
    </row>
    <row r="588" spans="7:39" ht="14.25" customHeight="1">
      <c r="G588" s="161"/>
      <c r="AH588" s="162"/>
      <c r="AM588" s="163"/>
    </row>
    <row r="589" spans="7:39" ht="14.25" customHeight="1">
      <c r="G589" s="161"/>
      <c r="AH589" s="162"/>
      <c r="AM589" s="163"/>
    </row>
    <row r="590" spans="7:39" ht="14.25" customHeight="1">
      <c r="G590" s="161"/>
      <c r="AH590" s="162"/>
      <c r="AM590" s="163"/>
    </row>
    <row r="591" spans="7:39" ht="14.25" customHeight="1">
      <c r="G591" s="161"/>
      <c r="AH591" s="162"/>
      <c r="AM591" s="163"/>
    </row>
    <row r="592" spans="7:39" ht="14.25" customHeight="1">
      <c r="G592" s="161"/>
      <c r="AH592" s="162"/>
      <c r="AM592" s="163"/>
    </row>
    <row r="593" spans="7:39" ht="14.25" customHeight="1">
      <c r="G593" s="161"/>
      <c r="AH593" s="162"/>
      <c r="AM593" s="163"/>
    </row>
    <row r="594" spans="7:39" ht="14.25" customHeight="1">
      <c r="G594" s="161"/>
      <c r="AH594" s="162"/>
      <c r="AM594" s="163"/>
    </row>
    <row r="595" spans="7:39" ht="14.25" customHeight="1">
      <c r="G595" s="161"/>
      <c r="AH595" s="162"/>
      <c r="AM595" s="163"/>
    </row>
    <row r="596" spans="7:39" ht="14.25" customHeight="1">
      <c r="G596" s="161"/>
      <c r="AH596" s="162"/>
      <c r="AM596" s="163"/>
    </row>
    <row r="597" spans="7:39" ht="14.25" customHeight="1">
      <c r="G597" s="161"/>
      <c r="AH597" s="162"/>
      <c r="AM597" s="163"/>
    </row>
    <row r="598" spans="7:39" ht="14.25" customHeight="1">
      <c r="G598" s="161"/>
      <c r="AH598" s="162"/>
      <c r="AM598" s="163"/>
    </row>
    <row r="599" spans="7:39" ht="14.25" customHeight="1">
      <c r="G599" s="161"/>
      <c r="AH599" s="162"/>
      <c r="AM599" s="163"/>
    </row>
    <row r="600" spans="7:39" ht="14.25" customHeight="1">
      <c r="G600" s="161"/>
      <c r="AH600" s="162"/>
      <c r="AM600" s="163"/>
    </row>
    <row r="601" spans="7:39" ht="14.25" customHeight="1">
      <c r="G601" s="161"/>
      <c r="AH601" s="162"/>
      <c r="AM601" s="163"/>
    </row>
    <row r="602" spans="7:39" ht="14.25" customHeight="1">
      <c r="G602" s="161"/>
      <c r="AH602" s="162"/>
      <c r="AM602" s="163"/>
    </row>
    <row r="603" spans="7:39" ht="14.25" customHeight="1">
      <c r="G603" s="161"/>
      <c r="AH603" s="162"/>
      <c r="AM603" s="163"/>
    </row>
    <row r="604" spans="7:39" ht="14.25" customHeight="1">
      <c r="G604" s="161"/>
      <c r="AH604" s="162"/>
      <c r="AM604" s="163"/>
    </row>
    <row r="605" spans="7:39" ht="14.25" customHeight="1">
      <c r="G605" s="161"/>
      <c r="AH605" s="162"/>
      <c r="AM605" s="163"/>
    </row>
    <row r="606" spans="7:39" ht="14.25" customHeight="1">
      <c r="G606" s="161"/>
      <c r="AH606" s="162"/>
      <c r="AM606" s="163"/>
    </row>
    <row r="607" spans="7:39" ht="14.25" customHeight="1">
      <c r="G607" s="161"/>
      <c r="AH607" s="162"/>
      <c r="AM607" s="163"/>
    </row>
    <row r="608" spans="7:39" ht="14.25" customHeight="1">
      <c r="G608" s="161"/>
      <c r="AH608" s="162"/>
      <c r="AM608" s="163"/>
    </row>
    <row r="609" spans="7:39" ht="14.25" customHeight="1">
      <c r="G609" s="161"/>
      <c r="AH609" s="162"/>
      <c r="AM609" s="163"/>
    </row>
    <row r="610" spans="7:39" ht="14.25" customHeight="1">
      <c r="G610" s="161"/>
      <c r="AH610" s="162"/>
      <c r="AM610" s="163"/>
    </row>
    <row r="611" spans="7:39" ht="14.25" customHeight="1">
      <c r="G611" s="161"/>
      <c r="AH611" s="162"/>
      <c r="AM611" s="163"/>
    </row>
    <row r="612" spans="7:39" ht="14.25" customHeight="1">
      <c r="G612" s="161"/>
      <c r="AH612" s="162"/>
      <c r="AM612" s="163"/>
    </row>
    <row r="613" spans="7:39" ht="14.25" customHeight="1">
      <c r="G613" s="161"/>
      <c r="AH613" s="162"/>
      <c r="AM613" s="163"/>
    </row>
    <row r="614" spans="7:39" ht="14.25" customHeight="1">
      <c r="G614" s="161"/>
      <c r="AH614" s="162"/>
      <c r="AM614" s="163"/>
    </row>
    <row r="615" spans="7:39" ht="14.25" customHeight="1">
      <c r="G615" s="161"/>
      <c r="AH615" s="162"/>
      <c r="AM615" s="163"/>
    </row>
    <row r="616" spans="7:39" ht="14.25" customHeight="1">
      <c r="G616" s="161"/>
      <c r="AH616" s="162"/>
      <c r="AM616" s="163"/>
    </row>
    <row r="617" spans="7:39" ht="14.25" customHeight="1">
      <c r="G617" s="161"/>
      <c r="AH617" s="162"/>
      <c r="AM617" s="163"/>
    </row>
    <row r="618" spans="7:39" ht="14.25" customHeight="1">
      <c r="G618" s="161"/>
      <c r="AH618" s="162"/>
      <c r="AM618" s="163"/>
    </row>
    <row r="619" spans="7:39" ht="14.25" customHeight="1">
      <c r="G619" s="161"/>
      <c r="AH619" s="162"/>
      <c r="AM619" s="163"/>
    </row>
    <row r="620" spans="7:39" ht="14.25" customHeight="1">
      <c r="G620" s="161"/>
      <c r="AH620" s="162"/>
      <c r="AM620" s="163"/>
    </row>
    <row r="621" spans="7:39" ht="14.25" customHeight="1">
      <c r="G621" s="161"/>
      <c r="AH621" s="162"/>
      <c r="AM621" s="163"/>
    </row>
    <row r="622" spans="7:39" ht="14.25" customHeight="1">
      <c r="G622" s="161"/>
      <c r="AH622" s="162"/>
      <c r="AM622" s="163"/>
    </row>
    <row r="623" spans="7:39" ht="14.25" customHeight="1">
      <c r="G623" s="161"/>
      <c r="AH623" s="162"/>
      <c r="AM623" s="163"/>
    </row>
    <row r="624" spans="7:39" ht="14.25" customHeight="1">
      <c r="G624" s="161"/>
      <c r="AH624" s="162"/>
      <c r="AM624" s="163"/>
    </row>
    <row r="625" spans="7:39" ht="14.25" customHeight="1">
      <c r="G625" s="161"/>
      <c r="AH625" s="162"/>
      <c r="AM625" s="163"/>
    </row>
    <row r="626" spans="7:39" ht="14.25" customHeight="1">
      <c r="G626" s="161"/>
      <c r="AH626" s="162"/>
      <c r="AM626" s="163"/>
    </row>
    <row r="627" spans="7:39" ht="14.25" customHeight="1">
      <c r="G627" s="161"/>
      <c r="AH627" s="162"/>
      <c r="AM627" s="163"/>
    </row>
    <row r="628" spans="7:39" ht="14.25" customHeight="1">
      <c r="G628" s="161"/>
      <c r="AH628" s="162"/>
      <c r="AM628" s="163"/>
    </row>
    <row r="629" spans="7:39" ht="14.25" customHeight="1">
      <c r="G629" s="161"/>
      <c r="AH629" s="162"/>
      <c r="AM629" s="163"/>
    </row>
    <row r="630" spans="7:39" ht="14.25" customHeight="1">
      <c r="G630" s="161"/>
      <c r="AH630" s="162"/>
      <c r="AM630" s="163"/>
    </row>
    <row r="631" spans="7:39" ht="14.25" customHeight="1">
      <c r="G631" s="161"/>
      <c r="AH631" s="162"/>
      <c r="AM631" s="163"/>
    </row>
    <row r="632" spans="7:39" ht="14.25" customHeight="1">
      <c r="G632" s="161"/>
      <c r="AH632" s="162"/>
      <c r="AM632" s="163"/>
    </row>
    <row r="633" spans="7:39" ht="14.25" customHeight="1">
      <c r="G633" s="161"/>
      <c r="AH633" s="162"/>
      <c r="AM633" s="163"/>
    </row>
    <row r="634" spans="7:39" ht="14.25" customHeight="1">
      <c r="G634" s="161"/>
      <c r="AH634" s="162"/>
      <c r="AM634" s="163"/>
    </row>
    <row r="635" spans="7:39" ht="14.25" customHeight="1">
      <c r="G635" s="161"/>
      <c r="AH635" s="162"/>
      <c r="AM635" s="163"/>
    </row>
    <row r="636" spans="7:39" ht="14.25" customHeight="1">
      <c r="G636" s="161"/>
      <c r="AH636" s="162"/>
      <c r="AM636" s="163"/>
    </row>
    <row r="637" spans="7:39" ht="14.25" customHeight="1">
      <c r="G637" s="161"/>
      <c r="AH637" s="162"/>
      <c r="AM637" s="163"/>
    </row>
    <row r="638" spans="7:39" ht="14.25" customHeight="1">
      <c r="G638" s="161"/>
      <c r="AH638" s="162"/>
      <c r="AM638" s="163"/>
    </row>
    <row r="639" spans="7:39" ht="14.25" customHeight="1">
      <c r="G639" s="161"/>
      <c r="AH639" s="162"/>
      <c r="AM639" s="163"/>
    </row>
    <row r="640" spans="7:39" ht="14.25" customHeight="1">
      <c r="G640" s="161"/>
      <c r="AH640" s="162"/>
      <c r="AM640" s="163"/>
    </row>
    <row r="641" spans="7:39" ht="14.25" customHeight="1">
      <c r="G641" s="161"/>
      <c r="AH641" s="162"/>
      <c r="AM641" s="163"/>
    </row>
    <row r="642" spans="7:39" ht="14.25" customHeight="1">
      <c r="G642" s="161"/>
      <c r="AH642" s="162"/>
      <c r="AM642" s="163"/>
    </row>
    <row r="643" spans="7:39" ht="14.25" customHeight="1">
      <c r="G643" s="161"/>
      <c r="AH643" s="162"/>
      <c r="AM643" s="163"/>
    </row>
    <row r="644" spans="7:39" ht="14.25" customHeight="1">
      <c r="G644" s="161"/>
      <c r="AH644" s="162"/>
      <c r="AM644" s="163"/>
    </row>
    <row r="645" spans="7:39" ht="14.25" customHeight="1">
      <c r="G645" s="161"/>
      <c r="AH645" s="162"/>
      <c r="AM645" s="163"/>
    </row>
    <row r="646" spans="7:39" ht="14.25" customHeight="1">
      <c r="G646" s="161"/>
      <c r="AH646" s="162"/>
      <c r="AM646" s="163"/>
    </row>
    <row r="647" spans="7:39" ht="14.25" customHeight="1">
      <c r="G647" s="161"/>
      <c r="AH647" s="162"/>
      <c r="AM647" s="163"/>
    </row>
    <row r="648" spans="7:39" ht="14.25" customHeight="1">
      <c r="G648" s="161"/>
      <c r="AH648" s="162"/>
      <c r="AM648" s="163"/>
    </row>
    <row r="649" spans="7:39" ht="14.25" customHeight="1">
      <c r="G649" s="161"/>
      <c r="AH649" s="162"/>
      <c r="AM649" s="163"/>
    </row>
    <row r="650" spans="7:39" ht="14.25" customHeight="1">
      <c r="G650" s="161"/>
      <c r="AH650" s="162"/>
      <c r="AM650" s="163"/>
    </row>
    <row r="651" spans="7:39" ht="14.25" customHeight="1">
      <c r="G651" s="161"/>
      <c r="AH651" s="162"/>
      <c r="AM651" s="163"/>
    </row>
    <row r="652" spans="7:39" ht="14.25" customHeight="1">
      <c r="G652" s="161"/>
      <c r="AH652" s="162"/>
      <c r="AM652" s="163"/>
    </row>
    <row r="653" spans="7:39" ht="14.25" customHeight="1">
      <c r="G653" s="161"/>
      <c r="AH653" s="162"/>
      <c r="AM653" s="163"/>
    </row>
    <row r="654" spans="7:39" ht="14.25" customHeight="1">
      <c r="G654" s="161"/>
      <c r="AH654" s="162"/>
      <c r="AM654" s="163"/>
    </row>
    <row r="655" spans="7:39" ht="14.25" customHeight="1">
      <c r="G655" s="161"/>
      <c r="AH655" s="162"/>
      <c r="AM655" s="163"/>
    </row>
    <row r="656" spans="7:39" ht="14.25" customHeight="1">
      <c r="G656" s="161"/>
      <c r="AH656" s="162"/>
      <c r="AM656" s="163"/>
    </row>
    <row r="657" spans="7:39" ht="14.25" customHeight="1">
      <c r="G657" s="161"/>
      <c r="AH657" s="162"/>
      <c r="AM657" s="163"/>
    </row>
    <row r="658" spans="7:39" ht="14.25" customHeight="1">
      <c r="G658" s="161"/>
      <c r="AH658" s="162"/>
      <c r="AM658" s="163"/>
    </row>
    <row r="659" spans="7:39" ht="14.25" customHeight="1">
      <c r="G659" s="161"/>
      <c r="AH659" s="162"/>
      <c r="AM659" s="163"/>
    </row>
    <row r="660" spans="7:39" ht="14.25" customHeight="1">
      <c r="G660" s="161"/>
      <c r="AH660" s="162"/>
      <c r="AM660" s="163"/>
    </row>
    <row r="661" spans="7:39" ht="14.25" customHeight="1">
      <c r="G661" s="161"/>
      <c r="AH661" s="162"/>
      <c r="AM661" s="163"/>
    </row>
    <row r="662" spans="7:39" ht="14.25" customHeight="1">
      <c r="G662" s="161"/>
      <c r="AH662" s="162"/>
      <c r="AM662" s="163"/>
    </row>
    <row r="663" spans="7:39" ht="14.25" customHeight="1">
      <c r="G663" s="161"/>
      <c r="AH663" s="162"/>
      <c r="AM663" s="163"/>
    </row>
    <row r="664" spans="7:39" ht="14.25" customHeight="1">
      <c r="G664" s="161"/>
      <c r="AH664" s="162"/>
      <c r="AM664" s="163"/>
    </row>
    <row r="665" spans="7:39" ht="14.25" customHeight="1">
      <c r="G665" s="161"/>
      <c r="AH665" s="162"/>
      <c r="AM665" s="163"/>
    </row>
    <row r="666" spans="7:39" ht="14.25" customHeight="1">
      <c r="G666" s="161"/>
      <c r="AH666" s="162"/>
      <c r="AM666" s="163"/>
    </row>
    <row r="667" spans="7:39" ht="14.25" customHeight="1">
      <c r="G667" s="161"/>
      <c r="AH667" s="162"/>
      <c r="AM667" s="163"/>
    </row>
    <row r="668" spans="7:39" ht="14.25" customHeight="1">
      <c r="G668" s="161"/>
      <c r="AH668" s="162"/>
      <c r="AM668" s="163"/>
    </row>
    <row r="669" spans="7:39" ht="14.25" customHeight="1">
      <c r="G669" s="161"/>
      <c r="AH669" s="162"/>
      <c r="AM669" s="163"/>
    </row>
    <row r="670" spans="7:39" ht="14.25" customHeight="1">
      <c r="G670" s="161"/>
      <c r="AH670" s="162"/>
      <c r="AM670" s="163"/>
    </row>
    <row r="671" spans="7:39" ht="14.25" customHeight="1">
      <c r="G671" s="161"/>
      <c r="AH671" s="162"/>
      <c r="AM671" s="163"/>
    </row>
    <row r="672" spans="7:39" ht="14.25" customHeight="1">
      <c r="G672" s="161"/>
      <c r="AH672" s="162"/>
      <c r="AM672" s="163"/>
    </row>
    <row r="673" spans="7:39" ht="14.25" customHeight="1">
      <c r="G673" s="161"/>
      <c r="AH673" s="162"/>
      <c r="AM673" s="163"/>
    </row>
    <row r="674" spans="7:39" ht="14.25" customHeight="1">
      <c r="G674" s="161"/>
      <c r="AH674" s="162"/>
      <c r="AM674" s="163"/>
    </row>
    <row r="675" spans="7:39" ht="14.25" customHeight="1">
      <c r="G675" s="161"/>
      <c r="AH675" s="162"/>
      <c r="AM675" s="163"/>
    </row>
    <row r="676" spans="7:39" ht="14.25" customHeight="1">
      <c r="G676" s="161"/>
      <c r="AH676" s="162"/>
      <c r="AM676" s="163"/>
    </row>
    <row r="677" spans="7:39" ht="14.25" customHeight="1">
      <c r="G677" s="161"/>
      <c r="AH677" s="162"/>
      <c r="AM677" s="163"/>
    </row>
    <row r="678" spans="7:39" ht="14.25" customHeight="1">
      <c r="G678" s="161"/>
      <c r="AH678" s="162"/>
      <c r="AM678" s="163"/>
    </row>
    <row r="679" spans="7:39" ht="14.25" customHeight="1">
      <c r="G679" s="161"/>
      <c r="AH679" s="162"/>
      <c r="AM679" s="163"/>
    </row>
    <row r="680" spans="7:39" ht="14.25" customHeight="1">
      <c r="G680" s="161"/>
      <c r="AH680" s="162"/>
      <c r="AM680" s="163"/>
    </row>
    <row r="681" spans="7:39" ht="14.25" customHeight="1">
      <c r="G681" s="161"/>
      <c r="AH681" s="162"/>
      <c r="AM681" s="163"/>
    </row>
    <row r="682" spans="7:39" ht="14.25" customHeight="1">
      <c r="G682" s="161"/>
      <c r="AH682" s="162"/>
      <c r="AM682" s="163"/>
    </row>
    <row r="683" spans="7:39" ht="14.25" customHeight="1">
      <c r="G683" s="161"/>
      <c r="AH683" s="162"/>
      <c r="AM683" s="163"/>
    </row>
    <row r="684" spans="7:39" ht="14.25" customHeight="1">
      <c r="G684" s="161"/>
      <c r="AH684" s="162"/>
      <c r="AM684" s="163"/>
    </row>
    <row r="685" spans="7:39" ht="14.25" customHeight="1">
      <c r="G685" s="161"/>
      <c r="AH685" s="162"/>
      <c r="AM685" s="163"/>
    </row>
    <row r="686" spans="7:39" ht="14.25" customHeight="1">
      <c r="G686" s="161"/>
      <c r="AH686" s="162"/>
      <c r="AM686" s="163"/>
    </row>
    <row r="687" spans="7:39" ht="14.25" customHeight="1">
      <c r="G687" s="161"/>
      <c r="AH687" s="162"/>
      <c r="AM687" s="163"/>
    </row>
    <row r="688" spans="7:39" ht="14.25" customHeight="1">
      <c r="G688" s="161"/>
      <c r="AH688" s="162"/>
      <c r="AM688" s="163"/>
    </row>
    <row r="689" spans="7:39" ht="14.25" customHeight="1">
      <c r="G689" s="161"/>
      <c r="AH689" s="162"/>
      <c r="AM689" s="163"/>
    </row>
    <row r="690" spans="7:39" ht="14.25" customHeight="1">
      <c r="G690" s="161"/>
      <c r="AH690" s="162"/>
      <c r="AM690" s="163"/>
    </row>
    <row r="691" spans="7:39" ht="14.25" customHeight="1">
      <c r="G691" s="161"/>
      <c r="AH691" s="162"/>
      <c r="AM691" s="163"/>
    </row>
    <row r="692" spans="7:39" ht="14.25" customHeight="1">
      <c r="G692" s="161"/>
      <c r="AH692" s="162"/>
      <c r="AM692" s="163"/>
    </row>
    <row r="693" spans="7:39" ht="14.25" customHeight="1">
      <c r="G693" s="161"/>
      <c r="AH693" s="162"/>
      <c r="AM693" s="163"/>
    </row>
    <row r="694" spans="7:39" ht="14.25" customHeight="1">
      <c r="G694" s="161"/>
      <c r="AH694" s="162"/>
      <c r="AM694" s="163"/>
    </row>
    <row r="695" spans="7:39" ht="14.25" customHeight="1">
      <c r="G695" s="161"/>
      <c r="AH695" s="162"/>
      <c r="AM695" s="163"/>
    </row>
    <row r="696" spans="7:39" ht="14.25" customHeight="1">
      <c r="G696" s="161"/>
      <c r="AH696" s="162"/>
      <c r="AM696" s="163"/>
    </row>
    <row r="697" spans="7:39" ht="14.25" customHeight="1">
      <c r="G697" s="161"/>
      <c r="AH697" s="162"/>
      <c r="AM697" s="163"/>
    </row>
    <row r="698" spans="7:39" ht="14.25" customHeight="1">
      <c r="G698" s="161"/>
      <c r="AH698" s="162"/>
      <c r="AM698" s="163"/>
    </row>
    <row r="699" spans="7:39" ht="14.25" customHeight="1">
      <c r="G699" s="161"/>
      <c r="AH699" s="162"/>
      <c r="AM699" s="163"/>
    </row>
    <row r="700" spans="7:39" ht="14.25" customHeight="1">
      <c r="G700" s="161"/>
      <c r="AH700" s="162"/>
      <c r="AM700" s="163"/>
    </row>
    <row r="701" spans="7:39" ht="14.25" customHeight="1">
      <c r="G701" s="161"/>
      <c r="AH701" s="162"/>
      <c r="AM701" s="163"/>
    </row>
    <row r="702" spans="7:39" ht="14.25" customHeight="1">
      <c r="G702" s="161"/>
      <c r="AH702" s="162"/>
      <c r="AM702" s="163"/>
    </row>
    <row r="703" spans="7:39" ht="14.25" customHeight="1">
      <c r="G703" s="161"/>
      <c r="AH703" s="162"/>
      <c r="AM703" s="163"/>
    </row>
    <row r="704" spans="7:39" ht="14.25" customHeight="1">
      <c r="G704" s="161"/>
      <c r="AH704" s="162"/>
      <c r="AM704" s="163"/>
    </row>
    <row r="705" spans="7:39" ht="14.25" customHeight="1">
      <c r="G705" s="161"/>
      <c r="AH705" s="162"/>
      <c r="AM705" s="163"/>
    </row>
    <row r="706" spans="7:39" ht="14.25" customHeight="1">
      <c r="G706" s="161"/>
      <c r="AH706" s="162"/>
      <c r="AM706" s="163"/>
    </row>
    <row r="707" spans="7:39" ht="14.25" customHeight="1">
      <c r="G707" s="161"/>
      <c r="AH707" s="162"/>
      <c r="AM707" s="163"/>
    </row>
    <row r="708" spans="7:39" ht="14.25" customHeight="1">
      <c r="G708" s="161"/>
      <c r="AH708" s="162"/>
      <c r="AM708" s="163"/>
    </row>
    <row r="709" spans="7:39" ht="14.25" customHeight="1">
      <c r="G709" s="161"/>
      <c r="AH709" s="162"/>
      <c r="AM709" s="163"/>
    </row>
    <row r="710" spans="7:39" ht="14.25" customHeight="1">
      <c r="G710" s="161"/>
      <c r="AH710" s="162"/>
      <c r="AM710" s="163"/>
    </row>
    <row r="711" spans="7:39" ht="14.25" customHeight="1">
      <c r="G711" s="161"/>
      <c r="AH711" s="162"/>
      <c r="AM711" s="163"/>
    </row>
    <row r="712" spans="7:39" ht="14.25" customHeight="1">
      <c r="G712" s="161"/>
      <c r="AH712" s="162"/>
      <c r="AM712" s="163"/>
    </row>
    <row r="713" spans="7:39" ht="14.25" customHeight="1">
      <c r="G713" s="161"/>
      <c r="AH713" s="162"/>
      <c r="AM713" s="163"/>
    </row>
    <row r="714" spans="7:39" ht="14.25" customHeight="1">
      <c r="G714" s="161"/>
      <c r="AH714" s="162"/>
      <c r="AM714" s="163"/>
    </row>
    <row r="715" spans="7:39" ht="14.25" customHeight="1">
      <c r="G715" s="161"/>
      <c r="AH715" s="162"/>
      <c r="AM715" s="163"/>
    </row>
    <row r="716" spans="7:39" ht="14.25" customHeight="1">
      <c r="G716" s="161"/>
      <c r="AH716" s="162"/>
      <c r="AM716" s="163"/>
    </row>
    <row r="717" spans="7:39" ht="14.25" customHeight="1">
      <c r="G717" s="161"/>
      <c r="AH717" s="162"/>
      <c r="AM717" s="163"/>
    </row>
    <row r="718" spans="7:39" ht="14.25" customHeight="1">
      <c r="G718" s="161"/>
      <c r="AH718" s="162"/>
      <c r="AM718" s="163"/>
    </row>
    <row r="719" spans="7:39" ht="14.25" customHeight="1">
      <c r="G719" s="161"/>
      <c r="AH719" s="162"/>
      <c r="AM719" s="163"/>
    </row>
    <row r="720" spans="7:39" ht="14.25" customHeight="1">
      <c r="G720" s="161"/>
      <c r="AH720" s="162"/>
      <c r="AM720" s="163"/>
    </row>
    <row r="721" spans="7:39" ht="14.25" customHeight="1">
      <c r="G721" s="161"/>
      <c r="AH721" s="162"/>
      <c r="AM721" s="163"/>
    </row>
    <row r="722" spans="7:39" ht="14.25" customHeight="1">
      <c r="G722" s="161"/>
      <c r="AH722" s="162"/>
      <c r="AM722" s="163"/>
    </row>
    <row r="723" spans="7:39" ht="14.25" customHeight="1">
      <c r="G723" s="161"/>
      <c r="AH723" s="162"/>
      <c r="AM723" s="163"/>
    </row>
    <row r="724" spans="7:39" ht="14.25" customHeight="1">
      <c r="G724" s="161"/>
      <c r="AH724" s="162"/>
      <c r="AM724" s="163"/>
    </row>
    <row r="725" spans="7:39" ht="14.25" customHeight="1">
      <c r="G725" s="161"/>
      <c r="AH725" s="162"/>
      <c r="AM725" s="163"/>
    </row>
    <row r="726" spans="7:39" ht="14.25" customHeight="1">
      <c r="G726" s="161"/>
      <c r="AH726" s="162"/>
      <c r="AM726" s="163"/>
    </row>
    <row r="727" spans="7:39" ht="14.25" customHeight="1">
      <c r="G727" s="161"/>
      <c r="AH727" s="162"/>
      <c r="AM727" s="163"/>
    </row>
    <row r="728" spans="7:39" ht="14.25" customHeight="1">
      <c r="G728" s="161"/>
      <c r="AH728" s="162"/>
      <c r="AM728" s="163"/>
    </row>
    <row r="729" spans="7:39" ht="14.25" customHeight="1">
      <c r="G729" s="161"/>
      <c r="AH729" s="162"/>
      <c r="AM729" s="163"/>
    </row>
    <row r="730" spans="7:39" ht="14.25" customHeight="1">
      <c r="G730" s="161"/>
      <c r="AH730" s="162"/>
      <c r="AM730" s="163"/>
    </row>
    <row r="731" spans="7:39" ht="14.25" customHeight="1">
      <c r="G731" s="161"/>
      <c r="AH731" s="162"/>
      <c r="AM731" s="163"/>
    </row>
    <row r="732" spans="7:39" ht="14.25" customHeight="1">
      <c r="G732" s="161"/>
      <c r="AH732" s="162"/>
      <c r="AM732" s="163"/>
    </row>
    <row r="733" spans="7:39" ht="14.25" customHeight="1">
      <c r="G733" s="161"/>
      <c r="AH733" s="162"/>
      <c r="AM733" s="163"/>
    </row>
    <row r="734" spans="7:39" ht="14.25" customHeight="1">
      <c r="G734" s="161"/>
      <c r="AH734" s="162"/>
      <c r="AM734" s="163"/>
    </row>
    <row r="735" spans="7:39" ht="14.25" customHeight="1">
      <c r="G735" s="161"/>
      <c r="AH735" s="162"/>
      <c r="AM735" s="163"/>
    </row>
    <row r="736" spans="7:39" ht="14.25" customHeight="1">
      <c r="G736" s="161"/>
      <c r="AH736" s="162"/>
      <c r="AM736" s="163"/>
    </row>
    <row r="737" spans="7:39" ht="14.25" customHeight="1">
      <c r="G737" s="161"/>
      <c r="AH737" s="162"/>
      <c r="AM737" s="163"/>
    </row>
    <row r="738" spans="7:39" ht="14.25" customHeight="1">
      <c r="G738" s="161"/>
      <c r="AH738" s="162"/>
      <c r="AM738" s="163"/>
    </row>
    <row r="739" spans="7:39" ht="14.25" customHeight="1">
      <c r="G739" s="161"/>
      <c r="AH739" s="162"/>
      <c r="AM739" s="163"/>
    </row>
    <row r="740" spans="7:39" ht="14.25" customHeight="1">
      <c r="G740" s="161"/>
      <c r="AH740" s="162"/>
      <c r="AM740" s="163"/>
    </row>
    <row r="741" spans="7:39" ht="14.25" customHeight="1">
      <c r="G741" s="161"/>
      <c r="AH741" s="162"/>
      <c r="AM741" s="163"/>
    </row>
    <row r="742" spans="7:39" ht="14.25" customHeight="1">
      <c r="G742" s="161"/>
      <c r="AH742" s="162"/>
      <c r="AM742" s="163"/>
    </row>
    <row r="743" spans="7:39" ht="14.25" customHeight="1">
      <c r="G743" s="161"/>
      <c r="AH743" s="162"/>
      <c r="AM743" s="163"/>
    </row>
    <row r="744" spans="7:39" ht="14.25" customHeight="1">
      <c r="G744" s="161"/>
      <c r="AH744" s="162"/>
      <c r="AM744" s="163"/>
    </row>
    <row r="745" spans="7:39" ht="14.25" customHeight="1">
      <c r="G745" s="161"/>
      <c r="AH745" s="162"/>
      <c r="AM745" s="163"/>
    </row>
    <row r="746" spans="7:39" ht="14.25" customHeight="1">
      <c r="G746" s="161"/>
      <c r="AH746" s="162"/>
      <c r="AM746" s="163"/>
    </row>
    <row r="747" spans="7:39" ht="14.25" customHeight="1">
      <c r="G747" s="161"/>
      <c r="AH747" s="162"/>
      <c r="AM747" s="163"/>
    </row>
    <row r="748" spans="7:39" ht="14.25" customHeight="1">
      <c r="G748" s="161"/>
      <c r="AH748" s="162"/>
      <c r="AM748" s="163"/>
    </row>
    <row r="749" spans="7:39" ht="14.25" customHeight="1">
      <c r="G749" s="161"/>
      <c r="AH749" s="162"/>
      <c r="AM749" s="163"/>
    </row>
    <row r="750" spans="7:39" ht="14.25" customHeight="1">
      <c r="G750" s="161"/>
      <c r="AH750" s="162"/>
      <c r="AM750" s="163"/>
    </row>
    <row r="751" spans="7:39" ht="14.25" customHeight="1">
      <c r="G751" s="161"/>
      <c r="AH751" s="162"/>
      <c r="AM751" s="163"/>
    </row>
    <row r="752" spans="7:39" ht="14.25" customHeight="1">
      <c r="G752" s="161"/>
      <c r="AH752" s="162"/>
      <c r="AM752" s="163"/>
    </row>
    <row r="753" spans="7:39" ht="14.25" customHeight="1">
      <c r="G753" s="161"/>
      <c r="AH753" s="162"/>
      <c r="AM753" s="163"/>
    </row>
    <row r="754" spans="7:39" ht="14.25" customHeight="1">
      <c r="G754" s="161"/>
      <c r="AH754" s="162"/>
      <c r="AM754" s="163"/>
    </row>
    <row r="755" spans="7:39" ht="14.25" customHeight="1">
      <c r="G755" s="161"/>
      <c r="AH755" s="162"/>
      <c r="AM755" s="163"/>
    </row>
    <row r="756" spans="7:39" ht="14.25" customHeight="1">
      <c r="G756" s="161"/>
      <c r="AH756" s="162"/>
      <c r="AM756" s="163"/>
    </row>
    <row r="757" spans="7:39" ht="14.25" customHeight="1">
      <c r="G757" s="161"/>
      <c r="AH757" s="162"/>
      <c r="AM757" s="163"/>
    </row>
    <row r="758" spans="7:39" ht="14.25" customHeight="1">
      <c r="G758" s="161"/>
      <c r="AH758" s="162"/>
      <c r="AM758" s="163"/>
    </row>
    <row r="759" spans="7:39" ht="14.25" customHeight="1">
      <c r="G759" s="161"/>
      <c r="AH759" s="162"/>
      <c r="AM759" s="163"/>
    </row>
    <row r="760" spans="7:39" ht="14.25" customHeight="1">
      <c r="G760" s="161"/>
      <c r="AH760" s="162"/>
      <c r="AM760" s="163"/>
    </row>
    <row r="761" spans="7:39" ht="14.25" customHeight="1">
      <c r="G761" s="161"/>
      <c r="AH761" s="162"/>
      <c r="AM761" s="163"/>
    </row>
    <row r="762" spans="7:39" ht="14.25" customHeight="1">
      <c r="G762" s="161"/>
      <c r="AH762" s="162"/>
      <c r="AM762" s="163"/>
    </row>
    <row r="763" spans="7:39" ht="14.25" customHeight="1">
      <c r="G763" s="161"/>
      <c r="AH763" s="162"/>
      <c r="AM763" s="163"/>
    </row>
    <row r="764" spans="7:39" ht="14.25" customHeight="1">
      <c r="G764" s="161"/>
      <c r="AH764" s="162"/>
      <c r="AM764" s="163"/>
    </row>
    <row r="765" spans="7:39" ht="14.25" customHeight="1">
      <c r="G765" s="161"/>
      <c r="AH765" s="162"/>
      <c r="AM765" s="163"/>
    </row>
    <row r="766" spans="7:39" ht="14.25" customHeight="1">
      <c r="G766" s="161"/>
      <c r="AH766" s="162"/>
      <c r="AM766" s="163"/>
    </row>
    <row r="767" spans="7:39" ht="14.25" customHeight="1">
      <c r="G767" s="161"/>
      <c r="AH767" s="162"/>
      <c r="AM767" s="163"/>
    </row>
    <row r="768" spans="7:39" ht="14.25" customHeight="1">
      <c r="G768" s="161"/>
      <c r="AH768" s="162"/>
      <c r="AM768" s="163"/>
    </row>
    <row r="769" spans="7:39" ht="14.25" customHeight="1">
      <c r="G769" s="161"/>
      <c r="AH769" s="162"/>
      <c r="AM769" s="163"/>
    </row>
    <row r="770" spans="7:39" ht="14.25" customHeight="1">
      <c r="G770" s="161"/>
      <c r="AH770" s="162"/>
      <c r="AM770" s="163"/>
    </row>
    <row r="771" spans="7:39" ht="14.25" customHeight="1">
      <c r="G771" s="161"/>
      <c r="AH771" s="162"/>
      <c r="AM771" s="163"/>
    </row>
    <row r="772" spans="7:39" ht="14.25" customHeight="1">
      <c r="G772" s="161"/>
      <c r="AH772" s="162"/>
      <c r="AM772" s="163"/>
    </row>
    <row r="773" spans="7:39" ht="14.25" customHeight="1">
      <c r="G773" s="161"/>
      <c r="AH773" s="162"/>
      <c r="AM773" s="163"/>
    </row>
    <row r="774" spans="7:39" ht="14.25" customHeight="1">
      <c r="G774" s="161"/>
      <c r="AH774" s="162"/>
      <c r="AM774" s="163"/>
    </row>
    <row r="775" spans="7:39" ht="14.25" customHeight="1">
      <c r="G775" s="161"/>
      <c r="AH775" s="162"/>
      <c r="AM775" s="163"/>
    </row>
    <row r="776" spans="7:39" ht="14.25" customHeight="1">
      <c r="G776" s="161"/>
      <c r="AH776" s="162"/>
      <c r="AM776" s="163"/>
    </row>
    <row r="777" spans="7:39" ht="14.25" customHeight="1">
      <c r="G777" s="161"/>
      <c r="AH777" s="162"/>
      <c r="AM777" s="163"/>
    </row>
    <row r="778" spans="7:39" ht="14.25" customHeight="1">
      <c r="G778" s="161"/>
      <c r="AH778" s="162"/>
      <c r="AM778" s="163"/>
    </row>
    <row r="779" spans="7:39" ht="14.25" customHeight="1">
      <c r="G779" s="161"/>
      <c r="AH779" s="162"/>
      <c r="AM779" s="163"/>
    </row>
    <row r="780" spans="7:39" ht="14.25" customHeight="1">
      <c r="G780" s="161"/>
      <c r="AH780" s="162"/>
      <c r="AM780" s="163"/>
    </row>
    <row r="781" spans="7:39" ht="14.25" customHeight="1">
      <c r="G781" s="161"/>
      <c r="AH781" s="162"/>
      <c r="AM781" s="163"/>
    </row>
    <row r="782" spans="7:39" ht="14.25" customHeight="1">
      <c r="G782" s="161"/>
      <c r="AH782" s="162"/>
      <c r="AM782" s="163"/>
    </row>
    <row r="783" spans="7:39" ht="14.25" customHeight="1">
      <c r="G783" s="161"/>
      <c r="AH783" s="162"/>
      <c r="AM783" s="163"/>
    </row>
    <row r="784" spans="7:39" ht="14.25" customHeight="1">
      <c r="G784" s="161"/>
      <c r="AH784" s="162"/>
      <c r="AM784" s="163"/>
    </row>
    <row r="785" spans="7:39" ht="14.25" customHeight="1">
      <c r="G785" s="161"/>
      <c r="AH785" s="162"/>
      <c r="AM785" s="163"/>
    </row>
    <row r="786" spans="7:39" ht="14.25" customHeight="1">
      <c r="G786" s="161"/>
      <c r="AH786" s="162"/>
      <c r="AM786" s="163"/>
    </row>
    <row r="787" spans="7:39" ht="14.25" customHeight="1">
      <c r="G787" s="161"/>
      <c r="AH787" s="162"/>
      <c r="AM787" s="163"/>
    </row>
    <row r="788" spans="7:39" ht="14.25" customHeight="1">
      <c r="G788" s="161"/>
      <c r="AH788" s="162"/>
      <c r="AM788" s="163"/>
    </row>
    <row r="789" spans="7:39" ht="14.25" customHeight="1">
      <c r="G789" s="161"/>
      <c r="AH789" s="162"/>
      <c r="AM789" s="163"/>
    </row>
    <row r="790" spans="7:39" ht="14.25" customHeight="1">
      <c r="G790" s="161"/>
      <c r="AH790" s="162"/>
      <c r="AM790" s="163"/>
    </row>
    <row r="791" spans="7:39" ht="14.25" customHeight="1">
      <c r="G791" s="161"/>
      <c r="AH791" s="162"/>
      <c r="AM791" s="163"/>
    </row>
    <row r="792" spans="7:39" ht="14.25" customHeight="1">
      <c r="G792" s="161"/>
      <c r="AH792" s="162"/>
      <c r="AM792" s="163"/>
    </row>
    <row r="793" spans="7:39" ht="14.25" customHeight="1">
      <c r="G793" s="161"/>
      <c r="AH793" s="162"/>
      <c r="AM793" s="163"/>
    </row>
    <row r="794" spans="7:39" ht="14.25" customHeight="1">
      <c r="G794" s="161"/>
      <c r="AH794" s="162"/>
      <c r="AM794" s="163"/>
    </row>
    <row r="795" spans="7:39" ht="14.25" customHeight="1">
      <c r="G795" s="161"/>
      <c r="AH795" s="162"/>
      <c r="AM795" s="163"/>
    </row>
    <row r="796" spans="7:39" ht="14.25" customHeight="1">
      <c r="G796" s="161"/>
      <c r="AH796" s="162"/>
      <c r="AM796" s="163"/>
    </row>
    <row r="797" spans="7:39" ht="14.25" customHeight="1">
      <c r="G797" s="161"/>
      <c r="AH797" s="162"/>
      <c r="AM797" s="163"/>
    </row>
    <row r="798" spans="7:39" ht="14.25" customHeight="1">
      <c r="G798" s="161"/>
      <c r="AH798" s="162"/>
      <c r="AM798" s="163"/>
    </row>
    <row r="799" spans="7:39" ht="14.25" customHeight="1">
      <c r="G799" s="161"/>
      <c r="AH799" s="162"/>
      <c r="AM799" s="163"/>
    </row>
    <row r="800" spans="7:39" ht="14.25" customHeight="1">
      <c r="G800" s="161"/>
      <c r="AH800" s="162"/>
      <c r="AM800" s="163"/>
    </row>
    <row r="801" spans="7:39" ht="14.25" customHeight="1">
      <c r="G801" s="161"/>
      <c r="AH801" s="162"/>
      <c r="AM801" s="163"/>
    </row>
    <row r="802" spans="7:39" ht="14.25" customHeight="1">
      <c r="G802" s="161"/>
      <c r="AH802" s="162"/>
      <c r="AM802" s="163"/>
    </row>
    <row r="803" spans="7:39" ht="14.25" customHeight="1">
      <c r="G803" s="161"/>
      <c r="AH803" s="162"/>
      <c r="AM803" s="163"/>
    </row>
    <row r="804" spans="7:39" ht="14.25" customHeight="1">
      <c r="G804" s="161"/>
      <c r="AH804" s="162"/>
      <c r="AM804" s="163"/>
    </row>
    <row r="805" spans="7:39" ht="14.25" customHeight="1">
      <c r="G805" s="161"/>
      <c r="AH805" s="162"/>
      <c r="AM805" s="163"/>
    </row>
    <row r="806" spans="7:39" ht="14.25" customHeight="1">
      <c r="G806" s="161"/>
      <c r="AH806" s="162"/>
      <c r="AM806" s="163"/>
    </row>
    <row r="807" spans="7:39" ht="14.25" customHeight="1">
      <c r="G807" s="161"/>
      <c r="AH807" s="162"/>
      <c r="AM807" s="163"/>
    </row>
    <row r="808" spans="7:39" ht="14.25" customHeight="1">
      <c r="G808" s="161"/>
      <c r="AH808" s="162"/>
      <c r="AM808" s="163"/>
    </row>
    <row r="809" spans="7:39" ht="14.25" customHeight="1">
      <c r="G809" s="161"/>
      <c r="AH809" s="162"/>
      <c r="AM809" s="163"/>
    </row>
    <row r="810" spans="7:39" ht="14.25" customHeight="1">
      <c r="G810" s="161"/>
      <c r="AH810" s="162"/>
      <c r="AM810" s="163"/>
    </row>
    <row r="811" spans="7:39" ht="14.25" customHeight="1">
      <c r="G811" s="161"/>
      <c r="AH811" s="162"/>
      <c r="AM811" s="163"/>
    </row>
    <row r="812" spans="7:39" ht="14.25" customHeight="1">
      <c r="G812" s="161"/>
      <c r="AH812" s="162"/>
      <c r="AM812" s="163"/>
    </row>
    <row r="813" spans="7:39" ht="14.25" customHeight="1">
      <c r="G813" s="161"/>
      <c r="AH813" s="162"/>
      <c r="AM813" s="163"/>
    </row>
    <row r="814" spans="7:39" ht="14.25" customHeight="1">
      <c r="G814" s="161"/>
      <c r="AH814" s="162"/>
      <c r="AM814" s="163"/>
    </row>
    <row r="815" spans="7:39" ht="14.25" customHeight="1">
      <c r="G815" s="161"/>
      <c r="AH815" s="162"/>
      <c r="AM815" s="163"/>
    </row>
    <row r="816" spans="7:39" ht="14.25" customHeight="1">
      <c r="G816" s="161"/>
      <c r="AH816" s="162"/>
      <c r="AM816" s="163"/>
    </row>
    <row r="817" spans="7:39" ht="14.25" customHeight="1">
      <c r="G817" s="161"/>
      <c r="AH817" s="162"/>
      <c r="AM817" s="163"/>
    </row>
    <row r="818" spans="7:39" ht="14.25" customHeight="1">
      <c r="G818" s="161"/>
      <c r="AH818" s="162"/>
      <c r="AM818" s="163"/>
    </row>
    <row r="819" spans="7:39" ht="14.25" customHeight="1">
      <c r="G819" s="161"/>
      <c r="AH819" s="162"/>
      <c r="AM819" s="163"/>
    </row>
    <row r="820" spans="7:39" ht="14.25" customHeight="1">
      <c r="G820" s="161"/>
      <c r="AH820" s="162"/>
      <c r="AM820" s="163"/>
    </row>
    <row r="821" spans="7:39" ht="14.25" customHeight="1">
      <c r="G821" s="161"/>
      <c r="AH821" s="162"/>
      <c r="AM821" s="163"/>
    </row>
    <row r="822" spans="7:39" ht="14.25" customHeight="1">
      <c r="G822" s="161"/>
      <c r="AH822" s="162"/>
      <c r="AM822" s="163"/>
    </row>
    <row r="823" spans="7:39" ht="14.25" customHeight="1">
      <c r="G823" s="161"/>
      <c r="AH823" s="162"/>
      <c r="AM823" s="163"/>
    </row>
    <row r="824" spans="7:39" ht="14.25" customHeight="1">
      <c r="G824" s="161"/>
      <c r="AH824" s="162"/>
      <c r="AM824" s="163"/>
    </row>
    <row r="825" spans="7:39" ht="14.25" customHeight="1">
      <c r="G825" s="161"/>
      <c r="AH825" s="162"/>
      <c r="AM825" s="163"/>
    </row>
    <row r="826" spans="7:39" ht="14.25" customHeight="1">
      <c r="G826" s="161"/>
      <c r="AH826" s="162"/>
      <c r="AM826" s="163"/>
    </row>
    <row r="827" spans="7:39" ht="14.25" customHeight="1">
      <c r="G827" s="161"/>
      <c r="AH827" s="162"/>
      <c r="AM827" s="163"/>
    </row>
    <row r="828" spans="7:39" ht="14.25" customHeight="1">
      <c r="G828" s="161"/>
      <c r="AH828" s="162"/>
      <c r="AM828" s="163"/>
    </row>
    <row r="829" spans="7:39" ht="14.25" customHeight="1">
      <c r="G829" s="161"/>
      <c r="AH829" s="162"/>
      <c r="AM829" s="163"/>
    </row>
    <row r="830" spans="7:39" ht="14.25" customHeight="1">
      <c r="G830" s="161"/>
      <c r="AH830" s="162"/>
      <c r="AM830" s="163"/>
    </row>
    <row r="831" spans="7:39" ht="14.25" customHeight="1">
      <c r="G831" s="161"/>
      <c r="AH831" s="162"/>
      <c r="AM831" s="163"/>
    </row>
    <row r="832" spans="7:39" ht="14.25" customHeight="1">
      <c r="G832" s="161"/>
      <c r="AH832" s="162"/>
      <c r="AM832" s="163"/>
    </row>
    <row r="833" spans="7:39" ht="14.25" customHeight="1">
      <c r="G833" s="161"/>
      <c r="AH833" s="162"/>
      <c r="AM833" s="163"/>
    </row>
    <row r="834" spans="7:39" ht="14.25" customHeight="1">
      <c r="G834" s="161"/>
      <c r="AH834" s="162"/>
      <c r="AM834" s="163"/>
    </row>
    <row r="835" spans="7:39" ht="14.25" customHeight="1">
      <c r="G835" s="161"/>
      <c r="AH835" s="162"/>
      <c r="AM835" s="163"/>
    </row>
    <row r="836" spans="7:39" ht="14.25" customHeight="1">
      <c r="G836" s="161"/>
      <c r="AH836" s="162"/>
      <c r="AM836" s="163"/>
    </row>
    <row r="837" spans="7:39" ht="14.25" customHeight="1">
      <c r="G837" s="161"/>
      <c r="AH837" s="162"/>
      <c r="AM837" s="163"/>
    </row>
    <row r="838" spans="7:39" ht="14.25" customHeight="1">
      <c r="G838" s="161"/>
      <c r="AH838" s="162"/>
      <c r="AM838" s="163"/>
    </row>
    <row r="839" spans="7:39" ht="14.25" customHeight="1">
      <c r="G839" s="161"/>
      <c r="AH839" s="162"/>
      <c r="AM839" s="163"/>
    </row>
    <row r="840" spans="7:39" ht="14.25" customHeight="1">
      <c r="G840" s="161"/>
      <c r="AH840" s="162"/>
      <c r="AM840" s="163"/>
    </row>
    <row r="841" spans="7:39" ht="14.25" customHeight="1">
      <c r="G841" s="161"/>
      <c r="AH841" s="162"/>
      <c r="AM841" s="163"/>
    </row>
    <row r="842" spans="7:39" ht="14.25" customHeight="1">
      <c r="G842" s="161"/>
      <c r="AH842" s="162"/>
      <c r="AM842" s="163"/>
    </row>
    <row r="843" spans="7:39" ht="14.25" customHeight="1">
      <c r="G843" s="161"/>
      <c r="AH843" s="162"/>
      <c r="AM843" s="163"/>
    </row>
    <row r="844" spans="7:39" ht="14.25" customHeight="1">
      <c r="G844" s="161"/>
      <c r="AH844" s="162"/>
      <c r="AM844" s="163"/>
    </row>
    <row r="845" spans="7:39" ht="14.25" customHeight="1">
      <c r="G845" s="161"/>
      <c r="AH845" s="162"/>
      <c r="AM845" s="163"/>
    </row>
    <row r="846" spans="7:39" ht="14.25" customHeight="1">
      <c r="G846" s="161"/>
      <c r="AH846" s="162"/>
      <c r="AM846" s="163"/>
    </row>
    <row r="847" spans="7:39" ht="14.25" customHeight="1">
      <c r="G847" s="161"/>
      <c r="AH847" s="162"/>
      <c r="AM847" s="163"/>
    </row>
    <row r="848" spans="7:39" ht="14.25" customHeight="1">
      <c r="G848" s="161"/>
      <c r="AH848" s="162"/>
      <c r="AM848" s="163"/>
    </row>
    <row r="849" spans="7:39" ht="14.25" customHeight="1">
      <c r="G849" s="161"/>
      <c r="AH849" s="162"/>
      <c r="AM849" s="163"/>
    </row>
    <row r="850" spans="7:39" ht="14.25" customHeight="1">
      <c r="G850" s="161"/>
      <c r="AH850" s="162"/>
      <c r="AM850" s="163"/>
    </row>
    <row r="851" spans="7:39" ht="14.25" customHeight="1">
      <c r="G851" s="161"/>
      <c r="AH851" s="162"/>
      <c r="AM851" s="163"/>
    </row>
    <row r="852" spans="7:39" ht="14.25" customHeight="1">
      <c r="G852" s="161"/>
      <c r="AH852" s="162"/>
      <c r="AM852" s="163"/>
    </row>
    <row r="853" spans="7:39" ht="14.25" customHeight="1">
      <c r="G853" s="161"/>
      <c r="AH853" s="162"/>
      <c r="AM853" s="163"/>
    </row>
    <row r="854" spans="7:39" ht="14.25" customHeight="1">
      <c r="G854" s="161"/>
      <c r="AH854" s="162"/>
      <c r="AM854" s="163"/>
    </row>
    <row r="855" spans="7:39" ht="14.25" customHeight="1">
      <c r="G855" s="161"/>
      <c r="AH855" s="162"/>
      <c r="AM855" s="163"/>
    </row>
    <row r="856" spans="7:39" ht="14.25" customHeight="1">
      <c r="G856" s="161"/>
      <c r="AH856" s="162"/>
      <c r="AM856" s="163"/>
    </row>
    <row r="857" spans="7:39" ht="14.25" customHeight="1">
      <c r="G857" s="161"/>
      <c r="AH857" s="162"/>
      <c r="AM857" s="163"/>
    </row>
    <row r="858" spans="7:39" ht="14.25" customHeight="1">
      <c r="G858" s="161"/>
      <c r="AH858" s="162"/>
      <c r="AM858" s="163"/>
    </row>
    <row r="859" spans="7:39" ht="14.25" customHeight="1">
      <c r="G859" s="161"/>
      <c r="AH859" s="162"/>
      <c r="AM859" s="163"/>
    </row>
    <row r="860" spans="7:39" ht="14.25" customHeight="1">
      <c r="G860" s="161"/>
      <c r="AH860" s="162"/>
      <c r="AM860" s="163"/>
    </row>
    <row r="861" spans="7:39" ht="14.25" customHeight="1">
      <c r="G861" s="161"/>
      <c r="AH861" s="162"/>
      <c r="AM861" s="163"/>
    </row>
    <row r="862" spans="7:39" ht="14.25" customHeight="1">
      <c r="G862" s="161"/>
      <c r="AH862" s="162"/>
      <c r="AM862" s="163"/>
    </row>
    <row r="863" spans="7:39" ht="14.25" customHeight="1">
      <c r="G863" s="161"/>
      <c r="AH863" s="162"/>
      <c r="AM863" s="163"/>
    </row>
    <row r="864" spans="7:39" ht="14.25" customHeight="1">
      <c r="G864" s="161"/>
      <c r="AH864" s="162"/>
      <c r="AM864" s="163"/>
    </row>
    <row r="865" spans="7:39" ht="14.25" customHeight="1">
      <c r="G865" s="161"/>
      <c r="AH865" s="162"/>
      <c r="AM865" s="163"/>
    </row>
    <row r="866" spans="7:39" ht="14.25" customHeight="1">
      <c r="G866" s="161"/>
      <c r="AH866" s="162"/>
      <c r="AM866" s="163"/>
    </row>
    <row r="867" spans="7:39" ht="14.25" customHeight="1">
      <c r="G867" s="161"/>
      <c r="AH867" s="162"/>
      <c r="AM867" s="163"/>
    </row>
    <row r="868" spans="7:39" ht="14.25" customHeight="1">
      <c r="G868" s="161"/>
      <c r="AH868" s="162"/>
      <c r="AM868" s="163"/>
    </row>
    <row r="869" spans="7:39" ht="14.25" customHeight="1">
      <c r="G869" s="161"/>
      <c r="AH869" s="162"/>
      <c r="AM869" s="163"/>
    </row>
    <row r="870" spans="7:39" ht="14.25" customHeight="1">
      <c r="G870" s="161"/>
      <c r="AH870" s="162"/>
      <c r="AM870" s="163"/>
    </row>
    <row r="871" spans="7:39" ht="14.25" customHeight="1">
      <c r="G871" s="161"/>
      <c r="AH871" s="162"/>
      <c r="AM871" s="163"/>
    </row>
    <row r="872" spans="7:39" ht="14.25" customHeight="1">
      <c r="G872" s="161"/>
      <c r="AH872" s="162"/>
      <c r="AM872" s="163"/>
    </row>
    <row r="873" spans="7:39" ht="14.25" customHeight="1">
      <c r="G873" s="161"/>
      <c r="AH873" s="162"/>
      <c r="AM873" s="163"/>
    </row>
    <row r="874" spans="7:39" ht="14.25" customHeight="1">
      <c r="G874" s="161"/>
      <c r="AH874" s="162"/>
      <c r="AM874" s="163"/>
    </row>
    <row r="875" spans="7:39" ht="14.25" customHeight="1">
      <c r="G875" s="161"/>
      <c r="AH875" s="162"/>
      <c r="AM875" s="163"/>
    </row>
    <row r="876" spans="7:39" ht="14.25" customHeight="1">
      <c r="G876" s="161"/>
      <c r="AH876" s="162"/>
      <c r="AM876" s="163"/>
    </row>
    <row r="877" spans="7:39" ht="14.25" customHeight="1">
      <c r="G877" s="161"/>
      <c r="AH877" s="162"/>
      <c r="AM877" s="163"/>
    </row>
    <row r="878" spans="7:39" ht="14.25" customHeight="1">
      <c r="G878" s="161"/>
      <c r="AH878" s="162"/>
      <c r="AM878" s="163"/>
    </row>
    <row r="879" spans="7:39" ht="14.25" customHeight="1">
      <c r="G879" s="161"/>
      <c r="AH879" s="162"/>
      <c r="AM879" s="163"/>
    </row>
    <row r="880" spans="7:39" ht="14.25" customHeight="1">
      <c r="G880" s="161"/>
      <c r="AH880" s="162"/>
      <c r="AM880" s="163"/>
    </row>
    <row r="881" spans="7:39" ht="14.25" customHeight="1">
      <c r="G881" s="161"/>
      <c r="AH881" s="162"/>
      <c r="AM881" s="163"/>
    </row>
    <row r="882" spans="7:39" ht="14.25" customHeight="1">
      <c r="G882" s="161"/>
      <c r="AH882" s="162"/>
      <c r="AM882" s="163"/>
    </row>
    <row r="883" spans="7:39" ht="14.25" customHeight="1">
      <c r="G883" s="161"/>
      <c r="AH883" s="162"/>
      <c r="AM883" s="163"/>
    </row>
    <row r="884" spans="7:39" ht="14.25" customHeight="1">
      <c r="G884" s="161"/>
      <c r="AH884" s="162"/>
      <c r="AM884" s="163"/>
    </row>
    <row r="885" spans="7:39" ht="14.25" customHeight="1">
      <c r="G885" s="161"/>
      <c r="AH885" s="162"/>
      <c r="AM885" s="163"/>
    </row>
    <row r="886" spans="7:39" ht="14.25" customHeight="1">
      <c r="G886" s="161"/>
      <c r="AH886" s="162"/>
      <c r="AM886" s="163"/>
    </row>
    <row r="887" spans="7:39" ht="14.25" customHeight="1">
      <c r="G887" s="161"/>
      <c r="AH887" s="162"/>
      <c r="AM887" s="163"/>
    </row>
    <row r="888" spans="7:39" ht="14.25" customHeight="1">
      <c r="G888" s="161"/>
      <c r="AH888" s="162"/>
      <c r="AM888" s="163"/>
    </row>
    <row r="889" spans="7:39" ht="14.25" customHeight="1">
      <c r="G889" s="161"/>
      <c r="AH889" s="162"/>
      <c r="AM889" s="163"/>
    </row>
    <row r="890" spans="7:39" ht="14.25" customHeight="1">
      <c r="G890" s="161"/>
      <c r="AH890" s="162"/>
      <c r="AM890" s="163"/>
    </row>
    <row r="891" spans="7:39" ht="14.25" customHeight="1">
      <c r="G891" s="161"/>
      <c r="AH891" s="162"/>
      <c r="AM891" s="163"/>
    </row>
    <row r="892" spans="7:39" ht="14.25" customHeight="1">
      <c r="G892" s="161"/>
      <c r="AH892" s="162"/>
      <c r="AM892" s="163"/>
    </row>
    <row r="893" spans="7:39" ht="14.25" customHeight="1">
      <c r="G893" s="161"/>
      <c r="AH893" s="162"/>
      <c r="AM893" s="163"/>
    </row>
    <row r="894" spans="7:39" ht="14.25" customHeight="1">
      <c r="G894" s="161"/>
      <c r="AH894" s="162"/>
      <c r="AM894" s="163"/>
    </row>
    <row r="895" spans="7:39" ht="14.25" customHeight="1">
      <c r="G895" s="161"/>
      <c r="AH895" s="162"/>
      <c r="AM895" s="163"/>
    </row>
    <row r="896" spans="7:39" ht="14.25" customHeight="1">
      <c r="G896" s="161"/>
      <c r="AH896" s="162"/>
      <c r="AM896" s="163"/>
    </row>
    <row r="897" spans="7:39" ht="14.25" customHeight="1">
      <c r="G897" s="161"/>
      <c r="AH897" s="162"/>
      <c r="AM897" s="163"/>
    </row>
    <row r="898" spans="7:39" ht="14.25" customHeight="1">
      <c r="G898" s="161"/>
      <c r="AH898" s="162"/>
      <c r="AM898" s="163"/>
    </row>
    <row r="899" spans="7:39" ht="14.25" customHeight="1">
      <c r="G899" s="161"/>
      <c r="AH899" s="162"/>
      <c r="AM899" s="163"/>
    </row>
    <row r="900" spans="7:39" ht="14.25" customHeight="1">
      <c r="G900" s="161"/>
      <c r="AH900" s="162"/>
      <c r="AM900" s="163"/>
    </row>
    <row r="901" spans="7:39" ht="14.25" customHeight="1">
      <c r="G901" s="161"/>
      <c r="AH901" s="162"/>
      <c r="AM901" s="163"/>
    </row>
    <row r="902" spans="7:39" ht="14.25" customHeight="1">
      <c r="G902" s="161"/>
      <c r="AH902" s="162"/>
      <c r="AM902" s="163"/>
    </row>
    <row r="903" spans="7:39" ht="14.25" customHeight="1">
      <c r="G903" s="161"/>
      <c r="AH903" s="162"/>
      <c r="AM903" s="163"/>
    </row>
    <row r="904" spans="7:39" ht="14.25" customHeight="1">
      <c r="G904" s="161"/>
      <c r="AH904" s="162"/>
      <c r="AM904" s="163"/>
    </row>
    <row r="905" spans="7:39" ht="14.25" customHeight="1">
      <c r="G905" s="161"/>
      <c r="AH905" s="162"/>
      <c r="AM905" s="163"/>
    </row>
    <row r="906" spans="7:39" ht="14.25" customHeight="1">
      <c r="G906" s="161"/>
      <c r="AH906" s="162"/>
      <c r="AM906" s="163"/>
    </row>
    <row r="907" spans="7:39" ht="14.25" customHeight="1">
      <c r="G907" s="161"/>
      <c r="AH907" s="162"/>
      <c r="AM907" s="163"/>
    </row>
    <row r="908" spans="7:39" ht="14.25" customHeight="1">
      <c r="G908" s="161"/>
      <c r="AH908" s="162"/>
      <c r="AM908" s="163"/>
    </row>
    <row r="909" spans="7:39" ht="14.25" customHeight="1">
      <c r="G909" s="161"/>
      <c r="AH909" s="162"/>
      <c r="AM909" s="163"/>
    </row>
    <row r="910" spans="7:39" ht="14.25" customHeight="1">
      <c r="G910" s="161"/>
      <c r="AH910" s="162"/>
      <c r="AM910" s="163"/>
    </row>
    <row r="911" spans="7:39" ht="14.25" customHeight="1">
      <c r="G911" s="161"/>
      <c r="AH911" s="162"/>
      <c r="AM911" s="163"/>
    </row>
    <row r="912" spans="7:39" ht="14.25" customHeight="1">
      <c r="G912" s="161"/>
      <c r="AH912" s="162"/>
      <c r="AM912" s="163"/>
    </row>
    <row r="913" spans="7:39" ht="14.25" customHeight="1">
      <c r="G913" s="161"/>
      <c r="AH913" s="162"/>
      <c r="AM913" s="163"/>
    </row>
    <row r="914" spans="7:39" ht="14.25" customHeight="1">
      <c r="G914" s="161"/>
      <c r="AH914" s="162"/>
      <c r="AM914" s="163"/>
    </row>
    <row r="915" spans="7:39" ht="14.25" customHeight="1">
      <c r="G915" s="161"/>
      <c r="AH915" s="162"/>
      <c r="AM915" s="163"/>
    </row>
    <row r="916" spans="7:39" ht="14.25" customHeight="1">
      <c r="G916" s="161"/>
      <c r="AH916" s="162"/>
      <c r="AM916" s="163"/>
    </row>
    <row r="917" spans="7:39" ht="14.25" customHeight="1">
      <c r="G917" s="161"/>
      <c r="AH917" s="162"/>
      <c r="AM917" s="163"/>
    </row>
    <row r="918" spans="7:39" ht="14.25" customHeight="1">
      <c r="G918" s="161"/>
      <c r="AH918" s="162"/>
      <c r="AM918" s="163"/>
    </row>
    <row r="919" spans="7:39" ht="14.25" customHeight="1">
      <c r="G919" s="161"/>
      <c r="AH919" s="162"/>
      <c r="AM919" s="163"/>
    </row>
    <row r="920" spans="7:39" ht="14.25" customHeight="1">
      <c r="G920" s="161"/>
      <c r="AH920" s="162"/>
      <c r="AM920" s="163"/>
    </row>
    <row r="921" spans="7:39" ht="14.25" customHeight="1">
      <c r="G921" s="161"/>
      <c r="AH921" s="162"/>
      <c r="AM921" s="163"/>
    </row>
    <row r="922" spans="7:39" ht="14.25" customHeight="1">
      <c r="G922" s="161"/>
      <c r="AH922" s="162"/>
      <c r="AM922" s="163"/>
    </row>
    <row r="923" spans="7:39" ht="14.25" customHeight="1">
      <c r="G923" s="161"/>
      <c r="AH923" s="162"/>
      <c r="AM923" s="163"/>
    </row>
    <row r="924" spans="7:39" ht="14.25" customHeight="1">
      <c r="G924" s="161"/>
      <c r="AH924" s="162"/>
      <c r="AM924" s="163"/>
    </row>
    <row r="925" spans="7:39" ht="14.25" customHeight="1">
      <c r="G925" s="161"/>
      <c r="AH925" s="162"/>
      <c r="AM925" s="163"/>
    </row>
    <row r="926" spans="7:39" ht="14.25" customHeight="1">
      <c r="G926" s="161"/>
      <c r="AH926" s="162"/>
      <c r="AM926" s="163"/>
    </row>
    <row r="927" spans="7:39" ht="14.25" customHeight="1">
      <c r="G927" s="161"/>
      <c r="AH927" s="162"/>
      <c r="AM927" s="163"/>
    </row>
    <row r="928" spans="7:39" ht="14.25" customHeight="1">
      <c r="G928" s="161"/>
      <c r="AH928" s="162"/>
      <c r="AM928" s="163"/>
    </row>
    <row r="929" spans="7:39" ht="14.25" customHeight="1">
      <c r="G929" s="161"/>
      <c r="AH929" s="162"/>
      <c r="AM929" s="163"/>
    </row>
    <row r="930" spans="7:39" ht="14.25" customHeight="1">
      <c r="G930" s="161"/>
      <c r="AH930" s="162"/>
      <c r="AM930" s="163"/>
    </row>
    <row r="931" spans="7:39" ht="14.25" customHeight="1">
      <c r="G931" s="161"/>
      <c r="AH931" s="162"/>
      <c r="AM931" s="163"/>
    </row>
    <row r="932" spans="7:39" ht="14.25" customHeight="1">
      <c r="G932" s="161"/>
      <c r="AH932" s="162"/>
      <c r="AM932" s="163"/>
    </row>
    <row r="933" spans="7:39" ht="14.25" customHeight="1">
      <c r="G933" s="161"/>
      <c r="AH933" s="162"/>
      <c r="AM933" s="163"/>
    </row>
    <row r="934" spans="7:39" ht="14.25" customHeight="1">
      <c r="G934" s="161"/>
      <c r="AH934" s="162"/>
      <c r="AM934" s="163"/>
    </row>
    <row r="935" spans="7:39" ht="14.25" customHeight="1">
      <c r="G935" s="161"/>
      <c r="AH935" s="162"/>
      <c r="AM935" s="163"/>
    </row>
    <row r="936" spans="7:39" ht="14.25" customHeight="1">
      <c r="G936" s="161"/>
      <c r="AH936" s="162"/>
      <c r="AM936" s="163"/>
    </row>
    <row r="937" spans="7:39" ht="14.25" customHeight="1">
      <c r="G937" s="161"/>
      <c r="AH937" s="162"/>
      <c r="AM937" s="163"/>
    </row>
    <row r="938" spans="7:39" ht="14.25" customHeight="1">
      <c r="G938" s="161"/>
      <c r="AH938" s="162"/>
      <c r="AM938" s="163"/>
    </row>
    <row r="939" spans="7:39" ht="14.25" customHeight="1">
      <c r="G939" s="161"/>
      <c r="AH939" s="162"/>
      <c r="AM939" s="163"/>
    </row>
    <row r="940" spans="7:39" ht="14.25" customHeight="1">
      <c r="G940" s="161"/>
      <c r="AH940" s="162"/>
      <c r="AM940" s="163"/>
    </row>
    <row r="941" spans="7:39" ht="14.25" customHeight="1">
      <c r="G941" s="161"/>
      <c r="AH941" s="162"/>
      <c r="AM941" s="163"/>
    </row>
    <row r="942" spans="7:39" ht="14.25" customHeight="1">
      <c r="G942" s="161"/>
      <c r="AH942" s="162"/>
      <c r="AM942" s="163"/>
    </row>
    <row r="943" spans="7:39" ht="14.25" customHeight="1">
      <c r="G943" s="161"/>
      <c r="AH943" s="162"/>
      <c r="AM943" s="163"/>
    </row>
    <row r="944" spans="7:39" ht="14.25" customHeight="1">
      <c r="G944" s="161"/>
      <c r="AH944" s="162"/>
      <c r="AM944" s="163"/>
    </row>
    <row r="945" spans="7:39" ht="14.25" customHeight="1">
      <c r="G945" s="161"/>
      <c r="AH945" s="162"/>
      <c r="AM945" s="163"/>
    </row>
    <row r="946" spans="7:39" ht="14.25" customHeight="1">
      <c r="G946" s="161"/>
      <c r="AH946" s="162"/>
      <c r="AM946" s="163"/>
    </row>
    <row r="947" spans="7:39" ht="14.25" customHeight="1">
      <c r="G947" s="161"/>
      <c r="AH947" s="162"/>
      <c r="AM947" s="163"/>
    </row>
    <row r="948" spans="7:39" ht="14.25" customHeight="1">
      <c r="G948" s="161"/>
      <c r="AH948" s="162"/>
      <c r="AM948" s="163"/>
    </row>
    <row r="949" spans="7:39" ht="14.25" customHeight="1">
      <c r="G949" s="161"/>
      <c r="AH949" s="162"/>
      <c r="AM949" s="163"/>
    </row>
    <row r="950" spans="7:39" ht="14.25" customHeight="1">
      <c r="G950" s="161"/>
      <c r="AH950" s="162"/>
      <c r="AM950" s="163"/>
    </row>
    <row r="951" spans="7:39" ht="14.25" customHeight="1">
      <c r="G951" s="161"/>
      <c r="AH951" s="162"/>
      <c r="AM951" s="163"/>
    </row>
    <row r="952" spans="7:39" ht="14.25" customHeight="1">
      <c r="G952" s="161"/>
      <c r="AH952" s="162"/>
      <c r="AM952" s="163"/>
    </row>
    <row r="953" spans="7:39" ht="14.25" customHeight="1">
      <c r="G953" s="161"/>
      <c r="AH953" s="162"/>
      <c r="AM953" s="163"/>
    </row>
    <row r="954" spans="7:39" ht="14.25" customHeight="1">
      <c r="G954" s="161"/>
      <c r="AH954" s="162"/>
      <c r="AM954" s="163"/>
    </row>
    <row r="955" spans="7:39" ht="14.25" customHeight="1">
      <c r="G955" s="161"/>
      <c r="AH955" s="162"/>
      <c r="AM955" s="163"/>
    </row>
    <row r="956" spans="7:39" ht="14.25" customHeight="1">
      <c r="G956" s="161"/>
      <c r="AH956" s="162"/>
      <c r="AM956" s="163"/>
    </row>
    <row r="957" spans="7:39" ht="14.25" customHeight="1">
      <c r="G957" s="161"/>
      <c r="AH957" s="162"/>
      <c r="AM957" s="163"/>
    </row>
    <row r="958" spans="7:39" ht="14.25" customHeight="1">
      <c r="G958" s="161"/>
      <c r="AH958" s="162"/>
      <c r="AM958" s="163"/>
    </row>
    <row r="959" spans="7:39" ht="14.25" customHeight="1">
      <c r="G959" s="161"/>
      <c r="AH959" s="162"/>
      <c r="AM959" s="163"/>
    </row>
    <row r="960" spans="7:39" ht="14.25" customHeight="1">
      <c r="G960" s="161"/>
      <c r="AH960" s="162"/>
      <c r="AM960" s="163"/>
    </row>
    <row r="961" spans="7:39" ht="14.25" customHeight="1">
      <c r="G961" s="161"/>
      <c r="AH961" s="162"/>
      <c r="AM961" s="163"/>
    </row>
    <row r="962" spans="7:39" ht="14.25" customHeight="1">
      <c r="G962" s="161"/>
      <c r="AH962" s="162"/>
      <c r="AM962" s="163"/>
    </row>
    <row r="963" spans="7:39" ht="14.25" customHeight="1">
      <c r="G963" s="161"/>
      <c r="AH963" s="162"/>
      <c r="AM963" s="163"/>
    </row>
    <row r="964" spans="7:39" ht="14.25" customHeight="1">
      <c r="G964" s="161"/>
      <c r="AH964" s="162"/>
      <c r="AM964" s="163"/>
    </row>
    <row r="965" spans="7:39" ht="14.25" customHeight="1">
      <c r="G965" s="161"/>
      <c r="AH965" s="162"/>
      <c r="AM965" s="163"/>
    </row>
    <row r="966" spans="7:39" ht="14.25" customHeight="1">
      <c r="G966" s="161"/>
      <c r="AH966" s="162"/>
      <c r="AM966" s="163"/>
    </row>
    <row r="967" spans="7:39" ht="14.25" customHeight="1">
      <c r="G967" s="161"/>
      <c r="AH967" s="162"/>
      <c r="AM967" s="163"/>
    </row>
    <row r="968" spans="7:39" ht="14.25" customHeight="1">
      <c r="G968" s="161"/>
      <c r="AH968" s="162"/>
      <c r="AM968" s="163"/>
    </row>
    <row r="969" spans="7:39" ht="14.25" customHeight="1">
      <c r="G969" s="161"/>
      <c r="AH969" s="162"/>
      <c r="AM969" s="163"/>
    </row>
    <row r="970" spans="7:39" ht="14.25" customHeight="1">
      <c r="G970" s="161"/>
      <c r="AH970" s="162"/>
      <c r="AM970" s="163"/>
    </row>
    <row r="971" spans="7:39" ht="14.25" customHeight="1">
      <c r="G971" s="161"/>
      <c r="AH971" s="162"/>
      <c r="AM971" s="163"/>
    </row>
    <row r="972" spans="7:39" ht="14.25" customHeight="1">
      <c r="G972" s="161"/>
      <c r="AH972" s="162"/>
      <c r="AM972" s="163"/>
    </row>
    <row r="973" spans="7:39" ht="14.25" customHeight="1">
      <c r="G973" s="161"/>
      <c r="AH973" s="162"/>
      <c r="AM973" s="163"/>
    </row>
    <row r="974" spans="7:39" ht="14.25" customHeight="1">
      <c r="G974" s="161"/>
      <c r="AH974" s="162"/>
      <c r="AM974" s="163"/>
    </row>
    <row r="975" spans="7:39" ht="14.25" customHeight="1">
      <c r="G975" s="161"/>
      <c r="AH975" s="162"/>
      <c r="AM975" s="163"/>
    </row>
    <row r="976" spans="7:39" ht="14.25" customHeight="1">
      <c r="G976" s="161"/>
      <c r="AH976" s="162"/>
      <c r="AM976" s="163"/>
    </row>
    <row r="977" spans="7:39" ht="14.25" customHeight="1">
      <c r="G977" s="161"/>
      <c r="AH977" s="162"/>
      <c r="AM977" s="163"/>
    </row>
    <row r="978" spans="7:39" ht="14.25" customHeight="1">
      <c r="G978" s="161"/>
      <c r="AH978" s="162"/>
      <c r="AM978" s="163"/>
    </row>
    <row r="979" spans="7:39" ht="14.25" customHeight="1">
      <c r="G979" s="161"/>
      <c r="AH979" s="162"/>
      <c r="AM979" s="163"/>
    </row>
    <row r="980" spans="7:39" ht="14.25" customHeight="1">
      <c r="G980" s="161"/>
      <c r="AH980" s="162"/>
      <c r="AM980" s="163"/>
    </row>
    <row r="981" spans="7:39" ht="14.25" customHeight="1">
      <c r="G981" s="161"/>
      <c r="AH981" s="162"/>
      <c r="AM981" s="163"/>
    </row>
    <row r="982" spans="7:39" ht="14.25" customHeight="1">
      <c r="G982" s="161"/>
      <c r="AH982" s="162"/>
      <c r="AM982" s="163"/>
    </row>
    <row r="983" spans="7:39" ht="14.25" customHeight="1">
      <c r="G983" s="161"/>
      <c r="AH983" s="162"/>
      <c r="AM983" s="163"/>
    </row>
    <row r="984" spans="7:39" ht="14.25" customHeight="1">
      <c r="G984" s="161"/>
      <c r="AH984" s="162"/>
      <c r="AM984" s="163"/>
    </row>
    <row r="985" spans="7:39" ht="14.25" customHeight="1">
      <c r="G985" s="161"/>
      <c r="AH985" s="162"/>
      <c r="AM985" s="163"/>
    </row>
    <row r="986" spans="7:39" ht="14.25" customHeight="1">
      <c r="G986" s="161"/>
      <c r="AH986" s="162"/>
      <c r="AM986" s="163"/>
    </row>
    <row r="987" spans="7:39" ht="14.25" customHeight="1">
      <c r="G987" s="161"/>
      <c r="AH987" s="162"/>
      <c r="AM987" s="163"/>
    </row>
    <row r="988" spans="7:39" ht="14.25" customHeight="1">
      <c r="G988" s="161"/>
      <c r="AH988" s="162"/>
      <c r="AM988" s="163"/>
    </row>
    <row r="989" spans="7:39" ht="14.25" customHeight="1">
      <c r="G989" s="161"/>
      <c r="AH989" s="162"/>
      <c r="AM989" s="163"/>
    </row>
    <row r="990" spans="7:39" ht="14.25" customHeight="1">
      <c r="G990" s="161"/>
      <c r="AH990" s="162"/>
      <c r="AM990" s="163"/>
    </row>
    <row r="991" spans="7:39" ht="14.25" customHeight="1">
      <c r="G991" s="161"/>
      <c r="AH991" s="162"/>
      <c r="AM991" s="163"/>
    </row>
    <row r="992" spans="7:39" ht="14.25" customHeight="1">
      <c r="G992" s="161"/>
      <c r="AH992" s="162"/>
      <c r="AM992" s="163"/>
    </row>
    <row r="993" spans="7:39" ht="14.25" customHeight="1">
      <c r="G993" s="161"/>
      <c r="AH993" s="162"/>
      <c r="AM993" s="163"/>
    </row>
    <row r="994" spans="7:39" ht="14.25" customHeight="1">
      <c r="G994" s="161"/>
      <c r="AH994" s="162"/>
      <c r="AM994" s="163"/>
    </row>
    <row r="995" spans="7:39" ht="14.25" customHeight="1">
      <c r="G995" s="161"/>
      <c r="AH995" s="162"/>
      <c r="AM995" s="163"/>
    </row>
    <row r="996" spans="7:39" ht="14.25" customHeight="1">
      <c r="G996" s="161"/>
      <c r="AH996" s="162"/>
      <c r="AM996" s="163"/>
    </row>
    <row r="997" spans="7:39" ht="14.25" customHeight="1">
      <c r="G997" s="161"/>
      <c r="AH997" s="162"/>
      <c r="AM997" s="163"/>
    </row>
    <row r="998" spans="7:39" ht="14.25" customHeight="1">
      <c r="G998" s="161"/>
      <c r="AH998" s="162"/>
      <c r="AM998" s="163"/>
    </row>
    <row r="999" spans="7:39" ht="14.25" customHeight="1">
      <c r="G999" s="161"/>
      <c r="AH999" s="162"/>
      <c r="AM999" s="163"/>
    </row>
    <row r="1000" spans="7:39" ht="14.25" customHeight="1">
      <c r="G1000" s="161"/>
      <c r="AH1000" s="162"/>
      <c r="AM1000" s="163"/>
    </row>
    <row r="1001" spans="7:39" ht="14.25" customHeight="1">
      <c r="G1001" s="161"/>
      <c r="AH1001" s="162"/>
      <c r="AM1001" s="163"/>
    </row>
    <row r="1002" spans="7:39" ht="14.25" customHeight="1">
      <c r="G1002" s="161"/>
      <c r="AH1002" s="162"/>
      <c r="AM1002" s="163"/>
    </row>
    <row r="1003" spans="7:39" ht="14.25" customHeight="1">
      <c r="G1003" s="161"/>
      <c r="AH1003" s="162"/>
      <c r="AM1003" s="163"/>
    </row>
    <row r="1004" spans="7:39" ht="14.25" customHeight="1">
      <c r="G1004" s="161"/>
      <c r="AH1004" s="162"/>
      <c r="AM1004" s="163"/>
    </row>
    <row r="1005" spans="7:39" ht="14.25" customHeight="1">
      <c r="G1005" s="161"/>
      <c r="AH1005" s="162"/>
      <c r="AM1005" s="163"/>
    </row>
    <row r="1006" spans="7:39" ht="14.25" customHeight="1">
      <c r="G1006" s="161"/>
      <c r="AH1006" s="162"/>
      <c r="AM1006" s="163"/>
    </row>
    <row r="1007" spans="7:39" ht="14.25" customHeight="1">
      <c r="G1007" s="161"/>
      <c r="AH1007" s="162"/>
      <c r="AM1007" s="163"/>
    </row>
    <row r="1008" spans="7:39" ht="14.25" customHeight="1">
      <c r="G1008" s="161"/>
      <c r="AH1008" s="162"/>
      <c r="AM1008" s="163"/>
    </row>
    <row r="1009" spans="7:39" ht="14.25" customHeight="1">
      <c r="G1009" s="161"/>
      <c r="AH1009" s="162"/>
      <c r="AM1009" s="163"/>
    </row>
    <row r="1010" spans="7:39" ht="14.25" customHeight="1">
      <c r="G1010" s="161"/>
      <c r="AH1010" s="162"/>
      <c r="AM1010" s="163"/>
    </row>
    <row r="1011" spans="7:39" ht="14.25" customHeight="1">
      <c r="G1011" s="161"/>
      <c r="AH1011" s="162"/>
      <c r="AM1011" s="163"/>
    </row>
    <row r="1012" spans="7:39" ht="14.25" customHeight="1">
      <c r="G1012" s="161"/>
      <c r="AH1012" s="162"/>
      <c r="AM1012" s="163"/>
    </row>
    <row r="1013" spans="7:39" ht="14.25" customHeight="1">
      <c r="G1013" s="161"/>
      <c r="AH1013" s="162"/>
      <c r="AM1013" s="163"/>
    </row>
    <row r="1014" spans="7:39" ht="14.25" customHeight="1">
      <c r="G1014" s="161"/>
      <c r="AH1014" s="162"/>
      <c r="AM1014" s="163"/>
    </row>
    <row r="1015" spans="7:39" ht="14.25" customHeight="1">
      <c r="G1015" s="161"/>
      <c r="AH1015" s="162"/>
      <c r="AM1015" s="163"/>
    </row>
    <row r="1016" spans="7:39" ht="14.25" customHeight="1">
      <c r="G1016" s="161"/>
      <c r="AH1016" s="162"/>
      <c r="AM1016" s="163"/>
    </row>
    <row r="1017" spans="7:39" ht="14.25" customHeight="1">
      <c r="G1017" s="161"/>
      <c r="AH1017" s="162"/>
      <c r="AM1017" s="163"/>
    </row>
    <row r="1018" spans="7:39" ht="14.25" customHeight="1">
      <c r="G1018" s="161"/>
      <c r="AH1018" s="162"/>
      <c r="AM1018" s="163"/>
    </row>
    <row r="1019" spans="7:39" ht="14.25" customHeight="1">
      <c r="G1019" s="161"/>
      <c r="AH1019" s="162"/>
      <c r="AM1019" s="163"/>
    </row>
    <row r="1020" spans="7:39" ht="14.25" customHeight="1">
      <c r="G1020" s="161"/>
      <c r="AH1020" s="162"/>
      <c r="AM1020" s="163"/>
    </row>
    <row r="1021" spans="7:39" ht="14.25" customHeight="1">
      <c r="G1021" s="161"/>
      <c r="AH1021" s="162"/>
      <c r="AM1021" s="163"/>
    </row>
    <row r="1022" spans="7:39" ht="14.25" customHeight="1">
      <c r="G1022" s="161"/>
      <c r="AH1022" s="162"/>
      <c r="AM1022" s="163"/>
    </row>
    <row r="1023" spans="7:39" ht="14.25" customHeight="1">
      <c r="G1023" s="161"/>
      <c r="AH1023" s="162"/>
      <c r="AM1023" s="163"/>
    </row>
  </sheetData>
  <customSheetViews>
    <customSheetView guid="{B05DD660-9795-474F-8218-1FC933FBFDAA}" filter="1" showAutoFilter="1">
      <pageMargins left="0.7" right="0.7" top="0.75" bottom="0.75" header="0.3" footer="0.3"/>
      <autoFilter ref="A1:BC178" xr:uid="{C888C848-F3BD-4F25-B023-7555AA28C5A6}"/>
      <extLst>
        <ext uri="GoogleSheetsCustomDataVersion1">
          <go:sheetsCustomData xmlns:go="http://customooxmlschemas.google.com/" filterViewId="967716572"/>
        </ext>
      </extLst>
    </customSheetView>
  </customSheetViews>
  <mergeCells count="1">
    <mergeCell ref="C78:C79"/>
  </mergeCells>
  <hyperlinks>
    <hyperlink ref="AX67" r:id="rId1" display="https://gs1datakart.org/?q=view-productdetail/41130518" xr:uid="{00000000-0004-0000-0100-000000000000}"/>
  </hyperlinks>
  <pageMargins left="0.7" right="0.7" top="0.75" bottom="0.75" header="0" footer="0"/>
  <pageSetup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R999"/>
  <sheetViews>
    <sheetView topLeftCell="T1" workbookViewId="0">
      <pane ySplit="1" topLeftCell="A2" activePane="bottomLeft" state="frozen"/>
      <selection activeCell="K1" sqref="K1"/>
      <selection pane="bottomLeft" activeCell="AC24" sqref="AC24"/>
    </sheetView>
  </sheetViews>
  <sheetFormatPr defaultColWidth="14.44140625" defaultRowHeight="15" customHeight="1"/>
  <cols>
    <col min="1" max="1" width="22.5546875" customWidth="1"/>
    <col min="2" max="2" width="7" customWidth="1"/>
    <col min="4" max="4" width="14.44140625" customWidth="1"/>
    <col min="5" max="5" width="9.6640625" customWidth="1"/>
    <col min="6" max="7" width="14" customWidth="1"/>
    <col min="8" max="8" width="23.88671875" customWidth="1"/>
    <col min="9" max="9" width="24.6640625" customWidth="1"/>
    <col min="10" max="10" width="59.33203125" customWidth="1"/>
    <col min="11" max="11" width="12.5546875" customWidth="1"/>
    <col min="12" max="12" width="13" customWidth="1"/>
    <col min="13" max="13" width="16.33203125" customWidth="1"/>
    <col min="14" max="14" width="19.5546875" customWidth="1"/>
    <col min="15" max="15" width="21" customWidth="1"/>
    <col min="16" max="16" width="8.5546875" customWidth="1"/>
    <col min="17" max="17" width="8" customWidth="1"/>
    <col min="18" max="18" width="14.44140625" customWidth="1"/>
    <col min="19" max="19" width="18.6640625" customWidth="1"/>
    <col min="20" max="20" width="17.6640625" customWidth="1"/>
    <col min="21" max="21" width="15.5546875" customWidth="1"/>
    <col min="22" max="22" width="9" customWidth="1"/>
    <col min="23" max="23" width="10.6640625" customWidth="1"/>
    <col min="24" max="24" width="14.88671875" customWidth="1"/>
    <col min="25" max="25" width="8.6640625" customWidth="1"/>
    <col min="26" max="26" width="16.109375" customWidth="1"/>
    <col min="27" max="27" width="14.6640625" customWidth="1"/>
    <col min="28" max="28" width="10.6640625" customWidth="1"/>
    <col min="29" max="29" width="12.44140625" customWidth="1"/>
    <col min="30" max="30" width="10.33203125" customWidth="1"/>
    <col min="31" max="31" width="11.6640625" customWidth="1"/>
    <col min="32" max="32" width="14.6640625" customWidth="1"/>
    <col min="33" max="33" width="16.44140625" customWidth="1"/>
    <col min="34" max="34" width="11.44140625" customWidth="1"/>
    <col min="35" max="35" width="8.109375" customWidth="1"/>
    <col min="36" max="36" width="15.5546875" customWidth="1"/>
    <col min="37" max="37" width="17.5546875" customWidth="1"/>
    <col min="38" max="38" width="15" customWidth="1"/>
  </cols>
  <sheetData>
    <row r="1" spans="1:44">
      <c r="A1" s="164"/>
      <c r="B1" s="164"/>
      <c r="C1" s="164"/>
      <c r="D1" s="165" t="s">
        <v>160</v>
      </c>
      <c r="E1" s="166" t="s">
        <v>1</v>
      </c>
      <c r="F1" s="166" t="s">
        <v>4</v>
      </c>
      <c r="G1" s="166" t="s">
        <v>161</v>
      </c>
      <c r="H1" s="166" t="s">
        <v>162</v>
      </c>
      <c r="I1" s="166" t="s">
        <v>163</v>
      </c>
      <c r="J1" s="166" t="s">
        <v>6</v>
      </c>
      <c r="K1" s="166" t="s">
        <v>166</v>
      </c>
      <c r="L1" s="166" t="s">
        <v>170</v>
      </c>
      <c r="M1" s="166" t="s">
        <v>929</v>
      </c>
      <c r="N1" s="167" t="s">
        <v>172</v>
      </c>
      <c r="O1" s="168" t="s">
        <v>173</v>
      </c>
      <c r="P1" s="169" t="s">
        <v>15</v>
      </c>
      <c r="Q1" s="168" t="s">
        <v>174</v>
      </c>
      <c r="R1" s="168" t="s">
        <v>175</v>
      </c>
      <c r="S1" s="168" t="s">
        <v>176</v>
      </c>
      <c r="T1" s="168" t="s">
        <v>177</v>
      </c>
      <c r="U1" s="168" t="s">
        <v>178</v>
      </c>
      <c r="V1" s="168" t="s">
        <v>179</v>
      </c>
      <c r="W1" s="168" t="s">
        <v>453</v>
      </c>
      <c r="X1" s="168" t="s">
        <v>181</v>
      </c>
      <c r="Y1" s="168" t="s">
        <v>182</v>
      </c>
      <c r="Z1" s="168" t="s">
        <v>183</v>
      </c>
      <c r="AA1" s="168" t="s">
        <v>930</v>
      </c>
      <c r="AB1" s="168" t="s">
        <v>447</v>
      </c>
      <c r="AC1" s="170" t="s">
        <v>931</v>
      </c>
      <c r="AD1" s="168" t="s">
        <v>186</v>
      </c>
      <c r="AE1" s="171" t="s">
        <v>187</v>
      </c>
      <c r="AF1" s="172" t="s">
        <v>188</v>
      </c>
      <c r="AG1" s="172" t="s">
        <v>189</v>
      </c>
      <c r="AH1" s="172" t="s">
        <v>190</v>
      </c>
      <c r="AI1" s="172" t="s">
        <v>9</v>
      </c>
      <c r="AJ1" s="169" t="s">
        <v>196</v>
      </c>
      <c r="AK1" s="171" t="s">
        <v>197</v>
      </c>
      <c r="AL1" s="168" t="s">
        <v>198</v>
      </c>
      <c r="AM1" s="173"/>
      <c r="AN1" s="174" t="s">
        <v>932</v>
      </c>
      <c r="AO1" s="175" t="s">
        <v>933</v>
      </c>
      <c r="AP1" s="173"/>
      <c r="AQ1" s="173"/>
      <c r="AR1" s="173"/>
    </row>
    <row r="2" spans="1:44">
      <c r="A2" s="141" t="s">
        <v>239</v>
      </c>
      <c r="B2" s="141">
        <v>88</v>
      </c>
      <c r="C2" s="140"/>
      <c r="D2" s="140" t="s">
        <v>934</v>
      </c>
      <c r="E2" s="140" t="s">
        <v>240</v>
      </c>
      <c r="F2" s="140" t="s">
        <v>241</v>
      </c>
      <c r="G2" s="140" t="s">
        <v>242</v>
      </c>
      <c r="H2" s="140" t="s">
        <v>234</v>
      </c>
      <c r="I2" s="140" t="s">
        <v>235</v>
      </c>
      <c r="J2" s="140" t="s">
        <v>244</v>
      </c>
      <c r="K2" s="140">
        <v>85167990</v>
      </c>
      <c r="L2" s="176">
        <f>VLOOKUP(E2,'Margin Calculation'!F:U,16,0)</f>
        <v>9.4499999999999993</v>
      </c>
      <c r="M2" s="176">
        <f>VLOOKUP(E2,'Margin Calculation'!F:V,17,0)</f>
        <v>9.4499999999999993</v>
      </c>
      <c r="N2" s="177">
        <v>0.3</v>
      </c>
      <c r="O2" s="178">
        <f>VLOOKUP(E2,'Margin Calculation'!F:X,19,0)</f>
        <v>2.1365590400000003</v>
      </c>
      <c r="P2" s="179">
        <f t="shared" ref="P2:P88" si="0">(L2+N2+O2)*$B$2</f>
        <v>1046.0171955200001</v>
      </c>
      <c r="Q2" s="180">
        <f t="shared" ref="Q2:Q43" si="1">P2*1.18</f>
        <v>1234.3002907136001</v>
      </c>
      <c r="R2" s="181">
        <f>VLOOKUP(E2,'Margin Calculation'!F:AA,22,0)</f>
        <v>92.25</v>
      </c>
      <c r="S2" s="182">
        <v>50</v>
      </c>
      <c r="T2" s="182">
        <v>136</v>
      </c>
      <c r="U2" s="182">
        <v>322.39999999999998</v>
      </c>
      <c r="V2" s="182">
        <f t="shared" ref="V2:V6" si="2">AF2*10%</f>
        <v>204.9</v>
      </c>
      <c r="W2" s="182">
        <f t="shared" ref="W2:W95" si="3">AF2*$B$18</f>
        <v>20.490000000000002</v>
      </c>
      <c r="X2" s="182">
        <f t="shared" ref="X2:X95" si="4">AF2*$B$15</f>
        <v>102.45</v>
      </c>
      <c r="Y2" s="182">
        <f t="shared" ref="Y2:Y95" si="5">AF2*$B$21</f>
        <v>40.980000000000004</v>
      </c>
      <c r="Z2" s="183">
        <f t="shared" ref="Z2:Z95" si="6">AF2-(AF2/1.18)</f>
        <v>312.5593220338983</v>
      </c>
      <c r="AA2" s="182">
        <f t="shared" ref="AA2:AA95" si="7">AF2*$B$16</f>
        <v>102.45</v>
      </c>
      <c r="AB2" s="182">
        <f t="shared" ref="AB2:AB95" si="8">AF2*$B$17</f>
        <v>61.47</v>
      </c>
      <c r="AC2" s="179">
        <f t="shared" ref="AC2:AC95" si="9">P2+R2+S2+T2+V2+W2+X2+Y2+Z2+AA2+AB2</f>
        <v>2169.5665175538984</v>
      </c>
      <c r="AD2" s="183">
        <f t="shared" ref="AD2:AD95" si="10">AF2-AC2</f>
        <v>-120.56651755389839</v>
      </c>
      <c r="AE2" s="184">
        <f t="shared" ref="AE2:AE95" si="11">AD2/AF2</f>
        <v>-5.8841638630501902E-2</v>
      </c>
      <c r="AF2" s="183">
        <v>2049</v>
      </c>
      <c r="AG2" s="183"/>
      <c r="AH2" s="183"/>
      <c r="AI2" s="183">
        <v>4999</v>
      </c>
      <c r="AJ2" s="179">
        <f t="shared" ref="AJ2:AJ89" si="12">(AF2-P2)-Z2</f>
        <v>690.42348244610162</v>
      </c>
      <c r="AK2" s="184">
        <f t="shared" ref="AK2:AK89" si="13">AJ2/AF2</f>
        <v>0.33695631158911743</v>
      </c>
      <c r="AL2" s="182">
        <v>8904422503373</v>
      </c>
      <c r="AM2" s="182"/>
      <c r="AN2" s="73" t="s">
        <v>935</v>
      </c>
      <c r="AO2" s="185">
        <v>2449</v>
      </c>
      <c r="AP2" s="182"/>
      <c r="AQ2" s="182"/>
      <c r="AR2" s="182"/>
    </row>
    <row r="3" spans="1:44">
      <c r="A3" s="141" t="s">
        <v>245</v>
      </c>
      <c r="B3" s="154">
        <v>2000</v>
      </c>
      <c r="C3" s="140"/>
      <c r="D3" s="140" t="s">
        <v>934</v>
      </c>
      <c r="E3" s="140" t="s">
        <v>246</v>
      </c>
      <c r="F3" s="140" t="s">
        <v>247</v>
      </c>
      <c r="G3" s="140" t="s">
        <v>248</v>
      </c>
      <c r="H3" s="140" t="s">
        <v>234</v>
      </c>
      <c r="I3" s="140" t="s">
        <v>249</v>
      </c>
      <c r="J3" s="140" t="s">
        <v>251</v>
      </c>
      <c r="K3" s="140">
        <v>85098000</v>
      </c>
      <c r="L3" s="176">
        <f>VLOOKUP(E3,'Margin Calculation'!F:U,16,0)</f>
        <v>13.5</v>
      </c>
      <c r="M3" s="176">
        <f>VLOOKUP(E3,'Margin Calculation'!F:V,17,0)</f>
        <v>13.4</v>
      </c>
      <c r="N3" s="177">
        <v>0.4</v>
      </c>
      <c r="O3" s="178">
        <f>VLOOKUP(E3,'Margin Calculation'!F:X,19,0)</f>
        <v>3.0494911764705885</v>
      </c>
      <c r="P3" s="179">
        <f t="shared" si="0"/>
        <v>1491.5552235294117</v>
      </c>
      <c r="Q3" s="180">
        <f t="shared" si="1"/>
        <v>1760.0351637647057</v>
      </c>
      <c r="R3" s="181">
        <f>VLOOKUP(E3,'Margin Calculation'!F:AA,22,0)</f>
        <v>161.95499999999998</v>
      </c>
      <c r="S3" s="182">
        <v>50</v>
      </c>
      <c r="T3" s="182">
        <v>136</v>
      </c>
      <c r="U3" s="182">
        <v>406.9</v>
      </c>
      <c r="V3" s="182">
        <f t="shared" si="2"/>
        <v>339.90000000000003</v>
      </c>
      <c r="W3" s="182">
        <f t="shared" si="3"/>
        <v>33.99</v>
      </c>
      <c r="X3" s="182">
        <f t="shared" si="4"/>
        <v>169.95000000000002</v>
      </c>
      <c r="Y3" s="182">
        <f t="shared" si="5"/>
        <v>67.98</v>
      </c>
      <c r="Z3" s="183">
        <f t="shared" si="6"/>
        <v>518.49152542372849</v>
      </c>
      <c r="AA3" s="182">
        <f t="shared" si="7"/>
        <v>169.95000000000002</v>
      </c>
      <c r="AB3" s="182">
        <f t="shared" si="8"/>
        <v>101.97</v>
      </c>
      <c r="AC3" s="179">
        <f t="shared" si="9"/>
        <v>3241.7417489531394</v>
      </c>
      <c r="AD3" s="183">
        <f t="shared" si="10"/>
        <v>157.25825104686055</v>
      </c>
      <c r="AE3" s="184">
        <f t="shared" si="11"/>
        <v>4.6266034435675361E-2</v>
      </c>
      <c r="AF3" s="183">
        <v>3399</v>
      </c>
      <c r="AG3" s="183"/>
      <c r="AH3" s="183"/>
      <c r="AI3" s="183">
        <v>9999</v>
      </c>
      <c r="AJ3" s="179">
        <f t="shared" si="12"/>
        <v>1388.9532510468598</v>
      </c>
      <c r="AK3" s="184">
        <f t="shared" si="13"/>
        <v>0.4086358490870432</v>
      </c>
      <c r="AL3" s="182">
        <v>8904422503380</v>
      </c>
      <c r="AM3" s="182"/>
      <c r="AN3" s="73" t="s">
        <v>241</v>
      </c>
      <c r="AO3" s="185">
        <v>2099</v>
      </c>
      <c r="AP3" s="182"/>
      <c r="AQ3" s="182"/>
      <c r="AR3" s="182"/>
    </row>
    <row r="4" spans="1:44">
      <c r="A4" s="141" t="s">
        <v>252</v>
      </c>
      <c r="B4" s="141">
        <v>68</v>
      </c>
      <c r="C4" s="140"/>
      <c r="D4" s="140" t="s">
        <v>934</v>
      </c>
      <c r="E4" s="140" t="s">
        <v>253</v>
      </c>
      <c r="F4" s="140" t="s">
        <v>254</v>
      </c>
      <c r="G4" s="140" t="s">
        <v>255</v>
      </c>
      <c r="H4" s="140" t="s">
        <v>256</v>
      </c>
      <c r="I4" s="140" t="s">
        <v>257</v>
      </c>
      <c r="J4" s="140" t="s">
        <v>259</v>
      </c>
      <c r="K4" s="140">
        <v>94043090</v>
      </c>
      <c r="L4" s="176">
        <f>VLOOKUP(E4,'Margin Calculation'!F:U,16,0)</f>
        <v>2.95</v>
      </c>
      <c r="M4" s="176">
        <f>VLOOKUP(E4,'Margin Calculation'!F:V,17,0)</f>
        <v>0</v>
      </c>
      <c r="N4" s="177">
        <v>0.1</v>
      </c>
      <c r="O4" s="178">
        <f>VLOOKUP(E4,'Margin Calculation'!F:X,19,0)</f>
        <v>0.85156163529411777</v>
      </c>
      <c r="P4" s="179">
        <f t="shared" si="0"/>
        <v>343.33742390588236</v>
      </c>
      <c r="Q4" s="180">
        <f t="shared" si="1"/>
        <v>405.13816020894114</v>
      </c>
      <c r="R4" s="181">
        <f>VLOOKUP(E4,'Margin Calculation'!F:AA,22,0)</f>
        <v>69.900000000000006</v>
      </c>
      <c r="S4" s="182">
        <v>25</v>
      </c>
      <c r="T4" s="182">
        <v>78</v>
      </c>
      <c r="U4" s="182">
        <v>172.9</v>
      </c>
      <c r="V4" s="182">
        <f t="shared" si="2"/>
        <v>69.900000000000006</v>
      </c>
      <c r="W4" s="182">
        <f t="shared" si="3"/>
        <v>6.99</v>
      </c>
      <c r="X4" s="182">
        <f t="shared" si="4"/>
        <v>34.950000000000003</v>
      </c>
      <c r="Y4" s="182">
        <f t="shared" si="5"/>
        <v>13.98</v>
      </c>
      <c r="Z4" s="183">
        <f t="shared" si="6"/>
        <v>106.62711864406776</v>
      </c>
      <c r="AA4" s="182">
        <f t="shared" si="7"/>
        <v>34.950000000000003</v>
      </c>
      <c r="AB4" s="182">
        <f t="shared" si="8"/>
        <v>20.97</v>
      </c>
      <c r="AC4" s="179">
        <f t="shared" si="9"/>
        <v>804.60454254995022</v>
      </c>
      <c r="AD4" s="183">
        <f t="shared" si="10"/>
        <v>-105.60454254995022</v>
      </c>
      <c r="AE4" s="184">
        <f t="shared" si="11"/>
        <v>-0.15107946001423495</v>
      </c>
      <c r="AF4" s="183">
        <f t="shared" ref="AF4:AF6" si="14">VLOOKUP(F4,AN:AO,2,0)</f>
        <v>699</v>
      </c>
      <c r="AG4" s="183"/>
      <c r="AH4" s="183"/>
      <c r="AI4" s="183">
        <v>1499</v>
      </c>
      <c r="AJ4" s="179">
        <f t="shared" si="12"/>
        <v>249.03545745004988</v>
      </c>
      <c r="AK4" s="184">
        <f t="shared" si="13"/>
        <v>0.35627390193140185</v>
      </c>
      <c r="AL4" s="182">
        <v>8904422503496</v>
      </c>
      <c r="AM4" s="182"/>
      <c r="AN4" s="73" t="s">
        <v>425</v>
      </c>
      <c r="AO4" s="185">
        <v>2899</v>
      </c>
      <c r="AP4" s="182"/>
      <c r="AQ4" s="182"/>
      <c r="AR4" s="182"/>
    </row>
    <row r="5" spans="1:44">
      <c r="A5" s="141" t="s">
        <v>261</v>
      </c>
      <c r="B5" s="141">
        <v>40</v>
      </c>
      <c r="C5" s="140"/>
      <c r="D5" s="140" t="s">
        <v>934</v>
      </c>
      <c r="E5" s="140" t="s">
        <v>262</v>
      </c>
      <c r="F5" s="140" t="s">
        <v>263</v>
      </c>
      <c r="G5" s="140" t="s">
        <v>264</v>
      </c>
      <c r="H5" s="140" t="s">
        <v>256</v>
      </c>
      <c r="I5" s="140" t="s">
        <v>257</v>
      </c>
      <c r="J5" s="140" t="s">
        <v>265</v>
      </c>
      <c r="K5" s="140">
        <v>94043090</v>
      </c>
      <c r="L5" s="176">
        <f>VLOOKUP(E5,'Margin Calculation'!F:U,16,0)</f>
        <v>2.95</v>
      </c>
      <c r="M5" s="176">
        <f>VLOOKUP(E5,'Margin Calculation'!F:V,17,0)</f>
        <v>0</v>
      </c>
      <c r="N5" s="177">
        <v>0.1</v>
      </c>
      <c r="O5" s="178">
        <f>VLOOKUP(E5,'Margin Calculation'!F:X,19,0)</f>
        <v>0.85156163529411777</v>
      </c>
      <c r="P5" s="179">
        <f t="shared" si="0"/>
        <v>343.33742390588236</v>
      </c>
      <c r="Q5" s="180">
        <f t="shared" si="1"/>
        <v>405.13816020894114</v>
      </c>
      <c r="R5" s="181">
        <f>VLOOKUP(E5,'Margin Calculation'!F:AA,22,0)</f>
        <v>69.900000000000006</v>
      </c>
      <c r="S5" s="182">
        <v>25</v>
      </c>
      <c r="T5" s="182">
        <v>78</v>
      </c>
      <c r="U5" s="182">
        <v>172.9</v>
      </c>
      <c r="V5" s="182">
        <f t="shared" si="2"/>
        <v>69.900000000000006</v>
      </c>
      <c r="W5" s="182">
        <f t="shared" si="3"/>
        <v>6.99</v>
      </c>
      <c r="X5" s="182">
        <f t="shared" si="4"/>
        <v>34.950000000000003</v>
      </c>
      <c r="Y5" s="182">
        <f t="shared" si="5"/>
        <v>13.98</v>
      </c>
      <c r="Z5" s="183">
        <f t="shared" si="6"/>
        <v>106.62711864406776</v>
      </c>
      <c r="AA5" s="182">
        <f t="shared" si="7"/>
        <v>34.950000000000003</v>
      </c>
      <c r="AB5" s="182">
        <f t="shared" si="8"/>
        <v>20.97</v>
      </c>
      <c r="AC5" s="179">
        <f t="shared" si="9"/>
        <v>804.60454254995022</v>
      </c>
      <c r="AD5" s="183">
        <f t="shared" si="10"/>
        <v>-105.60454254995022</v>
      </c>
      <c r="AE5" s="184">
        <f t="shared" si="11"/>
        <v>-0.15107946001423495</v>
      </c>
      <c r="AF5" s="183">
        <f t="shared" si="14"/>
        <v>699</v>
      </c>
      <c r="AG5" s="183"/>
      <c r="AH5" s="183"/>
      <c r="AI5" s="183">
        <v>1999</v>
      </c>
      <c r="AJ5" s="179">
        <f t="shared" si="12"/>
        <v>249.03545745004988</v>
      </c>
      <c r="AK5" s="184">
        <f t="shared" si="13"/>
        <v>0.35627390193140185</v>
      </c>
      <c r="AL5" s="182">
        <v>8904422503502</v>
      </c>
      <c r="AM5" s="182"/>
      <c r="AN5" s="73" t="s">
        <v>585</v>
      </c>
      <c r="AO5" s="185">
        <v>3199</v>
      </c>
      <c r="AP5" s="182"/>
      <c r="AQ5" s="182"/>
      <c r="AR5" s="182"/>
    </row>
    <row r="6" spans="1:44">
      <c r="A6" s="141" t="s">
        <v>266</v>
      </c>
      <c r="B6" s="186">
        <v>0.25</v>
      </c>
      <c r="C6" s="140"/>
      <c r="D6" s="140" t="s">
        <v>934</v>
      </c>
      <c r="E6" s="140" t="s">
        <v>267</v>
      </c>
      <c r="F6" s="187" t="s">
        <v>268</v>
      </c>
      <c r="G6" s="187" t="s">
        <v>269</v>
      </c>
      <c r="H6" s="140" t="s">
        <v>256</v>
      </c>
      <c r="I6" s="140" t="s">
        <v>257</v>
      </c>
      <c r="J6" s="140" t="s">
        <v>936</v>
      </c>
      <c r="K6" s="140">
        <v>94043090</v>
      </c>
      <c r="L6" s="176">
        <f>VLOOKUP(E6,'Margin Calculation'!F:U,16,0)</f>
        <v>2.95</v>
      </c>
      <c r="M6" s="176">
        <f>VLOOKUP(E6,'Margin Calculation'!F:V,17,0)</f>
        <v>0</v>
      </c>
      <c r="N6" s="177">
        <v>0.1</v>
      </c>
      <c r="O6" s="178">
        <f>VLOOKUP(E6,'Margin Calculation'!F:X,19,0)</f>
        <v>0.85156163529411777</v>
      </c>
      <c r="P6" s="179">
        <f t="shared" si="0"/>
        <v>343.33742390588236</v>
      </c>
      <c r="Q6" s="180">
        <f t="shared" si="1"/>
        <v>405.13816020894114</v>
      </c>
      <c r="R6" s="181">
        <f>VLOOKUP(E6,'Margin Calculation'!F:AA,22,0)</f>
        <v>69.900000000000006</v>
      </c>
      <c r="S6" s="182">
        <v>25</v>
      </c>
      <c r="T6" s="182">
        <v>78</v>
      </c>
      <c r="U6" s="182">
        <v>172.9</v>
      </c>
      <c r="V6" s="182">
        <f t="shared" si="2"/>
        <v>69.900000000000006</v>
      </c>
      <c r="W6" s="182">
        <f t="shared" si="3"/>
        <v>6.99</v>
      </c>
      <c r="X6" s="182">
        <f t="shared" si="4"/>
        <v>34.950000000000003</v>
      </c>
      <c r="Y6" s="182">
        <f t="shared" si="5"/>
        <v>13.98</v>
      </c>
      <c r="Z6" s="183">
        <f t="shared" si="6"/>
        <v>106.62711864406776</v>
      </c>
      <c r="AA6" s="182">
        <f t="shared" si="7"/>
        <v>34.950000000000003</v>
      </c>
      <c r="AB6" s="182">
        <f t="shared" si="8"/>
        <v>20.97</v>
      </c>
      <c r="AC6" s="179">
        <f t="shared" si="9"/>
        <v>804.60454254995022</v>
      </c>
      <c r="AD6" s="183">
        <f t="shared" si="10"/>
        <v>-105.60454254995022</v>
      </c>
      <c r="AE6" s="184">
        <f t="shared" si="11"/>
        <v>-0.15107946001423495</v>
      </c>
      <c r="AF6" s="183">
        <f t="shared" si="14"/>
        <v>699</v>
      </c>
      <c r="AG6" s="183"/>
      <c r="AH6" s="183"/>
      <c r="AI6" s="183">
        <v>1999</v>
      </c>
      <c r="AJ6" s="179">
        <f t="shared" si="12"/>
        <v>249.03545745004988</v>
      </c>
      <c r="AK6" s="184">
        <f t="shared" si="13"/>
        <v>0.35627390193140185</v>
      </c>
      <c r="AL6" s="188">
        <v>8904422503519</v>
      </c>
      <c r="AM6" s="182"/>
      <c r="AN6" s="73" t="s">
        <v>600</v>
      </c>
      <c r="AO6" s="185">
        <v>1999</v>
      </c>
      <c r="AP6" s="182"/>
      <c r="AQ6" s="182"/>
      <c r="AR6" s="182"/>
    </row>
    <row r="7" spans="1:44">
      <c r="A7" s="141" t="s">
        <v>271</v>
      </c>
      <c r="B7" s="186">
        <v>0.2</v>
      </c>
      <c r="C7" s="140"/>
      <c r="D7" s="140" t="s">
        <v>934</v>
      </c>
      <c r="E7" s="140" t="s">
        <v>311</v>
      </c>
      <c r="F7" s="140" t="s">
        <v>312</v>
      </c>
      <c r="G7" s="140" t="s">
        <v>313</v>
      </c>
      <c r="H7" s="140" t="s">
        <v>314</v>
      </c>
      <c r="I7" s="140" t="s">
        <v>315</v>
      </c>
      <c r="J7" s="140" t="s">
        <v>318</v>
      </c>
      <c r="K7" s="140">
        <v>84244900</v>
      </c>
      <c r="L7" s="176">
        <f>VLOOKUP(E7,'Margin Calculation'!F:U,16,0)</f>
        <v>9.17</v>
      </c>
      <c r="M7" s="176">
        <f>VLOOKUP(E7,'Margin Calculation'!F:V,17,0)</f>
        <v>0</v>
      </c>
      <c r="N7" s="177">
        <f t="shared" ref="N7:N95" si="15">L7*2%</f>
        <v>0.18340000000000001</v>
      </c>
      <c r="O7" s="178">
        <f>VLOOKUP(E7,'Margin Calculation'!F:X,19,0)</f>
        <v>0.77165549999999994</v>
      </c>
      <c r="P7" s="179">
        <f t="shared" si="0"/>
        <v>891.00488400000006</v>
      </c>
      <c r="Q7" s="180">
        <f t="shared" si="1"/>
        <v>1051.3857631200001</v>
      </c>
      <c r="R7" s="181">
        <f>VLOOKUP(E7,'Margin Calculation'!F:AA,22,0)</f>
        <v>98.924999999999997</v>
      </c>
      <c r="S7" s="182">
        <v>60</v>
      </c>
      <c r="T7" s="182">
        <v>50</v>
      </c>
      <c r="U7" s="182">
        <v>222.8</v>
      </c>
      <c r="V7" s="182">
        <f>AF7*20%</f>
        <v>305.8</v>
      </c>
      <c r="W7" s="182">
        <f t="shared" si="3"/>
        <v>15.290000000000001</v>
      </c>
      <c r="X7" s="182">
        <f t="shared" si="4"/>
        <v>76.45</v>
      </c>
      <c r="Y7" s="182">
        <f t="shared" si="5"/>
        <v>30.580000000000002</v>
      </c>
      <c r="Z7" s="183">
        <f t="shared" si="6"/>
        <v>233.23728813559319</v>
      </c>
      <c r="AA7" s="182">
        <f t="shared" si="7"/>
        <v>76.45</v>
      </c>
      <c r="AB7" s="182">
        <f t="shared" si="8"/>
        <v>45.87</v>
      </c>
      <c r="AC7" s="179">
        <f t="shared" si="9"/>
        <v>1883.6071721355931</v>
      </c>
      <c r="AD7" s="183">
        <f t="shared" si="10"/>
        <v>-354.60717213559315</v>
      </c>
      <c r="AE7" s="184">
        <f t="shared" si="11"/>
        <v>-0.23192097588985816</v>
      </c>
      <c r="AF7" s="183">
        <v>1529</v>
      </c>
      <c r="AG7" s="183"/>
      <c r="AH7" s="183"/>
      <c r="AI7" s="183">
        <v>3599</v>
      </c>
      <c r="AJ7" s="179">
        <f t="shared" si="12"/>
        <v>404.75782786440675</v>
      </c>
      <c r="AK7" s="184">
        <f t="shared" si="13"/>
        <v>0.26472061992439944</v>
      </c>
      <c r="AL7" s="182">
        <v>8904422503854</v>
      </c>
      <c r="AM7" s="182"/>
      <c r="AN7" s="73" t="s">
        <v>505</v>
      </c>
      <c r="AO7" s="185">
        <v>1499</v>
      </c>
      <c r="AP7" s="182"/>
      <c r="AQ7" s="182"/>
      <c r="AR7" s="182"/>
    </row>
    <row r="8" spans="1:44">
      <c r="A8" s="141" t="s">
        <v>323</v>
      </c>
      <c r="B8" s="186">
        <v>0.1</v>
      </c>
      <c r="C8" s="140"/>
      <c r="D8" s="140" t="s">
        <v>934</v>
      </c>
      <c r="E8" s="140" t="s">
        <v>324</v>
      </c>
      <c r="F8" s="140" t="s">
        <v>325</v>
      </c>
      <c r="G8" s="140" t="s">
        <v>326</v>
      </c>
      <c r="H8" s="140" t="s">
        <v>234</v>
      </c>
      <c r="I8" s="140" t="s">
        <v>235</v>
      </c>
      <c r="J8" s="140" t="s">
        <v>327</v>
      </c>
      <c r="K8" s="140">
        <v>85167990</v>
      </c>
      <c r="L8" s="176">
        <f>VLOOKUP(E8,'Margin Calculation'!F:U,16,0)</f>
        <v>11.38</v>
      </c>
      <c r="M8" s="176">
        <f>VLOOKUP(E8,'Margin Calculation'!F:V,17,0)</f>
        <v>0</v>
      </c>
      <c r="N8" s="177">
        <f t="shared" si="15"/>
        <v>0.22760000000000002</v>
      </c>
      <c r="O8" s="178">
        <f>VLOOKUP(E8,'Margin Calculation'!F:X,19,0)</f>
        <v>2.5611590400000006</v>
      </c>
      <c r="P8" s="179">
        <f t="shared" si="0"/>
        <v>1246.85079552</v>
      </c>
      <c r="Q8" s="180">
        <f t="shared" si="1"/>
        <v>1471.2839387136</v>
      </c>
      <c r="R8" s="181">
        <f>VLOOKUP(E8,'Margin Calculation'!F:AA,22,0)</f>
        <v>98.954999999999998</v>
      </c>
      <c r="S8" s="182">
        <v>50</v>
      </c>
      <c r="T8" s="182">
        <v>136</v>
      </c>
      <c r="U8" s="182">
        <v>329.3</v>
      </c>
      <c r="V8" s="182">
        <f>AF8*10%</f>
        <v>219.9</v>
      </c>
      <c r="W8" s="182">
        <f t="shared" si="3"/>
        <v>21.990000000000002</v>
      </c>
      <c r="X8" s="182">
        <f t="shared" si="4"/>
        <v>109.95</v>
      </c>
      <c r="Y8" s="182">
        <f t="shared" si="5"/>
        <v>43.980000000000004</v>
      </c>
      <c r="Z8" s="183">
        <f t="shared" si="6"/>
        <v>335.4406779661017</v>
      </c>
      <c r="AA8" s="182">
        <f t="shared" si="7"/>
        <v>109.95</v>
      </c>
      <c r="AB8" s="182">
        <f t="shared" si="8"/>
        <v>65.97</v>
      </c>
      <c r="AC8" s="179">
        <f t="shared" si="9"/>
        <v>2438.9864734861017</v>
      </c>
      <c r="AD8" s="183">
        <f t="shared" si="10"/>
        <v>-239.98647348610166</v>
      </c>
      <c r="AE8" s="184">
        <f t="shared" si="11"/>
        <v>-0.10913436720604895</v>
      </c>
      <c r="AF8" s="183">
        <f>VLOOKUP(F8,AN:AO,2,0)</f>
        <v>2199</v>
      </c>
      <c r="AG8" s="183"/>
      <c r="AH8" s="183"/>
      <c r="AI8" s="183">
        <v>5999</v>
      </c>
      <c r="AJ8" s="179">
        <f t="shared" si="12"/>
        <v>616.70852651389828</v>
      </c>
      <c r="AK8" s="184">
        <f t="shared" si="13"/>
        <v>0.28044953456748445</v>
      </c>
      <c r="AL8" s="182">
        <v>8904422503991</v>
      </c>
      <c r="AM8" s="182"/>
      <c r="AN8" s="73" t="s">
        <v>247</v>
      </c>
      <c r="AO8" s="185">
        <v>3399</v>
      </c>
      <c r="AP8" s="182"/>
      <c r="AQ8" s="182"/>
      <c r="AR8" s="182"/>
    </row>
    <row r="9" spans="1:44">
      <c r="A9" s="141" t="s">
        <v>328</v>
      </c>
      <c r="B9" s="153">
        <v>7.4999999999999997E-2</v>
      </c>
      <c r="C9" s="140"/>
      <c r="D9" s="140" t="s">
        <v>934</v>
      </c>
      <c r="E9" s="140" t="s">
        <v>329</v>
      </c>
      <c r="F9" s="140" t="s">
        <v>330</v>
      </c>
      <c r="G9" s="140" t="s">
        <v>331</v>
      </c>
      <c r="H9" s="140" t="s">
        <v>314</v>
      </c>
      <c r="I9" s="140" t="s">
        <v>315</v>
      </c>
      <c r="J9" s="140" t="s">
        <v>333</v>
      </c>
      <c r="K9" s="140">
        <v>85098000</v>
      </c>
      <c r="L9" s="176">
        <f>VLOOKUP(E9,'Margin Calculation'!F:U,16,0)</f>
        <v>2.15</v>
      </c>
      <c r="M9" s="176">
        <f>VLOOKUP(E9,'Margin Calculation'!F:V,17,0)</f>
        <v>2.15</v>
      </c>
      <c r="N9" s="177">
        <f t="shared" si="15"/>
        <v>4.2999999999999997E-2</v>
      </c>
      <c r="O9" s="178">
        <f>VLOOKUP(E9,'Margin Calculation'!F:X,19,0)</f>
        <v>0.48246000000000006</v>
      </c>
      <c r="P9" s="179">
        <f t="shared" si="0"/>
        <v>235.44048000000001</v>
      </c>
      <c r="Q9" s="180">
        <f t="shared" si="1"/>
        <v>277.81976639999999</v>
      </c>
      <c r="R9" s="181">
        <f>VLOOKUP(E9,'Margin Calculation'!F:AA,22,0)</f>
        <v>17.954999999999998</v>
      </c>
      <c r="S9" s="182">
        <v>12</v>
      </c>
      <c r="T9" s="182">
        <v>60</v>
      </c>
      <c r="U9" s="182">
        <v>89.9</v>
      </c>
      <c r="V9" s="182">
        <f t="shared" ref="V9:V10" si="16">AF9*20%</f>
        <v>59.800000000000004</v>
      </c>
      <c r="W9" s="182">
        <f t="shared" si="3"/>
        <v>2.99</v>
      </c>
      <c r="X9" s="182">
        <f t="shared" si="4"/>
        <v>14.950000000000001</v>
      </c>
      <c r="Y9" s="182">
        <f t="shared" si="5"/>
        <v>5.98</v>
      </c>
      <c r="Z9" s="183">
        <f t="shared" si="6"/>
        <v>45.610169491525397</v>
      </c>
      <c r="AA9" s="182">
        <f t="shared" si="7"/>
        <v>14.950000000000001</v>
      </c>
      <c r="AB9" s="182">
        <f t="shared" si="8"/>
        <v>8.9699999999999989</v>
      </c>
      <c r="AC9" s="179">
        <f t="shared" si="9"/>
        <v>478.64564949152543</v>
      </c>
      <c r="AD9" s="183">
        <f t="shared" si="10"/>
        <v>-179.64564949152543</v>
      </c>
      <c r="AE9" s="184">
        <f t="shared" si="11"/>
        <v>-0.60082157020577065</v>
      </c>
      <c r="AF9" s="183">
        <v>299</v>
      </c>
      <c r="AG9" s="183"/>
      <c r="AH9" s="183"/>
      <c r="AI9" s="183">
        <v>1199</v>
      </c>
      <c r="AJ9" s="179">
        <f t="shared" si="12"/>
        <v>17.949350508474595</v>
      </c>
      <c r="AK9" s="184">
        <f t="shared" si="13"/>
        <v>6.0031272603593963E-2</v>
      </c>
      <c r="AL9" s="182">
        <v>8904422504004</v>
      </c>
      <c r="AM9" s="182"/>
      <c r="AN9" s="73" t="s">
        <v>689</v>
      </c>
      <c r="AO9" s="185">
        <v>1499</v>
      </c>
      <c r="AP9" s="182"/>
      <c r="AQ9" s="182"/>
      <c r="AR9" s="182"/>
    </row>
    <row r="10" spans="1:44">
      <c r="A10" s="141" t="s">
        <v>334</v>
      </c>
      <c r="B10" s="186">
        <v>0.08</v>
      </c>
      <c r="C10" s="140"/>
      <c r="D10" s="140" t="s">
        <v>934</v>
      </c>
      <c r="E10" s="140" t="s">
        <v>335</v>
      </c>
      <c r="F10" s="140" t="s">
        <v>336</v>
      </c>
      <c r="G10" s="140" t="s">
        <v>337</v>
      </c>
      <c r="H10" s="140" t="s">
        <v>314</v>
      </c>
      <c r="I10" s="140" t="s">
        <v>315</v>
      </c>
      <c r="J10" s="140" t="s">
        <v>338</v>
      </c>
      <c r="K10" s="140">
        <v>85098000</v>
      </c>
      <c r="L10" s="176">
        <f>VLOOKUP(E10,'Margin Calculation'!F:U,16,0)</f>
        <v>2.15</v>
      </c>
      <c r="M10" s="176">
        <f>VLOOKUP(E10,'Margin Calculation'!F:V,17,0)</f>
        <v>2.15</v>
      </c>
      <c r="N10" s="177">
        <f t="shared" si="15"/>
        <v>4.2999999999999997E-2</v>
      </c>
      <c r="O10" s="178">
        <f>VLOOKUP(E10,'Margin Calculation'!F:X,19,0)</f>
        <v>0.48246000000000006</v>
      </c>
      <c r="P10" s="179">
        <f t="shared" si="0"/>
        <v>235.44048000000001</v>
      </c>
      <c r="Q10" s="180">
        <f t="shared" si="1"/>
        <v>277.81976639999999</v>
      </c>
      <c r="R10" s="181">
        <f>VLOOKUP(E10,'Margin Calculation'!F:AA,22,0)</f>
        <v>15.705</v>
      </c>
      <c r="S10" s="182">
        <v>12</v>
      </c>
      <c r="T10" s="182">
        <v>60</v>
      </c>
      <c r="U10" s="182">
        <v>89.9</v>
      </c>
      <c r="V10" s="182">
        <f t="shared" si="16"/>
        <v>59.800000000000004</v>
      </c>
      <c r="W10" s="182">
        <f t="shared" si="3"/>
        <v>2.99</v>
      </c>
      <c r="X10" s="182">
        <f t="shared" si="4"/>
        <v>14.950000000000001</v>
      </c>
      <c r="Y10" s="182">
        <f t="shared" si="5"/>
        <v>5.98</v>
      </c>
      <c r="Z10" s="183">
        <f t="shared" si="6"/>
        <v>45.610169491525397</v>
      </c>
      <c r="AA10" s="182">
        <f t="shared" si="7"/>
        <v>14.950000000000001</v>
      </c>
      <c r="AB10" s="182">
        <f t="shared" si="8"/>
        <v>8.9699999999999989</v>
      </c>
      <c r="AC10" s="179">
        <f t="shared" si="9"/>
        <v>476.39564949152543</v>
      </c>
      <c r="AD10" s="183">
        <f t="shared" si="10"/>
        <v>-177.39564949152543</v>
      </c>
      <c r="AE10" s="184">
        <f t="shared" si="11"/>
        <v>-0.59329648659373058</v>
      </c>
      <c r="AF10" s="183">
        <v>299</v>
      </c>
      <c r="AG10" s="183"/>
      <c r="AH10" s="183"/>
      <c r="AI10" s="183">
        <v>1199</v>
      </c>
      <c r="AJ10" s="179">
        <f t="shared" si="12"/>
        <v>17.949350508474595</v>
      </c>
      <c r="AK10" s="184">
        <f t="shared" si="13"/>
        <v>6.0031272603593963E-2</v>
      </c>
      <c r="AL10" s="182">
        <v>8904422504011</v>
      </c>
      <c r="AM10" s="182"/>
      <c r="AN10" s="73" t="s">
        <v>325</v>
      </c>
      <c r="AO10" s="185">
        <v>2199</v>
      </c>
      <c r="AP10" s="182"/>
      <c r="AQ10" s="182"/>
      <c r="AR10" s="182"/>
    </row>
    <row r="11" spans="1:44">
      <c r="A11" s="141" t="s">
        <v>339</v>
      </c>
      <c r="B11" s="186">
        <v>0.1</v>
      </c>
      <c r="C11" s="140"/>
      <c r="D11" s="140" t="s">
        <v>934</v>
      </c>
      <c r="E11" s="140" t="s">
        <v>418</v>
      </c>
      <c r="F11" s="140" t="s">
        <v>419</v>
      </c>
      <c r="G11" s="140" t="s">
        <v>420</v>
      </c>
      <c r="H11" s="140" t="s">
        <v>234</v>
      </c>
      <c r="I11" s="140" t="s">
        <v>249</v>
      </c>
      <c r="J11" s="140" t="s">
        <v>422</v>
      </c>
      <c r="K11" s="140">
        <v>85098000</v>
      </c>
      <c r="L11" s="176">
        <f>VLOOKUP(E11,'Margin Calculation'!F:U,16,0)</f>
        <v>10.35</v>
      </c>
      <c r="M11" s="176">
        <f>VLOOKUP(E11,'Margin Calculation'!F:V,17,0)</f>
        <v>10.3</v>
      </c>
      <c r="N11" s="177">
        <f t="shared" si="15"/>
        <v>0.20699999999999999</v>
      </c>
      <c r="O11" s="178">
        <f>VLOOKUP(E11,'Margin Calculation'!F:X,19,0)</f>
        <v>2.3225400000000005</v>
      </c>
      <c r="P11" s="179">
        <f t="shared" si="0"/>
        <v>1133.3995199999999</v>
      </c>
      <c r="Q11" s="180">
        <f t="shared" si="1"/>
        <v>1337.4114335999998</v>
      </c>
      <c r="R11" s="181">
        <f>VLOOKUP(E11,'Margin Calculation'!F:AA,22,0)</f>
        <v>110.205</v>
      </c>
      <c r="S11" s="182">
        <v>50</v>
      </c>
      <c r="T11" s="182">
        <v>135</v>
      </c>
      <c r="U11" s="182">
        <v>344.2</v>
      </c>
      <c r="V11" s="182">
        <f t="shared" ref="V11:V12" si="17">AF11*10%</f>
        <v>244.9</v>
      </c>
      <c r="W11" s="182">
        <f t="shared" si="3"/>
        <v>24.490000000000002</v>
      </c>
      <c r="X11" s="182">
        <f t="shared" si="4"/>
        <v>122.45</v>
      </c>
      <c r="Y11" s="182">
        <f t="shared" si="5"/>
        <v>48.980000000000004</v>
      </c>
      <c r="Z11" s="183">
        <f t="shared" si="6"/>
        <v>373.57627118644041</v>
      </c>
      <c r="AA11" s="182">
        <f t="shared" si="7"/>
        <v>122.45</v>
      </c>
      <c r="AB11" s="182">
        <f t="shared" si="8"/>
        <v>73.47</v>
      </c>
      <c r="AC11" s="179">
        <f t="shared" si="9"/>
        <v>2438.9207911864401</v>
      </c>
      <c r="AD11" s="183">
        <f t="shared" si="10"/>
        <v>10.079208813559944</v>
      </c>
      <c r="AE11" s="184">
        <f t="shared" si="11"/>
        <v>4.1156426351816842E-3</v>
      </c>
      <c r="AF11" s="183">
        <v>2449</v>
      </c>
      <c r="AG11" s="183"/>
      <c r="AH11" s="183"/>
      <c r="AI11" s="183">
        <v>6999</v>
      </c>
      <c r="AJ11" s="179">
        <f t="shared" si="12"/>
        <v>942.02420881355965</v>
      </c>
      <c r="AK11" s="184">
        <f t="shared" si="13"/>
        <v>0.38465667979320523</v>
      </c>
      <c r="AL11" s="182">
        <v>8904422504042</v>
      </c>
      <c r="AM11" s="182"/>
      <c r="AN11" s="73" t="s">
        <v>937</v>
      </c>
      <c r="AO11" s="185">
        <v>2599</v>
      </c>
      <c r="AP11" s="182"/>
      <c r="AQ11" s="182"/>
      <c r="AR11" s="182"/>
    </row>
    <row r="12" spans="1:44">
      <c r="A12" s="141" t="s">
        <v>417</v>
      </c>
      <c r="B12" s="186">
        <v>0.15</v>
      </c>
      <c r="C12" s="140"/>
      <c r="D12" s="140" t="s">
        <v>934</v>
      </c>
      <c r="E12" s="140" t="s">
        <v>424</v>
      </c>
      <c r="F12" s="140" t="s">
        <v>425</v>
      </c>
      <c r="G12" s="140" t="s">
        <v>426</v>
      </c>
      <c r="H12" s="140" t="s">
        <v>234</v>
      </c>
      <c r="I12" s="140" t="s">
        <v>249</v>
      </c>
      <c r="J12" s="140" t="s">
        <v>427</v>
      </c>
      <c r="K12" s="140">
        <v>85086000</v>
      </c>
      <c r="L12" s="176">
        <f>VLOOKUP(E12,'Margin Calculation'!F:U,16,0)</f>
        <v>9.4</v>
      </c>
      <c r="M12" s="176">
        <f>VLOOKUP(E12,'Margin Calculation'!F:V,17,0)</f>
        <v>0</v>
      </c>
      <c r="N12" s="177">
        <f t="shared" si="15"/>
        <v>0.188</v>
      </c>
      <c r="O12" s="178">
        <f>VLOOKUP(E12,'Margin Calculation'!F:X,19,0)</f>
        <v>1.0546800000000003</v>
      </c>
      <c r="P12" s="179">
        <f t="shared" si="0"/>
        <v>936.55584000000022</v>
      </c>
      <c r="Q12" s="180">
        <f t="shared" si="1"/>
        <v>1105.1358912000003</v>
      </c>
      <c r="R12" s="181">
        <f>VLOOKUP(E12,'Margin Calculation'!F:AA,22,0)</f>
        <v>132.70499999999998</v>
      </c>
      <c r="S12" s="182">
        <v>50</v>
      </c>
      <c r="T12" s="182">
        <v>164</v>
      </c>
      <c r="U12" s="182">
        <v>402.4</v>
      </c>
      <c r="V12" s="182">
        <f t="shared" si="17"/>
        <v>289.90000000000003</v>
      </c>
      <c r="W12" s="182">
        <f t="shared" si="3"/>
        <v>28.990000000000002</v>
      </c>
      <c r="X12" s="182">
        <f t="shared" si="4"/>
        <v>144.95000000000002</v>
      </c>
      <c r="Y12" s="182">
        <f t="shared" si="5"/>
        <v>57.980000000000004</v>
      </c>
      <c r="Z12" s="183">
        <f t="shared" si="6"/>
        <v>442.22033898305062</v>
      </c>
      <c r="AA12" s="182">
        <f t="shared" si="7"/>
        <v>144.95000000000002</v>
      </c>
      <c r="AB12" s="182">
        <f t="shared" si="8"/>
        <v>86.97</v>
      </c>
      <c r="AC12" s="179">
        <f t="shared" si="9"/>
        <v>2479.2211789830503</v>
      </c>
      <c r="AD12" s="183">
        <f t="shared" si="10"/>
        <v>419.77882101694968</v>
      </c>
      <c r="AE12" s="184">
        <f t="shared" si="11"/>
        <v>0.14480124905724376</v>
      </c>
      <c r="AF12" s="183">
        <f>VLOOKUP(F12,AN:AO,2,0)</f>
        <v>2899</v>
      </c>
      <c r="AG12" s="183"/>
      <c r="AH12" s="183"/>
      <c r="AI12" s="183">
        <v>5499</v>
      </c>
      <c r="AJ12" s="179">
        <f t="shared" si="12"/>
        <v>1520.2238210169492</v>
      </c>
      <c r="AK12" s="184">
        <f t="shared" si="13"/>
        <v>0.52439593688063091</v>
      </c>
      <c r="AL12" s="182">
        <v>8904422504080</v>
      </c>
      <c r="AM12" s="182"/>
      <c r="AN12" s="73" t="s">
        <v>534</v>
      </c>
      <c r="AO12" s="185">
        <v>999</v>
      </c>
      <c r="AP12" s="182"/>
      <c r="AQ12" s="182"/>
      <c r="AR12" s="182"/>
    </row>
    <row r="13" spans="1:44">
      <c r="A13" s="141" t="s">
        <v>423</v>
      </c>
      <c r="B13" s="186">
        <v>0.1</v>
      </c>
      <c r="C13" s="140"/>
      <c r="D13" s="140" t="s">
        <v>934</v>
      </c>
      <c r="E13" s="140" t="s">
        <v>434</v>
      </c>
      <c r="F13" s="140" t="s">
        <v>435</v>
      </c>
      <c r="G13" s="140" t="s">
        <v>436</v>
      </c>
      <c r="H13" s="140" t="s">
        <v>314</v>
      </c>
      <c r="I13" s="140" t="s">
        <v>437</v>
      </c>
      <c r="J13" s="140" t="s">
        <v>439</v>
      </c>
      <c r="K13" s="140">
        <v>82142090</v>
      </c>
      <c r="L13" s="176">
        <f>VLOOKUP(E13,'Margin Calculation'!F:U,16,0)</f>
        <v>4.4800000000000004</v>
      </c>
      <c r="M13" s="176">
        <f>VLOOKUP(E13,'Margin Calculation'!F:V,17,0)</f>
        <v>4.4800000000000004</v>
      </c>
      <c r="N13" s="177">
        <f t="shared" si="15"/>
        <v>8.9600000000000013E-2</v>
      </c>
      <c r="O13" s="178">
        <f>VLOOKUP(E13,'Margin Calculation'!F:X,19,0)</f>
        <v>0.5026560000000001</v>
      </c>
      <c r="P13" s="179">
        <f t="shared" si="0"/>
        <v>446.35852800000004</v>
      </c>
      <c r="Q13" s="180">
        <f t="shared" si="1"/>
        <v>526.70306303999996</v>
      </c>
      <c r="R13" s="181">
        <f>VLOOKUP(E13,'Margin Calculation'!F:AA,22,0)</f>
        <v>98.89</v>
      </c>
      <c r="S13" s="182">
        <v>47</v>
      </c>
      <c r="T13" s="182">
        <v>58</v>
      </c>
      <c r="U13" s="182">
        <v>203.8</v>
      </c>
      <c r="V13" s="182">
        <f t="shared" ref="V13:V15" si="18">AF13*20%</f>
        <v>155.80000000000001</v>
      </c>
      <c r="W13" s="182">
        <f t="shared" si="3"/>
        <v>7.79</v>
      </c>
      <c r="X13" s="182">
        <f t="shared" si="4"/>
        <v>38.950000000000003</v>
      </c>
      <c r="Y13" s="182">
        <f t="shared" si="5"/>
        <v>15.58</v>
      </c>
      <c r="Z13" s="183">
        <f t="shared" si="6"/>
        <v>118.83050847457628</v>
      </c>
      <c r="AA13" s="182">
        <f t="shared" si="7"/>
        <v>38.950000000000003</v>
      </c>
      <c r="AB13" s="182">
        <f t="shared" si="8"/>
        <v>23.369999999999997</v>
      </c>
      <c r="AC13" s="179">
        <f t="shared" si="9"/>
        <v>1049.5190364745763</v>
      </c>
      <c r="AD13" s="183">
        <f t="shared" si="10"/>
        <v>-270.5190364745763</v>
      </c>
      <c r="AE13" s="184">
        <f t="shared" si="11"/>
        <v>-0.34726448841409024</v>
      </c>
      <c r="AF13" s="183">
        <v>779</v>
      </c>
      <c r="AG13" s="183"/>
      <c r="AH13" s="183"/>
      <c r="AI13" s="183">
        <v>1999</v>
      </c>
      <c r="AJ13" s="179">
        <f t="shared" si="12"/>
        <v>213.81096352542369</v>
      </c>
      <c r="AK13" s="184">
        <f t="shared" si="13"/>
        <v>0.27446850260003042</v>
      </c>
      <c r="AL13" s="182">
        <v>8904422504172</v>
      </c>
      <c r="AM13" s="182"/>
      <c r="AN13" s="73" t="s">
        <v>558</v>
      </c>
      <c r="AO13" s="185">
        <v>1249</v>
      </c>
      <c r="AP13" s="182"/>
      <c r="AQ13" s="182"/>
      <c r="AR13" s="182"/>
    </row>
    <row r="14" spans="1:44">
      <c r="A14" s="141" t="s">
        <v>179</v>
      </c>
      <c r="B14" s="186">
        <v>0.1</v>
      </c>
      <c r="C14" s="140"/>
      <c r="D14" s="140" t="s">
        <v>934</v>
      </c>
      <c r="E14" s="140" t="s">
        <v>441</v>
      </c>
      <c r="F14" s="140" t="s">
        <v>442</v>
      </c>
      <c r="G14" s="140" t="s">
        <v>443</v>
      </c>
      <c r="H14" s="140" t="s">
        <v>314</v>
      </c>
      <c r="I14" s="140" t="s">
        <v>444</v>
      </c>
      <c r="J14" s="140" t="s">
        <v>445</v>
      </c>
      <c r="K14" s="140">
        <v>85101000</v>
      </c>
      <c r="L14" s="176">
        <f>VLOOKUP(E14,'Margin Calculation'!F:U,16,0)</f>
        <v>3.96</v>
      </c>
      <c r="M14" s="176">
        <f>VLOOKUP(E14,'Margin Calculation'!F:V,17,0)</f>
        <v>3.96</v>
      </c>
      <c r="N14" s="177">
        <f t="shared" si="15"/>
        <v>7.9200000000000007E-2</v>
      </c>
      <c r="O14" s="178">
        <f>VLOOKUP(E14,'Margin Calculation'!F:X,19,0)</f>
        <v>0.88862400000000019</v>
      </c>
      <c r="P14" s="179">
        <f t="shared" si="0"/>
        <v>433.64851200000004</v>
      </c>
      <c r="Q14" s="180">
        <f t="shared" si="1"/>
        <v>511.70524416000001</v>
      </c>
      <c r="R14" s="181">
        <f>VLOOKUP(E14,'Margin Calculation'!F:AA,22,0)</f>
        <v>69.930000000000007</v>
      </c>
      <c r="S14" s="182">
        <v>25</v>
      </c>
      <c r="T14" s="182">
        <v>58</v>
      </c>
      <c r="U14" s="182">
        <v>172.8</v>
      </c>
      <c r="V14" s="182">
        <f t="shared" si="18"/>
        <v>199.8</v>
      </c>
      <c r="W14" s="182">
        <f t="shared" si="3"/>
        <v>9.99</v>
      </c>
      <c r="X14" s="182">
        <f t="shared" si="4"/>
        <v>49.95</v>
      </c>
      <c r="Y14" s="182">
        <f t="shared" si="5"/>
        <v>19.98</v>
      </c>
      <c r="Z14" s="183">
        <f t="shared" si="6"/>
        <v>152.38983050847457</v>
      </c>
      <c r="AA14" s="182">
        <f t="shared" si="7"/>
        <v>49.95</v>
      </c>
      <c r="AB14" s="182">
        <f t="shared" si="8"/>
        <v>29.97</v>
      </c>
      <c r="AC14" s="179">
        <f t="shared" si="9"/>
        <v>1098.6083425084746</v>
      </c>
      <c r="AD14" s="183">
        <f t="shared" si="10"/>
        <v>-99.608342508474607</v>
      </c>
      <c r="AE14" s="184">
        <f t="shared" si="11"/>
        <v>-9.9708050559033645E-2</v>
      </c>
      <c r="AF14" s="183">
        <v>999</v>
      </c>
      <c r="AG14" s="183"/>
      <c r="AH14" s="183"/>
      <c r="AI14" s="183">
        <v>1499</v>
      </c>
      <c r="AJ14" s="179">
        <f t="shared" si="12"/>
        <v>412.96165749152544</v>
      </c>
      <c r="AK14" s="184">
        <f t="shared" si="13"/>
        <v>0.4133750325240495</v>
      </c>
      <c r="AL14" s="182">
        <v>8904422504059</v>
      </c>
      <c r="AM14" s="182"/>
      <c r="AN14" s="73" t="s">
        <v>684</v>
      </c>
      <c r="AO14" s="185">
        <v>1699</v>
      </c>
      <c r="AP14" s="182"/>
      <c r="AQ14" s="182"/>
      <c r="AR14" s="182"/>
    </row>
    <row r="15" spans="1:44">
      <c r="A15" s="141" t="s">
        <v>433</v>
      </c>
      <c r="B15" s="186">
        <v>0.05</v>
      </c>
      <c r="C15" s="140"/>
      <c r="D15" s="140" t="s">
        <v>934</v>
      </c>
      <c r="E15" s="140" t="s">
        <v>448</v>
      </c>
      <c r="F15" s="140" t="s">
        <v>449</v>
      </c>
      <c r="G15" s="140" t="s">
        <v>450</v>
      </c>
      <c r="H15" s="140" t="s">
        <v>314</v>
      </c>
      <c r="I15" s="140" t="s">
        <v>444</v>
      </c>
      <c r="J15" s="140" t="s">
        <v>451</v>
      </c>
      <c r="K15" s="140">
        <v>85101000</v>
      </c>
      <c r="L15" s="176">
        <f>VLOOKUP(E15,'Margin Calculation'!F:U,16,0)</f>
        <v>4.6500000000000004</v>
      </c>
      <c r="M15" s="176">
        <f>VLOOKUP(E15,'Margin Calculation'!F:V,17,0)</f>
        <v>4.6500000000000004</v>
      </c>
      <c r="N15" s="177">
        <f t="shared" si="15"/>
        <v>9.3000000000000013E-2</v>
      </c>
      <c r="O15" s="178">
        <f>VLOOKUP(E15,'Margin Calculation'!F:X,19,0)</f>
        <v>1.0434600000000003</v>
      </c>
      <c r="P15" s="179">
        <f t="shared" si="0"/>
        <v>509.20848000000007</v>
      </c>
      <c r="Q15" s="180">
        <f t="shared" si="1"/>
        <v>600.86600640000006</v>
      </c>
      <c r="R15" s="181">
        <f>VLOOKUP(E15,'Margin Calculation'!F:AA,22,0)</f>
        <v>113.905</v>
      </c>
      <c r="S15" s="182">
        <v>25</v>
      </c>
      <c r="T15" s="182">
        <v>58</v>
      </c>
      <c r="U15" s="182">
        <v>206.1</v>
      </c>
      <c r="V15" s="182">
        <f t="shared" si="18"/>
        <v>219.8</v>
      </c>
      <c r="W15" s="182">
        <f t="shared" si="3"/>
        <v>10.99</v>
      </c>
      <c r="X15" s="182">
        <f t="shared" si="4"/>
        <v>54.95</v>
      </c>
      <c r="Y15" s="182">
        <f t="shared" si="5"/>
        <v>21.98</v>
      </c>
      <c r="Z15" s="183">
        <f t="shared" si="6"/>
        <v>167.6440677966101</v>
      </c>
      <c r="AA15" s="182">
        <f t="shared" si="7"/>
        <v>54.95</v>
      </c>
      <c r="AB15" s="182">
        <f t="shared" si="8"/>
        <v>32.97</v>
      </c>
      <c r="AC15" s="179">
        <f t="shared" si="9"/>
        <v>1269.3975477966105</v>
      </c>
      <c r="AD15" s="183">
        <f t="shared" si="10"/>
        <v>-170.39754779661052</v>
      </c>
      <c r="AE15" s="184">
        <f t="shared" si="11"/>
        <v>-0.15504781419163832</v>
      </c>
      <c r="AF15" s="183">
        <v>1099</v>
      </c>
      <c r="AG15" s="183"/>
      <c r="AH15" s="183"/>
      <c r="AI15" s="183">
        <v>1899</v>
      </c>
      <c r="AJ15" s="179">
        <f t="shared" si="12"/>
        <v>422.14745220338989</v>
      </c>
      <c r="AK15" s="184">
        <f t="shared" si="13"/>
        <v>0.38411961074011819</v>
      </c>
      <c r="AL15" s="182">
        <v>8904422504066</v>
      </c>
      <c r="AM15" s="182"/>
      <c r="AN15" s="73" t="s">
        <v>501</v>
      </c>
      <c r="AO15" s="185">
        <v>699</v>
      </c>
      <c r="AP15" s="182"/>
      <c r="AQ15" s="182"/>
      <c r="AR15" s="182"/>
    </row>
    <row r="16" spans="1:44">
      <c r="A16" s="141" t="s">
        <v>440</v>
      </c>
      <c r="B16" s="186">
        <v>0.05</v>
      </c>
      <c r="C16" s="140"/>
      <c r="D16" s="140" t="s">
        <v>934</v>
      </c>
      <c r="E16" s="140" t="s">
        <v>454</v>
      </c>
      <c r="F16" s="140" t="s">
        <v>455</v>
      </c>
      <c r="G16" s="140" t="s">
        <v>456</v>
      </c>
      <c r="H16" s="140" t="s">
        <v>234</v>
      </c>
      <c r="I16" s="140" t="s">
        <v>235</v>
      </c>
      <c r="J16" s="140" t="s">
        <v>457</v>
      </c>
      <c r="K16" s="140">
        <v>85167990</v>
      </c>
      <c r="L16" s="176">
        <f>VLOOKUP(E16,'Margin Calculation'!F:U,16,0)</f>
        <v>7.5</v>
      </c>
      <c r="M16" s="176">
        <f>VLOOKUP(E16,'Margin Calculation'!F:V,17,0)</f>
        <v>7.5</v>
      </c>
      <c r="N16" s="177">
        <f t="shared" si="15"/>
        <v>0.15</v>
      </c>
      <c r="O16" s="178">
        <f>VLOOKUP(E16,'Margin Calculation'!F:X,19,0)</f>
        <v>1.6830000000000003</v>
      </c>
      <c r="P16" s="179">
        <f t="shared" si="0"/>
        <v>821.30399999999997</v>
      </c>
      <c r="Q16" s="180">
        <f t="shared" si="1"/>
        <v>969.13871999999992</v>
      </c>
      <c r="R16" s="181">
        <f>VLOOKUP(E16,'Margin Calculation'!F:AA,22,0)</f>
        <v>80.954999999999998</v>
      </c>
      <c r="S16" s="182">
        <v>50</v>
      </c>
      <c r="T16" s="182">
        <v>136</v>
      </c>
      <c r="U16" s="182">
        <v>316.3</v>
      </c>
      <c r="V16" s="182">
        <f>AF16*10%</f>
        <v>199.9</v>
      </c>
      <c r="W16" s="182">
        <f t="shared" si="3"/>
        <v>19.990000000000002</v>
      </c>
      <c r="X16" s="182">
        <f t="shared" si="4"/>
        <v>99.95</v>
      </c>
      <c r="Y16" s="182">
        <f t="shared" si="5"/>
        <v>39.980000000000004</v>
      </c>
      <c r="Z16" s="183">
        <f t="shared" si="6"/>
        <v>304.93220338983042</v>
      </c>
      <c r="AA16" s="182">
        <f t="shared" si="7"/>
        <v>99.95</v>
      </c>
      <c r="AB16" s="182">
        <f t="shared" si="8"/>
        <v>59.97</v>
      </c>
      <c r="AC16" s="179">
        <f t="shared" si="9"/>
        <v>1912.9312033898307</v>
      </c>
      <c r="AD16" s="183">
        <f t="shared" si="10"/>
        <v>86.068796610169329</v>
      </c>
      <c r="AE16" s="184">
        <f t="shared" si="11"/>
        <v>4.3055926268218775E-2</v>
      </c>
      <c r="AF16" s="183">
        <f>VLOOKUP(F16,AN:AO,2,0)</f>
        <v>1999</v>
      </c>
      <c r="AG16" s="183"/>
      <c r="AH16" s="183"/>
      <c r="AI16" s="183">
        <v>3999</v>
      </c>
      <c r="AJ16" s="179">
        <f t="shared" si="12"/>
        <v>872.76379661016949</v>
      </c>
      <c r="AK16" s="184">
        <f t="shared" si="13"/>
        <v>0.43660019840428688</v>
      </c>
      <c r="AL16" s="182">
        <v>8904422504097</v>
      </c>
      <c r="AM16" s="182"/>
      <c r="AN16" s="73" t="s">
        <v>455</v>
      </c>
      <c r="AO16" s="185">
        <v>1999</v>
      </c>
      <c r="AP16" s="182"/>
      <c r="AQ16" s="182"/>
      <c r="AR16" s="182"/>
    </row>
    <row r="17" spans="1:44">
      <c r="A17" s="141" t="s">
        <v>447</v>
      </c>
      <c r="B17" s="186">
        <v>0.03</v>
      </c>
      <c r="C17" s="140"/>
      <c r="D17" s="140" t="s">
        <v>934</v>
      </c>
      <c r="E17" s="140" t="s">
        <v>462</v>
      </c>
      <c r="F17" s="140" t="s">
        <v>463</v>
      </c>
      <c r="G17" s="140" t="s">
        <v>464</v>
      </c>
      <c r="H17" s="140" t="s">
        <v>314</v>
      </c>
      <c r="I17" s="140" t="s">
        <v>465</v>
      </c>
      <c r="J17" s="140" t="s">
        <v>466</v>
      </c>
      <c r="K17" s="140">
        <v>85163100</v>
      </c>
      <c r="L17" s="176">
        <f>VLOOKUP(E17,'Margin Calculation'!F:U,16,0)</f>
        <v>5.5</v>
      </c>
      <c r="M17" s="176">
        <f>VLOOKUP(E17,'Margin Calculation'!F:V,17,0)</f>
        <v>0</v>
      </c>
      <c r="N17" s="177">
        <f t="shared" si="15"/>
        <v>0.11</v>
      </c>
      <c r="O17" s="178">
        <f>VLOOKUP(E17,'Margin Calculation'!F:X,19,0)</f>
        <v>1.2342000000000002</v>
      </c>
      <c r="P17" s="179">
        <f t="shared" si="0"/>
        <v>602.28960000000006</v>
      </c>
      <c r="Q17" s="180">
        <f t="shared" si="1"/>
        <v>710.701728</v>
      </c>
      <c r="R17" s="181">
        <f>VLOOKUP(E17,'Margin Calculation'!F:AA,22,0)</f>
        <v>142.405</v>
      </c>
      <c r="S17" s="182">
        <v>47</v>
      </c>
      <c r="T17" s="182">
        <v>78</v>
      </c>
      <c r="U17" s="182">
        <v>250.9</v>
      </c>
      <c r="V17" s="182">
        <f t="shared" ref="V17:V19" si="19">AF17*20%</f>
        <v>249.8</v>
      </c>
      <c r="W17" s="182">
        <f t="shared" si="3"/>
        <v>12.49</v>
      </c>
      <c r="X17" s="182">
        <f t="shared" si="4"/>
        <v>62.45</v>
      </c>
      <c r="Y17" s="182">
        <f t="shared" si="5"/>
        <v>24.98</v>
      </c>
      <c r="Z17" s="183">
        <f t="shared" si="6"/>
        <v>190.52542372881339</v>
      </c>
      <c r="AA17" s="182">
        <f t="shared" si="7"/>
        <v>62.45</v>
      </c>
      <c r="AB17" s="182">
        <f t="shared" si="8"/>
        <v>37.47</v>
      </c>
      <c r="AC17" s="179">
        <f t="shared" si="9"/>
        <v>1509.8600237288135</v>
      </c>
      <c r="AD17" s="183">
        <f t="shared" si="10"/>
        <v>-260.86002372881353</v>
      </c>
      <c r="AE17" s="184">
        <f t="shared" si="11"/>
        <v>-0.20885510306550323</v>
      </c>
      <c r="AF17" s="183">
        <v>1249</v>
      </c>
      <c r="AG17" s="183"/>
      <c r="AH17" s="183"/>
      <c r="AI17" s="183">
        <v>3499</v>
      </c>
      <c r="AJ17" s="179">
        <f t="shared" si="12"/>
        <v>456.18497627118654</v>
      </c>
      <c r="AK17" s="184">
        <f t="shared" si="13"/>
        <v>0.36524017315547364</v>
      </c>
      <c r="AL17" s="182">
        <v>8904422504103</v>
      </c>
      <c r="AM17" s="182"/>
      <c r="AN17" s="73" t="s">
        <v>492</v>
      </c>
      <c r="AO17" s="185">
        <v>3699</v>
      </c>
      <c r="AP17" s="182"/>
      <c r="AQ17" s="182"/>
      <c r="AR17" s="182"/>
    </row>
    <row r="18" spans="1:44">
      <c r="A18" s="141" t="s">
        <v>453</v>
      </c>
      <c r="B18" s="186">
        <v>0.01</v>
      </c>
      <c r="C18" s="140"/>
      <c r="D18" s="140" t="s">
        <v>934</v>
      </c>
      <c r="E18" s="140" t="s">
        <v>468</v>
      </c>
      <c r="F18" s="140" t="s">
        <v>469</v>
      </c>
      <c r="G18" s="140" t="s">
        <v>470</v>
      </c>
      <c r="H18" s="140" t="s">
        <v>314</v>
      </c>
      <c r="I18" s="140" t="s">
        <v>465</v>
      </c>
      <c r="J18" s="140" t="s">
        <v>466</v>
      </c>
      <c r="K18" s="140">
        <v>85163100</v>
      </c>
      <c r="L18" s="176">
        <f>VLOOKUP(E18,'Margin Calculation'!F:U,16,0)</f>
        <v>5</v>
      </c>
      <c r="M18" s="176">
        <f>VLOOKUP(E18,'Margin Calculation'!F:V,17,0)</f>
        <v>0</v>
      </c>
      <c r="N18" s="177">
        <f t="shared" si="15"/>
        <v>0.1</v>
      </c>
      <c r="O18" s="178">
        <f>VLOOKUP(E18,'Margin Calculation'!F:X,19,0)</f>
        <v>1.1220000000000001</v>
      </c>
      <c r="P18" s="179">
        <f t="shared" si="0"/>
        <v>547.53599999999994</v>
      </c>
      <c r="Q18" s="180">
        <f t="shared" si="1"/>
        <v>646.09247999999991</v>
      </c>
      <c r="R18" s="181">
        <f>VLOOKUP(E18,'Margin Calculation'!F:AA,22,0)</f>
        <v>142.405</v>
      </c>
      <c r="S18" s="182">
        <v>47</v>
      </c>
      <c r="T18" s="182">
        <v>78</v>
      </c>
      <c r="U18" s="182">
        <v>246.4</v>
      </c>
      <c r="V18" s="182">
        <f t="shared" si="19"/>
        <v>299.8</v>
      </c>
      <c r="W18" s="182">
        <f t="shared" si="3"/>
        <v>14.99</v>
      </c>
      <c r="X18" s="182">
        <f t="shared" si="4"/>
        <v>74.95</v>
      </c>
      <c r="Y18" s="182">
        <f t="shared" si="5"/>
        <v>29.98</v>
      </c>
      <c r="Z18" s="183">
        <f t="shared" si="6"/>
        <v>228.66101694915255</v>
      </c>
      <c r="AA18" s="182">
        <f t="shared" si="7"/>
        <v>74.95</v>
      </c>
      <c r="AB18" s="182">
        <f t="shared" si="8"/>
        <v>44.97</v>
      </c>
      <c r="AC18" s="179">
        <f t="shared" si="9"/>
        <v>1583.2420169491527</v>
      </c>
      <c r="AD18" s="183">
        <f t="shared" si="10"/>
        <v>-84.242016949152685</v>
      </c>
      <c r="AE18" s="184">
        <f t="shared" si="11"/>
        <v>-5.6198810506439413E-2</v>
      </c>
      <c r="AF18" s="183">
        <v>1499</v>
      </c>
      <c r="AG18" s="183"/>
      <c r="AH18" s="183"/>
      <c r="AI18" s="183">
        <v>3499</v>
      </c>
      <c r="AJ18" s="179">
        <f t="shared" si="12"/>
        <v>722.8029830508475</v>
      </c>
      <c r="AK18" s="184">
        <f t="shared" si="13"/>
        <v>0.48219011544419449</v>
      </c>
      <c r="AL18" s="182">
        <v>8904422504103</v>
      </c>
      <c r="AM18" s="182"/>
      <c r="AN18" s="73" t="s">
        <v>609</v>
      </c>
      <c r="AO18" s="185">
        <v>2499</v>
      </c>
      <c r="AP18" s="182"/>
      <c r="AQ18" s="182"/>
      <c r="AR18" s="182"/>
    </row>
    <row r="19" spans="1:44">
      <c r="A19" s="141" t="s">
        <v>461</v>
      </c>
      <c r="B19" s="186">
        <v>0.2</v>
      </c>
      <c r="C19" s="140"/>
      <c r="D19" s="140" t="s">
        <v>934</v>
      </c>
      <c r="E19" s="44" t="s">
        <v>485</v>
      </c>
      <c r="F19" s="140" t="s">
        <v>472</v>
      </c>
      <c r="G19" s="140" t="s">
        <v>473</v>
      </c>
      <c r="H19" s="140" t="s">
        <v>314</v>
      </c>
      <c r="I19" s="140" t="s">
        <v>465</v>
      </c>
      <c r="J19" s="140" t="s">
        <v>474</v>
      </c>
      <c r="K19" s="140">
        <v>85163200</v>
      </c>
      <c r="L19" s="176">
        <f>VLOOKUP(E19,'Margin Calculation'!F:U,16,0)</f>
        <v>2.87</v>
      </c>
      <c r="M19" s="176">
        <f>VLOOKUP(E19,'Margin Calculation'!F:V,17,0)</f>
        <v>0</v>
      </c>
      <c r="N19" s="177">
        <f t="shared" si="15"/>
        <v>5.7400000000000007E-2</v>
      </c>
      <c r="O19" s="178">
        <f>VLOOKUP(E19,'Margin Calculation'!F:X,19,0)</f>
        <v>0.64402800000000004</v>
      </c>
      <c r="P19" s="179">
        <f t="shared" si="0"/>
        <v>314.285664</v>
      </c>
      <c r="Q19" s="180">
        <f t="shared" si="1"/>
        <v>370.85708352</v>
      </c>
      <c r="R19" s="181">
        <f>VLOOKUP(E19,'Margin Calculation'!F:AA,22,0)</f>
        <v>55.930000000000007</v>
      </c>
      <c r="S19" s="182">
        <v>25</v>
      </c>
      <c r="T19" s="182">
        <v>73</v>
      </c>
      <c r="U19" s="182">
        <v>167.9</v>
      </c>
      <c r="V19" s="182">
        <f t="shared" si="19"/>
        <v>159.80000000000001</v>
      </c>
      <c r="W19" s="182">
        <f t="shared" si="3"/>
        <v>7.99</v>
      </c>
      <c r="X19" s="182">
        <f t="shared" si="4"/>
        <v>39.950000000000003</v>
      </c>
      <c r="Y19" s="182">
        <f t="shared" si="5"/>
        <v>15.98</v>
      </c>
      <c r="Z19" s="183">
        <f t="shared" si="6"/>
        <v>121.88135593220341</v>
      </c>
      <c r="AA19" s="182">
        <f t="shared" si="7"/>
        <v>39.950000000000003</v>
      </c>
      <c r="AB19" s="182">
        <f t="shared" si="8"/>
        <v>23.97</v>
      </c>
      <c r="AC19" s="179">
        <f t="shared" si="9"/>
        <v>877.73701993220357</v>
      </c>
      <c r="AD19" s="183">
        <f t="shared" si="10"/>
        <v>-78.737019932203566</v>
      </c>
      <c r="AE19" s="184">
        <f t="shared" si="11"/>
        <v>-9.8544455484610216E-2</v>
      </c>
      <c r="AF19" s="183">
        <v>799</v>
      </c>
      <c r="AG19" s="183"/>
      <c r="AH19" s="183"/>
      <c r="AI19" s="183">
        <v>1299</v>
      </c>
      <c r="AJ19" s="179">
        <f t="shared" si="12"/>
        <v>362.8329800677966</v>
      </c>
      <c r="AK19" s="184">
        <f t="shared" si="13"/>
        <v>0.45410886116119725</v>
      </c>
      <c r="AL19" s="182">
        <v>8904422504110</v>
      </c>
      <c r="AM19" s="182"/>
      <c r="AN19" s="73" t="s">
        <v>312</v>
      </c>
      <c r="AO19" s="185">
        <v>1499</v>
      </c>
      <c r="AP19" s="182"/>
      <c r="AQ19" s="182"/>
      <c r="AR19" s="182"/>
    </row>
    <row r="20" spans="1:44">
      <c r="A20" s="141" t="s">
        <v>467</v>
      </c>
      <c r="B20" s="186">
        <v>0.15</v>
      </c>
      <c r="C20" s="140"/>
      <c r="D20" s="140" t="s">
        <v>934</v>
      </c>
      <c r="E20" s="44" t="s">
        <v>488</v>
      </c>
      <c r="F20" s="140" t="s">
        <v>476</v>
      </c>
      <c r="G20" s="140" t="s">
        <v>477</v>
      </c>
      <c r="H20" s="140" t="s">
        <v>234</v>
      </c>
      <c r="I20" s="140" t="s">
        <v>235</v>
      </c>
      <c r="J20" s="140" t="s">
        <v>478</v>
      </c>
      <c r="K20" s="140">
        <v>85163200</v>
      </c>
      <c r="L20" s="176">
        <f>VLOOKUP(E20,'Margin Calculation'!F:U,16,0)</f>
        <v>2.96</v>
      </c>
      <c r="M20" s="176">
        <f>VLOOKUP(E20,'Margin Calculation'!F:V,17,0)</f>
        <v>0</v>
      </c>
      <c r="N20" s="177">
        <f t="shared" si="15"/>
        <v>5.9200000000000003E-2</v>
      </c>
      <c r="O20" s="178">
        <f>VLOOKUP(E20,'Margin Calculation'!F:X,19,0)</f>
        <v>0.66422400000000015</v>
      </c>
      <c r="P20" s="179">
        <f t="shared" si="0"/>
        <v>324.14131200000003</v>
      </c>
      <c r="Q20" s="180">
        <f t="shared" si="1"/>
        <v>382.48674815999999</v>
      </c>
      <c r="R20" s="181">
        <f>VLOOKUP(E20,'Margin Calculation'!F:AA,22,0)</f>
        <v>59.430000000000007</v>
      </c>
      <c r="S20" s="182">
        <v>25</v>
      </c>
      <c r="T20" s="182">
        <v>73</v>
      </c>
      <c r="U20" s="182">
        <v>178.4</v>
      </c>
      <c r="V20" s="182">
        <f>AF20*10%</f>
        <v>84.9</v>
      </c>
      <c r="W20" s="182">
        <f t="shared" si="3"/>
        <v>8.49</v>
      </c>
      <c r="X20" s="182">
        <f t="shared" si="4"/>
        <v>42.45</v>
      </c>
      <c r="Y20" s="182">
        <f t="shared" si="5"/>
        <v>16.98</v>
      </c>
      <c r="Z20" s="183">
        <f t="shared" si="6"/>
        <v>129.50847457627117</v>
      </c>
      <c r="AA20" s="182">
        <f t="shared" si="7"/>
        <v>42.45</v>
      </c>
      <c r="AB20" s="182">
        <f t="shared" si="8"/>
        <v>25.47</v>
      </c>
      <c r="AC20" s="179">
        <f t="shared" si="9"/>
        <v>831.81978657627133</v>
      </c>
      <c r="AD20" s="183">
        <f t="shared" si="10"/>
        <v>17.180213423728674</v>
      </c>
      <c r="AE20" s="184">
        <f t="shared" si="11"/>
        <v>2.0235822642789957E-2</v>
      </c>
      <c r="AF20" s="183">
        <v>849</v>
      </c>
      <c r="AG20" s="183"/>
      <c r="AH20" s="183"/>
      <c r="AI20" s="183">
        <v>1499</v>
      </c>
      <c r="AJ20" s="179">
        <f t="shared" si="12"/>
        <v>395.35021342372886</v>
      </c>
      <c r="AK20" s="184">
        <f t="shared" si="13"/>
        <v>0.46566574019284906</v>
      </c>
      <c r="AL20" s="182">
        <v>8904422504127</v>
      </c>
      <c r="AM20" s="182"/>
      <c r="AN20" s="73" t="s">
        <v>403</v>
      </c>
      <c r="AO20" s="185">
        <v>299</v>
      </c>
      <c r="AP20" s="182"/>
      <c r="AQ20" s="182"/>
      <c r="AR20" s="182"/>
    </row>
    <row r="21" spans="1:44">
      <c r="A21" s="141" t="s">
        <v>182</v>
      </c>
      <c r="B21" s="186">
        <v>0.02</v>
      </c>
      <c r="C21" s="140"/>
      <c r="D21" s="140" t="s">
        <v>934</v>
      </c>
      <c r="E21" s="69" t="s">
        <v>508</v>
      </c>
      <c r="F21" s="140" t="s">
        <v>509</v>
      </c>
      <c r="G21" s="140" t="s">
        <v>481</v>
      </c>
      <c r="H21" s="140" t="s">
        <v>465</v>
      </c>
      <c r="I21" s="140"/>
      <c r="J21" s="140" t="s">
        <v>482</v>
      </c>
      <c r="K21" s="140">
        <v>85163100</v>
      </c>
      <c r="L21" s="176">
        <f>VLOOKUP(E21,'Margin Calculation'!F:U,16,0)</f>
        <v>5.8500000000000005</v>
      </c>
      <c r="M21" s="176">
        <f>VLOOKUP(E21,'Margin Calculation'!F:V,17,0)</f>
        <v>5.85</v>
      </c>
      <c r="N21" s="177">
        <f t="shared" si="15"/>
        <v>0.11700000000000001</v>
      </c>
      <c r="O21" s="178">
        <f>VLOOKUP(E21,'Margin Calculation'!F:X,19,0)</f>
        <v>1.3127400000000002</v>
      </c>
      <c r="P21" s="179">
        <f t="shared" si="0"/>
        <v>640.61712</v>
      </c>
      <c r="Q21" s="180">
        <f t="shared" si="1"/>
        <v>755.92820159999997</v>
      </c>
      <c r="R21" s="181">
        <f>VLOOKUP(E21,'Margin Calculation'!F:AA,22,0)</f>
        <v>142.405</v>
      </c>
      <c r="S21" s="182">
        <v>47</v>
      </c>
      <c r="T21" s="182">
        <v>204</v>
      </c>
      <c r="U21" s="182">
        <v>348.4</v>
      </c>
      <c r="V21" s="182">
        <f t="shared" ref="V21:V22" si="20">AF21*20%</f>
        <v>248.60000000000002</v>
      </c>
      <c r="W21" s="182">
        <f t="shared" si="3"/>
        <v>12.43</v>
      </c>
      <c r="X21" s="182">
        <f t="shared" si="4"/>
        <v>62.150000000000006</v>
      </c>
      <c r="Y21" s="182">
        <f t="shared" si="5"/>
        <v>24.86</v>
      </c>
      <c r="Z21" s="183">
        <f t="shared" si="6"/>
        <v>189.61016949152531</v>
      </c>
      <c r="AA21" s="182">
        <f t="shared" si="7"/>
        <v>62.150000000000006</v>
      </c>
      <c r="AB21" s="182">
        <f t="shared" si="8"/>
        <v>37.29</v>
      </c>
      <c r="AC21" s="179">
        <f t="shared" si="9"/>
        <v>1671.1122894915254</v>
      </c>
      <c r="AD21" s="183">
        <f t="shared" si="10"/>
        <v>-428.11228949152542</v>
      </c>
      <c r="AE21" s="184">
        <f t="shared" si="11"/>
        <v>-0.34441857561667372</v>
      </c>
      <c r="AF21" s="183">
        <v>1243</v>
      </c>
      <c r="AG21" s="183"/>
      <c r="AH21" s="183"/>
      <c r="AI21" s="183"/>
      <c r="AJ21" s="179">
        <f t="shared" si="12"/>
        <v>412.77271050847469</v>
      </c>
      <c r="AK21" s="184">
        <f t="shared" si="13"/>
        <v>0.33207780410979459</v>
      </c>
      <c r="AL21" s="182"/>
      <c r="AM21" s="182"/>
      <c r="AN21" s="73" t="s">
        <v>638</v>
      </c>
      <c r="AO21" s="185">
        <v>3499</v>
      </c>
      <c r="AP21" s="182"/>
      <c r="AQ21" s="182"/>
      <c r="AR21" s="182"/>
    </row>
    <row r="22" spans="1:44">
      <c r="A22" s="140"/>
      <c r="B22" s="140"/>
      <c r="C22" s="140"/>
      <c r="D22" s="140" t="s">
        <v>934</v>
      </c>
      <c r="E22" s="102" t="s">
        <v>538</v>
      </c>
      <c r="F22" s="140" t="s">
        <v>539</v>
      </c>
      <c r="G22" s="140" t="s">
        <v>483</v>
      </c>
      <c r="H22" s="140" t="s">
        <v>465</v>
      </c>
      <c r="I22" s="140"/>
      <c r="J22" s="140" t="s">
        <v>484</v>
      </c>
      <c r="K22" s="140">
        <v>85163100</v>
      </c>
      <c r="L22" s="176">
        <f>VLOOKUP(E22,'Margin Calculation'!F:U,16,0)</f>
        <v>3.39</v>
      </c>
      <c r="M22" s="176">
        <f>VLOOKUP(E22,'Margin Calculation'!F:V,17,0)</f>
        <v>3.39</v>
      </c>
      <c r="N22" s="177">
        <f t="shared" si="15"/>
        <v>6.7799999999999999E-2</v>
      </c>
      <c r="O22" s="178">
        <f>VLOOKUP(E22,'Margin Calculation'!F:X,19,0)</f>
        <v>0.76071600000000017</v>
      </c>
      <c r="P22" s="179">
        <f t="shared" si="0"/>
        <v>371.22940800000003</v>
      </c>
      <c r="Q22" s="180">
        <f t="shared" si="1"/>
        <v>438.05070144000001</v>
      </c>
      <c r="R22" s="181">
        <f>VLOOKUP(E22,'Margin Calculation'!F:AA,22,0)</f>
        <v>69.930000000000007</v>
      </c>
      <c r="S22" s="182">
        <v>47</v>
      </c>
      <c r="T22" s="182">
        <v>204</v>
      </c>
      <c r="U22" s="182">
        <v>315.89999999999998</v>
      </c>
      <c r="V22" s="182">
        <f t="shared" si="20"/>
        <v>164.8</v>
      </c>
      <c r="W22" s="182">
        <f t="shared" si="3"/>
        <v>8.24</v>
      </c>
      <c r="X22" s="182">
        <f t="shared" si="4"/>
        <v>41.2</v>
      </c>
      <c r="Y22" s="182">
        <f t="shared" si="5"/>
        <v>16.48</v>
      </c>
      <c r="Z22" s="183">
        <f t="shared" si="6"/>
        <v>125.69491525423723</v>
      </c>
      <c r="AA22" s="182">
        <f t="shared" si="7"/>
        <v>41.2</v>
      </c>
      <c r="AB22" s="182">
        <f t="shared" si="8"/>
        <v>24.72</v>
      </c>
      <c r="AC22" s="179">
        <f t="shared" si="9"/>
        <v>1114.4943232542373</v>
      </c>
      <c r="AD22" s="183">
        <f t="shared" si="10"/>
        <v>-290.49432325423732</v>
      </c>
      <c r="AE22" s="184">
        <f t="shared" si="11"/>
        <v>-0.35254165443475405</v>
      </c>
      <c r="AF22" s="183">
        <v>824</v>
      </c>
      <c r="AG22" s="183"/>
      <c r="AH22" s="183"/>
      <c r="AI22" s="183"/>
      <c r="AJ22" s="179">
        <f t="shared" si="12"/>
        <v>327.07567674576273</v>
      </c>
      <c r="AK22" s="184">
        <f t="shared" si="13"/>
        <v>0.39693650090505184</v>
      </c>
      <c r="AL22" s="182"/>
      <c r="AM22" s="182"/>
      <c r="AN22" s="73" t="s">
        <v>938</v>
      </c>
      <c r="AO22" s="185">
        <v>3499</v>
      </c>
      <c r="AP22" s="182"/>
      <c r="AQ22" s="182"/>
      <c r="AR22" s="182"/>
    </row>
    <row r="23" spans="1:44">
      <c r="A23" s="140"/>
      <c r="B23" s="140"/>
      <c r="C23" s="140"/>
      <c r="D23" s="140" t="s">
        <v>934</v>
      </c>
      <c r="E23" s="140" t="s">
        <v>491</v>
      </c>
      <c r="F23" s="140" t="s">
        <v>492</v>
      </c>
      <c r="G23" s="140" t="s">
        <v>493</v>
      </c>
      <c r="H23" s="140" t="s">
        <v>234</v>
      </c>
      <c r="I23" s="140" t="s">
        <v>249</v>
      </c>
      <c r="J23" s="140" t="s">
        <v>494</v>
      </c>
      <c r="K23" s="140">
        <v>85098000</v>
      </c>
      <c r="L23" s="176">
        <f>VLOOKUP(E23,'Margin Calculation'!F:U,16,0)</f>
        <v>17.5</v>
      </c>
      <c r="M23" s="176">
        <f>VLOOKUP(E23,'Margin Calculation'!F:V,17,0)</f>
        <v>0</v>
      </c>
      <c r="N23" s="177">
        <f t="shared" si="15"/>
        <v>0.35000000000000003</v>
      </c>
      <c r="O23" s="178">
        <f>VLOOKUP(E23,'Margin Calculation'!F:X,19,0)</f>
        <v>3.9270000000000009</v>
      </c>
      <c r="P23" s="179">
        <f t="shared" si="0"/>
        <v>1916.3760000000002</v>
      </c>
      <c r="Q23" s="180">
        <f t="shared" si="1"/>
        <v>2261.32368</v>
      </c>
      <c r="R23" s="181">
        <f>VLOOKUP(E23,'Margin Calculation'!F:AA,22,0)</f>
        <v>170.95499999999998</v>
      </c>
      <c r="S23" s="182">
        <v>50</v>
      </c>
      <c r="T23" s="182">
        <v>162</v>
      </c>
      <c r="U23" s="182">
        <v>452.2</v>
      </c>
      <c r="V23" s="182">
        <f t="shared" ref="V23:V26" si="21">AF23*10%</f>
        <v>379.90000000000003</v>
      </c>
      <c r="W23" s="182">
        <f t="shared" si="3"/>
        <v>37.99</v>
      </c>
      <c r="X23" s="182">
        <f t="shared" si="4"/>
        <v>189.95000000000002</v>
      </c>
      <c r="Y23" s="182">
        <f t="shared" si="5"/>
        <v>75.98</v>
      </c>
      <c r="Z23" s="183">
        <f t="shared" si="6"/>
        <v>579.50847457627106</v>
      </c>
      <c r="AA23" s="182">
        <f t="shared" si="7"/>
        <v>189.95000000000002</v>
      </c>
      <c r="AB23" s="182">
        <f t="shared" si="8"/>
        <v>113.97</v>
      </c>
      <c r="AC23" s="179">
        <f t="shared" si="9"/>
        <v>3866.5794745762705</v>
      </c>
      <c r="AD23" s="183">
        <f t="shared" si="10"/>
        <v>-67.579474576270513</v>
      </c>
      <c r="AE23" s="184">
        <f t="shared" si="11"/>
        <v>-1.7788753507836409E-2</v>
      </c>
      <c r="AF23" s="183">
        <v>3799</v>
      </c>
      <c r="AG23" s="183"/>
      <c r="AH23" s="183"/>
      <c r="AI23" s="183">
        <v>8999</v>
      </c>
      <c r="AJ23" s="179">
        <f t="shared" si="12"/>
        <v>1303.1155254237287</v>
      </c>
      <c r="AK23" s="184">
        <f t="shared" si="13"/>
        <v>0.34301540548137111</v>
      </c>
      <c r="AL23" s="182">
        <v>8904422504202</v>
      </c>
      <c r="AM23" s="182"/>
      <c r="AN23" s="73" t="s">
        <v>660</v>
      </c>
      <c r="AO23" s="185">
        <v>1999</v>
      </c>
      <c r="AP23" s="182"/>
      <c r="AQ23" s="182"/>
      <c r="AR23" s="182"/>
    </row>
    <row r="24" spans="1:44">
      <c r="A24" s="140"/>
      <c r="B24" s="140"/>
      <c r="C24" s="140"/>
      <c r="D24" s="140" t="s">
        <v>934</v>
      </c>
      <c r="E24" s="140" t="s">
        <v>496</v>
      </c>
      <c r="F24" s="140" t="s">
        <v>497</v>
      </c>
      <c r="G24" s="140" t="s">
        <v>498</v>
      </c>
      <c r="H24" s="140" t="s">
        <v>234</v>
      </c>
      <c r="I24" s="140" t="s">
        <v>249</v>
      </c>
      <c r="J24" s="140" t="s">
        <v>499</v>
      </c>
      <c r="K24" s="140">
        <v>85167990</v>
      </c>
      <c r="L24" s="176">
        <f>VLOOKUP(E24,'Margin Calculation'!F:U,16,0)</f>
        <v>29.5</v>
      </c>
      <c r="M24" s="176">
        <f>VLOOKUP(E24,'Margin Calculation'!F:V,17,0)</f>
        <v>29.5</v>
      </c>
      <c r="N24" s="177">
        <f t="shared" si="15"/>
        <v>0.59</v>
      </c>
      <c r="O24" s="178">
        <f>VLOOKUP(E24,'Margin Calculation'!F:X,19,0)</f>
        <v>6.6198000000000006</v>
      </c>
      <c r="P24" s="179">
        <f t="shared" si="0"/>
        <v>3230.4624000000003</v>
      </c>
      <c r="Q24" s="180">
        <f t="shared" si="1"/>
        <v>3811.9456320000004</v>
      </c>
      <c r="R24" s="181">
        <f>VLOOKUP(E24,'Margin Calculation'!F:AA,22,0)</f>
        <v>559.91999999999996</v>
      </c>
      <c r="S24" s="182">
        <v>47</v>
      </c>
      <c r="T24" s="182">
        <v>246</v>
      </c>
      <c r="U24" s="182">
        <v>832.2</v>
      </c>
      <c r="V24" s="182">
        <f t="shared" si="21"/>
        <v>699.90000000000009</v>
      </c>
      <c r="W24" s="182">
        <f t="shared" si="3"/>
        <v>69.989999999999995</v>
      </c>
      <c r="X24" s="182">
        <f t="shared" si="4"/>
        <v>349.95000000000005</v>
      </c>
      <c r="Y24" s="182">
        <f t="shared" si="5"/>
        <v>139.97999999999999</v>
      </c>
      <c r="Z24" s="183">
        <f t="shared" si="6"/>
        <v>1067.6440677966102</v>
      </c>
      <c r="AA24" s="182">
        <f t="shared" si="7"/>
        <v>349.95000000000005</v>
      </c>
      <c r="AB24" s="182">
        <f t="shared" si="8"/>
        <v>209.97</v>
      </c>
      <c r="AC24" s="179">
        <f t="shared" si="9"/>
        <v>6970.7664677966095</v>
      </c>
      <c r="AD24" s="183">
        <f t="shared" si="10"/>
        <v>28.233532203390496</v>
      </c>
      <c r="AE24" s="184">
        <f t="shared" si="11"/>
        <v>4.0339380202015279E-3</v>
      </c>
      <c r="AF24" s="183">
        <f>VLOOKUP(F24,AN:AO,2,0)</f>
        <v>6999</v>
      </c>
      <c r="AG24" s="183"/>
      <c r="AH24" s="183"/>
      <c r="AI24" s="183">
        <v>11999</v>
      </c>
      <c r="AJ24" s="179">
        <f t="shared" si="12"/>
        <v>2700.8935322033894</v>
      </c>
      <c r="AK24" s="184">
        <f t="shared" si="13"/>
        <v>0.38589706132353041</v>
      </c>
      <c r="AL24" s="182">
        <v>8904422504240</v>
      </c>
      <c r="AM24" s="182"/>
      <c r="AN24" s="73" t="s">
        <v>626</v>
      </c>
      <c r="AO24" s="185">
        <v>2299</v>
      </c>
      <c r="AP24" s="182"/>
      <c r="AQ24" s="182"/>
      <c r="AR24" s="182"/>
    </row>
    <row r="25" spans="1:44">
      <c r="A25" s="140"/>
      <c r="B25" s="140"/>
      <c r="C25" s="140"/>
      <c r="D25" s="140" t="s">
        <v>934</v>
      </c>
      <c r="E25" s="140" t="s">
        <v>500</v>
      </c>
      <c r="F25" s="140" t="s">
        <v>501</v>
      </c>
      <c r="G25" s="140" t="s">
        <v>459</v>
      </c>
      <c r="H25" s="140" t="s">
        <v>234</v>
      </c>
      <c r="I25" s="140" t="s">
        <v>235</v>
      </c>
      <c r="J25" s="140" t="s">
        <v>503</v>
      </c>
      <c r="K25" s="140">
        <v>85167990</v>
      </c>
      <c r="L25" s="176">
        <f>VLOOKUP(E25,'Margin Calculation'!F:U,16,0)</f>
        <v>3.4</v>
      </c>
      <c r="M25" s="176">
        <f>VLOOKUP(E25,'Margin Calculation'!F:V,17,0)</f>
        <v>0</v>
      </c>
      <c r="N25" s="177">
        <f t="shared" si="15"/>
        <v>6.8000000000000005E-2</v>
      </c>
      <c r="O25" s="178">
        <f>VLOOKUP(E25,'Margin Calculation'!F:X,19,0)</f>
        <v>0.76296000000000008</v>
      </c>
      <c r="P25" s="179">
        <f t="shared" si="0"/>
        <v>372.32447999999999</v>
      </c>
      <c r="Q25" s="180">
        <f t="shared" si="1"/>
        <v>439.3428864</v>
      </c>
      <c r="R25" s="181">
        <f>VLOOKUP(E25,'Margin Calculation'!F:AA,22,0)</f>
        <v>31.454999999999998</v>
      </c>
      <c r="S25" s="182">
        <v>25</v>
      </c>
      <c r="T25" s="182">
        <v>58</v>
      </c>
      <c r="U25" s="182">
        <v>128.80000000000001</v>
      </c>
      <c r="V25" s="182">
        <f t="shared" si="21"/>
        <v>99.9</v>
      </c>
      <c r="W25" s="182">
        <f t="shared" si="3"/>
        <v>9.99</v>
      </c>
      <c r="X25" s="182">
        <f t="shared" si="4"/>
        <v>49.95</v>
      </c>
      <c r="Y25" s="182">
        <f t="shared" si="5"/>
        <v>19.98</v>
      </c>
      <c r="Z25" s="183">
        <f t="shared" si="6"/>
        <v>152.38983050847457</v>
      </c>
      <c r="AA25" s="182">
        <f t="shared" si="7"/>
        <v>49.95</v>
      </c>
      <c r="AB25" s="182">
        <f t="shared" si="8"/>
        <v>29.97</v>
      </c>
      <c r="AC25" s="179">
        <f t="shared" si="9"/>
        <v>898.90931050847473</v>
      </c>
      <c r="AD25" s="183">
        <f t="shared" si="10"/>
        <v>100.09068949152527</v>
      </c>
      <c r="AE25" s="184">
        <f t="shared" si="11"/>
        <v>0.10019088037189716</v>
      </c>
      <c r="AF25" s="183">
        <v>999</v>
      </c>
      <c r="AG25" s="183"/>
      <c r="AH25" s="183"/>
      <c r="AI25" s="183">
        <v>1499</v>
      </c>
      <c r="AJ25" s="179">
        <f t="shared" si="12"/>
        <v>474.28568949152543</v>
      </c>
      <c r="AK25" s="184">
        <f t="shared" si="13"/>
        <v>0.47476044994146688</v>
      </c>
      <c r="AL25" s="182">
        <v>8904422504189</v>
      </c>
      <c r="AM25" s="182"/>
      <c r="AN25" s="73" t="s">
        <v>232</v>
      </c>
      <c r="AO25" s="185">
        <v>2299</v>
      </c>
      <c r="AP25" s="182"/>
      <c r="AQ25" s="182"/>
      <c r="AR25" s="182"/>
    </row>
    <row r="26" spans="1:44">
      <c r="A26" s="140"/>
      <c r="B26" s="140"/>
      <c r="C26" s="140"/>
      <c r="D26" s="140" t="s">
        <v>934</v>
      </c>
      <c r="E26" s="140" t="s">
        <v>504</v>
      </c>
      <c r="F26" s="140" t="s">
        <v>505</v>
      </c>
      <c r="G26" s="140" t="s">
        <v>506</v>
      </c>
      <c r="H26" s="140" t="s">
        <v>234</v>
      </c>
      <c r="I26" s="140" t="s">
        <v>235</v>
      </c>
      <c r="J26" s="140" t="s">
        <v>939</v>
      </c>
      <c r="K26" s="140">
        <v>85167990</v>
      </c>
      <c r="L26" s="176">
        <f>VLOOKUP(E26,'Margin Calculation'!F:U,16,0)</f>
        <v>6.8</v>
      </c>
      <c r="M26" s="176">
        <f>VLOOKUP(E26,'Margin Calculation'!F:V,17,0)</f>
        <v>6.8</v>
      </c>
      <c r="N26" s="177">
        <f t="shared" si="15"/>
        <v>0.13600000000000001</v>
      </c>
      <c r="O26" s="178">
        <f>VLOOKUP(E26,'Margin Calculation'!F:X,19,0)</f>
        <v>1.5259200000000002</v>
      </c>
      <c r="P26" s="179">
        <f t="shared" si="0"/>
        <v>744.64895999999999</v>
      </c>
      <c r="Q26" s="180">
        <f t="shared" si="1"/>
        <v>878.6857728</v>
      </c>
      <c r="R26" s="181">
        <f>VLOOKUP(E26,'Margin Calculation'!F:AA,22,0)</f>
        <v>65.204999999999998</v>
      </c>
      <c r="S26" s="182">
        <v>50</v>
      </c>
      <c r="T26" s="182">
        <v>79</v>
      </c>
      <c r="U26" s="182">
        <v>226.4</v>
      </c>
      <c r="V26" s="182">
        <f t="shared" si="21"/>
        <v>149.9</v>
      </c>
      <c r="W26" s="182">
        <f t="shared" si="3"/>
        <v>14.99</v>
      </c>
      <c r="X26" s="182">
        <f t="shared" si="4"/>
        <v>74.95</v>
      </c>
      <c r="Y26" s="182">
        <f t="shared" si="5"/>
        <v>29.98</v>
      </c>
      <c r="Z26" s="183">
        <f t="shared" si="6"/>
        <v>228.66101694915255</v>
      </c>
      <c r="AA26" s="182">
        <f t="shared" si="7"/>
        <v>74.95</v>
      </c>
      <c r="AB26" s="182">
        <f t="shared" si="8"/>
        <v>44.97</v>
      </c>
      <c r="AC26" s="179">
        <f t="shared" si="9"/>
        <v>1557.2549769491527</v>
      </c>
      <c r="AD26" s="183">
        <f t="shared" si="10"/>
        <v>-58.254976949152706</v>
      </c>
      <c r="AE26" s="184">
        <f t="shared" si="11"/>
        <v>-3.8862559672550173E-2</v>
      </c>
      <c r="AF26" s="183">
        <f>VLOOKUP(F26,AN:AO,2,0)</f>
        <v>1499</v>
      </c>
      <c r="AG26" s="183"/>
      <c r="AH26" s="183"/>
      <c r="AI26" s="183">
        <v>2999</v>
      </c>
      <c r="AJ26" s="179">
        <f t="shared" si="12"/>
        <v>525.69002305084746</v>
      </c>
      <c r="AK26" s="184">
        <f t="shared" si="13"/>
        <v>0.35069381124139259</v>
      </c>
      <c r="AL26" s="182">
        <v>8904422504196</v>
      </c>
      <c r="AM26" s="182"/>
      <c r="AN26" s="73" t="s">
        <v>647</v>
      </c>
      <c r="AO26" s="185">
        <v>1499</v>
      </c>
      <c r="AP26" s="182"/>
      <c r="AQ26" s="182"/>
      <c r="AR26" s="182"/>
    </row>
    <row r="27" spans="1:44">
      <c r="A27" s="140"/>
      <c r="B27" s="140"/>
      <c r="C27" s="140"/>
      <c r="D27" s="140" t="s">
        <v>934</v>
      </c>
      <c r="E27" s="140" t="s">
        <v>512</v>
      </c>
      <c r="F27" s="140" t="s">
        <v>940</v>
      </c>
      <c r="G27" s="140" t="s">
        <v>514</v>
      </c>
      <c r="H27" s="140" t="s">
        <v>314</v>
      </c>
      <c r="I27" s="140" t="s">
        <v>465</v>
      </c>
      <c r="J27" s="140" t="s">
        <v>516</v>
      </c>
      <c r="K27" s="140">
        <v>90191020</v>
      </c>
      <c r="L27" s="176">
        <f>VLOOKUP(E27,'Margin Calculation'!F:U,16,0)</f>
        <v>4.5</v>
      </c>
      <c r="M27" s="176">
        <f>VLOOKUP(E27,'Margin Calculation'!F:V,17,0)</f>
        <v>4.0999999999999996</v>
      </c>
      <c r="N27" s="177">
        <f t="shared" si="15"/>
        <v>0.09</v>
      </c>
      <c r="O27" s="178">
        <f>VLOOKUP(E27,'Margin Calculation'!F:X,19,0)</f>
        <v>0.50490000000000002</v>
      </c>
      <c r="P27" s="179">
        <f t="shared" si="0"/>
        <v>448.35120000000001</v>
      </c>
      <c r="Q27" s="180">
        <f t="shared" si="1"/>
        <v>529.05441599999995</v>
      </c>
      <c r="R27" s="181">
        <f>VLOOKUP(E27,'Margin Calculation'!F:AA,22,0)</f>
        <v>71.924999999999997</v>
      </c>
      <c r="S27" s="182">
        <v>47</v>
      </c>
      <c r="T27" s="182">
        <v>78</v>
      </c>
      <c r="U27" s="182">
        <v>200.3</v>
      </c>
      <c r="V27" s="182">
        <f t="shared" ref="V27:V30" si="22">AF27*20%</f>
        <v>187.8</v>
      </c>
      <c r="W27" s="182">
        <f t="shared" si="3"/>
        <v>9.39</v>
      </c>
      <c r="X27" s="182">
        <f t="shared" si="4"/>
        <v>46.95</v>
      </c>
      <c r="Y27" s="182">
        <f t="shared" si="5"/>
        <v>18.78</v>
      </c>
      <c r="Z27" s="183">
        <f t="shared" si="6"/>
        <v>143.23728813559319</v>
      </c>
      <c r="AA27" s="182">
        <f t="shared" si="7"/>
        <v>46.95</v>
      </c>
      <c r="AB27" s="182">
        <f t="shared" si="8"/>
        <v>28.169999999999998</v>
      </c>
      <c r="AC27" s="179">
        <f t="shared" si="9"/>
        <v>1126.5534881355932</v>
      </c>
      <c r="AD27" s="183">
        <f t="shared" si="10"/>
        <v>-187.55348813559317</v>
      </c>
      <c r="AE27" s="184">
        <f t="shared" si="11"/>
        <v>-0.19973747405281489</v>
      </c>
      <c r="AF27" s="183">
        <v>939</v>
      </c>
      <c r="AG27" s="183"/>
      <c r="AH27" s="183"/>
      <c r="AI27" s="183">
        <v>2099</v>
      </c>
      <c r="AJ27" s="179">
        <f t="shared" si="12"/>
        <v>347.4115118644068</v>
      </c>
      <c r="AK27" s="184">
        <f t="shared" si="13"/>
        <v>0.36998031082471439</v>
      </c>
      <c r="AL27" s="182">
        <v>8904422504219</v>
      </c>
      <c r="AM27" s="182"/>
      <c r="AN27" s="73" t="s">
        <v>652</v>
      </c>
      <c r="AO27" s="185">
        <v>1949</v>
      </c>
      <c r="AP27" s="182"/>
      <c r="AQ27" s="182"/>
      <c r="AR27" s="182"/>
    </row>
    <row r="28" spans="1:44">
      <c r="A28" s="140"/>
      <c r="B28" s="140"/>
      <c r="C28" s="140"/>
      <c r="D28" s="140" t="s">
        <v>934</v>
      </c>
      <c r="E28" s="140" t="s">
        <v>520</v>
      </c>
      <c r="F28" s="140" t="s">
        <v>521</v>
      </c>
      <c r="G28" s="140" t="s">
        <v>522</v>
      </c>
      <c r="H28" s="140" t="s">
        <v>314</v>
      </c>
      <c r="I28" s="140" t="s">
        <v>465</v>
      </c>
      <c r="J28" s="140" t="s">
        <v>524</v>
      </c>
      <c r="K28" s="140">
        <v>90191020</v>
      </c>
      <c r="L28" s="176">
        <f>VLOOKUP(E28,'Margin Calculation'!F:U,16,0)</f>
        <v>6</v>
      </c>
      <c r="M28" s="176">
        <f>VLOOKUP(E28,'Margin Calculation'!F:V,17,0)</f>
        <v>6</v>
      </c>
      <c r="N28" s="177">
        <f t="shared" si="15"/>
        <v>0.12</v>
      </c>
      <c r="O28" s="178">
        <f>VLOOKUP(E28,'Margin Calculation'!F:X,19,0)</f>
        <v>0.67320000000000013</v>
      </c>
      <c r="P28" s="179">
        <f t="shared" si="0"/>
        <v>597.80160000000001</v>
      </c>
      <c r="Q28" s="180">
        <f t="shared" si="1"/>
        <v>705.405888</v>
      </c>
      <c r="R28" s="181">
        <f>VLOOKUP(E28,'Margin Calculation'!F:AA,22,0)</f>
        <v>188.35499999999999</v>
      </c>
      <c r="S28" s="182">
        <v>50</v>
      </c>
      <c r="T28" s="182">
        <v>59</v>
      </c>
      <c r="U28" s="182">
        <v>213.9</v>
      </c>
      <c r="V28" s="182">
        <f t="shared" si="22"/>
        <v>279.8</v>
      </c>
      <c r="W28" s="182">
        <f t="shared" si="3"/>
        <v>13.99</v>
      </c>
      <c r="X28" s="182">
        <f t="shared" si="4"/>
        <v>69.95</v>
      </c>
      <c r="Y28" s="182">
        <f t="shared" si="5"/>
        <v>27.98</v>
      </c>
      <c r="Z28" s="183">
        <f t="shared" si="6"/>
        <v>213.4067796610168</v>
      </c>
      <c r="AA28" s="182">
        <f t="shared" si="7"/>
        <v>69.95</v>
      </c>
      <c r="AB28" s="182">
        <f t="shared" si="8"/>
        <v>41.97</v>
      </c>
      <c r="AC28" s="179">
        <f t="shared" si="9"/>
        <v>1612.2033796610169</v>
      </c>
      <c r="AD28" s="183">
        <f t="shared" si="10"/>
        <v>-213.20337966101692</v>
      </c>
      <c r="AE28" s="184">
        <f t="shared" si="11"/>
        <v>-0.15239698331738163</v>
      </c>
      <c r="AF28" s="183">
        <f t="shared" ref="AF28:AF29" si="23">VLOOKUP(F28,AN:AO,2,0)</f>
        <v>1399</v>
      </c>
      <c r="AG28" s="183"/>
      <c r="AH28" s="183"/>
      <c r="AI28" s="183">
        <v>2699</v>
      </c>
      <c r="AJ28" s="179">
        <f t="shared" si="12"/>
        <v>587.79162033898319</v>
      </c>
      <c r="AK28" s="184">
        <f t="shared" si="13"/>
        <v>0.42015126543172493</v>
      </c>
      <c r="AL28" s="182">
        <v>8904422504226</v>
      </c>
      <c r="AM28" s="182"/>
      <c r="AN28" s="73" t="s">
        <v>656</v>
      </c>
      <c r="AO28" s="185">
        <v>2299</v>
      </c>
      <c r="AP28" s="182"/>
      <c r="AQ28" s="182"/>
      <c r="AR28" s="182"/>
    </row>
    <row r="29" spans="1:44">
      <c r="A29" s="140"/>
      <c r="B29" s="140"/>
      <c r="C29" s="140"/>
      <c r="D29" s="140" t="s">
        <v>934</v>
      </c>
      <c r="E29" s="140" t="s">
        <v>525</v>
      </c>
      <c r="F29" s="140" t="s">
        <v>526</v>
      </c>
      <c r="G29" s="140" t="s">
        <v>527</v>
      </c>
      <c r="H29" s="140" t="s">
        <v>314</v>
      </c>
      <c r="I29" s="140" t="s">
        <v>315</v>
      </c>
      <c r="J29" s="140" t="s">
        <v>528</v>
      </c>
      <c r="K29" s="140">
        <v>85098000</v>
      </c>
      <c r="L29" s="176">
        <f>VLOOKUP(E29,'Margin Calculation'!F:U,16,0)</f>
        <v>3.09</v>
      </c>
      <c r="M29" s="176">
        <f>VLOOKUP(E29,'Margin Calculation'!F:V,17,0)</f>
        <v>3.15</v>
      </c>
      <c r="N29" s="177">
        <f t="shared" si="15"/>
        <v>6.1800000000000001E-2</v>
      </c>
      <c r="O29" s="178">
        <f>VLOOKUP(E29,'Margin Calculation'!F:X,19,0)</f>
        <v>0.69339600000000001</v>
      </c>
      <c r="P29" s="179">
        <f t="shared" si="0"/>
        <v>338.37724799999995</v>
      </c>
      <c r="Q29" s="180">
        <f t="shared" si="1"/>
        <v>399.28515263999992</v>
      </c>
      <c r="R29" s="181">
        <f>VLOOKUP(E29,'Margin Calculation'!F:AA,22,0)</f>
        <v>59.924999999999997</v>
      </c>
      <c r="S29" s="182">
        <v>20</v>
      </c>
      <c r="T29" s="182">
        <v>58</v>
      </c>
      <c r="U29" s="182">
        <v>137.9</v>
      </c>
      <c r="V29" s="182">
        <f t="shared" si="22"/>
        <v>159.80000000000001</v>
      </c>
      <c r="W29" s="182">
        <f t="shared" si="3"/>
        <v>7.99</v>
      </c>
      <c r="X29" s="182">
        <f t="shared" si="4"/>
        <v>39.950000000000003</v>
      </c>
      <c r="Y29" s="182">
        <f t="shared" si="5"/>
        <v>15.98</v>
      </c>
      <c r="Z29" s="183">
        <f t="shared" si="6"/>
        <v>121.88135593220341</v>
      </c>
      <c r="AA29" s="182">
        <f t="shared" si="7"/>
        <v>39.950000000000003</v>
      </c>
      <c r="AB29" s="182">
        <f t="shared" si="8"/>
        <v>23.97</v>
      </c>
      <c r="AC29" s="179">
        <f t="shared" si="9"/>
        <v>885.82360393220347</v>
      </c>
      <c r="AD29" s="183">
        <f t="shared" si="10"/>
        <v>-86.823603932203469</v>
      </c>
      <c r="AE29" s="184">
        <f t="shared" si="11"/>
        <v>-0.10866533658598682</v>
      </c>
      <c r="AF29" s="183">
        <f t="shared" si="23"/>
        <v>799</v>
      </c>
      <c r="AG29" s="183"/>
      <c r="AH29" s="183"/>
      <c r="AI29" s="183">
        <v>1499</v>
      </c>
      <c r="AJ29" s="179">
        <f t="shared" si="12"/>
        <v>338.74139606779664</v>
      </c>
      <c r="AK29" s="184">
        <f t="shared" si="13"/>
        <v>0.42395669094843136</v>
      </c>
      <c r="AL29" s="182">
        <v>8904422504271</v>
      </c>
      <c r="AM29" s="182"/>
      <c r="AN29" s="73" t="s">
        <v>705</v>
      </c>
      <c r="AO29" s="185">
        <v>5999</v>
      </c>
      <c r="AP29" s="182"/>
      <c r="AQ29" s="182"/>
      <c r="AR29" s="182"/>
    </row>
    <row r="30" spans="1:44">
      <c r="A30" s="140"/>
      <c r="B30" s="140"/>
      <c r="C30" s="140"/>
      <c r="D30" s="140" t="s">
        <v>934</v>
      </c>
      <c r="E30" s="140" t="s">
        <v>529</v>
      </c>
      <c r="F30" s="140" t="s">
        <v>530</v>
      </c>
      <c r="G30" s="140" t="s">
        <v>531</v>
      </c>
      <c r="H30" s="140" t="s">
        <v>314</v>
      </c>
      <c r="I30" s="140" t="s">
        <v>315</v>
      </c>
      <c r="J30" s="140" t="s">
        <v>532</v>
      </c>
      <c r="K30" s="140">
        <v>85098000</v>
      </c>
      <c r="L30" s="176">
        <f>VLOOKUP(E30,'Margin Calculation'!F:U,16,0)</f>
        <v>3.15</v>
      </c>
      <c r="M30" s="176">
        <f>VLOOKUP(E30,'Margin Calculation'!F:V,17,0)</f>
        <v>3.15</v>
      </c>
      <c r="N30" s="177">
        <f t="shared" si="15"/>
        <v>6.3E-2</v>
      </c>
      <c r="O30" s="178">
        <f>VLOOKUP(E30,'Margin Calculation'!F:X,19,0)</f>
        <v>0.70686000000000015</v>
      </c>
      <c r="P30" s="179">
        <f t="shared" si="0"/>
        <v>344.94768000000005</v>
      </c>
      <c r="Q30" s="180">
        <f t="shared" si="1"/>
        <v>407.03826240000001</v>
      </c>
      <c r="R30" s="181">
        <f>VLOOKUP(E30,'Margin Calculation'!F:AA,22,0)</f>
        <v>59.924999999999997</v>
      </c>
      <c r="S30" s="182">
        <v>20</v>
      </c>
      <c r="T30" s="182">
        <v>58</v>
      </c>
      <c r="U30" s="182">
        <v>130.4</v>
      </c>
      <c r="V30" s="182">
        <f t="shared" si="22"/>
        <v>140.80000000000001</v>
      </c>
      <c r="W30" s="182">
        <f t="shared" si="3"/>
        <v>7.04</v>
      </c>
      <c r="X30" s="182">
        <f t="shared" si="4"/>
        <v>35.200000000000003</v>
      </c>
      <c r="Y30" s="182">
        <f t="shared" si="5"/>
        <v>14.08</v>
      </c>
      <c r="Z30" s="183">
        <f t="shared" si="6"/>
        <v>107.38983050847457</v>
      </c>
      <c r="AA30" s="182">
        <f t="shared" si="7"/>
        <v>35.200000000000003</v>
      </c>
      <c r="AB30" s="182">
        <f t="shared" si="8"/>
        <v>21.119999999999997</v>
      </c>
      <c r="AC30" s="179">
        <f t="shared" si="9"/>
        <v>843.7025105084748</v>
      </c>
      <c r="AD30" s="183">
        <f t="shared" si="10"/>
        <v>-139.7025105084748</v>
      </c>
      <c r="AE30" s="184">
        <f t="shared" si="11"/>
        <v>-0.19844106606317444</v>
      </c>
      <c r="AF30" s="183">
        <v>704</v>
      </c>
      <c r="AG30" s="183"/>
      <c r="AH30" s="183"/>
      <c r="AI30" s="183">
        <v>1499</v>
      </c>
      <c r="AJ30" s="179">
        <f t="shared" si="12"/>
        <v>251.66248949152538</v>
      </c>
      <c r="AK30" s="184">
        <f t="shared" si="13"/>
        <v>0.35747512711864399</v>
      </c>
      <c r="AL30" s="182">
        <v>8904422504554</v>
      </c>
      <c r="AM30" s="182"/>
      <c r="AN30" s="73" t="s">
        <v>718</v>
      </c>
      <c r="AO30" s="185">
        <v>1999</v>
      </c>
      <c r="AP30" s="182"/>
      <c r="AQ30" s="182"/>
      <c r="AR30" s="182"/>
    </row>
    <row r="31" spans="1:44">
      <c r="A31" s="140"/>
      <c r="B31" s="140"/>
      <c r="C31" s="140"/>
      <c r="D31" s="140" t="s">
        <v>934</v>
      </c>
      <c r="E31" s="140" t="s">
        <v>533</v>
      </c>
      <c r="F31" s="140" t="s">
        <v>534</v>
      </c>
      <c r="G31" s="140" t="s">
        <v>535</v>
      </c>
      <c r="H31" s="140" t="s">
        <v>234</v>
      </c>
      <c r="I31" s="140" t="s">
        <v>235</v>
      </c>
      <c r="J31" s="140" t="s">
        <v>537</v>
      </c>
      <c r="K31" s="140">
        <v>84521021</v>
      </c>
      <c r="L31" s="176">
        <f>VLOOKUP(E31,'Margin Calculation'!F:U,16,0)</f>
        <v>3.46</v>
      </c>
      <c r="M31" s="176">
        <f>VLOOKUP(E31,'Margin Calculation'!F:V,17,0)</f>
        <v>3.4</v>
      </c>
      <c r="N31" s="177">
        <f t="shared" si="15"/>
        <v>6.9199999999999998E-2</v>
      </c>
      <c r="O31" s="178">
        <f>VLOOKUP(E31,'Margin Calculation'!F:X,19,0)</f>
        <v>0.38821200000000006</v>
      </c>
      <c r="P31" s="179">
        <f t="shared" si="0"/>
        <v>344.73225600000001</v>
      </c>
      <c r="Q31" s="180">
        <f t="shared" si="1"/>
        <v>406.78406208000001</v>
      </c>
      <c r="R31" s="181">
        <f>VLOOKUP(E31,'Margin Calculation'!F:AA,22,0)</f>
        <v>77.935000000000002</v>
      </c>
      <c r="S31" s="182">
        <v>50</v>
      </c>
      <c r="T31" s="182">
        <v>79</v>
      </c>
      <c r="U31" s="182">
        <v>193.9</v>
      </c>
      <c r="V31" s="182">
        <f>AF31*10%</f>
        <v>109.9</v>
      </c>
      <c r="W31" s="182">
        <f t="shared" si="3"/>
        <v>10.99</v>
      </c>
      <c r="X31" s="182">
        <f t="shared" si="4"/>
        <v>54.95</v>
      </c>
      <c r="Y31" s="182">
        <f t="shared" si="5"/>
        <v>21.98</v>
      </c>
      <c r="Z31" s="183">
        <f t="shared" si="6"/>
        <v>167.6440677966101</v>
      </c>
      <c r="AA31" s="182">
        <f t="shared" si="7"/>
        <v>54.95</v>
      </c>
      <c r="AB31" s="182">
        <f t="shared" si="8"/>
        <v>32.97</v>
      </c>
      <c r="AC31" s="179">
        <f t="shared" si="9"/>
        <v>1005.0513237966102</v>
      </c>
      <c r="AD31" s="183">
        <f t="shared" si="10"/>
        <v>93.948676203389823</v>
      </c>
      <c r="AE31" s="184">
        <f t="shared" si="11"/>
        <v>8.5485601640937048E-2</v>
      </c>
      <c r="AF31" s="183">
        <v>1099</v>
      </c>
      <c r="AG31" s="183"/>
      <c r="AH31" s="183"/>
      <c r="AI31" s="183">
        <v>1299</v>
      </c>
      <c r="AJ31" s="179">
        <f t="shared" si="12"/>
        <v>586.62367620338989</v>
      </c>
      <c r="AK31" s="184">
        <f t="shared" si="13"/>
        <v>0.5337795051896177</v>
      </c>
      <c r="AL31" s="182">
        <v>8904422504493</v>
      </c>
      <c r="AM31" s="182"/>
      <c r="AN31" s="73" t="s">
        <v>713</v>
      </c>
      <c r="AO31" s="185">
        <v>2299</v>
      </c>
      <c r="AP31" s="182"/>
      <c r="AQ31" s="182"/>
      <c r="AR31" s="182"/>
    </row>
    <row r="32" spans="1:44">
      <c r="A32" s="140"/>
      <c r="B32" s="140"/>
      <c r="C32" s="140"/>
      <c r="D32" s="140" t="s">
        <v>934</v>
      </c>
      <c r="E32" s="140" t="s">
        <v>543</v>
      </c>
      <c r="F32" s="140" t="s">
        <v>544</v>
      </c>
      <c r="G32" s="140" t="s">
        <v>545</v>
      </c>
      <c r="H32" s="140" t="s">
        <v>314</v>
      </c>
      <c r="I32" s="140" t="s">
        <v>465</v>
      </c>
      <c r="J32" s="140" t="s">
        <v>547</v>
      </c>
      <c r="K32" s="140">
        <v>90191020</v>
      </c>
      <c r="L32" s="176">
        <f>VLOOKUP(E32,'Margin Calculation'!F:U,16,0)</f>
        <v>6</v>
      </c>
      <c r="M32" s="176">
        <f>VLOOKUP(E32,'Margin Calculation'!F:V,17,0)</f>
        <v>6</v>
      </c>
      <c r="N32" s="177">
        <f t="shared" si="15"/>
        <v>0.12</v>
      </c>
      <c r="O32" s="178">
        <f>VLOOKUP(E32,'Margin Calculation'!F:X,19,0)</f>
        <v>0.67320000000000013</v>
      </c>
      <c r="P32" s="179">
        <f t="shared" si="0"/>
        <v>597.80160000000001</v>
      </c>
      <c r="Q32" s="180">
        <f t="shared" si="1"/>
        <v>705.405888</v>
      </c>
      <c r="R32" s="181">
        <f>VLOOKUP(E32,'Margin Calculation'!F:AA,22,0)</f>
        <v>89.924999999999997</v>
      </c>
      <c r="S32" s="182">
        <v>20</v>
      </c>
      <c r="T32" s="182">
        <v>58</v>
      </c>
      <c r="U32" s="182">
        <v>154.4</v>
      </c>
      <c r="V32" s="182">
        <f>AF32*20%</f>
        <v>219.8</v>
      </c>
      <c r="W32" s="182">
        <f t="shared" si="3"/>
        <v>10.99</v>
      </c>
      <c r="X32" s="182">
        <f t="shared" si="4"/>
        <v>54.95</v>
      </c>
      <c r="Y32" s="182">
        <f t="shared" si="5"/>
        <v>21.98</v>
      </c>
      <c r="Z32" s="183">
        <f t="shared" si="6"/>
        <v>167.6440677966101</v>
      </c>
      <c r="AA32" s="182">
        <f t="shared" si="7"/>
        <v>54.95</v>
      </c>
      <c r="AB32" s="182">
        <f t="shared" si="8"/>
        <v>32.97</v>
      </c>
      <c r="AC32" s="179">
        <f t="shared" si="9"/>
        <v>1329.0106677966101</v>
      </c>
      <c r="AD32" s="183">
        <f t="shared" si="10"/>
        <v>-230.01066779661005</v>
      </c>
      <c r="AE32" s="184">
        <f t="shared" si="11"/>
        <v>-0.20929087151647865</v>
      </c>
      <c r="AF32" s="183">
        <v>1099</v>
      </c>
      <c r="AG32" s="183"/>
      <c r="AH32" s="183"/>
      <c r="AI32" s="183">
        <v>2999</v>
      </c>
      <c r="AJ32" s="179">
        <f t="shared" si="12"/>
        <v>333.55433220338989</v>
      </c>
      <c r="AK32" s="184">
        <f t="shared" si="13"/>
        <v>0.30350712666368507</v>
      </c>
      <c r="AL32" s="182">
        <v>8904422504264</v>
      </c>
      <c r="AM32" s="182"/>
      <c r="AN32" s="73" t="s">
        <v>733</v>
      </c>
      <c r="AO32" s="185">
        <v>1599</v>
      </c>
      <c r="AP32" s="182"/>
      <c r="AQ32" s="182"/>
      <c r="AR32" s="182"/>
    </row>
    <row r="33" spans="1:44">
      <c r="A33" s="140"/>
      <c r="B33" s="140"/>
      <c r="C33" s="140"/>
      <c r="D33" s="140" t="s">
        <v>934</v>
      </c>
      <c r="E33" s="140" t="s">
        <v>557</v>
      </c>
      <c r="F33" s="140" t="s">
        <v>558</v>
      </c>
      <c r="G33" s="140" t="s">
        <v>559</v>
      </c>
      <c r="H33" s="140" t="s">
        <v>304</v>
      </c>
      <c r="I33" s="140" t="s">
        <v>304</v>
      </c>
      <c r="J33" s="140" t="s">
        <v>561</v>
      </c>
      <c r="K33" s="140">
        <v>84212190</v>
      </c>
      <c r="L33" s="176">
        <f>VLOOKUP(E33,'Margin Calculation'!F:U,16,0)</f>
        <v>4.5</v>
      </c>
      <c r="M33" s="176">
        <f>VLOOKUP(E33,'Margin Calculation'!F:V,17,0)</f>
        <v>4.7</v>
      </c>
      <c r="N33" s="177">
        <f t="shared" si="15"/>
        <v>0.09</v>
      </c>
      <c r="O33" s="178">
        <f>VLOOKUP(E33,'Margin Calculation'!F:X,19,0)</f>
        <v>0.37867499999999993</v>
      </c>
      <c r="P33" s="179">
        <f t="shared" si="0"/>
        <v>437.24340000000001</v>
      </c>
      <c r="Q33" s="180">
        <f t="shared" si="1"/>
        <v>515.94721200000004</v>
      </c>
      <c r="R33" s="181">
        <f>VLOOKUP(E33,'Margin Calculation'!F:AA,22,0)</f>
        <v>156.125</v>
      </c>
      <c r="S33" s="182">
        <v>50</v>
      </c>
      <c r="T33" s="182">
        <v>76</v>
      </c>
      <c r="U33" s="182">
        <v>275.89999999999998</v>
      </c>
      <c r="V33" s="182">
        <f>AF33*10%</f>
        <v>124.9</v>
      </c>
      <c r="W33" s="182">
        <f t="shared" si="3"/>
        <v>12.49</v>
      </c>
      <c r="X33" s="182">
        <f t="shared" si="4"/>
        <v>62.45</v>
      </c>
      <c r="Y33" s="182">
        <f t="shared" si="5"/>
        <v>24.98</v>
      </c>
      <c r="Z33" s="183">
        <f t="shared" si="6"/>
        <v>190.52542372881339</v>
      </c>
      <c r="AA33" s="182">
        <f t="shared" si="7"/>
        <v>62.45</v>
      </c>
      <c r="AB33" s="182">
        <f t="shared" si="8"/>
        <v>37.47</v>
      </c>
      <c r="AC33" s="179">
        <f t="shared" si="9"/>
        <v>1234.6338237288137</v>
      </c>
      <c r="AD33" s="183">
        <f t="shared" si="10"/>
        <v>14.366176271186305</v>
      </c>
      <c r="AE33" s="184">
        <f t="shared" si="11"/>
        <v>1.150214273113395E-2</v>
      </c>
      <c r="AF33" s="183">
        <f t="shared" ref="AF33:AF34" si="24">VLOOKUP(F33,AN:AO,2,0)</f>
        <v>1249</v>
      </c>
      <c r="AG33" s="183"/>
      <c r="AH33" s="183"/>
      <c r="AI33" s="183">
        <v>2999</v>
      </c>
      <c r="AJ33" s="179">
        <f t="shared" si="12"/>
        <v>621.23117627118654</v>
      </c>
      <c r="AK33" s="184">
        <f t="shared" si="13"/>
        <v>0.49738284729478505</v>
      </c>
      <c r="AL33" s="182">
        <v>8904422504257</v>
      </c>
      <c r="AM33" s="182"/>
      <c r="AN33" s="73" t="s">
        <v>941</v>
      </c>
      <c r="AO33" s="185">
        <v>3599</v>
      </c>
      <c r="AP33" s="182"/>
      <c r="AQ33" s="182"/>
      <c r="AR33" s="182"/>
    </row>
    <row r="34" spans="1:44">
      <c r="A34" s="140"/>
      <c r="B34" s="140"/>
      <c r="C34" s="140"/>
      <c r="D34" s="140" t="s">
        <v>934</v>
      </c>
      <c r="E34" s="140" t="s">
        <v>562</v>
      </c>
      <c r="F34" s="140" t="s">
        <v>563</v>
      </c>
      <c r="G34" s="140" t="s">
        <v>564</v>
      </c>
      <c r="H34" s="140" t="s">
        <v>314</v>
      </c>
      <c r="I34" s="140" t="s">
        <v>315</v>
      </c>
      <c r="J34" s="140" t="s">
        <v>565</v>
      </c>
      <c r="K34" s="140">
        <v>85098000</v>
      </c>
      <c r="L34" s="176">
        <f>VLOOKUP(E34,'Margin Calculation'!F:U,16,0)</f>
        <v>5.16</v>
      </c>
      <c r="M34" s="176">
        <f>VLOOKUP(E34,'Margin Calculation'!F:V,17,0)</f>
        <v>5.16</v>
      </c>
      <c r="N34" s="177">
        <f t="shared" si="15"/>
        <v>0.1032</v>
      </c>
      <c r="O34" s="178">
        <f>VLOOKUP(E34,'Margin Calculation'!F:X,19,0)</f>
        <v>1.1579040000000003</v>
      </c>
      <c r="P34" s="179">
        <f t="shared" si="0"/>
        <v>565.05715200000009</v>
      </c>
      <c r="Q34" s="180">
        <f t="shared" si="1"/>
        <v>666.76743936000003</v>
      </c>
      <c r="R34" s="181">
        <f>VLOOKUP(E34,'Margin Calculation'!F:AA,22,0)</f>
        <v>89.924999999999997</v>
      </c>
      <c r="S34" s="182">
        <v>12</v>
      </c>
      <c r="T34" s="182">
        <v>60</v>
      </c>
      <c r="U34" s="182">
        <v>126</v>
      </c>
      <c r="V34" s="182">
        <f t="shared" ref="V34:V37" si="25">AF34*20%</f>
        <v>239.8</v>
      </c>
      <c r="W34" s="182">
        <f t="shared" si="3"/>
        <v>11.99</v>
      </c>
      <c r="X34" s="182">
        <f t="shared" si="4"/>
        <v>59.95</v>
      </c>
      <c r="Y34" s="182">
        <f t="shared" si="5"/>
        <v>23.98</v>
      </c>
      <c r="Z34" s="183">
        <f t="shared" si="6"/>
        <v>182.89830508474574</v>
      </c>
      <c r="AA34" s="182">
        <f t="shared" si="7"/>
        <v>59.95</v>
      </c>
      <c r="AB34" s="182">
        <f t="shared" si="8"/>
        <v>35.97</v>
      </c>
      <c r="AC34" s="179">
        <f t="shared" si="9"/>
        <v>1341.5204570847459</v>
      </c>
      <c r="AD34" s="183">
        <f t="shared" si="10"/>
        <v>-142.52045708474589</v>
      </c>
      <c r="AE34" s="184">
        <f t="shared" si="11"/>
        <v>-0.11886610265616838</v>
      </c>
      <c r="AF34" s="183">
        <f t="shared" si="24"/>
        <v>1199</v>
      </c>
      <c r="AG34" s="183"/>
      <c r="AH34" s="183"/>
      <c r="AI34" s="183">
        <v>1699</v>
      </c>
      <c r="AJ34" s="179">
        <f t="shared" si="12"/>
        <v>451.04454291525417</v>
      </c>
      <c r="AK34" s="184">
        <f t="shared" si="13"/>
        <v>0.37618393904524949</v>
      </c>
      <c r="AL34" s="182">
        <v>8904422504646</v>
      </c>
      <c r="AM34" s="182"/>
      <c r="AN34" s="73" t="s">
        <v>942</v>
      </c>
      <c r="AO34" s="185">
        <v>2599</v>
      </c>
      <c r="AP34" s="182"/>
      <c r="AQ34" s="182"/>
      <c r="AR34" s="182"/>
    </row>
    <row r="35" spans="1:44">
      <c r="A35" s="140"/>
      <c r="B35" s="140"/>
      <c r="C35" s="140"/>
      <c r="D35" s="140" t="s">
        <v>934</v>
      </c>
      <c r="E35" s="140" t="s">
        <v>570</v>
      </c>
      <c r="F35" s="140" t="s">
        <v>571</v>
      </c>
      <c r="G35" s="140" t="s">
        <v>572</v>
      </c>
      <c r="H35" s="140" t="s">
        <v>314</v>
      </c>
      <c r="I35" s="140" t="s">
        <v>437</v>
      </c>
      <c r="J35" s="140" t="s">
        <v>574</v>
      </c>
      <c r="K35" s="140">
        <v>85437093</v>
      </c>
      <c r="L35" s="176">
        <f>VLOOKUP(E35,'Margin Calculation'!F:U,16,0)</f>
        <v>6.65</v>
      </c>
      <c r="M35" s="176">
        <f>VLOOKUP(E35,'Margin Calculation'!F:V,17,0)</f>
        <v>6.7</v>
      </c>
      <c r="N35" s="177">
        <f t="shared" si="15"/>
        <v>0.13300000000000001</v>
      </c>
      <c r="O35" s="178">
        <f>VLOOKUP(E35,'Margin Calculation'!F:X,19,0)</f>
        <v>1.4922600000000004</v>
      </c>
      <c r="P35" s="179">
        <f t="shared" si="0"/>
        <v>728.22288000000015</v>
      </c>
      <c r="Q35" s="180">
        <f t="shared" si="1"/>
        <v>859.30299840000009</v>
      </c>
      <c r="R35" s="181">
        <f>VLOOKUP(E35,'Margin Calculation'!F:AA,22,0)</f>
        <v>122.43</v>
      </c>
      <c r="S35" s="182">
        <v>50</v>
      </c>
      <c r="T35" s="182">
        <v>108</v>
      </c>
      <c r="U35" s="182">
        <v>269.89999999999998</v>
      </c>
      <c r="V35" s="182">
        <f t="shared" si="25"/>
        <v>339.8</v>
      </c>
      <c r="W35" s="182">
        <f t="shared" si="3"/>
        <v>16.990000000000002</v>
      </c>
      <c r="X35" s="182">
        <f t="shared" si="4"/>
        <v>84.95</v>
      </c>
      <c r="Y35" s="182">
        <f t="shared" si="5"/>
        <v>33.980000000000004</v>
      </c>
      <c r="Z35" s="183">
        <f t="shared" si="6"/>
        <v>259.16949152542361</v>
      </c>
      <c r="AA35" s="182">
        <f t="shared" si="7"/>
        <v>84.95</v>
      </c>
      <c r="AB35" s="182">
        <f t="shared" si="8"/>
        <v>50.97</v>
      </c>
      <c r="AC35" s="179">
        <f t="shared" si="9"/>
        <v>1879.4623715254238</v>
      </c>
      <c r="AD35" s="183">
        <f t="shared" si="10"/>
        <v>-180.4623715254238</v>
      </c>
      <c r="AE35" s="184">
        <f t="shared" si="11"/>
        <v>-0.10621681667182095</v>
      </c>
      <c r="AF35" s="183">
        <v>1699</v>
      </c>
      <c r="AG35" s="183"/>
      <c r="AH35" s="183"/>
      <c r="AI35" s="183">
        <v>2499</v>
      </c>
      <c r="AJ35" s="179">
        <f t="shared" si="12"/>
        <v>711.60762847457625</v>
      </c>
      <c r="AK35" s="184">
        <f t="shared" si="13"/>
        <v>0.41883909857244039</v>
      </c>
      <c r="AL35" s="182">
        <v>8904422504653</v>
      </c>
      <c r="AM35" s="182"/>
      <c r="AN35" s="73" t="s">
        <v>943</v>
      </c>
      <c r="AO35" s="185">
        <v>1799</v>
      </c>
      <c r="AP35" s="182"/>
      <c r="AQ35" s="182"/>
      <c r="AR35" s="182"/>
    </row>
    <row r="36" spans="1:44">
      <c r="A36" s="140"/>
      <c r="B36" s="140"/>
      <c r="C36" s="140"/>
      <c r="D36" s="140" t="s">
        <v>934</v>
      </c>
      <c r="E36" s="140" t="s">
        <v>575</v>
      </c>
      <c r="F36" s="140" t="s">
        <v>576</v>
      </c>
      <c r="G36" s="140" t="s">
        <v>577</v>
      </c>
      <c r="H36" s="140" t="s">
        <v>314</v>
      </c>
      <c r="I36" s="140" t="s">
        <v>465</v>
      </c>
      <c r="J36" s="140" t="s">
        <v>579</v>
      </c>
      <c r="K36" s="140">
        <v>85163200</v>
      </c>
      <c r="L36" s="176">
        <f>VLOOKUP(E36,'Margin Calculation'!F:U,16,0)</f>
        <v>6.34</v>
      </c>
      <c r="M36" s="176">
        <f>VLOOKUP(E36,'Margin Calculation'!F:V,17,0)</f>
        <v>6.64</v>
      </c>
      <c r="N36" s="177">
        <f t="shared" si="15"/>
        <v>0.1268</v>
      </c>
      <c r="O36" s="178">
        <f>VLOOKUP(E36,'Margin Calculation'!F:X,19,0)</f>
        <v>1.4226960000000002</v>
      </c>
      <c r="P36" s="179">
        <f t="shared" si="0"/>
        <v>694.27564800000005</v>
      </c>
      <c r="Q36" s="180">
        <f t="shared" si="1"/>
        <v>819.24526463999996</v>
      </c>
      <c r="R36" s="181">
        <f>VLOOKUP(E36,'Margin Calculation'!F:AA,22,0)</f>
        <v>180.405</v>
      </c>
      <c r="S36" s="182">
        <v>25</v>
      </c>
      <c r="T36" s="182">
        <v>73</v>
      </c>
      <c r="U36" s="182">
        <v>277.7</v>
      </c>
      <c r="V36" s="182">
        <f t="shared" si="25"/>
        <v>379.8</v>
      </c>
      <c r="W36" s="182">
        <f t="shared" si="3"/>
        <v>18.990000000000002</v>
      </c>
      <c r="X36" s="182">
        <f t="shared" si="4"/>
        <v>94.95</v>
      </c>
      <c r="Y36" s="182">
        <f t="shared" si="5"/>
        <v>37.980000000000004</v>
      </c>
      <c r="Z36" s="183">
        <f t="shared" si="6"/>
        <v>289.67796610169489</v>
      </c>
      <c r="AA36" s="182">
        <f t="shared" si="7"/>
        <v>94.95</v>
      </c>
      <c r="AB36" s="182">
        <f t="shared" si="8"/>
        <v>56.97</v>
      </c>
      <c r="AC36" s="179">
        <f t="shared" si="9"/>
        <v>1945.998614101695</v>
      </c>
      <c r="AD36" s="183">
        <f t="shared" si="10"/>
        <v>-46.998614101695011</v>
      </c>
      <c r="AE36" s="184">
        <f t="shared" si="11"/>
        <v>-2.4749138547496056E-2</v>
      </c>
      <c r="AF36" s="183">
        <v>1899</v>
      </c>
      <c r="AG36" s="183"/>
      <c r="AH36" s="183"/>
      <c r="AI36" s="183">
        <v>3599</v>
      </c>
      <c r="AJ36" s="179">
        <f t="shared" si="12"/>
        <v>915.04638589830506</v>
      </c>
      <c r="AK36" s="184">
        <f t="shared" si="13"/>
        <v>0.48185696993065036</v>
      </c>
      <c r="AL36" s="182">
        <v>8904422504790</v>
      </c>
      <c r="AM36" s="182"/>
      <c r="AN36" s="73" t="s">
        <v>773</v>
      </c>
      <c r="AO36" s="185">
        <v>1599</v>
      </c>
      <c r="AP36" s="182"/>
      <c r="AQ36" s="182"/>
      <c r="AR36" s="182"/>
    </row>
    <row r="37" spans="1:44">
      <c r="A37" s="140"/>
      <c r="B37" s="140"/>
      <c r="C37" s="140"/>
      <c r="D37" s="140" t="s">
        <v>934</v>
      </c>
      <c r="E37" s="140" t="s">
        <v>580</v>
      </c>
      <c r="F37" s="140" t="s">
        <v>581</v>
      </c>
      <c r="G37" s="140" t="s">
        <v>582</v>
      </c>
      <c r="H37" s="140" t="s">
        <v>314</v>
      </c>
      <c r="I37" s="140" t="s">
        <v>465</v>
      </c>
      <c r="J37" s="140" t="s">
        <v>583</v>
      </c>
      <c r="K37" s="140">
        <v>85163200</v>
      </c>
      <c r="L37" s="176">
        <f>VLOOKUP(E37,'Margin Calculation'!F:U,16,0)</f>
        <v>7.39</v>
      </c>
      <c r="M37" s="176">
        <f>VLOOKUP(E37,'Margin Calculation'!F:V,17,0)</f>
        <v>0</v>
      </c>
      <c r="N37" s="177">
        <f t="shared" si="15"/>
        <v>0.14779999999999999</v>
      </c>
      <c r="O37" s="178">
        <f>VLOOKUP(E37,'Margin Calculation'!F:X,19,0)</f>
        <v>1.6583160000000001</v>
      </c>
      <c r="P37" s="179">
        <f t="shared" si="0"/>
        <v>809.25820799999997</v>
      </c>
      <c r="Q37" s="180">
        <f t="shared" si="1"/>
        <v>954.92468543999996</v>
      </c>
      <c r="R37" s="181">
        <f>VLOOKUP(E37,'Margin Calculation'!F:AA,22,0)</f>
        <v>225.53</v>
      </c>
      <c r="S37" s="182">
        <v>25</v>
      </c>
      <c r="T37" s="182">
        <v>73</v>
      </c>
      <c r="U37" s="182">
        <v>322.8</v>
      </c>
      <c r="V37" s="182">
        <f t="shared" si="25"/>
        <v>499.8</v>
      </c>
      <c r="W37" s="182">
        <f t="shared" si="3"/>
        <v>24.990000000000002</v>
      </c>
      <c r="X37" s="182">
        <f t="shared" si="4"/>
        <v>124.95</v>
      </c>
      <c r="Y37" s="182">
        <f t="shared" si="5"/>
        <v>49.980000000000004</v>
      </c>
      <c r="Z37" s="183">
        <f t="shared" si="6"/>
        <v>381.20338983050851</v>
      </c>
      <c r="AA37" s="182">
        <f t="shared" si="7"/>
        <v>124.95</v>
      </c>
      <c r="AB37" s="182">
        <f t="shared" si="8"/>
        <v>74.97</v>
      </c>
      <c r="AC37" s="179">
        <f t="shared" si="9"/>
        <v>2413.6315978305079</v>
      </c>
      <c r="AD37" s="183">
        <f t="shared" si="10"/>
        <v>85.368402169492128</v>
      </c>
      <c r="AE37" s="184">
        <f t="shared" si="11"/>
        <v>3.4161025277908014E-2</v>
      </c>
      <c r="AF37" s="183">
        <v>2499</v>
      </c>
      <c r="AG37" s="183"/>
      <c r="AH37" s="183"/>
      <c r="AI37" s="183">
        <v>3599</v>
      </c>
      <c r="AJ37" s="179">
        <f t="shared" si="12"/>
        <v>1308.5384021694915</v>
      </c>
      <c r="AK37" s="184">
        <f t="shared" si="13"/>
        <v>0.52362481079211343</v>
      </c>
      <c r="AL37" s="182">
        <v>8904422504813</v>
      </c>
      <c r="AM37" s="182"/>
      <c r="AN37" s="73" t="s">
        <v>944</v>
      </c>
      <c r="AO37" s="185">
        <v>1499</v>
      </c>
      <c r="AP37" s="182"/>
      <c r="AQ37" s="182"/>
      <c r="AR37" s="182"/>
    </row>
    <row r="38" spans="1:44">
      <c r="A38" s="140"/>
      <c r="B38" s="140"/>
      <c r="C38" s="140"/>
      <c r="D38" s="140" t="s">
        <v>934</v>
      </c>
      <c r="E38" s="140" t="s">
        <v>584</v>
      </c>
      <c r="F38" s="140" t="s">
        <v>585</v>
      </c>
      <c r="G38" s="140" t="s">
        <v>586</v>
      </c>
      <c r="H38" s="140" t="s">
        <v>234</v>
      </c>
      <c r="I38" s="140" t="s">
        <v>249</v>
      </c>
      <c r="J38" s="140" t="s">
        <v>945</v>
      </c>
      <c r="K38" s="140">
        <v>85086000</v>
      </c>
      <c r="L38" s="176">
        <f>VLOOKUP(E38,'Margin Calculation'!F:U,16,0)</f>
        <v>11.3</v>
      </c>
      <c r="M38" s="176">
        <f>VLOOKUP(E38,'Margin Calculation'!F:V,17,0)</f>
        <v>11.3</v>
      </c>
      <c r="N38" s="177">
        <f t="shared" si="15"/>
        <v>0.22600000000000001</v>
      </c>
      <c r="O38" s="178">
        <f>VLOOKUP(E38,'Margin Calculation'!F:X,19,0)</f>
        <v>1.2678600000000004</v>
      </c>
      <c r="P38" s="179">
        <f t="shared" si="0"/>
        <v>1125.8596800000003</v>
      </c>
      <c r="Q38" s="180">
        <f t="shared" si="1"/>
        <v>1328.5144224000003</v>
      </c>
      <c r="R38" s="181">
        <f>VLOOKUP(E38,'Margin Calculation'!F:AA,22,0)</f>
        <v>148.45499999999998</v>
      </c>
      <c r="S38" s="182">
        <v>50</v>
      </c>
      <c r="T38" s="182">
        <v>135</v>
      </c>
      <c r="U38" s="182">
        <v>399.2</v>
      </c>
      <c r="V38" s="182">
        <f>AF38*10%</f>
        <v>329.90000000000003</v>
      </c>
      <c r="W38" s="182">
        <f t="shared" si="3"/>
        <v>32.99</v>
      </c>
      <c r="X38" s="182">
        <f t="shared" si="4"/>
        <v>164.95000000000002</v>
      </c>
      <c r="Y38" s="182">
        <f t="shared" si="5"/>
        <v>65.98</v>
      </c>
      <c r="Z38" s="183">
        <f t="shared" si="6"/>
        <v>503.23728813559319</v>
      </c>
      <c r="AA38" s="182">
        <f t="shared" si="7"/>
        <v>164.95000000000002</v>
      </c>
      <c r="AB38" s="182">
        <f t="shared" si="8"/>
        <v>98.97</v>
      </c>
      <c r="AC38" s="179">
        <f t="shared" si="9"/>
        <v>2820.2919681355929</v>
      </c>
      <c r="AD38" s="183">
        <f t="shared" si="10"/>
        <v>478.70803186440708</v>
      </c>
      <c r="AE38" s="184">
        <f t="shared" si="11"/>
        <v>0.14510701178066296</v>
      </c>
      <c r="AF38" s="183">
        <v>3299</v>
      </c>
      <c r="AG38" s="183"/>
      <c r="AH38" s="183"/>
      <c r="AI38" s="183">
        <v>6599</v>
      </c>
      <c r="AJ38" s="179">
        <f t="shared" si="12"/>
        <v>1669.9030318644063</v>
      </c>
      <c r="AK38" s="184">
        <f t="shared" si="13"/>
        <v>0.50618461105316959</v>
      </c>
      <c r="AL38" s="182">
        <v>8904422504820</v>
      </c>
      <c r="AM38" s="182"/>
      <c r="AN38" s="73" t="s">
        <v>946</v>
      </c>
      <c r="AO38" s="185">
        <v>1999</v>
      </c>
      <c r="AP38" s="182"/>
      <c r="AQ38" s="182"/>
      <c r="AR38" s="182"/>
    </row>
    <row r="39" spans="1:44">
      <c r="A39" s="140"/>
      <c r="B39" s="140"/>
      <c r="C39" s="140"/>
      <c r="D39" s="140" t="s">
        <v>934</v>
      </c>
      <c r="E39" s="140" t="s">
        <v>589</v>
      </c>
      <c r="F39" s="140" t="s">
        <v>590</v>
      </c>
      <c r="G39" s="140" t="s">
        <v>591</v>
      </c>
      <c r="H39" s="140" t="s">
        <v>314</v>
      </c>
      <c r="I39" s="140" t="s">
        <v>437</v>
      </c>
      <c r="J39" s="140" t="s">
        <v>593</v>
      </c>
      <c r="K39" s="140">
        <v>85437093</v>
      </c>
      <c r="L39" s="176">
        <f>VLOOKUP(E39,'Margin Calculation'!F:U,16,0)</f>
        <v>5.3</v>
      </c>
      <c r="M39" s="176">
        <f>VLOOKUP(E39,'Margin Calculation'!F:V,17,0)</f>
        <v>6.8</v>
      </c>
      <c r="N39" s="177">
        <f t="shared" si="15"/>
        <v>0.106</v>
      </c>
      <c r="O39" s="178">
        <f>VLOOKUP(E39,'Margin Calculation'!F:X,19,0)</f>
        <v>0.59466000000000008</v>
      </c>
      <c r="P39" s="179">
        <f t="shared" si="0"/>
        <v>528.05808000000002</v>
      </c>
      <c r="Q39" s="180">
        <f t="shared" si="1"/>
        <v>623.10853439999994</v>
      </c>
      <c r="R39" s="181">
        <f>VLOOKUP(E39,'Margin Calculation'!F:AA,22,0)</f>
        <v>189.905</v>
      </c>
      <c r="S39" s="182">
        <v>50</v>
      </c>
      <c r="T39" s="182">
        <v>60</v>
      </c>
      <c r="U39" s="182">
        <v>294.89999999999998</v>
      </c>
      <c r="V39" s="182">
        <f t="shared" ref="V39:V40" si="26">AF39*20%</f>
        <v>399.8</v>
      </c>
      <c r="W39" s="182">
        <f t="shared" si="3"/>
        <v>19.990000000000002</v>
      </c>
      <c r="X39" s="182">
        <f t="shared" si="4"/>
        <v>99.95</v>
      </c>
      <c r="Y39" s="182">
        <f t="shared" si="5"/>
        <v>39.980000000000004</v>
      </c>
      <c r="Z39" s="183">
        <f t="shared" si="6"/>
        <v>304.93220338983042</v>
      </c>
      <c r="AA39" s="182">
        <f t="shared" si="7"/>
        <v>99.95</v>
      </c>
      <c r="AB39" s="182">
        <f t="shared" si="8"/>
        <v>59.97</v>
      </c>
      <c r="AC39" s="179">
        <f t="shared" si="9"/>
        <v>1852.5352833898305</v>
      </c>
      <c r="AD39" s="183">
        <f t="shared" si="10"/>
        <v>146.46471661016949</v>
      </c>
      <c r="AE39" s="184">
        <f t="shared" si="11"/>
        <v>7.3268992801485494E-2</v>
      </c>
      <c r="AF39" s="183">
        <v>1999</v>
      </c>
      <c r="AG39" s="183"/>
      <c r="AH39" s="183"/>
      <c r="AI39" s="183">
        <v>2999</v>
      </c>
      <c r="AJ39" s="179">
        <f t="shared" si="12"/>
        <v>1166.0097166101696</v>
      </c>
      <c r="AK39" s="184">
        <f t="shared" si="13"/>
        <v>0.58329650655836396</v>
      </c>
      <c r="AL39" s="182">
        <v>8904422504837</v>
      </c>
      <c r="AM39" s="182"/>
      <c r="AN39" s="73" t="s">
        <v>780</v>
      </c>
      <c r="AO39" s="185">
        <v>1399</v>
      </c>
      <c r="AP39" s="182"/>
      <c r="AQ39" s="182"/>
      <c r="AR39" s="182"/>
    </row>
    <row r="40" spans="1:44">
      <c r="A40" s="140"/>
      <c r="B40" s="140"/>
      <c r="C40" s="140"/>
      <c r="D40" s="140" t="s">
        <v>934</v>
      </c>
      <c r="E40" s="140" t="s">
        <v>594</v>
      </c>
      <c r="F40" s="140" t="s">
        <v>595</v>
      </c>
      <c r="G40" s="140" t="s">
        <v>596</v>
      </c>
      <c r="H40" s="140" t="s">
        <v>314</v>
      </c>
      <c r="I40" s="140" t="s">
        <v>437</v>
      </c>
      <c r="J40" s="140" t="s">
        <v>598</v>
      </c>
      <c r="K40" s="140">
        <v>85437099</v>
      </c>
      <c r="L40" s="176">
        <f>VLOOKUP(E40,'Margin Calculation'!F:U,16,0)</f>
        <v>8.6999999999999993</v>
      </c>
      <c r="M40" s="176">
        <f>VLOOKUP(E40,'Margin Calculation'!F:V,17,0)</f>
        <v>9.4</v>
      </c>
      <c r="N40" s="177">
        <f t="shared" si="15"/>
        <v>0.17399999999999999</v>
      </c>
      <c r="O40" s="178">
        <f>VLOOKUP(E40,'Margin Calculation'!F:X,19,0)</f>
        <v>0.73210499999999978</v>
      </c>
      <c r="P40" s="179">
        <f t="shared" si="0"/>
        <v>845.33723999999995</v>
      </c>
      <c r="Q40" s="180">
        <f t="shared" si="1"/>
        <v>997.4979431999999</v>
      </c>
      <c r="R40" s="181">
        <f>VLOOKUP(E40,'Margin Calculation'!F:AA,22,0)</f>
        <v>118.93</v>
      </c>
      <c r="S40" s="182">
        <v>50</v>
      </c>
      <c r="T40" s="182">
        <v>60</v>
      </c>
      <c r="U40" s="182">
        <v>235.9</v>
      </c>
      <c r="V40" s="182">
        <f t="shared" si="26"/>
        <v>339.8</v>
      </c>
      <c r="W40" s="182">
        <f t="shared" si="3"/>
        <v>16.990000000000002</v>
      </c>
      <c r="X40" s="182">
        <f t="shared" si="4"/>
        <v>84.95</v>
      </c>
      <c r="Y40" s="182">
        <f t="shared" si="5"/>
        <v>33.980000000000004</v>
      </c>
      <c r="Z40" s="183">
        <f t="shared" si="6"/>
        <v>259.16949152542361</v>
      </c>
      <c r="AA40" s="182">
        <f t="shared" si="7"/>
        <v>84.95</v>
      </c>
      <c r="AB40" s="182">
        <f t="shared" si="8"/>
        <v>50.97</v>
      </c>
      <c r="AC40" s="179">
        <f t="shared" si="9"/>
        <v>1945.0767315254236</v>
      </c>
      <c r="AD40" s="183">
        <f t="shared" si="10"/>
        <v>-246.07673152542361</v>
      </c>
      <c r="AE40" s="184">
        <f t="shared" si="11"/>
        <v>-0.14483621631867194</v>
      </c>
      <c r="AF40" s="183">
        <v>1699</v>
      </c>
      <c r="AG40" s="183"/>
      <c r="AH40" s="183"/>
      <c r="AI40" s="183">
        <v>3399</v>
      </c>
      <c r="AJ40" s="179">
        <f t="shared" si="12"/>
        <v>594.49326847457644</v>
      </c>
      <c r="AK40" s="184">
        <f t="shared" si="13"/>
        <v>0.34990775072076308</v>
      </c>
      <c r="AL40" s="182">
        <v>8904422504844</v>
      </c>
      <c r="AM40" s="182"/>
      <c r="AN40" s="73" t="s">
        <v>832</v>
      </c>
      <c r="AO40" s="185">
        <v>1599</v>
      </c>
      <c r="AP40" s="182"/>
      <c r="AQ40" s="182"/>
      <c r="AR40" s="182"/>
    </row>
    <row r="41" spans="1:44">
      <c r="A41" s="140"/>
      <c r="B41" s="140"/>
      <c r="C41" s="140"/>
      <c r="D41" s="140" t="s">
        <v>934</v>
      </c>
      <c r="E41" s="140" t="s">
        <v>599</v>
      </c>
      <c r="F41" s="140" t="s">
        <v>600</v>
      </c>
      <c r="G41" s="140" t="s">
        <v>572</v>
      </c>
      <c r="H41" s="140" t="s">
        <v>234</v>
      </c>
      <c r="I41" s="140" t="s">
        <v>249</v>
      </c>
      <c r="J41" s="140" t="s">
        <v>602</v>
      </c>
      <c r="K41" s="140">
        <v>85086000</v>
      </c>
      <c r="L41" s="176">
        <f>VLOOKUP(E41,'Margin Calculation'!F:U,16,0)</f>
        <v>8.3000000000000007</v>
      </c>
      <c r="M41" s="176">
        <f>VLOOKUP(E41,'Margin Calculation'!F:V,17,0)</f>
        <v>8.6999999999999993</v>
      </c>
      <c r="N41" s="177">
        <f t="shared" si="15"/>
        <v>0.16600000000000001</v>
      </c>
      <c r="O41" s="178">
        <f>VLOOKUP(E41,'Margin Calculation'!F:X,19,0)</f>
        <v>0.9312600000000002</v>
      </c>
      <c r="P41" s="179">
        <f t="shared" si="0"/>
        <v>826.95888000000014</v>
      </c>
      <c r="Q41" s="180">
        <f t="shared" si="1"/>
        <v>975.81147840000006</v>
      </c>
      <c r="R41" s="181">
        <f>VLOOKUP(E41,'Margin Calculation'!F:AA,22,0)</f>
        <v>94.454999999999998</v>
      </c>
      <c r="S41" s="182">
        <v>50</v>
      </c>
      <c r="T41" s="182">
        <v>135</v>
      </c>
      <c r="U41" s="182">
        <v>315.3</v>
      </c>
      <c r="V41" s="182">
        <f t="shared" ref="V41:V43" si="27">AF41*10%</f>
        <v>199.9</v>
      </c>
      <c r="W41" s="182">
        <f t="shared" si="3"/>
        <v>19.990000000000002</v>
      </c>
      <c r="X41" s="182">
        <f t="shared" si="4"/>
        <v>99.95</v>
      </c>
      <c r="Y41" s="182">
        <f t="shared" si="5"/>
        <v>39.980000000000004</v>
      </c>
      <c r="Z41" s="183">
        <f t="shared" si="6"/>
        <v>304.93220338983042</v>
      </c>
      <c r="AA41" s="182">
        <f t="shared" si="7"/>
        <v>99.95</v>
      </c>
      <c r="AB41" s="182">
        <f t="shared" si="8"/>
        <v>59.97</v>
      </c>
      <c r="AC41" s="179">
        <f t="shared" si="9"/>
        <v>1931.0860833898307</v>
      </c>
      <c r="AD41" s="183">
        <f t="shared" si="10"/>
        <v>67.913916610169281</v>
      </c>
      <c r="AE41" s="184">
        <f t="shared" si="11"/>
        <v>3.3973945277723502E-2</v>
      </c>
      <c r="AF41" s="183">
        <f>VLOOKUP(F41,AN:AO,2,0)</f>
        <v>1999</v>
      </c>
      <c r="AG41" s="183"/>
      <c r="AH41" s="183"/>
      <c r="AI41" s="183">
        <v>3699</v>
      </c>
      <c r="AJ41" s="179">
        <f t="shared" si="12"/>
        <v>867.10891661016944</v>
      </c>
      <c r="AK41" s="184">
        <f t="shared" si="13"/>
        <v>0.43377134397707323</v>
      </c>
      <c r="AL41" s="182">
        <v>8904422504882</v>
      </c>
      <c r="AM41" s="182"/>
      <c r="AN41" s="73" t="s">
        <v>828</v>
      </c>
      <c r="AO41" s="185">
        <v>1999</v>
      </c>
      <c r="AP41" s="182"/>
      <c r="AQ41" s="182"/>
      <c r="AR41" s="182"/>
    </row>
    <row r="42" spans="1:44">
      <c r="A42" s="140"/>
      <c r="B42" s="140"/>
      <c r="C42" s="140"/>
      <c r="D42" s="140" t="s">
        <v>934</v>
      </c>
      <c r="E42" s="140" t="s">
        <v>603</v>
      </c>
      <c r="F42" s="140" t="s">
        <v>937</v>
      </c>
      <c r="G42" s="140" t="s">
        <v>605</v>
      </c>
      <c r="H42" s="140" t="s">
        <v>234</v>
      </c>
      <c r="I42" s="140" t="s">
        <v>249</v>
      </c>
      <c r="J42" s="140" t="s">
        <v>607</v>
      </c>
      <c r="K42" s="140">
        <v>85098000</v>
      </c>
      <c r="L42" s="176">
        <f>VLOOKUP(E42,'Margin Calculation'!F:U,16,0)</f>
        <v>9.2899999999999991</v>
      </c>
      <c r="M42" s="176">
        <f>VLOOKUP(E42,'Margin Calculation'!F:V,17,0)</f>
        <v>11.6</v>
      </c>
      <c r="N42" s="177">
        <f t="shared" si="15"/>
        <v>0.18579999999999999</v>
      </c>
      <c r="O42" s="178">
        <f>VLOOKUP(E42,'Margin Calculation'!F:X,19,0)</f>
        <v>2.084676</v>
      </c>
      <c r="P42" s="179">
        <f t="shared" si="0"/>
        <v>1017.3218879999999</v>
      </c>
      <c r="Q42" s="180">
        <f t="shared" si="1"/>
        <v>1200.4398278399999</v>
      </c>
      <c r="R42" s="181">
        <f>VLOOKUP(E42,'Margin Calculation'!F:AA,22,0)</f>
        <v>249.9</v>
      </c>
      <c r="S42" s="182">
        <v>50</v>
      </c>
      <c r="T42" s="182">
        <v>108</v>
      </c>
      <c r="U42" s="182">
        <v>427.9</v>
      </c>
      <c r="V42" s="182">
        <f t="shared" si="27"/>
        <v>269.90000000000003</v>
      </c>
      <c r="W42" s="182">
        <f t="shared" si="3"/>
        <v>26.990000000000002</v>
      </c>
      <c r="X42" s="182">
        <f t="shared" si="4"/>
        <v>134.95000000000002</v>
      </c>
      <c r="Y42" s="182">
        <f t="shared" si="5"/>
        <v>53.980000000000004</v>
      </c>
      <c r="Z42" s="183">
        <f t="shared" si="6"/>
        <v>411.71186440677957</v>
      </c>
      <c r="AA42" s="182">
        <f t="shared" si="7"/>
        <v>134.95000000000002</v>
      </c>
      <c r="AB42" s="182">
        <f t="shared" si="8"/>
        <v>80.97</v>
      </c>
      <c r="AC42" s="179">
        <f t="shared" si="9"/>
        <v>2538.6737524067794</v>
      </c>
      <c r="AD42" s="183">
        <f t="shared" si="10"/>
        <v>160.32624759322061</v>
      </c>
      <c r="AE42" s="184">
        <f t="shared" si="11"/>
        <v>5.9402092476183999E-2</v>
      </c>
      <c r="AF42" s="183">
        <v>2699</v>
      </c>
      <c r="AG42" s="183"/>
      <c r="AH42" s="183"/>
      <c r="AI42" s="183">
        <v>4999</v>
      </c>
      <c r="AJ42" s="179">
        <f t="shared" si="12"/>
        <v>1269.9662475932205</v>
      </c>
      <c r="AK42" s="184">
        <f t="shared" si="13"/>
        <v>0.47053214064217136</v>
      </c>
      <c r="AL42" s="182">
        <v>8904422504875</v>
      </c>
      <c r="AM42" s="182"/>
      <c r="AN42" s="73" t="s">
        <v>254</v>
      </c>
      <c r="AO42" s="185">
        <v>699</v>
      </c>
      <c r="AP42" s="182"/>
      <c r="AQ42" s="182"/>
      <c r="AR42" s="182"/>
    </row>
    <row r="43" spans="1:44">
      <c r="A43" s="140"/>
      <c r="B43" s="140"/>
      <c r="C43" s="140"/>
      <c r="D43" s="140" t="s">
        <v>934</v>
      </c>
      <c r="E43" s="140" t="s">
        <v>608</v>
      </c>
      <c r="F43" s="140" t="s">
        <v>609</v>
      </c>
      <c r="G43" s="140" t="s">
        <v>610</v>
      </c>
      <c r="H43" s="140" t="s">
        <v>234</v>
      </c>
      <c r="I43" s="140" t="s">
        <v>249</v>
      </c>
      <c r="J43" s="140" t="s">
        <v>612</v>
      </c>
      <c r="K43" s="140">
        <v>85086000</v>
      </c>
      <c r="L43" s="176">
        <f>VLOOKUP(E43,'Margin Calculation'!F:U,16,0)</f>
        <v>10.76</v>
      </c>
      <c r="M43" s="176">
        <f>VLOOKUP(E43,'Margin Calculation'!F:V,17,0)</f>
        <v>10.76</v>
      </c>
      <c r="N43" s="177">
        <f t="shared" si="15"/>
        <v>0.2152</v>
      </c>
      <c r="O43" s="178">
        <f>VLOOKUP(E43,'Margin Calculation'!F:X,19,0)</f>
        <v>2.4145440000000002</v>
      </c>
      <c r="P43" s="179">
        <f t="shared" si="0"/>
        <v>1178.297472</v>
      </c>
      <c r="Q43" s="180">
        <f t="shared" si="1"/>
        <v>1390.3910169599999</v>
      </c>
      <c r="R43" s="181">
        <f>VLOOKUP(E43,'Margin Calculation'!F:AA,22,0)</f>
        <v>112.455</v>
      </c>
      <c r="S43" s="182">
        <v>50</v>
      </c>
      <c r="T43" s="182">
        <v>107</v>
      </c>
      <c r="U43" s="182">
        <v>319.8</v>
      </c>
      <c r="V43" s="182">
        <f t="shared" si="27"/>
        <v>249.9</v>
      </c>
      <c r="W43" s="182">
        <f t="shared" si="3"/>
        <v>24.990000000000002</v>
      </c>
      <c r="X43" s="182">
        <f t="shared" si="4"/>
        <v>124.95</v>
      </c>
      <c r="Y43" s="182">
        <f t="shared" si="5"/>
        <v>49.980000000000004</v>
      </c>
      <c r="Z43" s="183">
        <f t="shared" si="6"/>
        <v>381.20338983050851</v>
      </c>
      <c r="AA43" s="182">
        <f t="shared" si="7"/>
        <v>124.95</v>
      </c>
      <c r="AB43" s="182">
        <f t="shared" si="8"/>
        <v>74.97</v>
      </c>
      <c r="AC43" s="179">
        <f t="shared" si="9"/>
        <v>2478.6958618305084</v>
      </c>
      <c r="AD43" s="183">
        <f t="shared" si="10"/>
        <v>20.30413816949158</v>
      </c>
      <c r="AE43" s="184">
        <f t="shared" si="11"/>
        <v>8.1249052298885873E-3</v>
      </c>
      <c r="AF43" s="183">
        <f>VLOOKUP(F43,AN:AO,2,0)</f>
        <v>2499</v>
      </c>
      <c r="AG43" s="183"/>
      <c r="AH43" s="183"/>
      <c r="AI43" s="183">
        <v>4299</v>
      </c>
      <c r="AJ43" s="179">
        <f t="shared" si="12"/>
        <v>939.49913816949152</v>
      </c>
      <c r="AK43" s="184">
        <f t="shared" si="13"/>
        <v>0.37595003528190934</v>
      </c>
      <c r="AL43" s="182">
        <v>8904422504899</v>
      </c>
      <c r="AM43" s="182"/>
      <c r="AN43" s="73" t="s">
        <v>816</v>
      </c>
      <c r="AO43" s="185">
        <v>1099</v>
      </c>
      <c r="AP43" s="182"/>
      <c r="AQ43" s="182"/>
      <c r="AR43" s="182"/>
    </row>
    <row r="44" spans="1:44">
      <c r="A44" s="140"/>
      <c r="B44" s="140"/>
      <c r="C44" s="140"/>
      <c r="D44" s="140" t="s">
        <v>934</v>
      </c>
      <c r="E44" s="140" t="s">
        <v>615</v>
      </c>
      <c r="F44" s="140" t="s">
        <v>616</v>
      </c>
      <c r="G44" s="140" t="s">
        <v>617</v>
      </c>
      <c r="H44" s="140" t="s">
        <v>314</v>
      </c>
      <c r="I44" s="140" t="s">
        <v>618</v>
      </c>
      <c r="J44" s="140" t="s">
        <v>620</v>
      </c>
      <c r="K44" s="140">
        <v>90191020</v>
      </c>
      <c r="L44" s="176">
        <f>VLOOKUP(E44,'Margin Calculation'!F:U,16,0)</f>
        <v>4.7</v>
      </c>
      <c r="M44" s="176">
        <f>VLOOKUP(E44,'Margin Calculation'!F:V,17,0)</f>
        <v>0</v>
      </c>
      <c r="N44" s="177">
        <f t="shared" si="15"/>
        <v>9.4E-2</v>
      </c>
      <c r="O44" s="178">
        <f>VLOOKUP(E44,'Margin Calculation'!F:X,19,0)</f>
        <v>0.52734000000000014</v>
      </c>
      <c r="P44" s="179">
        <f t="shared" si="0"/>
        <v>468.27792000000011</v>
      </c>
      <c r="Q44" s="180">
        <f t="shared" ref="Q44:Q45" si="28">P44*1.12</f>
        <v>524.47127040000021</v>
      </c>
      <c r="R44" s="181">
        <f>VLOOKUP(E44,'Margin Calculation'!F:AA,22,0)</f>
        <v>86.924999999999997</v>
      </c>
      <c r="S44" s="182">
        <v>50</v>
      </c>
      <c r="T44" s="182">
        <v>79</v>
      </c>
      <c r="U44" s="182">
        <v>233.9</v>
      </c>
      <c r="V44" s="182">
        <f t="shared" ref="V44:V45" si="29">AF44*20%</f>
        <v>255</v>
      </c>
      <c r="W44" s="182">
        <f t="shared" si="3"/>
        <v>12.75</v>
      </c>
      <c r="X44" s="182">
        <f t="shared" si="4"/>
        <v>63.75</v>
      </c>
      <c r="Y44" s="182">
        <f t="shared" si="5"/>
        <v>25.5</v>
      </c>
      <c r="Z44" s="183">
        <f t="shared" si="6"/>
        <v>194.49152542372872</v>
      </c>
      <c r="AA44" s="182">
        <f t="shared" si="7"/>
        <v>63.75</v>
      </c>
      <c r="AB44" s="182">
        <f t="shared" si="8"/>
        <v>38.25</v>
      </c>
      <c r="AC44" s="179">
        <f t="shared" si="9"/>
        <v>1337.6944454237289</v>
      </c>
      <c r="AD44" s="183">
        <f t="shared" si="10"/>
        <v>-62.694445423728894</v>
      </c>
      <c r="AE44" s="184">
        <f t="shared" si="11"/>
        <v>-4.9172114057826587E-2</v>
      </c>
      <c r="AF44" s="183">
        <v>1275</v>
      </c>
      <c r="AG44" s="183"/>
      <c r="AH44" s="183"/>
      <c r="AI44" s="183">
        <v>2499</v>
      </c>
      <c r="AJ44" s="179">
        <f t="shared" si="12"/>
        <v>612.23055457627117</v>
      </c>
      <c r="AK44" s="184">
        <f t="shared" si="13"/>
        <v>0.48018082711864407</v>
      </c>
      <c r="AL44" s="182">
        <v>8904422504929</v>
      </c>
      <c r="AM44" s="182"/>
      <c r="AN44" s="73" t="s">
        <v>811</v>
      </c>
      <c r="AO44" s="185">
        <v>1099</v>
      </c>
      <c r="AP44" s="182"/>
      <c r="AQ44" s="182"/>
      <c r="AR44" s="182"/>
    </row>
    <row r="45" spans="1:44">
      <c r="A45" s="140"/>
      <c r="B45" s="140"/>
      <c r="C45" s="140"/>
      <c r="D45" s="140" t="s">
        <v>934</v>
      </c>
      <c r="E45" s="140" t="s">
        <v>621</v>
      </c>
      <c r="F45" s="140" t="s">
        <v>622</v>
      </c>
      <c r="G45" s="140" t="s">
        <v>623</v>
      </c>
      <c r="H45" s="140" t="s">
        <v>314</v>
      </c>
      <c r="I45" s="140" t="s">
        <v>618</v>
      </c>
      <c r="J45" s="140" t="s">
        <v>624</v>
      </c>
      <c r="K45" s="140">
        <v>90191020</v>
      </c>
      <c r="L45" s="176">
        <f>VLOOKUP(E45,'Margin Calculation'!F:U,16,0)</f>
        <v>4.7</v>
      </c>
      <c r="M45" s="176">
        <f>VLOOKUP(E45,'Margin Calculation'!F:V,17,0)</f>
        <v>0</v>
      </c>
      <c r="N45" s="177">
        <f t="shared" si="15"/>
        <v>9.4E-2</v>
      </c>
      <c r="O45" s="178">
        <f>VLOOKUP(E45,'Margin Calculation'!F:X,19,0)</f>
        <v>0.52734000000000014</v>
      </c>
      <c r="P45" s="179">
        <f t="shared" si="0"/>
        <v>468.27792000000011</v>
      </c>
      <c r="Q45" s="180">
        <f t="shared" si="28"/>
        <v>524.47127040000021</v>
      </c>
      <c r="R45" s="181">
        <f>VLOOKUP(E45,'Margin Calculation'!F:AA,22,0)</f>
        <v>97.424999999999997</v>
      </c>
      <c r="S45" s="182">
        <v>50</v>
      </c>
      <c r="T45" s="182">
        <v>79</v>
      </c>
      <c r="U45" s="182">
        <v>220.4</v>
      </c>
      <c r="V45" s="182">
        <f t="shared" si="29"/>
        <v>259.8</v>
      </c>
      <c r="W45" s="182">
        <f t="shared" si="3"/>
        <v>12.99</v>
      </c>
      <c r="X45" s="182">
        <f t="shared" si="4"/>
        <v>64.95</v>
      </c>
      <c r="Y45" s="182">
        <f t="shared" si="5"/>
        <v>25.98</v>
      </c>
      <c r="Z45" s="183">
        <f t="shared" si="6"/>
        <v>198.15254237288127</v>
      </c>
      <c r="AA45" s="182">
        <f t="shared" si="7"/>
        <v>64.95</v>
      </c>
      <c r="AB45" s="182">
        <f t="shared" si="8"/>
        <v>38.97</v>
      </c>
      <c r="AC45" s="179">
        <f t="shared" si="9"/>
        <v>1360.4954623728815</v>
      </c>
      <c r="AD45" s="183">
        <f t="shared" si="10"/>
        <v>-61.495462372881548</v>
      </c>
      <c r="AE45" s="184">
        <f t="shared" si="11"/>
        <v>-4.7340617685051233E-2</v>
      </c>
      <c r="AF45" s="183">
        <v>1299</v>
      </c>
      <c r="AG45" s="183"/>
      <c r="AH45" s="183"/>
      <c r="AI45" s="183">
        <v>2499</v>
      </c>
      <c r="AJ45" s="179">
        <f t="shared" si="12"/>
        <v>632.56953762711862</v>
      </c>
      <c r="AK45" s="184">
        <f t="shared" si="13"/>
        <v>0.48696654166829761</v>
      </c>
      <c r="AL45" s="182">
        <v>8904422504936</v>
      </c>
      <c r="AM45" s="182"/>
      <c r="AN45" s="73" t="s">
        <v>820</v>
      </c>
      <c r="AO45" s="185">
        <v>15990</v>
      </c>
      <c r="AP45" s="182"/>
      <c r="AQ45" s="182"/>
      <c r="AR45" s="182"/>
    </row>
    <row r="46" spans="1:44">
      <c r="A46" s="140"/>
      <c r="B46" s="140"/>
      <c r="C46" s="140"/>
      <c r="D46" s="140" t="s">
        <v>934</v>
      </c>
      <c r="E46" s="140" t="s">
        <v>625</v>
      </c>
      <c r="F46" s="140" t="s">
        <v>626</v>
      </c>
      <c r="G46" s="140" t="s">
        <v>627</v>
      </c>
      <c r="H46" s="140" t="s">
        <v>628</v>
      </c>
      <c r="I46" s="140" t="s">
        <v>629</v>
      </c>
      <c r="J46" s="140" t="s">
        <v>631</v>
      </c>
      <c r="K46" s="140">
        <v>84148090</v>
      </c>
      <c r="L46" s="176">
        <f>VLOOKUP(E46,'Margin Calculation'!F:U,16,0)</f>
        <v>10.7</v>
      </c>
      <c r="M46" s="176">
        <f>VLOOKUP(E46,'Margin Calculation'!F:V,17,0)</f>
        <v>10.7</v>
      </c>
      <c r="N46" s="177">
        <f t="shared" si="15"/>
        <v>0.214</v>
      </c>
      <c r="O46" s="178">
        <f>VLOOKUP(E46,'Margin Calculation'!F:X,19,0)</f>
        <v>0.9004049999999999</v>
      </c>
      <c r="P46" s="179">
        <f t="shared" si="0"/>
        <v>1039.6676399999999</v>
      </c>
      <c r="Q46" s="180">
        <f t="shared" ref="Q46:Q68" si="30">P46*1.18</f>
        <v>1226.8078151999998</v>
      </c>
      <c r="R46" s="181">
        <f>VLOOKUP(E46,'Margin Calculation'!F:AA,22,0)</f>
        <v>298.87</v>
      </c>
      <c r="S46" s="182">
        <v>50</v>
      </c>
      <c r="T46" s="182">
        <v>80</v>
      </c>
      <c r="U46" s="182">
        <v>429.5</v>
      </c>
      <c r="V46" s="182">
        <f>AF46*10%</f>
        <v>229.9</v>
      </c>
      <c r="W46" s="182">
        <f t="shared" si="3"/>
        <v>22.990000000000002</v>
      </c>
      <c r="X46" s="182">
        <f t="shared" si="4"/>
        <v>114.95</v>
      </c>
      <c r="Y46" s="182">
        <f t="shared" si="5"/>
        <v>45.980000000000004</v>
      </c>
      <c r="Z46" s="183">
        <f t="shared" si="6"/>
        <v>350.69491525423723</v>
      </c>
      <c r="AA46" s="182">
        <f t="shared" si="7"/>
        <v>114.95</v>
      </c>
      <c r="AB46" s="182">
        <f t="shared" si="8"/>
        <v>68.97</v>
      </c>
      <c r="AC46" s="179">
        <f t="shared" si="9"/>
        <v>2416.9725552542372</v>
      </c>
      <c r="AD46" s="183">
        <f t="shared" si="10"/>
        <v>-117.97255525423725</v>
      </c>
      <c r="AE46" s="184">
        <f t="shared" si="11"/>
        <v>-5.1314726078398105E-2</v>
      </c>
      <c r="AF46" s="183">
        <f>VLOOKUP(F46,AN:AO,2,0)</f>
        <v>2299</v>
      </c>
      <c r="AG46" s="183"/>
      <c r="AH46" s="183"/>
      <c r="AI46" s="183">
        <v>4199</v>
      </c>
      <c r="AJ46" s="179">
        <f t="shared" si="12"/>
        <v>908.63744474576288</v>
      </c>
      <c r="AK46" s="184">
        <f t="shared" si="13"/>
        <v>0.39523159841051014</v>
      </c>
      <c r="AL46" s="182">
        <v>8904422504905</v>
      </c>
      <c r="AM46" s="182"/>
      <c r="AN46" s="73" t="s">
        <v>824</v>
      </c>
      <c r="AO46" s="185">
        <v>9999</v>
      </c>
      <c r="AP46" s="182"/>
      <c r="AQ46" s="182"/>
      <c r="AR46" s="182"/>
    </row>
    <row r="47" spans="1:44">
      <c r="A47" s="140"/>
      <c r="B47" s="140"/>
      <c r="C47" s="140"/>
      <c r="D47" s="140" t="s">
        <v>934</v>
      </c>
      <c r="E47" s="140" t="s">
        <v>632</v>
      </c>
      <c r="F47" s="140" t="s">
        <v>633</v>
      </c>
      <c r="G47" s="140" t="s">
        <v>634</v>
      </c>
      <c r="H47" s="140" t="s">
        <v>314</v>
      </c>
      <c r="I47" s="140" t="s">
        <v>444</v>
      </c>
      <c r="J47" s="140" t="s">
        <v>636</v>
      </c>
      <c r="K47" s="140">
        <v>85101000</v>
      </c>
      <c r="L47" s="176">
        <f>VLOOKUP(E47,'Margin Calculation'!F:U,16,0)</f>
        <v>3.7</v>
      </c>
      <c r="M47" s="176">
        <f>VLOOKUP(E47,'Margin Calculation'!F:V,17,0)</f>
        <v>3.7</v>
      </c>
      <c r="N47" s="177">
        <f t="shared" si="15"/>
        <v>7.400000000000001E-2</v>
      </c>
      <c r="O47" s="178">
        <f>VLOOKUP(E47,'Margin Calculation'!F:X,19,0)</f>
        <v>0.83028000000000013</v>
      </c>
      <c r="P47" s="179">
        <f t="shared" si="0"/>
        <v>405.17664000000002</v>
      </c>
      <c r="Q47" s="180">
        <f t="shared" si="30"/>
        <v>478.10843519999997</v>
      </c>
      <c r="R47" s="181">
        <f>VLOOKUP(E47,'Margin Calculation'!F:AA,22,0)</f>
        <v>62.930000000000007</v>
      </c>
      <c r="S47" s="182">
        <v>50</v>
      </c>
      <c r="T47" s="182">
        <v>60</v>
      </c>
      <c r="U47" s="182">
        <v>219.9</v>
      </c>
      <c r="V47" s="182">
        <f>AF47*20%</f>
        <v>158</v>
      </c>
      <c r="W47" s="182">
        <f t="shared" si="3"/>
        <v>7.9</v>
      </c>
      <c r="X47" s="182">
        <f t="shared" si="4"/>
        <v>39.5</v>
      </c>
      <c r="Y47" s="182">
        <f t="shared" si="5"/>
        <v>15.8</v>
      </c>
      <c r="Z47" s="183">
        <f t="shared" si="6"/>
        <v>120.50847457627117</v>
      </c>
      <c r="AA47" s="182">
        <f t="shared" si="7"/>
        <v>39.5</v>
      </c>
      <c r="AB47" s="182">
        <f t="shared" si="8"/>
        <v>23.7</v>
      </c>
      <c r="AC47" s="179">
        <f t="shared" si="9"/>
        <v>983.01511457627112</v>
      </c>
      <c r="AD47" s="183">
        <f t="shared" si="10"/>
        <v>-193.01511457627112</v>
      </c>
      <c r="AE47" s="184">
        <f t="shared" si="11"/>
        <v>-0.24432292984338116</v>
      </c>
      <c r="AF47" s="183">
        <v>790</v>
      </c>
      <c r="AG47" s="183"/>
      <c r="AH47" s="183"/>
      <c r="AI47" s="183">
        <v>1499</v>
      </c>
      <c r="AJ47" s="179">
        <f t="shared" si="12"/>
        <v>264.31488542372881</v>
      </c>
      <c r="AK47" s="184">
        <f t="shared" si="13"/>
        <v>0.33457580433383394</v>
      </c>
      <c r="AL47" s="182">
        <v>8904422504912</v>
      </c>
      <c r="AM47" s="182"/>
      <c r="AN47" s="73" t="s">
        <v>789</v>
      </c>
      <c r="AO47" s="185">
        <v>5699</v>
      </c>
      <c r="AP47" s="182"/>
      <c r="AQ47" s="182"/>
      <c r="AR47" s="182"/>
    </row>
    <row r="48" spans="1:44">
      <c r="A48" s="140"/>
      <c r="B48" s="140"/>
      <c r="C48" s="140"/>
      <c r="D48" s="140" t="s">
        <v>934</v>
      </c>
      <c r="E48" s="140" t="s">
        <v>947</v>
      </c>
      <c r="F48" s="140" t="s">
        <v>638</v>
      </c>
      <c r="G48" s="140" t="s">
        <v>639</v>
      </c>
      <c r="H48" s="140" t="s">
        <v>249</v>
      </c>
      <c r="I48" s="140"/>
      <c r="J48" s="140" t="s">
        <v>948</v>
      </c>
      <c r="K48" s="140">
        <v>85098000</v>
      </c>
      <c r="L48" s="176" t="e">
        <f>VLOOKUP(E48,'Margin Calculation'!F:U,16,0)</f>
        <v>#N/A</v>
      </c>
      <c r="M48" s="176" t="e">
        <f>VLOOKUP(E48,'Margin Calculation'!F:V,17,0)</f>
        <v>#N/A</v>
      </c>
      <c r="N48" s="177" t="e">
        <f t="shared" si="15"/>
        <v>#N/A</v>
      </c>
      <c r="O48" s="182" t="e">
        <f>VLOOKUP(E48,'Margin Calculation'!F:X,19,0)</f>
        <v>#N/A</v>
      </c>
      <c r="P48" s="179" t="e">
        <f t="shared" si="0"/>
        <v>#N/A</v>
      </c>
      <c r="Q48" s="180" t="e">
        <f t="shared" si="30"/>
        <v>#N/A</v>
      </c>
      <c r="R48" s="182" t="e">
        <f>VLOOKUP(E48,'Margin Calculation'!F:AA,22,0)</f>
        <v>#N/A</v>
      </c>
      <c r="S48" s="182">
        <v>60</v>
      </c>
      <c r="T48" s="182">
        <v>163</v>
      </c>
      <c r="U48" s="182">
        <v>450.8</v>
      </c>
      <c r="V48" s="182">
        <f>AF48*10%</f>
        <v>399.90000000000003</v>
      </c>
      <c r="W48" s="182">
        <f t="shared" si="3"/>
        <v>39.99</v>
      </c>
      <c r="X48" s="182">
        <f t="shared" si="4"/>
        <v>199.95000000000002</v>
      </c>
      <c r="Y48" s="182">
        <f t="shared" si="5"/>
        <v>79.98</v>
      </c>
      <c r="Z48" s="183">
        <f t="shared" si="6"/>
        <v>610.01694915254211</v>
      </c>
      <c r="AA48" s="182">
        <f t="shared" si="7"/>
        <v>199.95000000000002</v>
      </c>
      <c r="AB48" s="182">
        <f t="shared" si="8"/>
        <v>119.97</v>
      </c>
      <c r="AC48" s="182" t="e">
        <f t="shared" si="9"/>
        <v>#N/A</v>
      </c>
      <c r="AD48" s="182" t="e">
        <f t="shared" si="10"/>
        <v>#N/A</v>
      </c>
      <c r="AE48" s="184" t="e">
        <f t="shared" si="11"/>
        <v>#N/A</v>
      </c>
      <c r="AF48" s="183">
        <v>3999</v>
      </c>
      <c r="AG48" s="183"/>
      <c r="AH48" s="183"/>
      <c r="AI48" s="183">
        <v>7499</v>
      </c>
      <c r="AJ48" s="179" t="e">
        <f t="shared" si="12"/>
        <v>#N/A</v>
      </c>
      <c r="AK48" s="184" t="e">
        <f t="shared" si="13"/>
        <v>#N/A</v>
      </c>
      <c r="AL48" s="182">
        <v>8904422504943</v>
      </c>
      <c r="AM48" s="182"/>
      <c r="AN48" s="73" t="s">
        <v>798</v>
      </c>
      <c r="AO48" s="185">
        <v>1899</v>
      </c>
      <c r="AP48" s="182"/>
      <c r="AQ48" s="182"/>
      <c r="AR48" s="182"/>
    </row>
    <row r="49" spans="1:44">
      <c r="A49" s="140"/>
      <c r="B49" s="140"/>
      <c r="C49" s="140"/>
      <c r="D49" s="140" t="s">
        <v>934</v>
      </c>
      <c r="E49" s="140" t="s">
        <v>642</v>
      </c>
      <c r="F49" s="140" t="s">
        <v>643</v>
      </c>
      <c r="G49" s="140" t="s">
        <v>644</v>
      </c>
      <c r="H49" s="140" t="s">
        <v>314</v>
      </c>
      <c r="I49" s="140" t="s">
        <v>437</v>
      </c>
      <c r="J49" s="140" t="s">
        <v>645</v>
      </c>
      <c r="K49" s="140">
        <v>85437093</v>
      </c>
      <c r="L49" s="176">
        <f>VLOOKUP(E49,'Margin Calculation'!F:U,16,0)</f>
        <v>5</v>
      </c>
      <c r="M49" s="176">
        <f>VLOOKUP(E49,'Margin Calculation'!F:V,17,0)</f>
        <v>5</v>
      </c>
      <c r="N49" s="177">
        <f t="shared" si="15"/>
        <v>0.1</v>
      </c>
      <c r="O49" s="178">
        <f>VLOOKUP(E49,'Margin Calculation'!F:X,19,0)</f>
        <v>0.56100000000000005</v>
      </c>
      <c r="P49" s="179">
        <f t="shared" si="0"/>
        <v>498.16799999999995</v>
      </c>
      <c r="Q49" s="180">
        <f t="shared" si="30"/>
        <v>587.83823999999993</v>
      </c>
      <c r="R49" s="181">
        <f>VLOOKUP(E49,'Margin Calculation'!F:AA,22,0)</f>
        <v>217.35499999999999</v>
      </c>
      <c r="S49" s="182">
        <v>50</v>
      </c>
      <c r="T49" s="182">
        <v>59</v>
      </c>
      <c r="U49" s="182">
        <v>225.2</v>
      </c>
      <c r="V49" s="182">
        <f>AF49*20%</f>
        <v>299.8</v>
      </c>
      <c r="W49" s="182">
        <f t="shared" si="3"/>
        <v>14.99</v>
      </c>
      <c r="X49" s="182">
        <f t="shared" si="4"/>
        <v>74.95</v>
      </c>
      <c r="Y49" s="182">
        <f t="shared" si="5"/>
        <v>29.98</v>
      </c>
      <c r="Z49" s="183">
        <f t="shared" si="6"/>
        <v>228.66101694915255</v>
      </c>
      <c r="AA49" s="182">
        <f t="shared" si="7"/>
        <v>74.95</v>
      </c>
      <c r="AB49" s="182">
        <f t="shared" si="8"/>
        <v>44.97</v>
      </c>
      <c r="AC49" s="179">
        <f t="shared" si="9"/>
        <v>1592.8240169491526</v>
      </c>
      <c r="AD49" s="183">
        <f t="shared" si="10"/>
        <v>-93.824016949152565</v>
      </c>
      <c r="AE49" s="184">
        <f t="shared" si="11"/>
        <v>-6.2591072014111113E-2</v>
      </c>
      <c r="AF49" s="183">
        <v>1499</v>
      </c>
      <c r="AG49" s="183"/>
      <c r="AH49" s="183"/>
      <c r="AI49" s="183">
        <v>2499</v>
      </c>
      <c r="AJ49" s="179">
        <f t="shared" si="12"/>
        <v>772.17098305084755</v>
      </c>
      <c r="AK49" s="184">
        <f t="shared" si="13"/>
        <v>0.51512407141484162</v>
      </c>
      <c r="AL49" s="182">
        <v>8904422505131</v>
      </c>
      <c r="AM49" s="182"/>
      <c r="AN49" s="73" t="s">
        <v>803</v>
      </c>
      <c r="AO49" s="185">
        <v>1999</v>
      </c>
      <c r="AP49" s="182"/>
      <c r="AQ49" s="182"/>
      <c r="AR49" s="182"/>
    </row>
    <row r="50" spans="1:44">
      <c r="A50" s="140"/>
      <c r="B50" s="140"/>
      <c r="C50" s="140"/>
      <c r="D50" s="140" t="s">
        <v>934</v>
      </c>
      <c r="E50" s="140" t="s">
        <v>646</v>
      </c>
      <c r="F50" s="140" t="s">
        <v>647</v>
      </c>
      <c r="G50" s="140" t="s">
        <v>648</v>
      </c>
      <c r="H50" s="140" t="s">
        <v>628</v>
      </c>
      <c r="I50" s="140" t="s">
        <v>629</v>
      </c>
      <c r="J50" s="140" t="s">
        <v>949</v>
      </c>
      <c r="K50" s="140">
        <v>84148090</v>
      </c>
      <c r="L50" s="176">
        <f>VLOOKUP(E50,'Margin Calculation'!F:U,16,0)</f>
        <v>7</v>
      </c>
      <c r="M50" s="176">
        <f>VLOOKUP(E50,'Margin Calculation'!F:V,17,0)</f>
        <v>7.4</v>
      </c>
      <c r="N50" s="177">
        <f t="shared" si="15"/>
        <v>0.14000000000000001</v>
      </c>
      <c r="O50" s="178">
        <f>VLOOKUP(E50,'Margin Calculation'!F:X,19,0)</f>
        <v>0.58904999999999985</v>
      </c>
      <c r="P50" s="179">
        <f t="shared" si="0"/>
        <v>680.15639999999996</v>
      </c>
      <c r="Q50" s="180">
        <f t="shared" si="30"/>
        <v>802.58455199999992</v>
      </c>
      <c r="R50" s="181">
        <f>VLOOKUP(E50,'Margin Calculation'!F:AA,22,0)</f>
        <v>209.85</v>
      </c>
      <c r="S50" s="182">
        <v>50</v>
      </c>
      <c r="T50" s="182">
        <v>80</v>
      </c>
      <c r="U50" s="182">
        <v>354.9</v>
      </c>
      <c r="V50" s="182">
        <f t="shared" ref="V50:V53" si="31">AF50*10%</f>
        <v>149.9</v>
      </c>
      <c r="W50" s="182">
        <f t="shared" si="3"/>
        <v>14.99</v>
      </c>
      <c r="X50" s="182">
        <f t="shared" si="4"/>
        <v>74.95</v>
      </c>
      <c r="Y50" s="182">
        <f t="shared" si="5"/>
        <v>29.98</v>
      </c>
      <c r="Z50" s="183">
        <f t="shared" si="6"/>
        <v>228.66101694915255</v>
      </c>
      <c r="AA50" s="182">
        <f t="shared" si="7"/>
        <v>74.95</v>
      </c>
      <c r="AB50" s="182">
        <f t="shared" si="8"/>
        <v>44.97</v>
      </c>
      <c r="AC50" s="179">
        <f t="shared" si="9"/>
        <v>1638.4074169491528</v>
      </c>
      <c r="AD50" s="183">
        <f t="shared" si="10"/>
        <v>-139.40741694915278</v>
      </c>
      <c r="AE50" s="184">
        <f t="shared" si="11"/>
        <v>-9.3000278151536206E-2</v>
      </c>
      <c r="AF50" s="183">
        <f t="shared" ref="AF50:AF53" si="32">VLOOKUP(F50,AN:AO,2,0)</f>
        <v>1499</v>
      </c>
      <c r="AG50" s="183"/>
      <c r="AH50" s="183"/>
      <c r="AI50" s="183">
        <v>2799</v>
      </c>
      <c r="AJ50" s="179">
        <f t="shared" si="12"/>
        <v>590.18258305084748</v>
      </c>
      <c r="AK50" s="184">
        <f t="shared" si="13"/>
        <v>0.39371753372304702</v>
      </c>
      <c r="AL50" s="182">
        <v>8904422505100</v>
      </c>
      <c r="AM50" s="182"/>
      <c r="AN50" s="73" t="s">
        <v>836</v>
      </c>
      <c r="AO50" s="185">
        <v>1499</v>
      </c>
      <c r="AP50" s="182"/>
      <c r="AQ50" s="182"/>
      <c r="AR50" s="182"/>
    </row>
    <row r="51" spans="1:44">
      <c r="A51" s="140"/>
      <c r="B51" s="140"/>
      <c r="C51" s="140"/>
      <c r="D51" s="140" t="s">
        <v>934</v>
      </c>
      <c r="E51" s="140" t="s">
        <v>651</v>
      </c>
      <c r="F51" s="140" t="s">
        <v>652</v>
      </c>
      <c r="G51" s="140" t="s">
        <v>653</v>
      </c>
      <c r="H51" s="140" t="s">
        <v>628</v>
      </c>
      <c r="I51" s="140" t="s">
        <v>629</v>
      </c>
      <c r="J51" s="140" t="s">
        <v>654</v>
      </c>
      <c r="K51" s="140">
        <v>84148090</v>
      </c>
      <c r="L51" s="176">
        <f>VLOOKUP(E51,'Margin Calculation'!F:U,16,0)</f>
        <v>7</v>
      </c>
      <c r="M51" s="176">
        <f>VLOOKUP(E51,'Margin Calculation'!F:V,17,0)</f>
        <v>7</v>
      </c>
      <c r="N51" s="177">
        <f t="shared" si="15"/>
        <v>0.14000000000000001</v>
      </c>
      <c r="O51" s="178">
        <f>VLOOKUP(E51,'Margin Calculation'!F:X,19,0)</f>
        <v>0.58904999999999985</v>
      </c>
      <c r="P51" s="179">
        <f t="shared" si="0"/>
        <v>680.15639999999996</v>
      </c>
      <c r="Q51" s="180">
        <f t="shared" si="30"/>
        <v>802.58455199999992</v>
      </c>
      <c r="R51" s="181">
        <f>VLOOKUP(E51,'Margin Calculation'!F:AA,22,0)</f>
        <v>253.37</v>
      </c>
      <c r="S51" s="182">
        <v>50</v>
      </c>
      <c r="T51" s="182">
        <v>76</v>
      </c>
      <c r="U51" s="182">
        <v>372.9</v>
      </c>
      <c r="V51" s="182">
        <f t="shared" si="31"/>
        <v>194.9</v>
      </c>
      <c r="W51" s="182">
        <f t="shared" si="3"/>
        <v>19.490000000000002</v>
      </c>
      <c r="X51" s="182">
        <f t="shared" si="4"/>
        <v>97.45</v>
      </c>
      <c r="Y51" s="182">
        <f t="shared" si="5"/>
        <v>38.980000000000004</v>
      </c>
      <c r="Z51" s="183">
        <f t="shared" si="6"/>
        <v>297.30508474576254</v>
      </c>
      <c r="AA51" s="182">
        <f t="shared" si="7"/>
        <v>97.45</v>
      </c>
      <c r="AB51" s="182">
        <f t="shared" si="8"/>
        <v>58.47</v>
      </c>
      <c r="AC51" s="179">
        <f t="shared" si="9"/>
        <v>1863.5714847457627</v>
      </c>
      <c r="AD51" s="183">
        <f t="shared" si="10"/>
        <v>85.428515254237254</v>
      </c>
      <c r="AE51" s="184">
        <f t="shared" si="11"/>
        <v>4.3831972937012444E-2</v>
      </c>
      <c r="AF51" s="183">
        <f t="shared" si="32"/>
        <v>1949</v>
      </c>
      <c r="AG51" s="183"/>
      <c r="AH51" s="183"/>
      <c r="AI51" s="183">
        <v>3699</v>
      </c>
      <c r="AJ51" s="179">
        <f t="shared" si="12"/>
        <v>971.53851525423761</v>
      </c>
      <c r="AK51" s="184">
        <f t="shared" si="13"/>
        <v>0.49848051064865961</v>
      </c>
      <c r="AL51" s="182">
        <v>8904422505117</v>
      </c>
      <c r="AM51" s="182"/>
      <c r="AN51" s="73" t="s">
        <v>840</v>
      </c>
      <c r="AO51" s="185">
        <v>1099</v>
      </c>
      <c r="AP51" s="182"/>
      <c r="AQ51" s="182"/>
      <c r="AR51" s="182"/>
    </row>
    <row r="52" spans="1:44">
      <c r="A52" s="140"/>
      <c r="B52" s="140"/>
      <c r="C52" s="140"/>
      <c r="D52" s="140" t="s">
        <v>934</v>
      </c>
      <c r="E52" s="140" t="s">
        <v>655</v>
      </c>
      <c r="F52" s="140" t="s">
        <v>656</v>
      </c>
      <c r="G52" s="140" t="s">
        <v>657</v>
      </c>
      <c r="H52" s="140" t="s">
        <v>628</v>
      </c>
      <c r="I52" s="140" t="s">
        <v>629</v>
      </c>
      <c r="J52" s="140" t="s">
        <v>658</v>
      </c>
      <c r="K52" s="140">
        <v>84148090</v>
      </c>
      <c r="L52" s="176">
        <f>VLOOKUP(E52,'Margin Calculation'!F:U,16,0)</f>
        <v>9.42</v>
      </c>
      <c r="M52" s="176">
        <f>VLOOKUP(E52,'Margin Calculation'!F:V,17,0)</f>
        <v>12</v>
      </c>
      <c r="N52" s="177">
        <f t="shared" si="15"/>
        <v>0.18840000000000001</v>
      </c>
      <c r="O52" s="178">
        <f>VLOOKUP(E52,'Margin Calculation'!F:X,19,0)</f>
        <v>0.79269299999999987</v>
      </c>
      <c r="P52" s="179">
        <f t="shared" si="0"/>
        <v>915.29618399999993</v>
      </c>
      <c r="Q52" s="180">
        <f t="shared" si="30"/>
        <v>1080.0494971199998</v>
      </c>
      <c r="R52" s="181">
        <f>VLOOKUP(E52,'Margin Calculation'!F:AA,22,0)</f>
        <v>344.84999999999997</v>
      </c>
      <c r="S52" s="182">
        <v>50</v>
      </c>
      <c r="T52" s="182">
        <v>80</v>
      </c>
      <c r="U52" s="182">
        <v>474.9</v>
      </c>
      <c r="V52" s="182">
        <f t="shared" si="31"/>
        <v>229.9</v>
      </c>
      <c r="W52" s="182">
        <f t="shared" si="3"/>
        <v>22.990000000000002</v>
      </c>
      <c r="X52" s="182">
        <f t="shared" si="4"/>
        <v>114.95</v>
      </c>
      <c r="Y52" s="182">
        <f t="shared" si="5"/>
        <v>45.980000000000004</v>
      </c>
      <c r="Z52" s="183">
        <f t="shared" si="6"/>
        <v>350.69491525423723</v>
      </c>
      <c r="AA52" s="182">
        <f t="shared" si="7"/>
        <v>114.95</v>
      </c>
      <c r="AB52" s="182">
        <f t="shared" si="8"/>
        <v>68.97</v>
      </c>
      <c r="AC52" s="179">
        <f t="shared" si="9"/>
        <v>2338.581099254237</v>
      </c>
      <c r="AD52" s="183">
        <f t="shared" si="10"/>
        <v>-39.58109925423696</v>
      </c>
      <c r="AE52" s="184">
        <f t="shared" si="11"/>
        <v>-1.7216659092752048E-2</v>
      </c>
      <c r="AF52" s="183">
        <f t="shared" si="32"/>
        <v>2299</v>
      </c>
      <c r="AG52" s="183"/>
      <c r="AH52" s="183"/>
      <c r="AI52" s="183">
        <v>4699</v>
      </c>
      <c r="AJ52" s="179">
        <f t="shared" si="12"/>
        <v>1033.008900745763</v>
      </c>
      <c r="AK52" s="184">
        <f t="shared" si="13"/>
        <v>0.44932966539615615</v>
      </c>
      <c r="AL52" s="182">
        <v>8904422505124</v>
      </c>
      <c r="AM52" s="182"/>
      <c r="AN52" s="73" t="s">
        <v>844</v>
      </c>
      <c r="AO52" s="185">
        <v>2299</v>
      </c>
      <c r="AP52" s="182"/>
      <c r="AQ52" s="182"/>
      <c r="AR52" s="182"/>
    </row>
    <row r="53" spans="1:44">
      <c r="A53" s="140"/>
      <c r="B53" s="140"/>
      <c r="C53" s="140"/>
      <c r="D53" s="140" t="s">
        <v>934</v>
      </c>
      <c r="E53" s="140" t="s">
        <v>659</v>
      </c>
      <c r="F53" s="140" t="s">
        <v>660</v>
      </c>
      <c r="G53" s="140" t="s">
        <v>661</v>
      </c>
      <c r="H53" s="140" t="s">
        <v>234</v>
      </c>
      <c r="I53" s="140" t="s">
        <v>249</v>
      </c>
      <c r="J53" s="140" t="s">
        <v>662</v>
      </c>
      <c r="K53" s="140">
        <v>85086000</v>
      </c>
      <c r="L53" s="176">
        <f>VLOOKUP(E53,'Margin Calculation'!F:U,16,0)</f>
        <v>6.73</v>
      </c>
      <c r="M53" s="176">
        <f>VLOOKUP(E53,'Margin Calculation'!F:V,17,0)</f>
        <v>6.73</v>
      </c>
      <c r="N53" s="177">
        <f t="shared" si="15"/>
        <v>0.13460000000000003</v>
      </c>
      <c r="O53" s="178">
        <f>VLOOKUP(E53,'Margin Calculation'!F:X,19,0)</f>
        <v>1.5102120000000003</v>
      </c>
      <c r="P53" s="179">
        <f t="shared" si="0"/>
        <v>736.98345600000005</v>
      </c>
      <c r="Q53" s="180">
        <f t="shared" si="30"/>
        <v>869.64047807999998</v>
      </c>
      <c r="R53" s="181">
        <f>VLOOKUP(E53,'Margin Calculation'!F:AA,22,0)</f>
        <v>89.954999999999998</v>
      </c>
      <c r="S53" s="182">
        <v>50</v>
      </c>
      <c r="T53" s="182">
        <v>107</v>
      </c>
      <c r="U53" s="182">
        <v>286.89999999999998</v>
      </c>
      <c r="V53" s="182">
        <f t="shared" si="31"/>
        <v>199.9</v>
      </c>
      <c r="W53" s="182">
        <f t="shared" si="3"/>
        <v>19.990000000000002</v>
      </c>
      <c r="X53" s="182">
        <f t="shared" si="4"/>
        <v>99.95</v>
      </c>
      <c r="Y53" s="182">
        <f t="shared" si="5"/>
        <v>39.980000000000004</v>
      </c>
      <c r="Z53" s="183">
        <f t="shared" si="6"/>
        <v>304.93220338983042</v>
      </c>
      <c r="AA53" s="182">
        <f t="shared" si="7"/>
        <v>99.95</v>
      </c>
      <c r="AB53" s="182">
        <f t="shared" si="8"/>
        <v>59.97</v>
      </c>
      <c r="AC53" s="179">
        <f t="shared" si="9"/>
        <v>1808.6106593898307</v>
      </c>
      <c r="AD53" s="183">
        <f t="shared" si="10"/>
        <v>190.38934061016926</v>
      </c>
      <c r="AE53" s="184">
        <f t="shared" si="11"/>
        <v>9.5242291450810035E-2</v>
      </c>
      <c r="AF53" s="183">
        <f t="shared" si="32"/>
        <v>1999</v>
      </c>
      <c r="AG53" s="183"/>
      <c r="AH53" s="183"/>
      <c r="AI53" s="183">
        <v>3999</v>
      </c>
      <c r="AJ53" s="179">
        <f t="shared" si="12"/>
        <v>957.08434061016965</v>
      </c>
      <c r="AK53" s="184">
        <f t="shared" si="13"/>
        <v>0.47878156108562764</v>
      </c>
      <c r="AL53" s="182">
        <v>8904422505001</v>
      </c>
      <c r="AM53" s="182"/>
      <c r="AN53" s="73" t="s">
        <v>848</v>
      </c>
      <c r="AO53" s="185">
        <v>9999</v>
      </c>
      <c r="AP53" s="182"/>
      <c r="AQ53" s="182"/>
      <c r="AR53" s="182"/>
    </row>
    <row r="54" spans="1:44">
      <c r="A54" s="140"/>
      <c r="B54" s="140"/>
      <c r="C54" s="140"/>
      <c r="D54" s="140" t="s">
        <v>934</v>
      </c>
      <c r="E54" s="140" t="s">
        <v>663</v>
      </c>
      <c r="F54" s="140" t="s">
        <v>664</v>
      </c>
      <c r="G54" s="140" t="s">
        <v>665</v>
      </c>
      <c r="H54" s="140" t="s">
        <v>314</v>
      </c>
      <c r="I54" s="140" t="s">
        <v>444</v>
      </c>
      <c r="J54" s="140" t="s">
        <v>667</v>
      </c>
      <c r="K54" s="140">
        <v>85101000</v>
      </c>
      <c r="L54" s="176">
        <f>VLOOKUP(E54,'Margin Calculation'!F:U,16,0)</f>
        <v>10</v>
      </c>
      <c r="M54" s="176">
        <f>VLOOKUP(E54,'Margin Calculation'!F:V,17,0)</f>
        <v>10</v>
      </c>
      <c r="N54" s="177">
        <f t="shared" si="15"/>
        <v>0.2</v>
      </c>
      <c r="O54" s="178">
        <f>VLOOKUP(E54,'Margin Calculation'!F:X,19,0)</f>
        <v>2.2440000000000002</v>
      </c>
      <c r="P54" s="179">
        <f t="shared" si="0"/>
        <v>1095.0719999999999</v>
      </c>
      <c r="Q54" s="180">
        <f t="shared" si="30"/>
        <v>1292.1849599999998</v>
      </c>
      <c r="R54" s="181">
        <f>VLOOKUP(E54,'Margin Calculation'!F:AA,22,0)</f>
        <v>268.755</v>
      </c>
      <c r="S54" s="182">
        <v>50</v>
      </c>
      <c r="T54" s="182">
        <v>60</v>
      </c>
      <c r="U54" s="182">
        <v>379.9</v>
      </c>
      <c r="V54" s="182">
        <f>AF54*20%</f>
        <v>439.8</v>
      </c>
      <c r="W54" s="182">
        <f t="shared" si="3"/>
        <v>21.990000000000002</v>
      </c>
      <c r="X54" s="182">
        <f t="shared" si="4"/>
        <v>109.95</v>
      </c>
      <c r="Y54" s="182">
        <f t="shared" si="5"/>
        <v>43.980000000000004</v>
      </c>
      <c r="Z54" s="183">
        <f t="shared" si="6"/>
        <v>335.4406779661017</v>
      </c>
      <c r="AA54" s="182">
        <f t="shared" si="7"/>
        <v>109.95</v>
      </c>
      <c r="AB54" s="182">
        <f t="shared" si="8"/>
        <v>65.97</v>
      </c>
      <c r="AC54" s="179">
        <f t="shared" si="9"/>
        <v>2600.9076779661009</v>
      </c>
      <c r="AD54" s="183">
        <f t="shared" si="10"/>
        <v>-401.90767796610089</v>
      </c>
      <c r="AE54" s="184">
        <f t="shared" si="11"/>
        <v>-0.18276838470491172</v>
      </c>
      <c r="AF54" s="183">
        <v>2199</v>
      </c>
      <c r="AG54" s="183"/>
      <c r="AH54" s="183"/>
      <c r="AI54" s="183">
        <v>3999</v>
      </c>
      <c r="AJ54" s="179">
        <f t="shared" si="12"/>
        <v>768.48732203389841</v>
      </c>
      <c r="AK54" s="184">
        <f t="shared" si="13"/>
        <v>0.34947126968344627</v>
      </c>
      <c r="AL54" s="182">
        <v>8904422505018</v>
      </c>
      <c r="AM54" s="182"/>
      <c r="AN54" s="73" t="s">
        <v>852</v>
      </c>
      <c r="AO54" s="185">
        <v>5499</v>
      </c>
      <c r="AP54" s="182"/>
      <c r="AQ54" s="182"/>
      <c r="AR54" s="182"/>
    </row>
    <row r="55" spans="1:44">
      <c r="A55" s="140"/>
      <c r="B55" s="140"/>
      <c r="C55" s="140"/>
      <c r="D55" s="140" t="s">
        <v>934</v>
      </c>
      <c r="E55" s="140" t="s">
        <v>668</v>
      </c>
      <c r="F55" s="140" t="s">
        <v>944</v>
      </c>
      <c r="G55" s="140" t="s">
        <v>670</v>
      </c>
      <c r="H55" s="140" t="s">
        <v>671</v>
      </c>
      <c r="I55" s="140" t="s">
        <v>950</v>
      </c>
      <c r="J55" s="140" t="s">
        <v>673</v>
      </c>
      <c r="K55" s="140">
        <v>85167100</v>
      </c>
      <c r="L55" s="176">
        <f>VLOOKUP(E55,'Margin Calculation'!F:U,16,0)</f>
        <v>5.2</v>
      </c>
      <c r="M55" s="176">
        <f>VLOOKUP(E55,'Margin Calculation'!F:V,17,0)</f>
        <v>5.2</v>
      </c>
      <c r="N55" s="177">
        <f t="shared" si="15"/>
        <v>0.10400000000000001</v>
      </c>
      <c r="O55" s="178">
        <f>VLOOKUP(E55,'Margin Calculation'!F:X,19,0)</f>
        <v>1.1668800000000001</v>
      </c>
      <c r="P55" s="179">
        <f t="shared" si="0"/>
        <v>569.43744000000004</v>
      </c>
      <c r="Q55" s="180">
        <f t="shared" si="30"/>
        <v>671.93617919999997</v>
      </c>
      <c r="R55" s="181">
        <f>VLOOKUP(E55,'Margin Calculation'!F:AA,22,0)</f>
        <v>67.454999999999998</v>
      </c>
      <c r="S55" s="182">
        <v>50</v>
      </c>
      <c r="T55" s="182">
        <v>153</v>
      </c>
      <c r="U55" s="182">
        <v>300.39999999999998</v>
      </c>
      <c r="V55" s="182">
        <f>AF55*10%</f>
        <v>149.9</v>
      </c>
      <c r="W55" s="182">
        <f t="shared" si="3"/>
        <v>14.99</v>
      </c>
      <c r="X55" s="182">
        <f t="shared" si="4"/>
        <v>74.95</v>
      </c>
      <c r="Y55" s="182">
        <f t="shared" si="5"/>
        <v>29.98</v>
      </c>
      <c r="Z55" s="183">
        <f t="shared" si="6"/>
        <v>228.66101694915255</v>
      </c>
      <c r="AA55" s="182">
        <f t="shared" si="7"/>
        <v>74.95</v>
      </c>
      <c r="AB55" s="182">
        <f t="shared" si="8"/>
        <v>44.97</v>
      </c>
      <c r="AC55" s="179">
        <f t="shared" si="9"/>
        <v>1458.2934569491526</v>
      </c>
      <c r="AD55" s="183">
        <f t="shared" si="10"/>
        <v>40.706543050847358</v>
      </c>
      <c r="AE55" s="184">
        <f t="shared" si="11"/>
        <v>2.7155799233387165E-2</v>
      </c>
      <c r="AF55" s="183">
        <f>VLOOKUP(F55,AN:AO,2,0)</f>
        <v>1499</v>
      </c>
      <c r="AG55" s="183"/>
      <c r="AH55" s="183"/>
      <c r="AI55" s="183">
        <v>2699</v>
      </c>
      <c r="AJ55" s="179">
        <f t="shared" si="12"/>
        <v>700.90154305084741</v>
      </c>
      <c r="AK55" s="184">
        <f t="shared" si="13"/>
        <v>0.46757941497721639</v>
      </c>
      <c r="AL55" s="182">
        <v>8904422505179</v>
      </c>
      <c r="AM55" s="182"/>
      <c r="AN55" s="73" t="s">
        <v>856</v>
      </c>
      <c r="AO55" s="185">
        <v>1799</v>
      </c>
      <c r="AP55" s="182"/>
      <c r="AQ55" s="182"/>
      <c r="AR55" s="182"/>
    </row>
    <row r="56" spans="1:44">
      <c r="A56" s="140"/>
      <c r="B56" s="140"/>
      <c r="C56" s="140"/>
      <c r="D56" s="140" t="s">
        <v>934</v>
      </c>
      <c r="E56" s="140" t="s">
        <v>675</v>
      </c>
      <c r="F56" s="140" t="s">
        <v>676</v>
      </c>
      <c r="G56" s="140" t="s">
        <v>677</v>
      </c>
      <c r="H56" s="140" t="s">
        <v>314</v>
      </c>
      <c r="I56" s="140"/>
      <c r="J56" s="140" t="s">
        <v>678</v>
      </c>
      <c r="K56" s="140">
        <v>85101000</v>
      </c>
      <c r="L56" s="176">
        <f>VLOOKUP(E56,'Margin Calculation'!F:U,16,0)</f>
        <v>4.55</v>
      </c>
      <c r="M56" s="176">
        <f>VLOOKUP(E56,'Margin Calculation'!F:V,17,0)</f>
        <v>4.55</v>
      </c>
      <c r="N56" s="177">
        <f t="shared" si="15"/>
        <v>9.0999999999999998E-2</v>
      </c>
      <c r="O56" s="178">
        <f>VLOOKUP(E56,'Margin Calculation'!F:X,19,0)</f>
        <v>1.02102</v>
      </c>
      <c r="P56" s="179">
        <f t="shared" si="0"/>
        <v>498.25776000000002</v>
      </c>
      <c r="Q56" s="180">
        <f t="shared" si="30"/>
        <v>587.94415679999997</v>
      </c>
      <c r="R56" s="181">
        <f>VLOOKUP(E56,'Margin Calculation'!F:AA,22,0)</f>
        <v>103.455</v>
      </c>
      <c r="S56" s="182">
        <v>50</v>
      </c>
      <c r="T56" s="182">
        <v>60</v>
      </c>
      <c r="U56" s="182">
        <v>286.39999999999998</v>
      </c>
      <c r="V56" s="182">
        <f t="shared" ref="V56:V57" si="33">AF56*20%</f>
        <v>226.60000000000002</v>
      </c>
      <c r="W56" s="182">
        <f t="shared" si="3"/>
        <v>11.33</v>
      </c>
      <c r="X56" s="182">
        <f t="shared" si="4"/>
        <v>56.650000000000006</v>
      </c>
      <c r="Y56" s="182">
        <f t="shared" si="5"/>
        <v>22.66</v>
      </c>
      <c r="Z56" s="183">
        <f t="shared" si="6"/>
        <v>172.83050847457628</v>
      </c>
      <c r="AA56" s="182">
        <f t="shared" si="7"/>
        <v>56.650000000000006</v>
      </c>
      <c r="AB56" s="182">
        <f t="shared" si="8"/>
        <v>33.99</v>
      </c>
      <c r="AC56" s="179">
        <f t="shared" si="9"/>
        <v>1292.4232684745764</v>
      </c>
      <c r="AD56" s="183">
        <f t="shared" si="10"/>
        <v>-159.42326847457639</v>
      </c>
      <c r="AE56" s="184">
        <f t="shared" si="11"/>
        <v>-0.1407089748231036</v>
      </c>
      <c r="AF56" s="183">
        <v>1133</v>
      </c>
      <c r="AG56" s="183"/>
      <c r="AH56" s="183"/>
      <c r="AI56" s="183">
        <v>1999</v>
      </c>
      <c r="AJ56" s="179">
        <f t="shared" si="12"/>
        <v>461.91173152542376</v>
      </c>
      <c r="AK56" s="184">
        <f t="shared" si="13"/>
        <v>0.4076890834293237</v>
      </c>
      <c r="AL56" s="182">
        <v>8904422505094</v>
      </c>
      <c r="AM56" s="182"/>
      <c r="AN56" s="73" t="s">
        <v>860</v>
      </c>
      <c r="AO56" s="185">
        <v>3598</v>
      </c>
      <c r="AP56" s="182"/>
      <c r="AQ56" s="182"/>
      <c r="AR56" s="182"/>
    </row>
    <row r="57" spans="1:44">
      <c r="A57" s="140"/>
      <c r="B57" s="140"/>
      <c r="C57" s="140"/>
      <c r="D57" s="140" t="s">
        <v>934</v>
      </c>
      <c r="E57" s="140" t="s">
        <v>679</v>
      </c>
      <c r="F57" s="140" t="s">
        <v>680</v>
      </c>
      <c r="G57" s="140" t="s">
        <v>681</v>
      </c>
      <c r="H57" s="140" t="s">
        <v>314</v>
      </c>
      <c r="I57" s="140"/>
      <c r="J57" s="140" t="s">
        <v>682</v>
      </c>
      <c r="K57" s="140">
        <v>85101000</v>
      </c>
      <c r="L57" s="176">
        <f>VLOOKUP(E57,'Margin Calculation'!F:U,16,0)</f>
        <v>3.52</v>
      </c>
      <c r="M57" s="176">
        <f>VLOOKUP(E57,'Margin Calculation'!F:V,17,0)</f>
        <v>3.52</v>
      </c>
      <c r="N57" s="177">
        <f t="shared" si="15"/>
        <v>7.0400000000000004E-2</v>
      </c>
      <c r="O57" s="178">
        <f>VLOOKUP(E57,'Margin Calculation'!F:X,19,0)</f>
        <v>0.78988800000000003</v>
      </c>
      <c r="P57" s="179">
        <f t="shared" si="0"/>
        <v>385.46534400000002</v>
      </c>
      <c r="Q57" s="180">
        <f t="shared" si="30"/>
        <v>454.84910592</v>
      </c>
      <c r="R57" s="181">
        <f>VLOOKUP(E57,'Margin Calculation'!F:AA,22,0)</f>
        <v>113.905</v>
      </c>
      <c r="S57" s="182">
        <v>50</v>
      </c>
      <c r="T57" s="182">
        <v>60</v>
      </c>
      <c r="U57" s="182">
        <v>237.5</v>
      </c>
      <c r="V57" s="182">
        <f t="shared" si="33"/>
        <v>199.8</v>
      </c>
      <c r="W57" s="182">
        <f t="shared" si="3"/>
        <v>9.99</v>
      </c>
      <c r="X57" s="182">
        <f t="shared" si="4"/>
        <v>49.95</v>
      </c>
      <c r="Y57" s="182">
        <f t="shared" si="5"/>
        <v>19.98</v>
      </c>
      <c r="Z57" s="183">
        <f t="shared" si="6"/>
        <v>152.38983050847457</v>
      </c>
      <c r="AA57" s="182">
        <f t="shared" si="7"/>
        <v>49.95</v>
      </c>
      <c r="AB57" s="182">
        <f t="shared" si="8"/>
        <v>29.97</v>
      </c>
      <c r="AC57" s="179">
        <f t="shared" si="9"/>
        <v>1121.4001745084747</v>
      </c>
      <c r="AD57" s="183">
        <f t="shared" si="10"/>
        <v>-122.40017450847472</v>
      </c>
      <c r="AE57" s="184">
        <f t="shared" si="11"/>
        <v>-0.1225226972056804</v>
      </c>
      <c r="AF57" s="183">
        <v>999</v>
      </c>
      <c r="AG57" s="183"/>
      <c r="AH57" s="183"/>
      <c r="AI57" s="183">
        <v>1599</v>
      </c>
      <c r="AJ57" s="179">
        <f t="shared" si="12"/>
        <v>461.14482549152547</v>
      </c>
      <c r="AK57" s="184">
        <f t="shared" si="13"/>
        <v>0.46160643192344891</v>
      </c>
      <c r="AL57" s="182">
        <v>8904422505087</v>
      </c>
      <c r="AM57" s="182"/>
      <c r="AN57" s="73" t="s">
        <v>263</v>
      </c>
      <c r="AO57" s="185">
        <v>699</v>
      </c>
      <c r="AP57" s="182"/>
      <c r="AQ57" s="182"/>
      <c r="AR57" s="182"/>
    </row>
    <row r="58" spans="1:44">
      <c r="A58" s="140"/>
      <c r="B58" s="140"/>
      <c r="C58" s="140"/>
      <c r="D58" s="140" t="s">
        <v>934</v>
      </c>
      <c r="E58" s="140" t="s">
        <v>683</v>
      </c>
      <c r="F58" s="140" t="s">
        <v>684</v>
      </c>
      <c r="G58" s="140" t="s">
        <v>685</v>
      </c>
      <c r="H58" s="140" t="s">
        <v>234</v>
      </c>
      <c r="I58" s="140" t="s">
        <v>671</v>
      </c>
      <c r="J58" s="140" t="s">
        <v>687</v>
      </c>
      <c r="K58" s="140">
        <v>85167990</v>
      </c>
      <c r="L58" s="176">
        <f>VLOOKUP(E58,'Margin Calculation'!F:U,16,0)</f>
        <v>7.25</v>
      </c>
      <c r="M58" s="176">
        <f>VLOOKUP(E58,'Margin Calculation'!F:V,17,0)</f>
        <v>7.25</v>
      </c>
      <c r="N58" s="177">
        <f t="shared" si="15"/>
        <v>0.14499999999999999</v>
      </c>
      <c r="O58" s="178">
        <f>VLOOKUP(E58,'Margin Calculation'!F:X,19,0)</f>
        <v>1.6269</v>
      </c>
      <c r="P58" s="179">
        <f t="shared" si="0"/>
        <v>793.92719999999986</v>
      </c>
      <c r="Q58" s="180">
        <f t="shared" si="30"/>
        <v>936.83409599999982</v>
      </c>
      <c r="R58" s="181">
        <f>VLOOKUP(E58,'Margin Calculation'!F:AA,22,0)</f>
        <v>76.454999999999998</v>
      </c>
      <c r="S58" s="182">
        <v>50</v>
      </c>
      <c r="T58" s="182">
        <v>107</v>
      </c>
      <c r="U58" s="182">
        <v>267.39999999999998</v>
      </c>
      <c r="V58" s="182">
        <f t="shared" ref="V58:V59" si="34">AF58*10%</f>
        <v>169.9</v>
      </c>
      <c r="W58" s="182">
        <f t="shared" si="3"/>
        <v>16.990000000000002</v>
      </c>
      <c r="X58" s="182">
        <f t="shared" si="4"/>
        <v>84.95</v>
      </c>
      <c r="Y58" s="182">
        <f t="shared" si="5"/>
        <v>33.980000000000004</v>
      </c>
      <c r="Z58" s="183">
        <f t="shared" si="6"/>
        <v>259.16949152542361</v>
      </c>
      <c r="AA58" s="182">
        <f t="shared" si="7"/>
        <v>84.95</v>
      </c>
      <c r="AB58" s="182">
        <f t="shared" si="8"/>
        <v>50.97</v>
      </c>
      <c r="AC58" s="179">
        <f t="shared" si="9"/>
        <v>1728.2916915254239</v>
      </c>
      <c r="AD58" s="183">
        <f t="shared" si="10"/>
        <v>-29.291691525423857</v>
      </c>
      <c r="AE58" s="184">
        <f t="shared" si="11"/>
        <v>-1.7240548278648533E-2</v>
      </c>
      <c r="AF58" s="183">
        <f t="shared" ref="AF58:AF59" si="35">VLOOKUP(F58,AN:AO,2,0)</f>
        <v>1699</v>
      </c>
      <c r="AG58" s="183"/>
      <c r="AH58" s="183"/>
      <c r="AI58" s="183">
        <v>2799</v>
      </c>
      <c r="AJ58" s="179">
        <f t="shared" si="12"/>
        <v>645.90330847457653</v>
      </c>
      <c r="AK58" s="184">
        <f t="shared" si="13"/>
        <v>0.3801667501321816</v>
      </c>
      <c r="AL58" s="182">
        <v>8904422505148</v>
      </c>
      <c r="AM58" s="182"/>
      <c r="AN58" s="73" t="s">
        <v>268</v>
      </c>
      <c r="AO58" s="185">
        <v>699</v>
      </c>
      <c r="AP58" s="182"/>
      <c r="AQ58" s="182"/>
      <c r="AR58" s="182"/>
    </row>
    <row r="59" spans="1:44">
      <c r="A59" s="140"/>
      <c r="B59" s="140"/>
      <c r="C59" s="140"/>
      <c r="D59" s="140" t="s">
        <v>934</v>
      </c>
      <c r="E59" s="140" t="s">
        <v>688</v>
      </c>
      <c r="F59" s="140" t="s">
        <v>689</v>
      </c>
      <c r="G59" s="140" t="s">
        <v>690</v>
      </c>
      <c r="H59" s="140" t="s">
        <v>234</v>
      </c>
      <c r="I59" s="140" t="s">
        <v>671</v>
      </c>
      <c r="J59" s="140" t="s">
        <v>691</v>
      </c>
      <c r="K59" s="140">
        <v>85167990</v>
      </c>
      <c r="L59" s="176">
        <f>VLOOKUP(E59,'Margin Calculation'!F:U,16,0)</f>
        <v>7.25</v>
      </c>
      <c r="M59" s="176">
        <f>VLOOKUP(E59,'Margin Calculation'!F:V,17,0)</f>
        <v>7.25</v>
      </c>
      <c r="N59" s="177">
        <f t="shared" si="15"/>
        <v>0.14499999999999999</v>
      </c>
      <c r="O59" s="178">
        <f>VLOOKUP(E59,'Margin Calculation'!F:X,19,0)</f>
        <v>1.6269</v>
      </c>
      <c r="P59" s="179">
        <f t="shared" si="0"/>
        <v>793.92719999999986</v>
      </c>
      <c r="Q59" s="180">
        <f t="shared" si="30"/>
        <v>936.83409599999982</v>
      </c>
      <c r="R59" s="181">
        <f>VLOOKUP(E59,'Margin Calculation'!F:AA,22,0)</f>
        <v>71.954999999999998</v>
      </c>
      <c r="S59" s="182">
        <v>50</v>
      </c>
      <c r="T59" s="182">
        <v>107</v>
      </c>
      <c r="U59" s="182">
        <v>254.4</v>
      </c>
      <c r="V59" s="182">
        <f t="shared" si="34"/>
        <v>149.9</v>
      </c>
      <c r="W59" s="182">
        <f t="shared" si="3"/>
        <v>14.99</v>
      </c>
      <c r="X59" s="182">
        <f t="shared" si="4"/>
        <v>74.95</v>
      </c>
      <c r="Y59" s="182">
        <f t="shared" si="5"/>
        <v>29.98</v>
      </c>
      <c r="Z59" s="183">
        <f t="shared" si="6"/>
        <v>228.66101694915255</v>
      </c>
      <c r="AA59" s="182">
        <f t="shared" si="7"/>
        <v>74.95</v>
      </c>
      <c r="AB59" s="182">
        <f t="shared" si="8"/>
        <v>44.97</v>
      </c>
      <c r="AC59" s="179">
        <f t="shared" si="9"/>
        <v>1641.2832169491526</v>
      </c>
      <c r="AD59" s="183">
        <f t="shared" si="10"/>
        <v>-142.28321694915257</v>
      </c>
      <c r="AE59" s="184">
        <f t="shared" si="11"/>
        <v>-9.4918757137526732E-2</v>
      </c>
      <c r="AF59" s="183">
        <f t="shared" si="35"/>
        <v>1499</v>
      </c>
      <c r="AG59" s="183"/>
      <c r="AH59" s="183"/>
      <c r="AI59" s="183">
        <v>2799</v>
      </c>
      <c r="AJ59" s="179">
        <f t="shared" si="12"/>
        <v>476.41178305084759</v>
      </c>
      <c r="AK59" s="184">
        <f t="shared" si="13"/>
        <v>0.31781973519069218</v>
      </c>
      <c r="AL59" s="182">
        <v>8904422505155</v>
      </c>
      <c r="AM59" s="182"/>
      <c r="AN59" s="73" t="s">
        <v>469</v>
      </c>
      <c r="AO59" s="185">
        <v>1599</v>
      </c>
      <c r="AP59" s="182"/>
      <c r="AQ59" s="182"/>
      <c r="AR59" s="182"/>
    </row>
    <row r="60" spans="1:44">
      <c r="A60" s="140"/>
      <c r="B60" s="140"/>
      <c r="C60" s="140"/>
      <c r="D60" s="140" t="s">
        <v>934</v>
      </c>
      <c r="E60" s="140" t="s">
        <v>695</v>
      </c>
      <c r="F60" s="140" t="s">
        <v>696</v>
      </c>
      <c r="G60" s="140" t="s">
        <v>697</v>
      </c>
      <c r="H60" s="140" t="s">
        <v>314</v>
      </c>
      <c r="I60" s="140" t="s">
        <v>465</v>
      </c>
      <c r="J60" s="140" t="s">
        <v>699</v>
      </c>
      <c r="K60" s="140">
        <v>85163100</v>
      </c>
      <c r="L60" s="176">
        <f>VLOOKUP(E60,'Margin Calculation'!F:U,16,0)</f>
        <v>8.32</v>
      </c>
      <c r="M60" s="176">
        <f>VLOOKUP(E60,'Margin Calculation'!F:V,17,0)</f>
        <v>8.32</v>
      </c>
      <c r="N60" s="177">
        <f t="shared" si="15"/>
        <v>0.16640000000000002</v>
      </c>
      <c r="O60" s="178">
        <f>VLOOKUP(E60,'Margin Calculation'!F:X,19,0)</f>
        <v>1.8670080000000002</v>
      </c>
      <c r="P60" s="179">
        <f t="shared" si="0"/>
        <v>911.09990400000004</v>
      </c>
      <c r="Q60" s="180">
        <f t="shared" si="30"/>
        <v>1075.0978867199999</v>
      </c>
      <c r="R60" s="181">
        <f>VLOOKUP(E60,'Margin Calculation'!F:AA,22,0)</f>
        <v>208.905</v>
      </c>
      <c r="S60" s="182">
        <v>47</v>
      </c>
      <c r="T60" s="182">
        <v>78</v>
      </c>
      <c r="U60" s="182">
        <v>394.9</v>
      </c>
      <c r="V60" s="182">
        <f t="shared" ref="V60:V61" si="36">AF60*20%</f>
        <v>399.8</v>
      </c>
      <c r="W60" s="182">
        <f t="shared" si="3"/>
        <v>19.990000000000002</v>
      </c>
      <c r="X60" s="182">
        <f t="shared" si="4"/>
        <v>99.95</v>
      </c>
      <c r="Y60" s="182">
        <f t="shared" si="5"/>
        <v>39.980000000000004</v>
      </c>
      <c r="Z60" s="183">
        <f t="shared" si="6"/>
        <v>304.93220338983042</v>
      </c>
      <c r="AA60" s="182">
        <f t="shared" si="7"/>
        <v>99.95</v>
      </c>
      <c r="AB60" s="182">
        <f t="shared" si="8"/>
        <v>59.97</v>
      </c>
      <c r="AC60" s="179">
        <f t="shared" si="9"/>
        <v>2269.57710738983</v>
      </c>
      <c r="AD60" s="183">
        <f t="shared" si="10"/>
        <v>-270.57710738982996</v>
      </c>
      <c r="AE60" s="184">
        <f t="shared" si="11"/>
        <v>-0.1353562318108204</v>
      </c>
      <c r="AF60" s="183">
        <v>1999</v>
      </c>
      <c r="AG60" s="183"/>
      <c r="AH60" s="183"/>
      <c r="AI60" s="183">
        <v>3699</v>
      </c>
      <c r="AJ60" s="179">
        <f t="shared" si="12"/>
        <v>782.96789261016943</v>
      </c>
      <c r="AK60" s="184">
        <f t="shared" si="13"/>
        <v>0.39167978619818383</v>
      </c>
      <c r="AL60" s="182">
        <v>8904422505186</v>
      </c>
      <c r="AM60" s="182"/>
      <c r="AN60" s="73" t="s">
        <v>590</v>
      </c>
      <c r="AO60" s="185">
        <v>2049</v>
      </c>
      <c r="AP60" s="182"/>
      <c r="AQ60" s="182"/>
      <c r="AR60" s="182"/>
    </row>
    <row r="61" spans="1:44">
      <c r="A61" s="140"/>
      <c r="B61" s="140"/>
      <c r="C61" s="140"/>
      <c r="D61" s="140" t="s">
        <v>934</v>
      </c>
      <c r="E61" s="140" t="s">
        <v>700</v>
      </c>
      <c r="F61" s="140" t="s">
        <v>701</v>
      </c>
      <c r="G61" s="140" t="s">
        <v>702</v>
      </c>
      <c r="H61" s="140" t="s">
        <v>314</v>
      </c>
      <c r="I61" s="140" t="s">
        <v>465</v>
      </c>
      <c r="J61" s="140" t="s">
        <v>703</v>
      </c>
      <c r="K61" s="140">
        <v>85163100</v>
      </c>
      <c r="L61" s="176">
        <f>VLOOKUP(E61,'Margin Calculation'!F:U,16,0)</f>
        <v>6.47</v>
      </c>
      <c r="M61" s="176">
        <f>VLOOKUP(E61,'Margin Calculation'!F:V,17,0)</f>
        <v>6.47</v>
      </c>
      <c r="N61" s="177">
        <f t="shared" si="15"/>
        <v>0.12939999999999999</v>
      </c>
      <c r="O61" s="178">
        <f>VLOOKUP(E61,'Margin Calculation'!F:X,19,0)</f>
        <v>1.4518680000000002</v>
      </c>
      <c r="P61" s="179">
        <f t="shared" si="0"/>
        <v>708.51158400000008</v>
      </c>
      <c r="Q61" s="180">
        <f t="shared" si="30"/>
        <v>836.04366912</v>
      </c>
      <c r="R61" s="181">
        <f>VLOOKUP(E61,'Margin Calculation'!F:AA,22,0)</f>
        <v>192.755</v>
      </c>
      <c r="S61" s="182">
        <v>50</v>
      </c>
      <c r="T61" s="182">
        <v>79</v>
      </c>
      <c r="U61" s="182">
        <v>308.89999999999998</v>
      </c>
      <c r="V61" s="182">
        <f t="shared" si="36"/>
        <v>399.6</v>
      </c>
      <c r="W61" s="182">
        <f t="shared" si="3"/>
        <v>19.98</v>
      </c>
      <c r="X61" s="182">
        <f t="shared" si="4"/>
        <v>99.9</v>
      </c>
      <c r="Y61" s="182">
        <f t="shared" si="5"/>
        <v>39.96</v>
      </c>
      <c r="Z61" s="183">
        <f t="shared" si="6"/>
        <v>304.77966101694915</v>
      </c>
      <c r="AA61" s="182">
        <f t="shared" si="7"/>
        <v>99.9</v>
      </c>
      <c r="AB61" s="182">
        <f t="shared" si="8"/>
        <v>59.94</v>
      </c>
      <c r="AC61" s="179">
        <f t="shared" si="9"/>
        <v>2054.3262450169491</v>
      </c>
      <c r="AD61" s="183">
        <f t="shared" si="10"/>
        <v>-56.326245016949088</v>
      </c>
      <c r="AE61" s="184">
        <f t="shared" si="11"/>
        <v>-2.8191313822296841E-2</v>
      </c>
      <c r="AF61" s="183">
        <v>1998</v>
      </c>
      <c r="AG61" s="183"/>
      <c r="AH61" s="183"/>
      <c r="AI61" s="183">
        <v>3399</v>
      </c>
      <c r="AJ61" s="179">
        <f t="shared" si="12"/>
        <v>984.70875498305077</v>
      </c>
      <c r="AK61" s="184">
        <f t="shared" si="13"/>
        <v>0.49284722471624165</v>
      </c>
      <c r="AL61" s="182">
        <v>8904422505193</v>
      </c>
      <c r="AM61" s="182"/>
      <c r="AN61" s="73" t="s">
        <v>951</v>
      </c>
      <c r="AO61" s="185">
        <v>1549</v>
      </c>
      <c r="AP61" s="182"/>
      <c r="AQ61" s="182"/>
      <c r="AR61" s="182"/>
    </row>
    <row r="62" spans="1:44">
      <c r="A62" s="140"/>
      <c r="B62" s="140"/>
      <c r="C62" s="140"/>
      <c r="D62" s="140" t="s">
        <v>934</v>
      </c>
      <c r="E62" s="140" t="s">
        <v>704</v>
      </c>
      <c r="F62" s="140" t="s">
        <v>705</v>
      </c>
      <c r="G62" s="140" t="s">
        <v>706</v>
      </c>
      <c r="H62" s="140" t="s">
        <v>234</v>
      </c>
      <c r="I62" s="140" t="s">
        <v>249</v>
      </c>
      <c r="J62" s="140" t="s">
        <v>708</v>
      </c>
      <c r="K62" s="140">
        <v>85098000</v>
      </c>
      <c r="L62" s="176">
        <f>VLOOKUP(E62,'Margin Calculation'!F:U,16,0)</f>
        <v>20</v>
      </c>
      <c r="M62" s="176">
        <f>VLOOKUP(E62,'Margin Calculation'!F:V,17,0)</f>
        <v>20</v>
      </c>
      <c r="N62" s="177">
        <f t="shared" si="15"/>
        <v>0.4</v>
      </c>
      <c r="O62" s="178">
        <f>VLOOKUP(E62,'Margin Calculation'!F:X,19,0)</f>
        <v>4.4880000000000004</v>
      </c>
      <c r="P62" s="179">
        <f t="shared" si="0"/>
        <v>2190.1439999999998</v>
      </c>
      <c r="Q62" s="180">
        <f t="shared" si="30"/>
        <v>2584.3699199999996</v>
      </c>
      <c r="R62" s="181">
        <f>VLOOKUP(E62,'Margin Calculation'!F:AA,22,0)</f>
        <v>479.92</v>
      </c>
      <c r="S62" s="182">
        <v>47</v>
      </c>
      <c r="T62" s="182">
        <v>162</v>
      </c>
      <c r="U62" s="182">
        <v>688.9</v>
      </c>
      <c r="V62" s="182">
        <f t="shared" ref="V62:V64" si="37">AF62*10%</f>
        <v>579.9</v>
      </c>
      <c r="W62" s="182">
        <f t="shared" si="3"/>
        <v>57.99</v>
      </c>
      <c r="X62" s="182">
        <f t="shared" si="4"/>
        <v>289.95</v>
      </c>
      <c r="Y62" s="182">
        <f t="shared" si="5"/>
        <v>115.98</v>
      </c>
      <c r="Z62" s="183">
        <f t="shared" si="6"/>
        <v>884.59322033898297</v>
      </c>
      <c r="AA62" s="182">
        <f t="shared" si="7"/>
        <v>289.95</v>
      </c>
      <c r="AB62" s="182">
        <f t="shared" si="8"/>
        <v>173.97</v>
      </c>
      <c r="AC62" s="179">
        <f t="shared" si="9"/>
        <v>5271.3972203389822</v>
      </c>
      <c r="AD62" s="183">
        <f t="shared" si="10"/>
        <v>527.60277966101785</v>
      </c>
      <c r="AE62" s="184">
        <f t="shared" si="11"/>
        <v>9.0981682990346244E-2</v>
      </c>
      <c r="AF62" s="183">
        <v>5799</v>
      </c>
      <c r="AG62" s="183"/>
      <c r="AH62" s="183"/>
      <c r="AI62" s="183">
        <v>8299</v>
      </c>
      <c r="AJ62" s="179">
        <f t="shared" si="12"/>
        <v>2724.2627796610172</v>
      </c>
      <c r="AK62" s="184">
        <f t="shared" si="13"/>
        <v>0.46978147605811643</v>
      </c>
      <c r="AL62" s="182">
        <v>8904422505223</v>
      </c>
      <c r="AM62" s="182"/>
      <c r="AN62" s="73" t="s">
        <v>952</v>
      </c>
      <c r="AO62" s="185">
        <v>1549</v>
      </c>
      <c r="AP62" s="182"/>
      <c r="AQ62" s="182"/>
      <c r="AR62" s="182"/>
    </row>
    <row r="63" spans="1:44">
      <c r="A63" s="140"/>
      <c r="B63" s="140"/>
      <c r="C63" s="140"/>
      <c r="D63" s="140" t="s">
        <v>934</v>
      </c>
      <c r="E63" s="140" t="s">
        <v>712</v>
      </c>
      <c r="F63" s="140" t="s">
        <v>713</v>
      </c>
      <c r="G63" s="140" t="s">
        <v>714</v>
      </c>
      <c r="H63" s="140" t="s">
        <v>234</v>
      </c>
      <c r="I63" s="140" t="s">
        <v>249</v>
      </c>
      <c r="J63" s="140" t="s">
        <v>716</v>
      </c>
      <c r="K63" s="140">
        <v>85086000</v>
      </c>
      <c r="L63" s="176">
        <f>VLOOKUP(E63,'Margin Calculation'!F:U,16,0)</f>
        <v>8.83</v>
      </c>
      <c r="M63" s="176">
        <f>VLOOKUP(E63,'Margin Calculation'!F:V,17,0)</f>
        <v>0</v>
      </c>
      <c r="N63" s="177">
        <f t="shared" si="15"/>
        <v>0.17660000000000001</v>
      </c>
      <c r="O63" s="178">
        <f>VLOOKUP(E63,'Margin Calculation'!F:X,19,0)</f>
        <v>1.9814520000000004</v>
      </c>
      <c r="P63" s="179">
        <f t="shared" si="0"/>
        <v>966.94857600000012</v>
      </c>
      <c r="Q63" s="180">
        <f t="shared" si="30"/>
        <v>1140.9993196800001</v>
      </c>
      <c r="R63" s="181">
        <f>VLOOKUP(E63,'Margin Calculation'!F:AA,22,0)</f>
        <v>172.42499999999998</v>
      </c>
      <c r="S63" s="182">
        <v>50</v>
      </c>
      <c r="T63" s="182">
        <v>107</v>
      </c>
      <c r="U63" s="182">
        <v>329.8</v>
      </c>
      <c r="V63" s="182">
        <f t="shared" si="37"/>
        <v>229.9</v>
      </c>
      <c r="W63" s="182">
        <f t="shared" si="3"/>
        <v>22.990000000000002</v>
      </c>
      <c r="X63" s="182">
        <f t="shared" si="4"/>
        <v>114.95</v>
      </c>
      <c r="Y63" s="182">
        <f t="shared" si="5"/>
        <v>45.980000000000004</v>
      </c>
      <c r="Z63" s="183">
        <f t="shared" si="6"/>
        <v>350.69491525423723</v>
      </c>
      <c r="AA63" s="182">
        <f t="shared" si="7"/>
        <v>114.95</v>
      </c>
      <c r="AB63" s="182">
        <f t="shared" si="8"/>
        <v>68.97</v>
      </c>
      <c r="AC63" s="179">
        <f t="shared" si="9"/>
        <v>2244.8084912542372</v>
      </c>
      <c r="AD63" s="183">
        <f t="shared" si="10"/>
        <v>54.191508745762803</v>
      </c>
      <c r="AE63" s="184">
        <f t="shared" si="11"/>
        <v>2.357177413908778E-2</v>
      </c>
      <c r="AF63" s="183">
        <f>VLOOKUP(F63,AN:AO,2,0)</f>
        <v>2299</v>
      </c>
      <c r="AG63" s="183"/>
      <c r="AH63" s="183"/>
      <c r="AI63" s="183">
        <v>4499</v>
      </c>
      <c r="AJ63" s="179">
        <f t="shared" si="12"/>
        <v>981.35650874576254</v>
      </c>
      <c r="AK63" s="184">
        <f t="shared" si="13"/>
        <v>0.4268623352526153</v>
      </c>
      <c r="AL63" s="182">
        <v>8904422505209</v>
      </c>
      <c r="AM63" s="182"/>
      <c r="AN63" s="73" t="s">
        <v>784</v>
      </c>
      <c r="AO63" s="185">
        <v>2999</v>
      </c>
      <c r="AP63" s="182"/>
      <c r="AQ63" s="182"/>
      <c r="AR63" s="182"/>
    </row>
    <row r="64" spans="1:44">
      <c r="A64" s="140"/>
      <c r="B64" s="140"/>
      <c r="C64" s="140"/>
      <c r="D64" s="140" t="s">
        <v>934</v>
      </c>
      <c r="E64" s="140" t="s">
        <v>717</v>
      </c>
      <c r="F64" s="140" t="s">
        <v>718</v>
      </c>
      <c r="G64" s="140" t="s">
        <v>719</v>
      </c>
      <c r="H64" s="140" t="s">
        <v>234</v>
      </c>
      <c r="I64" s="140" t="s">
        <v>249</v>
      </c>
      <c r="J64" s="140" t="s">
        <v>716</v>
      </c>
      <c r="K64" s="140">
        <v>85086000</v>
      </c>
      <c r="L64" s="176">
        <f>VLOOKUP(E64,'Margin Calculation'!F:U,16,0)</f>
        <v>9.35</v>
      </c>
      <c r="M64" s="176">
        <f>VLOOKUP(E64,'Margin Calculation'!F:V,17,0)</f>
        <v>9.35</v>
      </c>
      <c r="N64" s="177">
        <f t="shared" si="15"/>
        <v>0.187</v>
      </c>
      <c r="O64" s="178">
        <f>VLOOKUP(E64,'Margin Calculation'!F:X,19,0)</f>
        <v>2.0981399999999999</v>
      </c>
      <c r="P64" s="179">
        <f t="shared" si="0"/>
        <v>1023.8923199999999</v>
      </c>
      <c r="Q64" s="180">
        <f t="shared" si="30"/>
        <v>1208.1929375999998</v>
      </c>
      <c r="R64" s="181">
        <f>VLOOKUP(E64,'Margin Calculation'!F:AA,22,0)</f>
        <v>187.42499999999998</v>
      </c>
      <c r="S64" s="182">
        <v>50</v>
      </c>
      <c r="T64" s="182">
        <v>107</v>
      </c>
      <c r="U64" s="182">
        <v>386.9</v>
      </c>
      <c r="V64" s="182">
        <f t="shared" si="37"/>
        <v>249.9</v>
      </c>
      <c r="W64" s="182">
        <f t="shared" si="3"/>
        <v>24.990000000000002</v>
      </c>
      <c r="X64" s="182">
        <f t="shared" si="4"/>
        <v>124.95</v>
      </c>
      <c r="Y64" s="182">
        <f t="shared" si="5"/>
        <v>49.980000000000004</v>
      </c>
      <c r="Z64" s="183">
        <f t="shared" si="6"/>
        <v>381.20338983050851</v>
      </c>
      <c r="AA64" s="182">
        <f t="shared" si="7"/>
        <v>124.95</v>
      </c>
      <c r="AB64" s="182">
        <f t="shared" si="8"/>
        <v>74.97</v>
      </c>
      <c r="AC64" s="179">
        <f t="shared" si="9"/>
        <v>2399.2607098305084</v>
      </c>
      <c r="AD64" s="183">
        <f t="shared" si="10"/>
        <v>99.739290169491596</v>
      </c>
      <c r="AE64" s="184">
        <f t="shared" si="11"/>
        <v>3.9911680740092673E-2</v>
      </c>
      <c r="AF64" s="183">
        <v>2499</v>
      </c>
      <c r="AG64" s="183"/>
      <c r="AH64" s="183"/>
      <c r="AI64" s="183">
        <v>4499</v>
      </c>
      <c r="AJ64" s="179">
        <f t="shared" si="12"/>
        <v>1093.9042901694916</v>
      </c>
      <c r="AK64" s="184">
        <f t="shared" si="13"/>
        <v>0.43773681079211346</v>
      </c>
      <c r="AL64" s="182">
        <v>8904422505209</v>
      </c>
      <c r="AM64" s="182"/>
      <c r="AN64" s="73" t="s">
        <v>864</v>
      </c>
      <c r="AO64" s="185">
        <v>2499</v>
      </c>
      <c r="AP64" s="182"/>
      <c r="AQ64" s="182"/>
      <c r="AR64" s="182"/>
    </row>
    <row r="65" spans="1:44">
      <c r="A65" s="140"/>
      <c r="B65" s="140"/>
      <c r="C65" s="140"/>
      <c r="D65" s="140" t="s">
        <v>934</v>
      </c>
      <c r="E65" s="140" t="s">
        <v>724</v>
      </c>
      <c r="F65" s="140" t="s">
        <v>725</v>
      </c>
      <c r="G65" s="140" t="s">
        <v>726</v>
      </c>
      <c r="H65" s="140" t="s">
        <v>314</v>
      </c>
      <c r="I65" s="140"/>
      <c r="J65" s="140" t="s">
        <v>727</v>
      </c>
      <c r="K65" s="140">
        <v>85437093</v>
      </c>
      <c r="L65" s="176">
        <f>VLOOKUP(E65,'Margin Calculation'!F:U,16,0)</f>
        <v>4.5</v>
      </c>
      <c r="M65" s="176">
        <f>VLOOKUP(E65,'Margin Calculation'!F:V,17,0)</f>
        <v>4.5</v>
      </c>
      <c r="N65" s="177">
        <f t="shared" si="15"/>
        <v>0.09</v>
      </c>
      <c r="O65" s="178">
        <f>VLOOKUP(E65,'Margin Calculation'!F:X,19,0)</f>
        <v>0.50490000000000002</v>
      </c>
      <c r="P65" s="179">
        <f t="shared" si="0"/>
        <v>448.35120000000001</v>
      </c>
      <c r="Q65" s="180">
        <f t="shared" si="30"/>
        <v>529.05441599999995</v>
      </c>
      <c r="R65" s="181">
        <f>VLOOKUP(E65,'Margin Calculation'!F:AA,22,0)</f>
        <v>108.43</v>
      </c>
      <c r="S65" s="182">
        <v>20</v>
      </c>
      <c r="T65" s="182">
        <v>59</v>
      </c>
      <c r="U65" s="182">
        <v>186.6</v>
      </c>
      <c r="V65" s="182">
        <f t="shared" ref="V65:V67" si="38">AF65*20%</f>
        <v>309.8</v>
      </c>
      <c r="W65" s="182">
        <f t="shared" si="3"/>
        <v>15.49</v>
      </c>
      <c r="X65" s="182">
        <f t="shared" si="4"/>
        <v>77.45</v>
      </c>
      <c r="Y65" s="182">
        <f t="shared" si="5"/>
        <v>30.98</v>
      </c>
      <c r="Z65" s="183">
        <f t="shared" si="6"/>
        <v>236.2881355932202</v>
      </c>
      <c r="AA65" s="182">
        <f t="shared" si="7"/>
        <v>77.45</v>
      </c>
      <c r="AB65" s="182">
        <f t="shared" si="8"/>
        <v>46.47</v>
      </c>
      <c r="AC65" s="179">
        <f t="shared" si="9"/>
        <v>1429.7093355932204</v>
      </c>
      <c r="AD65" s="183">
        <f t="shared" si="10"/>
        <v>119.29066440677957</v>
      </c>
      <c r="AE65" s="184">
        <f t="shared" si="11"/>
        <v>7.7011403748727933E-2</v>
      </c>
      <c r="AF65" s="183">
        <v>1549</v>
      </c>
      <c r="AG65" s="183"/>
      <c r="AH65" s="183"/>
      <c r="AI65" s="183">
        <v>1699</v>
      </c>
      <c r="AJ65" s="179">
        <f t="shared" si="12"/>
        <v>864.36066440677973</v>
      </c>
      <c r="AK65" s="184">
        <f t="shared" si="13"/>
        <v>0.55801204932652015</v>
      </c>
      <c r="AL65" s="182">
        <v>8904422505254</v>
      </c>
      <c r="AM65" s="182"/>
      <c r="AN65" s="73" t="s">
        <v>497</v>
      </c>
      <c r="AO65" s="185">
        <v>6999</v>
      </c>
      <c r="AP65" s="182"/>
      <c r="AQ65" s="182"/>
      <c r="AR65" s="182"/>
    </row>
    <row r="66" spans="1:44">
      <c r="A66" s="140"/>
      <c r="B66" s="140"/>
      <c r="C66" s="140"/>
      <c r="D66" s="140" t="s">
        <v>934</v>
      </c>
      <c r="E66" s="140" t="s">
        <v>728</v>
      </c>
      <c r="F66" s="140" t="s">
        <v>729</v>
      </c>
      <c r="G66" s="140" t="s">
        <v>730</v>
      </c>
      <c r="H66" s="140" t="s">
        <v>314</v>
      </c>
      <c r="I66" s="140" t="s">
        <v>465</v>
      </c>
      <c r="J66" s="140" t="s">
        <v>731</v>
      </c>
      <c r="K66" s="140">
        <v>85437093</v>
      </c>
      <c r="L66" s="176">
        <f>VLOOKUP(E66,'Margin Calculation'!F:U,16,0)</f>
        <v>11</v>
      </c>
      <c r="M66" s="176">
        <f>VLOOKUP(E66,'Margin Calculation'!F:V,17,0)</f>
        <v>0</v>
      </c>
      <c r="N66" s="177">
        <f t="shared" si="15"/>
        <v>0.22</v>
      </c>
      <c r="O66" s="178">
        <f>VLOOKUP(E66,'Margin Calculation'!F:X,19,0)</f>
        <v>1.2342000000000002</v>
      </c>
      <c r="P66" s="179">
        <f t="shared" si="0"/>
        <v>1095.9695999999999</v>
      </c>
      <c r="Q66" s="180">
        <f t="shared" si="30"/>
        <v>1293.2441279999998</v>
      </c>
      <c r="R66" s="181">
        <f>VLOOKUP(E66,'Margin Calculation'!F:AA,22,0)</f>
        <v>284.90500000000003</v>
      </c>
      <c r="S66" s="182">
        <v>50</v>
      </c>
      <c r="T66" s="182">
        <v>79</v>
      </c>
      <c r="U66" s="182">
        <v>389.9</v>
      </c>
      <c r="V66" s="182">
        <f t="shared" si="38"/>
        <v>659.80000000000007</v>
      </c>
      <c r="W66" s="182">
        <f t="shared" si="3"/>
        <v>32.99</v>
      </c>
      <c r="X66" s="182">
        <f t="shared" si="4"/>
        <v>164.95000000000002</v>
      </c>
      <c r="Y66" s="182">
        <f t="shared" si="5"/>
        <v>65.98</v>
      </c>
      <c r="Z66" s="183">
        <f t="shared" si="6"/>
        <v>503.23728813559319</v>
      </c>
      <c r="AA66" s="182">
        <f t="shared" si="7"/>
        <v>164.95000000000002</v>
      </c>
      <c r="AB66" s="182">
        <f t="shared" si="8"/>
        <v>98.97</v>
      </c>
      <c r="AC66" s="179">
        <f t="shared" si="9"/>
        <v>3200.7518881355923</v>
      </c>
      <c r="AD66" s="183">
        <f t="shared" si="10"/>
        <v>98.248111864407747</v>
      </c>
      <c r="AE66" s="184">
        <f t="shared" si="11"/>
        <v>2.9781179710338813E-2</v>
      </c>
      <c r="AF66" s="183">
        <v>3299</v>
      </c>
      <c r="AG66" s="183"/>
      <c r="AH66" s="183"/>
      <c r="AI66" s="183">
        <v>5399</v>
      </c>
      <c r="AJ66" s="179">
        <f t="shared" si="12"/>
        <v>1699.7931118644069</v>
      </c>
      <c r="AK66" s="184">
        <f t="shared" si="13"/>
        <v>0.51524495661243008</v>
      </c>
      <c r="AL66" s="182">
        <v>8904422505261</v>
      </c>
      <c r="AM66" s="182"/>
      <c r="AN66" s="189" t="s">
        <v>725</v>
      </c>
      <c r="AO66" s="190">
        <v>1429</v>
      </c>
      <c r="AP66" s="182"/>
      <c r="AQ66" s="182"/>
      <c r="AR66" s="182"/>
    </row>
    <row r="67" spans="1:44">
      <c r="A67" s="140"/>
      <c r="B67" s="140"/>
      <c r="C67" s="140"/>
      <c r="D67" s="140" t="s">
        <v>934</v>
      </c>
      <c r="E67" s="140" t="s">
        <v>736</v>
      </c>
      <c r="F67" s="140" t="s">
        <v>737</v>
      </c>
      <c r="G67" s="140" t="s">
        <v>738</v>
      </c>
      <c r="H67" s="140" t="s">
        <v>314</v>
      </c>
      <c r="I67" s="140" t="s">
        <v>465</v>
      </c>
      <c r="J67" s="140" t="s">
        <v>739</v>
      </c>
      <c r="K67" s="140">
        <v>90191020</v>
      </c>
      <c r="L67" s="176">
        <f>VLOOKUP(E67,'Margin Calculation'!F:U,16,0)</f>
        <v>10.15</v>
      </c>
      <c r="M67" s="176">
        <f>VLOOKUP(E67,'Margin Calculation'!F:V,17,0)</f>
        <v>11.35</v>
      </c>
      <c r="N67" s="177">
        <f t="shared" si="15"/>
        <v>0.20300000000000001</v>
      </c>
      <c r="O67" s="178">
        <f>VLOOKUP(E67,'Margin Calculation'!F:X,19,0)</f>
        <v>1.1388300000000002</v>
      </c>
      <c r="P67" s="179">
        <f t="shared" si="0"/>
        <v>1011.2810400000001</v>
      </c>
      <c r="Q67" s="180">
        <f t="shared" si="30"/>
        <v>1193.3116272</v>
      </c>
      <c r="R67" s="181">
        <f>VLOOKUP(E67,'Margin Calculation'!F:AA,22,0)</f>
        <v>194.92499999999998</v>
      </c>
      <c r="S67" s="182">
        <v>20</v>
      </c>
      <c r="T67" s="182">
        <v>58</v>
      </c>
      <c r="U67" s="182">
        <v>295.39999999999998</v>
      </c>
      <c r="V67" s="182">
        <f t="shared" si="38"/>
        <v>519.80000000000007</v>
      </c>
      <c r="W67" s="182">
        <f t="shared" si="3"/>
        <v>25.990000000000002</v>
      </c>
      <c r="X67" s="182">
        <f t="shared" si="4"/>
        <v>129.95000000000002</v>
      </c>
      <c r="Y67" s="182">
        <f t="shared" si="5"/>
        <v>51.980000000000004</v>
      </c>
      <c r="Z67" s="183">
        <f t="shared" si="6"/>
        <v>396.45762711864381</v>
      </c>
      <c r="AA67" s="182">
        <f t="shared" si="7"/>
        <v>129.95000000000002</v>
      </c>
      <c r="AB67" s="182">
        <f t="shared" si="8"/>
        <v>77.97</v>
      </c>
      <c r="AC67" s="179">
        <f t="shared" si="9"/>
        <v>2616.3036671186437</v>
      </c>
      <c r="AD67" s="183">
        <f t="shared" si="10"/>
        <v>-17.303667118643716</v>
      </c>
      <c r="AE67" s="184">
        <f t="shared" si="11"/>
        <v>-6.6578172830487553E-3</v>
      </c>
      <c r="AF67" s="183">
        <v>2599</v>
      </c>
      <c r="AG67" s="183"/>
      <c r="AH67" s="183"/>
      <c r="AI67" s="183">
        <v>3999</v>
      </c>
      <c r="AJ67" s="179">
        <f t="shared" si="12"/>
        <v>1191.2613328813561</v>
      </c>
      <c r="AK67" s="184">
        <f t="shared" si="13"/>
        <v>0.45835372561806698</v>
      </c>
      <c r="AL67" s="182">
        <v>8904422505285</v>
      </c>
      <c r="AM67" s="182"/>
      <c r="AN67" s="189" t="s">
        <v>616</v>
      </c>
      <c r="AO67" s="190">
        <v>1398</v>
      </c>
      <c r="AP67" s="182"/>
      <c r="AQ67" s="182"/>
      <c r="AR67" s="182"/>
    </row>
    <row r="68" spans="1:44">
      <c r="A68" s="140"/>
      <c r="B68" s="140"/>
      <c r="C68" s="140"/>
      <c r="D68" s="140" t="s">
        <v>934</v>
      </c>
      <c r="E68" s="140" t="s">
        <v>740</v>
      </c>
      <c r="F68" s="140" t="s">
        <v>946</v>
      </c>
      <c r="G68" s="140" t="s">
        <v>742</v>
      </c>
      <c r="H68" s="140" t="s">
        <v>249</v>
      </c>
      <c r="I68" s="140"/>
      <c r="J68" s="140" t="s">
        <v>743</v>
      </c>
      <c r="K68" s="140">
        <v>85098000</v>
      </c>
      <c r="L68" s="176">
        <f>VLOOKUP(E68,'Margin Calculation'!F:U,16,0)</f>
        <v>9</v>
      </c>
      <c r="M68" s="176">
        <f>VLOOKUP(E68,'Margin Calculation'!F:V,17,0)</f>
        <v>9.9</v>
      </c>
      <c r="N68" s="177">
        <f t="shared" si="15"/>
        <v>0.18</v>
      </c>
      <c r="O68" s="178">
        <f>VLOOKUP(E68,'Margin Calculation'!F:X,19,0)</f>
        <v>1.0098</v>
      </c>
      <c r="P68" s="179">
        <f t="shared" si="0"/>
        <v>896.70240000000001</v>
      </c>
      <c r="Q68" s="180">
        <f t="shared" si="30"/>
        <v>1058.1088319999999</v>
      </c>
      <c r="R68" s="181">
        <f>VLOOKUP(E68,'Margin Calculation'!F:AA,22,0)</f>
        <v>204.9</v>
      </c>
      <c r="S68" s="182">
        <v>50</v>
      </c>
      <c r="T68" s="182">
        <v>108</v>
      </c>
      <c r="U68" s="182">
        <v>357.9</v>
      </c>
      <c r="V68" s="182">
        <f>AF68*10%</f>
        <v>209.9</v>
      </c>
      <c r="W68" s="182">
        <f t="shared" si="3"/>
        <v>20.990000000000002</v>
      </c>
      <c r="X68" s="182">
        <f t="shared" si="4"/>
        <v>104.95</v>
      </c>
      <c r="Y68" s="182">
        <f t="shared" si="5"/>
        <v>41.980000000000004</v>
      </c>
      <c r="Z68" s="183">
        <f t="shared" si="6"/>
        <v>320.18644067796595</v>
      </c>
      <c r="AA68" s="182">
        <f t="shared" si="7"/>
        <v>104.95</v>
      </c>
      <c r="AB68" s="182">
        <f t="shared" si="8"/>
        <v>62.97</v>
      </c>
      <c r="AC68" s="179">
        <f t="shared" si="9"/>
        <v>2125.5288406779659</v>
      </c>
      <c r="AD68" s="183">
        <f t="shared" si="10"/>
        <v>-26.528840677965945</v>
      </c>
      <c r="AE68" s="184">
        <f t="shared" si="11"/>
        <v>-1.2638799751293924E-2</v>
      </c>
      <c r="AF68" s="183">
        <v>2099</v>
      </c>
      <c r="AG68" s="183"/>
      <c r="AH68" s="183"/>
      <c r="AI68" s="183">
        <v>4999</v>
      </c>
      <c r="AJ68" s="179">
        <f t="shared" si="12"/>
        <v>882.11115932203393</v>
      </c>
      <c r="AK68" s="184">
        <f t="shared" si="13"/>
        <v>0.4202530535121648</v>
      </c>
      <c r="AL68" s="182">
        <v>8904422505292</v>
      </c>
      <c r="AM68" s="182"/>
      <c r="AN68" s="189" t="s">
        <v>435</v>
      </c>
      <c r="AO68" s="189">
        <v>898</v>
      </c>
      <c r="AP68" s="182"/>
      <c r="AQ68" s="182"/>
      <c r="AR68" s="182"/>
    </row>
    <row r="69" spans="1:44">
      <c r="A69" s="140"/>
      <c r="B69" s="140"/>
      <c r="C69" s="140"/>
      <c r="D69" s="140" t="s">
        <v>934</v>
      </c>
      <c r="E69" s="140" t="s">
        <v>744</v>
      </c>
      <c r="F69" s="140" t="s">
        <v>745</v>
      </c>
      <c r="G69" s="140" t="s">
        <v>746</v>
      </c>
      <c r="H69" s="140" t="s">
        <v>314</v>
      </c>
      <c r="I69" s="140" t="s">
        <v>618</v>
      </c>
      <c r="J69" s="140" t="s">
        <v>748</v>
      </c>
      <c r="K69" s="140">
        <v>90191020</v>
      </c>
      <c r="L69" s="176">
        <f>VLOOKUP(E69,'Margin Calculation'!F:U,16,0)</f>
        <v>8.4</v>
      </c>
      <c r="M69" s="176">
        <f>VLOOKUP(E69,'Margin Calculation'!F:V,17,0)</f>
        <v>0</v>
      </c>
      <c r="N69" s="177">
        <f t="shared" si="15"/>
        <v>0.16800000000000001</v>
      </c>
      <c r="O69" s="178">
        <f>VLOOKUP(E69,'Margin Calculation'!F:X,19,0)</f>
        <v>0.9424800000000001</v>
      </c>
      <c r="P69" s="179">
        <f t="shared" si="0"/>
        <v>836.92223999999999</v>
      </c>
      <c r="Q69" s="180">
        <f t="shared" ref="Q69:Q73" si="39">P69*1.12</f>
        <v>937.35290880000002</v>
      </c>
      <c r="R69" s="181">
        <f>VLOOKUP(E69,'Margin Calculation'!F:AA,22,0)</f>
        <v>202.42499999999998</v>
      </c>
      <c r="S69" s="182">
        <v>50</v>
      </c>
      <c r="T69" s="182">
        <v>107</v>
      </c>
      <c r="U69" s="182">
        <v>577.4</v>
      </c>
      <c r="V69" s="182">
        <f t="shared" ref="V69:V73" si="40">AF69*20%</f>
        <v>537.80000000000007</v>
      </c>
      <c r="W69" s="182">
        <f t="shared" si="3"/>
        <v>26.89</v>
      </c>
      <c r="X69" s="182">
        <f t="shared" si="4"/>
        <v>134.45000000000002</v>
      </c>
      <c r="Y69" s="182">
        <f t="shared" si="5"/>
        <v>53.78</v>
      </c>
      <c r="Z69" s="183">
        <f t="shared" si="6"/>
        <v>410.18644067796595</v>
      </c>
      <c r="AA69" s="182">
        <f t="shared" si="7"/>
        <v>134.45000000000002</v>
      </c>
      <c r="AB69" s="182">
        <f t="shared" si="8"/>
        <v>80.67</v>
      </c>
      <c r="AC69" s="179">
        <f t="shared" si="9"/>
        <v>2574.573680677966</v>
      </c>
      <c r="AD69" s="183">
        <f t="shared" si="10"/>
        <v>114.42631932203403</v>
      </c>
      <c r="AE69" s="184">
        <f t="shared" si="11"/>
        <v>4.2553484314627757E-2</v>
      </c>
      <c r="AF69" s="183">
        <v>2689</v>
      </c>
      <c r="AG69" s="183"/>
      <c r="AH69" s="183"/>
      <c r="AI69" s="183">
        <v>3999</v>
      </c>
      <c r="AJ69" s="179">
        <f t="shared" si="12"/>
        <v>1441.8913193220342</v>
      </c>
      <c r="AK69" s="184">
        <f t="shared" si="13"/>
        <v>0.53621841551581784</v>
      </c>
      <c r="AL69" s="182">
        <v>8904422505308</v>
      </c>
      <c r="AM69" s="182"/>
      <c r="AN69" s="189" t="s">
        <v>701</v>
      </c>
      <c r="AO69" s="190">
        <v>1999</v>
      </c>
      <c r="AP69" s="182"/>
      <c r="AQ69" s="182"/>
      <c r="AR69" s="182"/>
    </row>
    <row r="70" spans="1:44">
      <c r="A70" s="140"/>
      <c r="B70" s="140"/>
      <c r="C70" s="140"/>
      <c r="D70" s="140" t="s">
        <v>934</v>
      </c>
      <c r="E70" s="140" t="s">
        <v>749</v>
      </c>
      <c r="F70" s="140" t="s">
        <v>952</v>
      </c>
      <c r="G70" s="140" t="s">
        <v>751</v>
      </c>
      <c r="H70" s="140" t="s">
        <v>314</v>
      </c>
      <c r="I70" s="140" t="s">
        <v>618</v>
      </c>
      <c r="J70" s="140" t="s">
        <v>752</v>
      </c>
      <c r="K70" s="140">
        <v>90191020</v>
      </c>
      <c r="L70" s="176">
        <f>VLOOKUP(E70,'Margin Calculation'!F:U,16,0)</f>
        <v>8.65</v>
      </c>
      <c r="M70" s="176">
        <f>VLOOKUP(E70,'Margin Calculation'!F:V,17,0)</f>
        <v>0</v>
      </c>
      <c r="N70" s="177">
        <f t="shared" si="15"/>
        <v>0.17300000000000001</v>
      </c>
      <c r="O70" s="178">
        <f>VLOOKUP(E70,'Margin Calculation'!F:X,19,0)</f>
        <v>0.97053000000000023</v>
      </c>
      <c r="P70" s="179">
        <f t="shared" si="0"/>
        <v>861.83064000000002</v>
      </c>
      <c r="Q70" s="180">
        <f t="shared" si="39"/>
        <v>965.25031680000006</v>
      </c>
      <c r="R70" s="181">
        <f>VLOOKUP(E70,'Margin Calculation'!F:AA,22,0)</f>
        <v>108.675</v>
      </c>
      <c r="S70" s="182">
        <v>50</v>
      </c>
      <c r="T70" s="182">
        <v>59</v>
      </c>
      <c r="U70" s="182">
        <v>287.10000000000002</v>
      </c>
      <c r="V70" s="182">
        <f t="shared" si="40"/>
        <v>289.8</v>
      </c>
      <c r="W70" s="182">
        <f t="shared" si="3"/>
        <v>14.49</v>
      </c>
      <c r="X70" s="182">
        <f t="shared" si="4"/>
        <v>72.45</v>
      </c>
      <c r="Y70" s="182">
        <f t="shared" si="5"/>
        <v>28.98</v>
      </c>
      <c r="Z70" s="183">
        <f t="shared" si="6"/>
        <v>221.03389830508468</v>
      </c>
      <c r="AA70" s="182">
        <f t="shared" si="7"/>
        <v>72.45</v>
      </c>
      <c r="AB70" s="182">
        <f t="shared" si="8"/>
        <v>43.47</v>
      </c>
      <c r="AC70" s="179">
        <f t="shared" si="9"/>
        <v>1822.1795383050846</v>
      </c>
      <c r="AD70" s="183">
        <f t="shared" si="10"/>
        <v>-373.17953830508463</v>
      </c>
      <c r="AE70" s="184">
        <f t="shared" si="11"/>
        <v>-0.25754281456527578</v>
      </c>
      <c r="AF70" s="183">
        <v>1449</v>
      </c>
      <c r="AG70" s="183"/>
      <c r="AH70" s="183"/>
      <c r="AI70" s="183">
        <v>3399</v>
      </c>
      <c r="AJ70" s="179">
        <f t="shared" si="12"/>
        <v>366.13546169491531</v>
      </c>
      <c r="AK70" s="184">
        <f t="shared" si="13"/>
        <v>0.2526814780503211</v>
      </c>
      <c r="AL70" s="182">
        <v>8904422505315</v>
      </c>
      <c r="AM70" s="182"/>
      <c r="AN70" s="189" t="s">
        <v>622</v>
      </c>
      <c r="AO70" s="190">
        <v>1219</v>
      </c>
      <c r="AP70" s="182"/>
      <c r="AQ70" s="182"/>
      <c r="AR70" s="182"/>
    </row>
    <row r="71" spans="1:44">
      <c r="A71" s="140"/>
      <c r="B71" s="140"/>
      <c r="C71" s="140"/>
      <c r="D71" s="140" t="s">
        <v>934</v>
      </c>
      <c r="E71" s="140" t="s">
        <v>764</v>
      </c>
      <c r="F71" s="140" t="s">
        <v>943</v>
      </c>
      <c r="G71" s="140" t="s">
        <v>766</v>
      </c>
      <c r="H71" s="140" t="s">
        <v>314</v>
      </c>
      <c r="I71" s="140" t="s">
        <v>618</v>
      </c>
      <c r="J71" s="140" t="s">
        <v>767</v>
      </c>
      <c r="K71" s="140">
        <v>90191020</v>
      </c>
      <c r="L71" s="176">
        <f>VLOOKUP(E71,'Margin Calculation'!F:U,16,0)</f>
        <v>12</v>
      </c>
      <c r="M71" s="176">
        <f>VLOOKUP(E71,'Margin Calculation'!F:V,17,0)</f>
        <v>0</v>
      </c>
      <c r="N71" s="177">
        <f t="shared" si="15"/>
        <v>0.24</v>
      </c>
      <c r="O71" s="178">
        <f>VLOOKUP(E71,'Margin Calculation'!F:X,19,0)</f>
        <v>1.3464000000000003</v>
      </c>
      <c r="P71" s="179">
        <f t="shared" si="0"/>
        <v>1195.6032</v>
      </c>
      <c r="Q71" s="180">
        <f t="shared" si="39"/>
        <v>1339.0755840000002</v>
      </c>
      <c r="R71" s="181">
        <f>VLOOKUP(E71,'Margin Calculation'!F:AA,22,0)</f>
        <v>132.22499999999999</v>
      </c>
      <c r="S71" s="182">
        <v>50</v>
      </c>
      <c r="T71" s="182">
        <v>79</v>
      </c>
      <c r="U71" s="182">
        <v>389.9</v>
      </c>
      <c r="V71" s="182">
        <f t="shared" si="40"/>
        <v>352.6</v>
      </c>
      <c r="W71" s="182">
        <f t="shared" si="3"/>
        <v>17.63</v>
      </c>
      <c r="X71" s="182">
        <f t="shared" si="4"/>
        <v>88.15</v>
      </c>
      <c r="Y71" s="182">
        <f t="shared" si="5"/>
        <v>35.26</v>
      </c>
      <c r="Z71" s="183">
        <f t="shared" si="6"/>
        <v>268.93220338983042</v>
      </c>
      <c r="AA71" s="182">
        <f t="shared" si="7"/>
        <v>88.15</v>
      </c>
      <c r="AB71" s="182">
        <f t="shared" si="8"/>
        <v>52.89</v>
      </c>
      <c r="AC71" s="179">
        <f t="shared" si="9"/>
        <v>2360.4404033898304</v>
      </c>
      <c r="AD71" s="183">
        <f t="shared" si="10"/>
        <v>-597.44040338983041</v>
      </c>
      <c r="AE71" s="184">
        <f t="shared" si="11"/>
        <v>-0.33887714315929124</v>
      </c>
      <c r="AF71" s="183">
        <v>1763</v>
      </c>
      <c r="AG71" s="183"/>
      <c r="AH71" s="183"/>
      <c r="AI71" s="183">
        <v>6299</v>
      </c>
      <c r="AJ71" s="179">
        <f t="shared" si="12"/>
        <v>298.46459661016956</v>
      </c>
      <c r="AK71" s="184">
        <f t="shared" si="13"/>
        <v>0.16929358854802584</v>
      </c>
      <c r="AL71" s="182">
        <v>8904422505353</v>
      </c>
      <c r="AM71" s="182"/>
      <c r="AN71" s="189" t="s">
        <v>442</v>
      </c>
      <c r="AO71" s="189">
        <v>898</v>
      </c>
      <c r="AP71" s="182"/>
      <c r="AQ71" s="182"/>
      <c r="AR71" s="182"/>
    </row>
    <row r="72" spans="1:44">
      <c r="A72" s="140"/>
      <c r="B72" s="140"/>
      <c r="C72" s="140"/>
      <c r="D72" s="140" t="s">
        <v>953</v>
      </c>
      <c r="E72" s="44" t="s">
        <v>954</v>
      </c>
      <c r="F72" s="75" t="s">
        <v>769</v>
      </c>
      <c r="G72" s="140" t="s">
        <v>770</v>
      </c>
      <c r="H72" s="140" t="s">
        <v>314</v>
      </c>
      <c r="I72" s="140" t="s">
        <v>618</v>
      </c>
      <c r="J72" s="140" t="s">
        <v>771</v>
      </c>
      <c r="K72" s="140">
        <v>90191020</v>
      </c>
      <c r="L72" s="176" t="e">
        <f>VLOOKUP(E72,'Margin Calculation'!F:U,16,0)</f>
        <v>#N/A</v>
      </c>
      <c r="M72" s="176" t="e">
        <f>VLOOKUP(E72,'Margin Calculation'!F:V,17,0)</f>
        <v>#N/A</v>
      </c>
      <c r="N72" s="177" t="e">
        <f t="shared" si="15"/>
        <v>#N/A</v>
      </c>
      <c r="O72" s="182" t="e">
        <f>VLOOKUP(E72,'Margin Calculation'!F:X,19,0)</f>
        <v>#N/A</v>
      </c>
      <c r="P72" s="179" t="e">
        <f t="shared" si="0"/>
        <v>#N/A</v>
      </c>
      <c r="Q72" s="180" t="e">
        <f t="shared" si="39"/>
        <v>#N/A</v>
      </c>
      <c r="R72" s="182" t="e">
        <f>VLOOKUP(E72,'Margin Calculation'!F:AA,22,0)</f>
        <v>#N/A</v>
      </c>
      <c r="S72" s="182">
        <v>50</v>
      </c>
      <c r="T72" s="182">
        <v>107</v>
      </c>
      <c r="U72" s="182">
        <v>418.6</v>
      </c>
      <c r="V72" s="182">
        <f t="shared" si="40"/>
        <v>351.8</v>
      </c>
      <c r="W72" s="182">
        <f t="shared" si="3"/>
        <v>17.59</v>
      </c>
      <c r="X72" s="182">
        <f t="shared" si="4"/>
        <v>87.95</v>
      </c>
      <c r="Y72" s="182">
        <f t="shared" si="5"/>
        <v>35.18</v>
      </c>
      <c r="Z72" s="183">
        <f t="shared" si="6"/>
        <v>268.32203389830511</v>
      </c>
      <c r="AA72" s="182">
        <f t="shared" si="7"/>
        <v>87.95</v>
      </c>
      <c r="AB72" s="182">
        <f t="shared" si="8"/>
        <v>52.769999999999996</v>
      </c>
      <c r="AC72" s="182" t="e">
        <f t="shared" si="9"/>
        <v>#N/A</v>
      </c>
      <c r="AD72" s="182" t="e">
        <f t="shared" si="10"/>
        <v>#N/A</v>
      </c>
      <c r="AE72" s="184" t="e">
        <f t="shared" si="11"/>
        <v>#N/A</v>
      </c>
      <c r="AF72" s="183">
        <v>1759</v>
      </c>
      <c r="AG72" s="183"/>
      <c r="AH72" s="183"/>
      <c r="AI72" s="183">
        <v>3199</v>
      </c>
      <c r="AJ72" s="179" t="e">
        <f t="shared" si="12"/>
        <v>#N/A</v>
      </c>
      <c r="AK72" s="184" t="e">
        <f t="shared" si="13"/>
        <v>#N/A</v>
      </c>
      <c r="AL72" s="182">
        <v>8904422505360</v>
      </c>
      <c r="AM72" s="182"/>
      <c r="AN72" s="189" t="s">
        <v>544</v>
      </c>
      <c r="AO72" s="190">
        <v>1019</v>
      </c>
      <c r="AP72" s="182"/>
      <c r="AQ72" s="182"/>
      <c r="AR72" s="182"/>
    </row>
    <row r="73" spans="1:44">
      <c r="A73" s="140"/>
      <c r="B73" s="140"/>
      <c r="C73" s="140"/>
      <c r="D73" s="140" t="s">
        <v>934</v>
      </c>
      <c r="E73" s="140" t="s">
        <v>775</v>
      </c>
      <c r="F73" s="140" t="s">
        <v>955</v>
      </c>
      <c r="G73" s="140" t="s">
        <v>777</v>
      </c>
      <c r="H73" s="140" t="s">
        <v>314</v>
      </c>
      <c r="I73" s="140" t="s">
        <v>618</v>
      </c>
      <c r="J73" s="140" t="s">
        <v>778</v>
      </c>
      <c r="K73" s="140">
        <v>90191020</v>
      </c>
      <c r="L73" s="176">
        <f>VLOOKUP(E73,'Margin Calculation'!F:U,16,0)</f>
        <v>7.82</v>
      </c>
      <c r="M73" s="176">
        <f>VLOOKUP(E73,'Margin Calculation'!F:V,17,0)</f>
        <v>0</v>
      </c>
      <c r="N73" s="177">
        <f t="shared" si="15"/>
        <v>0.15640000000000001</v>
      </c>
      <c r="O73" s="178">
        <f>VLOOKUP(E73,'Margin Calculation'!F:X,19,0)</f>
        <v>0.87740400000000007</v>
      </c>
      <c r="P73" s="179">
        <f t="shared" si="0"/>
        <v>779.13475200000005</v>
      </c>
      <c r="Q73" s="180">
        <f t="shared" si="39"/>
        <v>872.63092224000013</v>
      </c>
      <c r="R73" s="181">
        <f>VLOOKUP(E73,'Margin Calculation'!F:AA,22,0)</f>
        <v>139.42499999999998</v>
      </c>
      <c r="S73" s="182">
        <v>50</v>
      </c>
      <c r="T73" s="182">
        <v>135</v>
      </c>
      <c r="U73" s="182">
        <v>475.6</v>
      </c>
      <c r="V73" s="182">
        <f t="shared" si="40"/>
        <v>371.8</v>
      </c>
      <c r="W73" s="182">
        <f t="shared" si="3"/>
        <v>18.59</v>
      </c>
      <c r="X73" s="182">
        <f t="shared" si="4"/>
        <v>92.95</v>
      </c>
      <c r="Y73" s="182">
        <f t="shared" si="5"/>
        <v>37.18</v>
      </c>
      <c r="Z73" s="183">
        <f t="shared" si="6"/>
        <v>283.57627118644064</v>
      </c>
      <c r="AA73" s="182">
        <f t="shared" si="7"/>
        <v>92.95</v>
      </c>
      <c r="AB73" s="182">
        <f t="shared" si="8"/>
        <v>55.769999999999996</v>
      </c>
      <c r="AC73" s="179">
        <f t="shared" si="9"/>
        <v>2056.3760231864408</v>
      </c>
      <c r="AD73" s="183">
        <f t="shared" si="10"/>
        <v>-197.37602318644076</v>
      </c>
      <c r="AE73" s="184">
        <f t="shared" si="11"/>
        <v>-0.10617322387651466</v>
      </c>
      <c r="AF73" s="183">
        <v>1859</v>
      </c>
      <c r="AG73" s="183">
        <v>300</v>
      </c>
      <c r="AH73" s="183"/>
      <c r="AI73" s="183">
        <v>3399</v>
      </c>
      <c r="AJ73" s="179">
        <f t="shared" si="12"/>
        <v>796.28897681355943</v>
      </c>
      <c r="AK73" s="184">
        <f t="shared" si="13"/>
        <v>0.42834264487012341</v>
      </c>
      <c r="AL73" s="182">
        <v>8904422505384</v>
      </c>
      <c r="AM73" s="182"/>
      <c r="AN73" s="189" t="s">
        <v>737</v>
      </c>
      <c r="AO73" s="190">
        <v>2999</v>
      </c>
      <c r="AP73" s="182"/>
      <c r="AQ73" s="182"/>
      <c r="AR73" s="182"/>
    </row>
    <row r="74" spans="1:44">
      <c r="A74" s="140"/>
      <c r="B74" s="140"/>
      <c r="C74" s="140"/>
      <c r="D74" s="191" t="s">
        <v>934</v>
      </c>
      <c r="E74" s="191" t="s">
        <v>779</v>
      </c>
      <c r="F74" s="191" t="s">
        <v>780</v>
      </c>
      <c r="G74" s="191" t="s">
        <v>781</v>
      </c>
      <c r="H74" s="191" t="s">
        <v>234</v>
      </c>
      <c r="I74" s="191" t="s">
        <v>249</v>
      </c>
      <c r="J74" s="191" t="s">
        <v>782</v>
      </c>
      <c r="K74" s="191">
        <v>85086000</v>
      </c>
      <c r="L74" s="192">
        <f>VLOOKUP(E74,'Margin Calculation'!F:U,16,0)</f>
        <v>7.4</v>
      </c>
      <c r="M74" s="192">
        <f>VLOOKUP(E74,'Margin Calculation'!F:V,17,0)</f>
        <v>0</v>
      </c>
      <c r="N74" s="193">
        <f t="shared" si="15"/>
        <v>0.14800000000000002</v>
      </c>
      <c r="O74" s="194">
        <f>VLOOKUP(E74,'Margin Calculation'!F:X,19,0)</f>
        <v>0.83028000000000013</v>
      </c>
      <c r="P74" s="195">
        <f t="shared" si="0"/>
        <v>737.28863999999999</v>
      </c>
      <c r="Q74" s="196">
        <f t="shared" ref="Q74:Q88" si="41">P74*1.18</f>
        <v>870.00059519999991</v>
      </c>
      <c r="R74" s="197">
        <f>VLOOKUP(E74,'Margin Calculation'!F:AA,22,0)</f>
        <v>97.435000000000002</v>
      </c>
      <c r="S74" s="198">
        <v>50</v>
      </c>
      <c r="T74" s="198">
        <v>135</v>
      </c>
      <c r="U74" s="198">
        <v>276.3</v>
      </c>
      <c r="V74" s="198">
        <f t="shared" ref="V74:V86" si="42">AF74*10%</f>
        <v>139.9</v>
      </c>
      <c r="W74" s="198">
        <f t="shared" si="3"/>
        <v>13.99</v>
      </c>
      <c r="X74" s="198">
        <f t="shared" si="4"/>
        <v>69.95</v>
      </c>
      <c r="Y74" s="198">
        <f t="shared" si="5"/>
        <v>27.98</v>
      </c>
      <c r="Z74" s="199">
        <f t="shared" si="6"/>
        <v>213.4067796610168</v>
      </c>
      <c r="AA74" s="198">
        <f t="shared" si="7"/>
        <v>69.95</v>
      </c>
      <c r="AB74" s="198">
        <f t="shared" si="8"/>
        <v>41.97</v>
      </c>
      <c r="AC74" s="195">
        <f t="shared" si="9"/>
        <v>1596.870419661017</v>
      </c>
      <c r="AD74" s="199">
        <f t="shared" si="10"/>
        <v>-197.87041966101697</v>
      </c>
      <c r="AE74" s="200">
        <f t="shared" si="11"/>
        <v>-0.14143704050108433</v>
      </c>
      <c r="AF74" s="199">
        <f>VLOOKUP(F74,AN:AO,2,0)</f>
        <v>1399</v>
      </c>
      <c r="AG74" s="199"/>
      <c r="AH74" s="199"/>
      <c r="AI74" s="199">
        <v>3699</v>
      </c>
      <c r="AJ74" s="195">
        <f t="shared" si="12"/>
        <v>448.30458033898321</v>
      </c>
      <c r="AK74" s="200">
        <f t="shared" si="13"/>
        <v>0.32044644770477715</v>
      </c>
      <c r="AL74" s="198">
        <v>8904422505391</v>
      </c>
      <c r="AM74" s="182"/>
      <c r="AN74" s="189" t="s">
        <v>521</v>
      </c>
      <c r="AO74" s="190">
        <v>1399</v>
      </c>
      <c r="AP74" s="182"/>
      <c r="AQ74" s="182"/>
      <c r="AR74" s="182"/>
    </row>
    <row r="75" spans="1:44">
      <c r="A75" s="140"/>
      <c r="B75" s="140"/>
      <c r="C75" s="140"/>
      <c r="D75" s="140" t="s">
        <v>934</v>
      </c>
      <c r="E75" s="140" t="s">
        <v>783</v>
      </c>
      <c r="F75" s="140" t="s">
        <v>784</v>
      </c>
      <c r="G75" s="140" t="s">
        <v>785</v>
      </c>
      <c r="H75" s="140" t="s">
        <v>786</v>
      </c>
      <c r="I75" s="140"/>
      <c r="J75" s="140" t="s">
        <v>787</v>
      </c>
      <c r="K75" s="140">
        <v>85098000</v>
      </c>
      <c r="L75" s="176">
        <f>VLOOKUP(E75,'Margin Calculation'!F:U,16,0)</f>
        <v>10.8</v>
      </c>
      <c r="M75" s="176">
        <f>VLOOKUP(E75,'Margin Calculation'!F:V,17,0)</f>
        <v>0</v>
      </c>
      <c r="N75" s="177">
        <f t="shared" si="15"/>
        <v>0.21600000000000003</v>
      </c>
      <c r="O75" s="178">
        <f>VLOOKUP(E75,'Margin Calculation'!F:X,19,0)</f>
        <v>2.4235200000000003</v>
      </c>
      <c r="P75" s="179">
        <f t="shared" si="0"/>
        <v>1182.67776</v>
      </c>
      <c r="Q75" s="180">
        <f t="shared" si="41"/>
        <v>1395.5597568000001</v>
      </c>
      <c r="R75" s="181">
        <f>VLOOKUP(E75,'Margin Calculation'!F:AA,22,0)</f>
        <v>180</v>
      </c>
      <c r="S75" s="182">
        <v>50</v>
      </c>
      <c r="T75" s="182">
        <v>135</v>
      </c>
      <c r="U75" s="182">
        <v>380.3</v>
      </c>
      <c r="V75" s="182">
        <f t="shared" si="42"/>
        <v>279.90000000000003</v>
      </c>
      <c r="W75" s="182">
        <f t="shared" si="3"/>
        <v>27.990000000000002</v>
      </c>
      <c r="X75" s="182">
        <f t="shared" si="4"/>
        <v>139.95000000000002</v>
      </c>
      <c r="Y75" s="182">
        <f t="shared" si="5"/>
        <v>55.980000000000004</v>
      </c>
      <c r="Z75" s="183">
        <f t="shared" si="6"/>
        <v>426.96610169491532</v>
      </c>
      <c r="AA75" s="182">
        <f t="shared" si="7"/>
        <v>139.95000000000002</v>
      </c>
      <c r="AB75" s="182">
        <f t="shared" si="8"/>
        <v>83.97</v>
      </c>
      <c r="AC75" s="179">
        <f t="shared" si="9"/>
        <v>2702.3838616949151</v>
      </c>
      <c r="AD75" s="183">
        <f t="shared" si="10"/>
        <v>96.61613830508486</v>
      </c>
      <c r="AE75" s="184">
        <f t="shared" si="11"/>
        <v>3.4518091570233965E-2</v>
      </c>
      <c r="AF75" s="183">
        <v>2799</v>
      </c>
      <c r="AG75" s="183"/>
      <c r="AH75" s="183"/>
      <c r="AI75" s="183">
        <v>5499</v>
      </c>
      <c r="AJ75" s="179">
        <f t="shared" si="12"/>
        <v>1189.3561383050846</v>
      </c>
      <c r="AK75" s="184">
        <f t="shared" si="13"/>
        <v>0.42492180718295269</v>
      </c>
      <c r="AL75" s="182">
        <v>8904422505520</v>
      </c>
      <c r="AM75" s="182"/>
      <c r="AN75" s="189" t="s">
        <v>581</v>
      </c>
      <c r="AO75" s="190">
        <v>2498</v>
      </c>
      <c r="AP75" s="182"/>
      <c r="AQ75" s="182"/>
      <c r="AR75" s="182"/>
    </row>
    <row r="76" spans="1:44">
      <c r="A76" s="140"/>
      <c r="B76" s="140"/>
      <c r="C76" s="140"/>
      <c r="D76" s="140" t="s">
        <v>934</v>
      </c>
      <c r="E76" s="140" t="s">
        <v>788</v>
      </c>
      <c r="F76" s="140" t="s">
        <v>789</v>
      </c>
      <c r="G76" s="140" t="s">
        <v>790</v>
      </c>
      <c r="H76" s="140" t="s">
        <v>671</v>
      </c>
      <c r="I76" s="140"/>
      <c r="J76" s="140" t="s">
        <v>791</v>
      </c>
      <c r="K76" s="140">
        <v>85094090</v>
      </c>
      <c r="L76" s="176">
        <f>VLOOKUP(E76,'Margin Calculation'!F:U,16,0)</f>
        <v>25.5</v>
      </c>
      <c r="M76" s="176">
        <f>VLOOKUP(E76,'Margin Calculation'!F:V,17,0)</f>
        <v>0</v>
      </c>
      <c r="N76" s="177">
        <f t="shared" si="15"/>
        <v>0.51</v>
      </c>
      <c r="O76" s="178">
        <f>VLOOKUP(E76,'Margin Calculation'!F:X,19,0)</f>
        <v>5.7222000000000008</v>
      </c>
      <c r="P76" s="179">
        <f t="shared" si="0"/>
        <v>2792.4336000000003</v>
      </c>
      <c r="Q76" s="180">
        <f t="shared" si="41"/>
        <v>3295.0716480000001</v>
      </c>
      <c r="R76" s="181">
        <f>VLOOKUP(E76,'Margin Calculation'!F:AA,22,0)</f>
        <v>479.92</v>
      </c>
      <c r="S76" s="182">
        <v>54</v>
      </c>
      <c r="T76" s="182">
        <v>219</v>
      </c>
      <c r="U76" s="182">
        <v>736.9</v>
      </c>
      <c r="V76" s="182">
        <f t="shared" si="42"/>
        <v>599.9</v>
      </c>
      <c r="W76" s="182">
        <f t="shared" si="3"/>
        <v>59.99</v>
      </c>
      <c r="X76" s="182">
        <f t="shared" si="4"/>
        <v>299.95</v>
      </c>
      <c r="Y76" s="182">
        <f t="shared" si="5"/>
        <v>119.98</v>
      </c>
      <c r="Z76" s="183">
        <f t="shared" si="6"/>
        <v>915.10169491525357</v>
      </c>
      <c r="AA76" s="182">
        <f t="shared" si="7"/>
        <v>299.95</v>
      </c>
      <c r="AB76" s="182">
        <f t="shared" si="8"/>
        <v>179.97</v>
      </c>
      <c r="AC76" s="179">
        <f t="shared" si="9"/>
        <v>6020.1952949152528</v>
      </c>
      <c r="AD76" s="183">
        <f t="shared" si="10"/>
        <v>-21.195294915252816</v>
      </c>
      <c r="AE76" s="184">
        <f t="shared" si="11"/>
        <v>-3.533138008876949E-3</v>
      </c>
      <c r="AF76" s="183">
        <v>5999</v>
      </c>
      <c r="AG76" s="183"/>
      <c r="AH76" s="183"/>
      <c r="AI76" s="183">
        <v>10999</v>
      </c>
      <c r="AJ76" s="179">
        <f t="shared" si="12"/>
        <v>2291.4647050847461</v>
      </c>
      <c r="AK76" s="184">
        <f t="shared" si="13"/>
        <v>0.38197444658855578</v>
      </c>
      <c r="AL76" s="182">
        <v>8904422505759</v>
      </c>
      <c r="AM76" s="182"/>
      <c r="AN76" s="189" t="s">
        <v>449</v>
      </c>
      <c r="AO76" s="190">
        <v>1119</v>
      </c>
      <c r="AP76" s="182"/>
      <c r="AQ76" s="182"/>
      <c r="AR76" s="182"/>
    </row>
    <row r="77" spans="1:44">
      <c r="A77" s="140"/>
      <c r="B77" s="140"/>
      <c r="C77" s="140"/>
      <c r="D77" s="140" t="s">
        <v>934</v>
      </c>
      <c r="E77" s="140" t="s">
        <v>792</v>
      </c>
      <c r="F77" s="140" t="s">
        <v>793</v>
      </c>
      <c r="G77" s="140" t="s">
        <v>794</v>
      </c>
      <c r="H77" s="140" t="s">
        <v>795</v>
      </c>
      <c r="I77" s="140"/>
      <c r="J77" s="140" t="s">
        <v>796</v>
      </c>
      <c r="K77" s="140">
        <v>85098000</v>
      </c>
      <c r="L77" s="176">
        <f>VLOOKUP(E77,'Margin Calculation'!F:U,16,0)</f>
        <v>2.84</v>
      </c>
      <c r="M77" s="176">
        <f>VLOOKUP(E77,'Margin Calculation'!F:V,17,0)</f>
        <v>0</v>
      </c>
      <c r="N77" s="177">
        <f t="shared" si="15"/>
        <v>5.6799999999999996E-2</v>
      </c>
      <c r="O77" s="178">
        <f>VLOOKUP(E77,'Margin Calculation'!F:X,19,0)</f>
        <v>0.63729600000000008</v>
      </c>
      <c r="P77" s="179">
        <f t="shared" si="0"/>
        <v>311.00044800000001</v>
      </c>
      <c r="Q77" s="180">
        <f t="shared" si="41"/>
        <v>366.98052863999999</v>
      </c>
      <c r="R77" s="181">
        <f>VLOOKUP(E77,'Margin Calculation'!F:AA,22,0)</f>
        <v>56.174999999999997</v>
      </c>
      <c r="S77" s="182">
        <v>12</v>
      </c>
      <c r="T77" s="182">
        <v>60</v>
      </c>
      <c r="U77" s="182">
        <v>103.5</v>
      </c>
      <c r="V77" s="182">
        <f t="shared" si="42"/>
        <v>69.900000000000006</v>
      </c>
      <c r="W77" s="182">
        <f t="shared" si="3"/>
        <v>6.99</v>
      </c>
      <c r="X77" s="182">
        <f t="shared" si="4"/>
        <v>34.950000000000003</v>
      </c>
      <c r="Y77" s="182">
        <f t="shared" si="5"/>
        <v>13.98</v>
      </c>
      <c r="Z77" s="183">
        <f t="shared" si="6"/>
        <v>106.62711864406776</v>
      </c>
      <c r="AA77" s="182">
        <f t="shared" si="7"/>
        <v>34.950000000000003</v>
      </c>
      <c r="AB77" s="182">
        <f t="shared" si="8"/>
        <v>20.97</v>
      </c>
      <c r="AC77" s="179">
        <f t="shared" si="9"/>
        <v>727.54256664406796</v>
      </c>
      <c r="AD77" s="183">
        <f t="shared" si="10"/>
        <v>-28.542566644067961</v>
      </c>
      <c r="AE77" s="184">
        <f t="shared" si="11"/>
        <v>-4.0833428675347581E-2</v>
      </c>
      <c r="AF77" s="183">
        <v>699</v>
      </c>
      <c r="AG77" s="183"/>
      <c r="AH77" s="183"/>
      <c r="AI77" s="183">
        <v>1199</v>
      </c>
      <c r="AJ77" s="179">
        <f t="shared" si="12"/>
        <v>281.37243335593223</v>
      </c>
      <c r="AK77" s="184">
        <f t="shared" si="13"/>
        <v>0.40253567003709906</v>
      </c>
      <c r="AL77" s="182">
        <v>8904422505780</v>
      </c>
      <c r="AM77" s="182"/>
      <c r="AN77" s="189" t="s">
        <v>553</v>
      </c>
      <c r="AO77" s="189">
        <v>599</v>
      </c>
      <c r="AP77" s="182"/>
      <c r="AQ77" s="182"/>
      <c r="AR77" s="182"/>
    </row>
    <row r="78" spans="1:44">
      <c r="A78" s="140"/>
      <c r="B78" s="140"/>
      <c r="C78" s="140"/>
      <c r="D78" s="140" t="s">
        <v>934</v>
      </c>
      <c r="E78" s="140" t="s">
        <v>797</v>
      </c>
      <c r="F78" s="140" t="s">
        <v>798</v>
      </c>
      <c r="G78" s="140" t="s">
        <v>799</v>
      </c>
      <c r="H78" s="140" t="s">
        <v>800</v>
      </c>
      <c r="I78" s="140"/>
      <c r="J78" s="140" t="s">
        <v>801</v>
      </c>
      <c r="K78" s="140">
        <v>90191020</v>
      </c>
      <c r="L78" s="176">
        <f>VLOOKUP(E78,'Margin Calculation'!F:U,16,0)</f>
        <v>8</v>
      </c>
      <c r="M78" s="176">
        <f>VLOOKUP(E78,'Margin Calculation'!F:V,17,0)</f>
        <v>0</v>
      </c>
      <c r="N78" s="177">
        <f t="shared" si="15"/>
        <v>0.16</v>
      </c>
      <c r="O78" s="178">
        <f>VLOOKUP(E78,'Margin Calculation'!F:X,19,0)</f>
        <v>0.89760000000000018</v>
      </c>
      <c r="P78" s="179">
        <f t="shared" si="0"/>
        <v>797.06880000000001</v>
      </c>
      <c r="Q78" s="180">
        <f t="shared" si="41"/>
        <v>940.54118399999993</v>
      </c>
      <c r="R78" s="181">
        <f>VLOOKUP(E78,'Margin Calculation'!F:AA,22,0)</f>
        <v>139.42499999999998</v>
      </c>
      <c r="S78" s="182">
        <v>50</v>
      </c>
      <c r="T78" s="182">
        <v>59</v>
      </c>
      <c r="U78" s="182">
        <v>384.4</v>
      </c>
      <c r="V78" s="182">
        <f t="shared" si="42"/>
        <v>204.5</v>
      </c>
      <c r="W78" s="182">
        <f t="shared" si="3"/>
        <v>20.45</v>
      </c>
      <c r="X78" s="182">
        <f t="shared" si="4"/>
        <v>102.25</v>
      </c>
      <c r="Y78" s="182">
        <f t="shared" si="5"/>
        <v>40.9</v>
      </c>
      <c r="Z78" s="183">
        <f t="shared" si="6"/>
        <v>311.94915254237276</v>
      </c>
      <c r="AA78" s="182">
        <f t="shared" si="7"/>
        <v>102.25</v>
      </c>
      <c r="AB78" s="182">
        <f t="shared" si="8"/>
        <v>61.349999999999994</v>
      </c>
      <c r="AC78" s="179">
        <f t="shared" si="9"/>
        <v>1889.1429525423728</v>
      </c>
      <c r="AD78" s="183">
        <f t="shared" si="10"/>
        <v>155.85704745762723</v>
      </c>
      <c r="AE78" s="184">
        <f t="shared" si="11"/>
        <v>7.6213715138204019E-2</v>
      </c>
      <c r="AF78" s="183">
        <v>2045</v>
      </c>
      <c r="AG78" s="183">
        <v>300</v>
      </c>
      <c r="AH78" s="183"/>
      <c r="AI78" s="183">
        <v>3499</v>
      </c>
      <c r="AJ78" s="179">
        <f t="shared" si="12"/>
        <v>935.98204745762723</v>
      </c>
      <c r="AK78" s="184">
        <f t="shared" si="13"/>
        <v>0.45769293274211603</v>
      </c>
      <c r="AL78" s="182">
        <v>8904422505728</v>
      </c>
      <c r="AM78" s="182"/>
      <c r="AN78" s="189" t="s">
        <v>956</v>
      </c>
      <c r="AO78" s="190">
        <v>1699</v>
      </c>
      <c r="AP78" s="182"/>
      <c r="AQ78" s="182"/>
      <c r="AR78" s="182"/>
    </row>
    <row r="79" spans="1:44">
      <c r="A79" s="140"/>
      <c r="B79" s="140"/>
      <c r="C79" s="140"/>
      <c r="D79" s="140" t="s">
        <v>934</v>
      </c>
      <c r="E79" s="140" t="s">
        <v>802</v>
      </c>
      <c r="F79" s="140" t="s">
        <v>803</v>
      </c>
      <c r="G79" s="140" t="s">
        <v>804</v>
      </c>
      <c r="H79" s="140" t="s">
        <v>800</v>
      </c>
      <c r="I79" s="140"/>
      <c r="J79" s="140" t="s">
        <v>805</v>
      </c>
      <c r="K79" s="140">
        <v>90191020</v>
      </c>
      <c r="L79" s="176">
        <f>VLOOKUP(E79,'Margin Calculation'!F:U,16,0)</f>
        <v>7.9</v>
      </c>
      <c r="M79" s="176">
        <f>VLOOKUP(E79,'Margin Calculation'!F:V,17,0)</f>
        <v>0</v>
      </c>
      <c r="N79" s="177">
        <f t="shared" si="15"/>
        <v>0.158</v>
      </c>
      <c r="O79" s="178">
        <f>VLOOKUP(E79,'Margin Calculation'!F:X,19,0)</f>
        <v>0.88638000000000006</v>
      </c>
      <c r="P79" s="179">
        <f t="shared" si="0"/>
        <v>787.10544000000004</v>
      </c>
      <c r="Q79" s="180">
        <f t="shared" si="41"/>
        <v>928.7844192</v>
      </c>
      <c r="R79" s="181">
        <f>VLOOKUP(E79,'Margin Calculation'!F:AA,22,0)</f>
        <v>154.42499999999998</v>
      </c>
      <c r="S79" s="182">
        <v>50</v>
      </c>
      <c r="T79" s="182">
        <v>79</v>
      </c>
      <c r="U79" s="182">
        <v>433.4</v>
      </c>
      <c r="V79" s="182">
        <f t="shared" si="42"/>
        <v>218.3</v>
      </c>
      <c r="W79" s="182">
        <f t="shared" si="3"/>
        <v>21.830000000000002</v>
      </c>
      <c r="X79" s="182">
        <f t="shared" si="4"/>
        <v>109.15</v>
      </c>
      <c r="Y79" s="182">
        <f t="shared" si="5"/>
        <v>43.660000000000004</v>
      </c>
      <c r="Z79" s="183">
        <f t="shared" si="6"/>
        <v>333</v>
      </c>
      <c r="AA79" s="182">
        <f t="shared" si="7"/>
        <v>109.15</v>
      </c>
      <c r="AB79" s="182">
        <f t="shared" si="8"/>
        <v>65.489999999999995</v>
      </c>
      <c r="AC79" s="179">
        <f t="shared" si="9"/>
        <v>1971.1104400000002</v>
      </c>
      <c r="AD79" s="183">
        <f t="shared" si="10"/>
        <v>211.88955999999985</v>
      </c>
      <c r="AE79" s="184">
        <f t="shared" si="11"/>
        <v>9.7063472285845095E-2</v>
      </c>
      <c r="AF79" s="183">
        <v>2183</v>
      </c>
      <c r="AG79" s="183"/>
      <c r="AH79" s="183"/>
      <c r="AI79" s="183">
        <v>3899</v>
      </c>
      <c r="AJ79" s="179">
        <f t="shared" si="12"/>
        <v>1062.89456</v>
      </c>
      <c r="AK79" s="184">
        <f t="shared" si="13"/>
        <v>0.48689627118644063</v>
      </c>
      <c r="AL79" s="182">
        <v>8904422505735</v>
      </c>
      <c r="AM79" s="182"/>
      <c r="AN79" s="189" t="s">
        <v>336</v>
      </c>
      <c r="AO79" s="189">
        <v>398</v>
      </c>
      <c r="AP79" s="182"/>
      <c r="AQ79" s="182"/>
      <c r="AR79" s="182"/>
    </row>
    <row r="80" spans="1:44">
      <c r="A80" s="140"/>
      <c r="B80" s="140"/>
      <c r="C80" s="140"/>
      <c r="D80" s="140" t="s">
        <v>934</v>
      </c>
      <c r="E80" s="140" t="s">
        <v>810</v>
      </c>
      <c r="F80" s="140" t="s">
        <v>811</v>
      </c>
      <c r="G80" s="140" t="s">
        <v>812</v>
      </c>
      <c r="H80" s="140" t="s">
        <v>813</v>
      </c>
      <c r="I80" s="140"/>
      <c r="J80" s="140" t="s">
        <v>814</v>
      </c>
      <c r="K80" s="140">
        <v>94043090</v>
      </c>
      <c r="L80" s="176">
        <f>VLOOKUP(E80,'Margin Calculation'!F:U,16,0)</f>
        <v>3.6</v>
      </c>
      <c r="M80" s="176">
        <f>VLOOKUP(E80,'Margin Calculation'!F:V,17,0)</f>
        <v>0</v>
      </c>
      <c r="N80" s="177">
        <f t="shared" si="15"/>
        <v>7.2000000000000008E-2</v>
      </c>
      <c r="O80" s="178">
        <f>VLOOKUP(E80,'Margin Calculation'!F:X,19,0)</f>
        <v>1.0303116352941177</v>
      </c>
      <c r="P80" s="179">
        <f t="shared" si="0"/>
        <v>413.80342390588237</v>
      </c>
      <c r="Q80" s="180">
        <f t="shared" si="41"/>
        <v>488.2880402089412</v>
      </c>
      <c r="R80" s="181">
        <f>VLOOKUP(E80,'Margin Calculation'!F:AA,22,0)</f>
        <v>131.88</v>
      </c>
      <c r="S80" s="182">
        <v>50</v>
      </c>
      <c r="T80" s="182">
        <v>79</v>
      </c>
      <c r="U80" s="182">
        <v>261.5</v>
      </c>
      <c r="V80" s="182">
        <f t="shared" si="42"/>
        <v>109.9</v>
      </c>
      <c r="W80" s="182">
        <f t="shared" si="3"/>
        <v>10.99</v>
      </c>
      <c r="X80" s="182">
        <f t="shared" si="4"/>
        <v>54.95</v>
      </c>
      <c r="Y80" s="182">
        <f t="shared" si="5"/>
        <v>21.98</v>
      </c>
      <c r="Z80" s="183">
        <f t="shared" si="6"/>
        <v>167.6440677966101</v>
      </c>
      <c r="AA80" s="182">
        <f t="shared" si="7"/>
        <v>54.95</v>
      </c>
      <c r="AB80" s="182">
        <f t="shared" si="8"/>
        <v>32.97</v>
      </c>
      <c r="AC80" s="179">
        <f t="shared" si="9"/>
        <v>1128.0674917024926</v>
      </c>
      <c r="AD80" s="183">
        <f t="shared" si="10"/>
        <v>-29.067491702492589</v>
      </c>
      <c r="AE80" s="184">
        <f t="shared" si="11"/>
        <v>-2.644903703593502E-2</v>
      </c>
      <c r="AF80" s="183">
        <f t="shared" ref="AF80:AF82" si="43">VLOOKUP(F80,AN:AO,2,0)</f>
        <v>1099</v>
      </c>
      <c r="AG80" s="183"/>
      <c r="AH80" s="183"/>
      <c r="AI80" s="183">
        <v>1899</v>
      </c>
      <c r="AJ80" s="179">
        <f t="shared" si="12"/>
        <v>517.55250829750753</v>
      </c>
      <c r="AK80" s="184">
        <f t="shared" si="13"/>
        <v>0.4709303988148385</v>
      </c>
      <c r="AL80" s="182">
        <v>8904422505766</v>
      </c>
      <c r="AM80" s="182"/>
      <c r="AN80" s="189" t="s">
        <v>330</v>
      </c>
      <c r="AO80" s="189">
        <v>398</v>
      </c>
      <c r="AP80" s="182"/>
      <c r="AQ80" s="182"/>
      <c r="AR80" s="182"/>
    </row>
    <row r="81" spans="1:44">
      <c r="A81" s="140"/>
      <c r="B81" s="140"/>
      <c r="C81" s="140"/>
      <c r="D81" s="140" t="s">
        <v>934</v>
      </c>
      <c r="E81" s="140" t="s">
        <v>815</v>
      </c>
      <c r="F81" s="140" t="s">
        <v>816</v>
      </c>
      <c r="G81" s="140" t="s">
        <v>817</v>
      </c>
      <c r="H81" s="140" t="s">
        <v>813</v>
      </c>
      <c r="I81" s="140"/>
      <c r="J81" s="140" t="s">
        <v>818</v>
      </c>
      <c r="K81" s="140">
        <v>94043090</v>
      </c>
      <c r="L81" s="176">
        <f>VLOOKUP(E81,'Margin Calculation'!F:U,16,0)</f>
        <v>3.6</v>
      </c>
      <c r="M81" s="176">
        <f>VLOOKUP(E81,'Margin Calculation'!F:V,17,0)</f>
        <v>0</v>
      </c>
      <c r="N81" s="177">
        <f t="shared" si="15"/>
        <v>7.2000000000000008E-2</v>
      </c>
      <c r="O81" s="178">
        <f>VLOOKUP(E81,'Margin Calculation'!F:X,19,0)</f>
        <v>1.0303116352941177</v>
      </c>
      <c r="P81" s="179">
        <f t="shared" si="0"/>
        <v>413.80342390588237</v>
      </c>
      <c r="Q81" s="180">
        <f t="shared" si="41"/>
        <v>488.2880402089412</v>
      </c>
      <c r="R81" s="181">
        <f>VLOOKUP(E81,'Margin Calculation'!F:AA,22,0)</f>
        <v>131.88</v>
      </c>
      <c r="S81" s="182">
        <v>50</v>
      </c>
      <c r="T81" s="182">
        <v>79</v>
      </c>
      <c r="U81" s="182">
        <v>260.89999999999998</v>
      </c>
      <c r="V81" s="182">
        <f t="shared" si="42"/>
        <v>109.9</v>
      </c>
      <c r="W81" s="182">
        <f t="shared" si="3"/>
        <v>10.99</v>
      </c>
      <c r="X81" s="182">
        <f t="shared" si="4"/>
        <v>54.95</v>
      </c>
      <c r="Y81" s="182">
        <f t="shared" si="5"/>
        <v>21.98</v>
      </c>
      <c r="Z81" s="183">
        <f t="shared" si="6"/>
        <v>167.6440677966101</v>
      </c>
      <c r="AA81" s="182">
        <f t="shared" si="7"/>
        <v>54.95</v>
      </c>
      <c r="AB81" s="182">
        <f t="shared" si="8"/>
        <v>32.97</v>
      </c>
      <c r="AC81" s="179">
        <f t="shared" si="9"/>
        <v>1128.0674917024926</v>
      </c>
      <c r="AD81" s="183">
        <f t="shared" si="10"/>
        <v>-29.067491702492589</v>
      </c>
      <c r="AE81" s="184">
        <f t="shared" si="11"/>
        <v>-2.644903703593502E-2</v>
      </c>
      <c r="AF81" s="183">
        <f t="shared" si="43"/>
        <v>1099</v>
      </c>
      <c r="AG81" s="183"/>
      <c r="AH81" s="183"/>
      <c r="AI81" s="183">
        <v>1899</v>
      </c>
      <c r="AJ81" s="179">
        <f t="shared" si="12"/>
        <v>517.55250829750753</v>
      </c>
      <c r="AK81" s="184">
        <f t="shared" si="13"/>
        <v>0.4709303988148385</v>
      </c>
      <c r="AL81" s="182">
        <v>8904422505773</v>
      </c>
      <c r="AM81" s="182"/>
      <c r="AN81" s="189" t="s">
        <v>571</v>
      </c>
      <c r="AO81" s="190">
        <v>1599</v>
      </c>
      <c r="AP81" s="182"/>
      <c r="AQ81" s="182"/>
      <c r="AR81" s="182"/>
    </row>
    <row r="82" spans="1:44">
      <c r="A82" s="140"/>
      <c r="B82" s="140"/>
      <c r="C82" s="140"/>
      <c r="D82" s="140" t="s">
        <v>934</v>
      </c>
      <c r="E82" s="140" t="s">
        <v>819</v>
      </c>
      <c r="F82" s="140" t="s">
        <v>820</v>
      </c>
      <c r="G82" s="140" t="s">
        <v>821</v>
      </c>
      <c r="H82" s="140" t="s">
        <v>234</v>
      </c>
      <c r="I82" s="140"/>
      <c r="J82" s="140" t="s">
        <v>822</v>
      </c>
      <c r="K82" s="140">
        <v>84213920</v>
      </c>
      <c r="L82" s="176">
        <f>VLOOKUP(E82,'Margin Calculation'!F:U,16,0)</f>
        <v>85</v>
      </c>
      <c r="M82" s="176">
        <f>VLOOKUP(E82,'Margin Calculation'!F:V,17,0)</f>
        <v>0</v>
      </c>
      <c r="N82" s="177">
        <f t="shared" si="15"/>
        <v>1.7</v>
      </c>
      <c r="O82" s="178">
        <f>VLOOKUP(E82,'Margin Calculation'!F:X,19,0)</f>
        <v>7.0245934905882343</v>
      </c>
      <c r="P82" s="179">
        <f t="shared" si="0"/>
        <v>8247.764227171765</v>
      </c>
      <c r="Q82" s="180">
        <f t="shared" si="41"/>
        <v>9732.3617880626825</v>
      </c>
      <c r="R82" s="181">
        <f>VLOOKUP(E82,'Margin Calculation'!F:AA,22,0)</f>
        <v>1214.6500000000001</v>
      </c>
      <c r="S82" s="182">
        <v>50</v>
      </c>
      <c r="T82" s="182">
        <v>191</v>
      </c>
      <c r="U82" s="179">
        <v>1600.2</v>
      </c>
      <c r="V82" s="182">
        <f t="shared" si="42"/>
        <v>1599</v>
      </c>
      <c r="W82" s="182">
        <f t="shared" si="3"/>
        <v>159.9</v>
      </c>
      <c r="X82" s="182">
        <f t="shared" si="4"/>
        <v>799.5</v>
      </c>
      <c r="Y82" s="182">
        <f t="shared" si="5"/>
        <v>319.8</v>
      </c>
      <c r="Z82" s="183">
        <f t="shared" si="6"/>
        <v>2439.1525423728799</v>
      </c>
      <c r="AA82" s="182">
        <f t="shared" si="7"/>
        <v>799.5</v>
      </c>
      <c r="AB82" s="182">
        <f t="shared" si="8"/>
        <v>479.7</v>
      </c>
      <c r="AC82" s="179">
        <f t="shared" si="9"/>
        <v>16299.966769544644</v>
      </c>
      <c r="AD82" s="183">
        <f t="shared" si="10"/>
        <v>-309.96676954464419</v>
      </c>
      <c r="AE82" s="184">
        <f t="shared" si="11"/>
        <v>-1.938503874575636E-2</v>
      </c>
      <c r="AF82" s="183">
        <f t="shared" si="43"/>
        <v>15990</v>
      </c>
      <c r="AG82" s="183"/>
      <c r="AH82" s="183"/>
      <c r="AI82" s="183">
        <v>29999</v>
      </c>
      <c r="AJ82" s="179">
        <f t="shared" si="12"/>
        <v>5303.0832304553551</v>
      </c>
      <c r="AK82" s="184">
        <f t="shared" si="13"/>
        <v>0.33164998314292404</v>
      </c>
      <c r="AL82" s="182">
        <v>8904422505810</v>
      </c>
      <c r="AM82" s="182"/>
      <c r="AN82" s="189" t="s">
        <v>940</v>
      </c>
      <c r="AO82" s="189">
        <v>999</v>
      </c>
      <c r="AP82" s="182"/>
      <c r="AQ82" s="182"/>
      <c r="AR82" s="182"/>
    </row>
    <row r="83" spans="1:44">
      <c r="A83" s="140"/>
      <c r="B83" s="140"/>
      <c r="C83" s="140"/>
      <c r="D83" s="140" t="s">
        <v>934</v>
      </c>
      <c r="E83" s="140" t="s">
        <v>827</v>
      </c>
      <c r="F83" s="140" t="s">
        <v>828</v>
      </c>
      <c r="G83" s="140" t="s">
        <v>829</v>
      </c>
      <c r="H83" s="140" t="s">
        <v>234</v>
      </c>
      <c r="I83" s="140"/>
      <c r="J83" s="140" t="s">
        <v>830</v>
      </c>
      <c r="K83" s="140">
        <v>85098000</v>
      </c>
      <c r="L83" s="176">
        <f>VLOOKUP(E83,'Margin Calculation'!F:U,16,0)</f>
        <v>6</v>
      </c>
      <c r="M83" s="176">
        <f>VLOOKUP(E83,'Margin Calculation'!F:V,17,0)</f>
        <v>0</v>
      </c>
      <c r="N83" s="177">
        <f t="shared" si="15"/>
        <v>0.12</v>
      </c>
      <c r="O83" s="178">
        <f>VLOOKUP(E83,'Margin Calculation'!F:X,19,0)</f>
        <v>1.3522493082352942</v>
      </c>
      <c r="P83" s="179">
        <f t="shared" si="0"/>
        <v>657.55793912470597</v>
      </c>
      <c r="Q83" s="180">
        <f t="shared" si="41"/>
        <v>775.91836816715295</v>
      </c>
      <c r="R83" s="181">
        <f>VLOOKUP(E83,'Margin Calculation'!F:AA,22,0)</f>
        <v>138.67499999999998</v>
      </c>
      <c r="S83" s="182">
        <v>50</v>
      </c>
      <c r="T83" s="182">
        <v>191</v>
      </c>
      <c r="U83" s="182">
        <v>387</v>
      </c>
      <c r="V83" s="182">
        <f t="shared" si="42"/>
        <v>184.9</v>
      </c>
      <c r="W83" s="182">
        <f t="shared" si="3"/>
        <v>18.490000000000002</v>
      </c>
      <c r="X83" s="182">
        <f t="shared" si="4"/>
        <v>92.45</v>
      </c>
      <c r="Y83" s="182">
        <f t="shared" si="5"/>
        <v>36.980000000000004</v>
      </c>
      <c r="Z83" s="183">
        <f t="shared" si="6"/>
        <v>282.05084745762701</v>
      </c>
      <c r="AA83" s="182">
        <f t="shared" si="7"/>
        <v>92.45</v>
      </c>
      <c r="AB83" s="182">
        <f t="shared" si="8"/>
        <v>55.47</v>
      </c>
      <c r="AC83" s="179">
        <f t="shared" si="9"/>
        <v>1800.0237865823331</v>
      </c>
      <c r="AD83" s="183">
        <f t="shared" si="10"/>
        <v>48.976213417666941</v>
      </c>
      <c r="AE83" s="184">
        <f t="shared" si="11"/>
        <v>2.6487946683432635E-2</v>
      </c>
      <c r="AF83" s="183">
        <v>1849</v>
      </c>
      <c r="AG83" s="183"/>
      <c r="AH83" s="183"/>
      <c r="AI83" s="183">
        <v>3599</v>
      </c>
      <c r="AJ83" s="179">
        <f t="shared" si="12"/>
        <v>909.3912134176669</v>
      </c>
      <c r="AK83" s="184">
        <f t="shared" si="13"/>
        <v>0.49182867139949538</v>
      </c>
      <c r="AL83" s="182">
        <v>8904422505797</v>
      </c>
      <c r="AM83" s="182"/>
      <c r="AN83" s="189" t="s">
        <v>745</v>
      </c>
      <c r="AO83" s="190">
        <v>2599</v>
      </c>
      <c r="AP83" s="182"/>
      <c r="AQ83" s="182"/>
      <c r="AR83" s="182"/>
    </row>
    <row r="84" spans="1:44">
      <c r="A84" s="140"/>
      <c r="B84" s="140"/>
      <c r="C84" s="140"/>
      <c r="D84" s="140" t="s">
        <v>934</v>
      </c>
      <c r="E84" s="140" t="s">
        <v>831</v>
      </c>
      <c r="F84" s="140" t="s">
        <v>832</v>
      </c>
      <c r="G84" s="140" t="s">
        <v>833</v>
      </c>
      <c r="H84" s="140" t="s">
        <v>234</v>
      </c>
      <c r="I84" s="140"/>
      <c r="J84" s="140" t="s">
        <v>834</v>
      </c>
      <c r="K84" s="140">
        <v>85098000</v>
      </c>
      <c r="L84" s="176">
        <f>VLOOKUP(E84,'Margin Calculation'!F:U,16,0)</f>
        <v>6</v>
      </c>
      <c r="M84" s="176">
        <f>VLOOKUP(E84,'Margin Calculation'!F:V,17,0)</f>
        <v>0</v>
      </c>
      <c r="N84" s="177">
        <f t="shared" si="15"/>
        <v>0.12</v>
      </c>
      <c r="O84" s="178">
        <f>VLOOKUP(E84,'Margin Calculation'!F:X,19,0)</f>
        <v>1.3522493082352942</v>
      </c>
      <c r="P84" s="179">
        <f t="shared" si="0"/>
        <v>657.55793912470597</v>
      </c>
      <c r="Q84" s="180">
        <f t="shared" si="41"/>
        <v>775.91836816715295</v>
      </c>
      <c r="R84" s="181">
        <f>VLOOKUP(E84,'Margin Calculation'!F:AA,22,0)</f>
        <v>146.17499999999998</v>
      </c>
      <c r="S84" s="182">
        <v>50</v>
      </c>
      <c r="T84" s="182">
        <v>191</v>
      </c>
      <c r="U84" s="182">
        <v>360.9</v>
      </c>
      <c r="V84" s="182">
        <f t="shared" si="42"/>
        <v>179.9</v>
      </c>
      <c r="W84" s="182">
        <f t="shared" si="3"/>
        <v>17.990000000000002</v>
      </c>
      <c r="X84" s="182">
        <f t="shared" si="4"/>
        <v>89.95</v>
      </c>
      <c r="Y84" s="182">
        <f t="shared" si="5"/>
        <v>35.980000000000004</v>
      </c>
      <c r="Z84" s="183">
        <f t="shared" si="6"/>
        <v>274.42372881355914</v>
      </c>
      <c r="AA84" s="182">
        <f t="shared" si="7"/>
        <v>89.95</v>
      </c>
      <c r="AB84" s="182">
        <f t="shared" si="8"/>
        <v>53.97</v>
      </c>
      <c r="AC84" s="179">
        <f t="shared" si="9"/>
        <v>1786.8966679382652</v>
      </c>
      <c r="AD84" s="183">
        <f t="shared" si="10"/>
        <v>12.103332061734818</v>
      </c>
      <c r="AE84" s="184">
        <f t="shared" si="11"/>
        <v>6.7278110404306937E-3</v>
      </c>
      <c r="AF84" s="183">
        <v>1799</v>
      </c>
      <c r="AG84" s="183"/>
      <c r="AH84" s="183"/>
      <c r="AI84" s="183">
        <v>2899</v>
      </c>
      <c r="AJ84" s="179">
        <f t="shared" si="12"/>
        <v>867.01833206173478</v>
      </c>
      <c r="AK84" s="184">
        <f t="shared" si="13"/>
        <v>0.48194459814437729</v>
      </c>
      <c r="AL84" s="182">
        <v>8904422505803</v>
      </c>
      <c r="AM84" s="182"/>
      <c r="AN84" s="189" t="s">
        <v>633</v>
      </c>
      <c r="AO84" s="189">
        <v>999</v>
      </c>
      <c r="AP84" s="182"/>
      <c r="AQ84" s="182"/>
      <c r="AR84" s="182"/>
    </row>
    <row r="85" spans="1:44">
      <c r="A85" s="140"/>
      <c r="B85" s="140"/>
      <c r="C85" s="140"/>
      <c r="D85" s="140" t="s">
        <v>934</v>
      </c>
      <c r="E85" s="140" t="s">
        <v>855</v>
      </c>
      <c r="F85" s="140" t="s">
        <v>856</v>
      </c>
      <c r="G85" s="140" t="s">
        <v>857</v>
      </c>
      <c r="H85" s="140" t="s">
        <v>800</v>
      </c>
      <c r="I85" s="140"/>
      <c r="J85" s="140" t="s">
        <v>858</v>
      </c>
      <c r="K85" s="140">
        <v>90191020</v>
      </c>
      <c r="L85" s="176">
        <f>VLOOKUP(E85,'Margin Calculation'!F:U,16,0)</f>
        <v>8</v>
      </c>
      <c r="M85" s="176">
        <f>VLOOKUP(E85,'Margin Calculation'!F:V,17,0)</f>
        <v>0</v>
      </c>
      <c r="N85" s="177">
        <f t="shared" si="15"/>
        <v>0.16</v>
      </c>
      <c r="O85" s="178">
        <f>VLOOKUP(E85,'Margin Calculation'!F:X,19,0)</f>
        <v>0.89760000000000018</v>
      </c>
      <c r="P85" s="179">
        <f t="shared" si="0"/>
        <v>797.06880000000001</v>
      </c>
      <c r="Q85" s="180">
        <f t="shared" si="41"/>
        <v>940.54118399999993</v>
      </c>
      <c r="R85" s="181">
        <f>VLOOKUP(E85,'Margin Calculation'!F:AA,22,0)</f>
        <v>250.55999999999997</v>
      </c>
      <c r="S85" s="182">
        <v>50</v>
      </c>
      <c r="T85" s="182">
        <v>79</v>
      </c>
      <c r="U85" s="182">
        <v>389.9</v>
      </c>
      <c r="V85" s="182">
        <f t="shared" si="42"/>
        <v>186.9</v>
      </c>
      <c r="W85" s="182">
        <f t="shared" si="3"/>
        <v>18.690000000000001</v>
      </c>
      <c r="X85" s="182">
        <f t="shared" si="4"/>
        <v>93.45</v>
      </c>
      <c r="Y85" s="182">
        <f t="shared" si="5"/>
        <v>37.380000000000003</v>
      </c>
      <c r="Z85" s="183">
        <f t="shared" si="6"/>
        <v>285.10169491525426</v>
      </c>
      <c r="AA85" s="182">
        <f t="shared" si="7"/>
        <v>93.45</v>
      </c>
      <c r="AB85" s="182">
        <f t="shared" si="8"/>
        <v>56.07</v>
      </c>
      <c r="AC85" s="179">
        <f t="shared" si="9"/>
        <v>1947.6704949152545</v>
      </c>
      <c r="AD85" s="183">
        <f t="shared" si="10"/>
        <v>-78.670494915254494</v>
      </c>
      <c r="AE85" s="184">
        <f t="shared" si="11"/>
        <v>-4.209229262453424E-2</v>
      </c>
      <c r="AF85" s="183">
        <v>1869</v>
      </c>
      <c r="AG85" s="183"/>
      <c r="AH85" s="183"/>
      <c r="AI85" s="183">
        <v>3999</v>
      </c>
      <c r="AJ85" s="179">
        <f t="shared" si="12"/>
        <v>786.82950508474573</v>
      </c>
      <c r="AK85" s="184">
        <f t="shared" si="13"/>
        <v>0.42098956933373233</v>
      </c>
      <c r="AL85" s="182">
        <v>8904422505889</v>
      </c>
      <c r="AM85" s="182"/>
      <c r="AN85" s="189" t="s">
        <v>530</v>
      </c>
      <c r="AO85" s="189">
        <v>699</v>
      </c>
      <c r="AP85" s="182"/>
      <c r="AQ85" s="182"/>
      <c r="AR85" s="182"/>
    </row>
    <row r="86" spans="1:44">
      <c r="A86" s="140"/>
      <c r="B86" s="140"/>
      <c r="C86" s="140"/>
      <c r="D86" s="140" t="s">
        <v>934</v>
      </c>
      <c r="E86" s="140" t="s">
        <v>859</v>
      </c>
      <c r="F86" s="140" t="s">
        <v>860</v>
      </c>
      <c r="G86" s="140" t="s">
        <v>861</v>
      </c>
      <c r="H86" s="140" t="s">
        <v>234</v>
      </c>
      <c r="I86" s="140"/>
      <c r="J86" s="140" t="s">
        <v>862</v>
      </c>
      <c r="K86" s="140">
        <v>84213920</v>
      </c>
      <c r="L86" s="176">
        <f>VLOOKUP(E86,'Margin Calculation'!F:U,16,0)</f>
        <v>17.5</v>
      </c>
      <c r="M86" s="176">
        <f>VLOOKUP(E86,'Margin Calculation'!F:V,17,0)</f>
        <v>0</v>
      </c>
      <c r="N86" s="177">
        <f t="shared" si="15"/>
        <v>0.35000000000000003</v>
      </c>
      <c r="O86" s="178">
        <f>VLOOKUP(E86,'Margin Calculation'!F:X,19,0)</f>
        <v>1.9635000000000005</v>
      </c>
      <c r="P86" s="179">
        <f t="shared" si="0"/>
        <v>1743.5880000000002</v>
      </c>
      <c r="Q86" s="180">
        <f t="shared" si="41"/>
        <v>2057.4338400000001</v>
      </c>
      <c r="R86" s="181">
        <f>VLOOKUP(E86,'Margin Calculation'!F:AA,22,0)</f>
        <v>299.92500000000001</v>
      </c>
      <c r="S86" s="182">
        <v>50</v>
      </c>
      <c r="T86" s="182">
        <v>191</v>
      </c>
      <c r="U86" s="182">
        <v>546.79999999999995</v>
      </c>
      <c r="V86" s="182">
        <f t="shared" si="42"/>
        <v>359.90000000000003</v>
      </c>
      <c r="W86" s="182">
        <f t="shared" si="3"/>
        <v>35.99</v>
      </c>
      <c r="X86" s="182">
        <f t="shared" si="4"/>
        <v>179.95000000000002</v>
      </c>
      <c r="Y86" s="182">
        <f t="shared" si="5"/>
        <v>71.98</v>
      </c>
      <c r="Z86" s="183">
        <f t="shared" si="6"/>
        <v>549</v>
      </c>
      <c r="AA86" s="182">
        <f t="shared" si="7"/>
        <v>179.95000000000002</v>
      </c>
      <c r="AB86" s="182">
        <f t="shared" si="8"/>
        <v>107.97</v>
      </c>
      <c r="AC86" s="179">
        <f t="shared" si="9"/>
        <v>3769.2529999999992</v>
      </c>
      <c r="AD86" s="183">
        <f t="shared" si="10"/>
        <v>-170.25299999999925</v>
      </c>
      <c r="AE86" s="184">
        <f t="shared" si="11"/>
        <v>-4.7305640455681926E-2</v>
      </c>
      <c r="AF86" s="183">
        <v>3599</v>
      </c>
      <c r="AG86" s="183"/>
      <c r="AH86" s="183"/>
      <c r="AI86" s="183">
        <v>6499</v>
      </c>
      <c r="AJ86" s="179">
        <f t="shared" si="12"/>
        <v>1306.4119999999998</v>
      </c>
      <c r="AK86" s="184">
        <f t="shared" si="13"/>
        <v>0.36299305362600714</v>
      </c>
      <c r="AL86" s="182">
        <v>8904422505896</v>
      </c>
      <c r="AM86" s="182"/>
      <c r="AN86" s="189" t="s">
        <v>595</v>
      </c>
      <c r="AO86" s="190">
        <v>1799</v>
      </c>
      <c r="AP86" s="182"/>
      <c r="AQ86" s="182"/>
      <c r="AR86" s="182"/>
    </row>
    <row r="87" spans="1:44">
      <c r="A87" s="140"/>
      <c r="B87" s="140"/>
      <c r="C87" s="140"/>
      <c r="D87" s="191" t="s">
        <v>934</v>
      </c>
      <c r="E87" s="191" t="s">
        <v>863</v>
      </c>
      <c r="F87" s="191" t="s">
        <v>864</v>
      </c>
      <c r="G87" s="191" t="s">
        <v>865</v>
      </c>
      <c r="H87" s="191" t="s">
        <v>314</v>
      </c>
      <c r="I87" s="191"/>
      <c r="J87" s="191" t="s">
        <v>866</v>
      </c>
      <c r="K87" s="191">
        <v>85101000</v>
      </c>
      <c r="L87" s="192">
        <f>VLOOKUP(E87,'Margin Calculation'!F:U,16,0)</f>
        <v>9</v>
      </c>
      <c r="M87" s="192">
        <f>VLOOKUP(E87,'Margin Calculation'!F:V,17,0)</f>
        <v>0</v>
      </c>
      <c r="N87" s="193">
        <f t="shared" si="15"/>
        <v>0.18</v>
      </c>
      <c r="O87" s="194">
        <f>VLOOKUP(E87,'Margin Calculation'!F:X,19,0)</f>
        <v>2.0196000000000001</v>
      </c>
      <c r="P87" s="195">
        <f t="shared" si="0"/>
        <v>985.56479999999999</v>
      </c>
      <c r="Q87" s="196">
        <f t="shared" si="41"/>
        <v>1162.9664639999999</v>
      </c>
      <c r="R87" s="197">
        <f>VLOOKUP(E87,'Margin Calculation'!F:AA,22,0)</f>
        <v>246.905</v>
      </c>
      <c r="S87" s="198">
        <v>50</v>
      </c>
      <c r="T87" s="198">
        <v>60</v>
      </c>
      <c r="U87" s="198">
        <v>384.9</v>
      </c>
      <c r="V87" s="198">
        <f>AF87*20%</f>
        <v>499.8</v>
      </c>
      <c r="W87" s="198">
        <f t="shared" si="3"/>
        <v>24.990000000000002</v>
      </c>
      <c r="X87" s="198">
        <f t="shared" si="4"/>
        <v>124.95</v>
      </c>
      <c r="Y87" s="198">
        <f t="shared" si="5"/>
        <v>49.980000000000004</v>
      </c>
      <c r="Z87" s="199">
        <f t="shared" si="6"/>
        <v>381.20338983050851</v>
      </c>
      <c r="AA87" s="198">
        <f t="shared" si="7"/>
        <v>124.95</v>
      </c>
      <c r="AB87" s="198">
        <f t="shared" si="8"/>
        <v>74.97</v>
      </c>
      <c r="AC87" s="195">
        <f t="shared" si="9"/>
        <v>2623.3131898305082</v>
      </c>
      <c r="AD87" s="199">
        <f t="shared" si="10"/>
        <v>-124.31318983050824</v>
      </c>
      <c r="AE87" s="200">
        <f t="shared" si="11"/>
        <v>-4.9745174001804018E-2</v>
      </c>
      <c r="AF87" s="199">
        <f>VLOOKUP(F87,AN:AO,2,0)</f>
        <v>2499</v>
      </c>
      <c r="AG87" s="199"/>
      <c r="AH87" s="199"/>
      <c r="AI87" s="199">
        <v>3499</v>
      </c>
      <c r="AJ87" s="195">
        <f t="shared" si="12"/>
        <v>1132.2318101694914</v>
      </c>
      <c r="AK87" s="200">
        <f t="shared" si="13"/>
        <v>0.45307395364925623</v>
      </c>
      <c r="AL87" s="198">
        <v>8904422505919</v>
      </c>
      <c r="AM87" s="182"/>
      <c r="AN87" s="189" t="s">
        <v>576</v>
      </c>
      <c r="AO87" s="190">
        <v>1997</v>
      </c>
      <c r="AP87" s="182"/>
      <c r="AQ87" s="182"/>
      <c r="AR87" s="182"/>
    </row>
    <row r="88" spans="1:44">
      <c r="A88" s="140"/>
      <c r="B88" s="140"/>
      <c r="C88" s="140"/>
      <c r="D88" s="140" t="s">
        <v>934</v>
      </c>
      <c r="E88" s="140" t="s">
        <v>870</v>
      </c>
      <c r="F88" s="140" t="s">
        <v>871</v>
      </c>
      <c r="G88" s="140" t="s">
        <v>872</v>
      </c>
      <c r="H88" s="140" t="s">
        <v>795</v>
      </c>
      <c r="I88" s="140"/>
      <c r="J88" s="140" t="s">
        <v>873</v>
      </c>
      <c r="K88" s="140">
        <v>85098000</v>
      </c>
      <c r="L88" s="176">
        <f>VLOOKUP(E88,'Margin Calculation'!F:U,16,0)</f>
        <v>3.09</v>
      </c>
      <c r="M88" s="176">
        <f>VLOOKUP(E88,'Margin Calculation'!F:V,17,0)</f>
        <v>0</v>
      </c>
      <c r="N88" s="177">
        <f t="shared" si="15"/>
        <v>6.1800000000000001E-2</v>
      </c>
      <c r="O88" s="178">
        <f>VLOOKUP(E88,'Margin Calculation'!F:X,19,0)</f>
        <v>0.69339600000000001</v>
      </c>
      <c r="P88" s="179">
        <f t="shared" si="0"/>
        <v>338.37724799999995</v>
      </c>
      <c r="Q88" s="180">
        <f t="shared" si="41"/>
        <v>399.28515263999992</v>
      </c>
      <c r="R88" s="181">
        <f>VLOOKUP(E88,'Margin Calculation'!F:AA,22,0)</f>
        <v>55.424999999999997</v>
      </c>
      <c r="S88" s="182">
        <v>12</v>
      </c>
      <c r="T88" s="182">
        <v>60</v>
      </c>
      <c r="U88" s="182">
        <v>103.5</v>
      </c>
      <c r="V88" s="182">
        <f t="shared" ref="V88:V95" si="44">AF88*10%</f>
        <v>79.900000000000006</v>
      </c>
      <c r="W88" s="182">
        <f t="shared" si="3"/>
        <v>7.99</v>
      </c>
      <c r="X88" s="182">
        <f t="shared" si="4"/>
        <v>39.950000000000003</v>
      </c>
      <c r="Y88" s="182">
        <f t="shared" si="5"/>
        <v>15.98</v>
      </c>
      <c r="Z88" s="183">
        <f t="shared" si="6"/>
        <v>121.88135593220341</v>
      </c>
      <c r="AA88" s="182">
        <f t="shared" si="7"/>
        <v>39.950000000000003</v>
      </c>
      <c r="AB88" s="182">
        <f t="shared" si="8"/>
        <v>23.97</v>
      </c>
      <c r="AC88" s="179">
        <f t="shared" si="9"/>
        <v>795.42360393220349</v>
      </c>
      <c r="AD88" s="183">
        <f t="shared" si="10"/>
        <v>3.5763960677965088</v>
      </c>
      <c r="AE88" s="184">
        <f t="shared" si="11"/>
        <v>4.4760901974925018E-3</v>
      </c>
      <c r="AF88" s="183">
        <v>799</v>
      </c>
      <c r="AG88" s="183"/>
      <c r="AH88" s="183"/>
      <c r="AI88" s="183">
        <v>1499</v>
      </c>
      <c r="AJ88" s="179">
        <f t="shared" si="12"/>
        <v>338.74139606779664</v>
      </c>
      <c r="AK88" s="184">
        <f t="shared" si="13"/>
        <v>0.42395669094843136</v>
      </c>
      <c r="AL88" s="182">
        <v>8904422505933</v>
      </c>
      <c r="AM88" s="182"/>
      <c r="AN88" s="189" t="s">
        <v>676</v>
      </c>
      <c r="AO88" s="190">
        <v>1599</v>
      </c>
      <c r="AP88" s="182"/>
      <c r="AQ88" s="182"/>
      <c r="AR88" s="182"/>
    </row>
    <row r="89" spans="1:44">
      <c r="A89" s="140"/>
      <c r="B89" s="140"/>
      <c r="C89" s="140"/>
      <c r="D89" s="140" t="s">
        <v>934</v>
      </c>
      <c r="E89" s="140" t="s">
        <v>874</v>
      </c>
      <c r="F89" s="140" t="s">
        <v>875</v>
      </c>
      <c r="G89" s="140" t="s">
        <v>876</v>
      </c>
      <c r="H89" s="140" t="s">
        <v>234</v>
      </c>
      <c r="I89" s="140" t="s">
        <v>671</v>
      </c>
      <c r="J89" s="140" t="s">
        <v>878</v>
      </c>
      <c r="K89" s="140">
        <v>85167990</v>
      </c>
      <c r="L89" s="176">
        <f>VLOOKUP(E89,'Margin Calculation'!F:U,16,0)</f>
        <v>0</v>
      </c>
      <c r="M89" s="176">
        <f>VLOOKUP(E89,'Margin Calculation'!F:V,17,0)</f>
        <v>0</v>
      </c>
      <c r="N89" s="177">
        <f t="shared" si="15"/>
        <v>0</v>
      </c>
      <c r="O89" s="178">
        <f>VLOOKUP(E89,'Margin Calculation'!F:X,19,0)</f>
        <v>0</v>
      </c>
      <c r="P89" s="179">
        <v>275</v>
      </c>
      <c r="Q89" s="182">
        <v>324.5</v>
      </c>
      <c r="R89" s="181">
        <f>VLOOKUP(E89,'Margin Calculation'!F:AA,22,0)</f>
        <v>31.454999999999998</v>
      </c>
      <c r="S89" s="182">
        <v>25</v>
      </c>
      <c r="T89" s="182">
        <v>114</v>
      </c>
      <c r="U89" s="182">
        <v>184.4</v>
      </c>
      <c r="V89" s="182">
        <f t="shared" si="44"/>
        <v>69.900000000000006</v>
      </c>
      <c r="W89" s="182">
        <f t="shared" si="3"/>
        <v>6.99</v>
      </c>
      <c r="X89" s="182">
        <f t="shared" si="4"/>
        <v>34.950000000000003</v>
      </c>
      <c r="Y89" s="182">
        <f t="shared" si="5"/>
        <v>13.98</v>
      </c>
      <c r="Z89" s="183">
        <f t="shared" si="6"/>
        <v>106.62711864406776</v>
      </c>
      <c r="AA89" s="182">
        <f t="shared" si="7"/>
        <v>34.950000000000003</v>
      </c>
      <c r="AB89" s="182">
        <f t="shared" si="8"/>
        <v>20.97</v>
      </c>
      <c r="AC89" s="179">
        <f t="shared" si="9"/>
        <v>733.82211864406793</v>
      </c>
      <c r="AD89" s="183">
        <f t="shared" si="10"/>
        <v>-34.822118644067928</v>
      </c>
      <c r="AE89" s="184">
        <f t="shared" si="11"/>
        <v>-4.9817050992944104E-2</v>
      </c>
      <c r="AF89" s="183">
        <v>699</v>
      </c>
      <c r="AG89" s="183"/>
      <c r="AH89" s="183"/>
      <c r="AI89" s="183">
        <v>1499</v>
      </c>
      <c r="AJ89" s="179">
        <f t="shared" si="12"/>
        <v>317.37288135593224</v>
      </c>
      <c r="AK89" s="184">
        <f t="shared" si="13"/>
        <v>0.45403845687543953</v>
      </c>
      <c r="AL89" s="182">
        <v>8904422506015</v>
      </c>
      <c r="AM89" s="182"/>
      <c r="AN89" s="189" t="s">
        <v>476</v>
      </c>
      <c r="AO89" s="189">
        <v>799</v>
      </c>
      <c r="AP89" s="182"/>
      <c r="AQ89" s="182"/>
      <c r="AR89" s="182"/>
    </row>
    <row r="90" spans="1:44">
      <c r="A90" s="140"/>
      <c r="B90" s="140"/>
      <c r="C90" s="140"/>
      <c r="D90" s="140" t="s">
        <v>957</v>
      </c>
      <c r="E90" s="140" t="s">
        <v>835</v>
      </c>
      <c r="F90" s="140" t="s">
        <v>836</v>
      </c>
      <c r="G90" s="140" t="s">
        <v>837</v>
      </c>
      <c r="H90" s="140"/>
      <c r="I90" s="140"/>
      <c r="J90" s="140"/>
      <c r="K90" s="140"/>
      <c r="L90" s="176">
        <f>VLOOKUP(E90,'Margin Calculation'!F:U,16,0)</f>
        <v>6.5</v>
      </c>
      <c r="M90" s="176">
        <f>VLOOKUP(E90,'Margin Calculation'!F:V,17,0)</f>
        <v>0</v>
      </c>
      <c r="N90" s="177">
        <f t="shared" si="15"/>
        <v>0.13</v>
      </c>
      <c r="O90" s="178">
        <f>VLOOKUP(E90,'Margin Calculation'!F:X,19,0)</f>
        <v>0.72930000000000006</v>
      </c>
      <c r="P90" s="179">
        <f t="shared" ref="P90:P95" si="45">(L90+N90+O90)*$B$2</f>
        <v>647.61840000000007</v>
      </c>
      <c r="Q90" s="180">
        <f t="shared" ref="Q90:Q95" si="46">P90*1.18</f>
        <v>764.18971199999999</v>
      </c>
      <c r="R90" s="181">
        <f>VLOOKUP(E90,'Margin Calculation'!F:AA,22,0)</f>
        <v>112.425</v>
      </c>
      <c r="S90" s="182">
        <v>12</v>
      </c>
      <c r="T90" s="182">
        <v>60</v>
      </c>
      <c r="U90" s="182">
        <v>103.5</v>
      </c>
      <c r="V90" s="182">
        <f t="shared" si="44"/>
        <v>149.9</v>
      </c>
      <c r="W90" s="182">
        <f t="shared" si="3"/>
        <v>14.99</v>
      </c>
      <c r="X90" s="182">
        <f t="shared" si="4"/>
        <v>74.95</v>
      </c>
      <c r="Y90" s="182">
        <f t="shared" si="5"/>
        <v>29.98</v>
      </c>
      <c r="Z90" s="183">
        <f t="shared" si="6"/>
        <v>228.66101694915255</v>
      </c>
      <c r="AA90" s="182">
        <f t="shared" si="7"/>
        <v>74.95</v>
      </c>
      <c r="AB90" s="182">
        <f t="shared" si="8"/>
        <v>44.97</v>
      </c>
      <c r="AC90" s="179">
        <f t="shared" si="9"/>
        <v>1450.4444169491526</v>
      </c>
      <c r="AD90" s="183">
        <f t="shared" si="10"/>
        <v>48.555583050847417</v>
      </c>
      <c r="AE90" s="184">
        <f t="shared" si="11"/>
        <v>3.2391983356135703E-2</v>
      </c>
      <c r="AF90" s="183">
        <f>VLOOKUP(F90,AN:AO,2,0)</f>
        <v>1499</v>
      </c>
      <c r="AG90" s="183"/>
      <c r="AH90" s="183"/>
      <c r="AI90" s="183"/>
      <c r="AJ90" s="182"/>
      <c r="AK90" s="184"/>
      <c r="AL90" s="182"/>
      <c r="AM90" s="182"/>
      <c r="AN90" s="189" t="s">
        <v>341</v>
      </c>
      <c r="AO90" s="189">
        <v>399</v>
      </c>
      <c r="AP90" s="182"/>
      <c r="AQ90" s="182"/>
      <c r="AR90" s="182"/>
    </row>
    <row r="91" spans="1:44">
      <c r="A91" s="140"/>
      <c r="B91" s="140"/>
      <c r="C91" s="140"/>
      <c r="D91" s="140"/>
      <c r="E91" s="2" t="s">
        <v>879</v>
      </c>
      <c r="F91" s="161" t="s">
        <v>880</v>
      </c>
      <c r="G91" s="182" t="s">
        <v>881</v>
      </c>
      <c r="H91" s="140"/>
      <c r="I91" s="140"/>
      <c r="J91" s="140"/>
      <c r="K91" s="140"/>
      <c r="L91" s="176">
        <f>VLOOKUP(E91,'Margin Calculation'!F:U,16,0)</f>
        <v>1.98</v>
      </c>
      <c r="M91" s="176">
        <f>VLOOKUP(E91,'Margin Calculation'!F:V,17,0)</f>
        <v>0</v>
      </c>
      <c r="N91" s="177">
        <f t="shared" si="15"/>
        <v>3.9600000000000003E-2</v>
      </c>
      <c r="O91" s="178">
        <f>VLOOKUP(E91,'Margin Calculation'!F:X,19,0)</f>
        <v>0.4443120000000001</v>
      </c>
      <c r="P91" s="179">
        <f t="shared" si="45"/>
        <v>216.82425600000002</v>
      </c>
      <c r="Q91" s="180">
        <f t="shared" si="46"/>
        <v>255.85262208</v>
      </c>
      <c r="R91" s="181">
        <f>VLOOKUP(E91,'Margin Calculation'!F:AA,22,0)</f>
        <v>59.875</v>
      </c>
      <c r="S91" s="182">
        <v>25</v>
      </c>
      <c r="T91" s="182">
        <v>114</v>
      </c>
      <c r="U91" s="182">
        <v>184.4</v>
      </c>
      <c r="V91" s="182">
        <f t="shared" si="44"/>
        <v>54.900000000000006</v>
      </c>
      <c r="W91" s="182">
        <f t="shared" si="3"/>
        <v>5.49</v>
      </c>
      <c r="X91" s="182">
        <f t="shared" si="4"/>
        <v>27.450000000000003</v>
      </c>
      <c r="Y91" s="182">
        <f t="shared" si="5"/>
        <v>10.98</v>
      </c>
      <c r="Z91" s="183">
        <f t="shared" si="6"/>
        <v>83.745762711864359</v>
      </c>
      <c r="AA91" s="182">
        <f t="shared" si="7"/>
        <v>27.450000000000003</v>
      </c>
      <c r="AB91" s="182">
        <f t="shared" si="8"/>
        <v>16.47</v>
      </c>
      <c r="AC91" s="179">
        <f t="shared" si="9"/>
        <v>642.18501871186436</v>
      </c>
      <c r="AD91" s="183">
        <f t="shared" si="10"/>
        <v>-93.185018711864359</v>
      </c>
      <c r="AE91" s="184">
        <f t="shared" si="11"/>
        <v>-0.16973591750794964</v>
      </c>
      <c r="AF91" s="183">
        <v>549</v>
      </c>
      <c r="AG91" s="183"/>
      <c r="AH91" s="183"/>
      <c r="AI91" s="183"/>
      <c r="AJ91" s="182"/>
      <c r="AK91" s="184"/>
      <c r="AL91" s="182"/>
      <c r="AM91" s="182"/>
      <c r="AN91" s="189" t="s">
        <v>539</v>
      </c>
      <c r="AO91" s="189">
        <v>999</v>
      </c>
      <c r="AP91" s="182"/>
      <c r="AQ91" s="182"/>
      <c r="AR91" s="182"/>
    </row>
    <row r="92" spans="1:44">
      <c r="A92" s="140"/>
      <c r="B92" s="140"/>
      <c r="C92" s="140"/>
      <c r="D92" s="140"/>
      <c r="E92" s="2" t="s">
        <v>884</v>
      </c>
      <c r="F92" s="161" t="s">
        <v>885</v>
      </c>
      <c r="G92" s="182" t="s">
        <v>886</v>
      </c>
      <c r="H92" s="140"/>
      <c r="I92" s="140"/>
      <c r="J92" s="140"/>
      <c r="K92" s="140"/>
      <c r="L92" s="176">
        <f>VLOOKUP(E92,'Margin Calculation'!F:U,16,0)</f>
        <v>2.25</v>
      </c>
      <c r="M92" s="176">
        <f>VLOOKUP(E92,'Margin Calculation'!F:V,17,0)</f>
        <v>0</v>
      </c>
      <c r="N92" s="177">
        <f t="shared" si="15"/>
        <v>4.4999999999999998E-2</v>
      </c>
      <c r="O92" s="178">
        <f>VLOOKUP(E92,'Margin Calculation'!F:X,19,0)</f>
        <v>0.50490000000000002</v>
      </c>
      <c r="P92" s="179">
        <f t="shared" si="45"/>
        <v>246.3912</v>
      </c>
      <c r="Q92" s="180">
        <f t="shared" si="46"/>
        <v>290.74161599999996</v>
      </c>
      <c r="R92" s="181">
        <f>VLOOKUP(E92,'Margin Calculation'!F:AA,22,0)</f>
        <v>0</v>
      </c>
      <c r="S92" s="182">
        <v>25</v>
      </c>
      <c r="T92" s="182">
        <v>114</v>
      </c>
      <c r="U92" s="182">
        <v>184.4</v>
      </c>
      <c r="V92" s="182">
        <f t="shared" si="44"/>
        <v>59.900000000000006</v>
      </c>
      <c r="W92" s="182">
        <f t="shared" si="3"/>
        <v>5.99</v>
      </c>
      <c r="X92" s="182">
        <f t="shared" si="4"/>
        <v>29.950000000000003</v>
      </c>
      <c r="Y92" s="182">
        <f t="shared" si="5"/>
        <v>11.98</v>
      </c>
      <c r="Z92" s="183">
        <f t="shared" si="6"/>
        <v>91.372881355932179</v>
      </c>
      <c r="AA92" s="182">
        <f t="shared" si="7"/>
        <v>29.950000000000003</v>
      </c>
      <c r="AB92" s="182">
        <f t="shared" si="8"/>
        <v>17.97</v>
      </c>
      <c r="AC92" s="179">
        <f t="shared" si="9"/>
        <v>632.50408135593227</v>
      </c>
      <c r="AD92" s="183">
        <f t="shared" si="10"/>
        <v>-33.504081355932271</v>
      </c>
      <c r="AE92" s="184">
        <f t="shared" si="11"/>
        <v>-5.5933357856314307E-2</v>
      </c>
      <c r="AF92" s="183">
        <v>599</v>
      </c>
      <c r="AG92" s="183"/>
      <c r="AH92" s="183"/>
      <c r="AI92" s="183"/>
      <c r="AJ92" s="182"/>
      <c r="AK92" s="184"/>
      <c r="AL92" s="182"/>
      <c r="AM92" s="182"/>
      <c r="AN92" s="189" t="s">
        <v>696</v>
      </c>
      <c r="AO92" s="190">
        <v>2999</v>
      </c>
      <c r="AP92" s="182"/>
      <c r="AQ92" s="182"/>
      <c r="AR92" s="182"/>
    </row>
    <row r="93" spans="1:44">
      <c r="A93" s="140"/>
      <c r="B93" s="140"/>
      <c r="C93" s="140"/>
      <c r="D93" s="140"/>
      <c r="E93" s="2" t="s">
        <v>889</v>
      </c>
      <c r="F93" s="161" t="s">
        <v>890</v>
      </c>
      <c r="G93" s="182" t="s">
        <v>891</v>
      </c>
      <c r="H93" s="140"/>
      <c r="I93" s="140"/>
      <c r="J93" s="140"/>
      <c r="K93" s="140"/>
      <c r="L93" s="176">
        <f>VLOOKUP(E93,'Margin Calculation'!F:U,16,0)</f>
        <v>9.9500000000000011</v>
      </c>
      <c r="M93" s="176">
        <f>VLOOKUP(E93,'Margin Calculation'!F:V,17,0)</f>
        <v>0</v>
      </c>
      <c r="N93" s="177">
        <f t="shared" si="15"/>
        <v>0.19900000000000004</v>
      </c>
      <c r="O93" s="178">
        <f>VLOOKUP(E93,'Margin Calculation'!F:X,19,0)</f>
        <v>2.2327800000000004</v>
      </c>
      <c r="P93" s="179">
        <f t="shared" si="45"/>
        <v>1089.59664</v>
      </c>
      <c r="Q93" s="180">
        <f t="shared" si="46"/>
        <v>1285.7240351999999</v>
      </c>
      <c r="R93" s="181">
        <f>VLOOKUP(E93,'Margin Calculation'!F:AA,22,0)</f>
        <v>103.455</v>
      </c>
      <c r="S93" s="182">
        <v>25</v>
      </c>
      <c r="T93" s="182">
        <v>114</v>
      </c>
      <c r="U93" s="182">
        <v>184.4</v>
      </c>
      <c r="V93" s="182">
        <f t="shared" si="44"/>
        <v>239.9</v>
      </c>
      <c r="W93" s="182">
        <f t="shared" si="3"/>
        <v>23.990000000000002</v>
      </c>
      <c r="X93" s="182">
        <f t="shared" si="4"/>
        <v>119.95</v>
      </c>
      <c r="Y93" s="182">
        <f t="shared" si="5"/>
        <v>47.980000000000004</v>
      </c>
      <c r="Z93" s="183">
        <f t="shared" si="6"/>
        <v>365.94915254237276</v>
      </c>
      <c r="AA93" s="182">
        <f t="shared" si="7"/>
        <v>119.95</v>
      </c>
      <c r="AB93" s="182">
        <f t="shared" si="8"/>
        <v>71.97</v>
      </c>
      <c r="AC93" s="179">
        <f t="shared" si="9"/>
        <v>2321.7407925423727</v>
      </c>
      <c r="AD93" s="183">
        <f t="shared" si="10"/>
        <v>77.259207457627326</v>
      </c>
      <c r="AE93" s="184">
        <f t="shared" si="11"/>
        <v>3.2204755088631652E-2</v>
      </c>
      <c r="AF93" s="183">
        <v>2399</v>
      </c>
      <c r="AG93" s="183"/>
      <c r="AH93" s="183"/>
      <c r="AI93" s="183"/>
      <c r="AJ93" s="182"/>
      <c r="AK93" s="184"/>
      <c r="AL93" s="182"/>
      <c r="AM93" s="182"/>
      <c r="AN93" s="189" t="s">
        <v>526</v>
      </c>
      <c r="AO93" s="189">
        <v>799</v>
      </c>
      <c r="AP93" s="182"/>
      <c r="AQ93" s="182"/>
      <c r="AR93" s="182"/>
    </row>
    <row r="94" spans="1:44">
      <c r="A94" s="140"/>
      <c r="B94" s="140"/>
      <c r="C94" s="140"/>
      <c r="D94" s="140"/>
      <c r="E94" s="2" t="s">
        <v>895</v>
      </c>
      <c r="F94" s="161" t="s">
        <v>896</v>
      </c>
      <c r="G94" s="182" t="s">
        <v>897</v>
      </c>
      <c r="H94" s="140"/>
      <c r="I94" s="140"/>
      <c r="J94" s="140"/>
      <c r="K94" s="140"/>
      <c r="L94" s="176">
        <f>VLOOKUP(E94,'Margin Calculation'!F:U,16,0)</f>
        <v>1.1000000000000001</v>
      </c>
      <c r="M94" s="176">
        <f>VLOOKUP(E94,'Margin Calculation'!F:V,17,0)</f>
        <v>0</v>
      </c>
      <c r="N94" s="177">
        <f t="shared" si="15"/>
        <v>2.2000000000000002E-2</v>
      </c>
      <c r="O94" s="178">
        <f>VLOOKUP(E94,'Margin Calculation'!F:X,19,0)</f>
        <v>0.24684000000000006</v>
      </c>
      <c r="P94" s="179">
        <f t="shared" si="45"/>
        <v>120.45792</v>
      </c>
      <c r="Q94" s="180">
        <f t="shared" si="46"/>
        <v>142.14034559999999</v>
      </c>
      <c r="R94" s="181">
        <f>VLOOKUP(E94,'Margin Calculation'!F:AA,22,0)</f>
        <v>0</v>
      </c>
      <c r="S94" s="182">
        <v>25</v>
      </c>
      <c r="T94" s="182">
        <v>114</v>
      </c>
      <c r="U94" s="182">
        <v>184.4</v>
      </c>
      <c r="V94" s="182">
        <f t="shared" si="44"/>
        <v>35.9</v>
      </c>
      <c r="W94" s="182">
        <f t="shared" si="3"/>
        <v>3.59</v>
      </c>
      <c r="X94" s="182">
        <f t="shared" si="4"/>
        <v>17.95</v>
      </c>
      <c r="Y94" s="182">
        <f t="shared" si="5"/>
        <v>7.18</v>
      </c>
      <c r="Z94" s="183">
        <f t="shared" si="6"/>
        <v>54.762711864406754</v>
      </c>
      <c r="AA94" s="182">
        <f t="shared" si="7"/>
        <v>17.95</v>
      </c>
      <c r="AB94" s="182">
        <f t="shared" si="8"/>
        <v>10.77</v>
      </c>
      <c r="AC94" s="179">
        <f t="shared" si="9"/>
        <v>407.56063186440667</v>
      </c>
      <c r="AD94" s="183">
        <f t="shared" si="10"/>
        <v>-48.560631864406673</v>
      </c>
      <c r="AE94" s="184">
        <f t="shared" si="11"/>
        <v>-0.13526638402341692</v>
      </c>
      <c r="AF94" s="183">
        <v>359</v>
      </c>
      <c r="AG94" s="183"/>
      <c r="AH94" s="183"/>
      <c r="AI94" s="183"/>
      <c r="AJ94" s="182"/>
      <c r="AK94" s="184"/>
      <c r="AL94" s="182"/>
      <c r="AM94" s="182"/>
      <c r="AN94" s="189" t="s">
        <v>472</v>
      </c>
      <c r="AO94" s="189">
        <v>699</v>
      </c>
      <c r="AP94" s="182"/>
      <c r="AQ94" s="182"/>
      <c r="AR94" s="182"/>
    </row>
    <row r="95" spans="1:44">
      <c r="A95" s="140"/>
      <c r="B95" s="140"/>
      <c r="C95" s="140"/>
      <c r="D95" s="140"/>
      <c r="E95" s="44" t="s">
        <v>900</v>
      </c>
      <c r="F95" s="75" t="s">
        <v>901</v>
      </c>
      <c r="G95" s="43" t="s">
        <v>902</v>
      </c>
      <c r="H95" s="140"/>
      <c r="I95" s="140"/>
      <c r="J95" s="140"/>
      <c r="K95" s="140"/>
      <c r="L95" s="176">
        <f>VLOOKUP(E95,'Margin Calculation'!F:U,16,0)</f>
        <v>16.8</v>
      </c>
      <c r="M95" s="176">
        <f>VLOOKUP(E95,'Margin Calculation'!F:V,17,0)</f>
        <v>0</v>
      </c>
      <c r="N95" s="177">
        <f t="shared" si="15"/>
        <v>0.33600000000000002</v>
      </c>
      <c r="O95" s="178">
        <f>VLOOKUP(E95,'Margin Calculation'!F:X,19,0)</f>
        <v>1.8849600000000002</v>
      </c>
      <c r="P95" s="179">
        <f t="shared" si="45"/>
        <v>1673.84448</v>
      </c>
      <c r="Q95" s="180">
        <f t="shared" si="46"/>
        <v>1975.1364864</v>
      </c>
      <c r="R95" s="181">
        <f>VLOOKUP(E95,'Margin Calculation'!F:AA,22,0)</f>
        <v>344.92500000000001</v>
      </c>
      <c r="S95" s="182">
        <v>25</v>
      </c>
      <c r="T95" s="182">
        <v>114</v>
      </c>
      <c r="U95" s="182">
        <v>184.4</v>
      </c>
      <c r="V95" s="182" t="e">
        <f t="shared" si="44"/>
        <v>#N/A</v>
      </c>
      <c r="W95" s="182" t="e">
        <f t="shared" si="3"/>
        <v>#N/A</v>
      </c>
      <c r="X95" s="182" t="e">
        <f t="shared" si="4"/>
        <v>#N/A</v>
      </c>
      <c r="Y95" s="182" t="e">
        <f t="shared" si="5"/>
        <v>#N/A</v>
      </c>
      <c r="Z95" s="182" t="e">
        <f t="shared" si="6"/>
        <v>#N/A</v>
      </c>
      <c r="AA95" s="182" t="e">
        <f t="shared" si="7"/>
        <v>#N/A</v>
      </c>
      <c r="AB95" s="182" t="e">
        <f t="shared" si="8"/>
        <v>#N/A</v>
      </c>
      <c r="AC95" s="182" t="e">
        <f t="shared" si="9"/>
        <v>#N/A</v>
      </c>
      <c r="AD95" s="182" t="e">
        <f t="shared" si="10"/>
        <v>#N/A</v>
      </c>
      <c r="AE95" s="184" t="e">
        <f t="shared" si="11"/>
        <v>#N/A</v>
      </c>
      <c r="AF95" s="183" t="e">
        <f>VLOOKUP(F95,AN:AO,2,0)</f>
        <v>#N/A</v>
      </c>
      <c r="AG95" s="183"/>
      <c r="AH95" s="183"/>
      <c r="AI95" s="183"/>
      <c r="AJ95" s="182"/>
      <c r="AK95" s="184"/>
      <c r="AL95" s="182"/>
      <c r="AM95" s="182"/>
      <c r="AN95" s="189" t="s">
        <v>680</v>
      </c>
      <c r="AO95" s="190">
        <v>1159</v>
      </c>
      <c r="AP95" s="182"/>
      <c r="AQ95" s="182"/>
      <c r="AR95" s="182"/>
    </row>
    <row r="96" spans="1:44">
      <c r="A96" s="140"/>
      <c r="B96" s="140"/>
      <c r="C96" s="140"/>
      <c r="D96" s="140"/>
      <c r="E96" s="140"/>
      <c r="F96" s="140"/>
      <c r="G96" s="140"/>
      <c r="H96" s="140"/>
      <c r="I96" s="140"/>
      <c r="J96" s="140"/>
      <c r="K96" s="140"/>
      <c r="L96" s="140"/>
      <c r="M96" s="140"/>
      <c r="N96" s="177"/>
      <c r="O96" s="182"/>
      <c r="P96" s="179"/>
      <c r="Q96" s="182"/>
      <c r="R96" s="182"/>
      <c r="S96" s="182"/>
      <c r="T96" s="182"/>
      <c r="U96" s="182"/>
      <c r="V96" s="182"/>
      <c r="W96" s="182"/>
      <c r="X96" s="182"/>
      <c r="Y96" s="182"/>
      <c r="Z96" s="182"/>
      <c r="AA96" s="182"/>
      <c r="AB96" s="182"/>
      <c r="AC96" s="182"/>
      <c r="AD96" s="182"/>
      <c r="AE96" s="184"/>
      <c r="AF96" s="183"/>
      <c r="AG96" s="183"/>
      <c r="AH96" s="183"/>
      <c r="AI96" s="183"/>
      <c r="AJ96" s="182"/>
      <c r="AK96" s="184"/>
      <c r="AL96" s="182"/>
      <c r="AM96" s="182"/>
      <c r="AN96" s="189" t="s">
        <v>463</v>
      </c>
      <c r="AO96" s="190">
        <v>1399</v>
      </c>
      <c r="AP96" s="182"/>
      <c r="AQ96" s="182"/>
      <c r="AR96" s="182"/>
    </row>
    <row r="97" spans="1:44">
      <c r="A97" s="140"/>
      <c r="B97" s="140"/>
      <c r="C97" s="140"/>
      <c r="D97" s="140"/>
      <c r="E97" s="140"/>
      <c r="F97" s="140"/>
      <c r="G97" s="140"/>
      <c r="H97" s="140"/>
      <c r="I97" s="140"/>
      <c r="J97" s="140"/>
      <c r="K97" s="140"/>
      <c r="L97" s="140"/>
      <c r="M97" s="140"/>
      <c r="N97" s="177"/>
      <c r="O97" s="182"/>
      <c r="P97" s="179"/>
      <c r="Q97" s="182"/>
      <c r="R97" s="182"/>
      <c r="S97" s="182"/>
      <c r="T97" s="182"/>
      <c r="U97" s="182"/>
      <c r="V97" s="182"/>
      <c r="W97" s="182"/>
      <c r="X97" s="182"/>
      <c r="Y97" s="182"/>
      <c r="Z97" s="182"/>
      <c r="AA97" s="182"/>
      <c r="AB97" s="182"/>
      <c r="AC97" s="182"/>
      <c r="AD97" s="182"/>
      <c r="AE97" s="184"/>
      <c r="AF97" s="183"/>
      <c r="AG97" s="183"/>
      <c r="AH97" s="183"/>
      <c r="AI97" s="183"/>
      <c r="AJ97" s="182"/>
      <c r="AK97" s="184"/>
      <c r="AL97" s="182"/>
      <c r="AM97" s="182"/>
      <c r="AN97" s="189" t="s">
        <v>563</v>
      </c>
      <c r="AO97" s="190">
        <v>1199</v>
      </c>
      <c r="AP97" s="182"/>
      <c r="AQ97" s="182"/>
      <c r="AR97" s="182"/>
    </row>
    <row r="98" spans="1:44">
      <c r="A98" s="140"/>
      <c r="B98" s="140"/>
      <c r="C98" s="140"/>
      <c r="D98" s="140"/>
      <c r="E98" s="140"/>
      <c r="F98" s="140"/>
      <c r="G98" s="140"/>
      <c r="H98" s="140"/>
      <c r="I98" s="140"/>
      <c r="J98" s="140"/>
      <c r="K98" s="140"/>
      <c r="L98" s="140"/>
      <c r="M98" s="140"/>
      <c r="N98" s="177"/>
      <c r="O98" s="182"/>
      <c r="P98" s="179"/>
      <c r="Q98" s="182"/>
      <c r="R98" s="182"/>
      <c r="S98" s="182"/>
      <c r="T98" s="182"/>
      <c r="U98" s="182"/>
      <c r="V98" s="182"/>
      <c r="W98" s="182"/>
      <c r="X98" s="182"/>
      <c r="Y98" s="182"/>
      <c r="Z98" s="182"/>
      <c r="AA98" s="182"/>
      <c r="AB98" s="182"/>
      <c r="AC98" s="182"/>
      <c r="AD98" s="182"/>
      <c r="AE98" s="184"/>
      <c r="AF98" s="183"/>
      <c r="AG98" s="183"/>
      <c r="AH98" s="183"/>
      <c r="AI98" s="183"/>
      <c r="AJ98" s="182"/>
      <c r="AK98" s="184"/>
      <c r="AL98" s="182"/>
      <c r="AM98" s="182"/>
      <c r="AN98" s="189" t="s">
        <v>664</v>
      </c>
      <c r="AO98" s="190">
        <v>2999</v>
      </c>
      <c r="AP98" s="182"/>
      <c r="AQ98" s="182"/>
      <c r="AR98" s="182"/>
    </row>
    <row r="99" spans="1:44">
      <c r="A99" s="140"/>
      <c r="B99" s="140"/>
      <c r="C99" s="140"/>
      <c r="D99" s="140"/>
      <c r="E99" s="140"/>
      <c r="F99" s="140"/>
      <c r="G99" s="140"/>
      <c r="H99" s="140"/>
      <c r="I99" s="140"/>
      <c r="J99" s="140"/>
      <c r="K99" s="140"/>
      <c r="L99" s="140"/>
      <c r="M99" s="140"/>
      <c r="N99" s="177"/>
      <c r="O99" s="182"/>
      <c r="P99" s="179"/>
      <c r="Q99" s="182"/>
      <c r="R99" s="182"/>
      <c r="S99" s="182"/>
      <c r="T99" s="182"/>
      <c r="U99" s="182"/>
      <c r="V99" s="182"/>
      <c r="W99" s="182"/>
      <c r="X99" s="182"/>
      <c r="Y99" s="182"/>
      <c r="Z99" s="182"/>
      <c r="AA99" s="182"/>
      <c r="AB99" s="182"/>
      <c r="AC99" s="182"/>
      <c r="AD99" s="182"/>
      <c r="AE99" s="184"/>
      <c r="AF99" s="183"/>
      <c r="AG99" s="183"/>
      <c r="AH99" s="183"/>
      <c r="AI99" s="183"/>
      <c r="AJ99" s="182"/>
      <c r="AK99" s="184"/>
      <c r="AL99" s="182"/>
      <c r="AM99" s="182"/>
      <c r="AN99" s="189" t="s">
        <v>509</v>
      </c>
      <c r="AO99" s="190">
        <v>1499</v>
      </c>
      <c r="AP99" s="182"/>
      <c r="AQ99" s="182"/>
      <c r="AR99" s="182"/>
    </row>
    <row r="100" spans="1:44">
      <c r="A100" s="140"/>
      <c r="B100" s="140"/>
      <c r="C100" s="140"/>
      <c r="D100" s="140"/>
      <c r="E100" s="140"/>
      <c r="F100" s="140"/>
      <c r="G100" s="140"/>
      <c r="H100" s="140"/>
      <c r="I100" s="140"/>
      <c r="J100" s="140"/>
      <c r="K100" s="140"/>
      <c r="L100" s="140"/>
      <c r="M100" s="140"/>
      <c r="N100" s="177"/>
      <c r="O100" s="182"/>
      <c r="P100" s="179"/>
      <c r="Q100" s="182"/>
      <c r="R100" s="182"/>
      <c r="S100" s="182"/>
      <c r="T100" s="182"/>
      <c r="U100" s="182"/>
      <c r="V100" s="182"/>
      <c r="W100" s="182"/>
      <c r="X100" s="182"/>
      <c r="Y100" s="182"/>
      <c r="Z100" s="182"/>
      <c r="AA100" s="182"/>
      <c r="AB100" s="182"/>
      <c r="AC100" s="182"/>
      <c r="AD100" s="182"/>
      <c r="AE100" s="184"/>
      <c r="AF100" s="183"/>
      <c r="AG100" s="183"/>
      <c r="AH100" s="183"/>
      <c r="AI100" s="183"/>
      <c r="AJ100" s="182"/>
      <c r="AK100" s="184"/>
      <c r="AL100" s="182"/>
      <c r="AM100" s="182"/>
      <c r="AN100" s="189" t="s">
        <v>729</v>
      </c>
      <c r="AO100" s="190">
        <v>2899</v>
      </c>
      <c r="AP100" s="182"/>
      <c r="AQ100" s="182"/>
      <c r="AR100" s="182"/>
    </row>
    <row r="101" spans="1:44">
      <c r="A101" s="140"/>
      <c r="B101" s="140"/>
      <c r="C101" s="140"/>
      <c r="D101" s="140"/>
      <c r="E101" s="140"/>
      <c r="F101" s="140"/>
      <c r="G101" s="140"/>
      <c r="H101" s="140"/>
      <c r="I101" s="140"/>
      <c r="J101" s="140"/>
      <c r="K101" s="140"/>
      <c r="L101" s="140"/>
      <c r="M101" s="140"/>
      <c r="N101" s="177"/>
      <c r="O101" s="182"/>
      <c r="P101" s="179"/>
      <c r="Q101" s="182"/>
      <c r="R101" s="182"/>
      <c r="S101" s="182"/>
      <c r="T101" s="182"/>
      <c r="U101" s="182"/>
      <c r="V101" s="182"/>
      <c r="W101" s="182"/>
      <c r="X101" s="182"/>
      <c r="Y101" s="182"/>
      <c r="Z101" s="182"/>
      <c r="AA101" s="182"/>
      <c r="AB101" s="182"/>
      <c r="AC101" s="182"/>
      <c r="AD101" s="182"/>
      <c r="AE101" s="184"/>
      <c r="AF101" s="183"/>
      <c r="AG101" s="183"/>
      <c r="AH101" s="183"/>
      <c r="AI101" s="183"/>
      <c r="AJ101" s="182"/>
      <c r="AK101" s="184"/>
      <c r="AL101" s="182"/>
      <c r="AM101" s="182"/>
      <c r="AN101" s="189" t="s">
        <v>643</v>
      </c>
      <c r="AO101" s="190">
        <v>1549</v>
      </c>
      <c r="AP101" s="182"/>
      <c r="AQ101" s="182"/>
      <c r="AR101" s="182"/>
    </row>
    <row r="102" spans="1:44">
      <c r="A102" s="140"/>
      <c r="B102" s="140"/>
      <c r="C102" s="140"/>
      <c r="D102" s="140"/>
      <c r="E102" s="140"/>
      <c r="F102" s="140"/>
      <c r="G102" s="140"/>
      <c r="H102" s="140"/>
      <c r="I102" s="140"/>
      <c r="J102" s="140"/>
      <c r="K102" s="140"/>
      <c r="L102" s="140"/>
      <c r="M102" s="140"/>
      <c r="N102" s="177"/>
      <c r="O102" s="182"/>
      <c r="P102" s="179"/>
      <c r="Q102" s="182"/>
      <c r="R102" s="182"/>
      <c r="S102" s="182"/>
      <c r="T102" s="182"/>
      <c r="U102" s="182"/>
      <c r="V102" s="182"/>
      <c r="W102" s="182"/>
      <c r="X102" s="182"/>
      <c r="Y102" s="182"/>
      <c r="Z102" s="182"/>
      <c r="AA102" s="182"/>
      <c r="AB102" s="182"/>
      <c r="AC102" s="182"/>
      <c r="AD102" s="182"/>
      <c r="AE102" s="184"/>
      <c r="AF102" s="183"/>
      <c r="AG102" s="183"/>
      <c r="AH102" s="183"/>
      <c r="AI102" s="183"/>
      <c r="AJ102" s="182"/>
      <c r="AK102" s="184"/>
      <c r="AL102" s="182"/>
      <c r="AM102" s="182"/>
      <c r="AN102" s="182"/>
      <c r="AO102" s="182"/>
      <c r="AP102" s="182"/>
      <c r="AQ102" s="182"/>
      <c r="AR102" s="182"/>
    </row>
    <row r="103" spans="1:44">
      <c r="A103" s="140"/>
      <c r="B103" s="140"/>
      <c r="C103" s="140"/>
      <c r="D103" s="140"/>
      <c r="E103" s="140"/>
      <c r="F103" s="140"/>
      <c r="G103" s="140"/>
      <c r="H103" s="140"/>
      <c r="I103" s="140"/>
      <c r="J103" s="140"/>
      <c r="K103" s="140"/>
      <c r="L103" s="140"/>
      <c r="M103" s="140"/>
      <c r="N103" s="177"/>
      <c r="O103" s="182"/>
      <c r="P103" s="179"/>
      <c r="Q103" s="182"/>
      <c r="R103" s="182"/>
      <c r="S103" s="182"/>
      <c r="T103" s="182"/>
      <c r="U103" s="182"/>
      <c r="V103" s="182"/>
      <c r="W103" s="182"/>
      <c r="X103" s="182"/>
      <c r="Y103" s="182"/>
      <c r="Z103" s="182"/>
      <c r="AA103" s="182"/>
      <c r="AB103" s="182"/>
      <c r="AC103" s="182"/>
      <c r="AD103" s="182"/>
      <c r="AE103" s="184"/>
      <c r="AF103" s="183"/>
      <c r="AG103" s="183"/>
      <c r="AH103" s="183"/>
      <c r="AI103" s="183"/>
      <c r="AJ103" s="182"/>
      <c r="AK103" s="184"/>
      <c r="AL103" s="182"/>
      <c r="AM103" s="182"/>
      <c r="AN103" s="182"/>
      <c r="AO103" s="182"/>
      <c r="AP103" s="182"/>
      <c r="AQ103" s="182"/>
      <c r="AR103" s="182"/>
    </row>
    <row r="104" spans="1:44">
      <c r="A104" s="140"/>
      <c r="B104" s="140"/>
      <c r="C104" s="140"/>
      <c r="D104" s="140"/>
      <c r="E104" s="140"/>
      <c r="F104" s="140"/>
      <c r="G104" s="140"/>
      <c r="H104" s="140"/>
      <c r="I104" s="140"/>
      <c r="J104" s="140"/>
      <c r="K104" s="140"/>
      <c r="L104" s="140"/>
      <c r="M104" s="140"/>
      <c r="N104" s="177"/>
      <c r="O104" s="182"/>
      <c r="P104" s="179"/>
      <c r="Q104" s="182"/>
      <c r="R104" s="182"/>
      <c r="S104" s="182"/>
      <c r="T104" s="182"/>
      <c r="U104" s="182"/>
      <c r="V104" s="182"/>
      <c r="W104" s="182"/>
      <c r="X104" s="182"/>
      <c r="Y104" s="182"/>
      <c r="Z104" s="182"/>
      <c r="AA104" s="182"/>
      <c r="AB104" s="182"/>
      <c r="AC104" s="182"/>
      <c r="AD104" s="182"/>
      <c r="AE104" s="184"/>
      <c r="AF104" s="183"/>
      <c r="AG104" s="183"/>
      <c r="AH104" s="183"/>
      <c r="AI104" s="183"/>
      <c r="AJ104" s="182"/>
      <c r="AK104" s="184"/>
      <c r="AL104" s="182"/>
      <c r="AM104" s="182"/>
      <c r="AN104" s="182"/>
      <c r="AO104" s="182"/>
      <c r="AP104" s="182"/>
      <c r="AQ104" s="182"/>
      <c r="AR104" s="182"/>
    </row>
    <row r="105" spans="1:44">
      <c r="A105" s="140"/>
      <c r="B105" s="140"/>
      <c r="C105" s="140"/>
      <c r="D105" s="140"/>
      <c r="E105" s="140"/>
      <c r="F105" s="140"/>
      <c r="G105" s="140"/>
      <c r="H105" s="140"/>
      <c r="I105" s="140"/>
      <c r="J105" s="140"/>
      <c r="K105" s="140"/>
      <c r="L105" s="140"/>
      <c r="M105" s="140"/>
      <c r="N105" s="177"/>
      <c r="O105" s="182"/>
      <c r="P105" s="179"/>
      <c r="Q105" s="182"/>
      <c r="R105" s="182"/>
      <c r="S105" s="182"/>
      <c r="T105" s="182"/>
      <c r="U105" s="182"/>
      <c r="V105" s="182"/>
      <c r="W105" s="182"/>
      <c r="X105" s="182"/>
      <c r="Y105" s="182"/>
      <c r="Z105" s="182"/>
      <c r="AA105" s="182"/>
      <c r="AB105" s="182"/>
      <c r="AC105" s="182"/>
      <c r="AD105" s="182"/>
      <c r="AE105" s="184"/>
      <c r="AF105" s="183"/>
      <c r="AG105" s="183"/>
      <c r="AH105" s="183"/>
      <c r="AI105" s="183"/>
      <c r="AJ105" s="182"/>
      <c r="AK105" s="184"/>
      <c r="AL105" s="182"/>
      <c r="AM105" s="182"/>
      <c r="AN105" s="182"/>
      <c r="AO105" s="182"/>
      <c r="AP105" s="182"/>
      <c r="AQ105" s="182"/>
      <c r="AR105" s="182"/>
    </row>
    <row r="106" spans="1:44">
      <c r="A106" s="140"/>
      <c r="B106" s="140"/>
      <c r="C106" s="140"/>
      <c r="N106" s="201"/>
    </row>
    <row r="107" spans="1:44">
      <c r="A107" s="140"/>
      <c r="B107" s="140"/>
      <c r="C107" s="140"/>
      <c r="D107" s="140"/>
      <c r="E107" s="140"/>
      <c r="F107" s="140"/>
      <c r="G107" s="140"/>
      <c r="H107" s="140"/>
      <c r="I107" s="140"/>
      <c r="J107" s="140"/>
      <c r="K107" s="140"/>
      <c r="L107" s="140"/>
      <c r="M107" s="140"/>
      <c r="N107" s="177"/>
      <c r="O107" s="182"/>
      <c r="P107" s="179"/>
      <c r="Q107" s="182"/>
      <c r="R107" s="182"/>
      <c r="S107" s="182"/>
      <c r="T107" s="182"/>
      <c r="U107" s="182"/>
      <c r="V107" s="182"/>
      <c r="W107" s="182"/>
      <c r="X107" s="182"/>
      <c r="Y107" s="182"/>
      <c r="Z107" s="182"/>
      <c r="AA107" s="182"/>
      <c r="AB107" s="182"/>
      <c r="AC107" s="182"/>
      <c r="AD107" s="182"/>
      <c r="AE107" s="184"/>
      <c r="AF107" s="183"/>
      <c r="AG107" s="183"/>
      <c r="AH107" s="183"/>
      <c r="AI107" s="183"/>
      <c r="AJ107" s="182"/>
      <c r="AK107" s="184"/>
      <c r="AL107" s="182"/>
      <c r="AM107" s="182"/>
      <c r="AN107" s="182"/>
      <c r="AO107" s="182"/>
      <c r="AP107" s="182"/>
      <c r="AQ107" s="182"/>
      <c r="AR107" s="182"/>
    </row>
    <row r="108" spans="1:44">
      <c r="A108" s="182"/>
      <c r="B108" s="182"/>
      <c r="C108" s="182"/>
      <c r="D108" s="182"/>
      <c r="E108" s="182"/>
      <c r="F108" s="182"/>
      <c r="G108" s="182"/>
      <c r="H108" s="182"/>
      <c r="I108" s="182"/>
      <c r="J108" s="182"/>
      <c r="K108" s="182"/>
      <c r="L108" s="182"/>
      <c r="M108" s="182"/>
      <c r="N108" s="177"/>
      <c r="O108" s="182"/>
      <c r="P108" s="179"/>
      <c r="Q108" s="182"/>
      <c r="R108" s="182"/>
      <c r="S108" s="182"/>
      <c r="T108" s="182"/>
      <c r="U108" s="182"/>
      <c r="V108" s="182"/>
      <c r="W108" s="182"/>
      <c r="X108" s="182"/>
      <c r="Y108" s="182"/>
      <c r="Z108" s="182"/>
      <c r="AA108" s="182"/>
      <c r="AB108" s="182"/>
      <c r="AC108" s="182"/>
      <c r="AD108" s="182"/>
      <c r="AE108" s="184"/>
      <c r="AF108" s="183"/>
      <c r="AG108" s="183"/>
      <c r="AH108" s="183"/>
      <c r="AI108" s="183"/>
      <c r="AJ108" s="182"/>
      <c r="AK108" s="184"/>
      <c r="AL108" s="182"/>
      <c r="AM108" s="182"/>
      <c r="AN108" s="182"/>
      <c r="AO108" s="182"/>
      <c r="AP108" s="182"/>
      <c r="AQ108" s="182"/>
      <c r="AR108" s="182"/>
    </row>
    <row r="109" spans="1:44">
      <c r="A109" s="182"/>
      <c r="B109" s="182"/>
      <c r="C109" s="182"/>
      <c r="D109" s="182"/>
      <c r="E109" s="182"/>
      <c r="F109" s="182"/>
      <c r="G109" s="182"/>
      <c r="H109" s="182"/>
      <c r="I109" s="182"/>
      <c r="J109" s="182"/>
      <c r="K109" s="182"/>
      <c r="L109" s="182"/>
      <c r="M109" s="182"/>
      <c r="N109" s="177"/>
      <c r="O109" s="182"/>
      <c r="P109" s="179"/>
      <c r="Q109" s="182"/>
      <c r="R109" s="182"/>
      <c r="S109" s="182"/>
      <c r="T109" s="182"/>
      <c r="U109" s="182"/>
      <c r="V109" s="182"/>
      <c r="W109" s="182"/>
      <c r="X109" s="182"/>
      <c r="Y109" s="182"/>
      <c r="Z109" s="182"/>
      <c r="AA109" s="182"/>
      <c r="AB109" s="182"/>
      <c r="AC109" s="182"/>
      <c r="AD109" s="182"/>
      <c r="AE109" s="184"/>
      <c r="AF109" s="183"/>
      <c r="AG109" s="183"/>
      <c r="AH109" s="183"/>
      <c r="AI109" s="183"/>
      <c r="AJ109" s="182"/>
      <c r="AK109" s="184"/>
      <c r="AL109" s="182"/>
      <c r="AM109" s="182"/>
      <c r="AN109" s="182"/>
      <c r="AO109" s="182"/>
      <c r="AP109" s="182"/>
      <c r="AQ109" s="182"/>
      <c r="AR109" s="182"/>
    </row>
    <row r="110" spans="1:44">
      <c r="A110" s="182"/>
      <c r="B110" s="182"/>
      <c r="C110" s="182"/>
      <c r="D110" s="182"/>
      <c r="E110" s="182"/>
      <c r="F110" s="182"/>
      <c r="G110" s="182"/>
      <c r="H110" s="182"/>
      <c r="I110" s="182"/>
      <c r="J110" s="182"/>
      <c r="K110" s="182"/>
      <c r="L110" s="182"/>
      <c r="M110" s="182"/>
      <c r="N110" s="177"/>
      <c r="O110" s="182"/>
      <c r="P110" s="179"/>
      <c r="Q110" s="182"/>
      <c r="R110" s="182"/>
      <c r="S110" s="182"/>
      <c r="T110" s="182"/>
      <c r="U110" s="182"/>
      <c r="V110" s="182"/>
      <c r="W110" s="182"/>
      <c r="X110" s="182"/>
      <c r="Y110" s="182"/>
      <c r="Z110" s="182"/>
      <c r="AA110" s="182"/>
      <c r="AB110" s="182"/>
      <c r="AC110" s="182"/>
      <c r="AD110" s="182"/>
      <c r="AE110" s="184"/>
      <c r="AF110" s="183"/>
      <c r="AG110" s="183"/>
      <c r="AH110" s="183"/>
      <c r="AI110" s="183"/>
      <c r="AJ110" s="182"/>
      <c r="AK110" s="184"/>
      <c r="AL110" s="182"/>
      <c r="AM110" s="182"/>
      <c r="AN110" s="182"/>
      <c r="AO110" s="182"/>
      <c r="AP110" s="182"/>
      <c r="AQ110" s="182"/>
      <c r="AR110" s="182"/>
    </row>
    <row r="111" spans="1:44">
      <c r="A111" s="182"/>
      <c r="B111" s="182"/>
      <c r="C111" s="182"/>
      <c r="D111" s="182"/>
      <c r="E111" s="182"/>
      <c r="F111" s="182"/>
      <c r="G111" s="182"/>
      <c r="H111" s="182"/>
      <c r="I111" s="182"/>
      <c r="J111" s="182"/>
      <c r="K111" s="182"/>
      <c r="L111" s="182"/>
      <c r="M111" s="182"/>
      <c r="N111" s="177"/>
      <c r="O111" s="182"/>
      <c r="P111" s="179"/>
      <c r="Q111" s="182"/>
      <c r="R111" s="182"/>
      <c r="S111" s="182"/>
      <c r="T111" s="182"/>
      <c r="U111" s="182"/>
      <c r="V111" s="182"/>
      <c r="W111" s="182"/>
      <c r="X111" s="182"/>
      <c r="Y111" s="182"/>
      <c r="Z111" s="182"/>
      <c r="AA111" s="182"/>
      <c r="AB111" s="182"/>
      <c r="AC111" s="182"/>
      <c r="AD111" s="182"/>
      <c r="AE111" s="184"/>
      <c r="AF111" s="183"/>
      <c r="AG111" s="183"/>
      <c r="AH111" s="183"/>
      <c r="AI111" s="183"/>
      <c r="AJ111" s="182"/>
      <c r="AK111" s="184"/>
      <c r="AL111" s="182"/>
      <c r="AM111" s="182"/>
      <c r="AN111" s="182"/>
      <c r="AO111" s="182"/>
      <c r="AP111" s="182"/>
      <c r="AQ111" s="182"/>
      <c r="AR111" s="182"/>
    </row>
    <row r="112" spans="1:44">
      <c r="A112" s="182"/>
      <c r="B112" s="182"/>
      <c r="C112" s="182"/>
      <c r="D112" s="182"/>
      <c r="E112" s="182"/>
      <c r="F112" s="182"/>
      <c r="G112" s="182"/>
      <c r="H112" s="182"/>
      <c r="I112" s="182"/>
      <c r="J112" s="182"/>
      <c r="K112" s="182"/>
      <c r="L112" s="182"/>
      <c r="M112" s="182"/>
      <c r="N112" s="177"/>
      <c r="O112" s="182"/>
      <c r="P112" s="179"/>
      <c r="Q112" s="182"/>
      <c r="R112" s="182"/>
      <c r="S112" s="182"/>
      <c r="T112" s="182"/>
      <c r="U112" s="182"/>
      <c r="V112" s="182"/>
      <c r="W112" s="182"/>
      <c r="X112" s="182"/>
      <c r="Y112" s="182"/>
      <c r="Z112" s="182"/>
      <c r="AA112" s="182"/>
      <c r="AB112" s="182"/>
      <c r="AC112" s="182"/>
      <c r="AD112" s="182"/>
      <c r="AE112" s="184"/>
      <c r="AF112" s="183"/>
      <c r="AG112" s="183"/>
      <c r="AH112" s="183"/>
      <c r="AI112" s="183"/>
      <c r="AJ112" s="182"/>
      <c r="AK112" s="184"/>
      <c r="AL112" s="182"/>
      <c r="AM112" s="182"/>
      <c r="AN112" s="182"/>
      <c r="AO112" s="182"/>
      <c r="AP112" s="182"/>
      <c r="AQ112" s="182"/>
      <c r="AR112" s="182"/>
    </row>
    <row r="113" spans="1:44">
      <c r="A113" s="182"/>
      <c r="B113" s="182"/>
      <c r="C113" s="182"/>
      <c r="D113" s="182"/>
      <c r="E113" s="182"/>
      <c r="F113" s="182"/>
      <c r="G113" s="182"/>
      <c r="H113" s="182"/>
      <c r="I113" s="182"/>
      <c r="J113" s="182"/>
      <c r="K113" s="182"/>
      <c r="L113" s="182"/>
      <c r="M113" s="182"/>
      <c r="N113" s="177"/>
      <c r="O113" s="182"/>
      <c r="P113" s="179"/>
      <c r="Q113" s="182"/>
      <c r="R113" s="182"/>
      <c r="S113" s="182"/>
      <c r="T113" s="182"/>
      <c r="U113" s="182"/>
      <c r="V113" s="182"/>
      <c r="W113" s="182"/>
      <c r="X113" s="182"/>
      <c r="Y113" s="182"/>
      <c r="Z113" s="182"/>
      <c r="AA113" s="182"/>
      <c r="AB113" s="182"/>
      <c r="AC113" s="182"/>
      <c r="AD113" s="182"/>
      <c r="AE113" s="184"/>
      <c r="AF113" s="183"/>
      <c r="AG113" s="183"/>
      <c r="AH113" s="183"/>
      <c r="AI113" s="183"/>
      <c r="AJ113" s="182"/>
      <c r="AK113" s="184"/>
      <c r="AL113" s="182"/>
      <c r="AM113" s="182"/>
      <c r="AN113" s="182"/>
      <c r="AO113" s="182"/>
      <c r="AP113" s="182"/>
      <c r="AQ113" s="182"/>
      <c r="AR113" s="182"/>
    </row>
    <row r="114" spans="1:44">
      <c r="A114" s="182"/>
      <c r="B114" s="182"/>
      <c r="C114" s="182"/>
      <c r="D114" s="182"/>
      <c r="E114" s="182"/>
      <c r="F114" s="182"/>
      <c r="G114" s="182"/>
      <c r="H114" s="182"/>
      <c r="I114" s="182"/>
      <c r="J114" s="182"/>
      <c r="K114" s="182"/>
      <c r="L114" s="182"/>
      <c r="M114" s="182"/>
      <c r="N114" s="177"/>
      <c r="O114" s="182"/>
      <c r="P114" s="179"/>
      <c r="Q114" s="182"/>
      <c r="R114" s="182"/>
      <c r="S114" s="182"/>
      <c r="T114" s="182"/>
      <c r="U114" s="182"/>
      <c r="V114" s="182"/>
      <c r="W114" s="182"/>
      <c r="X114" s="182"/>
      <c r="Y114" s="182"/>
      <c r="Z114" s="182"/>
      <c r="AA114" s="182"/>
      <c r="AB114" s="182"/>
      <c r="AC114" s="182"/>
      <c r="AD114" s="182"/>
      <c r="AE114" s="184"/>
      <c r="AF114" s="183"/>
      <c r="AG114" s="183"/>
      <c r="AH114" s="183"/>
      <c r="AI114" s="183"/>
      <c r="AJ114" s="182"/>
      <c r="AK114" s="184"/>
      <c r="AL114" s="182"/>
      <c r="AM114" s="182"/>
      <c r="AN114" s="182"/>
      <c r="AO114" s="182"/>
      <c r="AP114" s="182"/>
      <c r="AQ114" s="182"/>
      <c r="AR114" s="182"/>
    </row>
    <row r="115" spans="1:44">
      <c r="A115" s="182"/>
      <c r="B115" s="182"/>
      <c r="C115" s="182"/>
      <c r="D115" s="182"/>
      <c r="E115" s="182"/>
      <c r="F115" s="182"/>
      <c r="G115" s="182"/>
      <c r="H115" s="182"/>
      <c r="I115" s="182"/>
      <c r="J115" s="182"/>
      <c r="K115" s="182"/>
      <c r="L115" s="182"/>
      <c r="M115" s="182"/>
      <c r="N115" s="177"/>
      <c r="O115" s="182"/>
      <c r="P115" s="179"/>
      <c r="Q115" s="182"/>
      <c r="R115" s="182"/>
      <c r="S115" s="182"/>
      <c r="T115" s="182"/>
      <c r="U115" s="182"/>
      <c r="V115" s="182"/>
      <c r="W115" s="182"/>
      <c r="X115" s="182"/>
      <c r="Y115" s="182"/>
      <c r="Z115" s="182"/>
      <c r="AA115" s="182"/>
      <c r="AB115" s="182"/>
      <c r="AC115" s="182"/>
      <c r="AD115" s="182"/>
      <c r="AE115" s="184"/>
      <c r="AF115" s="183"/>
      <c r="AG115" s="183"/>
      <c r="AH115" s="183"/>
      <c r="AI115" s="183"/>
      <c r="AJ115" s="182"/>
      <c r="AK115" s="184"/>
      <c r="AL115" s="182"/>
      <c r="AM115" s="182"/>
      <c r="AN115" s="182"/>
      <c r="AO115" s="182"/>
      <c r="AP115" s="182"/>
      <c r="AQ115" s="182"/>
      <c r="AR115" s="182"/>
    </row>
    <row r="116" spans="1:44">
      <c r="A116" s="182"/>
      <c r="B116" s="182"/>
      <c r="C116" s="182"/>
      <c r="D116" s="182"/>
      <c r="E116" s="182"/>
      <c r="F116" s="182"/>
      <c r="G116" s="182"/>
      <c r="H116" s="182"/>
      <c r="I116" s="182"/>
      <c r="J116" s="182"/>
      <c r="K116" s="182"/>
      <c r="L116" s="182"/>
      <c r="M116" s="182"/>
      <c r="N116" s="177"/>
      <c r="O116" s="182"/>
      <c r="P116" s="179"/>
      <c r="Q116" s="182"/>
      <c r="R116" s="182"/>
      <c r="S116" s="182"/>
      <c r="T116" s="182"/>
      <c r="U116" s="182"/>
      <c r="V116" s="182"/>
      <c r="W116" s="182"/>
      <c r="X116" s="182"/>
      <c r="Y116" s="182"/>
      <c r="Z116" s="182"/>
      <c r="AA116" s="182"/>
      <c r="AB116" s="182"/>
      <c r="AC116" s="182"/>
      <c r="AD116" s="182"/>
      <c r="AE116" s="184"/>
      <c r="AF116" s="183"/>
      <c r="AG116" s="183"/>
      <c r="AH116" s="183"/>
      <c r="AI116" s="183"/>
      <c r="AJ116" s="182"/>
      <c r="AK116" s="184"/>
      <c r="AL116" s="182"/>
      <c r="AM116" s="182"/>
      <c r="AN116" s="182"/>
      <c r="AO116" s="182"/>
      <c r="AP116" s="182"/>
      <c r="AQ116" s="182"/>
      <c r="AR116" s="182"/>
    </row>
    <row r="117" spans="1:44">
      <c r="A117" s="182"/>
      <c r="B117" s="182"/>
      <c r="C117" s="182"/>
      <c r="D117" s="182"/>
      <c r="E117" s="182"/>
      <c r="F117" s="182"/>
      <c r="G117" s="182"/>
      <c r="H117" s="182"/>
      <c r="I117" s="182"/>
      <c r="J117" s="182"/>
      <c r="K117" s="182"/>
      <c r="L117" s="182"/>
      <c r="M117" s="182"/>
      <c r="N117" s="177"/>
      <c r="O117" s="182"/>
      <c r="P117" s="179"/>
      <c r="Q117" s="182"/>
      <c r="R117" s="182"/>
      <c r="S117" s="182"/>
      <c r="T117" s="182"/>
      <c r="U117" s="182"/>
      <c r="V117" s="182"/>
      <c r="W117" s="182"/>
      <c r="X117" s="182"/>
      <c r="Y117" s="182"/>
      <c r="Z117" s="182"/>
      <c r="AA117" s="182"/>
      <c r="AB117" s="182"/>
      <c r="AC117" s="182"/>
      <c r="AD117" s="182"/>
      <c r="AE117" s="184"/>
      <c r="AF117" s="183"/>
      <c r="AG117" s="183"/>
      <c r="AH117" s="183"/>
      <c r="AI117" s="183"/>
      <c r="AJ117" s="182"/>
      <c r="AK117" s="184"/>
      <c r="AL117" s="182"/>
      <c r="AM117" s="182"/>
      <c r="AN117" s="182"/>
      <c r="AO117" s="182"/>
      <c r="AP117" s="182"/>
      <c r="AQ117" s="182"/>
      <c r="AR117" s="182"/>
    </row>
    <row r="118" spans="1:44">
      <c r="A118" s="182"/>
      <c r="B118" s="182"/>
      <c r="C118" s="182"/>
      <c r="D118" s="182"/>
      <c r="E118" s="182"/>
      <c r="F118" s="182"/>
      <c r="G118" s="182"/>
      <c r="H118" s="182"/>
      <c r="I118" s="182"/>
      <c r="J118" s="182"/>
      <c r="K118" s="182"/>
      <c r="L118" s="182"/>
      <c r="M118" s="182"/>
      <c r="N118" s="177"/>
      <c r="O118" s="182"/>
      <c r="P118" s="179"/>
      <c r="Q118" s="182"/>
      <c r="R118" s="182"/>
      <c r="S118" s="182"/>
      <c r="T118" s="182"/>
      <c r="U118" s="182"/>
      <c r="V118" s="182"/>
      <c r="W118" s="182"/>
      <c r="X118" s="182"/>
      <c r="Y118" s="182"/>
      <c r="Z118" s="182"/>
      <c r="AA118" s="182"/>
      <c r="AB118" s="182"/>
      <c r="AC118" s="182"/>
      <c r="AD118" s="182"/>
      <c r="AE118" s="184"/>
      <c r="AF118" s="183"/>
      <c r="AG118" s="183"/>
      <c r="AH118" s="183"/>
      <c r="AI118" s="183"/>
      <c r="AJ118" s="182"/>
      <c r="AK118" s="184"/>
      <c r="AL118" s="182"/>
      <c r="AM118" s="182"/>
      <c r="AN118" s="182"/>
      <c r="AO118" s="182"/>
      <c r="AP118" s="182"/>
      <c r="AQ118" s="182"/>
      <c r="AR118" s="182"/>
    </row>
    <row r="119" spans="1:44">
      <c r="A119" s="182"/>
      <c r="B119" s="182"/>
      <c r="C119" s="182"/>
      <c r="D119" s="182"/>
      <c r="E119" s="182"/>
      <c r="F119" s="182"/>
      <c r="G119" s="182"/>
      <c r="H119" s="182"/>
      <c r="I119" s="182"/>
      <c r="J119" s="182"/>
      <c r="K119" s="182"/>
      <c r="L119" s="182"/>
      <c r="M119" s="182"/>
      <c r="N119" s="177"/>
      <c r="O119" s="182"/>
      <c r="P119" s="179"/>
      <c r="Q119" s="182"/>
      <c r="R119" s="182"/>
      <c r="S119" s="182"/>
      <c r="T119" s="182"/>
      <c r="U119" s="182"/>
      <c r="V119" s="182"/>
      <c r="W119" s="182"/>
      <c r="X119" s="182"/>
      <c r="Y119" s="182"/>
      <c r="Z119" s="182"/>
      <c r="AA119" s="182"/>
      <c r="AB119" s="182"/>
      <c r="AC119" s="182"/>
      <c r="AD119" s="182"/>
      <c r="AE119" s="184"/>
      <c r="AF119" s="183"/>
      <c r="AG119" s="183"/>
      <c r="AH119" s="183"/>
      <c r="AI119" s="183"/>
      <c r="AJ119" s="182"/>
      <c r="AK119" s="184"/>
      <c r="AL119" s="182"/>
      <c r="AM119" s="182"/>
      <c r="AN119" s="182"/>
      <c r="AO119" s="182"/>
      <c r="AP119" s="182"/>
      <c r="AQ119" s="182"/>
      <c r="AR119" s="182"/>
    </row>
    <row r="120" spans="1:44">
      <c r="A120" s="182"/>
      <c r="B120" s="182"/>
      <c r="C120" s="182"/>
      <c r="D120" s="182"/>
      <c r="E120" s="182"/>
      <c r="F120" s="182"/>
      <c r="G120" s="182"/>
      <c r="H120" s="182"/>
      <c r="I120" s="182"/>
      <c r="J120" s="182"/>
      <c r="K120" s="182"/>
      <c r="L120" s="182"/>
      <c r="M120" s="182"/>
      <c r="N120" s="177"/>
      <c r="O120" s="182"/>
      <c r="P120" s="179"/>
      <c r="Q120" s="182"/>
      <c r="R120" s="182"/>
      <c r="S120" s="182"/>
      <c r="T120" s="182"/>
      <c r="U120" s="182"/>
      <c r="V120" s="182"/>
      <c r="W120" s="182"/>
      <c r="X120" s="182"/>
      <c r="Y120" s="182"/>
      <c r="Z120" s="182"/>
      <c r="AA120" s="182"/>
      <c r="AB120" s="182"/>
      <c r="AC120" s="182"/>
      <c r="AD120" s="182"/>
      <c r="AE120" s="184"/>
      <c r="AF120" s="183"/>
      <c r="AG120" s="183"/>
      <c r="AH120" s="183"/>
      <c r="AI120" s="183"/>
      <c r="AJ120" s="182"/>
      <c r="AK120" s="184"/>
      <c r="AL120" s="182"/>
      <c r="AM120" s="182"/>
      <c r="AN120" s="182"/>
      <c r="AO120" s="182"/>
      <c r="AP120" s="182"/>
      <c r="AQ120" s="182"/>
      <c r="AR120" s="182"/>
    </row>
    <row r="121" spans="1:44">
      <c r="A121" s="182"/>
      <c r="B121" s="182"/>
      <c r="C121" s="182"/>
      <c r="D121" s="182"/>
      <c r="E121" s="182"/>
      <c r="F121" s="182"/>
      <c r="G121" s="182"/>
      <c r="H121" s="182"/>
      <c r="I121" s="182"/>
      <c r="J121" s="182"/>
      <c r="K121" s="182"/>
      <c r="L121" s="182"/>
      <c r="M121" s="182"/>
      <c r="N121" s="177"/>
      <c r="O121" s="182"/>
      <c r="P121" s="179"/>
      <c r="Q121" s="182"/>
      <c r="R121" s="182"/>
      <c r="S121" s="182"/>
      <c r="T121" s="182"/>
      <c r="U121" s="182"/>
      <c r="V121" s="182"/>
      <c r="W121" s="182"/>
      <c r="X121" s="182"/>
      <c r="Y121" s="182"/>
      <c r="Z121" s="182"/>
      <c r="AA121" s="182"/>
      <c r="AB121" s="182"/>
      <c r="AC121" s="182"/>
      <c r="AD121" s="182"/>
      <c r="AE121" s="184"/>
      <c r="AF121" s="183"/>
      <c r="AG121" s="183"/>
      <c r="AH121" s="183"/>
      <c r="AI121" s="183"/>
      <c r="AJ121" s="182"/>
      <c r="AK121" s="184"/>
      <c r="AL121" s="182"/>
      <c r="AM121" s="182"/>
      <c r="AN121" s="182"/>
      <c r="AO121" s="182"/>
      <c r="AP121" s="182"/>
      <c r="AQ121" s="182"/>
      <c r="AR121" s="182"/>
    </row>
    <row r="122" spans="1:44">
      <c r="A122" s="182"/>
      <c r="B122" s="182"/>
      <c r="C122" s="182"/>
      <c r="D122" s="182"/>
      <c r="E122" s="182"/>
      <c r="F122" s="182"/>
      <c r="G122" s="182"/>
      <c r="H122" s="182"/>
      <c r="I122" s="182"/>
      <c r="J122" s="182"/>
      <c r="K122" s="182"/>
      <c r="L122" s="182"/>
      <c r="M122" s="182"/>
      <c r="N122" s="177"/>
      <c r="O122" s="182"/>
      <c r="P122" s="179"/>
      <c r="Q122" s="182"/>
      <c r="R122" s="182"/>
      <c r="S122" s="182"/>
      <c r="T122" s="182"/>
      <c r="U122" s="182"/>
      <c r="V122" s="182"/>
      <c r="W122" s="182"/>
      <c r="X122" s="182"/>
      <c r="Y122" s="182"/>
      <c r="Z122" s="182"/>
      <c r="AA122" s="182"/>
      <c r="AB122" s="182"/>
      <c r="AC122" s="182"/>
      <c r="AD122" s="182"/>
      <c r="AE122" s="184"/>
      <c r="AF122" s="183"/>
      <c r="AG122" s="183"/>
      <c r="AH122" s="183"/>
      <c r="AI122" s="183"/>
      <c r="AJ122" s="182"/>
      <c r="AK122" s="184"/>
      <c r="AL122" s="182"/>
      <c r="AM122" s="182"/>
      <c r="AN122" s="182"/>
      <c r="AO122" s="182"/>
      <c r="AP122" s="182"/>
      <c r="AQ122" s="182"/>
      <c r="AR122" s="182"/>
    </row>
    <row r="123" spans="1:44">
      <c r="A123" s="182"/>
      <c r="B123" s="182"/>
      <c r="C123" s="182"/>
      <c r="D123" s="182"/>
      <c r="E123" s="182"/>
      <c r="F123" s="182"/>
      <c r="G123" s="182"/>
      <c r="H123" s="182"/>
      <c r="I123" s="182"/>
      <c r="J123" s="182"/>
      <c r="K123" s="182"/>
      <c r="L123" s="182"/>
      <c r="M123" s="182"/>
      <c r="N123" s="177"/>
      <c r="O123" s="182"/>
      <c r="P123" s="179"/>
      <c r="Q123" s="182"/>
      <c r="R123" s="182"/>
      <c r="S123" s="182"/>
      <c r="T123" s="182"/>
      <c r="U123" s="182"/>
      <c r="V123" s="182"/>
      <c r="W123" s="182"/>
      <c r="X123" s="182"/>
      <c r="Y123" s="182"/>
      <c r="Z123" s="182"/>
      <c r="AA123" s="182"/>
      <c r="AB123" s="182"/>
      <c r="AC123" s="182"/>
      <c r="AD123" s="182"/>
      <c r="AE123" s="184"/>
      <c r="AF123" s="183"/>
      <c r="AG123" s="183"/>
      <c r="AH123" s="183"/>
      <c r="AI123" s="183"/>
      <c r="AJ123" s="182"/>
      <c r="AK123" s="184"/>
      <c r="AL123" s="182"/>
      <c r="AM123" s="182"/>
      <c r="AN123" s="182"/>
      <c r="AO123" s="182"/>
      <c r="AP123" s="182"/>
      <c r="AQ123" s="182"/>
      <c r="AR123" s="182"/>
    </row>
    <row r="124" spans="1:44">
      <c r="A124" s="182"/>
      <c r="B124" s="182"/>
      <c r="C124" s="182"/>
      <c r="D124" s="182"/>
      <c r="E124" s="182"/>
      <c r="F124" s="182"/>
      <c r="G124" s="182"/>
      <c r="H124" s="182"/>
      <c r="I124" s="182"/>
      <c r="J124" s="182"/>
      <c r="K124" s="182"/>
      <c r="L124" s="182"/>
      <c r="M124" s="182"/>
      <c r="N124" s="177"/>
      <c r="O124" s="182"/>
      <c r="P124" s="179"/>
      <c r="Q124" s="182"/>
      <c r="R124" s="182"/>
      <c r="S124" s="182"/>
      <c r="T124" s="182"/>
      <c r="U124" s="182"/>
      <c r="V124" s="182"/>
      <c r="W124" s="182"/>
      <c r="X124" s="182"/>
      <c r="Y124" s="182"/>
      <c r="Z124" s="182"/>
      <c r="AA124" s="182"/>
      <c r="AB124" s="182"/>
      <c r="AC124" s="182"/>
      <c r="AD124" s="182"/>
      <c r="AE124" s="184"/>
      <c r="AF124" s="183"/>
      <c r="AG124" s="183"/>
      <c r="AH124" s="183"/>
      <c r="AI124" s="183"/>
      <c r="AJ124" s="182"/>
      <c r="AK124" s="184"/>
      <c r="AL124" s="182"/>
      <c r="AM124" s="182"/>
      <c r="AN124" s="182"/>
      <c r="AO124" s="182"/>
      <c r="AP124" s="182"/>
      <c r="AQ124" s="182"/>
      <c r="AR124" s="182"/>
    </row>
    <row r="125" spans="1:44">
      <c r="A125" s="182"/>
      <c r="B125" s="182"/>
      <c r="C125" s="182"/>
      <c r="D125" s="182"/>
      <c r="E125" s="182"/>
      <c r="F125" s="182"/>
      <c r="G125" s="182"/>
      <c r="H125" s="182"/>
      <c r="I125" s="182"/>
      <c r="J125" s="182"/>
      <c r="K125" s="182"/>
      <c r="L125" s="182"/>
      <c r="M125" s="182"/>
      <c r="N125" s="177"/>
      <c r="O125" s="182"/>
      <c r="P125" s="179"/>
      <c r="Q125" s="182"/>
      <c r="R125" s="182"/>
      <c r="S125" s="182"/>
      <c r="T125" s="182"/>
      <c r="U125" s="182"/>
      <c r="V125" s="182"/>
      <c r="W125" s="182"/>
      <c r="X125" s="182"/>
      <c r="Y125" s="182"/>
      <c r="Z125" s="182"/>
      <c r="AA125" s="182"/>
      <c r="AB125" s="182"/>
      <c r="AC125" s="182"/>
      <c r="AD125" s="182"/>
      <c r="AE125" s="184"/>
      <c r="AF125" s="183"/>
      <c r="AG125" s="183"/>
      <c r="AH125" s="183"/>
      <c r="AI125" s="183"/>
      <c r="AJ125" s="182"/>
      <c r="AK125" s="184"/>
      <c r="AL125" s="182"/>
      <c r="AM125" s="182"/>
      <c r="AN125" s="182"/>
      <c r="AO125" s="182"/>
      <c r="AP125" s="182"/>
      <c r="AQ125" s="182"/>
      <c r="AR125" s="182"/>
    </row>
    <row r="126" spans="1:44">
      <c r="A126" s="182"/>
      <c r="B126" s="182"/>
      <c r="C126" s="182"/>
      <c r="D126" s="182"/>
      <c r="E126" s="182"/>
      <c r="F126" s="182"/>
      <c r="G126" s="182"/>
      <c r="H126" s="182"/>
      <c r="I126" s="182"/>
      <c r="J126" s="182"/>
      <c r="K126" s="182"/>
      <c r="L126" s="182"/>
      <c r="M126" s="182"/>
      <c r="N126" s="177"/>
      <c r="O126" s="182"/>
      <c r="P126" s="179"/>
      <c r="Q126" s="182"/>
      <c r="R126" s="182"/>
      <c r="S126" s="182"/>
      <c r="T126" s="182"/>
      <c r="U126" s="182"/>
      <c r="V126" s="182"/>
      <c r="W126" s="182"/>
      <c r="X126" s="182"/>
      <c r="Y126" s="182"/>
      <c r="Z126" s="182"/>
      <c r="AA126" s="182"/>
      <c r="AB126" s="182"/>
      <c r="AC126" s="182"/>
      <c r="AD126" s="182"/>
      <c r="AE126" s="184"/>
      <c r="AF126" s="183"/>
      <c r="AG126" s="183"/>
      <c r="AH126" s="183"/>
      <c r="AI126" s="183"/>
      <c r="AJ126" s="182"/>
      <c r="AK126" s="184"/>
      <c r="AL126" s="182"/>
      <c r="AM126" s="182"/>
      <c r="AN126" s="182"/>
      <c r="AO126" s="182"/>
      <c r="AP126" s="182"/>
      <c r="AQ126" s="182"/>
      <c r="AR126" s="182"/>
    </row>
    <row r="127" spans="1:44">
      <c r="A127" s="182"/>
      <c r="B127" s="182"/>
      <c r="C127" s="182"/>
      <c r="D127" s="182"/>
      <c r="E127" s="182"/>
      <c r="F127" s="182"/>
      <c r="G127" s="182"/>
      <c r="H127" s="182"/>
      <c r="I127" s="182"/>
      <c r="J127" s="182"/>
      <c r="K127" s="182"/>
      <c r="L127" s="182"/>
      <c r="M127" s="182"/>
      <c r="N127" s="177"/>
      <c r="O127" s="182"/>
      <c r="P127" s="179"/>
      <c r="Q127" s="182"/>
      <c r="R127" s="182"/>
      <c r="S127" s="182"/>
      <c r="T127" s="182"/>
      <c r="U127" s="182"/>
      <c r="V127" s="182"/>
      <c r="W127" s="182"/>
      <c r="X127" s="182"/>
      <c r="Y127" s="182"/>
      <c r="Z127" s="182"/>
      <c r="AA127" s="182"/>
      <c r="AB127" s="182"/>
      <c r="AC127" s="182"/>
      <c r="AD127" s="182"/>
      <c r="AE127" s="184"/>
      <c r="AF127" s="183"/>
      <c r="AG127" s="183"/>
      <c r="AH127" s="183"/>
      <c r="AI127" s="183"/>
      <c r="AJ127" s="182"/>
      <c r="AK127" s="184"/>
      <c r="AL127" s="182"/>
      <c r="AM127" s="182"/>
      <c r="AN127" s="182"/>
      <c r="AO127" s="182"/>
      <c r="AP127" s="182"/>
      <c r="AQ127" s="182"/>
      <c r="AR127" s="182"/>
    </row>
    <row r="128" spans="1:44">
      <c r="A128" s="182"/>
      <c r="B128" s="182"/>
      <c r="C128" s="182"/>
      <c r="D128" s="182"/>
      <c r="E128" s="182"/>
      <c r="F128" s="182"/>
      <c r="G128" s="182"/>
      <c r="H128" s="182"/>
      <c r="I128" s="182"/>
      <c r="J128" s="182"/>
      <c r="K128" s="182"/>
      <c r="L128" s="182"/>
      <c r="M128" s="182"/>
      <c r="N128" s="177"/>
      <c r="O128" s="182"/>
      <c r="P128" s="179"/>
      <c r="Q128" s="182"/>
      <c r="R128" s="182"/>
      <c r="S128" s="182"/>
      <c r="T128" s="182"/>
      <c r="U128" s="182"/>
      <c r="V128" s="182"/>
      <c r="W128" s="182"/>
      <c r="X128" s="182"/>
      <c r="Y128" s="182"/>
      <c r="Z128" s="182"/>
      <c r="AA128" s="182"/>
      <c r="AB128" s="182"/>
      <c r="AC128" s="182"/>
      <c r="AD128" s="182"/>
      <c r="AE128" s="184"/>
      <c r="AF128" s="183"/>
      <c r="AG128" s="183"/>
      <c r="AH128" s="183"/>
      <c r="AI128" s="183"/>
      <c r="AJ128" s="182"/>
      <c r="AK128" s="184"/>
      <c r="AL128" s="182"/>
      <c r="AM128" s="182"/>
      <c r="AN128" s="182"/>
      <c r="AO128" s="182"/>
      <c r="AP128" s="182"/>
      <c r="AQ128" s="182"/>
      <c r="AR128" s="182"/>
    </row>
    <row r="129" spans="1:44">
      <c r="A129" s="182"/>
      <c r="B129" s="182"/>
      <c r="C129" s="182"/>
      <c r="D129" s="182"/>
      <c r="E129" s="182"/>
      <c r="F129" s="182"/>
      <c r="G129" s="182"/>
      <c r="H129" s="182"/>
      <c r="I129" s="182"/>
      <c r="J129" s="182"/>
      <c r="K129" s="182"/>
      <c r="L129" s="182"/>
      <c r="M129" s="182"/>
      <c r="N129" s="177"/>
      <c r="O129" s="182"/>
      <c r="P129" s="179"/>
      <c r="Q129" s="182"/>
      <c r="R129" s="182"/>
      <c r="S129" s="182"/>
      <c r="T129" s="182"/>
      <c r="U129" s="182"/>
      <c r="V129" s="182"/>
      <c r="W129" s="182"/>
      <c r="X129" s="182"/>
      <c r="Y129" s="182"/>
      <c r="Z129" s="182"/>
      <c r="AA129" s="182"/>
      <c r="AB129" s="182"/>
      <c r="AC129" s="182"/>
      <c r="AD129" s="182"/>
      <c r="AE129" s="184"/>
      <c r="AF129" s="183"/>
      <c r="AG129" s="183"/>
      <c r="AH129" s="183"/>
      <c r="AI129" s="183"/>
      <c r="AJ129" s="182"/>
      <c r="AK129" s="184"/>
      <c r="AL129" s="182"/>
      <c r="AM129" s="182"/>
      <c r="AN129" s="182"/>
      <c r="AO129" s="182"/>
      <c r="AP129" s="182"/>
      <c r="AQ129" s="182"/>
      <c r="AR129" s="182"/>
    </row>
    <row r="130" spans="1:44">
      <c r="A130" s="182"/>
      <c r="B130" s="182"/>
      <c r="C130" s="182"/>
      <c r="D130" s="182"/>
      <c r="E130" s="182"/>
      <c r="F130" s="182"/>
      <c r="G130" s="182"/>
      <c r="H130" s="182"/>
      <c r="I130" s="182"/>
      <c r="J130" s="182"/>
      <c r="K130" s="182"/>
      <c r="L130" s="182"/>
      <c r="M130" s="182"/>
      <c r="N130" s="177"/>
      <c r="O130" s="182"/>
      <c r="P130" s="179"/>
      <c r="Q130" s="182"/>
      <c r="R130" s="182"/>
      <c r="S130" s="182"/>
      <c r="T130" s="182"/>
      <c r="U130" s="182"/>
      <c r="V130" s="182"/>
      <c r="W130" s="182"/>
      <c r="X130" s="182"/>
      <c r="Y130" s="182"/>
      <c r="Z130" s="182"/>
      <c r="AA130" s="182"/>
      <c r="AB130" s="182"/>
      <c r="AC130" s="182"/>
      <c r="AD130" s="182"/>
      <c r="AE130" s="184"/>
      <c r="AF130" s="183"/>
      <c r="AG130" s="183"/>
      <c r="AH130" s="183"/>
      <c r="AI130" s="183"/>
      <c r="AJ130" s="182"/>
      <c r="AK130" s="184"/>
      <c r="AL130" s="182"/>
      <c r="AM130" s="182"/>
      <c r="AN130" s="182"/>
      <c r="AO130" s="182"/>
      <c r="AP130" s="182"/>
      <c r="AQ130" s="182"/>
      <c r="AR130" s="182"/>
    </row>
    <row r="131" spans="1:44">
      <c r="A131" s="182"/>
      <c r="B131" s="182"/>
      <c r="C131" s="182"/>
      <c r="D131" s="182"/>
      <c r="E131" s="182"/>
      <c r="F131" s="182"/>
      <c r="G131" s="182"/>
      <c r="H131" s="182"/>
      <c r="I131" s="182"/>
      <c r="J131" s="182"/>
      <c r="K131" s="182"/>
      <c r="L131" s="182"/>
      <c r="M131" s="182"/>
      <c r="N131" s="177"/>
      <c r="O131" s="182"/>
      <c r="P131" s="179"/>
      <c r="Q131" s="182"/>
      <c r="R131" s="182"/>
      <c r="S131" s="182"/>
      <c r="T131" s="182"/>
      <c r="U131" s="182"/>
      <c r="V131" s="182"/>
      <c r="W131" s="182"/>
      <c r="X131" s="182"/>
      <c r="Y131" s="182"/>
      <c r="Z131" s="182"/>
      <c r="AA131" s="182"/>
      <c r="AB131" s="182"/>
      <c r="AC131" s="182"/>
      <c r="AD131" s="182"/>
      <c r="AE131" s="184"/>
      <c r="AF131" s="183"/>
      <c r="AG131" s="183"/>
      <c r="AH131" s="183"/>
      <c r="AI131" s="183"/>
      <c r="AJ131" s="182"/>
      <c r="AK131" s="184"/>
      <c r="AL131" s="182"/>
      <c r="AM131" s="182"/>
      <c r="AN131" s="182"/>
      <c r="AO131" s="182"/>
      <c r="AP131" s="182"/>
      <c r="AQ131" s="182"/>
      <c r="AR131" s="182"/>
    </row>
    <row r="132" spans="1:44">
      <c r="A132" s="182"/>
      <c r="B132" s="182"/>
      <c r="C132" s="182"/>
      <c r="D132" s="182"/>
      <c r="E132" s="182"/>
      <c r="F132" s="182"/>
      <c r="G132" s="182"/>
      <c r="H132" s="182"/>
      <c r="I132" s="182"/>
      <c r="J132" s="182"/>
      <c r="K132" s="182"/>
      <c r="L132" s="182"/>
      <c r="M132" s="182"/>
      <c r="N132" s="177"/>
      <c r="O132" s="182"/>
      <c r="P132" s="179"/>
      <c r="Q132" s="182"/>
      <c r="R132" s="182"/>
      <c r="S132" s="182"/>
      <c r="T132" s="182"/>
      <c r="U132" s="182"/>
      <c r="V132" s="182"/>
      <c r="W132" s="182"/>
      <c r="X132" s="182"/>
      <c r="Y132" s="182"/>
      <c r="Z132" s="182"/>
      <c r="AA132" s="182"/>
      <c r="AB132" s="182"/>
      <c r="AC132" s="182"/>
      <c r="AD132" s="182"/>
      <c r="AE132" s="184"/>
      <c r="AF132" s="183"/>
      <c r="AG132" s="183"/>
      <c r="AH132" s="183"/>
      <c r="AI132" s="183"/>
      <c r="AJ132" s="182"/>
      <c r="AK132" s="184"/>
      <c r="AL132" s="182"/>
      <c r="AM132" s="182"/>
      <c r="AN132" s="182"/>
      <c r="AO132" s="182"/>
      <c r="AP132" s="182"/>
      <c r="AQ132" s="182"/>
      <c r="AR132" s="182"/>
    </row>
    <row r="133" spans="1:44">
      <c r="A133" s="182"/>
      <c r="B133" s="182"/>
      <c r="C133" s="182"/>
      <c r="D133" s="182"/>
      <c r="E133" s="182"/>
      <c r="F133" s="182"/>
      <c r="G133" s="182"/>
      <c r="H133" s="182"/>
      <c r="I133" s="182"/>
      <c r="J133" s="182"/>
      <c r="K133" s="182"/>
      <c r="L133" s="182"/>
      <c r="M133" s="182"/>
      <c r="N133" s="177"/>
      <c r="O133" s="182"/>
      <c r="P133" s="179"/>
      <c r="Q133" s="182"/>
      <c r="R133" s="182"/>
      <c r="S133" s="182"/>
      <c r="T133" s="182"/>
      <c r="U133" s="182"/>
      <c r="V133" s="182"/>
      <c r="W133" s="182"/>
      <c r="X133" s="182"/>
      <c r="Y133" s="182"/>
      <c r="Z133" s="182"/>
      <c r="AA133" s="182"/>
      <c r="AB133" s="182"/>
      <c r="AC133" s="182"/>
      <c r="AD133" s="182"/>
      <c r="AE133" s="184"/>
      <c r="AF133" s="183"/>
      <c r="AG133" s="183"/>
      <c r="AH133" s="183"/>
      <c r="AI133" s="183"/>
      <c r="AJ133" s="182"/>
      <c r="AK133" s="184"/>
      <c r="AL133" s="182"/>
      <c r="AM133" s="182"/>
      <c r="AN133" s="182"/>
      <c r="AO133" s="182"/>
      <c r="AP133" s="182"/>
      <c r="AQ133" s="182"/>
      <c r="AR133" s="182"/>
    </row>
    <row r="134" spans="1:44">
      <c r="A134" s="182"/>
      <c r="B134" s="182"/>
      <c r="C134" s="182"/>
      <c r="D134" s="182"/>
      <c r="E134" s="182"/>
      <c r="F134" s="182"/>
      <c r="G134" s="182"/>
      <c r="H134" s="182"/>
      <c r="I134" s="182"/>
      <c r="J134" s="182"/>
      <c r="K134" s="182"/>
      <c r="L134" s="182"/>
      <c r="M134" s="182"/>
      <c r="N134" s="177"/>
      <c r="O134" s="182"/>
      <c r="P134" s="179"/>
      <c r="Q134" s="182"/>
      <c r="R134" s="182"/>
      <c r="S134" s="182"/>
      <c r="T134" s="182"/>
      <c r="U134" s="182"/>
      <c r="V134" s="182"/>
      <c r="W134" s="182"/>
      <c r="X134" s="182"/>
      <c r="Y134" s="182"/>
      <c r="Z134" s="182"/>
      <c r="AA134" s="182"/>
      <c r="AB134" s="182"/>
      <c r="AC134" s="182"/>
      <c r="AD134" s="182"/>
      <c r="AE134" s="184"/>
      <c r="AF134" s="183"/>
      <c r="AG134" s="183"/>
      <c r="AH134" s="183"/>
      <c r="AI134" s="183"/>
      <c r="AJ134" s="182"/>
      <c r="AK134" s="184"/>
      <c r="AL134" s="182"/>
      <c r="AM134" s="182"/>
      <c r="AN134" s="182"/>
      <c r="AO134" s="182"/>
      <c r="AP134" s="182"/>
      <c r="AQ134" s="182"/>
      <c r="AR134" s="182"/>
    </row>
    <row r="135" spans="1:44">
      <c r="A135" s="182"/>
      <c r="B135" s="182"/>
      <c r="C135" s="182"/>
      <c r="D135" s="182"/>
      <c r="E135" s="182"/>
      <c r="F135" s="182"/>
      <c r="G135" s="182"/>
      <c r="H135" s="182"/>
      <c r="I135" s="182"/>
      <c r="J135" s="182"/>
      <c r="K135" s="182"/>
      <c r="L135" s="182"/>
      <c r="M135" s="182"/>
      <c r="N135" s="177"/>
      <c r="O135" s="182"/>
      <c r="P135" s="179"/>
      <c r="Q135" s="182"/>
      <c r="R135" s="182"/>
      <c r="S135" s="182"/>
      <c r="T135" s="182"/>
      <c r="U135" s="182"/>
      <c r="V135" s="182"/>
      <c r="W135" s="182"/>
      <c r="X135" s="182"/>
      <c r="Y135" s="182"/>
      <c r="Z135" s="182"/>
      <c r="AA135" s="182"/>
      <c r="AB135" s="182"/>
      <c r="AC135" s="182"/>
      <c r="AD135" s="182"/>
      <c r="AE135" s="184"/>
      <c r="AF135" s="183"/>
      <c r="AG135" s="183"/>
      <c r="AH135" s="183"/>
      <c r="AI135" s="183"/>
      <c r="AJ135" s="182"/>
      <c r="AK135" s="184"/>
      <c r="AL135" s="182"/>
      <c r="AM135" s="182"/>
      <c r="AN135" s="182"/>
      <c r="AO135" s="182"/>
      <c r="AP135" s="182"/>
      <c r="AQ135" s="182"/>
      <c r="AR135" s="182"/>
    </row>
    <row r="136" spans="1:44">
      <c r="A136" s="182"/>
      <c r="B136" s="182"/>
      <c r="C136" s="182"/>
      <c r="D136" s="182"/>
      <c r="E136" s="182"/>
      <c r="F136" s="182"/>
      <c r="G136" s="182"/>
      <c r="H136" s="182"/>
      <c r="I136" s="182"/>
      <c r="J136" s="182"/>
      <c r="K136" s="182"/>
      <c r="L136" s="182"/>
      <c r="M136" s="182"/>
      <c r="N136" s="177"/>
      <c r="O136" s="182"/>
      <c r="P136" s="179"/>
      <c r="Q136" s="182"/>
      <c r="R136" s="182"/>
      <c r="S136" s="182"/>
      <c r="T136" s="182"/>
      <c r="U136" s="182"/>
      <c r="V136" s="182"/>
      <c r="W136" s="182"/>
      <c r="X136" s="182"/>
      <c r="Y136" s="182"/>
      <c r="Z136" s="182"/>
      <c r="AA136" s="182"/>
      <c r="AB136" s="182"/>
      <c r="AC136" s="182"/>
      <c r="AD136" s="182"/>
      <c r="AE136" s="184"/>
      <c r="AF136" s="183"/>
      <c r="AG136" s="183"/>
      <c r="AH136" s="183"/>
      <c r="AI136" s="183"/>
      <c r="AJ136" s="182"/>
      <c r="AK136" s="184"/>
      <c r="AL136" s="182"/>
      <c r="AM136" s="182"/>
      <c r="AN136" s="182"/>
      <c r="AO136" s="182"/>
      <c r="AP136" s="182"/>
      <c r="AQ136" s="182"/>
      <c r="AR136" s="182"/>
    </row>
    <row r="137" spans="1:44">
      <c r="A137" s="182"/>
      <c r="B137" s="182"/>
      <c r="C137" s="182"/>
      <c r="D137" s="182"/>
      <c r="E137" s="182"/>
      <c r="F137" s="182"/>
      <c r="G137" s="182"/>
      <c r="H137" s="182"/>
      <c r="I137" s="182"/>
      <c r="J137" s="182"/>
      <c r="K137" s="182"/>
      <c r="L137" s="182"/>
      <c r="M137" s="182"/>
      <c r="N137" s="177"/>
      <c r="O137" s="182"/>
      <c r="P137" s="179"/>
      <c r="Q137" s="182"/>
      <c r="R137" s="182"/>
      <c r="S137" s="182"/>
      <c r="T137" s="182"/>
      <c r="U137" s="182"/>
      <c r="V137" s="182"/>
      <c r="W137" s="182"/>
      <c r="X137" s="182"/>
      <c r="Y137" s="182"/>
      <c r="Z137" s="182"/>
      <c r="AA137" s="182"/>
      <c r="AB137" s="182"/>
      <c r="AC137" s="182"/>
      <c r="AD137" s="182"/>
      <c r="AE137" s="184"/>
      <c r="AF137" s="183"/>
      <c r="AG137" s="183"/>
      <c r="AH137" s="183"/>
      <c r="AI137" s="183"/>
      <c r="AJ137" s="182"/>
      <c r="AK137" s="184"/>
      <c r="AL137" s="182"/>
      <c r="AM137" s="182"/>
      <c r="AN137" s="182"/>
      <c r="AO137" s="182"/>
      <c r="AP137" s="182"/>
      <c r="AQ137" s="182"/>
      <c r="AR137" s="182"/>
    </row>
    <row r="138" spans="1:44">
      <c r="A138" s="182"/>
      <c r="B138" s="182"/>
      <c r="C138" s="182"/>
      <c r="D138" s="182"/>
      <c r="E138" s="182"/>
      <c r="F138" s="182"/>
      <c r="G138" s="182"/>
      <c r="H138" s="182"/>
      <c r="I138" s="182"/>
      <c r="J138" s="182"/>
      <c r="K138" s="182"/>
      <c r="L138" s="182"/>
      <c r="M138" s="182"/>
      <c r="N138" s="177"/>
      <c r="O138" s="182"/>
      <c r="P138" s="179"/>
      <c r="Q138" s="182"/>
      <c r="R138" s="182"/>
      <c r="S138" s="182"/>
      <c r="T138" s="182"/>
      <c r="U138" s="182"/>
      <c r="V138" s="182"/>
      <c r="W138" s="182"/>
      <c r="X138" s="182"/>
      <c r="Y138" s="182"/>
      <c r="Z138" s="182"/>
      <c r="AA138" s="182"/>
      <c r="AB138" s="182"/>
      <c r="AC138" s="182"/>
      <c r="AD138" s="182"/>
      <c r="AE138" s="184"/>
      <c r="AF138" s="183"/>
      <c r="AG138" s="183"/>
      <c r="AH138" s="183"/>
      <c r="AI138" s="183"/>
      <c r="AJ138" s="182"/>
      <c r="AK138" s="184"/>
      <c r="AL138" s="182"/>
      <c r="AM138" s="182"/>
      <c r="AN138" s="182"/>
      <c r="AO138" s="182"/>
      <c r="AP138" s="182"/>
      <c r="AQ138" s="182"/>
      <c r="AR138" s="182"/>
    </row>
    <row r="139" spans="1:44">
      <c r="A139" s="182"/>
      <c r="B139" s="182"/>
      <c r="C139" s="182"/>
      <c r="D139" s="182"/>
      <c r="E139" s="182"/>
      <c r="F139" s="182"/>
      <c r="G139" s="182"/>
      <c r="H139" s="182"/>
      <c r="I139" s="182"/>
      <c r="J139" s="182"/>
      <c r="K139" s="182"/>
      <c r="L139" s="182"/>
      <c r="M139" s="182"/>
      <c r="N139" s="177"/>
      <c r="O139" s="182"/>
      <c r="P139" s="179"/>
      <c r="Q139" s="182"/>
      <c r="R139" s="182"/>
      <c r="S139" s="182"/>
      <c r="T139" s="182"/>
      <c r="U139" s="182"/>
      <c r="V139" s="182"/>
      <c r="W139" s="182"/>
      <c r="X139" s="182"/>
      <c r="Y139" s="182"/>
      <c r="Z139" s="182"/>
      <c r="AA139" s="182"/>
      <c r="AB139" s="182"/>
      <c r="AC139" s="182"/>
      <c r="AD139" s="182"/>
      <c r="AE139" s="184"/>
      <c r="AF139" s="183"/>
      <c r="AG139" s="183"/>
      <c r="AH139" s="183"/>
      <c r="AI139" s="183"/>
      <c r="AJ139" s="182"/>
      <c r="AK139" s="184"/>
      <c r="AL139" s="182"/>
      <c r="AM139" s="182"/>
      <c r="AN139" s="182"/>
      <c r="AO139" s="182"/>
      <c r="AP139" s="182"/>
      <c r="AQ139" s="182"/>
      <c r="AR139" s="182"/>
    </row>
    <row r="140" spans="1:44">
      <c r="A140" s="182"/>
      <c r="B140" s="182"/>
      <c r="C140" s="182"/>
      <c r="D140" s="182"/>
      <c r="E140" s="182"/>
      <c r="F140" s="182"/>
      <c r="G140" s="182"/>
      <c r="H140" s="182"/>
      <c r="I140" s="182"/>
      <c r="J140" s="182"/>
      <c r="K140" s="182"/>
      <c r="L140" s="182"/>
      <c r="M140" s="182"/>
      <c r="N140" s="177"/>
      <c r="O140" s="182"/>
      <c r="P140" s="179"/>
      <c r="Q140" s="182"/>
      <c r="R140" s="182"/>
      <c r="S140" s="182"/>
      <c r="T140" s="182"/>
      <c r="U140" s="182"/>
      <c r="V140" s="182"/>
      <c r="W140" s="182"/>
      <c r="X140" s="182"/>
      <c r="Y140" s="182"/>
      <c r="Z140" s="182"/>
      <c r="AA140" s="182"/>
      <c r="AB140" s="182"/>
      <c r="AC140" s="182"/>
      <c r="AD140" s="182"/>
      <c r="AE140" s="184"/>
      <c r="AF140" s="183"/>
      <c r="AG140" s="183"/>
      <c r="AH140" s="183"/>
      <c r="AI140" s="183"/>
      <c r="AJ140" s="182"/>
      <c r="AK140" s="184"/>
      <c r="AL140" s="182"/>
      <c r="AM140" s="182"/>
      <c r="AN140" s="182"/>
      <c r="AO140" s="182"/>
      <c r="AP140" s="182"/>
      <c r="AQ140" s="182"/>
      <c r="AR140" s="182"/>
    </row>
    <row r="141" spans="1:44">
      <c r="A141" s="182"/>
      <c r="B141" s="182"/>
      <c r="C141" s="182"/>
      <c r="D141" s="182"/>
      <c r="E141" s="182"/>
      <c r="F141" s="182"/>
      <c r="G141" s="182"/>
      <c r="H141" s="182"/>
      <c r="I141" s="182"/>
      <c r="J141" s="182"/>
      <c r="K141" s="182"/>
      <c r="L141" s="182"/>
      <c r="M141" s="182"/>
      <c r="N141" s="177"/>
      <c r="O141" s="182"/>
      <c r="P141" s="179"/>
      <c r="Q141" s="182"/>
      <c r="R141" s="182"/>
      <c r="S141" s="182"/>
      <c r="T141" s="182"/>
      <c r="U141" s="182"/>
      <c r="V141" s="182"/>
      <c r="W141" s="182"/>
      <c r="X141" s="182"/>
      <c r="Y141" s="182"/>
      <c r="Z141" s="182"/>
      <c r="AA141" s="182"/>
      <c r="AB141" s="182"/>
      <c r="AC141" s="182"/>
      <c r="AD141" s="182"/>
      <c r="AE141" s="184"/>
      <c r="AF141" s="183"/>
      <c r="AG141" s="183"/>
      <c r="AH141" s="183"/>
      <c r="AI141" s="183"/>
      <c r="AJ141" s="182"/>
      <c r="AK141" s="184"/>
      <c r="AL141" s="182"/>
      <c r="AM141" s="182"/>
      <c r="AN141" s="182"/>
      <c r="AO141" s="182"/>
      <c r="AP141" s="182"/>
      <c r="AQ141" s="182"/>
      <c r="AR141" s="182"/>
    </row>
    <row r="142" spans="1:44">
      <c r="A142" s="182"/>
      <c r="B142" s="182"/>
      <c r="C142" s="182"/>
      <c r="D142" s="182"/>
      <c r="E142" s="182"/>
      <c r="F142" s="182"/>
      <c r="G142" s="182"/>
      <c r="H142" s="182"/>
      <c r="I142" s="182"/>
      <c r="J142" s="182"/>
      <c r="K142" s="182"/>
      <c r="L142" s="182"/>
      <c r="M142" s="182"/>
      <c r="N142" s="177"/>
      <c r="O142" s="182"/>
      <c r="P142" s="179"/>
      <c r="Q142" s="182"/>
      <c r="R142" s="182"/>
      <c r="S142" s="182"/>
      <c r="T142" s="182"/>
      <c r="U142" s="182"/>
      <c r="V142" s="182"/>
      <c r="W142" s="182"/>
      <c r="X142" s="182"/>
      <c r="Y142" s="182"/>
      <c r="Z142" s="182"/>
      <c r="AA142" s="182"/>
      <c r="AB142" s="182"/>
      <c r="AC142" s="182"/>
      <c r="AD142" s="182"/>
      <c r="AE142" s="184"/>
      <c r="AF142" s="183"/>
      <c r="AG142" s="183"/>
      <c r="AH142" s="183"/>
      <c r="AI142" s="183"/>
      <c r="AJ142" s="182"/>
      <c r="AK142" s="184"/>
      <c r="AL142" s="182"/>
      <c r="AM142" s="182"/>
      <c r="AN142" s="182"/>
      <c r="AO142" s="182"/>
      <c r="AP142" s="182"/>
      <c r="AQ142" s="182"/>
      <c r="AR142" s="182"/>
    </row>
    <row r="143" spans="1:44">
      <c r="A143" s="182"/>
      <c r="B143" s="182"/>
      <c r="C143" s="182"/>
      <c r="D143" s="182"/>
      <c r="E143" s="182"/>
      <c r="F143" s="182"/>
      <c r="G143" s="182"/>
      <c r="H143" s="182"/>
      <c r="I143" s="182"/>
      <c r="J143" s="182"/>
      <c r="K143" s="182"/>
      <c r="L143" s="182"/>
      <c r="M143" s="182"/>
      <c r="N143" s="177"/>
      <c r="O143" s="182"/>
      <c r="P143" s="179"/>
      <c r="Q143" s="182"/>
      <c r="R143" s="182"/>
      <c r="S143" s="182"/>
      <c r="T143" s="182"/>
      <c r="U143" s="182"/>
      <c r="V143" s="182"/>
      <c r="W143" s="182"/>
      <c r="X143" s="182"/>
      <c r="Y143" s="182"/>
      <c r="Z143" s="182"/>
      <c r="AA143" s="182"/>
      <c r="AB143" s="182"/>
      <c r="AC143" s="182"/>
      <c r="AD143" s="182"/>
      <c r="AE143" s="184"/>
      <c r="AF143" s="183"/>
      <c r="AG143" s="183"/>
      <c r="AH143" s="183"/>
      <c r="AI143" s="183"/>
      <c r="AJ143" s="182"/>
      <c r="AK143" s="184"/>
      <c r="AL143" s="182"/>
      <c r="AM143" s="182"/>
      <c r="AN143" s="182"/>
      <c r="AO143" s="182"/>
      <c r="AP143" s="182"/>
      <c r="AQ143" s="182"/>
      <c r="AR143" s="182"/>
    </row>
    <row r="144" spans="1:44">
      <c r="A144" s="182"/>
      <c r="B144" s="182"/>
      <c r="C144" s="182"/>
      <c r="D144" s="182"/>
      <c r="E144" s="182"/>
      <c r="F144" s="182"/>
      <c r="G144" s="182"/>
      <c r="H144" s="182"/>
      <c r="I144" s="182"/>
      <c r="J144" s="182"/>
      <c r="K144" s="182"/>
      <c r="L144" s="182"/>
      <c r="M144" s="182"/>
      <c r="N144" s="177"/>
      <c r="O144" s="182"/>
      <c r="P144" s="179"/>
      <c r="Q144" s="182"/>
      <c r="R144" s="182"/>
      <c r="S144" s="182"/>
      <c r="T144" s="182"/>
      <c r="U144" s="182"/>
      <c r="V144" s="182"/>
      <c r="W144" s="182"/>
      <c r="X144" s="182"/>
      <c r="Y144" s="182"/>
      <c r="Z144" s="182"/>
      <c r="AA144" s="182"/>
      <c r="AB144" s="182"/>
      <c r="AC144" s="182"/>
      <c r="AD144" s="182"/>
      <c r="AE144" s="184"/>
      <c r="AF144" s="183"/>
      <c r="AG144" s="183"/>
      <c r="AH144" s="183"/>
      <c r="AI144" s="183"/>
      <c r="AJ144" s="182"/>
      <c r="AK144" s="184"/>
      <c r="AL144" s="182"/>
      <c r="AM144" s="182"/>
      <c r="AN144" s="182"/>
      <c r="AO144" s="182"/>
      <c r="AP144" s="182"/>
      <c r="AQ144" s="182"/>
      <c r="AR144" s="182"/>
    </row>
    <row r="145" spans="1:44">
      <c r="A145" s="182"/>
      <c r="B145" s="182"/>
      <c r="C145" s="182"/>
      <c r="D145" s="182"/>
      <c r="E145" s="182"/>
      <c r="F145" s="182"/>
      <c r="G145" s="182"/>
      <c r="H145" s="182"/>
      <c r="I145" s="182"/>
      <c r="J145" s="182"/>
      <c r="K145" s="182"/>
      <c r="L145" s="182"/>
      <c r="M145" s="182"/>
      <c r="N145" s="177"/>
      <c r="O145" s="182"/>
      <c r="P145" s="179"/>
      <c r="Q145" s="182"/>
      <c r="R145" s="182"/>
      <c r="S145" s="182"/>
      <c r="T145" s="182"/>
      <c r="U145" s="182"/>
      <c r="V145" s="182"/>
      <c r="W145" s="182"/>
      <c r="X145" s="182"/>
      <c r="Y145" s="182"/>
      <c r="Z145" s="182"/>
      <c r="AA145" s="182"/>
      <c r="AB145" s="182"/>
      <c r="AC145" s="182"/>
      <c r="AD145" s="182"/>
      <c r="AE145" s="184"/>
      <c r="AF145" s="183"/>
      <c r="AG145" s="183"/>
      <c r="AH145" s="183"/>
      <c r="AI145" s="183"/>
      <c r="AJ145" s="182"/>
      <c r="AK145" s="184"/>
      <c r="AL145" s="182"/>
      <c r="AM145" s="182"/>
      <c r="AN145" s="182"/>
      <c r="AO145" s="182"/>
      <c r="AP145" s="182"/>
      <c r="AQ145" s="182"/>
      <c r="AR145" s="182"/>
    </row>
    <row r="146" spans="1:44">
      <c r="A146" s="182"/>
      <c r="B146" s="182"/>
      <c r="C146" s="182"/>
      <c r="D146" s="182"/>
      <c r="E146" s="182"/>
      <c r="F146" s="182"/>
      <c r="G146" s="182"/>
      <c r="H146" s="182"/>
      <c r="I146" s="182"/>
      <c r="J146" s="182"/>
      <c r="K146" s="182"/>
      <c r="L146" s="182"/>
      <c r="M146" s="182"/>
      <c r="N146" s="177"/>
      <c r="O146" s="182"/>
      <c r="P146" s="179"/>
      <c r="Q146" s="182"/>
      <c r="R146" s="182"/>
      <c r="S146" s="182"/>
      <c r="T146" s="182"/>
      <c r="U146" s="182"/>
      <c r="V146" s="182"/>
      <c r="W146" s="182"/>
      <c r="X146" s="182"/>
      <c r="Y146" s="182"/>
      <c r="Z146" s="182"/>
      <c r="AA146" s="182"/>
      <c r="AB146" s="182"/>
      <c r="AC146" s="182"/>
      <c r="AD146" s="182"/>
      <c r="AE146" s="184"/>
      <c r="AF146" s="183"/>
      <c r="AG146" s="183"/>
      <c r="AH146" s="183"/>
      <c r="AI146" s="183"/>
      <c r="AJ146" s="182"/>
      <c r="AK146" s="184"/>
      <c r="AL146" s="182"/>
      <c r="AM146" s="182"/>
      <c r="AN146" s="182"/>
      <c r="AO146" s="182"/>
      <c r="AP146" s="182"/>
      <c r="AQ146" s="182"/>
      <c r="AR146" s="182"/>
    </row>
    <row r="147" spans="1:44">
      <c r="A147" s="182"/>
      <c r="B147" s="182"/>
      <c r="C147" s="182"/>
      <c r="D147" s="182"/>
      <c r="E147" s="182"/>
      <c r="F147" s="182"/>
      <c r="G147" s="182"/>
      <c r="H147" s="182"/>
      <c r="I147" s="182"/>
      <c r="J147" s="182"/>
      <c r="K147" s="182"/>
      <c r="L147" s="182"/>
      <c r="M147" s="182"/>
      <c r="N147" s="177"/>
      <c r="O147" s="182"/>
      <c r="P147" s="179"/>
      <c r="Q147" s="182"/>
      <c r="R147" s="182"/>
      <c r="S147" s="182"/>
      <c r="T147" s="182"/>
      <c r="U147" s="182"/>
      <c r="V147" s="182"/>
      <c r="W147" s="182"/>
      <c r="X147" s="182"/>
      <c r="Y147" s="182"/>
      <c r="Z147" s="182"/>
      <c r="AA147" s="182"/>
      <c r="AB147" s="182"/>
      <c r="AC147" s="182"/>
      <c r="AD147" s="182"/>
      <c r="AE147" s="184"/>
      <c r="AF147" s="183"/>
      <c r="AG147" s="183"/>
      <c r="AH147" s="183"/>
      <c r="AI147" s="183"/>
      <c r="AJ147" s="182"/>
      <c r="AK147" s="184"/>
      <c r="AL147" s="182"/>
      <c r="AM147" s="182"/>
      <c r="AN147" s="182"/>
      <c r="AO147" s="182"/>
      <c r="AP147" s="182"/>
      <c r="AQ147" s="182"/>
      <c r="AR147" s="182"/>
    </row>
    <row r="148" spans="1:44">
      <c r="A148" s="182"/>
      <c r="B148" s="182"/>
      <c r="C148" s="182"/>
      <c r="D148" s="182"/>
      <c r="E148" s="182"/>
      <c r="F148" s="182"/>
      <c r="G148" s="182"/>
      <c r="H148" s="182"/>
      <c r="I148" s="182"/>
      <c r="J148" s="182"/>
      <c r="K148" s="182"/>
      <c r="L148" s="182"/>
      <c r="M148" s="182"/>
      <c r="N148" s="177"/>
      <c r="O148" s="182"/>
      <c r="P148" s="179"/>
      <c r="Q148" s="182"/>
      <c r="R148" s="182"/>
      <c r="S148" s="182"/>
      <c r="T148" s="182"/>
      <c r="U148" s="182"/>
      <c r="V148" s="182"/>
      <c r="W148" s="182"/>
      <c r="X148" s="182"/>
      <c r="Y148" s="182"/>
      <c r="Z148" s="182"/>
      <c r="AA148" s="182"/>
      <c r="AB148" s="182"/>
      <c r="AC148" s="182"/>
      <c r="AD148" s="182"/>
      <c r="AE148" s="184"/>
      <c r="AF148" s="183"/>
      <c r="AG148" s="183"/>
      <c r="AH148" s="183"/>
      <c r="AI148" s="183"/>
      <c r="AJ148" s="182"/>
      <c r="AK148" s="184"/>
      <c r="AL148" s="182"/>
      <c r="AM148" s="182"/>
      <c r="AN148" s="182"/>
      <c r="AO148" s="182"/>
      <c r="AP148" s="182"/>
      <c r="AQ148" s="182"/>
      <c r="AR148" s="182"/>
    </row>
    <row r="149" spans="1:44">
      <c r="A149" s="182"/>
      <c r="B149" s="182"/>
      <c r="C149" s="182"/>
      <c r="D149" s="182"/>
      <c r="E149" s="182"/>
      <c r="F149" s="182"/>
      <c r="G149" s="182"/>
      <c r="H149" s="182"/>
      <c r="I149" s="182"/>
      <c r="J149" s="182"/>
      <c r="K149" s="182"/>
      <c r="L149" s="182"/>
      <c r="M149" s="182"/>
      <c r="N149" s="177"/>
      <c r="O149" s="182"/>
      <c r="P149" s="179"/>
      <c r="Q149" s="182"/>
      <c r="R149" s="182"/>
      <c r="S149" s="182"/>
      <c r="T149" s="182"/>
      <c r="U149" s="182"/>
      <c r="V149" s="182"/>
      <c r="W149" s="182"/>
      <c r="X149" s="182"/>
      <c r="Y149" s="182"/>
      <c r="Z149" s="182"/>
      <c r="AA149" s="182"/>
      <c r="AB149" s="182"/>
      <c r="AC149" s="182"/>
      <c r="AD149" s="182"/>
      <c r="AE149" s="184"/>
      <c r="AF149" s="183"/>
      <c r="AG149" s="183"/>
      <c r="AH149" s="183"/>
      <c r="AI149" s="183"/>
      <c r="AJ149" s="182"/>
      <c r="AK149" s="184"/>
      <c r="AL149" s="182"/>
      <c r="AM149" s="182"/>
      <c r="AN149" s="182"/>
      <c r="AO149" s="182"/>
      <c r="AP149" s="182"/>
      <c r="AQ149" s="182"/>
      <c r="AR149" s="182"/>
    </row>
    <row r="150" spans="1:44">
      <c r="A150" s="182"/>
      <c r="B150" s="182"/>
      <c r="C150" s="182"/>
      <c r="D150" s="182"/>
      <c r="E150" s="182"/>
      <c r="F150" s="182"/>
      <c r="G150" s="182"/>
      <c r="H150" s="182"/>
      <c r="I150" s="182"/>
      <c r="J150" s="182"/>
      <c r="K150" s="182"/>
      <c r="L150" s="182"/>
      <c r="M150" s="182"/>
      <c r="N150" s="177"/>
      <c r="O150" s="182"/>
      <c r="P150" s="179"/>
      <c r="Q150" s="182"/>
      <c r="R150" s="182"/>
      <c r="S150" s="182"/>
      <c r="T150" s="182"/>
      <c r="U150" s="182"/>
      <c r="V150" s="182"/>
      <c r="W150" s="182"/>
      <c r="X150" s="182"/>
      <c r="Y150" s="182"/>
      <c r="Z150" s="182"/>
      <c r="AA150" s="182"/>
      <c r="AB150" s="182"/>
      <c r="AC150" s="182"/>
      <c r="AD150" s="182"/>
      <c r="AE150" s="184"/>
      <c r="AF150" s="183"/>
      <c r="AG150" s="183"/>
      <c r="AH150" s="183"/>
      <c r="AI150" s="183"/>
      <c r="AJ150" s="182"/>
      <c r="AK150" s="184"/>
      <c r="AL150" s="182"/>
      <c r="AM150" s="182"/>
      <c r="AN150" s="182"/>
      <c r="AO150" s="182"/>
      <c r="AP150" s="182"/>
      <c r="AQ150" s="182"/>
      <c r="AR150" s="182"/>
    </row>
    <row r="151" spans="1:44">
      <c r="A151" s="182"/>
      <c r="B151" s="182"/>
      <c r="C151" s="182"/>
      <c r="D151" s="182"/>
      <c r="E151" s="182"/>
      <c r="F151" s="182"/>
      <c r="G151" s="182"/>
      <c r="H151" s="182"/>
      <c r="I151" s="182"/>
      <c r="J151" s="182"/>
      <c r="K151" s="182"/>
      <c r="L151" s="182"/>
      <c r="M151" s="182"/>
      <c r="N151" s="177"/>
      <c r="O151" s="182"/>
      <c r="P151" s="179"/>
      <c r="Q151" s="182"/>
      <c r="R151" s="182"/>
      <c r="S151" s="182"/>
      <c r="T151" s="182"/>
      <c r="U151" s="182"/>
      <c r="V151" s="182"/>
      <c r="W151" s="182"/>
      <c r="X151" s="182"/>
      <c r="Y151" s="182"/>
      <c r="Z151" s="182"/>
      <c r="AA151" s="182"/>
      <c r="AB151" s="182"/>
      <c r="AC151" s="182"/>
      <c r="AD151" s="182"/>
      <c r="AE151" s="184"/>
      <c r="AF151" s="183"/>
      <c r="AG151" s="183"/>
      <c r="AH151" s="183"/>
      <c r="AI151" s="183"/>
      <c r="AJ151" s="182"/>
      <c r="AK151" s="184"/>
      <c r="AL151" s="182"/>
      <c r="AM151" s="182"/>
      <c r="AN151" s="182"/>
      <c r="AO151" s="182"/>
      <c r="AP151" s="182"/>
      <c r="AQ151" s="182"/>
      <c r="AR151" s="182"/>
    </row>
    <row r="152" spans="1:44">
      <c r="A152" s="182"/>
      <c r="B152" s="182"/>
      <c r="C152" s="182"/>
      <c r="D152" s="182"/>
      <c r="E152" s="182"/>
      <c r="F152" s="182"/>
      <c r="G152" s="182"/>
      <c r="H152" s="182"/>
      <c r="I152" s="182"/>
      <c r="J152" s="182"/>
      <c r="K152" s="182"/>
      <c r="L152" s="182"/>
      <c r="M152" s="182"/>
      <c r="N152" s="177"/>
      <c r="O152" s="182"/>
      <c r="P152" s="179"/>
      <c r="Q152" s="182"/>
      <c r="R152" s="182"/>
      <c r="S152" s="182"/>
      <c r="T152" s="182"/>
      <c r="U152" s="182"/>
      <c r="V152" s="182"/>
      <c r="W152" s="182"/>
      <c r="X152" s="182"/>
      <c r="Y152" s="182"/>
      <c r="Z152" s="182"/>
      <c r="AA152" s="182"/>
      <c r="AB152" s="182"/>
      <c r="AC152" s="182"/>
      <c r="AD152" s="182"/>
      <c r="AE152" s="184"/>
      <c r="AF152" s="183"/>
      <c r="AG152" s="183"/>
      <c r="AH152" s="183"/>
      <c r="AI152" s="183"/>
      <c r="AJ152" s="182"/>
      <c r="AK152" s="184"/>
      <c r="AL152" s="182"/>
      <c r="AM152" s="182"/>
      <c r="AN152" s="182"/>
      <c r="AO152" s="182"/>
      <c r="AP152" s="182"/>
      <c r="AQ152" s="182"/>
      <c r="AR152" s="182"/>
    </row>
    <row r="153" spans="1:44">
      <c r="A153" s="182"/>
      <c r="B153" s="182"/>
      <c r="C153" s="182"/>
      <c r="D153" s="182"/>
      <c r="E153" s="182"/>
      <c r="F153" s="182"/>
      <c r="G153" s="182"/>
      <c r="H153" s="182"/>
      <c r="I153" s="182"/>
      <c r="J153" s="182"/>
      <c r="K153" s="182"/>
      <c r="L153" s="182"/>
      <c r="M153" s="182"/>
      <c r="N153" s="177"/>
      <c r="O153" s="182"/>
      <c r="P153" s="179"/>
      <c r="Q153" s="182"/>
      <c r="R153" s="182"/>
      <c r="S153" s="182"/>
      <c r="T153" s="182"/>
      <c r="U153" s="182"/>
      <c r="V153" s="182"/>
      <c r="W153" s="182"/>
      <c r="X153" s="182"/>
      <c r="Y153" s="182"/>
      <c r="Z153" s="182"/>
      <c r="AA153" s="182"/>
      <c r="AB153" s="182"/>
      <c r="AC153" s="182"/>
      <c r="AD153" s="182"/>
      <c r="AE153" s="184"/>
      <c r="AF153" s="183"/>
      <c r="AG153" s="183"/>
      <c r="AH153" s="183"/>
      <c r="AI153" s="183"/>
      <c r="AJ153" s="182"/>
      <c r="AK153" s="184"/>
      <c r="AL153" s="182"/>
      <c r="AM153" s="182"/>
      <c r="AN153" s="182"/>
      <c r="AO153" s="182"/>
      <c r="AP153" s="182"/>
      <c r="AQ153" s="182"/>
      <c r="AR153" s="182"/>
    </row>
    <row r="154" spans="1:44">
      <c r="A154" s="182"/>
      <c r="B154" s="182"/>
      <c r="C154" s="182"/>
      <c r="D154" s="182"/>
      <c r="E154" s="182"/>
      <c r="F154" s="182"/>
      <c r="G154" s="182"/>
      <c r="H154" s="182"/>
      <c r="I154" s="182"/>
      <c r="J154" s="182"/>
      <c r="K154" s="182"/>
      <c r="L154" s="182"/>
      <c r="M154" s="182"/>
      <c r="N154" s="177"/>
      <c r="O154" s="182"/>
      <c r="P154" s="179"/>
      <c r="Q154" s="182"/>
      <c r="R154" s="182"/>
      <c r="S154" s="182"/>
      <c r="T154" s="182"/>
      <c r="U154" s="182"/>
      <c r="V154" s="182"/>
      <c r="W154" s="182"/>
      <c r="X154" s="182"/>
      <c r="Y154" s="182"/>
      <c r="Z154" s="182"/>
      <c r="AA154" s="182"/>
      <c r="AB154" s="182"/>
      <c r="AC154" s="182"/>
      <c r="AD154" s="182"/>
      <c r="AE154" s="184"/>
      <c r="AF154" s="183"/>
      <c r="AG154" s="183"/>
      <c r="AH154" s="183"/>
      <c r="AI154" s="183"/>
      <c r="AJ154" s="182"/>
      <c r="AK154" s="184"/>
      <c r="AL154" s="182"/>
      <c r="AM154" s="182"/>
      <c r="AN154" s="182"/>
      <c r="AO154" s="182"/>
      <c r="AP154" s="182"/>
      <c r="AQ154" s="182"/>
      <c r="AR154" s="182"/>
    </row>
    <row r="155" spans="1:44">
      <c r="A155" s="182"/>
      <c r="B155" s="182"/>
      <c r="C155" s="182"/>
      <c r="D155" s="182"/>
      <c r="E155" s="182"/>
      <c r="F155" s="182"/>
      <c r="G155" s="182"/>
      <c r="H155" s="182"/>
      <c r="I155" s="182"/>
      <c r="J155" s="182"/>
      <c r="K155" s="182"/>
      <c r="L155" s="182"/>
      <c r="M155" s="182"/>
      <c r="N155" s="177"/>
      <c r="O155" s="182"/>
      <c r="P155" s="179"/>
      <c r="Q155" s="182"/>
      <c r="R155" s="182"/>
      <c r="S155" s="182"/>
      <c r="T155" s="182"/>
      <c r="U155" s="182"/>
      <c r="V155" s="182"/>
      <c r="W155" s="182"/>
      <c r="X155" s="182"/>
      <c r="Y155" s="182"/>
      <c r="Z155" s="182"/>
      <c r="AA155" s="182"/>
      <c r="AB155" s="182"/>
      <c r="AC155" s="182"/>
      <c r="AD155" s="182"/>
      <c r="AE155" s="184"/>
      <c r="AF155" s="183"/>
      <c r="AG155" s="183"/>
      <c r="AH155" s="183"/>
      <c r="AI155" s="183"/>
      <c r="AJ155" s="182"/>
      <c r="AK155" s="184"/>
      <c r="AL155" s="182"/>
      <c r="AM155" s="182"/>
      <c r="AN155" s="182"/>
      <c r="AO155" s="182"/>
      <c r="AP155" s="182"/>
      <c r="AQ155" s="182"/>
      <c r="AR155" s="182"/>
    </row>
    <row r="156" spans="1:44">
      <c r="A156" s="182"/>
      <c r="B156" s="182"/>
      <c r="C156" s="182"/>
      <c r="D156" s="182"/>
      <c r="E156" s="182"/>
      <c r="F156" s="182"/>
      <c r="G156" s="182"/>
      <c r="H156" s="182"/>
      <c r="I156" s="182"/>
      <c r="J156" s="182"/>
      <c r="K156" s="182"/>
      <c r="L156" s="182"/>
      <c r="M156" s="182"/>
      <c r="N156" s="177"/>
      <c r="O156" s="182"/>
      <c r="P156" s="179"/>
      <c r="Q156" s="182"/>
      <c r="R156" s="182"/>
      <c r="S156" s="182"/>
      <c r="T156" s="182"/>
      <c r="U156" s="182"/>
      <c r="V156" s="182"/>
      <c r="W156" s="182"/>
      <c r="X156" s="182"/>
      <c r="Y156" s="182"/>
      <c r="Z156" s="182"/>
      <c r="AA156" s="182"/>
      <c r="AB156" s="182"/>
      <c r="AC156" s="182"/>
      <c r="AD156" s="182"/>
      <c r="AE156" s="184"/>
      <c r="AF156" s="183"/>
      <c r="AG156" s="183"/>
      <c r="AH156" s="183"/>
      <c r="AI156" s="183"/>
      <c r="AJ156" s="182"/>
      <c r="AK156" s="184"/>
      <c r="AL156" s="182"/>
      <c r="AM156" s="182"/>
      <c r="AN156" s="182"/>
      <c r="AO156" s="182"/>
      <c r="AP156" s="182"/>
      <c r="AQ156" s="182"/>
      <c r="AR156" s="182"/>
    </row>
    <row r="157" spans="1:44">
      <c r="A157" s="182"/>
      <c r="B157" s="182"/>
      <c r="C157" s="182"/>
      <c r="D157" s="182"/>
      <c r="E157" s="182"/>
      <c r="F157" s="182"/>
      <c r="G157" s="182"/>
      <c r="H157" s="182"/>
      <c r="I157" s="182"/>
      <c r="J157" s="182"/>
      <c r="K157" s="182"/>
      <c r="L157" s="182"/>
      <c r="M157" s="182"/>
      <c r="N157" s="177"/>
      <c r="O157" s="182"/>
      <c r="P157" s="179"/>
      <c r="Q157" s="182"/>
      <c r="R157" s="182"/>
      <c r="S157" s="182"/>
      <c r="T157" s="182"/>
      <c r="U157" s="182"/>
      <c r="V157" s="182"/>
      <c r="W157" s="182"/>
      <c r="X157" s="182"/>
      <c r="Y157" s="182"/>
      <c r="Z157" s="182"/>
      <c r="AA157" s="182"/>
      <c r="AB157" s="182"/>
      <c r="AC157" s="182"/>
      <c r="AD157" s="182"/>
      <c r="AE157" s="184"/>
      <c r="AF157" s="183"/>
      <c r="AG157" s="183"/>
      <c r="AH157" s="183"/>
      <c r="AI157" s="183"/>
      <c r="AJ157" s="182"/>
      <c r="AK157" s="184"/>
      <c r="AL157" s="182"/>
      <c r="AM157" s="182"/>
      <c r="AN157" s="182"/>
      <c r="AO157" s="182"/>
      <c r="AP157" s="182"/>
      <c r="AQ157" s="182"/>
      <c r="AR157" s="182"/>
    </row>
    <row r="158" spans="1:44">
      <c r="A158" s="182"/>
      <c r="B158" s="182"/>
      <c r="C158" s="182"/>
      <c r="D158" s="182"/>
      <c r="E158" s="182"/>
      <c r="F158" s="182"/>
      <c r="G158" s="182"/>
      <c r="H158" s="182"/>
      <c r="I158" s="182"/>
      <c r="J158" s="182"/>
      <c r="K158" s="182"/>
      <c r="L158" s="182"/>
      <c r="M158" s="182"/>
      <c r="N158" s="177"/>
      <c r="O158" s="182"/>
      <c r="P158" s="179"/>
      <c r="Q158" s="182"/>
      <c r="R158" s="182"/>
      <c r="S158" s="182"/>
      <c r="T158" s="182"/>
      <c r="U158" s="182"/>
      <c r="V158" s="182"/>
      <c r="W158" s="182"/>
      <c r="X158" s="182"/>
      <c r="Y158" s="182"/>
      <c r="Z158" s="182"/>
      <c r="AA158" s="182"/>
      <c r="AB158" s="182"/>
      <c r="AC158" s="182"/>
      <c r="AD158" s="182"/>
      <c r="AE158" s="184"/>
      <c r="AF158" s="183"/>
      <c r="AG158" s="183"/>
      <c r="AH158" s="183"/>
      <c r="AI158" s="183"/>
      <c r="AJ158" s="182"/>
      <c r="AK158" s="184"/>
      <c r="AL158" s="182"/>
      <c r="AM158" s="182"/>
      <c r="AN158" s="182"/>
      <c r="AO158" s="182"/>
      <c r="AP158" s="182"/>
      <c r="AQ158" s="182"/>
      <c r="AR158" s="182"/>
    </row>
    <row r="159" spans="1:44">
      <c r="A159" s="182"/>
      <c r="B159" s="182"/>
      <c r="C159" s="182"/>
      <c r="D159" s="182"/>
      <c r="E159" s="182"/>
      <c r="F159" s="182"/>
      <c r="G159" s="182"/>
      <c r="H159" s="182"/>
      <c r="I159" s="182"/>
      <c r="J159" s="182"/>
      <c r="K159" s="182"/>
      <c r="L159" s="182"/>
      <c r="M159" s="182"/>
      <c r="N159" s="177"/>
      <c r="O159" s="182"/>
      <c r="P159" s="179"/>
      <c r="Q159" s="182"/>
      <c r="R159" s="182"/>
      <c r="S159" s="182"/>
      <c r="T159" s="182"/>
      <c r="U159" s="182"/>
      <c r="V159" s="182"/>
      <c r="W159" s="182"/>
      <c r="X159" s="182"/>
      <c r="Y159" s="182"/>
      <c r="Z159" s="182"/>
      <c r="AA159" s="182"/>
      <c r="AB159" s="182"/>
      <c r="AC159" s="182"/>
      <c r="AD159" s="182"/>
      <c r="AE159" s="184"/>
      <c r="AF159" s="183"/>
      <c r="AG159" s="183"/>
      <c r="AH159" s="183"/>
      <c r="AI159" s="183"/>
      <c r="AJ159" s="182"/>
      <c r="AK159" s="184"/>
      <c r="AL159" s="182"/>
      <c r="AM159" s="182"/>
      <c r="AN159" s="182"/>
      <c r="AO159" s="182"/>
      <c r="AP159" s="182"/>
      <c r="AQ159" s="182"/>
      <c r="AR159" s="182"/>
    </row>
    <row r="160" spans="1:44">
      <c r="A160" s="182"/>
      <c r="B160" s="182"/>
      <c r="C160" s="182"/>
      <c r="D160" s="182"/>
      <c r="E160" s="182"/>
      <c r="F160" s="182"/>
      <c r="G160" s="182"/>
      <c r="H160" s="182"/>
      <c r="I160" s="182"/>
      <c r="J160" s="182"/>
      <c r="K160" s="182"/>
      <c r="L160" s="182"/>
      <c r="M160" s="182"/>
      <c r="N160" s="177"/>
      <c r="O160" s="182"/>
      <c r="P160" s="179"/>
      <c r="Q160" s="182"/>
      <c r="R160" s="182"/>
      <c r="S160" s="182"/>
      <c r="T160" s="182"/>
      <c r="U160" s="182"/>
      <c r="V160" s="182"/>
      <c r="W160" s="182"/>
      <c r="X160" s="182"/>
      <c r="Y160" s="182"/>
      <c r="Z160" s="182"/>
      <c r="AA160" s="182"/>
      <c r="AB160" s="182"/>
      <c r="AC160" s="182"/>
      <c r="AD160" s="182"/>
      <c r="AE160" s="184"/>
      <c r="AF160" s="183"/>
      <c r="AG160" s="183"/>
      <c r="AH160" s="183"/>
      <c r="AI160" s="183"/>
      <c r="AJ160" s="182"/>
      <c r="AK160" s="184"/>
      <c r="AL160" s="182"/>
      <c r="AM160" s="182"/>
      <c r="AN160" s="182"/>
      <c r="AO160" s="182"/>
      <c r="AP160" s="182"/>
      <c r="AQ160" s="182"/>
      <c r="AR160" s="182"/>
    </row>
    <row r="161" spans="1:44">
      <c r="A161" s="182"/>
      <c r="B161" s="182"/>
      <c r="C161" s="182"/>
      <c r="D161" s="182"/>
      <c r="E161" s="182"/>
      <c r="F161" s="182"/>
      <c r="G161" s="182"/>
      <c r="H161" s="182"/>
      <c r="I161" s="182"/>
      <c r="J161" s="182"/>
      <c r="K161" s="182"/>
      <c r="L161" s="182"/>
      <c r="M161" s="182"/>
      <c r="N161" s="177"/>
      <c r="O161" s="182"/>
      <c r="P161" s="179"/>
      <c r="Q161" s="182"/>
      <c r="R161" s="182"/>
      <c r="S161" s="182"/>
      <c r="T161" s="182"/>
      <c r="U161" s="182"/>
      <c r="V161" s="182"/>
      <c r="W161" s="182"/>
      <c r="X161" s="182"/>
      <c r="Y161" s="182"/>
      <c r="Z161" s="182"/>
      <c r="AA161" s="182"/>
      <c r="AB161" s="182"/>
      <c r="AC161" s="182"/>
      <c r="AD161" s="182"/>
      <c r="AE161" s="184"/>
      <c r="AF161" s="183"/>
      <c r="AG161" s="183"/>
      <c r="AH161" s="183"/>
      <c r="AI161" s="183"/>
      <c r="AJ161" s="182"/>
      <c r="AK161" s="184"/>
      <c r="AL161" s="182"/>
      <c r="AM161" s="182"/>
      <c r="AN161" s="182"/>
      <c r="AO161" s="182"/>
      <c r="AP161" s="182"/>
      <c r="AQ161" s="182"/>
      <c r="AR161" s="182"/>
    </row>
    <row r="162" spans="1:44">
      <c r="A162" s="182"/>
      <c r="B162" s="182"/>
      <c r="C162" s="182"/>
      <c r="D162" s="182"/>
      <c r="E162" s="182"/>
      <c r="F162" s="182"/>
      <c r="G162" s="182"/>
      <c r="H162" s="182"/>
      <c r="I162" s="182"/>
      <c r="J162" s="182"/>
      <c r="K162" s="182"/>
      <c r="L162" s="182"/>
      <c r="M162" s="182"/>
      <c r="N162" s="177"/>
      <c r="O162" s="182"/>
      <c r="P162" s="179"/>
      <c r="Q162" s="182"/>
      <c r="R162" s="182"/>
      <c r="S162" s="182"/>
      <c r="T162" s="182"/>
      <c r="U162" s="182"/>
      <c r="V162" s="182"/>
      <c r="W162" s="182"/>
      <c r="X162" s="182"/>
      <c r="Y162" s="182"/>
      <c r="Z162" s="182"/>
      <c r="AA162" s="182"/>
      <c r="AB162" s="182"/>
      <c r="AC162" s="182"/>
      <c r="AD162" s="182"/>
      <c r="AE162" s="184"/>
      <c r="AF162" s="183"/>
      <c r="AG162" s="183"/>
      <c r="AH162" s="183"/>
      <c r="AI162" s="183"/>
      <c r="AJ162" s="182"/>
      <c r="AK162" s="184"/>
      <c r="AL162" s="182"/>
      <c r="AM162" s="182"/>
      <c r="AN162" s="182"/>
      <c r="AO162" s="182"/>
      <c r="AP162" s="182"/>
      <c r="AQ162" s="182"/>
      <c r="AR162" s="182"/>
    </row>
    <row r="163" spans="1:44">
      <c r="A163" s="182"/>
      <c r="B163" s="182"/>
      <c r="C163" s="182"/>
      <c r="D163" s="182"/>
      <c r="E163" s="182"/>
      <c r="F163" s="182"/>
      <c r="G163" s="182"/>
      <c r="H163" s="182"/>
      <c r="I163" s="182"/>
      <c r="J163" s="182"/>
      <c r="K163" s="182"/>
      <c r="L163" s="182"/>
      <c r="M163" s="182"/>
      <c r="N163" s="177"/>
      <c r="O163" s="182"/>
      <c r="P163" s="179"/>
      <c r="Q163" s="182"/>
      <c r="R163" s="182"/>
      <c r="S163" s="182"/>
      <c r="T163" s="182"/>
      <c r="U163" s="182"/>
      <c r="V163" s="182"/>
      <c r="W163" s="182"/>
      <c r="X163" s="182"/>
      <c r="Y163" s="182"/>
      <c r="Z163" s="182"/>
      <c r="AA163" s="182"/>
      <c r="AB163" s="182"/>
      <c r="AC163" s="182"/>
      <c r="AD163" s="182"/>
      <c r="AE163" s="184"/>
      <c r="AF163" s="183"/>
      <c r="AG163" s="183"/>
      <c r="AH163" s="183"/>
      <c r="AI163" s="183"/>
      <c r="AJ163" s="182"/>
      <c r="AK163" s="184"/>
      <c r="AL163" s="182"/>
      <c r="AM163" s="182"/>
      <c r="AN163" s="182"/>
      <c r="AO163" s="182"/>
      <c r="AP163" s="182"/>
      <c r="AQ163" s="182"/>
      <c r="AR163" s="182"/>
    </row>
    <row r="164" spans="1:44">
      <c r="A164" s="182"/>
      <c r="B164" s="182"/>
      <c r="C164" s="182"/>
      <c r="D164" s="182"/>
      <c r="E164" s="182"/>
      <c r="F164" s="182"/>
      <c r="G164" s="182"/>
      <c r="H164" s="182"/>
      <c r="I164" s="182"/>
      <c r="J164" s="182"/>
      <c r="K164" s="182"/>
      <c r="L164" s="182"/>
      <c r="M164" s="182"/>
      <c r="N164" s="177"/>
      <c r="O164" s="182"/>
      <c r="P164" s="179"/>
      <c r="Q164" s="182"/>
      <c r="R164" s="182"/>
      <c r="S164" s="182"/>
      <c r="T164" s="182"/>
      <c r="U164" s="182"/>
      <c r="V164" s="182"/>
      <c r="W164" s="182"/>
      <c r="X164" s="182"/>
      <c r="Y164" s="182"/>
      <c r="Z164" s="182"/>
      <c r="AA164" s="182"/>
      <c r="AB164" s="182"/>
      <c r="AC164" s="182"/>
      <c r="AD164" s="182"/>
      <c r="AE164" s="184"/>
      <c r="AF164" s="183"/>
      <c r="AG164" s="183"/>
      <c r="AH164" s="183"/>
      <c r="AI164" s="183"/>
      <c r="AJ164" s="182"/>
      <c r="AK164" s="184"/>
      <c r="AL164" s="182"/>
      <c r="AM164" s="182"/>
      <c r="AN164" s="182"/>
      <c r="AO164" s="182"/>
      <c r="AP164" s="182"/>
      <c r="AQ164" s="182"/>
      <c r="AR164" s="182"/>
    </row>
    <row r="165" spans="1:44">
      <c r="A165" s="182"/>
      <c r="B165" s="182"/>
      <c r="C165" s="182"/>
      <c r="D165" s="182"/>
      <c r="E165" s="182"/>
      <c r="F165" s="182"/>
      <c r="G165" s="182"/>
      <c r="H165" s="182"/>
      <c r="I165" s="182"/>
      <c r="J165" s="182"/>
      <c r="K165" s="182"/>
      <c r="L165" s="182"/>
      <c r="M165" s="182"/>
      <c r="N165" s="177"/>
      <c r="O165" s="182"/>
      <c r="P165" s="179"/>
      <c r="Q165" s="182"/>
      <c r="R165" s="182"/>
      <c r="S165" s="182"/>
      <c r="T165" s="182"/>
      <c r="U165" s="182"/>
      <c r="V165" s="182"/>
      <c r="W165" s="182"/>
      <c r="X165" s="182"/>
      <c r="Y165" s="182"/>
      <c r="Z165" s="182"/>
      <c r="AA165" s="182"/>
      <c r="AB165" s="182"/>
      <c r="AC165" s="182"/>
      <c r="AD165" s="182"/>
      <c r="AE165" s="184"/>
      <c r="AF165" s="183"/>
      <c r="AG165" s="183"/>
      <c r="AH165" s="183"/>
      <c r="AI165" s="183"/>
      <c r="AJ165" s="182"/>
      <c r="AK165" s="184"/>
      <c r="AL165" s="182"/>
      <c r="AM165" s="182"/>
      <c r="AN165" s="182"/>
      <c r="AO165" s="182"/>
      <c r="AP165" s="182"/>
      <c r="AQ165" s="182"/>
      <c r="AR165" s="182"/>
    </row>
    <row r="166" spans="1:44">
      <c r="A166" s="182"/>
      <c r="B166" s="182"/>
      <c r="C166" s="182"/>
      <c r="D166" s="182"/>
      <c r="E166" s="182"/>
      <c r="F166" s="182"/>
      <c r="G166" s="182"/>
      <c r="H166" s="182"/>
      <c r="I166" s="182"/>
      <c r="J166" s="182"/>
      <c r="K166" s="182"/>
      <c r="L166" s="182"/>
      <c r="M166" s="182"/>
      <c r="N166" s="177"/>
      <c r="O166" s="182"/>
      <c r="P166" s="179"/>
      <c r="Q166" s="182"/>
      <c r="R166" s="182"/>
      <c r="S166" s="182"/>
      <c r="T166" s="182"/>
      <c r="U166" s="182"/>
      <c r="V166" s="182"/>
      <c r="W166" s="182"/>
      <c r="X166" s="182"/>
      <c r="Y166" s="182"/>
      <c r="Z166" s="182"/>
      <c r="AA166" s="182"/>
      <c r="AB166" s="182"/>
      <c r="AC166" s="182"/>
      <c r="AD166" s="182"/>
      <c r="AE166" s="184"/>
      <c r="AF166" s="183"/>
      <c r="AG166" s="183"/>
      <c r="AH166" s="183"/>
      <c r="AI166" s="183"/>
      <c r="AJ166" s="182"/>
      <c r="AK166" s="184"/>
      <c r="AL166" s="182"/>
      <c r="AM166" s="182"/>
      <c r="AN166" s="182"/>
      <c r="AO166" s="182"/>
      <c r="AP166" s="182"/>
      <c r="AQ166" s="182"/>
      <c r="AR166" s="182"/>
    </row>
    <row r="167" spans="1:44">
      <c r="A167" s="182"/>
      <c r="B167" s="182"/>
      <c r="C167" s="182"/>
      <c r="D167" s="182"/>
      <c r="E167" s="182"/>
      <c r="F167" s="182"/>
      <c r="G167" s="182"/>
      <c r="H167" s="182"/>
      <c r="I167" s="182"/>
      <c r="J167" s="182"/>
      <c r="K167" s="182"/>
      <c r="L167" s="182"/>
      <c r="M167" s="182"/>
      <c r="N167" s="177"/>
      <c r="O167" s="182"/>
      <c r="P167" s="179"/>
      <c r="Q167" s="182"/>
      <c r="R167" s="182"/>
      <c r="S167" s="182"/>
      <c r="T167" s="182"/>
      <c r="U167" s="182"/>
      <c r="V167" s="182"/>
      <c r="W167" s="182"/>
      <c r="X167" s="182"/>
      <c r="Y167" s="182"/>
      <c r="Z167" s="182"/>
      <c r="AA167" s="182"/>
      <c r="AB167" s="182"/>
      <c r="AC167" s="182"/>
      <c r="AD167" s="182"/>
      <c r="AE167" s="184"/>
      <c r="AF167" s="183"/>
      <c r="AG167" s="183"/>
      <c r="AH167" s="183"/>
      <c r="AI167" s="183"/>
      <c r="AJ167" s="182"/>
      <c r="AK167" s="184"/>
      <c r="AL167" s="182"/>
      <c r="AM167" s="182"/>
      <c r="AN167" s="182"/>
      <c r="AO167" s="182"/>
      <c r="AP167" s="182"/>
      <c r="AQ167" s="182"/>
      <c r="AR167" s="182"/>
    </row>
    <row r="168" spans="1:44">
      <c r="A168" s="182"/>
      <c r="B168" s="182"/>
      <c r="C168" s="182"/>
      <c r="D168" s="182"/>
      <c r="E168" s="182"/>
      <c r="F168" s="182"/>
      <c r="G168" s="182"/>
      <c r="H168" s="182"/>
      <c r="I168" s="182"/>
      <c r="J168" s="182"/>
      <c r="K168" s="182"/>
      <c r="L168" s="182"/>
      <c r="M168" s="182"/>
      <c r="N168" s="177"/>
      <c r="O168" s="182"/>
      <c r="P168" s="179"/>
      <c r="Q168" s="182"/>
      <c r="R168" s="182"/>
      <c r="S168" s="182"/>
      <c r="T168" s="182"/>
      <c r="U168" s="182"/>
      <c r="V168" s="182"/>
      <c r="W168" s="182"/>
      <c r="X168" s="182"/>
      <c r="Y168" s="182"/>
      <c r="Z168" s="182"/>
      <c r="AA168" s="182"/>
      <c r="AB168" s="182"/>
      <c r="AC168" s="182"/>
      <c r="AD168" s="182"/>
      <c r="AE168" s="184"/>
      <c r="AF168" s="183"/>
      <c r="AG168" s="183"/>
      <c r="AH168" s="183"/>
      <c r="AI168" s="183"/>
      <c r="AJ168" s="182"/>
      <c r="AK168" s="184"/>
      <c r="AL168" s="182"/>
      <c r="AM168" s="182"/>
      <c r="AN168" s="182"/>
      <c r="AO168" s="182"/>
      <c r="AP168" s="182"/>
      <c r="AQ168" s="182"/>
      <c r="AR168" s="182"/>
    </row>
    <row r="169" spans="1:44">
      <c r="A169" s="182"/>
      <c r="B169" s="182"/>
      <c r="C169" s="182"/>
      <c r="D169" s="182"/>
      <c r="E169" s="182"/>
      <c r="F169" s="182"/>
      <c r="G169" s="182"/>
      <c r="H169" s="182"/>
      <c r="I169" s="182"/>
      <c r="J169" s="182"/>
      <c r="K169" s="182"/>
      <c r="L169" s="182"/>
      <c r="M169" s="182"/>
      <c r="N169" s="177"/>
      <c r="O169" s="182"/>
      <c r="P169" s="179"/>
      <c r="Q169" s="182"/>
      <c r="R169" s="182"/>
      <c r="S169" s="182"/>
      <c r="T169" s="182"/>
      <c r="U169" s="182"/>
      <c r="V169" s="182"/>
      <c r="W169" s="182"/>
      <c r="X169" s="182"/>
      <c r="Y169" s="182"/>
      <c r="Z169" s="182"/>
      <c r="AA169" s="182"/>
      <c r="AB169" s="182"/>
      <c r="AC169" s="182"/>
      <c r="AD169" s="182"/>
      <c r="AE169" s="184"/>
      <c r="AF169" s="183"/>
      <c r="AG169" s="183"/>
      <c r="AH169" s="183"/>
      <c r="AI169" s="183"/>
      <c r="AJ169" s="182"/>
      <c r="AK169" s="184"/>
      <c r="AL169" s="182"/>
      <c r="AM169" s="182"/>
      <c r="AN169" s="182"/>
      <c r="AO169" s="182"/>
      <c r="AP169" s="182"/>
      <c r="AQ169" s="182"/>
      <c r="AR169" s="182"/>
    </row>
    <row r="170" spans="1:44">
      <c r="A170" s="182"/>
      <c r="B170" s="182"/>
      <c r="C170" s="182"/>
      <c r="D170" s="182"/>
      <c r="E170" s="182"/>
      <c r="F170" s="182"/>
      <c r="G170" s="182"/>
      <c r="H170" s="182"/>
      <c r="I170" s="182"/>
      <c r="J170" s="182"/>
      <c r="K170" s="182"/>
      <c r="L170" s="182"/>
      <c r="M170" s="182"/>
      <c r="N170" s="177"/>
      <c r="O170" s="182"/>
      <c r="P170" s="179"/>
      <c r="Q170" s="182"/>
      <c r="R170" s="182"/>
      <c r="S170" s="182"/>
      <c r="T170" s="182"/>
      <c r="U170" s="182"/>
      <c r="V170" s="182"/>
      <c r="W170" s="182"/>
      <c r="X170" s="182"/>
      <c r="Y170" s="182"/>
      <c r="Z170" s="182"/>
      <c r="AA170" s="182"/>
      <c r="AB170" s="182"/>
      <c r="AC170" s="182"/>
      <c r="AD170" s="182"/>
      <c r="AE170" s="184"/>
      <c r="AF170" s="183"/>
      <c r="AG170" s="183"/>
      <c r="AH170" s="183"/>
      <c r="AI170" s="183"/>
      <c r="AJ170" s="182"/>
      <c r="AK170" s="184"/>
      <c r="AL170" s="182"/>
      <c r="AM170" s="182"/>
      <c r="AN170" s="182"/>
      <c r="AO170" s="182"/>
      <c r="AP170" s="182"/>
      <c r="AQ170" s="182"/>
      <c r="AR170" s="182"/>
    </row>
    <row r="171" spans="1:44">
      <c r="A171" s="182"/>
      <c r="B171" s="182"/>
      <c r="C171" s="182"/>
      <c r="D171" s="182"/>
      <c r="E171" s="182"/>
      <c r="F171" s="182"/>
      <c r="G171" s="182"/>
      <c r="H171" s="182"/>
      <c r="I171" s="182"/>
      <c r="J171" s="182"/>
      <c r="K171" s="182"/>
      <c r="L171" s="182"/>
      <c r="M171" s="182"/>
      <c r="N171" s="177"/>
      <c r="O171" s="182"/>
      <c r="P171" s="179"/>
      <c r="Q171" s="182"/>
      <c r="R171" s="182"/>
      <c r="S171" s="182"/>
      <c r="T171" s="182"/>
      <c r="U171" s="182"/>
      <c r="V171" s="182"/>
      <c r="W171" s="182"/>
      <c r="X171" s="182"/>
      <c r="Y171" s="182"/>
      <c r="Z171" s="182"/>
      <c r="AA171" s="182"/>
      <c r="AB171" s="182"/>
      <c r="AC171" s="182"/>
      <c r="AD171" s="182"/>
      <c r="AE171" s="184"/>
      <c r="AF171" s="183"/>
      <c r="AG171" s="183"/>
      <c r="AH171" s="183"/>
      <c r="AI171" s="183"/>
      <c r="AJ171" s="182"/>
      <c r="AK171" s="184"/>
      <c r="AL171" s="182"/>
      <c r="AM171" s="182"/>
      <c r="AN171" s="182"/>
      <c r="AO171" s="182"/>
      <c r="AP171" s="182"/>
      <c r="AQ171" s="182"/>
      <c r="AR171" s="182"/>
    </row>
    <row r="172" spans="1:44">
      <c r="A172" s="182"/>
      <c r="B172" s="182"/>
      <c r="C172" s="182"/>
      <c r="D172" s="182"/>
      <c r="E172" s="182"/>
      <c r="F172" s="182"/>
      <c r="G172" s="182"/>
      <c r="H172" s="182"/>
      <c r="I172" s="182"/>
      <c r="J172" s="182"/>
      <c r="K172" s="182"/>
      <c r="L172" s="182"/>
      <c r="M172" s="182"/>
      <c r="N172" s="177"/>
      <c r="O172" s="182"/>
      <c r="P172" s="179"/>
      <c r="Q172" s="182"/>
      <c r="R172" s="182"/>
      <c r="S172" s="182"/>
      <c r="T172" s="182"/>
      <c r="U172" s="182"/>
      <c r="V172" s="182"/>
      <c r="W172" s="182"/>
      <c r="X172" s="182"/>
      <c r="Y172" s="182"/>
      <c r="Z172" s="182"/>
      <c r="AA172" s="182"/>
      <c r="AB172" s="182"/>
      <c r="AC172" s="182"/>
      <c r="AD172" s="182"/>
      <c r="AE172" s="184"/>
      <c r="AF172" s="183"/>
      <c r="AG172" s="183"/>
      <c r="AH172" s="183"/>
      <c r="AI172" s="183"/>
      <c r="AJ172" s="182"/>
      <c r="AK172" s="184"/>
      <c r="AL172" s="182"/>
      <c r="AM172" s="182"/>
      <c r="AN172" s="182"/>
      <c r="AO172" s="182"/>
      <c r="AP172" s="182"/>
      <c r="AQ172" s="182"/>
      <c r="AR172" s="182"/>
    </row>
    <row r="173" spans="1:44">
      <c r="A173" s="182"/>
      <c r="B173" s="182"/>
      <c r="C173" s="182"/>
      <c r="D173" s="182"/>
      <c r="E173" s="182"/>
      <c r="F173" s="182"/>
      <c r="G173" s="182"/>
      <c r="H173" s="182"/>
      <c r="I173" s="182"/>
      <c r="J173" s="182"/>
      <c r="K173" s="182"/>
      <c r="L173" s="182"/>
      <c r="M173" s="182"/>
      <c r="N173" s="177"/>
      <c r="O173" s="182"/>
      <c r="P173" s="179"/>
      <c r="Q173" s="182"/>
      <c r="R173" s="182"/>
      <c r="S173" s="182"/>
      <c r="T173" s="182"/>
      <c r="U173" s="182"/>
      <c r="V173" s="182"/>
      <c r="W173" s="182"/>
      <c r="X173" s="182"/>
      <c r="Y173" s="182"/>
      <c r="Z173" s="182"/>
      <c r="AA173" s="182"/>
      <c r="AB173" s="182"/>
      <c r="AC173" s="182"/>
      <c r="AD173" s="182"/>
      <c r="AE173" s="184"/>
      <c r="AF173" s="183"/>
      <c r="AG173" s="183"/>
      <c r="AH173" s="183"/>
      <c r="AI173" s="183"/>
      <c r="AJ173" s="182"/>
      <c r="AK173" s="184"/>
      <c r="AL173" s="182"/>
      <c r="AM173" s="182"/>
      <c r="AN173" s="182"/>
      <c r="AO173" s="182"/>
      <c r="AP173" s="182"/>
      <c r="AQ173" s="182"/>
      <c r="AR173" s="182"/>
    </row>
    <row r="174" spans="1:44">
      <c r="A174" s="182"/>
      <c r="B174" s="182"/>
      <c r="C174" s="182"/>
      <c r="D174" s="182"/>
      <c r="E174" s="182"/>
      <c r="F174" s="182"/>
      <c r="G174" s="182"/>
      <c r="H174" s="182"/>
      <c r="I174" s="182"/>
      <c r="J174" s="182"/>
      <c r="K174" s="182"/>
      <c r="L174" s="182"/>
      <c r="M174" s="182"/>
      <c r="N174" s="177"/>
      <c r="O174" s="182"/>
      <c r="P174" s="179"/>
      <c r="Q174" s="182"/>
      <c r="R174" s="182"/>
      <c r="S174" s="182"/>
      <c r="T174" s="182"/>
      <c r="U174" s="182"/>
      <c r="V174" s="182"/>
      <c r="W174" s="182"/>
      <c r="X174" s="182"/>
      <c r="Y174" s="182"/>
      <c r="Z174" s="182"/>
      <c r="AA174" s="182"/>
      <c r="AB174" s="182"/>
      <c r="AC174" s="182"/>
      <c r="AD174" s="182"/>
      <c r="AE174" s="184"/>
      <c r="AF174" s="183"/>
      <c r="AG174" s="183"/>
      <c r="AH174" s="183"/>
      <c r="AI174" s="183"/>
      <c r="AJ174" s="182"/>
      <c r="AK174" s="184"/>
      <c r="AL174" s="182"/>
      <c r="AM174" s="182"/>
      <c r="AN174" s="182"/>
      <c r="AO174" s="182"/>
      <c r="AP174" s="182"/>
      <c r="AQ174" s="182"/>
      <c r="AR174" s="182"/>
    </row>
    <row r="175" spans="1:44">
      <c r="A175" s="182"/>
      <c r="B175" s="182"/>
      <c r="C175" s="182"/>
      <c r="D175" s="182"/>
      <c r="E175" s="182"/>
      <c r="F175" s="182"/>
      <c r="G175" s="182"/>
      <c r="H175" s="182"/>
      <c r="I175" s="182"/>
      <c r="J175" s="182"/>
      <c r="K175" s="182"/>
      <c r="L175" s="182"/>
      <c r="M175" s="182"/>
      <c r="N175" s="177"/>
      <c r="O175" s="182"/>
      <c r="P175" s="179"/>
      <c r="Q175" s="182"/>
      <c r="R175" s="182"/>
      <c r="S175" s="182"/>
      <c r="T175" s="182"/>
      <c r="U175" s="182"/>
      <c r="V175" s="182"/>
      <c r="W175" s="182"/>
      <c r="X175" s="182"/>
      <c r="Y175" s="182"/>
      <c r="Z175" s="182"/>
      <c r="AA175" s="182"/>
      <c r="AB175" s="182"/>
      <c r="AC175" s="182"/>
      <c r="AD175" s="182"/>
      <c r="AE175" s="184"/>
      <c r="AF175" s="183"/>
      <c r="AG175" s="183"/>
      <c r="AH175" s="183"/>
      <c r="AI175" s="183"/>
      <c r="AJ175" s="182"/>
      <c r="AK175" s="184"/>
      <c r="AL175" s="182"/>
      <c r="AM175" s="182"/>
      <c r="AN175" s="182"/>
      <c r="AO175" s="182"/>
      <c r="AP175" s="182"/>
      <c r="AQ175" s="182"/>
      <c r="AR175" s="182"/>
    </row>
    <row r="176" spans="1:44">
      <c r="A176" s="182"/>
      <c r="B176" s="182"/>
      <c r="C176" s="182"/>
      <c r="D176" s="182"/>
      <c r="E176" s="182"/>
      <c r="F176" s="182"/>
      <c r="G176" s="182"/>
      <c r="H176" s="182"/>
      <c r="I176" s="182"/>
      <c r="J176" s="182"/>
      <c r="K176" s="182"/>
      <c r="L176" s="182"/>
      <c r="M176" s="182"/>
      <c r="N176" s="177"/>
      <c r="O176" s="182"/>
      <c r="P176" s="179"/>
      <c r="Q176" s="182"/>
      <c r="R176" s="182"/>
      <c r="S176" s="182"/>
      <c r="T176" s="182"/>
      <c r="U176" s="182"/>
      <c r="V176" s="182"/>
      <c r="W176" s="182"/>
      <c r="X176" s="182"/>
      <c r="Y176" s="182"/>
      <c r="Z176" s="182"/>
      <c r="AA176" s="182"/>
      <c r="AB176" s="182"/>
      <c r="AC176" s="182"/>
      <c r="AD176" s="182"/>
      <c r="AE176" s="184"/>
      <c r="AF176" s="183"/>
      <c r="AG176" s="183"/>
      <c r="AH176" s="183"/>
      <c r="AI176" s="183"/>
      <c r="AJ176" s="182"/>
      <c r="AK176" s="184"/>
      <c r="AL176" s="182"/>
      <c r="AM176" s="182"/>
      <c r="AN176" s="182"/>
      <c r="AO176" s="182"/>
      <c r="AP176" s="182"/>
      <c r="AQ176" s="182"/>
      <c r="AR176" s="182"/>
    </row>
    <row r="177" spans="1:44">
      <c r="A177" s="182"/>
      <c r="B177" s="182"/>
      <c r="C177" s="182"/>
      <c r="D177" s="182"/>
      <c r="E177" s="182"/>
      <c r="F177" s="182"/>
      <c r="G177" s="182"/>
      <c r="H177" s="182"/>
      <c r="I177" s="182"/>
      <c r="J177" s="182"/>
      <c r="K177" s="182"/>
      <c r="L177" s="182"/>
      <c r="M177" s="182"/>
      <c r="N177" s="177"/>
      <c r="O177" s="182"/>
      <c r="P177" s="179"/>
      <c r="Q177" s="182"/>
      <c r="R177" s="182"/>
      <c r="S177" s="182"/>
      <c r="T177" s="182"/>
      <c r="U177" s="182"/>
      <c r="V177" s="182"/>
      <c r="W177" s="182"/>
      <c r="X177" s="182"/>
      <c r="Y177" s="182"/>
      <c r="Z177" s="182"/>
      <c r="AA177" s="182"/>
      <c r="AB177" s="182"/>
      <c r="AC177" s="182"/>
      <c r="AD177" s="182"/>
      <c r="AE177" s="184"/>
      <c r="AF177" s="183"/>
      <c r="AG177" s="183"/>
      <c r="AH177" s="183"/>
      <c r="AI177" s="183"/>
      <c r="AJ177" s="182"/>
      <c r="AK177" s="184"/>
      <c r="AL177" s="182"/>
      <c r="AM177" s="182"/>
      <c r="AN177" s="182"/>
      <c r="AO177" s="182"/>
      <c r="AP177" s="182"/>
      <c r="AQ177" s="182"/>
      <c r="AR177" s="182"/>
    </row>
    <row r="178" spans="1:44">
      <c r="A178" s="182"/>
      <c r="B178" s="182"/>
      <c r="C178" s="182"/>
      <c r="D178" s="182"/>
      <c r="E178" s="182"/>
      <c r="F178" s="182"/>
      <c r="G178" s="182"/>
      <c r="H178" s="182"/>
      <c r="I178" s="182"/>
      <c r="J178" s="182"/>
      <c r="K178" s="182"/>
      <c r="L178" s="182"/>
      <c r="M178" s="182"/>
      <c r="N178" s="177"/>
      <c r="O178" s="182"/>
      <c r="P178" s="179"/>
      <c r="Q178" s="182"/>
      <c r="R178" s="182"/>
      <c r="S178" s="182"/>
      <c r="T178" s="182"/>
      <c r="U178" s="182"/>
      <c r="V178" s="182"/>
      <c r="W178" s="182"/>
      <c r="X178" s="182"/>
      <c r="Y178" s="182"/>
      <c r="Z178" s="182"/>
      <c r="AA178" s="182"/>
      <c r="AB178" s="182"/>
      <c r="AC178" s="182"/>
      <c r="AD178" s="182"/>
      <c r="AE178" s="184"/>
      <c r="AF178" s="183"/>
      <c r="AG178" s="183"/>
      <c r="AH178" s="183"/>
      <c r="AI178" s="183"/>
      <c r="AJ178" s="182"/>
      <c r="AK178" s="184"/>
      <c r="AL178" s="182"/>
      <c r="AM178" s="182"/>
      <c r="AN178" s="182"/>
      <c r="AO178" s="182"/>
      <c r="AP178" s="182"/>
      <c r="AQ178" s="182"/>
      <c r="AR178" s="182"/>
    </row>
    <row r="179" spans="1:44">
      <c r="A179" s="182"/>
      <c r="B179" s="182"/>
      <c r="C179" s="182"/>
      <c r="D179" s="182"/>
      <c r="E179" s="182"/>
      <c r="F179" s="182"/>
      <c r="G179" s="182"/>
      <c r="H179" s="182"/>
      <c r="I179" s="182"/>
      <c r="J179" s="182"/>
      <c r="K179" s="182"/>
      <c r="L179" s="182"/>
      <c r="M179" s="182"/>
      <c r="N179" s="177"/>
      <c r="O179" s="182"/>
      <c r="P179" s="179"/>
      <c r="Q179" s="182"/>
      <c r="R179" s="182"/>
      <c r="S179" s="182"/>
      <c r="T179" s="182"/>
      <c r="U179" s="182"/>
      <c r="V179" s="182"/>
      <c r="W179" s="182"/>
      <c r="X179" s="182"/>
      <c r="Y179" s="182"/>
      <c r="Z179" s="182"/>
      <c r="AA179" s="182"/>
      <c r="AB179" s="182"/>
      <c r="AC179" s="182"/>
      <c r="AD179" s="182"/>
      <c r="AE179" s="184"/>
      <c r="AF179" s="183"/>
      <c r="AG179" s="183"/>
      <c r="AH179" s="183"/>
      <c r="AI179" s="183"/>
      <c r="AJ179" s="182"/>
      <c r="AK179" s="184"/>
      <c r="AL179" s="182"/>
      <c r="AM179" s="182"/>
      <c r="AN179" s="182"/>
      <c r="AO179" s="182"/>
      <c r="AP179" s="182"/>
      <c r="AQ179" s="182"/>
      <c r="AR179" s="182"/>
    </row>
    <row r="180" spans="1:44">
      <c r="A180" s="182"/>
      <c r="B180" s="182"/>
      <c r="C180" s="182"/>
      <c r="D180" s="182"/>
      <c r="E180" s="182"/>
      <c r="F180" s="182"/>
      <c r="G180" s="182"/>
      <c r="H180" s="182"/>
      <c r="I180" s="182"/>
      <c r="J180" s="182"/>
      <c r="K180" s="182"/>
      <c r="L180" s="182"/>
      <c r="M180" s="182"/>
      <c r="N180" s="177"/>
      <c r="O180" s="182"/>
      <c r="P180" s="179"/>
      <c r="Q180" s="182"/>
      <c r="R180" s="182"/>
      <c r="S180" s="182"/>
      <c r="T180" s="182"/>
      <c r="U180" s="182"/>
      <c r="V180" s="182"/>
      <c r="W180" s="182"/>
      <c r="X180" s="182"/>
      <c r="Y180" s="182"/>
      <c r="Z180" s="182"/>
      <c r="AA180" s="182"/>
      <c r="AB180" s="182"/>
      <c r="AC180" s="182"/>
      <c r="AD180" s="182"/>
      <c r="AE180" s="184"/>
      <c r="AF180" s="183"/>
      <c r="AG180" s="183"/>
      <c r="AH180" s="183"/>
      <c r="AI180" s="183"/>
      <c r="AJ180" s="182"/>
      <c r="AK180" s="184"/>
      <c r="AL180" s="182"/>
      <c r="AM180" s="182"/>
      <c r="AN180" s="182"/>
      <c r="AO180" s="182"/>
      <c r="AP180" s="182"/>
      <c r="AQ180" s="182"/>
      <c r="AR180" s="182"/>
    </row>
    <row r="181" spans="1:44">
      <c r="A181" s="182"/>
      <c r="B181" s="182"/>
      <c r="C181" s="182"/>
      <c r="D181" s="182"/>
      <c r="E181" s="182"/>
      <c r="F181" s="182"/>
      <c r="G181" s="182"/>
      <c r="H181" s="182"/>
      <c r="I181" s="182"/>
      <c r="J181" s="182"/>
      <c r="K181" s="182"/>
      <c r="L181" s="182"/>
      <c r="M181" s="182"/>
      <c r="N181" s="177"/>
      <c r="O181" s="182"/>
      <c r="P181" s="179"/>
      <c r="Q181" s="182"/>
      <c r="R181" s="182"/>
      <c r="S181" s="182"/>
      <c r="T181" s="182"/>
      <c r="U181" s="182"/>
      <c r="V181" s="182"/>
      <c r="W181" s="182"/>
      <c r="X181" s="182"/>
      <c r="Y181" s="182"/>
      <c r="Z181" s="182"/>
      <c r="AA181" s="182"/>
      <c r="AB181" s="182"/>
      <c r="AC181" s="182"/>
      <c r="AD181" s="182"/>
      <c r="AE181" s="184"/>
      <c r="AF181" s="183"/>
      <c r="AG181" s="183"/>
      <c r="AH181" s="183"/>
      <c r="AI181" s="183"/>
      <c r="AJ181" s="182"/>
      <c r="AK181" s="184"/>
      <c r="AL181" s="182"/>
      <c r="AM181" s="182"/>
      <c r="AN181" s="182"/>
      <c r="AO181" s="182"/>
      <c r="AP181" s="182"/>
      <c r="AQ181" s="182"/>
      <c r="AR181" s="182"/>
    </row>
    <row r="182" spans="1:44">
      <c r="A182" s="182"/>
      <c r="B182" s="182"/>
      <c r="C182" s="182"/>
      <c r="D182" s="182"/>
      <c r="E182" s="182"/>
      <c r="F182" s="182"/>
      <c r="G182" s="182"/>
      <c r="H182" s="182"/>
      <c r="I182" s="182"/>
      <c r="J182" s="182"/>
      <c r="K182" s="182"/>
      <c r="L182" s="182"/>
      <c r="M182" s="182"/>
      <c r="N182" s="177"/>
      <c r="O182" s="182"/>
      <c r="P182" s="179"/>
      <c r="Q182" s="182"/>
      <c r="R182" s="182"/>
      <c r="S182" s="182"/>
      <c r="T182" s="182"/>
      <c r="U182" s="182"/>
      <c r="V182" s="182"/>
      <c r="W182" s="182"/>
      <c r="X182" s="182"/>
      <c r="Y182" s="182"/>
      <c r="Z182" s="182"/>
      <c r="AA182" s="182"/>
      <c r="AB182" s="182"/>
      <c r="AC182" s="182"/>
      <c r="AD182" s="182"/>
      <c r="AE182" s="184"/>
      <c r="AF182" s="183"/>
      <c r="AG182" s="183"/>
      <c r="AH182" s="183"/>
      <c r="AI182" s="183"/>
      <c r="AJ182" s="182"/>
      <c r="AK182" s="184"/>
      <c r="AL182" s="182"/>
      <c r="AM182" s="182"/>
      <c r="AN182" s="182"/>
      <c r="AO182" s="182"/>
      <c r="AP182" s="182"/>
      <c r="AQ182" s="182"/>
      <c r="AR182" s="182"/>
    </row>
    <row r="183" spans="1:44">
      <c r="A183" s="182"/>
      <c r="B183" s="182"/>
      <c r="C183" s="182"/>
      <c r="D183" s="182"/>
      <c r="E183" s="182"/>
      <c r="F183" s="182"/>
      <c r="G183" s="182"/>
      <c r="H183" s="182"/>
      <c r="I183" s="182"/>
      <c r="J183" s="182"/>
      <c r="K183" s="182"/>
      <c r="L183" s="182"/>
      <c r="M183" s="182"/>
      <c r="N183" s="177"/>
      <c r="O183" s="182"/>
      <c r="P183" s="179"/>
      <c r="Q183" s="182"/>
      <c r="R183" s="182"/>
      <c r="S183" s="182"/>
      <c r="T183" s="182"/>
      <c r="U183" s="182"/>
      <c r="V183" s="182"/>
      <c r="W183" s="182"/>
      <c r="X183" s="182"/>
      <c r="Y183" s="182"/>
      <c r="Z183" s="182"/>
      <c r="AA183" s="182"/>
      <c r="AB183" s="182"/>
      <c r="AC183" s="182"/>
      <c r="AD183" s="182"/>
      <c r="AE183" s="184"/>
      <c r="AF183" s="183"/>
      <c r="AG183" s="183"/>
      <c r="AH183" s="183"/>
      <c r="AI183" s="183"/>
      <c r="AJ183" s="182"/>
      <c r="AK183" s="184"/>
      <c r="AL183" s="182"/>
      <c r="AM183" s="182"/>
      <c r="AN183" s="182"/>
      <c r="AO183" s="182"/>
      <c r="AP183" s="182"/>
      <c r="AQ183" s="182"/>
      <c r="AR183" s="182"/>
    </row>
    <row r="184" spans="1:44">
      <c r="A184" s="182"/>
      <c r="B184" s="182"/>
      <c r="C184" s="182"/>
      <c r="D184" s="182"/>
      <c r="E184" s="182"/>
      <c r="F184" s="182"/>
      <c r="G184" s="182"/>
      <c r="H184" s="182"/>
      <c r="I184" s="182"/>
      <c r="J184" s="182"/>
      <c r="K184" s="182"/>
      <c r="L184" s="182"/>
      <c r="M184" s="182"/>
      <c r="N184" s="177"/>
      <c r="O184" s="182"/>
      <c r="P184" s="179"/>
      <c r="Q184" s="182"/>
      <c r="R184" s="182"/>
      <c r="S184" s="182"/>
      <c r="T184" s="182"/>
      <c r="U184" s="182"/>
      <c r="V184" s="182"/>
      <c r="W184" s="182"/>
      <c r="X184" s="182"/>
      <c r="Y184" s="182"/>
      <c r="Z184" s="182"/>
      <c r="AA184" s="182"/>
      <c r="AB184" s="182"/>
      <c r="AC184" s="182"/>
      <c r="AD184" s="182"/>
      <c r="AE184" s="184"/>
      <c r="AF184" s="183"/>
      <c r="AG184" s="183"/>
      <c r="AH184" s="183"/>
      <c r="AI184" s="183"/>
      <c r="AJ184" s="182"/>
      <c r="AK184" s="184"/>
      <c r="AL184" s="182"/>
      <c r="AM184" s="182"/>
      <c r="AN184" s="182"/>
      <c r="AO184" s="182"/>
      <c r="AP184" s="182"/>
      <c r="AQ184" s="182"/>
      <c r="AR184" s="182"/>
    </row>
    <row r="185" spans="1:44">
      <c r="A185" s="182"/>
      <c r="B185" s="182"/>
      <c r="C185" s="182"/>
      <c r="D185" s="182"/>
      <c r="E185" s="182"/>
      <c r="F185" s="182"/>
      <c r="G185" s="182"/>
      <c r="H185" s="182"/>
      <c r="I185" s="182"/>
      <c r="J185" s="182"/>
      <c r="K185" s="182"/>
      <c r="L185" s="182"/>
      <c r="M185" s="182"/>
      <c r="N185" s="177"/>
      <c r="O185" s="182"/>
      <c r="P185" s="179"/>
      <c r="Q185" s="182"/>
      <c r="R185" s="182"/>
      <c r="S185" s="182"/>
      <c r="T185" s="182"/>
      <c r="U185" s="182"/>
      <c r="V185" s="182"/>
      <c r="W185" s="182"/>
      <c r="X185" s="182"/>
      <c r="Y185" s="182"/>
      <c r="Z185" s="182"/>
      <c r="AA185" s="182"/>
      <c r="AB185" s="182"/>
      <c r="AC185" s="182"/>
      <c r="AD185" s="182"/>
      <c r="AE185" s="184"/>
      <c r="AF185" s="183"/>
      <c r="AG185" s="183"/>
      <c r="AH185" s="183"/>
      <c r="AI185" s="183"/>
      <c r="AJ185" s="182"/>
      <c r="AK185" s="184"/>
      <c r="AL185" s="182"/>
      <c r="AM185" s="182"/>
      <c r="AN185" s="182"/>
      <c r="AO185" s="182"/>
      <c r="AP185" s="182"/>
      <c r="AQ185" s="182"/>
      <c r="AR185" s="182"/>
    </row>
    <row r="186" spans="1:44">
      <c r="A186" s="182"/>
      <c r="B186" s="182"/>
      <c r="C186" s="182"/>
      <c r="D186" s="182"/>
      <c r="E186" s="182"/>
      <c r="F186" s="182"/>
      <c r="G186" s="182"/>
      <c r="H186" s="182"/>
      <c r="I186" s="182"/>
      <c r="J186" s="182"/>
      <c r="K186" s="182"/>
      <c r="L186" s="182"/>
      <c r="M186" s="182"/>
      <c r="N186" s="177"/>
      <c r="O186" s="182"/>
      <c r="P186" s="179"/>
      <c r="Q186" s="182"/>
      <c r="R186" s="182"/>
      <c r="S186" s="182"/>
      <c r="T186" s="182"/>
      <c r="U186" s="182"/>
      <c r="V186" s="182"/>
      <c r="W186" s="182"/>
      <c r="X186" s="182"/>
      <c r="Y186" s="182"/>
      <c r="Z186" s="182"/>
      <c r="AA186" s="182"/>
      <c r="AB186" s="182"/>
      <c r="AC186" s="182"/>
      <c r="AD186" s="182"/>
      <c r="AE186" s="184"/>
      <c r="AF186" s="183"/>
      <c r="AG186" s="183"/>
      <c r="AH186" s="183"/>
      <c r="AI186" s="183"/>
      <c r="AJ186" s="182"/>
      <c r="AK186" s="184"/>
      <c r="AL186" s="182"/>
      <c r="AM186" s="182"/>
      <c r="AN186" s="182"/>
      <c r="AO186" s="182"/>
      <c r="AP186" s="182"/>
      <c r="AQ186" s="182"/>
      <c r="AR186" s="182"/>
    </row>
    <row r="187" spans="1:44">
      <c r="A187" s="182"/>
      <c r="B187" s="182"/>
      <c r="C187" s="182"/>
      <c r="D187" s="182"/>
      <c r="E187" s="182"/>
      <c r="F187" s="182"/>
      <c r="G187" s="182"/>
      <c r="H187" s="182"/>
      <c r="I187" s="182"/>
      <c r="J187" s="182"/>
      <c r="K187" s="182"/>
      <c r="L187" s="182"/>
      <c r="M187" s="182"/>
      <c r="N187" s="177"/>
      <c r="O187" s="182"/>
      <c r="P187" s="179"/>
      <c r="Q187" s="182"/>
      <c r="R187" s="182"/>
      <c r="S187" s="182"/>
      <c r="T187" s="182"/>
      <c r="U187" s="182"/>
      <c r="V187" s="182"/>
      <c r="W187" s="182"/>
      <c r="X187" s="182"/>
      <c r="Y187" s="182"/>
      <c r="Z187" s="182"/>
      <c r="AA187" s="182"/>
      <c r="AB187" s="182"/>
      <c r="AC187" s="182"/>
      <c r="AD187" s="182"/>
      <c r="AE187" s="184"/>
      <c r="AF187" s="183"/>
      <c r="AG187" s="183"/>
      <c r="AH187" s="183"/>
      <c r="AI187" s="183"/>
      <c r="AJ187" s="182"/>
      <c r="AK187" s="184"/>
      <c r="AL187" s="182"/>
      <c r="AM187" s="182"/>
      <c r="AN187" s="182"/>
      <c r="AO187" s="182"/>
      <c r="AP187" s="182"/>
      <c r="AQ187" s="182"/>
      <c r="AR187" s="182"/>
    </row>
    <row r="188" spans="1:44">
      <c r="A188" s="182"/>
      <c r="B188" s="182"/>
      <c r="C188" s="182"/>
      <c r="D188" s="182"/>
      <c r="E188" s="182"/>
      <c r="F188" s="182"/>
      <c r="G188" s="182"/>
      <c r="H188" s="182"/>
      <c r="I188" s="182"/>
      <c r="J188" s="182"/>
      <c r="K188" s="182"/>
      <c r="L188" s="182"/>
      <c r="M188" s="182"/>
      <c r="N188" s="177"/>
      <c r="O188" s="182"/>
      <c r="P188" s="179"/>
      <c r="Q188" s="182"/>
      <c r="R188" s="182"/>
      <c r="S188" s="182"/>
      <c r="T188" s="182"/>
      <c r="U188" s="182"/>
      <c r="V188" s="182"/>
      <c r="W188" s="182"/>
      <c r="X188" s="182"/>
      <c r="Y188" s="182"/>
      <c r="Z188" s="182"/>
      <c r="AA188" s="182"/>
      <c r="AB188" s="182"/>
      <c r="AC188" s="182"/>
      <c r="AD188" s="182"/>
      <c r="AE188" s="184"/>
      <c r="AF188" s="183"/>
      <c r="AG188" s="183"/>
      <c r="AH188" s="183"/>
      <c r="AI188" s="183"/>
      <c r="AJ188" s="182"/>
      <c r="AK188" s="184"/>
      <c r="AL188" s="182"/>
      <c r="AM188" s="182"/>
      <c r="AN188" s="182"/>
      <c r="AO188" s="182"/>
      <c r="AP188" s="182"/>
      <c r="AQ188" s="182"/>
      <c r="AR188" s="182"/>
    </row>
    <row r="189" spans="1:44">
      <c r="A189" s="182"/>
      <c r="B189" s="182"/>
      <c r="C189" s="182"/>
      <c r="D189" s="182"/>
      <c r="E189" s="182"/>
      <c r="F189" s="182"/>
      <c r="G189" s="182"/>
      <c r="H189" s="182"/>
      <c r="I189" s="182"/>
      <c r="J189" s="182"/>
      <c r="K189" s="182"/>
      <c r="L189" s="182"/>
      <c r="M189" s="182"/>
      <c r="N189" s="177"/>
      <c r="O189" s="182"/>
      <c r="P189" s="179"/>
      <c r="Q189" s="182"/>
      <c r="R189" s="182"/>
      <c r="S189" s="182"/>
      <c r="T189" s="182"/>
      <c r="U189" s="182"/>
      <c r="V189" s="182"/>
      <c r="W189" s="182"/>
      <c r="X189" s="182"/>
      <c r="Y189" s="182"/>
      <c r="Z189" s="182"/>
      <c r="AA189" s="182"/>
      <c r="AB189" s="182"/>
      <c r="AC189" s="182"/>
      <c r="AD189" s="182"/>
      <c r="AE189" s="184"/>
      <c r="AF189" s="183"/>
      <c r="AG189" s="183"/>
      <c r="AH189" s="183"/>
      <c r="AI189" s="183"/>
      <c r="AJ189" s="182"/>
      <c r="AK189" s="184"/>
      <c r="AL189" s="182"/>
      <c r="AM189" s="182"/>
      <c r="AN189" s="182"/>
      <c r="AO189" s="182"/>
      <c r="AP189" s="182"/>
      <c r="AQ189" s="182"/>
      <c r="AR189" s="182"/>
    </row>
    <row r="190" spans="1:44">
      <c r="A190" s="182"/>
      <c r="B190" s="182"/>
      <c r="C190" s="182"/>
      <c r="D190" s="182"/>
      <c r="E190" s="182"/>
      <c r="F190" s="182"/>
      <c r="G190" s="182"/>
      <c r="H190" s="182"/>
      <c r="I190" s="182"/>
      <c r="J190" s="182"/>
      <c r="K190" s="182"/>
      <c r="L190" s="182"/>
      <c r="M190" s="182"/>
      <c r="N190" s="177"/>
      <c r="O190" s="182"/>
      <c r="P190" s="179"/>
      <c r="Q190" s="182"/>
      <c r="R190" s="182"/>
      <c r="S190" s="182"/>
      <c r="T190" s="182"/>
      <c r="U190" s="182"/>
      <c r="V190" s="182"/>
      <c r="W190" s="182"/>
      <c r="X190" s="182"/>
      <c r="Y190" s="182"/>
      <c r="Z190" s="182"/>
      <c r="AA190" s="182"/>
      <c r="AB190" s="182"/>
      <c r="AC190" s="182"/>
      <c r="AD190" s="182"/>
      <c r="AE190" s="184"/>
      <c r="AF190" s="183"/>
      <c r="AG190" s="183"/>
      <c r="AH190" s="183"/>
      <c r="AI190" s="183"/>
      <c r="AJ190" s="182"/>
      <c r="AK190" s="184"/>
      <c r="AL190" s="182"/>
      <c r="AM190" s="182"/>
      <c r="AN190" s="182"/>
      <c r="AO190" s="182"/>
      <c r="AP190" s="182"/>
      <c r="AQ190" s="182"/>
      <c r="AR190" s="182"/>
    </row>
    <row r="191" spans="1:44">
      <c r="A191" s="182"/>
      <c r="B191" s="182"/>
      <c r="C191" s="182"/>
      <c r="D191" s="182"/>
      <c r="E191" s="182"/>
      <c r="F191" s="182"/>
      <c r="G191" s="182"/>
      <c r="H191" s="182"/>
      <c r="I191" s="182"/>
      <c r="J191" s="182"/>
      <c r="K191" s="182"/>
      <c r="L191" s="182"/>
      <c r="M191" s="182"/>
      <c r="N191" s="177"/>
      <c r="O191" s="182"/>
      <c r="P191" s="179"/>
      <c r="Q191" s="182"/>
      <c r="R191" s="182"/>
      <c r="S191" s="182"/>
      <c r="T191" s="182"/>
      <c r="U191" s="182"/>
      <c r="V191" s="182"/>
      <c r="W191" s="182"/>
      <c r="X191" s="182"/>
      <c r="Y191" s="182"/>
      <c r="Z191" s="182"/>
      <c r="AA191" s="182"/>
      <c r="AB191" s="182"/>
      <c r="AC191" s="182"/>
      <c r="AD191" s="182"/>
      <c r="AE191" s="184"/>
      <c r="AF191" s="183"/>
      <c r="AG191" s="183"/>
      <c r="AH191" s="183"/>
      <c r="AI191" s="183"/>
      <c r="AJ191" s="182"/>
      <c r="AK191" s="184"/>
      <c r="AL191" s="182"/>
      <c r="AM191" s="182"/>
      <c r="AN191" s="182"/>
      <c r="AO191" s="182"/>
      <c r="AP191" s="182"/>
      <c r="AQ191" s="182"/>
      <c r="AR191" s="182"/>
    </row>
    <row r="192" spans="1:44">
      <c r="A192" s="182"/>
      <c r="B192" s="182"/>
      <c r="C192" s="182"/>
      <c r="D192" s="182"/>
      <c r="E192" s="182"/>
      <c r="F192" s="182"/>
      <c r="G192" s="182"/>
      <c r="H192" s="182"/>
      <c r="I192" s="182"/>
      <c r="J192" s="182"/>
      <c r="K192" s="182"/>
      <c r="L192" s="182"/>
      <c r="M192" s="182"/>
      <c r="N192" s="177"/>
      <c r="O192" s="182"/>
      <c r="P192" s="179"/>
      <c r="Q192" s="182"/>
      <c r="R192" s="182"/>
      <c r="S192" s="182"/>
      <c r="T192" s="182"/>
      <c r="U192" s="182"/>
      <c r="V192" s="182"/>
      <c r="W192" s="182"/>
      <c r="X192" s="182"/>
      <c r="Y192" s="182"/>
      <c r="Z192" s="182"/>
      <c r="AA192" s="182"/>
      <c r="AB192" s="182"/>
      <c r="AC192" s="182"/>
      <c r="AD192" s="182"/>
      <c r="AE192" s="184"/>
      <c r="AF192" s="183"/>
      <c r="AG192" s="183"/>
      <c r="AH192" s="183"/>
      <c r="AI192" s="183"/>
      <c r="AJ192" s="182"/>
      <c r="AK192" s="184"/>
      <c r="AL192" s="182"/>
      <c r="AM192" s="182"/>
      <c r="AN192" s="182"/>
      <c r="AO192" s="182"/>
      <c r="AP192" s="182"/>
      <c r="AQ192" s="182"/>
      <c r="AR192" s="182"/>
    </row>
    <row r="193" spans="1:44">
      <c r="A193" s="182"/>
      <c r="B193" s="182"/>
      <c r="C193" s="182"/>
      <c r="D193" s="182"/>
      <c r="E193" s="182"/>
      <c r="F193" s="182"/>
      <c r="G193" s="182"/>
      <c r="H193" s="182"/>
      <c r="I193" s="182"/>
      <c r="J193" s="182"/>
      <c r="K193" s="182"/>
      <c r="L193" s="182"/>
      <c r="M193" s="182"/>
      <c r="N193" s="177"/>
      <c r="O193" s="182"/>
      <c r="P193" s="179"/>
      <c r="Q193" s="182"/>
      <c r="R193" s="182"/>
      <c r="S193" s="182"/>
      <c r="T193" s="182"/>
      <c r="U193" s="182"/>
      <c r="V193" s="182"/>
      <c r="W193" s="182"/>
      <c r="X193" s="182"/>
      <c r="Y193" s="182"/>
      <c r="Z193" s="182"/>
      <c r="AA193" s="182"/>
      <c r="AB193" s="182"/>
      <c r="AC193" s="182"/>
      <c r="AD193" s="182"/>
      <c r="AE193" s="184"/>
      <c r="AF193" s="183"/>
      <c r="AG193" s="183"/>
      <c r="AH193" s="183"/>
      <c r="AI193" s="183"/>
      <c r="AJ193" s="182"/>
      <c r="AK193" s="184"/>
      <c r="AL193" s="182"/>
      <c r="AM193" s="182"/>
      <c r="AN193" s="182"/>
      <c r="AO193" s="182"/>
      <c r="AP193" s="182"/>
      <c r="AQ193" s="182"/>
      <c r="AR193" s="182"/>
    </row>
    <row r="194" spans="1:44">
      <c r="A194" s="182"/>
      <c r="B194" s="182"/>
      <c r="C194" s="182"/>
      <c r="D194" s="182"/>
      <c r="E194" s="182"/>
      <c r="F194" s="182"/>
      <c r="G194" s="182"/>
      <c r="H194" s="182"/>
      <c r="I194" s="182"/>
      <c r="J194" s="182"/>
      <c r="K194" s="182"/>
      <c r="L194" s="182"/>
      <c r="M194" s="182"/>
      <c r="N194" s="177"/>
      <c r="O194" s="182"/>
      <c r="P194" s="179"/>
      <c r="Q194" s="182"/>
      <c r="R194" s="182"/>
      <c r="S194" s="182"/>
      <c r="T194" s="182"/>
      <c r="U194" s="182"/>
      <c r="V194" s="182"/>
      <c r="W194" s="182"/>
      <c r="X194" s="182"/>
      <c r="Y194" s="182"/>
      <c r="Z194" s="182"/>
      <c r="AA194" s="182"/>
      <c r="AB194" s="182"/>
      <c r="AC194" s="182"/>
      <c r="AD194" s="182"/>
      <c r="AE194" s="184"/>
      <c r="AF194" s="183"/>
      <c r="AG194" s="183"/>
      <c r="AH194" s="183"/>
      <c r="AI194" s="183"/>
      <c r="AJ194" s="182"/>
      <c r="AK194" s="184"/>
      <c r="AL194" s="182"/>
      <c r="AM194" s="182"/>
      <c r="AN194" s="182"/>
      <c r="AO194" s="182"/>
      <c r="AP194" s="182"/>
      <c r="AQ194" s="182"/>
      <c r="AR194" s="182"/>
    </row>
    <row r="195" spans="1:44">
      <c r="A195" s="182"/>
      <c r="B195" s="182"/>
      <c r="C195" s="182"/>
      <c r="D195" s="182"/>
      <c r="E195" s="182"/>
      <c r="F195" s="182"/>
      <c r="G195" s="182"/>
      <c r="H195" s="182"/>
      <c r="I195" s="182"/>
      <c r="J195" s="182"/>
      <c r="K195" s="182"/>
      <c r="L195" s="182"/>
      <c r="M195" s="182"/>
      <c r="N195" s="177"/>
      <c r="O195" s="182"/>
      <c r="P195" s="179"/>
      <c r="Q195" s="182"/>
      <c r="R195" s="182"/>
      <c r="S195" s="182"/>
      <c r="T195" s="182"/>
      <c r="U195" s="182"/>
      <c r="V195" s="182"/>
      <c r="W195" s="182"/>
      <c r="X195" s="182"/>
      <c r="Y195" s="182"/>
      <c r="Z195" s="182"/>
      <c r="AA195" s="182"/>
      <c r="AB195" s="182"/>
      <c r="AC195" s="182"/>
      <c r="AD195" s="182"/>
      <c r="AE195" s="184"/>
      <c r="AF195" s="183"/>
      <c r="AG195" s="183"/>
      <c r="AH195" s="183"/>
      <c r="AI195" s="183"/>
      <c r="AJ195" s="182"/>
      <c r="AK195" s="184"/>
      <c r="AL195" s="182"/>
      <c r="AM195" s="182"/>
      <c r="AN195" s="182"/>
      <c r="AO195" s="182"/>
      <c r="AP195" s="182"/>
      <c r="AQ195" s="182"/>
      <c r="AR195" s="182"/>
    </row>
    <row r="196" spans="1:44">
      <c r="A196" s="182"/>
      <c r="B196" s="182"/>
      <c r="C196" s="182"/>
      <c r="D196" s="182"/>
      <c r="E196" s="182"/>
      <c r="F196" s="182"/>
      <c r="G196" s="182"/>
      <c r="H196" s="182"/>
      <c r="I196" s="182"/>
      <c r="J196" s="182"/>
      <c r="K196" s="182"/>
      <c r="L196" s="182"/>
      <c r="M196" s="182"/>
      <c r="N196" s="177"/>
      <c r="O196" s="182"/>
      <c r="P196" s="179"/>
      <c r="Q196" s="182"/>
      <c r="R196" s="182"/>
      <c r="S196" s="182"/>
      <c r="T196" s="182"/>
      <c r="U196" s="182"/>
      <c r="V196" s="182"/>
      <c r="W196" s="182"/>
      <c r="X196" s="182"/>
      <c r="Y196" s="182"/>
      <c r="Z196" s="182"/>
      <c r="AA196" s="182"/>
      <c r="AB196" s="182"/>
      <c r="AC196" s="182"/>
      <c r="AD196" s="182"/>
      <c r="AE196" s="184"/>
      <c r="AF196" s="183"/>
      <c r="AG196" s="183"/>
      <c r="AH196" s="183"/>
      <c r="AI196" s="183"/>
      <c r="AJ196" s="182"/>
      <c r="AK196" s="184"/>
      <c r="AL196" s="182"/>
      <c r="AM196" s="182"/>
      <c r="AN196" s="182"/>
      <c r="AO196" s="182"/>
      <c r="AP196" s="182"/>
      <c r="AQ196" s="182"/>
      <c r="AR196" s="182"/>
    </row>
    <row r="197" spans="1:44">
      <c r="A197" s="182"/>
      <c r="B197" s="182"/>
      <c r="C197" s="182"/>
      <c r="D197" s="182"/>
      <c r="E197" s="182"/>
      <c r="F197" s="182"/>
      <c r="G197" s="182"/>
      <c r="H197" s="182"/>
      <c r="I197" s="182"/>
      <c r="J197" s="182"/>
      <c r="K197" s="182"/>
      <c r="L197" s="182"/>
      <c r="M197" s="182"/>
      <c r="N197" s="177"/>
      <c r="O197" s="182"/>
      <c r="P197" s="179"/>
      <c r="Q197" s="182"/>
      <c r="R197" s="182"/>
      <c r="S197" s="182"/>
      <c r="T197" s="182"/>
      <c r="U197" s="182"/>
      <c r="V197" s="182"/>
      <c r="W197" s="182"/>
      <c r="X197" s="182"/>
      <c r="Y197" s="182"/>
      <c r="Z197" s="182"/>
      <c r="AA197" s="182"/>
      <c r="AB197" s="182"/>
      <c r="AC197" s="182"/>
      <c r="AD197" s="182"/>
      <c r="AE197" s="184"/>
      <c r="AF197" s="183"/>
      <c r="AG197" s="183"/>
      <c r="AH197" s="183"/>
      <c r="AI197" s="183"/>
      <c r="AJ197" s="182"/>
      <c r="AK197" s="184"/>
      <c r="AL197" s="182"/>
      <c r="AM197" s="182"/>
      <c r="AN197" s="182"/>
      <c r="AO197" s="182"/>
      <c r="AP197" s="182"/>
      <c r="AQ197" s="182"/>
      <c r="AR197" s="182"/>
    </row>
    <row r="198" spans="1:44">
      <c r="A198" s="182"/>
      <c r="B198" s="182"/>
      <c r="C198" s="182"/>
      <c r="D198" s="182"/>
      <c r="E198" s="182"/>
      <c r="F198" s="182"/>
      <c r="G198" s="182"/>
      <c r="H198" s="182"/>
      <c r="I198" s="182"/>
      <c r="J198" s="182"/>
      <c r="K198" s="182"/>
      <c r="L198" s="182"/>
      <c r="M198" s="182"/>
      <c r="N198" s="177"/>
      <c r="O198" s="182"/>
      <c r="P198" s="179"/>
      <c r="Q198" s="182"/>
      <c r="R198" s="182"/>
      <c r="S198" s="182"/>
      <c r="T198" s="182"/>
      <c r="U198" s="182"/>
      <c r="V198" s="182"/>
      <c r="W198" s="182"/>
      <c r="X198" s="182"/>
      <c r="Y198" s="182"/>
      <c r="Z198" s="182"/>
      <c r="AA198" s="182"/>
      <c r="AB198" s="182"/>
      <c r="AC198" s="182"/>
      <c r="AD198" s="182"/>
      <c r="AE198" s="184"/>
      <c r="AF198" s="183"/>
      <c r="AG198" s="183"/>
      <c r="AH198" s="183"/>
      <c r="AI198" s="183"/>
      <c r="AJ198" s="182"/>
      <c r="AK198" s="184"/>
      <c r="AL198" s="182"/>
      <c r="AM198" s="182"/>
      <c r="AN198" s="182"/>
      <c r="AO198" s="182"/>
      <c r="AP198" s="182"/>
      <c r="AQ198" s="182"/>
      <c r="AR198" s="182"/>
    </row>
    <row r="199" spans="1:44">
      <c r="A199" s="182"/>
      <c r="B199" s="182"/>
      <c r="C199" s="182"/>
      <c r="D199" s="182"/>
      <c r="E199" s="182"/>
      <c r="F199" s="182"/>
      <c r="G199" s="182"/>
      <c r="H199" s="182"/>
      <c r="I199" s="182"/>
      <c r="J199" s="182"/>
      <c r="K199" s="182"/>
      <c r="L199" s="182"/>
      <c r="M199" s="182"/>
      <c r="N199" s="177"/>
      <c r="O199" s="182"/>
      <c r="P199" s="179"/>
      <c r="Q199" s="182"/>
      <c r="R199" s="182"/>
      <c r="S199" s="182"/>
      <c r="T199" s="182"/>
      <c r="U199" s="182"/>
      <c r="V199" s="182"/>
      <c r="W199" s="182"/>
      <c r="X199" s="182"/>
      <c r="Y199" s="182"/>
      <c r="Z199" s="182"/>
      <c r="AA199" s="182"/>
      <c r="AB199" s="182"/>
      <c r="AC199" s="182"/>
      <c r="AD199" s="182"/>
      <c r="AE199" s="184"/>
      <c r="AF199" s="183"/>
      <c r="AG199" s="183"/>
      <c r="AH199" s="183"/>
      <c r="AI199" s="183"/>
      <c r="AJ199" s="182"/>
      <c r="AK199" s="184"/>
      <c r="AL199" s="182"/>
      <c r="AM199" s="182"/>
      <c r="AN199" s="182"/>
      <c r="AO199" s="182"/>
      <c r="AP199" s="182"/>
      <c r="AQ199" s="182"/>
      <c r="AR199" s="182"/>
    </row>
    <row r="200" spans="1:44">
      <c r="A200" s="182"/>
      <c r="B200" s="182"/>
      <c r="C200" s="182"/>
      <c r="D200" s="182"/>
      <c r="E200" s="182"/>
      <c r="F200" s="182"/>
      <c r="G200" s="182"/>
      <c r="H200" s="182"/>
      <c r="I200" s="182"/>
      <c r="J200" s="182"/>
      <c r="K200" s="182"/>
      <c r="L200" s="182"/>
      <c r="M200" s="182"/>
      <c r="N200" s="177"/>
      <c r="O200" s="182"/>
      <c r="P200" s="179"/>
      <c r="Q200" s="182"/>
      <c r="R200" s="182"/>
      <c r="S200" s="182"/>
      <c r="T200" s="182"/>
      <c r="U200" s="182"/>
      <c r="V200" s="182"/>
      <c r="W200" s="182"/>
      <c r="X200" s="182"/>
      <c r="Y200" s="182"/>
      <c r="Z200" s="182"/>
      <c r="AA200" s="182"/>
      <c r="AB200" s="182"/>
      <c r="AC200" s="182"/>
      <c r="AD200" s="182"/>
      <c r="AE200" s="184"/>
      <c r="AF200" s="183"/>
      <c r="AG200" s="183"/>
      <c r="AH200" s="183"/>
      <c r="AI200" s="183"/>
      <c r="AJ200" s="182"/>
      <c r="AK200" s="184"/>
      <c r="AL200" s="182"/>
      <c r="AM200" s="182"/>
      <c r="AN200" s="182"/>
      <c r="AO200" s="182"/>
      <c r="AP200" s="182"/>
      <c r="AQ200" s="182"/>
      <c r="AR200" s="182"/>
    </row>
    <row r="201" spans="1:44">
      <c r="A201" s="182"/>
      <c r="B201" s="182"/>
      <c r="C201" s="182"/>
      <c r="D201" s="182"/>
      <c r="E201" s="182"/>
      <c r="F201" s="182"/>
      <c r="G201" s="182"/>
      <c r="H201" s="182"/>
      <c r="I201" s="182"/>
      <c r="J201" s="182"/>
      <c r="K201" s="182"/>
      <c r="L201" s="182"/>
      <c r="M201" s="182"/>
      <c r="N201" s="177"/>
      <c r="O201" s="182"/>
      <c r="P201" s="179"/>
      <c r="Q201" s="182"/>
      <c r="R201" s="182"/>
      <c r="S201" s="182"/>
      <c r="T201" s="182"/>
      <c r="U201" s="182"/>
      <c r="V201" s="182"/>
      <c r="W201" s="182"/>
      <c r="X201" s="182"/>
      <c r="Y201" s="182"/>
      <c r="Z201" s="182"/>
      <c r="AA201" s="182"/>
      <c r="AB201" s="182"/>
      <c r="AC201" s="182"/>
      <c r="AD201" s="182"/>
      <c r="AE201" s="184"/>
      <c r="AF201" s="183"/>
      <c r="AG201" s="183"/>
      <c r="AH201" s="183"/>
      <c r="AI201" s="183"/>
      <c r="AJ201" s="182"/>
      <c r="AK201" s="184"/>
      <c r="AL201" s="182"/>
      <c r="AM201" s="182"/>
      <c r="AN201" s="182"/>
      <c r="AO201" s="182"/>
      <c r="AP201" s="182"/>
      <c r="AQ201" s="182"/>
      <c r="AR201" s="182"/>
    </row>
    <row r="202" spans="1:44">
      <c r="A202" s="182"/>
      <c r="B202" s="182"/>
      <c r="C202" s="182"/>
      <c r="D202" s="182"/>
      <c r="E202" s="182"/>
      <c r="F202" s="182"/>
      <c r="G202" s="182"/>
      <c r="H202" s="182"/>
      <c r="I202" s="182"/>
      <c r="J202" s="182"/>
      <c r="K202" s="182"/>
      <c r="L202" s="182"/>
      <c r="M202" s="182"/>
      <c r="N202" s="177"/>
      <c r="O202" s="182"/>
      <c r="P202" s="179"/>
      <c r="Q202" s="182"/>
      <c r="R202" s="182"/>
      <c r="S202" s="182"/>
      <c r="T202" s="182"/>
      <c r="U202" s="182"/>
      <c r="V202" s="182"/>
      <c r="W202" s="182"/>
      <c r="X202" s="182"/>
      <c r="Y202" s="182"/>
      <c r="Z202" s="182"/>
      <c r="AA202" s="182"/>
      <c r="AB202" s="182"/>
      <c r="AC202" s="182"/>
      <c r="AD202" s="182"/>
      <c r="AE202" s="184"/>
      <c r="AF202" s="183"/>
      <c r="AG202" s="183"/>
      <c r="AH202" s="183"/>
      <c r="AI202" s="183"/>
      <c r="AJ202" s="182"/>
      <c r="AK202" s="184"/>
      <c r="AL202" s="182"/>
      <c r="AM202" s="182"/>
      <c r="AN202" s="182"/>
      <c r="AO202" s="182"/>
      <c r="AP202" s="182"/>
      <c r="AQ202" s="182"/>
      <c r="AR202" s="182"/>
    </row>
    <row r="203" spans="1:44">
      <c r="A203" s="182"/>
      <c r="B203" s="182"/>
      <c r="C203" s="182"/>
      <c r="D203" s="182"/>
      <c r="E203" s="182"/>
      <c r="F203" s="182"/>
      <c r="G203" s="182"/>
      <c r="H203" s="182"/>
      <c r="I203" s="182"/>
      <c r="J203" s="182"/>
      <c r="K203" s="182"/>
      <c r="L203" s="182"/>
      <c r="M203" s="182"/>
      <c r="N203" s="177"/>
      <c r="O203" s="182"/>
      <c r="P203" s="179"/>
      <c r="Q203" s="182"/>
      <c r="R203" s="182"/>
      <c r="S203" s="182"/>
      <c r="T203" s="182"/>
      <c r="U203" s="182"/>
      <c r="V203" s="182"/>
      <c r="W203" s="182"/>
      <c r="X203" s="182"/>
      <c r="Y203" s="182"/>
      <c r="Z203" s="182"/>
      <c r="AA203" s="182"/>
      <c r="AB203" s="182"/>
      <c r="AC203" s="182"/>
      <c r="AD203" s="182"/>
      <c r="AE203" s="184"/>
      <c r="AF203" s="183"/>
      <c r="AG203" s="183"/>
      <c r="AH203" s="183"/>
      <c r="AI203" s="183"/>
      <c r="AJ203" s="182"/>
      <c r="AK203" s="184"/>
      <c r="AL203" s="182"/>
      <c r="AM203" s="182"/>
      <c r="AN203" s="182"/>
      <c r="AO203" s="182"/>
      <c r="AP203" s="182"/>
      <c r="AQ203" s="182"/>
      <c r="AR203" s="182"/>
    </row>
    <row r="204" spans="1:44">
      <c r="A204" s="182"/>
      <c r="B204" s="182"/>
      <c r="C204" s="182"/>
      <c r="D204" s="182"/>
      <c r="E204" s="182"/>
      <c r="F204" s="182"/>
      <c r="G204" s="182"/>
      <c r="H204" s="182"/>
      <c r="I204" s="182"/>
      <c r="J204" s="182"/>
      <c r="K204" s="182"/>
      <c r="L204" s="182"/>
      <c r="M204" s="182"/>
      <c r="N204" s="177"/>
      <c r="O204" s="182"/>
      <c r="P204" s="179"/>
      <c r="Q204" s="182"/>
      <c r="R204" s="182"/>
      <c r="S204" s="182"/>
      <c r="T204" s="182"/>
      <c r="U204" s="182"/>
      <c r="V204" s="182"/>
      <c r="W204" s="182"/>
      <c r="X204" s="182"/>
      <c r="Y204" s="182"/>
      <c r="Z204" s="182"/>
      <c r="AA204" s="182"/>
      <c r="AB204" s="182"/>
      <c r="AC204" s="182"/>
      <c r="AD204" s="182"/>
      <c r="AE204" s="184"/>
      <c r="AF204" s="183"/>
      <c r="AG204" s="183"/>
      <c r="AH204" s="183"/>
      <c r="AI204" s="183"/>
      <c r="AJ204" s="182"/>
      <c r="AK204" s="184"/>
      <c r="AL204" s="182"/>
      <c r="AM204" s="182"/>
      <c r="AN204" s="182"/>
      <c r="AO204" s="182"/>
      <c r="AP204" s="182"/>
      <c r="AQ204" s="182"/>
      <c r="AR204" s="182"/>
    </row>
    <row r="205" spans="1:44">
      <c r="A205" s="182"/>
      <c r="B205" s="182"/>
      <c r="C205" s="182"/>
      <c r="D205" s="182"/>
      <c r="E205" s="182"/>
      <c r="F205" s="182"/>
      <c r="G205" s="182"/>
      <c r="H205" s="182"/>
      <c r="I205" s="182"/>
      <c r="J205" s="182"/>
      <c r="K205" s="182"/>
      <c r="L205" s="182"/>
      <c r="M205" s="182"/>
      <c r="N205" s="177"/>
      <c r="O205" s="182"/>
      <c r="P205" s="179"/>
      <c r="Q205" s="182"/>
      <c r="R205" s="182"/>
      <c r="S205" s="182"/>
      <c r="T205" s="182"/>
      <c r="U205" s="182"/>
      <c r="V205" s="182"/>
      <c r="W205" s="182"/>
      <c r="X205" s="182"/>
      <c r="Y205" s="182"/>
      <c r="Z205" s="182"/>
      <c r="AA205" s="182"/>
      <c r="AB205" s="182"/>
      <c r="AC205" s="182"/>
      <c r="AD205" s="182"/>
      <c r="AE205" s="184"/>
      <c r="AF205" s="183"/>
      <c r="AG205" s="183"/>
      <c r="AH205" s="183"/>
      <c r="AI205" s="183"/>
      <c r="AJ205" s="182"/>
      <c r="AK205" s="184"/>
      <c r="AL205" s="182"/>
      <c r="AM205" s="182"/>
      <c r="AN205" s="182"/>
      <c r="AO205" s="182"/>
      <c r="AP205" s="182"/>
      <c r="AQ205" s="182"/>
      <c r="AR205" s="182"/>
    </row>
    <row r="206" spans="1:44">
      <c r="A206" s="182"/>
      <c r="B206" s="182"/>
      <c r="C206" s="182"/>
      <c r="D206" s="182"/>
      <c r="E206" s="182"/>
      <c r="F206" s="182"/>
      <c r="G206" s="182"/>
      <c r="H206" s="182"/>
      <c r="I206" s="182"/>
      <c r="J206" s="182"/>
      <c r="K206" s="182"/>
      <c r="L206" s="182"/>
      <c r="M206" s="182"/>
      <c r="N206" s="177"/>
      <c r="O206" s="182"/>
      <c r="P206" s="179"/>
      <c r="Q206" s="182"/>
      <c r="R206" s="182"/>
      <c r="S206" s="182"/>
      <c r="T206" s="182"/>
      <c r="U206" s="182"/>
      <c r="V206" s="182"/>
      <c r="W206" s="182"/>
      <c r="X206" s="182"/>
      <c r="Y206" s="182"/>
      <c r="Z206" s="182"/>
      <c r="AA206" s="182"/>
      <c r="AB206" s="182"/>
      <c r="AC206" s="182"/>
      <c r="AD206" s="182"/>
      <c r="AE206" s="184"/>
      <c r="AF206" s="183"/>
      <c r="AG206" s="183"/>
      <c r="AH206" s="183"/>
      <c r="AI206" s="183"/>
      <c r="AJ206" s="182"/>
      <c r="AK206" s="184"/>
      <c r="AL206" s="182"/>
      <c r="AM206" s="182"/>
      <c r="AN206" s="182"/>
      <c r="AO206" s="182"/>
      <c r="AP206" s="182"/>
      <c r="AQ206" s="182"/>
      <c r="AR206" s="182"/>
    </row>
    <row r="207" spans="1:44">
      <c r="A207" s="182"/>
      <c r="B207" s="182"/>
      <c r="C207" s="182"/>
      <c r="D207" s="182"/>
      <c r="E207" s="182"/>
      <c r="F207" s="182"/>
      <c r="G207" s="182"/>
      <c r="H207" s="182"/>
      <c r="I207" s="182"/>
      <c r="J207" s="182"/>
      <c r="K207" s="182"/>
      <c r="L207" s="182"/>
      <c r="M207" s="182"/>
      <c r="N207" s="177"/>
      <c r="O207" s="182"/>
      <c r="P207" s="179"/>
      <c r="Q207" s="182"/>
      <c r="R207" s="182"/>
      <c r="S207" s="182"/>
      <c r="T207" s="182"/>
      <c r="U207" s="182"/>
      <c r="V207" s="182"/>
      <c r="W207" s="182"/>
      <c r="X207" s="182"/>
      <c r="Y207" s="182"/>
      <c r="Z207" s="182"/>
      <c r="AA207" s="182"/>
      <c r="AB207" s="182"/>
      <c r="AC207" s="182"/>
      <c r="AD207" s="182"/>
      <c r="AE207" s="184"/>
      <c r="AF207" s="183"/>
      <c r="AG207" s="183"/>
      <c r="AH207" s="183"/>
      <c r="AI207" s="183"/>
      <c r="AJ207" s="182"/>
      <c r="AK207" s="184"/>
      <c r="AL207" s="182"/>
      <c r="AM207" s="182"/>
      <c r="AN207" s="182"/>
      <c r="AO207" s="182"/>
      <c r="AP207" s="182"/>
      <c r="AQ207" s="182"/>
      <c r="AR207" s="182"/>
    </row>
    <row r="208" spans="1:44">
      <c r="A208" s="182"/>
      <c r="B208" s="182"/>
      <c r="C208" s="182"/>
      <c r="D208" s="182"/>
      <c r="E208" s="182"/>
      <c r="F208" s="182"/>
      <c r="G208" s="182"/>
      <c r="H208" s="182"/>
      <c r="I208" s="182"/>
      <c r="J208" s="182"/>
      <c r="K208" s="182"/>
      <c r="L208" s="182"/>
      <c r="M208" s="182"/>
      <c r="N208" s="177"/>
      <c r="O208" s="182"/>
      <c r="P208" s="179"/>
      <c r="Q208" s="182"/>
      <c r="R208" s="182"/>
      <c r="S208" s="182"/>
      <c r="T208" s="182"/>
      <c r="U208" s="182"/>
      <c r="V208" s="182"/>
      <c r="W208" s="182"/>
      <c r="X208" s="182"/>
      <c r="Y208" s="182"/>
      <c r="Z208" s="182"/>
      <c r="AA208" s="182"/>
      <c r="AB208" s="182"/>
      <c r="AC208" s="182"/>
      <c r="AD208" s="182"/>
      <c r="AE208" s="184"/>
      <c r="AF208" s="183"/>
      <c r="AG208" s="183"/>
      <c r="AH208" s="183"/>
      <c r="AI208" s="183"/>
      <c r="AJ208" s="182"/>
      <c r="AK208" s="184"/>
      <c r="AL208" s="182"/>
      <c r="AM208" s="182"/>
      <c r="AN208" s="182"/>
      <c r="AO208" s="182"/>
      <c r="AP208" s="182"/>
      <c r="AQ208" s="182"/>
      <c r="AR208" s="182"/>
    </row>
    <row r="209" spans="1:44">
      <c r="A209" s="182"/>
      <c r="B209" s="182"/>
      <c r="C209" s="182"/>
      <c r="D209" s="182"/>
      <c r="E209" s="182"/>
      <c r="F209" s="182"/>
      <c r="G209" s="182"/>
      <c r="H209" s="182"/>
      <c r="I209" s="182"/>
      <c r="J209" s="182"/>
      <c r="K209" s="182"/>
      <c r="L209" s="182"/>
      <c r="M209" s="182"/>
      <c r="N209" s="177"/>
      <c r="O209" s="182"/>
      <c r="P209" s="179"/>
      <c r="Q209" s="182"/>
      <c r="R209" s="182"/>
      <c r="S209" s="182"/>
      <c r="T209" s="182"/>
      <c r="U209" s="182"/>
      <c r="V209" s="182"/>
      <c r="W209" s="182"/>
      <c r="X209" s="182"/>
      <c r="Y209" s="182"/>
      <c r="Z209" s="182"/>
      <c r="AA209" s="182"/>
      <c r="AB209" s="182"/>
      <c r="AC209" s="182"/>
      <c r="AD209" s="182"/>
      <c r="AE209" s="184"/>
      <c r="AF209" s="183"/>
      <c r="AG209" s="183"/>
      <c r="AH209" s="183"/>
      <c r="AI209" s="183"/>
      <c r="AJ209" s="182"/>
      <c r="AK209" s="184"/>
      <c r="AL209" s="182"/>
      <c r="AM209" s="182"/>
      <c r="AN209" s="182"/>
      <c r="AO209" s="182"/>
      <c r="AP209" s="182"/>
      <c r="AQ209" s="182"/>
      <c r="AR209" s="182"/>
    </row>
    <row r="210" spans="1:44">
      <c r="A210" s="182"/>
      <c r="B210" s="182"/>
      <c r="C210" s="182"/>
      <c r="D210" s="182"/>
      <c r="E210" s="182"/>
      <c r="F210" s="182"/>
      <c r="G210" s="182"/>
      <c r="H210" s="182"/>
      <c r="I210" s="182"/>
      <c r="J210" s="182"/>
      <c r="K210" s="182"/>
      <c r="L210" s="182"/>
      <c r="M210" s="182"/>
      <c r="N210" s="177"/>
      <c r="O210" s="182"/>
      <c r="P210" s="179"/>
      <c r="Q210" s="182"/>
      <c r="R210" s="182"/>
      <c r="S210" s="182"/>
      <c r="T210" s="182"/>
      <c r="U210" s="182"/>
      <c r="V210" s="182"/>
      <c r="W210" s="182"/>
      <c r="X210" s="182"/>
      <c r="Y210" s="182"/>
      <c r="Z210" s="182"/>
      <c r="AA210" s="182"/>
      <c r="AB210" s="182"/>
      <c r="AC210" s="182"/>
      <c r="AD210" s="182"/>
      <c r="AE210" s="184"/>
      <c r="AF210" s="183"/>
      <c r="AG210" s="183"/>
      <c r="AH210" s="183"/>
      <c r="AI210" s="183"/>
      <c r="AJ210" s="182"/>
      <c r="AK210" s="184"/>
      <c r="AL210" s="182"/>
      <c r="AM210" s="182"/>
      <c r="AN210" s="182"/>
      <c r="AO210" s="182"/>
      <c r="AP210" s="182"/>
      <c r="AQ210" s="182"/>
      <c r="AR210" s="182"/>
    </row>
    <row r="211" spans="1:44">
      <c r="A211" s="182"/>
      <c r="B211" s="182"/>
      <c r="C211" s="182"/>
      <c r="D211" s="182"/>
      <c r="E211" s="182"/>
      <c r="F211" s="182"/>
      <c r="G211" s="182"/>
      <c r="H211" s="182"/>
      <c r="I211" s="182"/>
      <c r="J211" s="182"/>
      <c r="K211" s="182"/>
      <c r="L211" s="182"/>
      <c r="M211" s="182"/>
      <c r="N211" s="177"/>
      <c r="O211" s="182"/>
      <c r="P211" s="179"/>
      <c r="Q211" s="182"/>
      <c r="R211" s="182"/>
      <c r="S211" s="182"/>
      <c r="T211" s="182"/>
      <c r="U211" s="182"/>
      <c r="V211" s="182"/>
      <c r="W211" s="182"/>
      <c r="X211" s="182"/>
      <c r="Y211" s="182"/>
      <c r="Z211" s="182"/>
      <c r="AA211" s="182"/>
      <c r="AB211" s="182"/>
      <c r="AC211" s="182"/>
      <c r="AD211" s="182"/>
      <c r="AE211" s="184"/>
      <c r="AF211" s="183"/>
      <c r="AG211" s="183"/>
      <c r="AH211" s="183"/>
      <c r="AI211" s="183"/>
      <c r="AJ211" s="182"/>
      <c r="AK211" s="184"/>
      <c r="AL211" s="182"/>
      <c r="AM211" s="182"/>
      <c r="AN211" s="182"/>
      <c r="AO211" s="182"/>
      <c r="AP211" s="182"/>
      <c r="AQ211" s="182"/>
      <c r="AR211" s="182"/>
    </row>
    <row r="212" spans="1:44">
      <c r="A212" s="182"/>
      <c r="B212" s="182"/>
      <c r="C212" s="182"/>
      <c r="D212" s="182"/>
      <c r="E212" s="182"/>
      <c r="F212" s="182"/>
      <c r="G212" s="182"/>
      <c r="H212" s="182"/>
      <c r="I212" s="182"/>
      <c r="J212" s="182"/>
      <c r="K212" s="182"/>
      <c r="L212" s="182"/>
      <c r="M212" s="182"/>
      <c r="N212" s="177"/>
      <c r="O212" s="182"/>
      <c r="P212" s="179"/>
      <c r="Q212" s="182"/>
      <c r="R212" s="182"/>
      <c r="S212" s="182"/>
      <c r="T212" s="182"/>
      <c r="U212" s="182"/>
      <c r="V212" s="182"/>
      <c r="W212" s="182"/>
      <c r="X212" s="182"/>
      <c r="Y212" s="182"/>
      <c r="Z212" s="182"/>
      <c r="AA212" s="182"/>
      <c r="AB212" s="182"/>
      <c r="AC212" s="182"/>
      <c r="AD212" s="182"/>
      <c r="AE212" s="184"/>
      <c r="AF212" s="183"/>
      <c r="AG212" s="183"/>
      <c r="AH212" s="183"/>
      <c r="AI212" s="183"/>
      <c r="AJ212" s="182"/>
      <c r="AK212" s="184"/>
      <c r="AL212" s="182"/>
      <c r="AM212" s="182"/>
      <c r="AN212" s="182"/>
      <c r="AO212" s="182"/>
      <c r="AP212" s="182"/>
      <c r="AQ212" s="182"/>
      <c r="AR212" s="182"/>
    </row>
    <row r="213" spans="1:44">
      <c r="A213" s="182"/>
      <c r="B213" s="182"/>
      <c r="C213" s="182"/>
      <c r="D213" s="182"/>
      <c r="E213" s="182"/>
      <c r="F213" s="182"/>
      <c r="G213" s="182"/>
      <c r="H213" s="182"/>
      <c r="I213" s="182"/>
      <c r="J213" s="182"/>
      <c r="K213" s="182"/>
      <c r="L213" s="182"/>
      <c r="M213" s="182"/>
      <c r="N213" s="177"/>
      <c r="O213" s="182"/>
      <c r="P213" s="179"/>
      <c r="Q213" s="182"/>
      <c r="R213" s="182"/>
      <c r="S213" s="182"/>
      <c r="T213" s="182"/>
      <c r="U213" s="182"/>
      <c r="V213" s="182"/>
      <c r="W213" s="182"/>
      <c r="X213" s="182"/>
      <c r="Y213" s="182"/>
      <c r="Z213" s="182"/>
      <c r="AA213" s="182"/>
      <c r="AB213" s="182"/>
      <c r="AC213" s="182"/>
      <c r="AD213" s="182"/>
      <c r="AE213" s="184"/>
      <c r="AF213" s="183"/>
      <c r="AG213" s="183"/>
      <c r="AH213" s="183"/>
      <c r="AI213" s="183"/>
      <c r="AJ213" s="182"/>
      <c r="AK213" s="184"/>
      <c r="AL213" s="182"/>
      <c r="AM213" s="182"/>
      <c r="AN213" s="182"/>
      <c r="AO213" s="182"/>
      <c r="AP213" s="182"/>
      <c r="AQ213" s="182"/>
      <c r="AR213" s="182"/>
    </row>
    <row r="214" spans="1:44">
      <c r="A214" s="182"/>
      <c r="B214" s="182"/>
      <c r="C214" s="182"/>
      <c r="D214" s="182"/>
      <c r="E214" s="182"/>
      <c r="F214" s="182"/>
      <c r="G214" s="182"/>
      <c r="H214" s="182"/>
      <c r="I214" s="182"/>
      <c r="J214" s="182"/>
      <c r="K214" s="182"/>
      <c r="L214" s="182"/>
      <c r="M214" s="182"/>
      <c r="N214" s="177"/>
      <c r="O214" s="182"/>
      <c r="P214" s="179"/>
      <c r="Q214" s="182"/>
      <c r="R214" s="182"/>
      <c r="S214" s="182"/>
      <c r="T214" s="182"/>
      <c r="U214" s="182"/>
      <c r="V214" s="182"/>
      <c r="W214" s="182"/>
      <c r="X214" s="182"/>
      <c r="Y214" s="182"/>
      <c r="Z214" s="182"/>
      <c r="AA214" s="182"/>
      <c r="AB214" s="182"/>
      <c r="AC214" s="182"/>
      <c r="AD214" s="182"/>
      <c r="AE214" s="184"/>
      <c r="AF214" s="183"/>
      <c r="AG214" s="183"/>
      <c r="AH214" s="183"/>
      <c r="AI214" s="183"/>
      <c r="AJ214" s="182"/>
      <c r="AK214" s="184"/>
      <c r="AL214" s="182"/>
      <c r="AM214" s="182"/>
      <c r="AN214" s="182"/>
      <c r="AO214" s="182"/>
      <c r="AP214" s="182"/>
      <c r="AQ214" s="182"/>
      <c r="AR214" s="182"/>
    </row>
    <row r="215" spans="1:44">
      <c r="A215" s="182"/>
      <c r="B215" s="182"/>
      <c r="C215" s="182"/>
      <c r="D215" s="182"/>
      <c r="E215" s="182"/>
      <c r="F215" s="182"/>
      <c r="G215" s="182"/>
      <c r="H215" s="182"/>
      <c r="I215" s="182"/>
      <c r="J215" s="182"/>
      <c r="K215" s="182"/>
      <c r="L215" s="182"/>
      <c r="M215" s="182"/>
      <c r="N215" s="177"/>
      <c r="O215" s="182"/>
      <c r="P215" s="179"/>
      <c r="Q215" s="182"/>
      <c r="R215" s="182"/>
      <c r="S215" s="182"/>
      <c r="T215" s="182"/>
      <c r="U215" s="182"/>
      <c r="V215" s="182"/>
      <c r="W215" s="182"/>
      <c r="X215" s="182"/>
      <c r="Y215" s="182"/>
      <c r="Z215" s="182"/>
      <c r="AA215" s="182"/>
      <c r="AB215" s="182"/>
      <c r="AC215" s="182"/>
      <c r="AD215" s="182"/>
      <c r="AE215" s="184"/>
      <c r="AF215" s="183"/>
      <c r="AG215" s="183"/>
      <c r="AH215" s="183"/>
      <c r="AI215" s="183"/>
      <c r="AJ215" s="182"/>
      <c r="AK215" s="184"/>
      <c r="AL215" s="182"/>
      <c r="AM215" s="182"/>
      <c r="AN215" s="182"/>
      <c r="AO215" s="182"/>
      <c r="AP215" s="182"/>
      <c r="AQ215" s="182"/>
      <c r="AR215" s="182"/>
    </row>
    <row r="216" spans="1:44">
      <c r="A216" s="182"/>
      <c r="B216" s="182"/>
      <c r="C216" s="182"/>
      <c r="D216" s="182"/>
      <c r="E216" s="182"/>
      <c r="F216" s="182"/>
      <c r="G216" s="182"/>
      <c r="H216" s="182"/>
      <c r="I216" s="182"/>
      <c r="J216" s="182"/>
      <c r="K216" s="182"/>
      <c r="L216" s="182"/>
      <c r="M216" s="182"/>
      <c r="N216" s="177"/>
      <c r="O216" s="182"/>
      <c r="P216" s="179"/>
      <c r="Q216" s="182"/>
      <c r="R216" s="182"/>
      <c r="S216" s="182"/>
      <c r="T216" s="182"/>
      <c r="U216" s="182"/>
      <c r="V216" s="182"/>
      <c r="W216" s="182"/>
      <c r="X216" s="182"/>
      <c r="Y216" s="182"/>
      <c r="Z216" s="182"/>
      <c r="AA216" s="182"/>
      <c r="AB216" s="182"/>
      <c r="AC216" s="182"/>
      <c r="AD216" s="182"/>
      <c r="AE216" s="184"/>
      <c r="AF216" s="183"/>
      <c r="AG216" s="183"/>
      <c r="AH216" s="183"/>
      <c r="AI216" s="183"/>
      <c r="AJ216" s="182"/>
      <c r="AK216" s="184"/>
      <c r="AL216" s="182"/>
      <c r="AM216" s="182"/>
      <c r="AN216" s="182"/>
      <c r="AO216" s="182"/>
      <c r="AP216" s="182"/>
      <c r="AQ216" s="182"/>
      <c r="AR216" s="182"/>
    </row>
    <row r="217" spans="1:44">
      <c r="A217" s="182"/>
      <c r="B217" s="182"/>
      <c r="C217" s="182"/>
      <c r="D217" s="182"/>
      <c r="E217" s="182"/>
      <c r="F217" s="182"/>
      <c r="G217" s="182"/>
      <c r="H217" s="182"/>
      <c r="I217" s="182"/>
      <c r="J217" s="182"/>
      <c r="K217" s="182"/>
      <c r="L217" s="182"/>
      <c r="M217" s="182"/>
      <c r="N217" s="177"/>
      <c r="O217" s="182"/>
      <c r="P217" s="179"/>
      <c r="Q217" s="182"/>
      <c r="R217" s="182"/>
      <c r="S217" s="182"/>
      <c r="T217" s="182"/>
      <c r="U217" s="182"/>
      <c r="V217" s="182"/>
      <c r="W217" s="182"/>
      <c r="X217" s="182"/>
      <c r="Y217" s="182"/>
      <c r="Z217" s="182"/>
      <c r="AA217" s="182"/>
      <c r="AB217" s="182"/>
      <c r="AC217" s="182"/>
      <c r="AD217" s="182"/>
      <c r="AE217" s="184"/>
      <c r="AF217" s="183"/>
      <c r="AG217" s="183"/>
      <c r="AH217" s="183"/>
      <c r="AI217" s="183"/>
      <c r="AJ217" s="182"/>
      <c r="AK217" s="184"/>
      <c r="AL217" s="182"/>
      <c r="AM217" s="182"/>
      <c r="AN217" s="182"/>
      <c r="AO217" s="182"/>
      <c r="AP217" s="182"/>
      <c r="AQ217" s="182"/>
      <c r="AR217" s="182"/>
    </row>
    <row r="218" spans="1:44">
      <c r="A218" s="182"/>
      <c r="B218" s="182"/>
      <c r="C218" s="182"/>
      <c r="D218" s="182"/>
      <c r="E218" s="182"/>
      <c r="F218" s="182"/>
      <c r="G218" s="182"/>
      <c r="H218" s="182"/>
      <c r="I218" s="182"/>
      <c r="J218" s="182"/>
      <c r="K218" s="182"/>
      <c r="L218" s="182"/>
      <c r="M218" s="182"/>
      <c r="N218" s="177"/>
      <c r="O218" s="182"/>
      <c r="P218" s="179"/>
      <c r="Q218" s="182"/>
      <c r="R218" s="182"/>
      <c r="S218" s="182"/>
      <c r="T218" s="182"/>
      <c r="U218" s="182"/>
      <c r="V218" s="182"/>
      <c r="W218" s="182"/>
      <c r="X218" s="182"/>
      <c r="Y218" s="182"/>
      <c r="Z218" s="182"/>
      <c r="AA218" s="182"/>
      <c r="AB218" s="182"/>
      <c r="AC218" s="182"/>
      <c r="AD218" s="182"/>
      <c r="AE218" s="184"/>
      <c r="AF218" s="183"/>
      <c r="AG218" s="183"/>
      <c r="AH218" s="183"/>
      <c r="AI218" s="183"/>
      <c r="AJ218" s="182"/>
      <c r="AK218" s="184"/>
      <c r="AL218" s="182"/>
      <c r="AM218" s="182"/>
      <c r="AN218" s="182"/>
      <c r="AO218" s="182"/>
      <c r="AP218" s="182"/>
      <c r="AQ218" s="182"/>
      <c r="AR218" s="182"/>
    </row>
    <row r="219" spans="1:44">
      <c r="A219" s="182"/>
      <c r="B219" s="182"/>
      <c r="C219" s="182"/>
      <c r="D219" s="182"/>
      <c r="E219" s="182"/>
      <c r="F219" s="182"/>
      <c r="G219" s="182"/>
      <c r="H219" s="182"/>
      <c r="I219" s="182"/>
      <c r="J219" s="182"/>
      <c r="K219" s="182"/>
      <c r="L219" s="182"/>
      <c r="M219" s="182"/>
      <c r="N219" s="177"/>
      <c r="O219" s="182"/>
      <c r="P219" s="179"/>
      <c r="Q219" s="182"/>
      <c r="R219" s="182"/>
      <c r="S219" s="182"/>
      <c r="T219" s="182"/>
      <c r="U219" s="182"/>
      <c r="V219" s="182"/>
      <c r="W219" s="182"/>
      <c r="X219" s="182"/>
      <c r="Y219" s="182"/>
      <c r="Z219" s="182"/>
      <c r="AA219" s="182"/>
      <c r="AB219" s="182"/>
      <c r="AC219" s="182"/>
      <c r="AD219" s="182"/>
      <c r="AE219" s="184"/>
      <c r="AF219" s="183"/>
      <c r="AG219" s="183"/>
      <c r="AH219" s="183"/>
      <c r="AI219" s="183"/>
      <c r="AJ219" s="182"/>
      <c r="AK219" s="184"/>
      <c r="AL219" s="182"/>
      <c r="AM219" s="182"/>
      <c r="AN219" s="182"/>
      <c r="AO219" s="182"/>
      <c r="AP219" s="182"/>
      <c r="AQ219" s="182"/>
      <c r="AR219" s="182"/>
    </row>
    <row r="220" spans="1:44">
      <c r="A220" s="182"/>
      <c r="B220" s="182"/>
      <c r="C220" s="182"/>
      <c r="D220" s="182"/>
      <c r="E220" s="182"/>
      <c r="F220" s="182"/>
      <c r="G220" s="182"/>
      <c r="H220" s="182"/>
      <c r="I220" s="182"/>
      <c r="J220" s="182"/>
      <c r="K220" s="182"/>
      <c r="L220" s="182"/>
      <c r="M220" s="182"/>
      <c r="N220" s="177"/>
      <c r="O220" s="182"/>
      <c r="P220" s="179"/>
      <c r="Q220" s="182"/>
      <c r="R220" s="182"/>
      <c r="S220" s="182"/>
      <c r="T220" s="182"/>
      <c r="U220" s="182"/>
      <c r="V220" s="182"/>
      <c r="W220" s="182"/>
      <c r="X220" s="182"/>
      <c r="Y220" s="182"/>
      <c r="Z220" s="182"/>
      <c r="AA220" s="182"/>
      <c r="AB220" s="182"/>
      <c r="AC220" s="182"/>
      <c r="AD220" s="182"/>
      <c r="AE220" s="184"/>
      <c r="AF220" s="183"/>
      <c r="AG220" s="183"/>
      <c r="AH220" s="183"/>
      <c r="AI220" s="183"/>
      <c r="AJ220" s="182"/>
      <c r="AK220" s="184"/>
      <c r="AL220" s="182"/>
      <c r="AM220" s="182"/>
      <c r="AN220" s="182"/>
      <c r="AO220" s="182"/>
      <c r="AP220" s="182"/>
      <c r="AQ220" s="182"/>
      <c r="AR220" s="182"/>
    </row>
    <row r="221" spans="1:44">
      <c r="A221" s="182"/>
      <c r="B221" s="182"/>
      <c r="C221" s="182"/>
      <c r="D221" s="182"/>
      <c r="E221" s="182"/>
      <c r="F221" s="182"/>
      <c r="G221" s="182"/>
      <c r="H221" s="182"/>
      <c r="I221" s="182"/>
      <c r="J221" s="182"/>
      <c r="K221" s="182"/>
      <c r="L221" s="182"/>
      <c r="M221" s="182"/>
      <c r="N221" s="177"/>
      <c r="O221" s="182"/>
      <c r="P221" s="179"/>
      <c r="Q221" s="182"/>
      <c r="R221" s="182"/>
      <c r="S221" s="182"/>
      <c r="T221" s="182"/>
      <c r="U221" s="182"/>
      <c r="V221" s="182"/>
      <c r="W221" s="182"/>
      <c r="X221" s="182"/>
      <c r="Y221" s="182"/>
      <c r="Z221" s="182"/>
      <c r="AA221" s="182"/>
      <c r="AB221" s="182"/>
      <c r="AC221" s="182"/>
      <c r="AD221" s="182"/>
      <c r="AE221" s="184"/>
      <c r="AF221" s="183"/>
      <c r="AG221" s="183"/>
      <c r="AH221" s="183"/>
      <c r="AI221" s="183"/>
      <c r="AJ221" s="182"/>
      <c r="AK221" s="184"/>
      <c r="AL221" s="182"/>
      <c r="AM221" s="182"/>
      <c r="AN221" s="182"/>
      <c r="AO221" s="182"/>
      <c r="AP221" s="182"/>
      <c r="AQ221" s="182"/>
      <c r="AR221" s="182"/>
    </row>
    <row r="222" spans="1:44">
      <c r="A222" s="182"/>
      <c r="B222" s="182"/>
      <c r="C222" s="182"/>
      <c r="D222" s="182"/>
      <c r="E222" s="182"/>
      <c r="F222" s="182"/>
      <c r="G222" s="182"/>
      <c r="H222" s="182"/>
      <c r="I222" s="182"/>
      <c r="J222" s="182"/>
      <c r="K222" s="182"/>
      <c r="L222" s="182"/>
      <c r="M222" s="182"/>
      <c r="N222" s="177"/>
      <c r="O222" s="182"/>
      <c r="P222" s="179"/>
      <c r="Q222" s="182"/>
      <c r="R222" s="182"/>
      <c r="S222" s="182"/>
      <c r="T222" s="182"/>
      <c r="U222" s="182"/>
      <c r="V222" s="182"/>
      <c r="W222" s="182"/>
      <c r="X222" s="182"/>
      <c r="Y222" s="182"/>
      <c r="Z222" s="182"/>
      <c r="AA222" s="182"/>
      <c r="AB222" s="182"/>
      <c r="AC222" s="182"/>
      <c r="AD222" s="182"/>
      <c r="AE222" s="184"/>
      <c r="AF222" s="183"/>
      <c r="AG222" s="183"/>
      <c r="AH222" s="183"/>
      <c r="AI222" s="183"/>
      <c r="AJ222" s="182"/>
      <c r="AK222" s="184"/>
      <c r="AL222" s="182"/>
      <c r="AM222" s="182"/>
      <c r="AN222" s="182"/>
      <c r="AO222" s="182"/>
      <c r="AP222" s="182"/>
      <c r="AQ222" s="182"/>
      <c r="AR222" s="182"/>
    </row>
    <row r="223" spans="1:44">
      <c r="A223" s="182"/>
      <c r="B223" s="182"/>
      <c r="C223" s="182"/>
      <c r="D223" s="182"/>
      <c r="E223" s="182"/>
      <c r="F223" s="182"/>
      <c r="G223" s="182"/>
      <c r="H223" s="182"/>
      <c r="I223" s="182"/>
      <c r="J223" s="182"/>
      <c r="K223" s="182"/>
      <c r="L223" s="182"/>
      <c r="M223" s="182"/>
      <c r="N223" s="177"/>
      <c r="O223" s="182"/>
      <c r="P223" s="179"/>
      <c r="Q223" s="182"/>
      <c r="R223" s="182"/>
      <c r="S223" s="182"/>
      <c r="T223" s="182"/>
      <c r="U223" s="182"/>
      <c r="V223" s="182"/>
      <c r="W223" s="182"/>
      <c r="X223" s="182"/>
      <c r="Y223" s="182"/>
      <c r="Z223" s="182"/>
      <c r="AA223" s="182"/>
      <c r="AB223" s="182"/>
      <c r="AC223" s="182"/>
      <c r="AD223" s="182"/>
      <c r="AE223" s="184"/>
      <c r="AF223" s="183"/>
      <c r="AG223" s="183"/>
      <c r="AH223" s="183"/>
      <c r="AI223" s="183"/>
      <c r="AJ223" s="182"/>
      <c r="AK223" s="184"/>
      <c r="AL223" s="182"/>
      <c r="AM223" s="182"/>
      <c r="AN223" s="182"/>
      <c r="AO223" s="182"/>
      <c r="AP223" s="182"/>
      <c r="AQ223" s="182"/>
      <c r="AR223" s="182"/>
    </row>
    <row r="224" spans="1:44">
      <c r="A224" s="182"/>
      <c r="B224" s="182"/>
      <c r="C224" s="182"/>
      <c r="D224" s="182"/>
      <c r="E224" s="182"/>
      <c r="F224" s="182"/>
      <c r="G224" s="182"/>
      <c r="H224" s="182"/>
      <c r="I224" s="182"/>
      <c r="J224" s="182"/>
      <c r="K224" s="182"/>
      <c r="L224" s="182"/>
      <c r="M224" s="182"/>
      <c r="N224" s="177"/>
      <c r="O224" s="182"/>
      <c r="P224" s="179"/>
      <c r="Q224" s="182"/>
      <c r="R224" s="182"/>
      <c r="S224" s="182"/>
      <c r="T224" s="182"/>
      <c r="U224" s="182"/>
      <c r="V224" s="182"/>
      <c r="W224" s="182"/>
      <c r="X224" s="182"/>
      <c r="Y224" s="182"/>
      <c r="Z224" s="182"/>
      <c r="AA224" s="182"/>
      <c r="AB224" s="182"/>
      <c r="AC224" s="182"/>
      <c r="AD224" s="182"/>
      <c r="AE224" s="184"/>
      <c r="AF224" s="183"/>
      <c r="AG224" s="183"/>
      <c r="AH224" s="183"/>
      <c r="AI224" s="183"/>
      <c r="AJ224" s="182"/>
      <c r="AK224" s="184"/>
      <c r="AL224" s="182"/>
      <c r="AM224" s="182"/>
      <c r="AN224" s="182"/>
      <c r="AO224" s="182"/>
      <c r="AP224" s="182"/>
      <c r="AQ224" s="182"/>
      <c r="AR224" s="182"/>
    </row>
    <row r="225" spans="1:44">
      <c r="A225" s="182"/>
      <c r="B225" s="182"/>
      <c r="C225" s="182"/>
      <c r="D225" s="182"/>
      <c r="E225" s="182"/>
      <c r="F225" s="182"/>
      <c r="G225" s="182"/>
      <c r="H225" s="182"/>
      <c r="I225" s="182"/>
      <c r="J225" s="182"/>
      <c r="K225" s="182"/>
      <c r="L225" s="182"/>
      <c r="M225" s="182"/>
      <c r="N225" s="177"/>
      <c r="O225" s="182"/>
      <c r="P225" s="179"/>
      <c r="Q225" s="182"/>
      <c r="R225" s="182"/>
      <c r="S225" s="182"/>
      <c r="T225" s="182"/>
      <c r="U225" s="182"/>
      <c r="V225" s="182"/>
      <c r="W225" s="182"/>
      <c r="X225" s="182"/>
      <c r="Y225" s="182"/>
      <c r="Z225" s="182"/>
      <c r="AA225" s="182"/>
      <c r="AB225" s="182"/>
      <c r="AC225" s="182"/>
      <c r="AD225" s="182"/>
      <c r="AE225" s="184"/>
      <c r="AF225" s="183"/>
      <c r="AG225" s="183"/>
      <c r="AH225" s="183"/>
      <c r="AI225" s="183"/>
      <c r="AJ225" s="182"/>
      <c r="AK225" s="184"/>
      <c r="AL225" s="182"/>
      <c r="AM225" s="182"/>
      <c r="AN225" s="182"/>
      <c r="AO225" s="182"/>
      <c r="AP225" s="182"/>
      <c r="AQ225" s="182"/>
      <c r="AR225" s="182"/>
    </row>
    <row r="226" spans="1:44">
      <c r="A226" s="182"/>
      <c r="B226" s="182"/>
      <c r="C226" s="182"/>
      <c r="D226" s="182"/>
      <c r="E226" s="182"/>
      <c r="F226" s="182"/>
      <c r="G226" s="182"/>
      <c r="H226" s="182"/>
      <c r="I226" s="182"/>
      <c r="J226" s="182"/>
      <c r="K226" s="182"/>
      <c r="L226" s="182"/>
      <c r="M226" s="182"/>
      <c r="N226" s="177"/>
      <c r="O226" s="182"/>
      <c r="P226" s="179"/>
      <c r="Q226" s="182"/>
      <c r="R226" s="182"/>
      <c r="S226" s="182"/>
      <c r="T226" s="182"/>
      <c r="U226" s="182"/>
      <c r="V226" s="182"/>
      <c r="W226" s="182"/>
      <c r="X226" s="182"/>
      <c r="Y226" s="182"/>
      <c r="Z226" s="182"/>
      <c r="AA226" s="182"/>
      <c r="AB226" s="182"/>
      <c r="AC226" s="182"/>
      <c r="AD226" s="182"/>
      <c r="AE226" s="184"/>
      <c r="AF226" s="183"/>
      <c r="AG226" s="183"/>
      <c r="AH226" s="183"/>
      <c r="AI226" s="183"/>
      <c r="AJ226" s="182"/>
      <c r="AK226" s="184"/>
      <c r="AL226" s="182"/>
      <c r="AM226" s="182"/>
      <c r="AN226" s="182"/>
      <c r="AO226" s="182"/>
      <c r="AP226" s="182"/>
      <c r="AQ226" s="182"/>
      <c r="AR226" s="182"/>
    </row>
    <row r="227" spans="1:44">
      <c r="A227" s="182"/>
      <c r="B227" s="182"/>
      <c r="C227" s="182"/>
      <c r="D227" s="182"/>
      <c r="E227" s="182"/>
      <c r="F227" s="182"/>
      <c r="G227" s="182"/>
      <c r="H227" s="182"/>
      <c r="I227" s="182"/>
      <c r="J227" s="182"/>
      <c r="K227" s="182"/>
      <c r="L227" s="182"/>
      <c r="M227" s="182"/>
      <c r="N227" s="177"/>
      <c r="O227" s="182"/>
      <c r="P227" s="179"/>
      <c r="Q227" s="182"/>
      <c r="R227" s="182"/>
      <c r="S227" s="182"/>
      <c r="T227" s="182"/>
      <c r="U227" s="182"/>
      <c r="V227" s="182"/>
      <c r="W227" s="182"/>
      <c r="X227" s="182"/>
      <c r="Y227" s="182"/>
      <c r="Z227" s="182"/>
      <c r="AA227" s="182"/>
      <c r="AB227" s="182"/>
      <c r="AC227" s="182"/>
      <c r="AD227" s="182"/>
      <c r="AE227" s="184"/>
      <c r="AF227" s="183"/>
      <c r="AG227" s="183"/>
      <c r="AH227" s="183"/>
      <c r="AI227" s="183"/>
      <c r="AJ227" s="182"/>
      <c r="AK227" s="184"/>
      <c r="AL227" s="182"/>
      <c r="AM227" s="182"/>
      <c r="AN227" s="182"/>
      <c r="AO227" s="182"/>
      <c r="AP227" s="182"/>
      <c r="AQ227" s="182"/>
      <c r="AR227" s="182"/>
    </row>
    <row r="228" spans="1:44">
      <c r="A228" s="182"/>
      <c r="B228" s="182"/>
      <c r="C228" s="182"/>
      <c r="D228" s="182"/>
      <c r="E228" s="182"/>
      <c r="F228" s="182"/>
      <c r="G228" s="182"/>
      <c r="H228" s="182"/>
      <c r="I228" s="182"/>
      <c r="J228" s="182"/>
      <c r="K228" s="182"/>
      <c r="L228" s="182"/>
      <c r="M228" s="182"/>
      <c r="N228" s="177"/>
      <c r="O228" s="182"/>
      <c r="P228" s="179"/>
      <c r="Q228" s="182"/>
      <c r="R228" s="182"/>
      <c r="S228" s="182"/>
      <c r="T228" s="182"/>
      <c r="U228" s="182"/>
      <c r="V228" s="182"/>
      <c r="W228" s="182"/>
      <c r="X228" s="182"/>
      <c r="Y228" s="182"/>
      <c r="Z228" s="182"/>
      <c r="AA228" s="182"/>
      <c r="AB228" s="182"/>
      <c r="AC228" s="182"/>
      <c r="AD228" s="182"/>
      <c r="AE228" s="184"/>
      <c r="AF228" s="183"/>
      <c r="AG228" s="183"/>
      <c r="AH228" s="183"/>
      <c r="AI228" s="183"/>
      <c r="AJ228" s="182"/>
      <c r="AK228" s="184"/>
      <c r="AL228" s="182"/>
      <c r="AM228" s="182"/>
      <c r="AN228" s="182"/>
      <c r="AO228" s="182"/>
      <c r="AP228" s="182"/>
      <c r="AQ228" s="182"/>
      <c r="AR228" s="182"/>
    </row>
    <row r="229" spans="1:44">
      <c r="A229" s="182"/>
      <c r="B229" s="182"/>
      <c r="C229" s="182"/>
      <c r="D229" s="182"/>
      <c r="E229" s="182"/>
      <c r="F229" s="182"/>
      <c r="G229" s="182"/>
      <c r="H229" s="182"/>
      <c r="I229" s="182"/>
      <c r="J229" s="182"/>
      <c r="K229" s="182"/>
      <c r="L229" s="182"/>
      <c r="M229" s="182"/>
      <c r="N229" s="177"/>
      <c r="O229" s="182"/>
      <c r="P229" s="179"/>
      <c r="Q229" s="182"/>
      <c r="R229" s="182"/>
      <c r="S229" s="182"/>
      <c r="T229" s="182"/>
      <c r="U229" s="182"/>
      <c r="V229" s="182"/>
      <c r="W229" s="182"/>
      <c r="X229" s="182"/>
      <c r="Y229" s="182"/>
      <c r="Z229" s="182"/>
      <c r="AA229" s="182"/>
      <c r="AB229" s="182"/>
      <c r="AC229" s="182"/>
      <c r="AD229" s="182"/>
      <c r="AE229" s="184"/>
      <c r="AF229" s="183"/>
      <c r="AG229" s="183"/>
      <c r="AH229" s="183"/>
      <c r="AI229" s="183"/>
      <c r="AJ229" s="182"/>
      <c r="AK229" s="184"/>
      <c r="AL229" s="182"/>
      <c r="AM229" s="182"/>
      <c r="AN229" s="182"/>
      <c r="AO229" s="182"/>
      <c r="AP229" s="182"/>
      <c r="AQ229" s="182"/>
      <c r="AR229" s="182"/>
    </row>
    <row r="230" spans="1:44">
      <c r="A230" s="182"/>
      <c r="B230" s="182"/>
      <c r="C230" s="182"/>
      <c r="D230" s="182"/>
      <c r="E230" s="182"/>
      <c r="F230" s="182"/>
      <c r="G230" s="182"/>
      <c r="H230" s="182"/>
      <c r="I230" s="182"/>
      <c r="J230" s="182"/>
      <c r="K230" s="182"/>
      <c r="L230" s="182"/>
      <c r="M230" s="182"/>
      <c r="N230" s="177"/>
      <c r="O230" s="182"/>
      <c r="P230" s="179"/>
      <c r="Q230" s="182"/>
      <c r="R230" s="182"/>
      <c r="S230" s="182"/>
      <c r="T230" s="182"/>
      <c r="U230" s="182"/>
      <c r="V230" s="182"/>
      <c r="W230" s="182"/>
      <c r="X230" s="182"/>
      <c r="Y230" s="182"/>
      <c r="Z230" s="182"/>
      <c r="AA230" s="182"/>
      <c r="AB230" s="182"/>
      <c r="AC230" s="182"/>
      <c r="AD230" s="182"/>
      <c r="AE230" s="184"/>
      <c r="AF230" s="183"/>
      <c r="AG230" s="183"/>
      <c r="AH230" s="183"/>
      <c r="AI230" s="183"/>
      <c r="AJ230" s="182"/>
      <c r="AK230" s="184"/>
      <c r="AL230" s="182"/>
      <c r="AM230" s="182"/>
      <c r="AN230" s="182"/>
      <c r="AO230" s="182"/>
      <c r="AP230" s="182"/>
      <c r="AQ230" s="182"/>
      <c r="AR230" s="182"/>
    </row>
    <row r="231" spans="1:44">
      <c r="A231" s="182"/>
      <c r="B231" s="182"/>
      <c r="C231" s="182"/>
      <c r="D231" s="182"/>
      <c r="E231" s="182"/>
      <c r="F231" s="182"/>
      <c r="G231" s="182"/>
      <c r="H231" s="182"/>
      <c r="I231" s="182"/>
      <c r="J231" s="182"/>
      <c r="K231" s="182"/>
      <c r="L231" s="182"/>
      <c r="M231" s="182"/>
      <c r="N231" s="177"/>
      <c r="O231" s="182"/>
      <c r="P231" s="179"/>
      <c r="Q231" s="182"/>
      <c r="R231" s="182"/>
      <c r="S231" s="182"/>
      <c r="T231" s="182"/>
      <c r="U231" s="182"/>
      <c r="V231" s="182"/>
      <c r="W231" s="182"/>
      <c r="X231" s="182"/>
      <c r="Y231" s="182"/>
      <c r="Z231" s="182"/>
      <c r="AA231" s="182"/>
      <c r="AB231" s="182"/>
      <c r="AC231" s="182"/>
      <c r="AD231" s="182"/>
      <c r="AE231" s="184"/>
      <c r="AF231" s="183"/>
      <c r="AG231" s="183"/>
      <c r="AH231" s="183"/>
      <c r="AI231" s="183"/>
      <c r="AJ231" s="182"/>
      <c r="AK231" s="184"/>
      <c r="AL231" s="182"/>
      <c r="AM231" s="182"/>
      <c r="AN231" s="182"/>
      <c r="AO231" s="182"/>
      <c r="AP231" s="182"/>
      <c r="AQ231" s="182"/>
      <c r="AR231" s="182"/>
    </row>
    <row r="232" spans="1:44">
      <c r="A232" s="182"/>
      <c r="B232" s="182"/>
      <c r="C232" s="182"/>
      <c r="D232" s="182"/>
      <c r="E232" s="182"/>
      <c r="F232" s="182"/>
      <c r="G232" s="182"/>
      <c r="H232" s="182"/>
      <c r="I232" s="182"/>
      <c r="J232" s="182"/>
      <c r="K232" s="182"/>
      <c r="L232" s="182"/>
      <c r="M232" s="182"/>
      <c r="N232" s="177"/>
      <c r="O232" s="182"/>
      <c r="P232" s="179"/>
      <c r="Q232" s="182"/>
      <c r="R232" s="182"/>
      <c r="S232" s="182"/>
      <c r="T232" s="182"/>
      <c r="U232" s="182"/>
      <c r="V232" s="182"/>
      <c r="W232" s="182"/>
      <c r="X232" s="182"/>
      <c r="Y232" s="182"/>
      <c r="Z232" s="182"/>
      <c r="AA232" s="182"/>
      <c r="AB232" s="182"/>
      <c r="AC232" s="182"/>
      <c r="AD232" s="182"/>
      <c r="AE232" s="184"/>
      <c r="AF232" s="183"/>
      <c r="AG232" s="183"/>
      <c r="AH232" s="183"/>
      <c r="AI232" s="183"/>
      <c r="AJ232" s="182"/>
      <c r="AK232" s="184"/>
      <c r="AL232" s="182"/>
      <c r="AM232" s="182"/>
      <c r="AN232" s="182"/>
      <c r="AO232" s="182"/>
      <c r="AP232" s="182"/>
      <c r="AQ232" s="182"/>
      <c r="AR232" s="182"/>
    </row>
    <row r="233" spans="1:44">
      <c r="A233" s="182"/>
      <c r="B233" s="182"/>
      <c r="C233" s="182"/>
      <c r="D233" s="182"/>
      <c r="E233" s="182"/>
      <c r="F233" s="182"/>
      <c r="G233" s="182"/>
      <c r="H233" s="182"/>
      <c r="I233" s="182"/>
      <c r="J233" s="182"/>
      <c r="K233" s="182"/>
      <c r="L233" s="182"/>
      <c r="M233" s="182"/>
      <c r="N233" s="177"/>
      <c r="O233" s="182"/>
      <c r="P233" s="179"/>
      <c r="Q233" s="182"/>
      <c r="R233" s="182"/>
      <c r="S233" s="182"/>
      <c r="T233" s="182"/>
      <c r="U233" s="182"/>
      <c r="V233" s="182"/>
      <c r="W233" s="182"/>
      <c r="X233" s="182"/>
      <c r="Y233" s="182"/>
      <c r="Z233" s="182"/>
      <c r="AA233" s="182"/>
      <c r="AB233" s="182"/>
      <c r="AC233" s="182"/>
      <c r="AD233" s="182"/>
      <c r="AE233" s="184"/>
      <c r="AF233" s="183"/>
      <c r="AG233" s="183"/>
      <c r="AH233" s="183"/>
      <c r="AI233" s="183"/>
      <c r="AJ233" s="182"/>
      <c r="AK233" s="184"/>
      <c r="AL233" s="182"/>
      <c r="AM233" s="182"/>
      <c r="AN233" s="182"/>
      <c r="AO233" s="182"/>
      <c r="AP233" s="182"/>
      <c r="AQ233" s="182"/>
      <c r="AR233" s="182"/>
    </row>
    <row r="234" spans="1:44">
      <c r="A234" s="182"/>
      <c r="B234" s="182"/>
      <c r="C234" s="182"/>
      <c r="D234" s="182"/>
      <c r="E234" s="182"/>
      <c r="F234" s="182"/>
      <c r="G234" s="182"/>
      <c r="H234" s="182"/>
      <c r="I234" s="182"/>
      <c r="J234" s="182"/>
      <c r="K234" s="182"/>
      <c r="L234" s="182"/>
      <c r="M234" s="182"/>
      <c r="N234" s="177"/>
      <c r="O234" s="182"/>
      <c r="P234" s="179"/>
      <c r="Q234" s="182"/>
      <c r="R234" s="182"/>
      <c r="S234" s="182"/>
      <c r="T234" s="182"/>
      <c r="U234" s="182"/>
      <c r="V234" s="182"/>
      <c r="W234" s="182"/>
      <c r="X234" s="182"/>
      <c r="Y234" s="182"/>
      <c r="Z234" s="182"/>
      <c r="AA234" s="182"/>
      <c r="AB234" s="182"/>
      <c r="AC234" s="182"/>
      <c r="AD234" s="182"/>
      <c r="AE234" s="184"/>
      <c r="AF234" s="183"/>
      <c r="AG234" s="183"/>
      <c r="AH234" s="183"/>
      <c r="AI234" s="183"/>
      <c r="AJ234" s="182"/>
      <c r="AK234" s="184"/>
      <c r="AL234" s="182"/>
      <c r="AM234" s="182"/>
      <c r="AN234" s="182"/>
      <c r="AO234" s="182"/>
      <c r="AP234" s="182"/>
      <c r="AQ234" s="182"/>
      <c r="AR234" s="182"/>
    </row>
    <row r="235" spans="1:44">
      <c r="A235" s="182"/>
      <c r="B235" s="182"/>
      <c r="C235" s="182"/>
      <c r="D235" s="182"/>
      <c r="E235" s="182"/>
      <c r="F235" s="182"/>
      <c r="G235" s="182"/>
      <c r="H235" s="182"/>
      <c r="I235" s="182"/>
      <c r="J235" s="182"/>
      <c r="K235" s="182"/>
      <c r="L235" s="182"/>
      <c r="M235" s="182"/>
      <c r="N235" s="177"/>
      <c r="O235" s="182"/>
      <c r="P235" s="179"/>
      <c r="Q235" s="182"/>
      <c r="R235" s="182"/>
      <c r="S235" s="182"/>
      <c r="T235" s="182"/>
      <c r="U235" s="182"/>
      <c r="V235" s="182"/>
      <c r="W235" s="182"/>
      <c r="X235" s="182"/>
      <c r="Y235" s="182"/>
      <c r="Z235" s="182"/>
      <c r="AA235" s="182"/>
      <c r="AB235" s="182"/>
      <c r="AC235" s="182"/>
      <c r="AD235" s="182"/>
      <c r="AE235" s="184"/>
      <c r="AF235" s="183"/>
      <c r="AG235" s="183"/>
      <c r="AH235" s="183"/>
      <c r="AI235" s="183"/>
      <c r="AJ235" s="182"/>
      <c r="AK235" s="184"/>
      <c r="AL235" s="182"/>
      <c r="AM235" s="182"/>
      <c r="AN235" s="182"/>
      <c r="AO235" s="182"/>
      <c r="AP235" s="182"/>
      <c r="AQ235" s="182"/>
      <c r="AR235" s="182"/>
    </row>
    <row r="236" spans="1:44">
      <c r="A236" s="182"/>
      <c r="B236" s="182"/>
      <c r="C236" s="182"/>
      <c r="D236" s="182"/>
      <c r="E236" s="182"/>
      <c r="F236" s="182"/>
      <c r="G236" s="182"/>
      <c r="H236" s="182"/>
      <c r="I236" s="182"/>
      <c r="J236" s="182"/>
      <c r="K236" s="182"/>
      <c r="L236" s="182"/>
      <c r="M236" s="182"/>
      <c r="N236" s="177"/>
      <c r="O236" s="182"/>
      <c r="P236" s="179"/>
      <c r="Q236" s="182"/>
      <c r="R236" s="182"/>
      <c r="S236" s="182"/>
      <c r="T236" s="182"/>
      <c r="U236" s="182"/>
      <c r="V236" s="182"/>
      <c r="W236" s="182"/>
      <c r="X236" s="182"/>
      <c r="Y236" s="182"/>
      <c r="Z236" s="182"/>
      <c r="AA236" s="182"/>
      <c r="AB236" s="182"/>
      <c r="AC236" s="182"/>
      <c r="AD236" s="182"/>
      <c r="AE236" s="184"/>
      <c r="AF236" s="183"/>
      <c r="AG236" s="183"/>
      <c r="AH236" s="183"/>
      <c r="AI236" s="183"/>
      <c r="AJ236" s="182"/>
      <c r="AK236" s="184"/>
      <c r="AL236" s="182"/>
      <c r="AM236" s="182"/>
      <c r="AN236" s="182"/>
      <c r="AO236" s="182"/>
      <c r="AP236" s="182"/>
      <c r="AQ236" s="182"/>
      <c r="AR236" s="182"/>
    </row>
    <row r="237" spans="1:44">
      <c r="A237" s="182"/>
      <c r="B237" s="182"/>
      <c r="C237" s="182"/>
      <c r="D237" s="182"/>
      <c r="E237" s="182"/>
      <c r="F237" s="182"/>
      <c r="G237" s="182"/>
      <c r="H237" s="182"/>
      <c r="I237" s="182"/>
      <c r="J237" s="182"/>
      <c r="K237" s="182"/>
      <c r="L237" s="182"/>
      <c r="M237" s="182"/>
      <c r="N237" s="177"/>
      <c r="O237" s="182"/>
      <c r="P237" s="179"/>
      <c r="Q237" s="182"/>
      <c r="R237" s="182"/>
      <c r="S237" s="182"/>
      <c r="T237" s="182"/>
      <c r="U237" s="182"/>
      <c r="V237" s="182"/>
      <c r="W237" s="182"/>
      <c r="X237" s="182"/>
      <c r="Y237" s="182"/>
      <c r="Z237" s="182"/>
      <c r="AA237" s="182"/>
      <c r="AB237" s="182"/>
      <c r="AC237" s="182"/>
      <c r="AD237" s="182"/>
      <c r="AE237" s="184"/>
      <c r="AF237" s="183"/>
      <c r="AG237" s="183"/>
      <c r="AH237" s="183"/>
      <c r="AI237" s="183"/>
      <c r="AJ237" s="182"/>
      <c r="AK237" s="184"/>
      <c r="AL237" s="182"/>
      <c r="AM237" s="182"/>
      <c r="AN237" s="182"/>
      <c r="AO237" s="182"/>
      <c r="AP237" s="182"/>
      <c r="AQ237" s="182"/>
      <c r="AR237" s="182"/>
    </row>
    <row r="238" spans="1:44">
      <c r="A238" s="182"/>
      <c r="B238" s="182"/>
      <c r="C238" s="182"/>
      <c r="D238" s="182"/>
      <c r="E238" s="182"/>
      <c r="F238" s="182"/>
      <c r="G238" s="182"/>
      <c r="H238" s="182"/>
      <c r="I238" s="182"/>
      <c r="J238" s="182"/>
      <c r="K238" s="182"/>
      <c r="L238" s="182"/>
      <c r="M238" s="182"/>
      <c r="N238" s="177"/>
      <c r="O238" s="182"/>
      <c r="P238" s="179"/>
      <c r="Q238" s="182"/>
      <c r="R238" s="182"/>
      <c r="S238" s="182"/>
      <c r="T238" s="182"/>
      <c r="U238" s="182"/>
      <c r="V238" s="182"/>
      <c r="W238" s="182"/>
      <c r="X238" s="182"/>
      <c r="Y238" s="182"/>
      <c r="Z238" s="182"/>
      <c r="AA238" s="182"/>
      <c r="AB238" s="182"/>
      <c r="AC238" s="182"/>
      <c r="AD238" s="182"/>
      <c r="AE238" s="184"/>
      <c r="AF238" s="183"/>
      <c r="AG238" s="183"/>
      <c r="AH238" s="183"/>
      <c r="AI238" s="183"/>
      <c r="AJ238" s="182"/>
      <c r="AK238" s="184"/>
      <c r="AL238" s="182"/>
      <c r="AM238" s="182"/>
      <c r="AN238" s="182"/>
      <c r="AO238" s="182"/>
      <c r="AP238" s="182"/>
      <c r="AQ238" s="182"/>
      <c r="AR238" s="182"/>
    </row>
    <row r="239" spans="1:44">
      <c r="A239" s="182"/>
      <c r="B239" s="182"/>
      <c r="C239" s="182"/>
      <c r="D239" s="182"/>
      <c r="E239" s="182"/>
      <c r="F239" s="182"/>
      <c r="G239" s="182"/>
      <c r="H239" s="182"/>
      <c r="I239" s="182"/>
      <c r="J239" s="182"/>
      <c r="K239" s="182"/>
      <c r="L239" s="182"/>
      <c r="M239" s="182"/>
      <c r="N239" s="177"/>
      <c r="O239" s="182"/>
      <c r="P239" s="179"/>
      <c r="Q239" s="182"/>
      <c r="R239" s="182"/>
      <c r="S239" s="182"/>
      <c r="T239" s="182"/>
      <c r="U239" s="182"/>
      <c r="V239" s="182"/>
      <c r="W239" s="182"/>
      <c r="X239" s="182"/>
      <c r="Y239" s="182"/>
      <c r="Z239" s="182"/>
      <c r="AA239" s="182"/>
      <c r="AB239" s="182"/>
      <c r="AC239" s="182"/>
      <c r="AD239" s="182"/>
      <c r="AE239" s="184"/>
      <c r="AF239" s="183"/>
      <c r="AG239" s="183"/>
      <c r="AH239" s="183"/>
      <c r="AI239" s="183"/>
      <c r="AJ239" s="182"/>
      <c r="AK239" s="184"/>
      <c r="AL239" s="182"/>
      <c r="AM239" s="182"/>
      <c r="AN239" s="182"/>
      <c r="AO239" s="182"/>
      <c r="AP239" s="182"/>
      <c r="AQ239" s="182"/>
      <c r="AR239" s="182"/>
    </row>
    <row r="240" spans="1:44">
      <c r="A240" s="182"/>
      <c r="B240" s="182"/>
      <c r="C240" s="182"/>
      <c r="D240" s="182"/>
      <c r="E240" s="182"/>
      <c r="F240" s="182"/>
      <c r="G240" s="182"/>
      <c r="H240" s="182"/>
      <c r="I240" s="182"/>
      <c r="J240" s="182"/>
      <c r="K240" s="182"/>
      <c r="L240" s="182"/>
      <c r="M240" s="182"/>
      <c r="N240" s="177"/>
      <c r="O240" s="182"/>
      <c r="P240" s="179"/>
      <c r="Q240" s="182"/>
      <c r="R240" s="182"/>
      <c r="S240" s="182"/>
      <c r="T240" s="182"/>
      <c r="U240" s="182"/>
      <c r="V240" s="182"/>
      <c r="W240" s="182"/>
      <c r="X240" s="182"/>
      <c r="Y240" s="182"/>
      <c r="Z240" s="182"/>
      <c r="AA240" s="182"/>
      <c r="AB240" s="182"/>
      <c r="AC240" s="182"/>
      <c r="AD240" s="182"/>
      <c r="AE240" s="184"/>
      <c r="AF240" s="183"/>
      <c r="AG240" s="183"/>
      <c r="AH240" s="183"/>
      <c r="AI240" s="183"/>
      <c r="AJ240" s="182"/>
      <c r="AK240" s="184"/>
      <c r="AL240" s="182"/>
      <c r="AM240" s="182"/>
      <c r="AN240" s="182"/>
      <c r="AO240" s="182"/>
      <c r="AP240" s="182"/>
      <c r="AQ240" s="182"/>
      <c r="AR240" s="182"/>
    </row>
    <row r="241" spans="1:44">
      <c r="A241" s="182"/>
      <c r="B241" s="182"/>
      <c r="C241" s="182"/>
      <c r="D241" s="182"/>
      <c r="E241" s="182"/>
      <c r="F241" s="182"/>
      <c r="G241" s="182"/>
      <c r="H241" s="182"/>
      <c r="I241" s="182"/>
      <c r="J241" s="182"/>
      <c r="K241" s="182"/>
      <c r="L241" s="182"/>
      <c r="M241" s="182"/>
      <c r="N241" s="177"/>
      <c r="O241" s="182"/>
      <c r="P241" s="179"/>
      <c r="Q241" s="182"/>
      <c r="R241" s="182"/>
      <c r="S241" s="182"/>
      <c r="T241" s="182"/>
      <c r="U241" s="182"/>
      <c r="V241" s="182"/>
      <c r="W241" s="182"/>
      <c r="X241" s="182"/>
      <c r="Y241" s="182"/>
      <c r="Z241" s="182"/>
      <c r="AA241" s="182"/>
      <c r="AB241" s="182"/>
      <c r="AC241" s="182"/>
      <c r="AD241" s="182"/>
      <c r="AE241" s="184"/>
      <c r="AF241" s="183"/>
      <c r="AG241" s="183"/>
      <c r="AH241" s="183"/>
      <c r="AI241" s="183"/>
      <c r="AJ241" s="182"/>
      <c r="AK241" s="184"/>
      <c r="AL241" s="182"/>
      <c r="AM241" s="182"/>
      <c r="AN241" s="182"/>
      <c r="AO241" s="182"/>
      <c r="AP241" s="182"/>
      <c r="AQ241" s="182"/>
      <c r="AR241" s="182"/>
    </row>
    <row r="242" spans="1:44">
      <c r="A242" s="182"/>
      <c r="B242" s="182"/>
      <c r="C242" s="182"/>
      <c r="D242" s="182"/>
      <c r="E242" s="182"/>
      <c r="F242" s="182"/>
      <c r="G242" s="182"/>
      <c r="H242" s="182"/>
      <c r="I242" s="182"/>
      <c r="J242" s="182"/>
      <c r="K242" s="182"/>
      <c r="L242" s="182"/>
      <c r="M242" s="182"/>
      <c r="N242" s="177"/>
      <c r="O242" s="182"/>
      <c r="P242" s="179"/>
      <c r="Q242" s="182"/>
      <c r="R242" s="182"/>
      <c r="S242" s="182"/>
      <c r="T242" s="182"/>
      <c r="U242" s="182"/>
      <c r="V242" s="182"/>
      <c r="W242" s="182"/>
      <c r="X242" s="182"/>
      <c r="Y242" s="182"/>
      <c r="Z242" s="182"/>
      <c r="AA242" s="182"/>
      <c r="AB242" s="182"/>
      <c r="AC242" s="182"/>
      <c r="AD242" s="182"/>
      <c r="AE242" s="184"/>
      <c r="AF242" s="183"/>
      <c r="AG242" s="183"/>
      <c r="AH242" s="183"/>
      <c r="AI242" s="183"/>
      <c r="AJ242" s="182"/>
      <c r="AK242" s="184"/>
      <c r="AL242" s="182"/>
      <c r="AM242" s="182"/>
      <c r="AN242" s="182"/>
      <c r="AO242" s="182"/>
      <c r="AP242" s="182"/>
      <c r="AQ242" s="182"/>
      <c r="AR242" s="182"/>
    </row>
    <row r="243" spans="1:44">
      <c r="A243" s="182"/>
      <c r="B243" s="182"/>
      <c r="C243" s="182"/>
      <c r="D243" s="182"/>
      <c r="E243" s="182"/>
      <c r="F243" s="182"/>
      <c r="G243" s="182"/>
      <c r="H243" s="182"/>
      <c r="I243" s="182"/>
      <c r="J243" s="182"/>
      <c r="K243" s="182"/>
      <c r="L243" s="182"/>
      <c r="M243" s="182"/>
      <c r="N243" s="177"/>
      <c r="O243" s="182"/>
      <c r="P243" s="179"/>
      <c r="Q243" s="182"/>
      <c r="R243" s="182"/>
      <c r="S243" s="182"/>
      <c r="T243" s="182"/>
      <c r="U243" s="182"/>
      <c r="V243" s="182"/>
      <c r="W243" s="182"/>
      <c r="X243" s="182"/>
      <c r="Y243" s="182"/>
      <c r="Z243" s="182"/>
      <c r="AA243" s="182"/>
      <c r="AB243" s="182"/>
      <c r="AC243" s="182"/>
      <c r="AD243" s="182"/>
      <c r="AE243" s="184"/>
      <c r="AF243" s="183"/>
      <c r="AG243" s="183"/>
      <c r="AH243" s="183"/>
      <c r="AI243" s="183"/>
      <c r="AJ243" s="182"/>
      <c r="AK243" s="184"/>
      <c r="AL243" s="182"/>
      <c r="AM243" s="182"/>
      <c r="AN243" s="182"/>
      <c r="AO243" s="182"/>
      <c r="AP243" s="182"/>
      <c r="AQ243" s="182"/>
      <c r="AR243" s="182"/>
    </row>
    <row r="244" spans="1:44">
      <c r="A244" s="182"/>
      <c r="B244" s="182"/>
      <c r="C244" s="182"/>
      <c r="D244" s="182"/>
      <c r="E244" s="182"/>
      <c r="F244" s="182"/>
      <c r="G244" s="182"/>
      <c r="H244" s="182"/>
      <c r="I244" s="182"/>
      <c r="J244" s="182"/>
      <c r="K244" s="182"/>
      <c r="L244" s="182"/>
      <c r="M244" s="182"/>
      <c r="N244" s="177"/>
      <c r="O244" s="182"/>
      <c r="P244" s="179"/>
      <c r="Q244" s="182"/>
      <c r="R244" s="182"/>
      <c r="S244" s="182"/>
      <c r="T244" s="182"/>
      <c r="U244" s="182"/>
      <c r="V244" s="182"/>
      <c r="W244" s="182"/>
      <c r="X244" s="182"/>
      <c r="Y244" s="182"/>
      <c r="Z244" s="182"/>
      <c r="AA244" s="182"/>
      <c r="AB244" s="182"/>
      <c r="AC244" s="182"/>
      <c r="AD244" s="182"/>
      <c r="AE244" s="184"/>
      <c r="AF244" s="183"/>
      <c r="AG244" s="183"/>
      <c r="AH244" s="183"/>
      <c r="AI244" s="183"/>
      <c r="AJ244" s="182"/>
      <c r="AK244" s="184"/>
      <c r="AL244" s="182"/>
      <c r="AM244" s="182"/>
      <c r="AN244" s="182"/>
      <c r="AO244" s="182"/>
      <c r="AP244" s="182"/>
      <c r="AQ244" s="182"/>
      <c r="AR244" s="182"/>
    </row>
    <row r="245" spans="1:44">
      <c r="A245" s="182"/>
      <c r="B245" s="182"/>
      <c r="C245" s="182"/>
      <c r="D245" s="182"/>
      <c r="E245" s="182"/>
      <c r="F245" s="182"/>
      <c r="G245" s="182"/>
      <c r="H245" s="182"/>
      <c r="I245" s="182"/>
      <c r="J245" s="182"/>
      <c r="K245" s="182"/>
      <c r="L245" s="182"/>
      <c r="M245" s="182"/>
      <c r="N245" s="177"/>
      <c r="O245" s="182"/>
      <c r="P245" s="179"/>
      <c r="Q245" s="182"/>
      <c r="R245" s="182"/>
      <c r="S245" s="182"/>
      <c r="T245" s="182"/>
      <c r="U245" s="182"/>
      <c r="V245" s="182"/>
      <c r="W245" s="182"/>
      <c r="X245" s="182"/>
      <c r="Y245" s="182"/>
      <c r="Z245" s="182"/>
      <c r="AA245" s="182"/>
      <c r="AB245" s="182"/>
      <c r="AC245" s="182"/>
      <c r="AD245" s="182"/>
      <c r="AE245" s="184"/>
      <c r="AF245" s="183"/>
      <c r="AG245" s="183"/>
      <c r="AH245" s="183"/>
      <c r="AI245" s="183"/>
      <c r="AJ245" s="182"/>
      <c r="AK245" s="184"/>
      <c r="AL245" s="182"/>
      <c r="AM245" s="182"/>
      <c r="AN245" s="182"/>
      <c r="AO245" s="182"/>
      <c r="AP245" s="182"/>
      <c r="AQ245" s="182"/>
      <c r="AR245" s="182"/>
    </row>
    <row r="246" spans="1:44">
      <c r="A246" s="182"/>
      <c r="B246" s="182"/>
      <c r="C246" s="182"/>
      <c r="D246" s="182"/>
      <c r="E246" s="182"/>
      <c r="F246" s="182"/>
      <c r="G246" s="182"/>
      <c r="H246" s="182"/>
      <c r="I246" s="182"/>
      <c r="J246" s="182"/>
      <c r="K246" s="182"/>
      <c r="L246" s="182"/>
      <c r="M246" s="182"/>
      <c r="N246" s="177"/>
      <c r="O246" s="182"/>
      <c r="P246" s="179"/>
      <c r="Q246" s="182"/>
      <c r="R246" s="182"/>
      <c r="S246" s="182"/>
      <c r="T246" s="182"/>
      <c r="U246" s="182"/>
      <c r="V246" s="182"/>
      <c r="W246" s="182"/>
      <c r="X246" s="182"/>
      <c r="Y246" s="182"/>
      <c r="Z246" s="182"/>
      <c r="AA246" s="182"/>
      <c r="AB246" s="182"/>
      <c r="AC246" s="182"/>
      <c r="AD246" s="182"/>
      <c r="AE246" s="184"/>
      <c r="AF246" s="183"/>
      <c r="AG246" s="183"/>
      <c r="AH246" s="183"/>
      <c r="AI246" s="183"/>
      <c r="AJ246" s="182"/>
      <c r="AK246" s="184"/>
      <c r="AL246" s="182"/>
      <c r="AM246" s="182"/>
      <c r="AN246" s="182"/>
      <c r="AO246" s="182"/>
      <c r="AP246" s="182"/>
      <c r="AQ246" s="182"/>
      <c r="AR246" s="182"/>
    </row>
    <row r="247" spans="1:44">
      <c r="A247" s="182"/>
      <c r="B247" s="182"/>
      <c r="C247" s="182"/>
      <c r="D247" s="182"/>
      <c r="E247" s="182"/>
      <c r="F247" s="182"/>
      <c r="G247" s="182"/>
      <c r="H247" s="182"/>
      <c r="I247" s="182"/>
      <c r="J247" s="182"/>
      <c r="K247" s="182"/>
      <c r="L247" s="182"/>
      <c r="M247" s="182"/>
      <c r="N247" s="177"/>
      <c r="O247" s="182"/>
      <c r="P247" s="179"/>
      <c r="Q247" s="182"/>
      <c r="R247" s="182"/>
      <c r="S247" s="182"/>
      <c r="T247" s="182"/>
      <c r="U247" s="182"/>
      <c r="V247" s="182"/>
      <c r="W247" s="182"/>
      <c r="X247" s="182"/>
      <c r="Y247" s="182"/>
      <c r="Z247" s="182"/>
      <c r="AA247" s="182"/>
      <c r="AB247" s="182"/>
      <c r="AC247" s="182"/>
      <c r="AD247" s="182"/>
      <c r="AE247" s="184"/>
      <c r="AF247" s="183"/>
      <c r="AG247" s="183"/>
      <c r="AH247" s="183"/>
      <c r="AI247" s="183"/>
      <c r="AJ247" s="182"/>
      <c r="AK247" s="184"/>
      <c r="AL247" s="182"/>
      <c r="AM247" s="182"/>
      <c r="AN247" s="182"/>
      <c r="AO247" s="182"/>
      <c r="AP247" s="182"/>
      <c r="AQ247" s="182"/>
      <c r="AR247" s="182"/>
    </row>
    <row r="248" spans="1:44">
      <c r="A248" s="182"/>
      <c r="B248" s="182"/>
      <c r="C248" s="182"/>
      <c r="D248" s="182"/>
      <c r="E248" s="182"/>
      <c r="F248" s="182"/>
      <c r="G248" s="182"/>
      <c r="H248" s="182"/>
      <c r="I248" s="182"/>
      <c r="J248" s="182"/>
      <c r="K248" s="182"/>
      <c r="L248" s="182"/>
      <c r="M248" s="182"/>
      <c r="N248" s="177"/>
      <c r="O248" s="182"/>
      <c r="P248" s="179"/>
      <c r="Q248" s="182"/>
      <c r="R248" s="182"/>
      <c r="S248" s="182"/>
      <c r="T248" s="182"/>
      <c r="U248" s="182"/>
      <c r="V248" s="182"/>
      <c r="W248" s="182"/>
      <c r="X248" s="182"/>
      <c r="Y248" s="182"/>
      <c r="Z248" s="182"/>
      <c r="AA248" s="182"/>
      <c r="AB248" s="182"/>
      <c r="AC248" s="182"/>
      <c r="AD248" s="182"/>
      <c r="AE248" s="184"/>
      <c r="AF248" s="183"/>
      <c r="AG248" s="183"/>
      <c r="AH248" s="183"/>
      <c r="AI248" s="183"/>
      <c r="AJ248" s="182"/>
      <c r="AK248" s="184"/>
      <c r="AL248" s="182"/>
      <c r="AM248" s="182"/>
      <c r="AN248" s="182"/>
      <c r="AO248" s="182"/>
      <c r="AP248" s="182"/>
      <c r="AQ248" s="182"/>
      <c r="AR248" s="182"/>
    </row>
    <row r="249" spans="1:44">
      <c r="A249" s="182"/>
      <c r="B249" s="182"/>
      <c r="C249" s="182"/>
      <c r="D249" s="182"/>
      <c r="E249" s="182"/>
      <c r="F249" s="182"/>
      <c r="G249" s="182"/>
      <c r="H249" s="182"/>
      <c r="I249" s="182"/>
      <c r="J249" s="182"/>
      <c r="K249" s="182"/>
      <c r="L249" s="182"/>
      <c r="M249" s="182"/>
      <c r="N249" s="177"/>
      <c r="O249" s="182"/>
      <c r="P249" s="179"/>
      <c r="Q249" s="182"/>
      <c r="R249" s="182"/>
      <c r="S249" s="182"/>
      <c r="T249" s="182"/>
      <c r="U249" s="182"/>
      <c r="V249" s="182"/>
      <c r="W249" s="182"/>
      <c r="X249" s="182"/>
      <c r="Y249" s="182"/>
      <c r="Z249" s="182"/>
      <c r="AA249" s="182"/>
      <c r="AB249" s="182"/>
      <c r="AC249" s="182"/>
      <c r="AD249" s="182"/>
      <c r="AE249" s="184"/>
      <c r="AF249" s="183"/>
      <c r="AG249" s="183"/>
      <c r="AH249" s="183"/>
      <c r="AI249" s="183"/>
      <c r="AJ249" s="182"/>
      <c r="AK249" s="184"/>
      <c r="AL249" s="182"/>
      <c r="AM249" s="182"/>
      <c r="AN249" s="182"/>
      <c r="AO249" s="182"/>
      <c r="AP249" s="182"/>
      <c r="AQ249" s="182"/>
      <c r="AR249" s="182"/>
    </row>
    <row r="250" spans="1:44">
      <c r="A250" s="182"/>
      <c r="B250" s="182"/>
      <c r="C250" s="182"/>
      <c r="D250" s="182"/>
      <c r="E250" s="182"/>
      <c r="F250" s="182"/>
      <c r="G250" s="182"/>
      <c r="H250" s="182"/>
      <c r="I250" s="182"/>
      <c r="J250" s="182"/>
      <c r="K250" s="182"/>
      <c r="L250" s="182"/>
      <c r="M250" s="182"/>
      <c r="N250" s="177"/>
      <c r="O250" s="182"/>
      <c r="P250" s="179"/>
      <c r="Q250" s="182"/>
      <c r="R250" s="182"/>
      <c r="S250" s="182"/>
      <c r="T250" s="182"/>
      <c r="U250" s="182"/>
      <c r="V250" s="182"/>
      <c r="W250" s="182"/>
      <c r="X250" s="182"/>
      <c r="Y250" s="182"/>
      <c r="Z250" s="182"/>
      <c r="AA250" s="182"/>
      <c r="AB250" s="182"/>
      <c r="AC250" s="182"/>
      <c r="AD250" s="182"/>
      <c r="AE250" s="184"/>
      <c r="AF250" s="183"/>
      <c r="AG250" s="183"/>
      <c r="AH250" s="183"/>
      <c r="AI250" s="183"/>
      <c r="AJ250" s="182"/>
      <c r="AK250" s="184"/>
      <c r="AL250" s="182"/>
      <c r="AM250" s="182"/>
      <c r="AN250" s="182"/>
      <c r="AO250" s="182"/>
      <c r="AP250" s="182"/>
      <c r="AQ250" s="182"/>
      <c r="AR250" s="182"/>
    </row>
    <row r="251" spans="1:44">
      <c r="A251" s="182"/>
      <c r="B251" s="182"/>
      <c r="C251" s="182"/>
      <c r="D251" s="182"/>
      <c r="E251" s="182"/>
      <c r="F251" s="182"/>
      <c r="G251" s="182"/>
      <c r="H251" s="182"/>
      <c r="I251" s="182"/>
      <c r="J251" s="182"/>
      <c r="K251" s="182"/>
      <c r="L251" s="182"/>
      <c r="M251" s="182"/>
      <c r="N251" s="177"/>
      <c r="O251" s="182"/>
      <c r="P251" s="179"/>
      <c r="Q251" s="182"/>
      <c r="R251" s="182"/>
      <c r="S251" s="182"/>
      <c r="T251" s="182"/>
      <c r="U251" s="182"/>
      <c r="V251" s="182"/>
      <c r="W251" s="182"/>
      <c r="X251" s="182"/>
      <c r="Y251" s="182"/>
      <c r="Z251" s="182"/>
      <c r="AA251" s="182"/>
      <c r="AB251" s="182"/>
      <c r="AC251" s="182"/>
      <c r="AD251" s="182"/>
      <c r="AE251" s="184"/>
      <c r="AF251" s="183"/>
      <c r="AG251" s="183"/>
      <c r="AH251" s="183"/>
      <c r="AI251" s="183"/>
      <c r="AJ251" s="182"/>
      <c r="AK251" s="184"/>
      <c r="AL251" s="182"/>
      <c r="AM251" s="182"/>
      <c r="AN251" s="182"/>
      <c r="AO251" s="182"/>
      <c r="AP251" s="182"/>
      <c r="AQ251" s="182"/>
      <c r="AR251" s="182"/>
    </row>
    <row r="252" spans="1:44">
      <c r="A252" s="182"/>
      <c r="B252" s="182"/>
      <c r="C252" s="182"/>
      <c r="D252" s="182"/>
      <c r="E252" s="182"/>
      <c r="F252" s="182"/>
      <c r="G252" s="182"/>
      <c r="H252" s="182"/>
      <c r="I252" s="182"/>
      <c r="J252" s="182"/>
      <c r="K252" s="182"/>
      <c r="L252" s="182"/>
      <c r="M252" s="182"/>
      <c r="N252" s="177"/>
      <c r="O252" s="182"/>
      <c r="P252" s="179"/>
      <c r="Q252" s="182"/>
      <c r="R252" s="182"/>
      <c r="S252" s="182"/>
      <c r="T252" s="182"/>
      <c r="U252" s="182"/>
      <c r="V252" s="182"/>
      <c r="W252" s="182"/>
      <c r="X252" s="182"/>
      <c r="Y252" s="182"/>
      <c r="Z252" s="182"/>
      <c r="AA252" s="182"/>
      <c r="AB252" s="182"/>
      <c r="AC252" s="182"/>
      <c r="AD252" s="182"/>
      <c r="AE252" s="184"/>
      <c r="AF252" s="183"/>
      <c r="AG252" s="183"/>
      <c r="AH252" s="183"/>
      <c r="AI252" s="183"/>
      <c r="AJ252" s="182"/>
      <c r="AK252" s="184"/>
      <c r="AL252" s="182"/>
      <c r="AM252" s="182"/>
      <c r="AN252" s="182"/>
      <c r="AO252" s="182"/>
      <c r="AP252" s="182"/>
      <c r="AQ252" s="182"/>
      <c r="AR252" s="182"/>
    </row>
    <row r="253" spans="1:44">
      <c r="A253" s="182"/>
      <c r="B253" s="182"/>
      <c r="C253" s="182"/>
      <c r="D253" s="182"/>
      <c r="E253" s="182"/>
      <c r="F253" s="182"/>
      <c r="G253" s="182"/>
      <c r="H253" s="182"/>
      <c r="I253" s="182"/>
      <c r="J253" s="182"/>
      <c r="K253" s="182"/>
      <c r="L253" s="182"/>
      <c r="M253" s="182"/>
      <c r="N253" s="177"/>
      <c r="O253" s="182"/>
      <c r="P253" s="179"/>
      <c r="Q253" s="182"/>
      <c r="R253" s="182"/>
      <c r="S253" s="182"/>
      <c r="T253" s="182"/>
      <c r="U253" s="182"/>
      <c r="V253" s="182"/>
      <c r="W253" s="182"/>
      <c r="X253" s="182"/>
      <c r="Y253" s="182"/>
      <c r="Z253" s="182"/>
      <c r="AA253" s="182"/>
      <c r="AB253" s="182"/>
      <c r="AC253" s="182"/>
      <c r="AD253" s="182"/>
      <c r="AE253" s="184"/>
      <c r="AF253" s="183"/>
      <c r="AG253" s="183"/>
      <c r="AH253" s="183"/>
      <c r="AI253" s="183"/>
      <c r="AJ253" s="182"/>
      <c r="AK253" s="184"/>
      <c r="AL253" s="182"/>
      <c r="AM253" s="182"/>
      <c r="AN253" s="182"/>
      <c r="AO253" s="182"/>
      <c r="AP253" s="182"/>
      <c r="AQ253" s="182"/>
      <c r="AR253" s="182"/>
    </row>
    <row r="254" spans="1:44">
      <c r="A254" s="182"/>
      <c r="B254" s="182"/>
      <c r="C254" s="182"/>
      <c r="D254" s="182"/>
      <c r="E254" s="182"/>
      <c r="F254" s="182"/>
      <c r="G254" s="182"/>
      <c r="H254" s="182"/>
      <c r="I254" s="182"/>
      <c r="J254" s="182"/>
      <c r="K254" s="182"/>
      <c r="L254" s="182"/>
      <c r="M254" s="182"/>
      <c r="N254" s="177"/>
      <c r="O254" s="182"/>
      <c r="P254" s="179"/>
      <c r="Q254" s="182"/>
      <c r="R254" s="182"/>
      <c r="S254" s="182"/>
      <c r="T254" s="182"/>
      <c r="U254" s="182"/>
      <c r="V254" s="182"/>
      <c r="W254" s="182"/>
      <c r="X254" s="182"/>
      <c r="Y254" s="182"/>
      <c r="Z254" s="182"/>
      <c r="AA254" s="182"/>
      <c r="AB254" s="182"/>
      <c r="AC254" s="182"/>
      <c r="AD254" s="182"/>
      <c r="AE254" s="184"/>
      <c r="AF254" s="183"/>
      <c r="AG254" s="183"/>
      <c r="AH254" s="183"/>
      <c r="AI254" s="183"/>
      <c r="AJ254" s="182"/>
      <c r="AK254" s="184"/>
      <c r="AL254" s="182"/>
      <c r="AM254" s="182"/>
      <c r="AN254" s="182"/>
      <c r="AO254" s="182"/>
      <c r="AP254" s="182"/>
      <c r="AQ254" s="182"/>
      <c r="AR254" s="182"/>
    </row>
    <row r="255" spans="1:44">
      <c r="A255" s="182"/>
      <c r="B255" s="182"/>
      <c r="C255" s="182"/>
      <c r="D255" s="182"/>
      <c r="E255" s="182"/>
      <c r="F255" s="182"/>
      <c r="G255" s="182"/>
      <c r="H255" s="182"/>
      <c r="I255" s="182"/>
      <c r="J255" s="182"/>
      <c r="K255" s="182"/>
      <c r="L255" s="182"/>
      <c r="M255" s="182"/>
      <c r="N255" s="177"/>
      <c r="O255" s="182"/>
      <c r="P255" s="179"/>
      <c r="Q255" s="182"/>
      <c r="R255" s="182"/>
      <c r="S255" s="182"/>
      <c r="T255" s="182"/>
      <c r="U255" s="182"/>
      <c r="V255" s="182"/>
      <c r="W255" s="182"/>
      <c r="X255" s="182"/>
      <c r="Y255" s="182"/>
      <c r="Z255" s="182"/>
      <c r="AA255" s="182"/>
      <c r="AB255" s="182"/>
      <c r="AC255" s="182"/>
      <c r="AD255" s="182"/>
      <c r="AE255" s="184"/>
      <c r="AF255" s="183"/>
      <c r="AG255" s="183"/>
      <c r="AH255" s="183"/>
      <c r="AI255" s="183"/>
      <c r="AJ255" s="182"/>
      <c r="AK255" s="184"/>
      <c r="AL255" s="182"/>
      <c r="AM255" s="182"/>
      <c r="AN255" s="182"/>
      <c r="AO255" s="182"/>
      <c r="AP255" s="182"/>
      <c r="AQ255" s="182"/>
      <c r="AR255" s="182"/>
    </row>
    <row r="256" spans="1:44">
      <c r="A256" s="182"/>
      <c r="B256" s="182"/>
      <c r="C256" s="182"/>
      <c r="D256" s="182"/>
      <c r="E256" s="182"/>
      <c r="F256" s="182"/>
      <c r="G256" s="182"/>
      <c r="H256" s="182"/>
      <c r="I256" s="182"/>
      <c r="J256" s="182"/>
      <c r="K256" s="182"/>
      <c r="L256" s="182"/>
      <c r="M256" s="182"/>
      <c r="N256" s="177"/>
      <c r="O256" s="182"/>
      <c r="P256" s="179"/>
      <c r="Q256" s="182"/>
      <c r="R256" s="182"/>
      <c r="S256" s="182"/>
      <c r="T256" s="182"/>
      <c r="U256" s="182"/>
      <c r="V256" s="182"/>
      <c r="W256" s="182"/>
      <c r="X256" s="182"/>
      <c r="Y256" s="182"/>
      <c r="Z256" s="182"/>
      <c r="AA256" s="182"/>
      <c r="AB256" s="182"/>
      <c r="AC256" s="182"/>
      <c r="AD256" s="182"/>
      <c r="AE256" s="184"/>
      <c r="AF256" s="183"/>
      <c r="AG256" s="183"/>
      <c r="AH256" s="183"/>
      <c r="AI256" s="183"/>
      <c r="AJ256" s="182"/>
      <c r="AK256" s="184"/>
      <c r="AL256" s="182"/>
      <c r="AM256" s="182"/>
      <c r="AN256" s="182"/>
      <c r="AO256" s="182"/>
      <c r="AP256" s="182"/>
      <c r="AQ256" s="182"/>
      <c r="AR256" s="182"/>
    </row>
    <row r="257" spans="1:44">
      <c r="A257" s="182"/>
      <c r="B257" s="182"/>
      <c r="C257" s="182"/>
      <c r="D257" s="182"/>
      <c r="E257" s="182"/>
      <c r="F257" s="182"/>
      <c r="G257" s="182"/>
      <c r="H257" s="182"/>
      <c r="I257" s="182"/>
      <c r="J257" s="182"/>
      <c r="K257" s="182"/>
      <c r="L257" s="182"/>
      <c r="M257" s="182"/>
      <c r="N257" s="177"/>
      <c r="O257" s="182"/>
      <c r="P257" s="179"/>
      <c r="Q257" s="182"/>
      <c r="R257" s="182"/>
      <c r="S257" s="182"/>
      <c r="T257" s="182"/>
      <c r="U257" s="182"/>
      <c r="V257" s="182"/>
      <c r="W257" s="182"/>
      <c r="X257" s="182"/>
      <c r="Y257" s="182"/>
      <c r="Z257" s="182"/>
      <c r="AA257" s="182"/>
      <c r="AB257" s="182"/>
      <c r="AC257" s="182"/>
      <c r="AD257" s="182"/>
      <c r="AE257" s="184"/>
      <c r="AF257" s="183"/>
      <c r="AG257" s="183"/>
      <c r="AH257" s="183"/>
      <c r="AI257" s="183"/>
      <c r="AJ257" s="182"/>
      <c r="AK257" s="184"/>
      <c r="AL257" s="182"/>
      <c r="AM257" s="182"/>
      <c r="AN257" s="182"/>
      <c r="AO257" s="182"/>
      <c r="AP257" s="182"/>
      <c r="AQ257" s="182"/>
      <c r="AR257" s="182"/>
    </row>
    <row r="258" spans="1:44">
      <c r="A258" s="182"/>
      <c r="B258" s="182"/>
      <c r="C258" s="182"/>
      <c r="D258" s="182"/>
      <c r="E258" s="182"/>
      <c r="F258" s="182"/>
      <c r="G258" s="182"/>
      <c r="H258" s="182"/>
      <c r="I258" s="182"/>
      <c r="J258" s="182"/>
      <c r="K258" s="182"/>
      <c r="L258" s="182"/>
      <c r="M258" s="182"/>
      <c r="N258" s="177"/>
      <c r="O258" s="182"/>
      <c r="P258" s="179"/>
      <c r="Q258" s="182"/>
      <c r="R258" s="182"/>
      <c r="S258" s="182"/>
      <c r="T258" s="182"/>
      <c r="U258" s="182"/>
      <c r="V258" s="182"/>
      <c r="W258" s="182"/>
      <c r="X258" s="182"/>
      <c r="Y258" s="182"/>
      <c r="Z258" s="182"/>
      <c r="AA258" s="182"/>
      <c r="AB258" s="182"/>
      <c r="AC258" s="182"/>
      <c r="AD258" s="182"/>
      <c r="AE258" s="184"/>
      <c r="AF258" s="183"/>
      <c r="AG258" s="183"/>
      <c r="AH258" s="183"/>
      <c r="AI258" s="183"/>
      <c r="AJ258" s="182"/>
      <c r="AK258" s="184"/>
      <c r="AL258" s="182"/>
      <c r="AM258" s="182"/>
      <c r="AN258" s="182"/>
      <c r="AO258" s="182"/>
      <c r="AP258" s="182"/>
      <c r="AQ258" s="182"/>
      <c r="AR258" s="182"/>
    </row>
    <row r="259" spans="1:44">
      <c r="A259" s="182"/>
      <c r="B259" s="182"/>
      <c r="C259" s="182"/>
      <c r="D259" s="182"/>
      <c r="E259" s="182"/>
      <c r="F259" s="182"/>
      <c r="G259" s="182"/>
      <c r="H259" s="182"/>
      <c r="I259" s="182"/>
      <c r="J259" s="182"/>
      <c r="K259" s="182"/>
      <c r="L259" s="182"/>
      <c r="M259" s="182"/>
      <c r="N259" s="177"/>
      <c r="O259" s="182"/>
      <c r="P259" s="179"/>
      <c r="Q259" s="182"/>
      <c r="R259" s="182"/>
      <c r="S259" s="182"/>
      <c r="T259" s="182"/>
      <c r="U259" s="182"/>
      <c r="V259" s="182"/>
      <c r="W259" s="182"/>
      <c r="X259" s="182"/>
      <c r="Y259" s="182"/>
      <c r="Z259" s="182"/>
      <c r="AA259" s="182"/>
      <c r="AB259" s="182"/>
      <c r="AC259" s="182"/>
      <c r="AD259" s="182"/>
      <c r="AE259" s="184"/>
      <c r="AF259" s="183"/>
      <c r="AG259" s="183"/>
      <c r="AH259" s="183"/>
      <c r="AI259" s="183"/>
      <c r="AJ259" s="182"/>
      <c r="AK259" s="184"/>
      <c r="AL259" s="182"/>
      <c r="AM259" s="182"/>
      <c r="AN259" s="182"/>
      <c r="AO259" s="182"/>
      <c r="AP259" s="182"/>
      <c r="AQ259" s="182"/>
      <c r="AR259" s="182"/>
    </row>
    <row r="260" spans="1:44">
      <c r="A260" s="182"/>
      <c r="B260" s="182"/>
      <c r="C260" s="182"/>
      <c r="D260" s="182"/>
      <c r="E260" s="182"/>
      <c r="F260" s="182"/>
      <c r="G260" s="182"/>
      <c r="H260" s="182"/>
      <c r="I260" s="182"/>
      <c r="J260" s="182"/>
      <c r="K260" s="182"/>
      <c r="L260" s="182"/>
      <c r="M260" s="182"/>
      <c r="N260" s="177"/>
      <c r="O260" s="182"/>
      <c r="P260" s="179"/>
      <c r="Q260" s="182"/>
      <c r="R260" s="182"/>
      <c r="S260" s="182"/>
      <c r="T260" s="182"/>
      <c r="U260" s="182"/>
      <c r="V260" s="182"/>
      <c r="W260" s="182"/>
      <c r="X260" s="182"/>
      <c r="Y260" s="182"/>
      <c r="Z260" s="182"/>
      <c r="AA260" s="182"/>
      <c r="AB260" s="182"/>
      <c r="AC260" s="182"/>
      <c r="AD260" s="182"/>
      <c r="AE260" s="184"/>
      <c r="AF260" s="183"/>
      <c r="AG260" s="183"/>
      <c r="AH260" s="183"/>
      <c r="AI260" s="183"/>
      <c r="AJ260" s="182"/>
      <c r="AK260" s="184"/>
      <c r="AL260" s="182"/>
      <c r="AM260" s="182"/>
      <c r="AN260" s="182"/>
      <c r="AO260" s="182"/>
      <c r="AP260" s="182"/>
      <c r="AQ260" s="182"/>
      <c r="AR260" s="182"/>
    </row>
    <row r="261" spans="1:44">
      <c r="A261" s="182"/>
      <c r="B261" s="182"/>
      <c r="C261" s="182"/>
      <c r="D261" s="182"/>
      <c r="E261" s="182"/>
      <c r="F261" s="182"/>
      <c r="G261" s="182"/>
      <c r="H261" s="182"/>
      <c r="I261" s="182"/>
      <c r="J261" s="182"/>
      <c r="K261" s="182"/>
      <c r="L261" s="182"/>
      <c r="M261" s="182"/>
      <c r="N261" s="177"/>
      <c r="O261" s="182"/>
      <c r="P261" s="179"/>
      <c r="Q261" s="182"/>
      <c r="R261" s="182"/>
      <c r="S261" s="182"/>
      <c r="T261" s="182"/>
      <c r="U261" s="182"/>
      <c r="V261" s="182"/>
      <c r="W261" s="182"/>
      <c r="X261" s="182"/>
      <c r="Y261" s="182"/>
      <c r="Z261" s="182"/>
      <c r="AA261" s="182"/>
      <c r="AB261" s="182"/>
      <c r="AC261" s="182"/>
      <c r="AD261" s="182"/>
      <c r="AE261" s="184"/>
      <c r="AF261" s="183"/>
      <c r="AG261" s="183"/>
      <c r="AH261" s="183"/>
      <c r="AI261" s="183"/>
      <c r="AJ261" s="182"/>
      <c r="AK261" s="184"/>
      <c r="AL261" s="182"/>
      <c r="AM261" s="182"/>
      <c r="AN261" s="182"/>
      <c r="AO261" s="182"/>
      <c r="AP261" s="182"/>
      <c r="AQ261" s="182"/>
      <c r="AR261" s="182"/>
    </row>
    <row r="262" spans="1:44">
      <c r="A262" s="182"/>
      <c r="B262" s="182"/>
      <c r="C262" s="182"/>
      <c r="D262" s="182"/>
      <c r="E262" s="182"/>
      <c r="F262" s="182"/>
      <c r="G262" s="182"/>
      <c r="H262" s="182"/>
      <c r="I262" s="182"/>
      <c r="J262" s="182"/>
      <c r="K262" s="182"/>
      <c r="L262" s="182"/>
      <c r="M262" s="182"/>
      <c r="N262" s="177"/>
      <c r="O262" s="182"/>
      <c r="P262" s="179"/>
      <c r="Q262" s="182"/>
      <c r="R262" s="182"/>
      <c r="S262" s="182"/>
      <c r="T262" s="182"/>
      <c r="U262" s="182"/>
      <c r="V262" s="182"/>
      <c r="W262" s="182"/>
      <c r="X262" s="182"/>
      <c r="Y262" s="182"/>
      <c r="Z262" s="182"/>
      <c r="AA262" s="182"/>
      <c r="AB262" s="182"/>
      <c r="AC262" s="182"/>
      <c r="AD262" s="182"/>
      <c r="AE262" s="184"/>
      <c r="AF262" s="183"/>
      <c r="AG262" s="183"/>
      <c r="AH262" s="183"/>
      <c r="AI262" s="183"/>
      <c r="AJ262" s="182"/>
      <c r="AK262" s="184"/>
      <c r="AL262" s="182"/>
      <c r="AM262" s="182"/>
      <c r="AN262" s="182"/>
      <c r="AO262" s="182"/>
      <c r="AP262" s="182"/>
      <c r="AQ262" s="182"/>
      <c r="AR262" s="182"/>
    </row>
    <row r="263" spans="1:44">
      <c r="A263" s="182"/>
      <c r="B263" s="182"/>
      <c r="C263" s="182"/>
      <c r="D263" s="182"/>
      <c r="E263" s="182"/>
      <c r="F263" s="182"/>
      <c r="G263" s="182"/>
      <c r="H263" s="182"/>
      <c r="I263" s="182"/>
      <c r="J263" s="182"/>
      <c r="K263" s="182"/>
      <c r="L263" s="182"/>
      <c r="M263" s="182"/>
      <c r="N263" s="177"/>
      <c r="O263" s="182"/>
      <c r="P263" s="179"/>
      <c r="Q263" s="182"/>
      <c r="R263" s="182"/>
      <c r="S263" s="182"/>
      <c r="T263" s="182"/>
      <c r="U263" s="182"/>
      <c r="V263" s="182"/>
      <c r="W263" s="182"/>
      <c r="X263" s="182"/>
      <c r="Y263" s="182"/>
      <c r="Z263" s="182"/>
      <c r="AA263" s="182"/>
      <c r="AB263" s="182"/>
      <c r="AC263" s="182"/>
      <c r="AD263" s="182"/>
      <c r="AE263" s="184"/>
      <c r="AF263" s="183"/>
      <c r="AG263" s="183"/>
      <c r="AH263" s="183"/>
      <c r="AI263" s="183"/>
      <c r="AJ263" s="182"/>
      <c r="AK263" s="184"/>
      <c r="AL263" s="182"/>
      <c r="AM263" s="182"/>
      <c r="AN263" s="182"/>
      <c r="AO263" s="182"/>
      <c r="AP263" s="182"/>
      <c r="AQ263" s="182"/>
      <c r="AR263" s="182"/>
    </row>
    <row r="264" spans="1:44">
      <c r="A264" s="182"/>
      <c r="B264" s="182"/>
      <c r="C264" s="182"/>
      <c r="D264" s="182"/>
      <c r="E264" s="182"/>
      <c r="F264" s="182"/>
      <c r="G264" s="182"/>
      <c r="H264" s="182"/>
      <c r="I264" s="182"/>
      <c r="J264" s="182"/>
      <c r="K264" s="182"/>
      <c r="L264" s="182"/>
      <c r="M264" s="182"/>
      <c r="N264" s="177"/>
      <c r="O264" s="182"/>
      <c r="P264" s="179"/>
      <c r="Q264" s="182"/>
      <c r="R264" s="182"/>
      <c r="S264" s="182"/>
      <c r="T264" s="182"/>
      <c r="U264" s="182"/>
      <c r="V264" s="182"/>
      <c r="W264" s="182"/>
      <c r="X264" s="182"/>
      <c r="Y264" s="182"/>
      <c r="Z264" s="182"/>
      <c r="AA264" s="182"/>
      <c r="AB264" s="182"/>
      <c r="AC264" s="182"/>
      <c r="AD264" s="182"/>
      <c r="AE264" s="184"/>
      <c r="AF264" s="183"/>
      <c r="AG264" s="183"/>
      <c r="AH264" s="183"/>
      <c r="AI264" s="183"/>
      <c r="AJ264" s="182"/>
      <c r="AK264" s="184"/>
      <c r="AL264" s="182"/>
      <c r="AM264" s="182"/>
      <c r="AN264" s="182"/>
      <c r="AO264" s="182"/>
      <c r="AP264" s="182"/>
      <c r="AQ264" s="182"/>
      <c r="AR264" s="182"/>
    </row>
    <row r="265" spans="1:44">
      <c r="A265" s="182"/>
      <c r="B265" s="182"/>
      <c r="C265" s="182"/>
      <c r="D265" s="182"/>
      <c r="E265" s="182"/>
      <c r="F265" s="182"/>
      <c r="G265" s="182"/>
      <c r="H265" s="182"/>
      <c r="I265" s="182"/>
      <c r="J265" s="182"/>
      <c r="K265" s="182"/>
      <c r="L265" s="182"/>
      <c r="M265" s="182"/>
      <c r="N265" s="177"/>
      <c r="O265" s="182"/>
      <c r="P265" s="179"/>
      <c r="Q265" s="182"/>
      <c r="R265" s="182"/>
      <c r="S265" s="182"/>
      <c r="T265" s="182"/>
      <c r="U265" s="182"/>
      <c r="V265" s="182"/>
      <c r="W265" s="182"/>
      <c r="X265" s="182"/>
      <c r="Y265" s="182"/>
      <c r="Z265" s="182"/>
      <c r="AA265" s="182"/>
      <c r="AB265" s="182"/>
      <c r="AC265" s="182"/>
      <c r="AD265" s="182"/>
      <c r="AE265" s="184"/>
      <c r="AF265" s="183"/>
      <c r="AG265" s="183"/>
      <c r="AH265" s="183"/>
      <c r="AI265" s="183"/>
      <c r="AJ265" s="182"/>
      <c r="AK265" s="184"/>
      <c r="AL265" s="182"/>
      <c r="AM265" s="182"/>
      <c r="AN265" s="182"/>
      <c r="AO265" s="182"/>
      <c r="AP265" s="182"/>
      <c r="AQ265" s="182"/>
      <c r="AR265" s="182"/>
    </row>
    <row r="266" spans="1:44">
      <c r="A266" s="182"/>
      <c r="B266" s="182"/>
      <c r="C266" s="182"/>
      <c r="D266" s="182"/>
      <c r="E266" s="182"/>
      <c r="F266" s="182"/>
      <c r="G266" s="182"/>
      <c r="H266" s="182"/>
      <c r="I266" s="182"/>
      <c r="J266" s="182"/>
      <c r="K266" s="182"/>
      <c r="L266" s="182"/>
      <c r="M266" s="182"/>
      <c r="N266" s="177"/>
      <c r="O266" s="182"/>
      <c r="P266" s="179"/>
      <c r="Q266" s="182"/>
      <c r="R266" s="182"/>
      <c r="S266" s="182"/>
      <c r="T266" s="182"/>
      <c r="U266" s="182"/>
      <c r="V266" s="182"/>
      <c r="W266" s="182"/>
      <c r="X266" s="182"/>
      <c r="Y266" s="182"/>
      <c r="Z266" s="182"/>
      <c r="AA266" s="182"/>
      <c r="AB266" s="182"/>
      <c r="AC266" s="182"/>
      <c r="AD266" s="182"/>
      <c r="AE266" s="184"/>
      <c r="AF266" s="183"/>
      <c r="AG266" s="183"/>
      <c r="AH266" s="183"/>
      <c r="AI266" s="183"/>
      <c r="AJ266" s="182"/>
      <c r="AK266" s="184"/>
      <c r="AL266" s="182"/>
      <c r="AM266" s="182"/>
      <c r="AN266" s="182"/>
      <c r="AO266" s="182"/>
      <c r="AP266" s="182"/>
      <c r="AQ266" s="182"/>
      <c r="AR266" s="182"/>
    </row>
    <row r="267" spans="1:44">
      <c r="A267" s="182"/>
      <c r="B267" s="182"/>
      <c r="C267" s="182"/>
      <c r="D267" s="182"/>
      <c r="E267" s="182"/>
      <c r="F267" s="182"/>
      <c r="G267" s="182"/>
      <c r="H267" s="182"/>
      <c r="I267" s="182"/>
      <c r="J267" s="182"/>
      <c r="K267" s="182"/>
      <c r="L267" s="182"/>
      <c r="M267" s="182"/>
      <c r="N267" s="177"/>
      <c r="O267" s="182"/>
      <c r="P267" s="179"/>
      <c r="Q267" s="182"/>
      <c r="R267" s="182"/>
      <c r="S267" s="182"/>
      <c r="T267" s="182"/>
      <c r="U267" s="182"/>
      <c r="V267" s="182"/>
      <c r="W267" s="182"/>
      <c r="X267" s="182"/>
      <c r="Y267" s="182"/>
      <c r="Z267" s="182"/>
      <c r="AA267" s="182"/>
      <c r="AB267" s="182"/>
      <c r="AC267" s="182"/>
      <c r="AD267" s="182"/>
      <c r="AE267" s="184"/>
      <c r="AF267" s="183"/>
      <c r="AG267" s="183"/>
      <c r="AH267" s="183"/>
      <c r="AI267" s="183"/>
      <c r="AJ267" s="182"/>
      <c r="AK267" s="184"/>
      <c r="AL267" s="182"/>
      <c r="AM267" s="182"/>
      <c r="AN267" s="182"/>
      <c r="AO267" s="182"/>
      <c r="AP267" s="182"/>
      <c r="AQ267" s="182"/>
      <c r="AR267" s="182"/>
    </row>
    <row r="268" spans="1:44">
      <c r="A268" s="182"/>
      <c r="B268" s="182"/>
      <c r="C268" s="182"/>
      <c r="D268" s="182"/>
      <c r="E268" s="182"/>
      <c r="F268" s="182"/>
      <c r="G268" s="182"/>
      <c r="H268" s="182"/>
      <c r="I268" s="182"/>
      <c r="J268" s="182"/>
      <c r="K268" s="182"/>
      <c r="L268" s="182"/>
      <c r="M268" s="182"/>
      <c r="N268" s="177"/>
      <c r="O268" s="182"/>
      <c r="P268" s="179"/>
      <c r="Q268" s="182"/>
      <c r="R268" s="182"/>
      <c r="S268" s="182"/>
      <c r="T268" s="182"/>
      <c r="U268" s="182"/>
      <c r="V268" s="182"/>
      <c r="W268" s="182"/>
      <c r="X268" s="182"/>
      <c r="Y268" s="182"/>
      <c r="Z268" s="182"/>
      <c r="AA268" s="182"/>
      <c r="AB268" s="182"/>
      <c r="AC268" s="182"/>
      <c r="AD268" s="182"/>
      <c r="AE268" s="184"/>
      <c r="AF268" s="183"/>
      <c r="AG268" s="183"/>
      <c r="AH268" s="183"/>
      <c r="AI268" s="183"/>
      <c r="AJ268" s="182"/>
      <c r="AK268" s="184"/>
      <c r="AL268" s="182"/>
      <c r="AM268" s="182"/>
      <c r="AN268" s="182"/>
      <c r="AO268" s="182"/>
      <c r="AP268" s="182"/>
      <c r="AQ268" s="182"/>
      <c r="AR268" s="182"/>
    </row>
    <row r="269" spans="1:44">
      <c r="A269" s="182"/>
      <c r="B269" s="182"/>
      <c r="C269" s="182"/>
      <c r="D269" s="182"/>
      <c r="E269" s="182"/>
      <c r="F269" s="182"/>
      <c r="G269" s="182"/>
      <c r="H269" s="182"/>
      <c r="I269" s="182"/>
      <c r="J269" s="182"/>
      <c r="K269" s="182"/>
      <c r="L269" s="182"/>
      <c r="M269" s="182"/>
      <c r="N269" s="177"/>
      <c r="O269" s="182"/>
      <c r="P269" s="179"/>
      <c r="Q269" s="182"/>
      <c r="R269" s="182"/>
      <c r="S269" s="182"/>
      <c r="T269" s="182"/>
      <c r="U269" s="182"/>
      <c r="V269" s="182"/>
      <c r="W269" s="182"/>
      <c r="X269" s="182"/>
      <c r="Y269" s="182"/>
      <c r="Z269" s="182"/>
      <c r="AA269" s="182"/>
      <c r="AB269" s="182"/>
      <c r="AC269" s="182"/>
      <c r="AD269" s="182"/>
      <c r="AE269" s="184"/>
      <c r="AF269" s="183"/>
      <c r="AG269" s="183"/>
      <c r="AH269" s="183"/>
      <c r="AI269" s="183"/>
      <c r="AJ269" s="182"/>
      <c r="AK269" s="184"/>
      <c r="AL269" s="182"/>
      <c r="AM269" s="182"/>
      <c r="AN269" s="182"/>
      <c r="AO269" s="182"/>
      <c r="AP269" s="182"/>
      <c r="AQ269" s="182"/>
      <c r="AR269" s="182"/>
    </row>
    <row r="270" spans="1:44">
      <c r="A270" s="182"/>
      <c r="B270" s="182"/>
      <c r="C270" s="182"/>
      <c r="D270" s="182"/>
      <c r="E270" s="182"/>
      <c r="F270" s="182"/>
      <c r="G270" s="182"/>
      <c r="H270" s="182"/>
      <c r="I270" s="182"/>
      <c r="J270" s="182"/>
      <c r="K270" s="182"/>
      <c r="L270" s="182"/>
      <c r="M270" s="182"/>
      <c r="N270" s="177"/>
      <c r="O270" s="182"/>
      <c r="P270" s="179"/>
      <c r="Q270" s="182"/>
      <c r="R270" s="182"/>
      <c r="S270" s="182"/>
      <c r="T270" s="182"/>
      <c r="U270" s="182"/>
      <c r="V270" s="182"/>
      <c r="W270" s="182"/>
      <c r="X270" s="182"/>
      <c r="Y270" s="182"/>
      <c r="Z270" s="182"/>
      <c r="AA270" s="182"/>
      <c r="AB270" s="182"/>
      <c r="AC270" s="182"/>
      <c r="AD270" s="182"/>
      <c r="AE270" s="184"/>
      <c r="AF270" s="183"/>
      <c r="AG270" s="183"/>
      <c r="AH270" s="183"/>
      <c r="AI270" s="183"/>
      <c r="AJ270" s="182"/>
      <c r="AK270" s="184"/>
      <c r="AL270" s="182"/>
      <c r="AM270" s="182"/>
      <c r="AN270" s="182"/>
      <c r="AO270" s="182"/>
      <c r="AP270" s="182"/>
      <c r="AQ270" s="182"/>
      <c r="AR270" s="182"/>
    </row>
    <row r="271" spans="1:44">
      <c r="A271" s="182"/>
      <c r="B271" s="182"/>
      <c r="C271" s="182"/>
      <c r="D271" s="182"/>
      <c r="E271" s="182"/>
      <c r="F271" s="182"/>
      <c r="G271" s="182"/>
      <c r="H271" s="182"/>
      <c r="I271" s="182"/>
      <c r="J271" s="182"/>
      <c r="K271" s="182"/>
      <c r="L271" s="182"/>
      <c r="M271" s="182"/>
      <c r="N271" s="177"/>
      <c r="O271" s="182"/>
      <c r="P271" s="179"/>
      <c r="Q271" s="182"/>
      <c r="R271" s="182"/>
      <c r="S271" s="182"/>
      <c r="T271" s="182"/>
      <c r="U271" s="182"/>
      <c r="V271" s="182"/>
      <c r="W271" s="182"/>
      <c r="X271" s="182"/>
      <c r="Y271" s="182"/>
      <c r="Z271" s="182"/>
      <c r="AA271" s="182"/>
      <c r="AB271" s="182"/>
      <c r="AC271" s="182"/>
      <c r="AD271" s="182"/>
      <c r="AE271" s="184"/>
      <c r="AF271" s="183"/>
      <c r="AG271" s="183"/>
      <c r="AH271" s="183"/>
      <c r="AI271" s="183"/>
      <c r="AJ271" s="182"/>
      <c r="AK271" s="184"/>
      <c r="AL271" s="182"/>
      <c r="AM271" s="182"/>
      <c r="AN271" s="182"/>
      <c r="AO271" s="182"/>
      <c r="AP271" s="182"/>
      <c r="AQ271" s="182"/>
      <c r="AR271" s="182"/>
    </row>
    <row r="272" spans="1:44">
      <c r="A272" s="182"/>
      <c r="B272" s="182"/>
      <c r="C272" s="182"/>
      <c r="D272" s="182"/>
      <c r="E272" s="182"/>
      <c r="F272" s="182"/>
      <c r="G272" s="182"/>
      <c r="H272" s="182"/>
      <c r="I272" s="182"/>
      <c r="J272" s="182"/>
      <c r="K272" s="182"/>
      <c r="L272" s="182"/>
      <c r="M272" s="182"/>
      <c r="N272" s="177"/>
      <c r="O272" s="182"/>
      <c r="P272" s="179"/>
      <c r="Q272" s="182"/>
      <c r="R272" s="182"/>
      <c r="S272" s="182"/>
      <c r="T272" s="182"/>
      <c r="U272" s="182"/>
      <c r="V272" s="182"/>
      <c r="W272" s="182"/>
      <c r="X272" s="182"/>
      <c r="Y272" s="182"/>
      <c r="Z272" s="182"/>
      <c r="AA272" s="182"/>
      <c r="AB272" s="182"/>
      <c r="AC272" s="182"/>
      <c r="AD272" s="182"/>
      <c r="AE272" s="184"/>
      <c r="AF272" s="183"/>
      <c r="AG272" s="183"/>
      <c r="AH272" s="183"/>
      <c r="AI272" s="183"/>
      <c r="AJ272" s="182"/>
      <c r="AK272" s="184"/>
      <c r="AL272" s="182"/>
      <c r="AM272" s="182"/>
      <c r="AN272" s="182"/>
      <c r="AO272" s="182"/>
      <c r="AP272" s="182"/>
      <c r="AQ272" s="182"/>
      <c r="AR272" s="182"/>
    </row>
    <row r="273" spans="1:44">
      <c r="A273" s="182"/>
      <c r="B273" s="182"/>
      <c r="C273" s="182"/>
      <c r="D273" s="182"/>
      <c r="E273" s="182"/>
      <c r="F273" s="182"/>
      <c r="G273" s="182"/>
      <c r="H273" s="182"/>
      <c r="I273" s="182"/>
      <c r="J273" s="182"/>
      <c r="K273" s="182"/>
      <c r="L273" s="182"/>
      <c r="M273" s="182"/>
      <c r="N273" s="177"/>
      <c r="O273" s="182"/>
      <c r="P273" s="179"/>
      <c r="Q273" s="182"/>
      <c r="R273" s="182"/>
      <c r="S273" s="182"/>
      <c r="T273" s="182"/>
      <c r="U273" s="182"/>
      <c r="V273" s="182"/>
      <c r="W273" s="182"/>
      <c r="X273" s="182"/>
      <c r="Y273" s="182"/>
      <c r="Z273" s="182"/>
      <c r="AA273" s="182"/>
      <c r="AB273" s="182"/>
      <c r="AC273" s="182"/>
      <c r="AD273" s="182"/>
      <c r="AE273" s="184"/>
      <c r="AF273" s="183"/>
      <c r="AG273" s="183"/>
      <c r="AH273" s="183"/>
      <c r="AI273" s="183"/>
      <c r="AJ273" s="182"/>
      <c r="AK273" s="184"/>
      <c r="AL273" s="182"/>
      <c r="AM273" s="182"/>
      <c r="AN273" s="182"/>
      <c r="AO273" s="182"/>
      <c r="AP273" s="182"/>
      <c r="AQ273" s="182"/>
      <c r="AR273" s="182"/>
    </row>
    <row r="274" spans="1:44">
      <c r="A274" s="182"/>
      <c r="B274" s="182"/>
      <c r="C274" s="182"/>
      <c r="D274" s="182"/>
      <c r="E274" s="182"/>
      <c r="F274" s="182"/>
      <c r="G274" s="182"/>
      <c r="H274" s="182"/>
      <c r="I274" s="182"/>
      <c r="J274" s="182"/>
      <c r="K274" s="182"/>
      <c r="L274" s="182"/>
      <c r="M274" s="182"/>
      <c r="N274" s="177"/>
      <c r="O274" s="182"/>
      <c r="P274" s="179"/>
      <c r="Q274" s="182"/>
      <c r="R274" s="182"/>
      <c r="S274" s="182"/>
      <c r="T274" s="182"/>
      <c r="U274" s="182"/>
      <c r="V274" s="182"/>
      <c r="W274" s="182"/>
      <c r="X274" s="182"/>
      <c r="Y274" s="182"/>
      <c r="Z274" s="182"/>
      <c r="AA274" s="182"/>
      <c r="AB274" s="182"/>
      <c r="AC274" s="182"/>
      <c r="AD274" s="182"/>
      <c r="AE274" s="184"/>
      <c r="AF274" s="183"/>
      <c r="AG274" s="183"/>
      <c r="AH274" s="183"/>
      <c r="AI274" s="183"/>
      <c r="AJ274" s="182"/>
      <c r="AK274" s="184"/>
      <c r="AL274" s="182"/>
      <c r="AM274" s="182"/>
      <c r="AN274" s="182"/>
      <c r="AO274" s="182"/>
      <c r="AP274" s="182"/>
      <c r="AQ274" s="182"/>
      <c r="AR274" s="182"/>
    </row>
    <row r="275" spans="1:44">
      <c r="A275" s="182"/>
      <c r="B275" s="182"/>
      <c r="C275" s="182"/>
      <c r="D275" s="182"/>
      <c r="E275" s="182"/>
      <c r="F275" s="182"/>
      <c r="G275" s="182"/>
      <c r="H275" s="182"/>
      <c r="I275" s="182"/>
      <c r="J275" s="182"/>
      <c r="K275" s="182"/>
      <c r="L275" s="182"/>
      <c r="M275" s="182"/>
      <c r="N275" s="177"/>
      <c r="O275" s="182"/>
      <c r="P275" s="179"/>
      <c r="Q275" s="182"/>
      <c r="R275" s="182"/>
      <c r="S275" s="182"/>
      <c r="T275" s="182"/>
      <c r="U275" s="182"/>
      <c r="V275" s="182"/>
      <c r="W275" s="182"/>
      <c r="X275" s="182"/>
      <c r="Y275" s="182"/>
      <c r="Z275" s="182"/>
      <c r="AA275" s="182"/>
      <c r="AB275" s="182"/>
      <c r="AC275" s="182"/>
      <c r="AD275" s="182"/>
      <c r="AE275" s="184"/>
      <c r="AF275" s="183"/>
      <c r="AG275" s="183"/>
      <c r="AH275" s="183"/>
      <c r="AI275" s="183"/>
      <c r="AJ275" s="182"/>
      <c r="AK275" s="184"/>
      <c r="AL275" s="182"/>
      <c r="AM275" s="182"/>
      <c r="AN275" s="182"/>
      <c r="AO275" s="182"/>
      <c r="AP275" s="182"/>
      <c r="AQ275" s="182"/>
      <c r="AR275" s="182"/>
    </row>
    <row r="276" spans="1:44">
      <c r="A276" s="182"/>
      <c r="B276" s="182"/>
      <c r="C276" s="182"/>
      <c r="D276" s="182"/>
      <c r="E276" s="182"/>
      <c r="F276" s="182"/>
      <c r="G276" s="182"/>
      <c r="H276" s="182"/>
      <c r="I276" s="182"/>
      <c r="J276" s="182"/>
      <c r="K276" s="182"/>
      <c r="L276" s="182"/>
      <c r="M276" s="182"/>
      <c r="N276" s="177"/>
      <c r="O276" s="182"/>
      <c r="P276" s="179"/>
      <c r="Q276" s="182"/>
      <c r="R276" s="182"/>
      <c r="S276" s="182"/>
      <c r="T276" s="182"/>
      <c r="U276" s="182"/>
      <c r="V276" s="182"/>
      <c r="W276" s="182"/>
      <c r="X276" s="182"/>
      <c r="Y276" s="182"/>
      <c r="Z276" s="182"/>
      <c r="AA276" s="182"/>
      <c r="AB276" s="182"/>
      <c r="AC276" s="182"/>
      <c r="AD276" s="182"/>
      <c r="AE276" s="184"/>
      <c r="AF276" s="183"/>
      <c r="AG276" s="183"/>
      <c r="AH276" s="183"/>
      <c r="AI276" s="183"/>
      <c r="AJ276" s="182"/>
      <c r="AK276" s="184"/>
      <c r="AL276" s="182"/>
      <c r="AM276" s="182"/>
      <c r="AN276" s="182"/>
      <c r="AO276" s="182"/>
      <c r="AP276" s="182"/>
      <c r="AQ276" s="182"/>
      <c r="AR276" s="182"/>
    </row>
    <row r="277" spans="1:44">
      <c r="A277" s="182"/>
      <c r="B277" s="182"/>
      <c r="C277" s="182"/>
      <c r="D277" s="182"/>
      <c r="E277" s="182"/>
      <c r="F277" s="182"/>
      <c r="G277" s="182"/>
      <c r="H277" s="182"/>
      <c r="I277" s="182"/>
      <c r="J277" s="182"/>
      <c r="K277" s="182"/>
      <c r="L277" s="182"/>
      <c r="M277" s="182"/>
      <c r="N277" s="177"/>
      <c r="O277" s="182"/>
      <c r="P277" s="179"/>
      <c r="Q277" s="182"/>
      <c r="R277" s="182"/>
      <c r="S277" s="182"/>
      <c r="T277" s="182"/>
      <c r="U277" s="182"/>
      <c r="V277" s="182"/>
      <c r="W277" s="182"/>
      <c r="X277" s="182"/>
      <c r="Y277" s="182"/>
      <c r="Z277" s="182"/>
      <c r="AA277" s="182"/>
      <c r="AB277" s="182"/>
      <c r="AC277" s="182"/>
      <c r="AD277" s="182"/>
      <c r="AE277" s="184"/>
      <c r="AF277" s="183"/>
      <c r="AG277" s="183"/>
      <c r="AH277" s="183"/>
      <c r="AI277" s="183"/>
      <c r="AJ277" s="182"/>
      <c r="AK277" s="184"/>
      <c r="AL277" s="182"/>
      <c r="AM277" s="182"/>
      <c r="AN277" s="182"/>
      <c r="AO277" s="182"/>
      <c r="AP277" s="182"/>
      <c r="AQ277" s="182"/>
      <c r="AR277" s="182"/>
    </row>
    <row r="278" spans="1:44">
      <c r="A278" s="182"/>
      <c r="B278" s="182"/>
      <c r="C278" s="182"/>
      <c r="D278" s="182"/>
      <c r="E278" s="182"/>
      <c r="F278" s="182"/>
      <c r="G278" s="182"/>
      <c r="H278" s="182"/>
      <c r="I278" s="182"/>
      <c r="J278" s="182"/>
      <c r="K278" s="182"/>
      <c r="L278" s="182"/>
      <c r="M278" s="182"/>
      <c r="N278" s="177"/>
      <c r="O278" s="182"/>
      <c r="P278" s="179"/>
      <c r="Q278" s="182"/>
      <c r="R278" s="182"/>
      <c r="S278" s="182"/>
      <c r="T278" s="182"/>
      <c r="U278" s="182"/>
      <c r="V278" s="182"/>
      <c r="W278" s="182"/>
      <c r="X278" s="182"/>
      <c r="Y278" s="182"/>
      <c r="Z278" s="182"/>
      <c r="AA278" s="182"/>
      <c r="AB278" s="182"/>
      <c r="AC278" s="182"/>
      <c r="AD278" s="182"/>
      <c r="AE278" s="184"/>
      <c r="AF278" s="183"/>
      <c r="AG278" s="183"/>
      <c r="AH278" s="183"/>
      <c r="AI278" s="183"/>
      <c r="AJ278" s="182"/>
      <c r="AK278" s="184"/>
      <c r="AL278" s="182"/>
      <c r="AM278" s="182"/>
      <c r="AN278" s="182"/>
      <c r="AO278" s="182"/>
      <c r="AP278" s="182"/>
      <c r="AQ278" s="182"/>
      <c r="AR278" s="182"/>
    </row>
    <row r="279" spans="1:44">
      <c r="A279" s="182"/>
      <c r="B279" s="182"/>
      <c r="C279" s="182"/>
      <c r="D279" s="182"/>
      <c r="E279" s="182"/>
      <c r="F279" s="182"/>
      <c r="G279" s="182"/>
      <c r="H279" s="182"/>
      <c r="I279" s="182"/>
      <c r="J279" s="182"/>
      <c r="K279" s="182"/>
      <c r="L279" s="182"/>
      <c r="M279" s="182"/>
      <c r="N279" s="177"/>
      <c r="O279" s="182"/>
      <c r="P279" s="179"/>
      <c r="Q279" s="182"/>
      <c r="R279" s="182"/>
      <c r="S279" s="182"/>
      <c r="T279" s="182"/>
      <c r="U279" s="182"/>
      <c r="V279" s="182"/>
      <c r="W279" s="182"/>
      <c r="X279" s="182"/>
      <c r="Y279" s="182"/>
      <c r="Z279" s="182"/>
      <c r="AA279" s="182"/>
      <c r="AB279" s="182"/>
      <c r="AC279" s="182"/>
      <c r="AD279" s="182"/>
      <c r="AE279" s="184"/>
      <c r="AF279" s="183"/>
      <c r="AG279" s="183"/>
      <c r="AH279" s="183"/>
      <c r="AI279" s="183"/>
      <c r="AJ279" s="182"/>
      <c r="AK279" s="184"/>
      <c r="AL279" s="182"/>
      <c r="AM279" s="182"/>
      <c r="AN279" s="182"/>
      <c r="AO279" s="182"/>
      <c r="AP279" s="182"/>
      <c r="AQ279" s="182"/>
      <c r="AR279" s="182"/>
    </row>
    <row r="280" spans="1:44">
      <c r="A280" s="182"/>
      <c r="B280" s="182"/>
      <c r="C280" s="182"/>
      <c r="D280" s="182"/>
      <c r="E280" s="182"/>
      <c r="F280" s="182"/>
      <c r="G280" s="182"/>
      <c r="H280" s="182"/>
      <c r="I280" s="182"/>
      <c r="J280" s="182"/>
      <c r="K280" s="182"/>
      <c r="L280" s="182"/>
      <c r="M280" s="182"/>
      <c r="N280" s="177"/>
      <c r="O280" s="182"/>
      <c r="P280" s="179"/>
      <c r="Q280" s="182"/>
      <c r="R280" s="182"/>
      <c r="S280" s="182"/>
      <c r="T280" s="182"/>
      <c r="U280" s="182"/>
      <c r="V280" s="182"/>
      <c r="W280" s="182"/>
      <c r="X280" s="182"/>
      <c r="Y280" s="182"/>
      <c r="Z280" s="182"/>
      <c r="AA280" s="182"/>
      <c r="AB280" s="182"/>
      <c r="AC280" s="182"/>
      <c r="AD280" s="182"/>
      <c r="AE280" s="184"/>
      <c r="AF280" s="183"/>
      <c r="AG280" s="183"/>
      <c r="AH280" s="183"/>
      <c r="AI280" s="183"/>
      <c r="AJ280" s="182"/>
      <c r="AK280" s="184"/>
      <c r="AL280" s="182"/>
      <c r="AM280" s="182"/>
      <c r="AN280" s="182"/>
      <c r="AO280" s="182"/>
      <c r="AP280" s="182"/>
      <c r="AQ280" s="182"/>
      <c r="AR280" s="182"/>
    </row>
    <row r="281" spans="1:44">
      <c r="A281" s="182"/>
      <c r="B281" s="182"/>
      <c r="C281" s="182"/>
      <c r="D281" s="182"/>
      <c r="E281" s="182"/>
      <c r="F281" s="182"/>
      <c r="G281" s="182"/>
      <c r="H281" s="182"/>
      <c r="I281" s="182"/>
      <c r="J281" s="182"/>
      <c r="K281" s="182"/>
      <c r="L281" s="182"/>
      <c r="M281" s="182"/>
      <c r="N281" s="177"/>
      <c r="O281" s="182"/>
      <c r="P281" s="179"/>
      <c r="Q281" s="182"/>
      <c r="R281" s="182"/>
      <c r="S281" s="182"/>
      <c r="T281" s="182"/>
      <c r="U281" s="182"/>
      <c r="V281" s="182"/>
      <c r="W281" s="182"/>
      <c r="X281" s="182"/>
      <c r="Y281" s="182"/>
      <c r="Z281" s="182"/>
      <c r="AA281" s="182"/>
      <c r="AB281" s="182"/>
      <c r="AC281" s="182"/>
      <c r="AD281" s="182"/>
      <c r="AE281" s="184"/>
      <c r="AF281" s="183"/>
      <c r="AG281" s="183"/>
      <c r="AH281" s="183"/>
      <c r="AI281" s="183"/>
      <c r="AJ281" s="182"/>
      <c r="AK281" s="184"/>
      <c r="AL281" s="182"/>
      <c r="AM281" s="182"/>
      <c r="AN281" s="182"/>
      <c r="AO281" s="182"/>
      <c r="AP281" s="182"/>
      <c r="AQ281" s="182"/>
      <c r="AR281" s="182"/>
    </row>
    <row r="282" spans="1:44">
      <c r="A282" s="182"/>
      <c r="B282" s="182"/>
      <c r="C282" s="182"/>
      <c r="D282" s="182"/>
      <c r="E282" s="182"/>
      <c r="F282" s="182"/>
      <c r="G282" s="182"/>
      <c r="H282" s="182"/>
      <c r="I282" s="182"/>
      <c r="J282" s="182"/>
      <c r="K282" s="182"/>
      <c r="L282" s="182"/>
      <c r="M282" s="182"/>
      <c r="N282" s="177"/>
      <c r="O282" s="182"/>
      <c r="P282" s="179"/>
      <c r="Q282" s="182"/>
      <c r="R282" s="182"/>
      <c r="S282" s="182"/>
      <c r="T282" s="182"/>
      <c r="U282" s="182"/>
      <c r="V282" s="182"/>
      <c r="W282" s="182"/>
      <c r="X282" s="182"/>
      <c r="Y282" s="182"/>
      <c r="Z282" s="182"/>
      <c r="AA282" s="182"/>
      <c r="AB282" s="182"/>
      <c r="AC282" s="182"/>
      <c r="AD282" s="182"/>
      <c r="AE282" s="184"/>
      <c r="AF282" s="183"/>
      <c r="AG282" s="183"/>
      <c r="AH282" s="183"/>
      <c r="AI282" s="183"/>
      <c r="AJ282" s="182"/>
      <c r="AK282" s="184"/>
      <c r="AL282" s="182"/>
      <c r="AM282" s="182"/>
      <c r="AN282" s="182"/>
      <c r="AO282" s="182"/>
      <c r="AP282" s="182"/>
      <c r="AQ282" s="182"/>
      <c r="AR282" s="182"/>
    </row>
    <row r="283" spans="1:44">
      <c r="A283" s="182"/>
      <c r="B283" s="182"/>
      <c r="C283" s="182"/>
      <c r="D283" s="182"/>
      <c r="E283" s="182"/>
      <c r="F283" s="182"/>
      <c r="G283" s="182"/>
      <c r="H283" s="182"/>
      <c r="I283" s="182"/>
      <c r="J283" s="182"/>
      <c r="K283" s="182"/>
      <c r="L283" s="182"/>
      <c r="M283" s="182"/>
      <c r="N283" s="177"/>
      <c r="O283" s="182"/>
      <c r="P283" s="179"/>
      <c r="Q283" s="182"/>
      <c r="R283" s="182"/>
      <c r="S283" s="182"/>
      <c r="T283" s="182"/>
      <c r="U283" s="182"/>
      <c r="V283" s="182"/>
      <c r="W283" s="182"/>
      <c r="X283" s="182"/>
      <c r="Y283" s="182"/>
      <c r="Z283" s="182"/>
      <c r="AA283" s="182"/>
      <c r="AB283" s="182"/>
      <c r="AC283" s="182"/>
      <c r="AD283" s="182"/>
      <c r="AE283" s="184"/>
      <c r="AF283" s="183"/>
      <c r="AG283" s="183"/>
      <c r="AH283" s="183"/>
      <c r="AI283" s="183"/>
      <c r="AJ283" s="182"/>
      <c r="AK283" s="184"/>
      <c r="AL283" s="182"/>
      <c r="AM283" s="182"/>
      <c r="AN283" s="182"/>
      <c r="AO283" s="182"/>
      <c r="AP283" s="182"/>
      <c r="AQ283" s="182"/>
      <c r="AR283" s="182"/>
    </row>
    <row r="284" spans="1:44">
      <c r="A284" s="182"/>
      <c r="B284" s="182"/>
      <c r="C284" s="182"/>
      <c r="D284" s="182"/>
      <c r="E284" s="182"/>
      <c r="F284" s="182"/>
      <c r="G284" s="182"/>
      <c r="H284" s="182"/>
      <c r="I284" s="182"/>
      <c r="J284" s="182"/>
      <c r="K284" s="182"/>
      <c r="L284" s="182"/>
      <c r="M284" s="182"/>
      <c r="N284" s="177"/>
      <c r="O284" s="182"/>
      <c r="P284" s="179"/>
      <c r="Q284" s="182"/>
      <c r="R284" s="182"/>
      <c r="S284" s="182"/>
      <c r="T284" s="182"/>
      <c r="U284" s="182"/>
      <c r="V284" s="182"/>
      <c r="W284" s="182"/>
      <c r="X284" s="182"/>
      <c r="Y284" s="182"/>
      <c r="Z284" s="182"/>
      <c r="AA284" s="182"/>
      <c r="AB284" s="182"/>
      <c r="AC284" s="182"/>
      <c r="AD284" s="182"/>
      <c r="AE284" s="184"/>
      <c r="AF284" s="183"/>
      <c r="AG284" s="183"/>
      <c r="AH284" s="183"/>
      <c r="AI284" s="183"/>
      <c r="AJ284" s="182"/>
      <c r="AK284" s="184"/>
      <c r="AL284" s="182"/>
      <c r="AM284" s="182"/>
      <c r="AN284" s="182"/>
      <c r="AO284" s="182"/>
      <c r="AP284" s="182"/>
      <c r="AQ284" s="182"/>
      <c r="AR284" s="182"/>
    </row>
    <row r="285" spans="1:44">
      <c r="A285" s="182"/>
      <c r="B285" s="182"/>
      <c r="C285" s="182"/>
      <c r="D285" s="182"/>
      <c r="E285" s="182"/>
      <c r="F285" s="182"/>
      <c r="G285" s="182"/>
      <c r="H285" s="182"/>
      <c r="I285" s="182"/>
      <c r="J285" s="182"/>
      <c r="K285" s="182"/>
      <c r="L285" s="182"/>
      <c r="M285" s="182"/>
      <c r="N285" s="177"/>
      <c r="O285" s="182"/>
      <c r="P285" s="179"/>
      <c r="Q285" s="182"/>
      <c r="R285" s="182"/>
      <c r="S285" s="182"/>
      <c r="T285" s="182"/>
      <c r="U285" s="182"/>
      <c r="V285" s="182"/>
      <c r="W285" s="182"/>
      <c r="X285" s="182"/>
      <c r="Y285" s="182"/>
      <c r="Z285" s="182"/>
      <c r="AA285" s="182"/>
      <c r="AB285" s="182"/>
      <c r="AC285" s="182"/>
      <c r="AD285" s="182"/>
      <c r="AE285" s="184"/>
      <c r="AF285" s="183"/>
      <c r="AG285" s="183"/>
      <c r="AH285" s="183"/>
      <c r="AI285" s="183"/>
      <c r="AJ285" s="182"/>
      <c r="AK285" s="184"/>
      <c r="AL285" s="182"/>
      <c r="AM285" s="182"/>
      <c r="AN285" s="182"/>
      <c r="AO285" s="182"/>
      <c r="AP285" s="182"/>
      <c r="AQ285" s="182"/>
      <c r="AR285" s="182"/>
    </row>
    <row r="286" spans="1:44">
      <c r="A286" s="182"/>
      <c r="B286" s="182"/>
      <c r="C286" s="182"/>
      <c r="D286" s="182"/>
      <c r="E286" s="182"/>
      <c r="F286" s="182"/>
      <c r="G286" s="182"/>
      <c r="H286" s="182"/>
      <c r="I286" s="182"/>
      <c r="J286" s="182"/>
      <c r="K286" s="182"/>
      <c r="L286" s="182"/>
      <c r="M286" s="182"/>
      <c r="N286" s="177"/>
      <c r="O286" s="182"/>
      <c r="P286" s="179"/>
      <c r="Q286" s="182"/>
      <c r="R286" s="182"/>
      <c r="S286" s="182"/>
      <c r="T286" s="182"/>
      <c r="U286" s="182"/>
      <c r="V286" s="182"/>
      <c r="W286" s="182"/>
      <c r="X286" s="182"/>
      <c r="Y286" s="182"/>
      <c r="Z286" s="182"/>
      <c r="AA286" s="182"/>
      <c r="AB286" s="182"/>
      <c r="AC286" s="182"/>
      <c r="AD286" s="182"/>
      <c r="AE286" s="184"/>
      <c r="AF286" s="183"/>
      <c r="AG286" s="183"/>
      <c r="AH286" s="183"/>
      <c r="AI286" s="183"/>
      <c r="AJ286" s="182"/>
      <c r="AK286" s="184"/>
      <c r="AL286" s="182"/>
      <c r="AM286" s="182"/>
      <c r="AN286" s="182"/>
      <c r="AO286" s="182"/>
      <c r="AP286" s="182"/>
      <c r="AQ286" s="182"/>
      <c r="AR286" s="182"/>
    </row>
    <row r="287" spans="1:44">
      <c r="A287" s="182"/>
      <c r="B287" s="182"/>
      <c r="C287" s="182"/>
      <c r="D287" s="182"/>
      <c r="E287" s="182"/>
      <c r="F287" s="182"/>
      <c r="G287" s="182"/>
      <c r="H287" s="182"/>
      <c r="I287" s="182"/>
      <c r="J287" s="182"/>
      <c r="K287" s="182"/>
      <c r="L287" s="182"/>
      <c r="M287" s="182"/>
      <c r="N287" s="177"/>
      <c r="O287" s="182"/>
      <c r="P287" s="179"/>
      <c r="Q287" s="182"/>
      <c r="R287" s="182"/>
      <c r="S287" s="182"/>
      <c r="T287" s="182"/>
      <c r="U287" s="182"/>
      <c r="V287" s="182"/>
      <c r="W287" s="182"/>
      <c r="X287" s="182"/>
      <c r="Y287" s="182"/>
      <c r="Z287" s="182"/>
      <c r="AA287" s="182"/>
      <c r="AB287" s="182"/>
      <c r="AC287" s="182"/>
      <c r="AD287" s="182"/>
      <c r="AE287" s="184"/>
      <c r="AF287" s="183"/>
      <c r="AG287" s="183"/>
      <c r="AH287" s="183"/>
      <c r="AI287" s="183"/>
      <c r="AJ287" s="182"/>
      <c r="AK287" s="184"/>
      <c r="AL287" s="182"/>
      <c r="AM287" s="182"/>
      <c r="AN287" s="182"/>
      <c r="AO287" s="182"/>
      <c r="AP287" s="182"/>
      <c r="AQ287" s="182"/>
      <c r="AR287" s="182"/>
    </row>
    <row r="288" spans="1:44">
      <c r="A288" s="182"/>
      <c r="B288" s="182"/>
      <c r="C288" s="182"/>
      <c r="D288" s="182"/>
      <c r="E288" s="182"/>
      <c r="F288" s="182"/>
      <c r="G288" s="182"/>
      <c r="H288" s="182"/>
      <c r="I288" s="182"/>
      <c r="J288" s="182"/>
      <c r="K288" s="182"/>
      <c r="L288" s="182"/>
      <c r="M288" s="182"/>
      <c r="N288" s="177"/>
      <c r="O288" s="182"/>
      <c r="P288" s="179"/>
      <c r="Q288" s="182"/>
      <c r="R288" s="182"/>
      <c r="S288" s="182"/>
      <c r="T288" s="182"/>
      <c r="U288" s="182"/>
      <c r="V288" s="182"/>
      <c r="W288" s="182"/>
      <c r="X288" s="182"/>
      <c r="Y288" s="182"/>
      <c r="Z288" s="182"/>
      <c r="AA288" s="182"/>
      <c r="AB288" s="182"/>
      <c r="AC288" s="182"/>
      <c r="AD288" s="182"/>
      <c r="AE288" s="184"/>
      <c r="AF288" s="183"/>
      <c r="AG288" s="183"/>
      <c r="AH288" s="183"/>
      <c r="AI288" s="183"/>
      <c r="AJ288" s="182"/>
      <c r="AK288" s="184"/>
      <c r="AL288" s="182"/>
      <c r="AM288" s="182"/>
      <c r="AN288" s="182"/>
      <c r="AO288" s="182"/>
      <c r="AP288" s="182"/>
      <c r="AQ288" s="182"/>
      <c r="AR288" s="182"/>
    </row>
    <row r="289" spans="1:44">
      <c r="A289" s="182"/>
      <c r="B289" s="182"/>
      <c r="C289" s="182"/>
      <c r="D289" s="182"/>
      <c r="E289" s="182"/>
      <c r="F289" s="182"/>
      <c r="G289" s="182"/>
      <c r="H289" s="182"/>
      <c r="I289" s="182"/>
      <c r="J289" s="182"/>
      <c r="K289" s="182"/>
      <c r="L289" s="182"/>
      <c r="M289" s="182"/>
      <c r="N289" s="177"/>
      <c r="O289" s="182"/>
      <c r="P289" s="179"/>
      <c r="Q289" s="182"/>
      <c r="R289" s="182"/>
      <c r="S289" s="182"/>
      <c r="T289" s="182"/>
      <c r="U289" s="182"/>
      <c r="V289" s="182"/>
      <c r="W289" s="182"/>
      <c r="X289" s="182"/>
      <c r="Y289" s="182"/>
      <c r="Z289" s="182"/>
      <c r="AA289" s="182"/>
      <c r="AB289" s="182"/>
      <c r="AC289" s="182"/>
      <c r="AD289" s="182"/>
      <c r="AE289" s="184"/>
      <c r="AF289" s="183"/>
      <c r="AG289" s="183"/>
      <c r="AH289" s="183"/>
      <c r="AI289" s="183"/>
      <c r="AJ289" s="182"/>
      <c r="AK289" s="184"/>
      <c r="AL289" s="182"/>
      <c r="AM289" s="182"/>
      <c r="AN289" s="182"/>
      <c r="AO289" s="182"/>
      <c r="AP289" s="182"/>
      <c r="AQ289" s="182"/>
      <c r="AR289" s="182"/>
    </row>
    <row r="290" spans="1:44">
      <c r="A290" s="182"/>
      <c r="B290" s="182"/>
      <c r="C290" s="182"/>
      <c r="D290" s="182"/>
      <c r="E290" s="182"/>
      <c r="F290" s="182"/>
      <c r="G290" s="182"/>
      <c r="H290" s="182"/>
      <c r="I290" s="182"/>
      <c r="J290" s="182"/>
      <c r="K290" s="182"/>
      <c r="L290" s="182"/>
      <c r="M290" s="182"/>
      <c r="N290" s="177"/>
      <c r="O290" s="182"/>
      <c r="P290" s="179"/>
      <c r="Q290" s="182"/>
      <c r="R290" s="182"/>
      <c r="S290" s="182"/>
      <c r="T290" s="182"/>
      <c r="U290" s="182"/>
      <c r="V290" s="182"/>
      <c r="W290" s="182"/>
      <c r="X290" s="182"/>
      <c r="Y290" s="182"/>
      <c r="Z290" s="182"/>
      <c r="AA290" s="182"/>
      <c r="AB290" s="182"/>
      <c r="AC290" s="182"/>
      <c r="AD290" s="182"/>
      <c r="AE290" s="184"/>
      <c r="AF290" s="183"/>
      <c r="AG290" s="183"/>
      <c r="AH290" s="183"/>
      <c r="AI290" s="183"/>
      <c r="AJ290" s="182"/>
      <c r="AK290" s="184"/>
      <c r="AL290" s="182"/>
      <c r="AM290" s="182"/>
      <c r="AN290" s="182"/>
      <c r="AO290" s="182"/>
      <c r="AP290" s="182"/>
      <c r="AQ290" s="182"/>
      <c r="AR290" s="182"/>
    </row>
    <row r="291" spans="1:44">
      <c r="A291" s="182"/>
      <c r="B291" s="182"/>
      <c r="C291" s="182"/>
      <c r="D291" s="182"/>
      <c r="E291" s="182"/>
      <c r="F291" s="182"/>
      <c r="G291" s="182"/>
      <c r="H291" s="182"/>
      <c r="I291" s="182"/>
      <c r="J291" s="182"/>
      <c r="K291" s="182"/>
      <c r="L291" s="182"/>
      <c r="M291" s="182"/>
      <c r="N291" s="177"/>
      <c r="O291" s="182"/>
      <c r="P291" s="179"/>
      <c r="Q291" s="182"/>
      <c r="R291" s="182"/>
      <c r="S291" s="182"/>
      <c r="T291" s="182"/>
      <c r="U291" s="182"/>
      <c r="V291" s="182"/>
      <c r="W291" s="182"/>
      <c r="X291" s="182"/>
      <c r="Y291" s="182"/>
      <c r="Z291" s="182"/>
      <c r="AA291" s="182"/>
      <c r="AB291" s="182"/>
      <c r="AC291" s="182"/>
      <c r="AD291" s="182"/>
      <c r="AE291" s="184"/>
      <c r="AF291" s="183"/>
      <c r="AG291" s="183"/>
      <c r="AH291" s="183"/>
      <c r="AI291" s="183"/>
      <c r="AJ291" s="182"/>
      <c r="AK291" s="184"/>
      <c r="AL291" s="182"/>
      <c r="AM291" s="182"/>
      <c r="AN291" s="182"/>
      <c r="AO291" s="182"/>
      <c r="AP291" s="182"/>
      <c r="AQ291" s="182"/>
      <c r="AR291" s="182"/>
    </row>
    <row r="292" spans="1:44">
      <c r="A292" s="182"/>
      <c r="B292" s="182"/>
      <c r="C292" s="182"/>
      <c r="D292" s="182"/>
      <c r="E292" s="182"/>
      <c r="F292" s="182"/>
      <c r="G292" s="182"/>
      <c r="H292" s="182"/>
      <c r="I292" s="182"/>
      <c r="J292" s="182"/>
      <c r="K292" s="182"/>
      <c r="L292" s="182"/>
      <c r="M292" s="182"/>
      <c r="N292" s="177"/>
      <c r="O292" s="182"/>
      <c r="P292" s="179"/>
      <c r="Q292" s="182"/>
      <c r="R292" s="182"/>
      <c r="S292" s="182"/>
      <c r="T292" s="182"/>
      <c r="U292" s="182"/>
      <c r="V292" s="182"/>
      <c r="W292" s="182"/>
      <c r="X292" s="182"/>
      <c r="Y292" s="182"/>
      <c r="Z292" s="182"/>
      <c r="AA292" s="182"/>
      <c r="AB292" s="182"/>
      <c r="AC292" s="182"/>
      <c r="AD292" s="182"/>
      <c r="AE292" s="184"/>
      <c r="AF292" s="183"/>
      <c r="AG292" s="183"/>
      <c r="AH292" s="183"/>
      <c r="AI292" s="183"/>
      <c r="AJ292" s="182"/>
      <c r="AK292" s="184"/>
      <c r="AL292" s="182"/>
      <c r="AM292" s="182"/>
      <c r="AN292" s="182"/>
      <c r="AO292" s="182"/>
      <c r="AP292" s="182"/>
      <c r="AQ292" s="182"/>
      <c r="AR292" s="182"/>
    </row>
    <row r="293" spans="1:44">
      <c r="A293" s="182"/>
      <c r="B293" s="182"/>
      <c r="C293" s="182"/>
      <c r="D293" s="182"/>
      <c r="E293" s="182"/>
      <c r="F293" s="182"/>
      <c r="G293" s="182"/>
      <c r="H293" s="182"/>
      <c r="I293" s="182"/>
      <c r="J293" s="182"/>
      <c r="K293" s="182"/>
      <c r="L293" s="182"/>
      <c r="M293" s="182"/>
      <c r="N293" s="177"/>
      <c r="O293" s="182"/>
      <c r="P293" s="179"/>
      <c r="Q293" s="182"/>
      <c r="R293" s="182"/>
      <c r="S293" s="182"/>
      <c r="T293" s="182"/>
      <c r="U293" s="182"/>
      <c r="V293" s="182"/>
      <c r="W293" s="182"/>
      <c r="X293" s="182"/>
      <c r="Y293" s="182"/>
      <c r="Z293" s="182"/>
      <c r="AA293" s="182"/>
      <c r="AB293" s="182"/>
      <c r="AC293" s="182"/>
      <c r="AD293" s="182"/>
      <c r="AE293" s="184"/>
      <c r="AF293" s="183"/>
      <c r="AG293" s="183"/>
      <c r="AH293" s="183"/>
      <c r="AI293" s="183"/>
      <c r="AJ293" s="182"/>
      <c r="AK293" s="184"/>
      <c r="AL293" s="182"/>
      <c r="AM293" s="182"/>
      <c r="AN293" s="182"/>
      <c r="AO293" s="182"/>
      <c r="AP293" s="182"/>
      <c r="AQ293" s="182"/>
      <c r="AR293" s="182"/>
    </row>
    <row r="294" spans="1:44">
      <c r="A294" s="182"/>
      <c r="B294" s="182"/>
      <c r="C294" s="182"/>
      <c r="D294" s="182"/>
      <c r="E294" s="182"/>
      <c r="F294" s="182"/>
      <c r="G294" s="182"/>
      <c r="H294" s="182"/>
      <c r="I294" s="182"/>
      <c r="J294" s="182"/>
      <c r="K294" s="182"/>
      <c r="L294" s="182"/>
      <c r="M294" s="182"/>
      <c r="N294" s="177"/>
      <c r="O294" s="182"/>
      <c r="P294" s="179"/>
      <c r="Q294" s="182"/>
      <c r="R294" s="182"/>
      <c r="S294" s="182"/>
      <c r="T294" s="182"/>
      <c r="U294" s="182"/>
      <c r="V294" s="182"/>
      <c r="W294" s="182"/>
      <c r="X294" s="182"/>
      <c r="Y294" s="182"/>
      <c r="Z294" s="182"/>
      <c r="AA294" s="182"/>
      <c r="AB294" s="182"/>
      <c r="AC294" s="182"/>
      <c r="AD294" s="182"/>
      <c r="AE294" s="184"/>
      <c r="AF294" s="183"/>
      <c r="AG294" s="183"/>
      <c r="AH294" s="183"/>
      <c r="AI294" s="183"/>
      <c r="AJ294" s="182"/>
      <c r="AK294" s="184"/>
      <c r="AL294" s="182"/>
      <c r="AM294" s="182"/>
      <c r="AN294" s="182"/>
      <c r="AO294" s="182"/>
      <c r="AP294" s="182"/>
      <c r="AQ294" s="182"/>
      <c r="AR294" s="182"/>
    </row>
    <row r="295" spans="1:44">
      <c r="A295" s="182"/>
      <c r="B295" s="182"/>
      <c r="C295" s="182"/>
      <c r="D295" s="182"/>
      <c r="E295" s="182"/>
      <c r="F295" s="182"/>
      <c r="G295" s="182"/>
      <c r="H295" s="182"/>
      <c r="I295" s="182"/>
      <c r="J295" s="182"/>
      <c r="K295" s="182"/>
      <c r="L295" s="182"/>
      <c r="M295" s="182"/>
      <c r="N295" s="177"/>
      <c r="O295" s="182"/>
      <c r="P295" s="179"/>
      <c r="Q295" s="182"/>
      <c r="R295" s="182"/>
      <c r="S295" s="182"/>
      <c r="T295" s="182"/>
      <c r="U295" s="182"/>
      <c r="V295" s="182"/>
      <c r="W295" s="182"/>
      <c r="X295" s="182"/>
      <c r="Y295" s="182"/>
      <c r="Z295" s="182"/>
      <c r="AA295" s="182"/>
      <c r="AB295" s="182"/>
      <c r="AC295" s="182"/>
      <c r="AD295" s="182"/>
      <c r="AE295" s="184"/>
      <c r="AF295" s="183"/>
      <c r="AG295" s="183"/>
      <c r="AH295" s="183"/>
      <c r="AI295" s="183"/>
      <c r="AJ295" s="182"/>
      <c r="AK295" s="184"/>
      <c r="AL295" s="182"/>
      <c r="AM295" s="182"/>
      <c r="AN295" s="182"/>
      <c r="AO295" s="182"/>
      <c r="AP295" s="182"/>
      <c r="AQ295" s="182"/>
      <c r="AR295" s="182"/>
    </row>
    <row r="296" spans="1:44">
      <c r="A296" s="182"/>
      <c r="B296" s="182"/>
      <c r="C296" s="182"/>
      <c r="D296" s="182"/>
      <c r="E296" s="182"/>
      <c r="F296" s="182"/>
      <c r="G296" s="182"/>
      <c r="H296" s="182"/>
      <c r="I296" s="182"/>
      <c r="J296" s="182"/>
      <c r="K296" s="182"/>
      <c r="L296" s="182"/>
      <c r="M296" s="182"/>
      <c r="N296" s="177"/>
      <c r="O296" s="182"/>
      <c r="P296" s="179"/>
      <c r="Q296" s="182"/>
      <c r="R296" s="182"/>
      <c r="S296" s="182"/>
      <c r="T296" s="182"/>
      <c r="U296" s="182"/>
      <c r="V296" s="182"/>
      <c r="W296" s="182"/>
      <c r="X296" s="182"/>
      <c r="Y296" s="182"/>
      <c r="Z296" s="182"/>
      <c r="AA296" s="182"/>
      <c r="AB296" s="182"/>
      <c r="AC296" s="182"/>
      <c r="AD296" s="182"/>
      <c r="AE296" s="184"/>
      <c r="AF296" s="183"/>
      <c r="AG296" s="183"/>
      <c r="AH296" s="183"/>
      <c r="AI296" s="183"/>
      <c r="AJ296" s="182"/>
      <c r="AK296" s="184"/>
      <c r="AL296" s="182"/>
      <c r="AM296" s="182"/>
      <c r="AN296" s="182"/>
      <c r="AO296" s="182"/>
      <c r="AP296" s="182"/>
      <c r="AQ296" s="182"/>
      <c r="AR296" s="182"/>
    </row>
    <row r="297" spans="1:44">
      <c r="A297" s="182"/>
      <c r="B297" s="182"/>
      <c r="C297" s="182"/>
      <c r="D297" s="182"/>
      <c r="E297" s="182"/>
      <c r="F297" s="182"/>
      <c r="G297" s="182"/>
      <c r="H297" s="182"/>
      <c r="I297" s="182"/>
      <c r="J297" s="182"/>
      <c r="K297" s="182"/>
      <c r="L297" s="182"/>
      <c r="M297" s="182"/>
      <c r="N297" s="177"/>
      <c r="O297" s="182"/>
      <c r="P297" s="179"/>
      <c r="Q297" s="182"/>
      <c r="R297" s="182"/>
      <c r="S297" s="182"/>
      <c r="T297" s="182"/>
      <c r="U297" s="182"/>
      <c r="V297" s="182"/>
      <c r="W297" s="182"/>
      <c r="X297" s="182"/>
      <c r="Y297" s="182"/>
      <c r="Z297" s="182"/>
      <c r="AA297" s="182"/>
      <c r="AB297" s="182"/>
      <c r="AC297" s="182"/>
      <c r="AD297" s="182"/>
      <c r="AE297" s="184"/>
      <c r="AF297" s="183"/>
      <c r="AG297" s="183"/>
      <c r="AH297" s="183"/>
      <c r="AI297" s="183"/>
      <c r="AJ297" s="182"/>
      <c r="AK297" s="184"/>
      <c r="AL297" s="182"/>
      <c r="AM297" s="182"/>
      <c r="AN297" s="182"/>
      <c r="AO297" s="182"/>
      <c r="AP297" s="182"/>
      <c r="AQ297" s="182"/>
      <c r="AR297" s="182"/>
    </row>
    <row r="298" spans="1:44">
      <c r="A298" s="182"/>
      <c r="B298" s="182"/>
      <c r="C298" s="182"/>
      <c r="D298" s="182"/>
      <c r="E298" s="182"/>
      <c r="F298" s="182"/>
      <c r="G298" s="182"/>
      <c r="H298" s="182"/>
      <c r="I298" s="182"/>
      <c r="J298" s="182"/>
      <c r="K298" s="182"/>
      <c r="L298" s="182"/>
      <c r="M298" s="182"/>
      <c r="N298" s="177"/>
      <c r="O298" s="182"/>
      <c r="P298" s="179"/>
      <c r="Q298" s="182"/>
      <c r="R298" s="182"/>
      <c r="S298" s="182"/>
      <c r="T298" s="182"/>
      <c r="U298" s="182"/>
      <c r="V298" s="182"/>
      <c r="W298" s="182"/>
      <c r="X298" s="182"/>
      <c r="Y298" s="182"/>
      <c r="Z298" s="182"/>
      <c r="AA298" s="182"/>
      <c r="AB298" s="182"/>
      <c r="AC298" s="182"/>
      <c r="AD298" s="182"/>
      <c r="AE298" s="184"/>
      <c r="AF298" s="183"/>
      <c r="AG298" s="183"/>
      <c r="AH298" s="183"/>
      <c r="AI298" s="183"/>
      <c r="AJ298" s="182"/>
      <c r="AK298" s="184"/>
      <c r="AL298" s="182"/>
      <c r="AM298" s="182"/>
      <c r="AN298" s="182"/>
      <c r="AO298" s="182"/>
      <c r="AP298" s="182"/>
      <c r="AQ298" s="182"/>
      <c r="AR298" s="182"/>
    </row>
    <row r="299" spans="1:44">
      <c r="A299" s="182"/>
      <c r="B299" s="182"/>
      <c r="C299" s="182"/>
      <c r="D299" s="182"/>
      <c r="E299" s="182"/>
      <c r="F299" s="182"/>
      <c r="G299" s="182"/>
      <c r="H299" s="182"/>
      <c r="I299" s="182"/>
      <c r="J299" s="182"/>
      <c r="K299" s="182"/>
      <c r="L299" s="182"/>
      <c r="M299" s="182"/>
      <c r="N299" s="177"/>
      <c r="O299" s="182"/>
      <c r="P299" s="179"/>
      <c r="Q299" s="182"/>
      <c r="R299" s="182"/>
      <c r="S299" s="182"/>
      <c r="T299" s="182"/>
      <c r="U299" s="182"/>
      <c r="V299" s="182"/>
      <c r="W299" s="182"/>
      <c r="X299" s="182"/>
      <c r="Y299" s="182"/>
      <c r="Z299" s="182"/>
      <c r="AA299" s="182"/>
      <c r="AB299" s="182"/>
      <c r="AC299" s="182"/>
      <c r="AD299" s="182"/>
      <c r="AE299" s="184"/>
      <c r="AF299" s="183"/>
      <c r="AG299" s="183"/>
      <c r="AH299" s="183"/>
      <c r="AI299" s="183"/>
      <c r="AJ299" s="182"/>
      <c r="AK299" s="184"/>
      <c r="AL299" s="182"/>
      <c r="AM299" s="182"/>
      <c r="AN299" s="182"/>
      <c r="AO299" s="182"/>
      <c r="AP299" s="182"/>
      <c r="AQ299" s="182"/>
      <c r="AR299" s="182"/>
    </row>
    <row r="300" spans="1:44">
      <c r="A300" s="182"/>
      <c r="B300" s="182"/>
      <c r="C300" s="182"/>
      <c r="D300" s="182"/>
      <c r="E300" s="182"/>
      <c r="F300" s="182"/>
      <c r="G300" s="182"/>
      <c r="H300" s="182"/>
      <c r="I300" s="182"/>
      <c r="J300" s="182"/>
      <c r="K300" s="182"/>
      <c r="L300" s="182"/>
      <c r="M300" s="182"/>
      <c r="N300" s="177"/>
      <c r="O300" s="182"/>
      <c r="P300" s="179"/>
      <c r="Q300" s="182"/>
      <c r="R300" s="182"/>
      <c r="S300" s="182"/>
      <c r="T300" s="182"/>
      <c r="U300" s="182"/>
      <c r="V300" s="182"/>
      <c r="W300" s="182"/>
      <c r="X300" s="182"/>
      <c r="Y300" s="182"/>
      <c r="Z300" s="182"/>
      <c r="AA300" s="182"/>
      <c r="AB300" s="182"/>
      <c r="AC300" s="182"/>
      <c r="AD300" s="182"/>
      <c r="AE300" s="184"/>
      <c r="AF300" s="183"/>
      <c r="AG300" s="183"/>
      <c r="AH300" s="183"/>
      <c r="AI300" s="183"/>
      <c r="AJ300" s="182"/>
      <c r="AK300" s="184"/>
      <c r="AL300" s="182"/>
      <c r="AM300" s="182"/>
      <c r="AN300" s="182"/>
      <c r="AO300" s="182"/>
      <c r="AP300" s="182"/>
      <c r="AQ300" s="182"/>
      <c r="AR300" s="182"/>
    </row>
    <row r="301" spans="1:44">
      <c r="A301" s="182"/>
      <c r="B301" s="182"/>
      <c r="C301" s="182"/>
      <c r="D301" s="182"/>
      <c r="E301" s="182"/>
      <c r="F301" s="182"/>
      <c r="G301" s="182"/>
      <c r="H301" s="182"/>
      <c r="I301" s="182"/>
      <c r="J301" s="182"/>
      <c r="K301" s="182"/>
      <c r="L301" s="182"/>
      <c r="M301" s="182"/>
      <c r="N301" s="177"/>
      <c r="O301" s="182"/>
      <c r="P301" s="179"/>
      <c r="Q301" s="182"/>
      <c r="R301" s="182"/>
      <c r="S301" s="182"/>
      <c r="T301" s="182"/>
      <c r="U301" s="182"/>
      <c r="V301" s="182"/>
      <c r="W301" s="182"/>
      <c r="X301" s="182"/>
      <c r="Y301" s="182"/>
      <c r="Z301" s="182"/>
      <c r="AA301" s="182"/>
      <c r="AB301" s="182"/>
      <c r="AC301" s="182"/>
      <c r="AD301" s="182"/>
      <c r="AE301" s="184"/>
      <c r="AF301" s="183"/>
      <c r="AG301" s="183"/>
      <c r="AH301" s="183"/>
      <c r="AI301" s="183"/>
      <c r="AJ301" s="182"/>
      <c r="AK301" s="184"/>
      <c r="AL301" s="182"/>
      <c r="AM301" s="182"/>
      <c r="AN301" s="182"/>
      <c r="AO301" s="182"/>
      <c r="AP301" s="182"/>
      <c r="AQ301" s="182"/>
      <c r="AR301" s="182"/>
    </row>
    <row r="302" spans="1:44">
      <c r="A302" s="182"/>
      <c r="B302" s="182"/>
      <c r="C302" s="182"/>
      <c r="D302" s="182"/>
      <c r="E302" s="182"/>
      <c r="F302" s="182"/>
      <c r="G302" s="182"/>
      <c r="H302" s="182"/>
      <c r="I302" s="182"/>
      <c r="J302" s="182"/>
      <c r="K302" s="182"/>
      <c r="L302" s="182"/>
      <c r="M302" s="182"/>
      <c r="N302" s="177"/>
      <c r="O302" s="182"/>
      <c r="P302" s="179"/>
      <c r="Q302" s="182"/>
      <c r="R302" s="182"/>
      <c r="S302" s="182"/>
      <c r="T302" s="182"/>
      <c r="U302" s="182"/>
      <c r="V302" s="182"/>
      <c r="W302" s="182"/>
      <c r="X302" s="182"/>
      <c r="Y302" s="182"/>
      <c r="Z302" s="182"/>
      <c r="AA302" s="182"/>
      <c r="AB302" s="182"/>
      <c r="AC302" s="182"/>
      <c r="AD302" s="182"/>
      <c r="AE302" s="184"/>
      <c r="AF302" s="183"/>
      <c r="AG302" s="183"/>
      <c r="AH302" s="183"/>
      <c r="AI302" s="183"/>
      <c r="AJ302" s="182"/>
      <c r="AK302" s="184"/>
      <c r="AL302" s="182"/>
      <c r="AM302" s="182"/>
      <c r="AN302" s="182"/>
      <c r="AO302" s="182"/>
      <c r="AP302" s="182"/>
      <c r="AQ302" s="182"/>
      <c r="AR302" s="182"/>
    </row>
    <row r="303" spans="1:44">
      <c r="A303" s="182"/>
      <c r="B303" s="182"/>
      <c r="C303" s="182"/>
      <c r="D303" s="182"/>
      <c r="E303" s="182"/>
      <c r="F303" s="182"/>
      <c r="G303" s="182"/>
      <c r="H303" s="182"/>
      <c r="I303" s="182"/>
      <c r="J303" s="182"/>
      <c r="K303" s="182"/>
      <c r="L303" s="182"/>
      <c r="M303" s="182"/>
      <c r="N303" s="177"/>
      <c r="O303" s="182"/>
      <c r="P303" s="179"/>
      <c r="Q303" s="182"/>
      <c r="R303" s="182"/>
      <c r="S303" s="182"/>
      <c r="T303" s="182"/>
      <c r="U303" s="182"/>
      <c r="V303" s="182"/>
      <c r="W303" s="182"/>
      <c r="X303" s="182"/>
      <c r="Y303" s="182"/>
      <c r="Z303" s="182"/>
      <c r="AA303" s="182"/>
      <c r="AB303" s="182"/>
      <c r="AC303" s="182"/>
      <c r="AD303" s="182"/>
      <c r="AE303" s="184"/>
      <c r="AF303" s="183"/>
      <c r="AG303" s="183"/>
      <c r="AH303" s="183"/>
      <c r="AI303" s="183"/>
      <c r="AJ303" s="182"/>
      <c r="AK303" s="184"/>
      <c r="AL303" s="182"/>
      <c r="AM303" s="182"/>
      <c r="AN303" s="182"/>
      <c r="AO303" s="182"/>
      <c r="AP303" s="182"/>
      <c r="AQ303" s="182"/>
      <c r="AR303" s="182"/>
    </row>
    <row r="304" spans="1:44">
      <c r="A304" s="182"/>
      <c r="B304" s="182"/>
      <c r="C304" s="182"/>
      <c r="D304" s="182"/>
      <c r="E304" s="182"/>
      <c r="F304" s="182"/>
      <c r="G304" s="182"/>
      <c r="H304" s="182"/>
      <c r="I304" s="182"/>
      <c r="J304" s="182"/>
      <c r="K304" s="182"/>
      <c r="L304" s="182"/>
      <c r="M304" s="182"/>
      <c r="N304" s="177"/>
      <c r="O304" s="182"/>
      <c r="P304" s="179"/>
      <c r="Q304" s="182"/>
      <c r="R304" s="182"/>
      <c r="S304" s="182"/>
      <c r="T304" s="182"/>
      <c r="U304" s="182"/>
      <c r="V304" s="182"/>
      <c r="W304" s="182"/>
      <c r="X304" s="182"/>
      <c r="Y304" s="182"/>
      <c r="Z304" s="182"/>
      <c r="AA304" s="182"/>
      <c r="AB304" s="182"/>
      <c r="AC304" s="182"/>
      <c r="AD304" s="182"/>
      <c r="AE304" s="184"/>
      <c r="AF304" s="183"/>
      <c r="AG304" s="183"/>
      <c r="AH304" s="183"/>
      <c r="AI304" s="183"/>
      <c r="AJ304" s="182"/>
      <c r="AK304" s="184"/>
      <c r="AL304" s="182"/>
      <c r="AM304" s="182"/>
      <c r="AN304" s="182"/>
      <c r="AO304" s="182"/>
      <c r="AP304" s="182"/>
      <c r="AQ304" s="182"/>
      <c r="AR304" s="182"/>
    </row>
    <row r="305" spans="1:44">
      <c r="A305" s="182"/>
      <c r="B305" s="182"/>
      <c r="C305" s="182"/>
      <c r="D305" s="182"/>
      <c r="E305" s="182"/>
      <c r="F305" s="182"/>
      <c r="G305" s="182"/>
      <c r="H305" s="182"/>
      <c r="I305" s="182"/>
      <c r="J305" s="182"/>
      <c r="K305" s="182"/>
      <c r="L305" s="182"/>
      <c r="M305" s="182"/>
      <c r="N305" s="177"/>
      <c r="O305" s="182"/>
      <c r="P305" s="179"/>
      <c r="Q305" s="182"/>
      <c r="R305" s="182"/>
      <c r="S305" s="182"/>
      <c r="T305" s="182"/>
      <c r="U305" s="182"/>
      <c r="V305" s="182"/>
      <c r="W305" s="182"/>
      <c r="X305" s="182"/>
      <c r="Y305" s="182"/>
      <c r="Z305" s="182"/>
      <c r="AA305" s="182"/>
      <c r="AB305" s="182"/>
      <c r="AC305" s="182"/>
      <c r="AD305" s="182"/>
      <c r="AE305" s="184"/>
      <c r="AF305" s="183"/>
      <c r="AG305" s="183"/>
      <c r="AH305" s="183"/>
      <c r="AI305" s="183"/>
      <c r="AJ305" s="182"/>
      <c r="AK305" s="184"/>
      <c r="AL305" s="182"/>
      <c r="AM305" s="182"/>
      <c r="AN305" s="182"/>
      <c r="AO305" s="182"/>
      <c r="AP305" s="182"/>
      <c r="AQ305" s="182"/>
      <c r="AR305" s="182"/>
    </row>
    <row r="306" spans="1:44">
      <c r="A306" s="182"/>
      <c r="B306" s="182"/>
      <c r="C306" s="182"/>
      <c r="D306" s="182"/>
      <c r="E306" s="182"/>
      <c r="F306" s="182"/>
      <c r="G306" s="182"/>
      <c r="H306" s="182"/>
      <c r="I306" s="182"/>
      <c r="J306" s="182"/>
      <c r="K306" s="182"/>
      <c r="L306" s="182"/>
      <c r="M306" s="182"/>
      <c r="N306" s="177"/>
      <c r="O306" s="182"/>
      <c r="P306" s="179"/>
      <c r="Q306" s="182"/>
      <c r="R306" s="182"/>
      <c r="S306" s="182"/>
      <c r="T306" s="182"/>
      <c r="U306" s="182"/>
      <c r="V306" s="182"/>
      <c r="W306" s="182"/>
      <c r="X306" s="182"/>
      <c r="Y306" s="182"/>
      <c r="Z306" s="182"/>
      <c r="AA306" s="182"/>
      <c r="AB306" s="182"/>
      <c r="AC306" s="182"/>
      <c r="AD306" s="182"/>
      <c r="AE306" s="184"/>
      <c r="AF306" s="183"/>
      <c r="AG306" s="183"/>
      <c r="AH306" s="183"/>
      <c r="AI306" s="183"/>
      <c r="AJ306" s="182"/>
      <c r="AK306" s="184"/>
      <c r="AL306" s="182"/>
      <c r="AM306" s="182"/>
      <c r="AN306" s="182"/>
      <c r="AO306" s="182"/>
      <c r="AP306" s="182"/>
      <c r="AQ306" s="182"/>
      <c r="AR306" s="182"/>
    </row>
    <row r="307" spans="1:44">
      <c r="A307" s="182"/>
      <c r="B307" s="182"/>
      <c r="C307" s="182"/>
      <c r="D307" s="182"/>
      <c r="E307" s="182"/>
      <c r="F307" s="182"/>
      <c r="G307" s="182"/>
      <c r="H307" s="182"/>
      <c r="I307" s="182"/>
      <c r="J307" s="182"/>
      <c r="K307" s="182"/>
      <c r="L307" s="182"/>
      <c r="M307" s="182"/>
      <c r="N307" s="177"/>
      <c r="O307" s="182"/>
      <c r="P307" s="179"/>
      <c r="Q307" s="182"/>
      <c r="R307" s="182"/>
      <c r="S307" s="182"/>
      <c r="T307" s="182"/>
      <c r="U307" s="182"/>
      <c r="V307" s="182"/>
      <c r="W307" s="182"/>
      <c r="X307" s="182"/>
      <c r="Y307" s="182"/>
      <c r="Z307" s="182"/>
      <c r="AA307" s="182"/>
      <c r="AB307" s="182"/>
      <c r="AC307" s="182"/>
      <c r="AD307" s="182"/>
      <c r="AE307" s="184"/>
      <c r="AF307" s="183"/>
      <c r="AG307" s="183"/>
      <c r="AH307" s="183"/>
      <c r="AI307" s="183"/>
      <c r="AJ307" s="182"/>
      <c r="AK307" s="184"/>
      <c r="AL307" s="182"/>
      <c r="AM307" s="182"/>
      <c r="AN307" s="182"/>
      <c r="AO307" s="182"/>
      <c r="AP307" s="182"/>
      <c r="AQ307" s="182"/>
      <c r="AR307" s="182"/>
    </row>
    <row r="308" spans="1:44">
      <c r="A308" s="182"/>
      <c r="B308" s="182"/>
      <c r="C308" s="182"/>
      <c r="D308" s="182"/>
      <c r="E308" s="182"/>
      <c r="F308" s="182"/>
      <c r="G308" s="182"/>
      <c r="H308" s="182"/>
      <c r="I308" s="182"/>
      <c r="J308" s="182"/>
      <c r="K308" s="182"/>
      <c r="L308" s="182"/>
      <c r="M308" s="182"/>
      <c r="N308" s="177"/>
      <c r="O308" s="182"/>
      <c r="P308" s="179"/>
      <c r="Q308" s="182"/>
      <c r="R308" s="182"/>
      <c r="S308" s="182"/>
      <c r="T308" s="182"/>
      <c r="U308" s="182"/>
      <c r="V308" s="182"/>
      <c r="W308" s="182"/>
      <c r="X308" s="182"/>
      <c r="Y308" s="182"/>
      <c r="Z308" s="182"/>
      <c r="AA308" s="182"/>
      <c r="AB308" s="182"/>
      <c r="AC308" s="182"/>
      <c r="AD308" s="182"/>
      <c r="AE308" s="184"/>
      <c r="AF308" s="183"/>
      <c r="AG308" s="183"/>
      <c r="AH308" s="183"/>
      <c r="AI308" s="183"/>
      <c r="AJ308" s="182"/>
      <c r="AK308" s="184"/>
      <c r="AL308" s="182"/>
      <c r="AM308" s="182"/>
      <c r="AN308" s="182"/>
      <c r="AO308" s="182"/>
      <c r="AP308" s="182"/>
      <c r="AQ308" s="182"/>
      <c r="AR308" s="182"/>
    </row>
    <row r="309" spans="1:44">
      <c r="A309" s="182"/>
      <c r="B309" s="182"/>
      <c r="C309" s="182"/>
      <c r="D309" s="182"/>
      <c r="E309" s="182"/>
      <c r="F309" s="182"/>
      <c r="G309" s="182"/>
      <c r="H309" s="182"/>
      <c r="I309" s="182"/>
      <c r="J309" s="182"/>
      <c r="K309" s="182"/>
      <c r="L309" s="182"/>
      <c r="M309" s="182"/>
      <c r="N309" s="177"/>
      <c r="O309" s="182"/>
      <c r="P309" s="179"/>
      <c r="Q309" s="182"/>
      <c r="R309" s="182"/>
      <c r="S309" s="182"/>
      <c r="T309" s="182"/>
      <c r="U309" s="182"/>
      <c r="V309" s="182"/>
      <c r="W309" s="182"/>
      <c r="X309" s="182"/>
      <c r="Y309" s="182"/>
      <c r="Z309" s="182"/>
      <c r="AA309" s="182"/>
      <c r="AB309" s="182"/>
      <c r="AC309" s="182"/>
      <c r="AD309" s="182"/>
      <c r="AE309" s="184"/>
      <c r="AF309" s="183"/>
      <c r="AG309" s="183"/>
      <c r="AH309" s="183"/>
      <c r="AI309" s="183"/>
      <c r="AJ309" s="182"/>
      <c r="AK309" s="184"/>
      <c r="AL309" s="182"/>
      <c r="AM309" s="182"/>
      <c r="AN309" s="182"/>
      <c r="AO309" s="182"/>
      <c r="AP309" s="182"/>
      <c r="AQ309" s="182"/>
      <c r="AR309" s="182"/>
    </row>
    <row r="310" spans="1:44">
      <c r="A310" s="182"/>
      <c r="B310" s="182"/>
      <c r="C310" s="182"/>
      <c r="D310" s="182"/>
      <c r="E310" s="182"/>
      <c r="F310" s="182"/>
      <c r="G310" s="182"/>
      <c r="H310" s="182"/>
      <c r="I310" s="182"/>
      <c r="J310" s="182"/>
      <c r="K310" s="182"/>
      <c r="L310" s="182"/>
      <c r="M310" s="182"/>
      <c r="N310" s="177"/>
      <c r="O310" s="182"/>
      <c r="P310" s="179"/>
      <c r="Q310" s="182"/>
      <c r="R310" s="182"/>
      <c r="S310" s="182"/>
      <c r="T310" s="182"/>
      <c r="U310" s="182"/>
      <c r="V310" s="182"/>
      <c r="W310" s="182"/>
      <c r="X310" s="182"/>
      <c r="Y310" s="182"/>
      <c r="Z310" s="182"/>
      <c r="AA310" s="182"/>
      <c r="AB310" s="182"/>
      <c r="AC310" s="182"/>
      <c r="AD310" s="182"/>
      <c r="AE310" s="184"/>
      <c r="AF310" s="183"/>
      <c r="AG310" s="183"/>
      <c r="AH310" s="183"/>
      <c r="AI310" s="183"/>
      <c r="AJ310" s="182"/>
      <c r="AK310" s="184"/>
      <c r="AL310" s="182"/>
      <c r="AM310" s="182"/>
      <c r="AN310" s="182"/>
      <c r="AO310" s="182"/>
      <c r="AP310" s="182"/>
      <c r="AQ310" s="182"/>
      <c r="AR310" s="182"/>
    </row>
    <row r="311" spans="1:44">
      <c r="A311" s="182"/>
      <c r="B311" s="182"/>
      <c r="C311" s="182"/>
      <c r="D311" s="182"/>
      <c r="E311" s="182"/>
      <c r="F311" s="182"/>
      <c r="G311" s="182"/>
      <c r="H311" s="182"/>
      <c r="I311" s="182"/>
      <c r="J311" s="182"/>
      <c r="K311" s="182"/>
      <c r="L311" s="182"/>
      <c r="M311" s="182"/>
      <c r="N311" s="177"/>
      <c r="O311" s="182"/>
      <c r="P311" s="179"/>
      <c r="Q311" s="182"/>
      <c r="R311" s="182"/>
      <c r="S311" s="182"/>
      <c r="T311" s="182"/>
      <c r="U311" s="182"/>
      <c r="V311" s="182"/>
      <c r="W311" s="182"/>
      <c r="X311" s="182"/>
      <c r="Y311" s="182"/>
      <c r="Z311" s="182"/>
      <c r="AA311" s="182"/>
      <c r="AB311" s="182"/>
      <c r="AC311" s="182"/>
      <c r="AD311" s="182"/>
      <c r="AE311" s="184"/>
      <c r="AF311" s="183"/>
      <c r="AG311" s="183"/>
      <c r="AH311" s="183"/>
      <c r="AI311" s="183"/>
      <c r="AJ311" s="182"/>
      <c r="AK311" s="184"/>
      <c r="AL311" s="182"/>
      <c r="AM311" s="182"/>
      <c r="AN311" s="182"/>
      <c r="AO311" s="182"/>
      <c r="AP311" s="182"/>
      <c r="AQ311" s="182"/>
      <c r="AR311" s="182"/>
    </row>
    <row r="312" spans="1:44">
      <c r="A312" s="182"/>
      <c r="B312" s="182"/>
      <c r="C312" s="182"/>
      <c r="D312" s="182"/>
      <c r="E312" s="182"/>
      <c r="F312" s="182"/>
      <c r="G312" s="182"/>
      <c r="H312" s="182"/>
      <c r="I312" s="182"/>
      <c r="J312" s="182"/>
      <c r="K312" s="182"/>
      <c r="L312" s="182"/>
      <c r="M312" s="182"/>
      <c r="N312" s="177"/>
      <c r="O312" s="182"/>
      <c r="P312" s="179"/>
      <c r="Q312" s="182"/>
      <c r="R312" s="182"/>
      <c r="S312" s="182"/>
      <c r="T312" s="182"/>
      <c r="U312" s="182"/>
      <c r="V312" s="182"/>
      <c r="W312" s="182"/>
      <c r="X312" s="182"/>
      <c r="Y312" s="182"/>
      <c r="Z312" s="182"/>
      <c r="AA312" s="182"/>
      <c r="AB312" s="182"/>
      <c r="AC312" s="182"/>
      <c r="AD312" s="182"/>
      <c r="AE312" s="184"/>
      <c r="AF312" s="183"/>
      <c r="AG312" s="183"/>
      <c r="AH312" s="183"/>
      <c r="AI312" s="183"/>
      <c r="AJ312" s="182"/>
      <c r="AK312" s="184"/>
      <c r="AL312" s="182"/>
      <c r="AM312" s="182"/>
      <c r="AN312" s="182"/>
      <c r="AO312" s="182"/>
      <c r="AP312" s="182"/>
      <c r="AQ312" s="182"/>
      <c r="AR312" s="182"/>
    </row>
    <row r="313" spans="1:44">
      <c r="A313" s="182"/>
      <c r="B313" s="182"/>
      <c r="C313" s="182"/>
      <c r="D313" s="182"/>
      <c r="E313" s="182"/>
      <c r="F313" s="182"/>
      <c r="G313" s="182"/>
      <c r="H313" s="182"/>
      <c r="I313" s="182"/>
      <c r="J313" s="182"/>
      <c r="K313" s="182"/>
      <c r="L313" s="182"/>
      <c r="M313" s="182"/>
      <c r="N313" s="177"/>
      <c r="O313" s="182"/>
      <c r="P313" s="179"/>
      <c r="Q313" s="182"/>
      <c r="R313" s="182"/>
      <c r="S313" s="182"/>
      <c r="T313" s="182"/>
      <c r="U313" s="182"/>
      <c r="V313" s="182"/>
      <c r="W313" s="182"/>
      <c r="X313" s="182"/>
      <c r="Y313" s="182"/>
      <c r="Z313" s="182"/>
      <c r="AA313" s="182"/>
      <c r="AB313" s="182"/>
      <c r="AC313" s="182"/>
      <c r="AD313" s="182"/>
      <c r="AE313" s="184"/>
      <c r="AF313" s="183"/>
      <c r="AG313" s="183"/>
      <c r="AH313" s="183"/>
      <c r="AI313" s="183"/>
      <c r="AJ313" s="182"/>
      <c r="AK313" s="184"/>
      <c r="AL313" s="182"/>
      <c r="AM313" s="182"/>
      <c r="AN313" s="182"/>
      <c r="AO313" s="182"/>
      <c r="AP313" s="182"/>
      <c r="AQ313" s="182"/>
      <c r="AR313" s="182"/>
    </row>
    <row r="314" spans="1:44">
      <c r="A314" s="182"/>
      <c r="B314" s="182"/>
      <c r="C314" s="182"/>
      <c r="D314" s="182"/>
      <c r="E314" s="182"/>
      <c r="F314" s="182"/>
      <c r="G314" s="182"/>
      <c r="H314" s="182"/>
      <c r="I314" s="182"/>
      <c r="J314" s="182"/>
      <c r="K314" s="182"/>
      <c r="L314" s="182"/>
      <c r="M314" s="182"/>
      <c r="N314" s="177"/>
      <c r="O314" s="182"/>
      <c r="P314" s="179"/>
      <c r="Q314" s="182"/>
      <c r="R314" s="182"/>
      <c r="S314" s="182"/>
      <c r="T314" s="182"/>
      <c r="U314" s="182"/>
      <c r="V314" s="182"/>
      <c r="W314" s="182"/>
      <c r="X314" s="182"/>
      <c r="Y314" s="182"/>
      <c r="Z314" s="182"/>
      <c r="AA314" s="182"/>
      <c r="AB314" s="182"/>
      <c r="AC314" s="182"/>
      <c r="AD314" s="182"/>
      <c r="AE314" s="184"/>
      <c r="AF314" s="183"/>
      <c r="AG314" s="183"/>
      <c r="AH314" s="183"/>
      <c r="AI314" s="183"/>
      <c r="AJ314" s="182"/>
      <c r="AK314" s="184"/>
      <c r="AL314" s="182"/>
      <c r="AM314" s="182"/>
      <c r="AN314" s="182"/>
      <c r="AO314" s="182"/>
      <c r="AP314" s="182"/>
      <c r="AQ314" s="182"/>
      <c r="AR314" s="182"/>
    </row>
    <row r="315" spans="1:44">
      <c r="A315" s="182"/>
      <c r="B315" s="182"/>
      <c r="C315" s="182"/>
      <c r="D315" s="182"/>
      <c r="E315" s="182"/>
      <c r="F315" s="182"/>
      <c r="G315" s="182"/>
      <c r="H315" s="182"/>
      <c r="I315" s="182"/>
      <c r="J315" s="182"/>
      <c r="K315" s="182"/>
      <c r="L315" s="182"/>
      <c r="M315" s="182"/>
      <c r="N315" s="177"/>
      <c r="O315" s="182"/>
      <c r="P315" s="179"/>
      <c r="Q315" s="182"/>
      <c r="R315" s="182"/>
      <c r="S315" s="182"/>
      <c r="T315" s="182"/>
      <c r="U315" s="182"/>
      <c r="V315" s="182"/>
      <c r="W315" s="182"/>
      <c r="X315" s="182"/>
      <c r="Y315" s="182"/>
      <c r="Z315" s="182"/>
      <c r="AA315" s="182"/>
      <c r="AB315" s="182"/>
      <c r="AC315" s="182"/>
      <c r="AD315" s="182"/>
      <c r="AE315" s="184"/>
      <c r="AF315" s="183"/>
      <c r="AG315" s="183"/>
      <c r="AH315" s="183"/>
      <c r="AI315" s="183"/>
      <c r="AJ315" s="182"/>
      <c r="AK315" s="184"/>
      <c r="AL315" s="182"/>
      <c r="AM315" s="182"/>
      <c r="AN315" s="182"/>
      <c r="AO315" s="182"/>
      <c r="AP315" s="182"/>
      <c r="AQ315" s="182"/>
      <c r="AR315" s="182"/>
    </row>
    <row r="316" spans="1:44">
      <c r="A316" s="182"/>
      <c r="B316" s="182"/>
      <c r="C316" s="182"/>
      <c r="D316" s="182"/>
      <c r="E316" s="182"/>
      <c r="F316" s="182"/>
      <c r="G316" s="182"/>
      <c r="H316" s="182"/>
      <c r="I316" s="182"/>
      <c r="J316" s="182"/>
      <c r="K316" s="182"/>
      <c r="L316" s="182"/>
      <c r="M316" s="182"/>
      <c r="N316" s="177"/>
      <c r="O316" s="182"/>
      <c r="P316" s="179"/>
      <c r="Q316" s="182"/>
      <c r="R316" s="182"/>
      <c r="S316" s="182"/>
      <c r="T316" s="182"/>
      <c r="U316" s="182"/>
      <c r="V316" s="182"/>
      <c r="W316" s="182"/>
      <c r="X316" s="182"/>
      <c r="Y316" s="182"/>
      <c r="Z316" s="182"/>
      <c r="AA316" s="182"/>
      <c r="AB316" s="182"/>
      <c r="AC316" s="182"/>
      <c r="AD316" s="182"/>
      <c r="AE316" s="184"/>
      <c r="AF316" s="183"/>
      <c r="AG316" s="183"/>
      <c r="AH316" s="183"/>
      <c r="AI316" s="183"/>
      <c r="AJ316" s="182"/>
      <c r="AK316" s="184"/>
      <c r="AL316" s="182"/>
      <c r="AM316" s="182"/>
      <c r="AN316" s="182"/>
      <c r="AO316" s="182"/>
      <c r="AP316" s="182"/>
      <c r="AQ316" s="182"/>
      <c r="AR316" s="182"/>
    </row>
    <row r="317" spans="1:44">
      <c r="A317" s="182"/>
      <c r="B317" s="182"/>
      <c r="C317" s="182"/>
      <c r="D317" s="182"/>
      <c r="E317" s="182"/>
      <c r="F317" s="182"/>
      <c r="G317" s="182"/>
      <c r="H317" s="182"/>
      <c r="I317" s="182"/>
      <c r="J317" s="182"/>
      <c r="K317" s="182"/>
      <c r="L317" s="182"/>
      <c r="M317" s="182"/>
      <c r="N317" s="177"/>
      <c r="O317" s="182"/>
      <c r="P317" s="179"/>
      <c r="Q317" s="182"/>
      <c r="R317" s="182"/>
      <c r="S317" s="182"/>
      <c r="T317" s="182"/>
      <c r="U317" s="182"/>
      <c r="V317" s="182"/>
      <c r="W317" s="182"/>
      <c r="X317" s="182"/>
      <c r="Y317" s="182"/>
      <c r="Z317" s="182"/>
      <c r="AA317" s="182"/>
      <c r="AB317" s="182"/>
      <c r="AC317" s="182"/>
      <c r="AD317" s="182"/>
      <c r="AE317" s="184"/>
      <c r="AF317" s="183"/>
      <c r="AG317" s="183"/>
      <c r="AH317" s="183"/>
      <c r="AI317" s="183"/>
      <c r="AJ317" s="182"/>
      <c r="AK317" s="184"/>
      <c r="AL317" s="182"/>
      <c r="AM317" s="182"/>
      <c r="AN317" s="182"/>
      <c r="AO317" s="182"/>
      <c r="AP317" s="182"/>
      <c r="AQ317" s="182"/>
      <c r="AR317" s="182"/>
    </row>
    <row r="318" spans="1:44">
      <c r="A318" s="182"/>
      <c r="B318" s="182"/>
      <c r="C318" s="182"/>
      <c r="D318" s="182"/>
      <c r="E318" s="182"/>
      <c r="F318" s="182"/>
      <c r="G318" s="182"/>
      <c r="H318" s="182"/>
      <c r="I318" s="182"/>
      <c r="J318" s="182"/>
      <c r="K318" s="182"/>
      <c r="L318" s="182"/>
      <c r="M318" s="182"/>
      <c r="N318" s="177"/>
      <c r="O318" s="182"/>
      <c r="P318" s="179"/>
      <c r="Q318" s="182"/>
      <c r="R318" s="182"/>
      <c r="S318" s="182"/>
      <c r="T318" s="182"/>
      <c r="U318" s="182"/>
      <c r="V318" s="182"/>
      <c r="W318" s="182"/>
      <c r="X318" s="182"/>
      <c r="Y318" s="182"/>
      <c r="Z318" s="182"/>
      <c r="AA318" s="182"/>
      <c r="AB318" s="182"/>
      <c r="AC318" s="182"/>
      <c r="AD318" s="182"/>
      <c r="AE318" s="184"/>
      <c r="AF318" s="183"/>
      <c r="AG318" s="183"/>
      <c r="AH318" s="183"/>
      <c r="AI318" s="183"/>
      <c r="AJ318" s="182"/>
      <c r="AK318" s="184"/>
      <c r="AL318" s="182"/>
      <c r="AM318" s="182"/>
      <c r="AN318" s="182"/>
      <c r="AO318" s="182"/>
      <c r="AP318" s="182"/>
      <c r="AQ318" s="182"/>
      <c r="AR318" s="182"/>
    </row>
    <row r="319" spans="1:44">
      <c r="A319" s="182"/>
      <c r="B319" s="182"/>
      <c r="C319" s="182"/>
      <c r="D319" s="182"/>
      <c r="E319" s="182"/>
      <c r="F319" s="182"/>
      <c r="G319" s="182"/>
      <c r="H319" s="182"/>
      <c r="I319" s="182"/>
      <c r="J319" s="182"/>
      <c r="K319" s="182"/>
      <c r="L319" s="182"/>
      <c r="M319" s="182"/>
      <c r="N319" s="177"/>
      <c r="O319" s="182"/>
      <c r="P319" s="179"/>
      <c r="Q319" s="182"/>
      <c r="R319" s="182"/>
      <c r="S319" s="182"/>
      <c r="T319" s="182"/>
      <c r="U319" s="182"/>
      <c r="V319" s="182"/>
      <c r="W319" s="182"/>
      <c r="X319" s="182"/>
      <c r="Y319" s="182"/>
      <c r="Z319" s="182"/>
      <c r="AA319" s="182"/>
      <c r="AB319" s="182"/>
      <c r="AC319" s="182"/>
      <c r="AD319" s="182"/>
      <c r="AE319" s="184"/>
      <c r="AF319" s="183"/>
      <c r="AG319" s="183"/>
      <c r="AH319" s="183"/>
      <c r="AI319" s="183"/>
      <c r="AJ319" s="182"/>
      <c r="AK319" s="184"/>
      <c r="AL319" s="182"/>
      <c r="AM319" s="182"/>
      <c r="AN319" s="182"/>
      <c r="AO319" s="182"/>
      <c r="AP319" s="182"/>
      <c r="AQ319" s="182"/>
      <c r="AR319" s="182"/>
    </row>
    <row r="320" spans="1:44">
      <c r="A320" s="182"/>
      <c r="B320" s="182"/>
      <c r="C320" s="182"/>
      <c r="D320" s="182"/>
      <c r="E320" s="182"/>
      <c r="F320" s="182"/>
      <c r="G320" s="182"/>
      <c r="H320" s="182"/>
      <c r="I320" s="182"/>
      <c r="J320" s="182"/>
      <c r="K320" s="182"/>
      <c r="L320" s="182"/>
      <c r="M320" s="182"/>
      <c r="N320" s="177"/>
      <c r="O320" s="182"/>
      <c r="P320" s="179"/>
      <c r="Q320" s="182"/>
      <c r="R320" s="182"/>
      <c r="S320" s="182"/>
      <c r="T320" s="182"/>
      <c r="U320" s="182"/>
      <c r="V320" s="182"/>
      <c r="W320" s="182"/>
      <c r="X320" s="182"/>
      <c r="Y320" s="182"/>
      <c r="Z320" s="182"/>
      <c r="AA320" s="182"/>
      <c r="AB320" s="182"/>
      <c r="AC320" s="182"/>
      <c r="AD320" s="182"/>
      <c r="AE320" s="184"/>
      <c r="AF320" s="183"/>
      <c r="AG320" s="183"/>
      <c r="AH320" s="183"/>
      <c r="AI320" s="183"/>
      <c r="AJ320" s="182"/>
      <c r="AK320" s="184"/>
      <c r="AL320" s="182"/>
      <c r="AM320" s="182"/>
      <c r="AN320" s="182"/>
      <c r="AO320" s="182"/>
      <c r="AP320" s="182"/>
      <c r="AQ320" s="182"/>
      <c r="AR320" s="182"/>
    </row>
    <row r="321" spans="1:44">
      <c r="A321" s="182"/>
      <c r="B321" s="182"/>
      <c r="C321" s="182"/>
      <c r="D321" s="182"/>
      <c r="E321" s="182"/>
      <c r="F321" s="182"/>
      <c r="G321" s="182"/>
      <c r="H321" s="182"/>
      <c r="I321" s="182"/>
      <c r="J321" s="182"/>
      <c r="K321" s="182"/>
      <c r="L321" s="182"/>
      <c r="M321" s="182"/>
      <c r="N321" s="177"/>
      <c r="O321" s="182"/>
      <c r="P321" s="179"/>
      <c r="Q321" s="182"/>
      <c r="R321" s="182"/>
      <c r="S321" s="182"/>
      <c r="T321" s="182"/>
      <c r="U321" s="182"/>
      <c r="V321" s="182"/>
      <c r="W321" s="182"/>
      <c r="X321" s="182"/>
      <c r="Y321" s="182"/>
      <c r="Z321" s="182"/>
      <c r="AA321" s="182"/>
      <c r="AB321" s="182"/>
      <c r="AC321" s="182"/>
      <c r="AD321" s="182"/>
      <c r="AE321" s="184"/>
      <c r="AF321" s="183"/>
      <c r="AG321" s="183"/>
      <c r="AH321" s="183"/>
      <c r="AI321" s="183"/>
      <c r="AJ321" s="182"/>
      <c r="AK321" s="184"/>
      <c r="AL321" s="182"/>
      <c r="AM321" s="182"/>
      <c r="AN321" s="182"/>
      <c r="AO321" s="182"/>
      <c r="AP321" s="182"/>
      <c r="AQ321" s="182"/>
      <c r="AR321" s="182"/>
    </row>
    <row r="322" spans="1:44">
      <c r="A322" s="182"/>
      <c r="B322" s="182"/>
      <c r="C322" s="182"/>
      <c r="D322" s="182"/>
      <c r="E322" s="182"/>
      <c r="F322" s="182"/>
      <c r="G322" s="182"/>
      <c r="H322" s="182"/>
      <c r="I322" s="182"/>
      <c r="J322" s="182"/>
      <c r="K322" s="182"/>
      <c r="L322" s="182"/>
      <c r="M322" s="182"/>
      <c r="N322" s="177"/>
      <c r="O322" s="182"/>
      <c r="P322" s="179"/>
      <c r="Q322" s="182"/>
      <c r="R322" s="182"/>
      <c r="S322" s="182"/>
      <c r="T322" s="182"/>
      <c r="U322" s="182"/>
      <c r="V322" s="182"/>
      <c r="W322" s="182"/>
      <c r="X322" s="182"/>
      <c r="Y322" s="182"/>
      <c r="Z322" s="182"/>
      <c r="AA322" s="182"/>
      <c r="AB322" s="182"/>
      <c r="AC322" s="182"/>
      <c r="AD322" s="182"/>
      <c r="AE322" s="184"/>
      <c r="AF322" s="183"/>
      <c r="AG322" s="183"/>
      <c r="AH322" s="183"/>
      <c r="AI322" s="183"/>
      <c r="AJ322" s="182"/>
      <c r="AK322" s="184"/>
      <c r="AL322" s="182"/>
      <c r="AM322" s="182"/>
      <c r="AN322" s="182"/>
      <c r="AO322" s="182"/>
      <c r="AP322" s="182"/>
      <c r="AQ322" s="182"/>
      <c r="AR322" s="182"/>
    </row>
    <row r="323" spans="1:44">
      <c r="A323" s="182"/>
      <c r="B323" s="182"/>
      <c r="C323" s="182"/>
      <c r="D323" s="182"/>
      <c r="E323" s="182"/>
      <c r="F323" s="182"/>
      <c r="G323" s="182"/>
      <c r="H323" s="182"/>
      <c r="I323" s="182"/>
      <c r="J323" s="182"/>
      <c r="K323" s="182"/>
      <c r="L323" s="182"/>
      <c r="M323" s="182"/>
      <c r="N323" s="177"/>
      <c r="O323" s="182"/>
      <c r="P323" s="179"/>
      <c r="Q323" s="182"/>
      <c r="R323" s="182"/>
      <c r="S323" s="182"/>
      <c r="T323" s="182"/>
      <c r="U323" s="182"/>
      <c r="V323" s="182"/>
      <c r="W323" s="182"/>
      <c r="X323" s="182"/>
      <c r="Y323" s="182"/>
      <c r="Z323" s="182"/>
      <c r="AA323" s="182"/>
      <c r="AB323" s="182"/>
      <c r="AC323" s="182"/>
      <c r="AD323" s="182"/>
      <c r="AE323" s="184"/>
      <c r="AF323" s="183"/>
      <c r="AG323" s="183"/>
      <c r="AH323" s="183"/>
      <c r="AI323" s="183"/>
      <c r="AJ323" s="182"/>
      <c r="AK323" s="184"/>
      <c r="AL323" s="182"/>
      <c r="AM323" s="182"/>
      <c r="AN323" s="182"/>
      <c r="AO323" s="182"/>
      <c r="AP323" s="182"/>
      <c r="AQ323" s="182"/>
      <c r="AR323" s="182"/>
    </row>
    <row r="324" spans="1:44">
      <c r="A324" s="182"/>
      <c r="B324" s="182"/>
      <c r="C324" s="182"/>
      <c r="D324" s="182"/>
      <c r="E324" s="182"/>
      <c r="F324" s="182"/>
      <c r="G324" s="182"/>
      <c r="H324" s="182"/>
      <c r="I324" s="182"/>
      <c r="J324" s="182"/>
      <c r="K324" s="182"/>
      <c r="L324" s="182"/>
      <c r="M324" s="182"/>
      <c r="N324" s="177"/>
      <c r="O324" s="182"/>
      <c r="P324" s="179"/>
      <c r="Q324" s="182"/>
      <c r="R324" s="182"/>
      <c r="S324" s="182"/>
      <c r="T324" s="182"/>
      <c r="U324" s="182"/>
      <c r="V324" s="182"/>
      <c r="W324" s="182"/>
      <c r="X324" s="182"/>
      <c r="Y324" s="182"/>
      <c r="Z324" s="182"/>
      <c r="AA324" s="182"/>
      <c r="AB324" s="182"/>
      <c r="AC324" s="182"/>
      <c r="AD324" s="182"/>
      <c r="AE324" s="184"/>
      <c r="AF324" s="183"/>
      <c r="AG324" s="183"/>
      <c r="AH324" s="183"/>
      <c r="AI324" s="183"/>
      <c r="AJ324" s="182"/>
      <c r="AK324" s="184"/>
      <c r="AL324" s="182"/>
      <c r="AM324" s="182"/>
      <c r="AN324" s="182"/>
      <c r="AO324" s="182"/>
      <c r="AP324" s="182"/>
      <c r="AQ324" s="182"/>
      <c r="AR324" s="182"/>
    </row>
    <row r="325" spans="1:44">
      <c r="A325" s="182"/>
      <c r="B325" s="182"/>
      <c r="C325" s="182"/>
      <c r="D325" s="182"/>
      <c r="E325" s="182"/>
      <c r="F325" s="182"/>
      <c r="G325" s="182"/>
      <c r="H325" s="182"/>
      <c r="I325" s="182"/>
      <c r="J325" s="182"/>
      <c r="K325" s="182"/>
      <c r="L325" s="182"/>
      <c r="M325" s="182"/>
      <c r="N325" s="177"/>
      <c r="O325" s="182"/>
      <c r="P325" s="179"/>
      <c r="Q325" s="182"/>
      <c r="R325" s="182"/>
      <c r="S325" s="182"/>
      <c r="T325" s="182"/>
      <c r="U325" s="182"/>
      <c r="V325" s="182"/>
      <c r="W325" s="182"/>
      <c r="X325" s="182"/>
      <c r="Y325" s="182"/>
      <c r="Z325" s="182"/>
      <c r="AA325" s="182"/>
      <c r="AB325" s="182"/>
      <c r="AC325" s="182"/>
      <c r="AD325" s="182"/>
      <c r="AE325" s="184"/>
      <c r="AF325" s="183"/>
      <c r="AG325" s="183"/>
      <c r="AH325" s="183"/>
      <c r="AI325" s="183"/>
      <c r="AJ325" s="182"/>
      <c r="AK325" s="184"/>
      <c r="AL325" s="182"/>
      <c r="AM325" s="182"/>
      <c r="AN325" s="182"/>
      <c r="AO325" s="182"/>
      <c r="AP325" s="182"/>
      <c r="AQ325" s="182"/>
      <c r="AR325" s="182"/>
    </row>
    <row r="326" spans="1:44">
      <c r="A326" s="182"/>
      <c r="B326" s="182"/>
      <c r="C326" s="182"/>
      <c r="D326" s="182"/>
      <c r="E326" s="182"/>
      <c r="F326" s="182"/>
      <c r="G326" s="182"/>
      <c r="H326" s="182"/>
      <c r="I326" s="182"/>
      <c r="J326" s="182"/>
      <c r="K326" s="182"/>
      <c r="L326" s="182"/>
      <c r="M326" s="182"/>
      <c r="N326" s="177"/>
      <c r="O326" s="182"/>
      <c r="P326" s="179"/>
      <c r="Q326" s="182"/>
      <c r="R326" s="182"/>
      <c r="S326" s="182"/>
      <c r="T326" s="182"/>
      <c r="U326" s="182"/>
      <c r="V326" s="182"/>
      <c r="W326" s="182"/>
      <c r="X326" s="182"/>
      <c r="Y326" s="182"/>
      <c r="Z326" s="182"/>
      <c r="AA326" s="182"/>
      <c r="AB326" s="182"/>
      <c r="AC326" s="182"/>
      <c r="AD326" s="182"/>
      <c r="AE326" s="184"/>
      <c r="AF326" s="183"/>
      <c r="AG326" s="183"/>
      <c r="AH326" s="183"/>
      <c r="AI326" s="183"/>
      <c r="AJ326" s="182"/>
      <c r="AK326" s="184"/>
      <c r="AL326" s="182"/>
      <c r="AM326" s="182"/>
      <c r="AN326" s="182"/>
      <c r="AO326" s="182"/>
      <c r="AP326" s="182"/>
      <c r="AQ326" s="182"/>
      <c r="AR326" s="182"/>
    </row>
    <row r="327" spans="1:44">
      <c r="A327" s="182"/>
      <c r="B327" s="182"/>
      <c r="C327" s="182"/>
      <c r="D327" s="182"/>
      <c r="E327" s="182"/>
      <c r="F327" s="182"/>
      <c r="G327" s="182"/>
      <c r="H327" s="182"/>
      <c r="I327" s="182"/>
      <c r="J327" s="182"/>
      <c r="K327" s="182"/>
      <c r="L327" s="182"/>
      <c r="M327" s="182"/>
      <c r="N327" s="177"/>
      <c r="O327" s="182"/>
      <c r="P327" s="179"/>
      <c r="Q327" s="182"/>
      <c r="R327" s="182"/>
      <c r="S327" s="182"/>
      <c r="T327" s="182"/>
      <c r="U327" s="182"/>
      <c r="V327" s="182"/>
      <c r="W327" s="182"/>
      <c r="X327" s="182"/>
      <c r="Y327" s="182"/>
      <c r="Z327" s="182"/>
      <c r="AA327" s="182"/>
      <c r="AB327" s="182"/>
      <c r="AC327" s="182"/>
      <c r="AD327" s="182"/>
      <c r="AE327" s="184"/>
      <c r="AF327" s="183"/>
      <c r="AG327" s="183"/>
      <c r="AH327" s="183"/>
      <c r="AI327" s="183"/>
      <c r="AJ327" s="182"/>
      <c r="AK327" s="184"/>
      <c r="AL327" s="182"/>
      <c r="AM327" s="182"/>
      <c r="AN327" s="182"/>
      <c r="AO327" s="182"/>
      <c r="AP327" s="182"/>
      <c r="AQ327" s="182"/>
      <c r="AR327" s="182"/>
    </row>
    <row r="328" spans="1:44">
      <c r="A328" s="182"/>
      <c r="B328" s="182"/>
      <c r="C328" s="182"/>
      <c r="D328" s="182"/>
      <c r="E328" s="182"/>
      <c r="F328" s="182"/>
      <c r="G328" s="182"/>
      <c r="H328" s="182"/>
      <c r="I328" s="182"/>
      <c r="J328" s="182"/>
      <c r="K328" s="182"/>
      <c r="L328" s="182"/>
      <c r="M328" s="182"/>
      <c r="N328" s="177"/>
      <c r="O328" s="182"/>
      <c r="P328" s="179"/>
      <c r="Q328" s="182"/>
      <c r="R328" s="182"/>
      <c r="S328" s="182"/>
      <c r="T328" s="182"/>
      <c r="U328" s="182"/>
      <c r="V328" s="182"/>
      <c r="W328" s="182"/>
      <c r="X328" s="182"/>
      <c r="Y328" s="182"/>
      <c r="Z328" s="182"/>
      <c r="AA328" s="182"/>
      <c r="AB328" s="182"/>
      <c r="AC328" s="182"/>
      <c r="AD328" s="182"/>
      <c r="AE328" s="184"/>
      <c r="AF328" s="183"/>
      <c r="AG328" s="183"/>
      <c r="AH328" s="183"/>
      <c r="AI328" s="183"/>
      <c r="AJ328" s="182"/>
      <c r="AK328" s="184"/>
      <c r="AL328" s="182"/>
      <c r="AM328" s="182"/>
      <c r="AN328" s="182"/>
      <c r="AO328" s="182"/>
      <c r="AP328" s="182"/>
      <c r="AQ328" s="182"/>
      <c r="AR328" s="182"/>
    </row>
    <row r="329" spans="1:44">
      <c r="A329" s="182"/>
      <c r="B329" s="182"/>
      <c r="C329" s="182"/>
      <c r="D329" s="182"/>
      <c r="E329" s="182"/>
      <c r="F329" s="182"/>
      <c r="G329" s="182"/>
      <c r="H329" s="182"/>
      <c r="I329" s="182"/>
      <c r="J329" s="182"/>
      <c r="K329" s="182"/>
      <c r="L329" s="182"/>
      <c r="M329" s="182"/>
      <c r="N329" s="177"/>
      <c r="O329" s="182"/>
      <c r="P329" s="179"/>
      <c r="Q329" s="182"/>
      <c r="R329" s="182"/>
      <c r="S329" s="182"/>
      <c r="T329" s="182"/>
      <c r="U329" s="182"/>
      <c r="V329" s="182"/>
      <c r="W329" s="182"/>
      <c r="X329" s="182"/>
      <c r="Y329" s="182"/>
      <c r="Z329" s="182"/>
      <c r="AA329" s="182"/>
      <c r="AB329" s="182"/>
      <c r="AC329" s="182"/>
      <c r="AD329" s="182"/>
      <c r="AE329" s="184"/>
      <c r="AF329" s="183"/>
      <c r="AG329" s="183"/>
      <c r="AH329" s="183"/>
      <c r="AI329" s="183"/>
      <c r="AJ329" s="182"/>
      <c r="AK329" s="184"/>
      <c r="AL329" s="182"/>
      <c r="AM329" s="182"/>
      <c r="AN329" s="182"/>
      <c r="AO329" s="182"/>
      <c r="AP329" s="182"/>
      <c r="AQ329" s="182"/>
      <c r="AR329" s="182"/>
    </row>
    <row r="330" spans="1:44">
      <c r="A330" s="182"/>
      <c r="B330" s="182"/>
      <c r="C330" s="182"/>
      <c r="D330" s="182"/>
      <c r="E330" s="182"/>
      <c r="F330" s="182"/>
      <c r="G330" s="182"/>
      <c r="H330" s="182"/>
      <c r="I330" s="182"/>
      <c r="J330" s="182"/>
      <c r="K330" s="182"/>
      <c r="L330" s="182"/>
      <c r="M330" s="182"/>
      <c r="N330" s="177"/>
      <c r="O330" s="182"/>
      <c r="P330" s="179"/>
      <c r="Q330" s="182"/>
      <c r="R330" s="182"/>
      <c r="S330" s="182"/>
      <c r="T330" s="182"/>
      <c r="U330" s="182"/>
      <c r="V330" s="182"/>
      <c r="W330" s="182"/>
      <c r="X330" s="182"/>
      <c r="Y330" s="182"/>
      <c r="Z330" s="182"/>
      <c r="AA330" s="182"/>
      <c r="AB330" s="182"/>
      <c r="AC330" s="182"/>
      <c r="AD330" s="182"/>
      <c r="AE330" s="184"/>
      <c r="AF330" s="183"/>
      <c r="AG330" s="183"/>
      <c r="AH330" s="183"/>
      <c r="AI330" s="183"/>
      <c r="AJ330" s="182"/>
      <c r="AK330" s="184"/>
      <c r="AL330" s="182"/>
      <c r="AM330" s="182"/>
      <c r="AN330" s="182"/>
      <c r="AO330" s="182"/>
      <c r="AP330" s="182"/>
      <c r="AQ330" s="182"/>
      <c r="AR330" s="182"/>
    </row>
    <row r="331" spans="1:44">
      <c r="A331" s="182"/>
      <c r="B331" s="182"/>
      <c r="C331" s="182"/>
      <c r="D331" s="182"/>
      <c r="E331" s="182"/>
      <c r="F331" s="182"/>
      <c r="G331" s="182"/>
      <c r="H331" s="182"/>
      <c r="I331" s="182"/>
      <c r="J331" s="182"/>
      <c r="K331" s="182"/>
      <c r="L331" s="182"/>
      <c r="M331" s="182"/>
      <c r="N331" s="177"/>
      <c r="O331" s="182"/>
      <c r="P331" s="179"/>
      <c r="Q331" s="182"/>
      <c r="R331" s="182"/>
      <c r="S331" s="182"/>
      <c r="T331" s="182"/>
      <c r="U331" s="182"/>
      <c r="V331" s="182"/>
      <c r="W331" s="182"/>
      <c r="X331" s="182"/>
      <c r="Y331" s="182"/>
      <c r="Z331" s="182"/>
      <c r="AA331" s="182"/>
      <c r="AB331" s="182"/>
      <c r="AC331" s="182"/>
      <c r="AD331" s="182"/>
      <c r="AE331" s="184"/>
      <c r="AF331" s="183"/>
      <c r="AG331" s="183"/>
      <c r="AH331" s="183"/>
      <c r="AI331" s="183"/>
      <c r="AJ331" s="182"/>
      <c r="AK331" s="184"/>
      <c r="AL331" s="182"/>
      <c r="AM331" s="182"/>
      <c r="AN331" s="182"/>
      <c r="AO331" s="182"/>
      <c r="AP331" s="182"/>
      <c r="AQ331" s="182"/>
      <c r="AR331" s="182"/>
    </row>
    <row r="332" spans="1:44">
      <c r="A332" s="182"/>
      <c r="B332" s="182"/>
      <c r="C332" s="182"/>
      <c r="D332" s="182"/>
      <c r="E332" s="182"/>
      <c r="F332" s="182"/>
      <c r="G332" s="182"/>
      <c r="H332" s="182"/>
      <c r="I332" s="182"/>
      <c r="J332" s="182"/>
      <c r="K332" s="182"/>
      <c r="L332" s="182"/>
      <c r="M332" s="182"/>
      <c r="N332" s="177"/>
      <c r="O332" s="182"/>
      <c r="P332" s="179"/>
      <c r="Q332" s="182"/>
      <c r="R332" s="182"/>
      <c r="S332" s="182"/>
      <c r="T332" s="182"/>
      <c r="U332" s="182"/>
      <c r="V332" s="182"/>
      <c r="W332" s="182"/>
      <c r="X332" s="182"/>
      <c r="Y332" s="182"/>
      <c r="Z332" s="182"/>
      <c r="AA332" s="182"/>
      <c r="AB332" s="182"/>
      <c r="AC332" s="182"/>
      <c r="AD332" s="182"/>
      <c r="AE332" s="184"/>
      <c r="AF332" s="183"/>
      <c r="AG332" s="183"/>
      <c r="AH332" s="183"/>
      <c r="AI332" s="183"/>
      <c r="AJ332" s="182"/>
      <c r="AK332" s="184"/>
      <c r="AL332" s="182"/>
      <c r="AM332" s="182"/>
      <c r="AN332" s="182"/>
      <c r="AO332" s="182"/>
      <c r="AP332" s="182"/>
      <c r="AQ332" s="182"/>
      <c r="AR332" s="182"/>
    </row>
    <row r="333" spans="1:44">
      <c r="A333" s="182"/>
      <c r="B333" s="182"/>
      <c r="C333" s="182"/>
      <c r="D333" s="182"/>
      <c r="E333" s="182"/>
      <c r="F333" s="182"/>
      <c r="G333" s="182"/>
      <c r="H333" s="182"/>
      <c r="I333" s="182"/>
      <c r="J333" s="182"/>
      <c r="K333" s="182"/>
      <c r="L333" s="182"/>
      <c r="M333" s="182"/>
      <c r="N333" s="177"/>
      <c r="O333" s="182"/>
      <c r="P333" s="179"/>
      <c r="Q333" s="182"/>
      <c r="R333" s="182"/>
      <c r="S333" s="182"/>
      <c r="T333" s="182"/>
      <c r="U333" s="182"/>
      <c r="V333" s="182"/>
      <c r="W333" s="182"/>
      <c r="X333" s="182"/>
      <c r="Y333" s="182"/>
      <c r="Z333" s="182"/>
      <c r="AA333" s="182"/>
      <c r="AB333" s="182"/>
      <c r="AC333" s="182"/>
      <c r="AD333" s="182"/>
      <c r="AE333" s="184"/>
      <c r="AF333" s="183"/>
      <c r="AG333" s="183"/>
      <c r="AH333" s="183"/>
      <c r="AI333" s="183"/>
      <c r="AJ333" s="182"/>
      <c r="AK333" s="184"/>
      <c r="AL333" s="182"/>
      <c r="AM333" s="182"/>
      <c r="AN333" s="182"/>
      <c r="AO333" s="182"/>
      <c r="AP333" s="182"/>
      <c r="AQ333" s="182"/>
      <c r="AR333" s="182"/>
    </row>
    <row r="334" spans="1:44">
      <c r="A334" s="182"/>
      <c r="B334" s="182"/>
      <c r="C334" s="182"/>
      <c r="D334" s="182"/>
      <c r="E334" s="182"/>
      <c r="F334" s="182"/>
      <c r="G334" s="182"/>
      <c r="H334" s="182"/>
      <c r="I334" s="182"/>
      <c r="J334" s="182"/>
      <c r="K334" s="182"/>
      <c r="L334" s="182"/>
      <c r="M334" s="182"/>
      <c r="N334" s="177"/>
      <c r="O334" s="182"/>
      <c r="P334" s="179"/>
      <c r="Q334" s="182"/>
      <c r="R334" s="182"/>
      <c r="S334" s="182"/>
      <c r="T334" s="182"/>
      <c r="U334" s="182"/>
      <c r="V334" s="182"/>
      <c r="W334" s="182"/>
      <c r="X334" s="182"/>
      <c r="Y334" s="182"/>
      <c r="Z334" s="182"/>
      <c r="AA334" s="182"/>
      <c r="AB334" s="182"/>
      <c r="AC334" s="182"/>
      <c r="AD334" s="182"/>
      <c r="AE334" s="184"/>
      <c r="AF334" s="183"/>
      <c r="AG334" s="183"/>
      <c r="AH334" s="183"/>
      <c r="AI334" s="183"/>
      <c r="AJ334" s="182"/>
      <c r="AK334" s="184"/>
      <c r="AL334" s="182"/>
      <c r="AM334" s="182"/>
      <c r="AN334" s="182"/>
      <c r="AO334" s="182"/>
      <c r="AP334" s="182"/>
      <c r="AQ334" s="182"/>
      <c r="AR334" s="182"/>
    </row>
    <row r="335" spans="1:44">
      <c r="A335" s="182"/>
      <c r="B335" s="182"/>
      <c r="C335" s="182"/>
      <c r="D335" s="182"/>
      <c r="E335" s="182"/>
      <c r="F335" s="182"/>
      <c r="G335" s="182"/>
      <c r="H335" s="182"/>
      <c r="I335" s="182"/>
      <c r="J335" s="182"/>
      <c r="K335" s="182"/>
      <c r="L335" s="182"/>
      <c r="M335" s="182"/>
      <c r="N335" s="177"/>
      <c r="O335" s="182"/>
      <c r="P335" s="179"/>
      <c r="Q335" s="182"/>
      <c r="R335" s="182"/>
      <c r="S335" s="182"/>
      <c r="T335" s="182"/>
      <c r="U335" s="182"/>
      <c r="V335" s="182"/>
      <c r="W335" s="182"/>
      <c r="X335" s="182"/>
      <c r="Y335" s="182"/>
      <c r="Z335" s="182"/>
      <c r="AA335" s="182"/>
      <c r="AB335" s="182"/>
      <c r="AC335" s="182"/>
      <c r="AD335" s="182"/>
      <c r="AE335" s="184"/>
      <c r="AF335" s="183"/>
      <c r="AG335" s="183"/>
      <c r="AH335" s="183"/>
      <c r="AI335" s="183"/>
      <c r="AJ335" s="182"/>
      <c r="AK335" s="184"/>
      <c r="AL335" s="182"/>
      <c r="AM335" s="182"/>
      <c r="AN335" s="182"/>
      <c r="AO335" s="182"/>
      <c r="AP335" s="182"/>
      <c r="AQ335" s="182"/>
      <c r="AR335" s="182"/>
    </row>
    <row r="336" spans="1:44">
      <c r="A336" s="182"/>
      <c r="B336" s="182"/>
      <c r="C336" s="182"/>
      <c r="D336" s="182"/>
      <c r="E336" s="182"/>
      <c r="F336" s="182"/>
      <c r="G336" s="182"/>
      <c r="H336" s="182"/>
      <c r="I336" s="182"/>
      <c r="J336" s="182"/>
      <c r="K336" s="182"/>
      <c r="L336" s="182"/>
      <c r="M336" s="182"/>
      <c r="N336" s="177"/>
      <c r="O336" s="182"/>
      <c r="P336" s="179"/>
      <c r="Q336" s="182"/>
      <c r="R336" s="182"/>
      <c r="S336" s="182"/>
      <c r="T336" s="182"/>
      <c r="U336" s="182"/>
      <c r="V336" s="182"/>
      <c r="W336" s="182"/>
      <c r="X336" s="182"/>
      <c r="Y336" s="182"/>
      <c r="Z336" s="182"/>
      <c r="AA336" s="182"/>
      <c r="AB336" s="182"/>
      <c r="AC336" s="182"/>
      <c r="AD336" s="182"/>
      <c r="AE336" s="184"/>
      <c r="AF336" s="183"/>
      <c r="AG336" s="183"/>
      <c r="AH336" s="183"/>
      <c r="AI336" s="183"/>
      <c r="AJ336" s="182"/>
      <c r="AK336" s="184"/>
      <c r="AL336" s="182"/>
      <c r="AM336" s="182"/>
      <c r="AN336" s="182"/>
      <c r="AO336" s="182"/>
      <c r="AP336" s="182"/>
      <c r="AQ336" s="182"/>
      <c r="AR336" s="182"/>
    </row>
    <row r="337" spans="1:44">
      <c r="A337" s="182"/>
      <c r="B337" s="182"/>
      <c r="C337" s="182"/>
      <c r="D337" s="182"/>
      <c r="E337" s="182"/>
      <c r="F337" s="182"/>
      <c r="G337" s="182"/>
      <c r="H337" s="182"/>
      <c r="I337" s="182"/>
      <c r="J337" s="182"/>
      <c r="K337" s="182"/>
      <c r="L337" s="182"/>
      <c r="M337" s="182"/>
      <c r="N337" s="177"/>
      <c r="O337" s="182"/>
      <c r="P337" s="179"/>
      <c r="Q337" s="182"/>
      <c r="R337" s="182"/>
      <c r="S337" s="182"/>
      <c r="T337" s="182"/>
      <c r="U337" s="182"/>
      <c r="V337" s="182"/>
      <c r="W337" s="182"/>
      <c r="X337" s="182"/>
      <c r="Y337" s="182"/>
      <c r="Z337" s="182"/>
      <c r="AA337" s="182"/>
      <c r="AB337" s="182"/>
      <c r="AC337" s="182"/>
      <c r="AD337" s="182"/>
      <c r="AE337" s="184"/>
      <c r="AF337" s="183"/>
      <c r="AG337" s="183"/>
      <c r="AH337" s="183"/>
      <c r="AI337" s="183"/>
      <c r="AJ337" s="182"/>
      <c r="AK337" s="184"/>
      <c r="AL337" s="182"/>
      <c r="AM337" s="182"/>
      <c r="AN337" s="182"/>
      <c r="AO337" s="182"/>
      <c r="AP337" s="182"/>
      <c r="AQ337" s="182"/>
      <c r="AR337" s="182"/>
    </row>
    <row r="338" spans="1:44">
      <c r="A338" s="182"/>
      <c r="B338" s="182"/>
      <c r="C338" s="182"/>
      <c r="D338" s="182"/>
      <c r="E338" s="182"/>
      <c r="F338" s="182"/>
      <c r="G338" s="182"/>
      <c r="H338" s="182"/>
      <c r="I338" s="182"/>
      <c r="J338" s="182"/>
      <c r="K338" s="182"/>
      <c r="L338" s="182"/>
      <c r="M338" s="182"/>
      <c r="N338" s="177"/>
      <c r="O338" s="182"/>
      <c r="P338" s="179"/>
      <c r="Q338" s="182"/>
      <c r="R338" s="182"/>
      <c r="S338" s="182"/>
      <c r="T338" s="182"/>
      <c r="U338" s="182"/>
      <c r="V338" s="182"/>
      <c r="W338" s="182"/>
      <c r="X338" s="182"/>
      <c r="Y338" s="182"/>
      <c r="Z338" s="182"/>
      <c r="AA338" s="182"/>
      <c r="AB338" s="182"/>
      <c r="AC338" s="182"/>
      <c r="AD338" s="182"/>
      <c r="AE338" s="184"/>
      <c r="AF338" s="183"/>
      <c r="AG338" s="183"/>
      <c r="AH338" s="183"/>
      <c r="AI338" s="183"/>
      <c r="AJ338" s="182"/>
      <c r="AK338" s="184"/>
      <c r="AL338" s="182"/>
      <c r="AM338" s="182"/>
      <c r="AN338" s="182"/>
      <c r="AO338" s="182"/>
      <c r="AP338" s="182"/>
      <c r="AQ338" s="182"/>
      <c r="AR338" s="182"/>
    </row>
    <row r="339" spans="1:44">
      <c r="A339" s="182"/>
      <c r="B339" s="182"/>
      <c r="C339" s="182"/>
      <c r="D339" s="182"/>
      <c r="E339" s="182"/>
      <c r="F339" s="182"/>
      <c r="G339" s="182"/>
      <c r="H339" s="182"/>
      <c r="I339" s="182"/>
      <c r="J339" s="182"/>
      <c r="K339" s="182"/>
      <c r="L339" s="182"/>
      <c r="M339" s="182"/>
      <c r="N339" s="177"/>
      <c r="O339" s="182"/>
      <c r="P339" s="179"/>
      <c r="Q339" s="182"/>
      <c r="R339" s="182"/>
      <c r="S339" s="182"/>
      <c r="T339" s="182"/>
      <c r="U339" s="182"/>
      <c r="V339" s="182"/>
      <c r="W339" s="182"/>
      <c r="X339" s="182"/>
      <c r="Y339" s="182"/>
      <c r="Z339" s="182"/>
      <c r="AA339" s="182"/>
      <c r="AB339" s="182"/>
      <c r="AC339" s="182"/>
      <c r="AD339" s="182"/>
      <c r="AE339" s="184"/>
      <c r="AF339" s="183"/>
      <c r="AG339" s="183"/>
      <c r="AH339" s="183"/>
      <c r="AI339" s="183"/>
      <c r="AJ339" s="182"/>
      <c r="AK339" s="184"/>
      <c r="AL339" s="182"/>
      <c r="AM339" s="182"/>
      <c r="AN339" s="182"/>
      <c r="AO339" s="182"/>
      <c r="AP339" s="182"/>
      <c r="AQ339" s="182"/>
      <c r="AR339" s="182"/>
    </row>
    <row r="340" spans="1:44">
      <c r="A340" s="182"/>
      <c r="B340" s="182"/>
      <c r="C340" s="182"/>
      <c r="D340" s="182"/>
      <c r="E340" s="182"/>
      <c r="F340" s="182"/>
      <c r="G340" s="182"/>
      <c r="H340" s="182"/>
      <c r="I340" s="182"/>
      <c r="J340" s="182"/>
      <c r="K340" s="182"/>
      <c r="L340" s="182"/>
      <c r="M340" s="182"/>
      <c r="N340" s="177"/>
      <c r="O340" s="182"/>
      <c r="P340" s="179"/>
      <c r="Q340" s="182"/>
      <c r="R340" s="182"/>
      <c r="S340" s="182"/>
      <c r="T340" s="182"/>
      <c r="U340" s="182"/>
      <c r="V340" s="182"/>
      <c r="W340" s="182"/>
      <c r="X340" s="182"/>
      <c r="Y340" s="182"/>
      <c r="Z340" s="182"/>
      <c r="AA340" s="182"/>
      <c r="AB340" s="182"/>
      <c r="AC340" s="182"/>
      <c r="AD340" s="182"/>
      <c r="AE340" s="184"/>
      <c r="AF340" s="183"/>
      <c r="AG340" s="183"/>
      <c r="AH340" s="183"/>
      <c r="AI340" s="183"/>
      <c r="AJ340" s="182"/>
      <c r="AK340" s="184"/>
      <c r="AL340" s="182"/>
      <c r="AM340" s="182"/>
      <c r="AN340" s="182"/>
      <c r="AO340" s="182"/>
      <c r="AP340" s="182"/>
      <c r="AQ340" s="182"/>
      <c r="AR340" s="182"/>
    </row>
    <row r="341" spans="1:44">
      <c r="A341" s="182"/>
      <c r="B341" s="182"/>
      <c r="C341" s="182"/>
      <c r="D341" s="182"/>
      <c r="E341" s="182"/>
      <c r="F341" s="182"/>
      <c r="G341" s="182"/>
      <c r="H341" s="182"/>
      <c r="I341" s="182"/>
      <c r="J341" s="182"/>
      <c r="K341" s="182"/>
      <c r="L341" s="182"/>
      <c r="M341" s="182"/>
      <c r="N341" s="177"/>
      <c r="O341" s="182"/>
      <c r="P341" s="179"/>
      <c r="Q341" s="182"/>
      <c r="R341" s="182"/>
      <c r="S341" s="182"/>
      <c r="T341" s="182"/>
      <c r="U341" s="182"/>
      <c r="V341" s="182"/>
      <c r="W341" s="182"/>
      <c r="X341" s="182"/>
      <c r="Y341" s="182"/>
      <c r="Z341" s="182"/>
      <c r="AA341" s="182"/>
      <c r="AB341" s="182"/>
      <c r="AC341" s="182"/>
      <c r="AD341" s="182"/>
      <c r="AE341" s="184"/>
      <c r="AF341" s="183"/>
      <c r="AG341" s="183"/>
      <c r="AH341" s="183"/>
      <c r="AI341" s="183"/>
      <c r="AJ341" s="182"/>
      <c r="AK341" s="184"/>
      <c r="AL341" s="182"/>
      <c r="AM341" s="182"/>
      <c r="AN341" s="182"/>
      <c r="AO341" s="182"/>
      <c r="AP341" s="182"/>
      <c r="AQ341" s="182"/>
      <c r="AR341" s="182"/>
    </row>
    <row r="342" spans="1:44">
      <c r="A342" s="182"/>
      <c r="B342" s="182"/>
      <c r="C342" s="182"/>
      <c r="D342" s="182"/>
      <c r="E342" s="182"/>
      <c r="F342" s="182"/>
      <c r="G342" s="182"/>
      <c r="H342" s="182"/>
      <c r="I342" s="182"/>
      <c r="J342" s="182"/>
      <c r="K342" s="182"/>
      <c r="L342" s="182"/>
      <c r="M342" s="182"/>
      <c r="N342" s="177"/>
      <c r="O342" s="182"/>
      <c r="P342" s="179"/>
      <c r="Q342" s="182"/>
      <c r="R342" s="182"/>
      <c r="S342" s="182"/>
      <c r="T342" s="182"/>
      <c r="U342" s="182"/>
      <c r="V342" s="182"/>
      <c r="W342" s="182"/>
      <c r="X342" s="182"/>
      <c r="Y342" s="182"/>
      <c r="Z342" s="182"/>
      <c r="AA342" s="182"/>
      <c r="AB342" s="182"/>
      <c r="AC342" s="182"/>
      <c r="AD342" s="182"/>
      <c r="AE342" s="184"/>
      <c r="AF342" s="183"/>
      <c r="AG342" s="183"/>
      <c r="AH342" s="183"/>
      <c r="AI342" s="183"/>
      <c r="AJ342" s="182"/>
      <c r="AK342" s="184"/>
      <c r="AL342" s="182"/>
      <c r="AM342" s="182"/>
      <c r="AN342" s="182"/>
      <c r="AO342" s="182"/>
      <c r="AP342" s="182"/>
      <c r="AQ342" s="182"/>
      <c r="AR342" s="182"/>
    </row>
    <row r="343" spans="1:44">
      <c r="A343" s="182"/>
      <c r="B343" s="182"/>
      <c r="C343" s="182"/>
      <c r="D343" s="182"/>
      <c r="E343" s="182"/>
      <c r="F343" s="182"/>
      <c r="G343" s="182"/>
      <c r="H343" s="182"/>
      <c r="I343" s="182"/>
      <c r="J343" s="182"/>
      <c r="K343" s="182"/>
      <c r="L343" s="182"/>
      <c r="M343" s="182"/>
      <c r="N343" s="177"/>
      <c r="O343" s="182"/>
      <c r="P343" s="179"/>
      <c r="Q343" s="182"/>
      <c r="R343" s="182"/>
      <c r="S343" s="182"/>
      <c r="T343" s="182"/>
      <c r="U343" s="182"/>
      <c r="V343" s="182"/>
      <c r="W343" s="182"/>
      <c r="X343" s="182"/>
      <c r="Y343" s="182"/>
      <c r="Z343" s="182"/>
      <c r="AA343" s="182"/>
      <c r="AB343" s="182"/>
      <c r="AC343" s="182"/>
      <c r="AD343" s="182"/>
      <c r="AE343" s="184"/>
      <c r="AF343" s="183"/>
      <c r="AG343" s="183"/>
      <c r="AH343" s="183"/>
      <c r="AI343" s="183"/>
      <c r="AJ343" s="182"/>
      <c r="AK343" s="184"/>
      <c r="AL343" s="182"/>
      <c r="AM343" s="182"/>
      <c r="AN343" s="182"/>
      <c r="AO343" s="182"/>
      <c r="AP343" s="182"/>
      <c r="AQ343" s="182"/>
      <c r="AR343" s="182"/>
    </row>
    <row r="344" spans="1:44">
      <c r="A344" s="182"/>
      <c r="B344" s="182"/>
      <c r="C344" s="182"/>
      <c r="D344" s="182"/>
      <c r="E344" s="182"/>
      <c r="F344" s="182"/>
      <c r="G344" s="182"/>
      <c r="H344" s="182"/>
      <c r="I344" s="182"/>
      <c r="J344" s="182"/>
      <c r="K344" s="182"/>
      <c r="L344" s="182"/>
      <c r="M344" s="182"/>
      <c r="N344" s="177"/>
      <c r="O344" s="182"/>
      <c r="P344" s="179"/>
      <c r="Q344" s="182"/>
      <c r="R344" s="182"/>
      <c r="S344" s="182"/>
      <c r="T344" s="182"/>
      <c r="U344" s="182"/>
      <c r="V344" s="182"/>
      <c r="W344" s="182"/>
      <c r="X344" s="182"/>
      <c r="Y344" s="182"/>
      <c r="Z344" s="182"/>
      <c r="AA344" s="182"/>
      <c r="AB344" s="182"/>
      <c r="AC344" s="182"/>
      <c r="AD344" s="182"/>
      <c r="AE344" s="184"/>
      <c r="AF344" s="183"/>
      <c r="AG344" s="183"/>
      <c r="AH344" s="183"/>
      <c r="AI344" s="183"/>
      <c r="AJ344" s="182"/>
      <c r="AK344" s="184"/>
      <c r="AL344" s="182"/>
      <c r="AM344" s="182"/>
      <c r="AN344" s="182"/>
      <c r="AO344" s="182"/>
      <c r="AP344" s="182"/>
      <c r="AQ344" s="182"/>
      <c r="AR344" s="182"/>
    </row>
    <row r="345" spans="1:44">
      <c r="A345" s="182"/>
      <c r="B345" s="182"/>
      <c r="C345" s="182"/>
      <c r="D345" s="182"/>
      <c r="E345" s="182"/>
      <c r="F345" s="182"/>
      <c r="G345" s="182"/>
      <c r="H345" s="182"/>
      <c r="I345" s="182"/>
      <c r="J345" s="182"/>
      <c r="K345" s="182"/>
      <c r="L345" s="182"/>
      <c r="M345" s="182"/>
      <c r="N345" s="177"/>
      <c r="O345" s="182"/>
      <c r="P345" s="179"/>
      <c r="Q345" s="182"/>
      <c r="R345" s="182"/>
      <c r="S345" s="182"/>
      <c r="T345" s="182"/>
      <c r="U345" s="182"/>
      <c r="V345" s="182"/>
      <c r="W345" s="182"/>
      <c r="X345" s="182"/>
      <c r="Y345" s="182"/>
      <c r="Z345" s="182"/>
      <c r="AA345" s="182"/>
      <c r="AB345" s="182"/>
      <c r="AC345" s="182"/>
      <c r="AD345" s="182"/>
      <c r="AE345" s="184"/>
      <c r="AF345" s="183"/>
      <c r="AG345" s="183"/>
      <c r="AH345" s="183"/>
      <c r="AI345" s="183"/>
      <c r="AJ345" s="182"/>
      <c r="AK345" s="184"/>
      <c r="AL345" s="182"/>
      <c r="AM345" s="182"/>
      <c r="AN345" s="182"/>
      <c r="AO345" s="182"/>
      <c r="AP345" s="182"/>
      <c r="AQ345" s="182"/>
      <c r="AR345" s="182"/>
    </row>
    <row r="346" spans="1:44">
      <c r="A346" s="182"/>
      <c r="B346" s="182"/>
      <c r="C346" s="182"/>
      <c r="D346" s="182"/>
      <c r="E346" s="182"/>
      <c r="F346" s="182"/>
      <c r="G346" s="182"/>
      <c r="H346" s="182"/>
      <c r="I346" s="182"/>
      <c r="J346" s="182"/>
      <c r="K346" s="182"/>
      <c r="L346" s="182"/>
      <c r="M346" s="182"/>
      <c r="N346" s="177"/>
      <c r="O346" s="182"/>
      <c r="P346" s="179"/>
      <c r="Q346" s="182"/>
      <c r="R346" s="182"/>
      <c r="S346" s="182"/>
      <c r="T346" s="182"/>
      <c r="U346" s="182"/>
      <c r="V346" s="182"/>
      <c r="W346" s="182"/>
      <c r="X346" s="182"/>
      <c r="Y346" s="182"/>
      <c r="Z346" s="182"/>
      <c r="AA346" s="182"/>
      <c r="AB346" s="182"/>
      <c r="AC346" s="182"/>
      <c r="AD346" s="182"/>
      <c r="AE346" s="184"/>
      <c r="AF346" s="183"/>
      <c r="AG346" s="183"/>
      <c r="AH346" s="183"/>
      <c r="AI346" s="183"/>
      <c r="AJ346" s="182"/>
      <c r="AK346" s="184"/>
      <c r="AL346" s="182"/>
      <c r="AM346" s="182"/>
      <c r="AN346" s="182"/>
      <c r="AO346" s="182"/>
      <c r="AP346" s="182"/>
      <c r="AQ346" s="182"/>
      <c r="AR346" s="182"/>
    </row>
    <row r="347" spans="1:44">
      <c r="A347" s="182"/>
      <c r="B347" s="182"/>
      <c r="C347" s="182"/>
      <c r="D347" s="182"/>
      <c r="E347" s="182"/>
      <c r="F347" s="182"/>
      <c r="G347" s="182"/>
      <c r="H347" s="182"/>
      <c r="I347" s="182"/>
      <c r="J347" s="182"/>
      <c r="K347" s="182"/>
      <c r="L347" s="182"/>
      <c r="M347" s="182"/>
      <c r="N347" s="177"/>
      <c r="O347" s="182"/>
      <c r="P347" s="179"/>
      <c r="Q347" s="182"/>
      <c r="R347" s="182"/>
      <c r="S347" s="182"/>
      <c r="T347" s="182"/>
      <c r="U347" s="182"/>
      <c r="V347" s="182"/>
      <c r="W347" s="182"/>
      <c r="X347" s="182"/>
      <c r="Y347" s="182"/>
      <c r="Z347" s="182"/>
      <c r="AA347" s="182"/>
      <c r="AB347" s="182"/>
      <c r="AC347" s="182"/>
      <c r="AD347" s="182"/>
      <c r="AE347" s="184"/>
      <c r="AF347" s="183"/>
      <c r="AG347" s="183"/>
      <c r="AH347" s="183"/>
      <c r="AI347" s="183"/>
      <c r="AJ347" s="182"/>
      <c r="AK347" s="184"/>
      <c r="AL347" s="182"/>
      <c r="AM347" s="182"/>
      <c r="AN347" s="182"/>
      <c r="AO347" s="182"/>
      <c r="AP347" s="182"/>
      <c r="AQ347" s="182"/>
      <c r="AR347" s="182"/>
    </row>
    <row r="348" spans="1:44">
      <c r="A348" s="182"/>
      <c r="B348" s="182"/>
      <c r="C348" s="182"/>
      <c r="D348" s="182"/>
      <c r="E348" s="182"/>
      <c r="F348" s="182"/>
      <c r="G348" s="182"/>
      <c r="H348" s="182"/>
      <c r="I348" s="182"/>
      <c r="J348" s="182"/>
      <c r="K348" s="182"/>
      <c r="L348" s="182"/>
      <c r="M348" s="182"/>
      <c r="N348" s="177"/>
      <c r="O348" s="182"/>
      <c r="P348" s="179"/>
      <c r="Q348" s="182"/>
      <c r="R348" s="182"/>
      <c r="S348" s="182"/>
      <c r="T348" s="182"/>
      <c r="U348" s="182"/>
      <c r="V348" s="182"/>
      <c r="W348" s="182"/>
      <c r="X348" s="182"/>
      <c r="Y348" s="182"/>
      <c r="Z348" s="182"/>
      <c r="AA348" s="182"/>
      <c r="AB348" s="182"/>
      <c r="AC348" s="182"/>
      <c r="AD348" s="182"/>
      <c r="AE348" s="184"/>
      <c r="AF348" s="183"/>
      <c r="AG348" s="183"/>
      <c r="AH348" s="183"/>
      <c r="AI348" s="183"/>
      <c r="AJ348" s="182"/>
      <c r="AK348" s="184"/>
      <c r="AL348" s="182"/>
      <c r="AM348" s="182"/>
      <c r="AN348" s="182"/>
      <c r="AO348" s="182"/>
      <c r="AP348" s="182"/>
      <c r="AQ348" s="182"/>
      <c r="AR348" s="182"/>
    </row>
    <row r="349" spans="1:44">
      <c r="A349" s="182"/>
      <c r="B349" s="182"/>
      <c r="C349" s="182"/>
      <c r="D349" s="182"/>
      <c r="E349" s="182"/>
      <c r="F349" s="182"/>
      <c r="G349" s="182"/>
      <c r="H349" s="182"/>
      <c r="I349" s="182"/>
      <c r="J349" s="182"/>
      <c r="K349" s="182"/>
      <c r="L349" s="182"/>
      <c r="M349" s="182"/>
      <c r="N349" s="177"/>
      <c r="O349" s="182"/>
      <c r="P349" s="179"/>
      <c r="Q349" s="182"/>
      <c r="R349" s="182"/>
      <c r="S349" s="182"/>
      <c r="T349" s="182"/>
      <c r="U349" s="182"/>
      <c r="V349" s="182"/>
      <c r="W349" s="182"/>
      <c r="X349" s="182"/>
      <c r="Y349" s="182"/>
      <c r="Z349" s="182"/>
      <c r="AA349" s="182"/>
      <c r="AB349" s="182"/>
      <c r="AC349" s="182"/>
      <c r="AD349" s="182"/>
      <c r="AE349" s="184"/>
      <c r="AF349" s="183"/>
      <c r="AG349" s="183"/>
      <c r="AH349" s="183"/>
      <c r="AI349" s="183"/>
      <c r="AJ349" s="182"/>
      <c r="AK349" s="184"/>
      <c r="AL349" s="182"/>
      <c r="AM349" s="182"/>
      <c r="AN349" s="182"/>
      <c r="AO349" s="182"/>
      <c r="AP349" s="182"/>
      <c r="AQ349" s="182"/>
      <c r="AR349" s="182"/>
    </row>
    <row r="350" spans="1:44">
      <c r="A350" s="182"/>
      <c r="B350" s="182"/>
      <c r="C350" s="182"/>
      <c r="D350" s="182"/>
      <c r="E350" s="182"/>
      <c r="F350" s="182"/>
      <c r="G350" s="182"/>
      <c r="H350" s="182"/>
      <c r="I350" s="182"/>
      <c r="J350" s="182"/>
      <c r="K350" s="182"/>
      <c r="L350" s="182"/>
      <c r="M350" s="182"/>
      <c r="N350" s="177"/>
      <c r="O350" s="182"/>
      <c r="P350" s="179"/>
      <c r="Q350" s="182"/>
      <c r="R350" s="182"/>
      <c r="S350" s="182"/>
      <c r="T350" s="182"/>
      <c r="U350" s="182"/>
      <c r="V350" s="182"/>
      <c r="W350" s="182"/>
      <c r="X350" s="182"/>
      <c r="Y350" s="182"/>
      <c r="Z350" s="182"/>
      <c r="AA350" s="182"/>
      <c r="AB350" s="182"/>
      <c r="AC350" s="182"/>
      <c r="AD350" s="182"/>
      <c r="AE350" s="184"/>
      <c r="AF350" s="183"/>
      <c r="AG350" s="183"/>
      <c r="AH350" s="183"/>
      <c r="AI350" s="183"/>
      <c r="AJ350" s="182"/>
      <c r="AK350" s="184"/>
      <c r="AL350" s="182"/>
      <c r="AM350" s="182"/>
      <c r="AN350" s="182"/>
      <c r="AO350" s="182"/>
      <c r="AP350" s="182"/>
      <c r="AQ350" s="182"/>
      <c r="AR350" s="182"/>
    </row>
    <row r="351" spans="1:44">
      <c r="A351" s="182"/>
      <c r="B351" s="182"/>
      <c r="C351" s="182"/>
      <c r="D351" s="182"/>
      <c r="E351" s="182"/>
      <c r="F351" s="182"/>
      <c r="G351" s="182"/>
      <c r="H351" s="182"/>
      <c r="I351" s="182"/>
      <c r="J351" s="182"/>
      <c r="K351" s="182"/>
      <c r="L351" s="182"/>
      <c r="M351" s="182"/>
      <c r="N351" s="177"/>
      <c r="O351" s="182"/>
      <c r="P351" s="179"/>
      <c r="Q351" s="182"/>
      <c r="R351" s="182"/>
      <c r="S351" s="182"/>
      <c r="T351" s="182"/>
      <c r="U351" s="182"/>
      <c r="V351" s="182"/>
      <c r="W351" s="182"/>
      <c r="X351" s="182"/>
      <c r="Y351" s="182"/>
      <c r="Z351" s="182"/>
      <c r="AA351" s="182"/>
      <c r="AB351" s="182"/>
      <c r="AC351" s="182"/>
      <c r="AD351" s="182"/>
      <c r="AE351" s="184"/>
      <c r="AF351" s="183"/>
      <c r="AG351" s="183"/>
      <c r="AH351" s="183"/>
      <c r="AI351" s="183"/>
      <c r="AJ351" s="182"/>
      <c r="AK351" s="184"/>
      <c r="AL351" s="182"/>
      <c r="AM351" s="182"/>
      <c r="AN351" s="182"/>
      <c r="AO351" s="182"/>
      <c r="AP351" s="182"/>
      <c r="AQ351" s="182"/>
      <c r="AR351" s="182"/>
    </row>
    <row r="352" spans="1:44">
      <c r="A352" s="182"/>
      <c r="B352" s="182"/>
      <c r="C352" s="182"/>
      <c r="D352" s="182"/>
      <c r="E352" s="182"/>
      <c r="F352" s="182"/>
      <c r="G352" s="182"/>
      <c r="H352" s="182"/>
      <c r="I352" s="182"/>
      <c r="J352" s="182"/>
      <c r="K352" s="182"/>
      <c r="L352" s="182"/>
      <c r="M352" s="182"/>
      <c r="N352" s="177"/>
      <c r="O352" s="182"/>
      <c r="P352" s="179"/>
      <c r="Q352" s="182"/>
      <c r="R352" s="182"/>
      <c r="S352" s="182"/>
      <c r="T352" s="182"/>
      <c r="U352" s="182"/>
      <c r="V352" s="182"/>
      <c r="W352" s="182"/>
      <c r="X352" s="182"/>
      <c r="Y352" s="182"/>
      <c r="Z352" s="182"/>
      <c r="AA352" s="182"/>
      <c r="AB352" s="182"/>
      <c r="AC352" s="182"/>
      <c r="AD352" s="182"/>
      <c r="AE352" s="184"/>
      <c r="AF352" s="183"/>
      <c r="AG352" s="183"/>
      <c r="AH352" s="183"/>
      <c r="AI352" s="183"/>
      <c r="AJ352" s="182"/>
      <c r="AK352" s="184"/>
      <c r="AL352" s="182"/>
      <c r="AM352" s="182"/>
      <c r="AN352" s="182"/>
      <c r="AO352" s="182"/>
      <c r="AP352" s="182"/>
      <c r="AQ352" s="182"/>
      <c r="AR352" s="182"/>
    </row>
    <row r="353" spans="1:44">
      <c r="A353" s="182"/>
      <c r="B353" s="182"/>
      <c r="C353" s="182"/>
      <c r="D353" s="182"/>
      <c r="E353" s="182"/>
      <c r="F353" s="182"/>
      <c r="G353" s="182"/>
      <c r="H353" s="182"/>
      <c r="I353" s="182"/>
      <c r="J353" s="182"/>
      <c r="K353" s="182"/>
      <c r="L353" s="182"/>
      <c r="M353" s="182"/>
      <c r="N353" s="177"/>
      <c r="O353" s="182"/>
      <c r="P353" s="179"/>
      <c r="Q353" s="182"/>
      <c r="R353" s="182"/>
      <c r="S353" s="182"/>
      <c r="T353" s="182"/>
      <c r="U353" s="182"/>
      <c r="V353" s="182"/>
      <c r="W353" s="182"/>
      <c r="X353" s="182"/>
      <c r="Y353" s="182"/>
      <c r="Z353" s="182"/>
      <c r="AA353" s="182"/>
      <c r="AB353" s="182"/>
      <c r="AC353" s="182"/>
      <c r="AD353" s="182"/>
      <c r="AE353" s="184"/>
      <c r="AF353" s="183"/>
      <c r="AG353" s="183"/>
      <c r="AH353" s="183"/>
      <c r="AI353" s="183"/>
      <c r="AJ353" s="182"/>
      <c r="AK353" s="184"/>
      <c r="AL353" s="182"/>
      <c r="AM353" s="182"/>
      <c r="AN353" s="182"/>
      <c r="AO353" s="182"/>
      <c r="AP353" s="182"/>
      <c r="AQ353" s="182"/>
      <c r="AR353" s="182"/>
    </row>
    <row r="354" spans="1:44">
      <c r="A354" s="182"/>
      <c r="B354" s="182"/>
      <c r="C354" s="182"/>
      <c r="D354" s="182"/>
      <c r="E354" s="182"/>
      <c r="F354" s="182"/>
      <c r="G354" s="182"/>
      <c r="H354" s="182"/>
      <c r="I354" s="182"/>
      <c r="J354" s="182"/>
      <c r="K354" s="182"/>
      <c r="L354" s="182"/>
      <c r="M354" s="182"/>
      <c r="N354" s="177"/>
      <c r="O354" s="182"/>
      <c r="P354" s="179"/>
      <c r="Q354" s="182"/>
      <c r="R354" s="182"/>
      <c r="S354" s="182"/>
      <c r="T354" s="182"/>
      <c r="U354" s="182"/>
      <c r="V354" s="182"/>
      <c r="W354" s="182"/>
      <c r="X354" s="182"/>
      <c r="Y354" s="182"/>
      <c r="Z354" s="182"/>
      <c r="AA354" s="182"/>
      <c r="AB354" s="182"/>
      <c r="AC354" s="182"/>
      <c r="AD354" s="182"/>
      <c r="AE354" s="184"/>
      <c r="AF354" s="183"/>
      <c r="AG354" s="183"/>
      <c r="AH354" s="183"/>
      <c r="AI354" s="183"/>
      <c r="AJ354" s="182"/>
      <c r="AK354" s="184"/>
      <c r="AL354" s="182"/>
      <c r="AM354" s="182"/>
      <c r="AN354" s="182"/>
      <c r="AO354" s="182"/>
      <c r="AP354" s="182"/>
      <c r="AQ354" s="182"/>
      <c r="AR354" s="182"/>
    </row>
    <row r="355" spans="1:44">
      <c r="A355" s="182"/>
      <c r="B355" s="182"/>
      <c r="C355" s="182"/>
      <c r="D355" s="182"/>
      <c r="E355" s="182"/>
      <c r="F355" s="182"/>
      <c r="G355" s="182"/>
      <c r="H355" s="182"/>
      <c r="I355" s="182"/>
      <c r="J355" s="182"/>
      <c r="K355" s="182"/>
      <c r="L355" s="182"/>
      <c r="M355" s="182"/>
      <c r="N355" s="177"/>
      <c r="O355" s="182"/>
      <c r="P355" s="179"/>
      <c r="Q355" s="182"/>
      <c r="R355" s="182"/>
      <c r="S355" s="182"/>
      <c r="T355" s="182"/>
      <c r="U355" s="182"/>
      <c r="V355" s="182"/>
      <c r="W355" s="182"/>
      <c r="X355" s="182"/>
      <c r="Y355" s="182"/>
      <c r="Z355" s="182"/>
      <c r="AA355" s="182"/>
      <c r="AB355" s="182"/>
      <c r="AC355" s="182"/>
      <c r="AD355" s="182"/>
      <c r="AE355" s="184"/>
      <c r="AF355" s="183"/>
      <c r="AG355" s="183"/>
      <c r="AH355" s="183"/>
      <c r="AI355" s="183"/>
      <c r="AJ355" s="182"/>
      <c r="AK355" s="184"/>
      <c r="AL355" s="182"/>
      <c r="AM355" s="182"/>
      <c r="AN355" s="182"/>
      <c r="AO355" s="182"/>
      <c r="AP355" s="182"/>
      <c r="AQ355" s="182"/>
      <c r="AR355" s="182"/>
    </row>
    <row r="356" spans="1:44">
      <c r="A356" s="182"/>
      <c r="B356" s="182"/>
      <c r="C356" s="182"/>
      <c r="D356" s="182"/>
      <c r="E356" s="182"/>
      <c r="F356" s="182"/>
      <c r="G356" s="182"/>
      <c r="H356" s="182"/>
      <c r="I356" s="182"/>
      <c r="J356" s="182"/>
      <c r="K356" s="182"/>
      <c r="L356" s="182"/>
      <c r="M356" s="182"/>
      <c r="N356" s="177"/>
      <c r="O356" s="182"/>
      <c r="P356" s="179"/>
      <c r="Q356" s="182"/>
      <c r="R356" s="182"/>
      <c r="S356" s="182"/>
      <c r="T356" s="182"/>
      <c r="U356" s="182"/>
      <c r="V356" s="182"/>
      <c r="W356" s="182"/>
      <c r="X356" s="182"/>
      <c r="Y356" s="182"/>
      <c r="Z356" s="182"/>
      <c r="AA356" s="182"/>
      <c r="AB356" s="182"/>
      <c r="AC356" s="182"/>
      <c r="AD356" s="182"/>
      <c r="AE356" s="184"/>
      <c r="AF356" s="183"/>
      <c r="AG356" s="183"/>
      <c r="AH356" s="183"/>
      <c r="AI356" s="183"/>
      <c r="AJ356" s="182"/>
      <c r="AK356" s="184"/>
      <c r="AL356" s="182"/>
      <c r="AM356" s="182"/>
      <c r="AN356" s="182"/>
      <c r="AO356" s="182"/>
      <c r="AP356" s="182"/>
      <c r="AQ356" s="182"/>
      <c r="AR356" s="182"/>
    </row>
    <row r="357" spans="1:44">
      <c r="A357" s="182"/>
      <c r="B357" s="182"/>
      <c r="C357" s="182"/>
      <c r="D357" s="182"/>
      <c r="E357" s="182"/>
      <c r="F357" s="182"/>
      <c r="G357" s="182"/>
      <c r="H357" s="182"/>
      <c r="I357" s="182"/>
      <c r="J357" s="182"/>
      <c r="K357" s="182"/>
      <c r="L357" s="182"/>
      <c r="M357" s="182"/>
      <c r="N357" s="177"/>
      <c r="O357" s="182"/>
      <c r="P357" s="179"/>
      <c r="Q357" s="182"/>
      <c r="R357" s="182"/>
      <c r="S357" s="182"/>
      <c r="T357" s="182"/>
      <c r="U357" s="182"/>
      <c r="V357" s="182"/>
      <c r="W357" s="182"/>
      <c r="X357" s="182"/>
      <c r="Y357" s="182"/>
      <c r="Z357" s="182"/>
      <c r="AA357" s="182"/>
      <c r="AB357" s="182"/>
      <c r="AC357" s="182"/>
      <c r="AD357" s="182"/>
      <c r="AE357" s="184"/>
      <c r="AF357" s="183"/>
      <c r="AG357" s="183"/>
      <c r="AH357" s="183"/>
      <c r="AI357" s="183"/>
      <c r="AJ357" s="182"/>
      <c r="AK357" s="184"/>
      <c r="AL357" s="182"/>
      <c r="AM357" s="182"/>
      <c r="AN357" s="182"/>
      <c r="AO357" s="182"/>
      <c r="AP357" s="182"/>
      <c r="AQ357" s="182"/>
      <c r="AR357" s="182"/>
    </row>
    <row r="358" spans="1:44">
      <c r="A358" s="182"/>
      <c r="B358" s="182"/>
      <c r="C358" s="182"/>
      <c r="D358" s="182"/>
      <c r="E358" s="182"/>
      <c r="F358" s="182"/>
      <c r="G358" s="182"/>
      <c r="H358" s="182"/>
      <c r="I358" s="182"/>
      <c r="J358" s="182"/>
      <c r="K358" s="182"/>
      <c r="L358" s="182"/>
      <c r="M358" s="182"/>
      <c r="N358" s="177"/>
      <c r="O358" s="182"/>
      <c r="P358" s="179"/>
      <c r="Q358" s="182"/>
      <c r="R358" s="182"/>
      <c r="S358" s="182"/>
      <c r="T358" s="182"/>
      <c r="U358" s="182"/>
      <c r="V358" s="182"/>
      <c r="W358" s="182"/>
      <c r="X358" s="182"/>
      <c r="Y358" s="182"/>
      <c r="Z358" s="182"/>
      <c r="AA358" s="182"/>
      <c r="AB358" s="182"/>
      <c r="AC358" s="182"/>
      <c r="AD358" s="182"/>
      <c r="AE358" s="184"/>
      <c r="AF358" s="183"/>
      <c r="AG358" s="183"/>
      <c r="AH358" s="183"/>
      <c r="AI358" s="183"/>
      <c r="AJ358" s="182"/>
      <c r="AK358" s="184"/>
      <c r="AL358" s="182"/>
      <c r="AM358" s="182"/>
      <c r="AN358" s="182"/>
      <c r="AO358" s="182"/>
      <c r="AP358" s="182"/>
      <c r="AQ358" s="182"/>
      <c r="AR358" s="182"/>
    </row>
    <row r="359" spans="1:44">
      <c r="A359" s="182"/>
      <c r="B359" s="182"/>
      <c r="C359" s="182"/>
      <c r="D359" s="182"/>
      <c r="E359" s="182"/>
      <c r="F359" s="182"/>
      <c r="G359" s="182"/>
      <c r="H359" s="182"/>
      <c r="I359" s="182"/>
      <c r="J359" s="182"/>
      <c r="K359" s="182"/>
      <c r="L359" s="182"/>
      <c r="M359" s="182"/>
      <c r="N359" s="177"/>
      <c r="O359" s="182"/>
      <c r="P359" s="179"/>
      <c r="Q359" s="182"/>
      <c r="R359" s="182"/>
      <c r="S359" s="182"/>
      <c r="T359" s="182"/>
      <c r="U359" s="182"/>
      <c r="V359" s="182"/>
      <c r="W359" s="182"/>
      <c r="X359" s="182"/>
      <c r="Y359" s="182"/>
      <c r="Z359" s="182"/>
      <c r="AA359" s="182"/>
      <c r="AB359" s="182"/>
      <c r="AC359" s="182"/>
      <c r="AD359" s="182"/>
      <c r="AE359" s="184"/>
      <c r="AF359" s="183"/>
      <c r="AG359" s="183"/>
      <c r="AH359" s="183"/>
      <c r="AI359" s="183"/>
      <c r="AJ359" s="182"/>
      <c r="AK359" s="184"/>
      <c r="AL359" s="182"/>
      <c r="AM359" s="182"/>
      <c r="AN359" s="182"/>
      <c r="AO359" s="182"/>
      <c r="AP359" s="182"/>
      <c r="AQ359" s="182"/>
      <c r="AR359" s="182"/>
    </row>
    <row r="360" spans="1:44">
      <c r="A360" s="182"/>
      <c r="B360" s="182"/>
      <c r="C360" s="182"/>
      <c r="D360" s="182"/>
      <c r="E360" s="182"/>
      <c r="F360" s="182"/>
      <c r="G360" s="182"/>
      <c r="H360" s="182"/>
      <c r="I360" s="182"/>
      <c r="J360" s="182"/>
      <c r="K360" s="182"/>
      <c r="L360" s="182"/>
      <c r="M360" s="182"/>
      <c r="N360" s="177"/>
      <c r="O360" s="182"/>
      <c r="P360" s="179"/>
      <c r="Q360" s="182"/>
      <c r="R360" s="182"/>
      <c r="S360" s="182"/>
      <c r="T360" s="182"/>
      <c r="U360" s="182"/>
      <c r="V360" s="182"/>
      <c r="W360" s="182"/>
      <c r="X360" s="182"/>
      <c r="Y360" s="182"/>
      <c r="Z360" s="182"/>
      <c r="AA360" s="182"/>
      <c r="AB360" s="182"/>
      <c r="AC360" s="182"/>
      <c r="AD360" s="182"/>
      <c r="AE360" s="184"/>
      <c r="AF360" s="183"/>
      <c r="AG360" s="183"/>
      <c r="AH360" s="183"/>
      <c r="AI360" s="183"/>
      <c r="AJ360" s="182"/>
      <c r="AK360" s="184"/>
      <c r="AL360" s="182"/>
      <c r="AM360" s="182"/>
      <c r="AN360" s="182"/>
      <c r="AO360" s="182"/>
      <c r="AP360" s="182"/>
      <c r="AQ360" s="182"/>
      <c r="AR360" s="182"/>
    </row>
    <row r="361" spans="1:44">
      <c r="A361" s="182"/>
      <c r="B361" s="182"/>
      <c r="C361" s="182"/>
      <c r="D361" s="182"/>
      <c r="E361" s="182"/>
      <c r="F361" s="182"/>
      <c r="G361" s="182"/>
      <c r="H361" s="182"/>
      <c r="I361" s="182"/>
      <c r="J361" s="182"/>
      <c r="K361" s="182"/>
      <c r="L361" s="182"/>
      <c r="M361" s="182"/>
      <c r="N361" s="177"/>
      <c r="O361" s="182"/>
      <c r="P361" s="179"/>
      <c r="Q361" s="182"/>
      <c r="R361" s="182"/>
      <c r="S361" s="182"/>
      <c r="T361" s="182"/>
      <c r="U361" s="182"/>
      <c r="V361" s="182"/>
      <c r="W361" s="182"/>
      <c r="X361" s="182"/>
      <c r="Y361" s="182"/>
      <c r="Z361" s="182"/>
      <c r="AA361" s="182"/>
      <c r="AB361" s="182"/>
      <c r="AC361" s="182"/>
      <c r="AD361" s="182"/>
      <c r="AE361" s="184"/>
      <c r="AF361" s="183"/>
      <c r="AG361" s="183"/>
      <c r="AH361" s="183"/>
      <c r="AI361" s="183"/>
      <c r="AJ361" s="182"/>
      <c r="AK361" s="184"/>
      <c r="AL361" s="182"/>
      <c r="AM361" s="182"/>
      <c r="AN361" s="182"/>
      <c r="AO361" s="182"/>
      <c r="AP361" s="182"/>
      <c r="AQ361" s="182"/>
      <c r="AR361" s="182"/>
    </row>
    <row r="362" spans="1:44">
      <c r="A362" s="182"/>
      <c r="B362" s="182"/>
      <c r="C362" s="182"/>
      <c r="D362" s="182"/>
      <c r="E362" s="182"/>
      <c r="F362" s="182"/>
      <c r="G362" s="182"/>
      <c r="H362" s="182"/>
      <c r="I362" s="182"/>
      <c r="J362" s="182"/>
      <c r="K362" s="182"/>
      <c r="L362" s="182"/>
      <c r="M362" s="182"/>
      <c r="N362" s="177"/>
      <c r="O362" s="182"/>
      <c r="P362" s="179"/>
      <c r="Q362" s="182"/>
      <c r="R362" s="182"/>
      <c r="S362" s="182"/>
      <c r="T362" s="182"/>
      <c r="U362" s="182"/>
      <c r="V362" s="182"/>
      <c r="W362" s="182"/>
      <c r="X362" s="182"/>
      <c r="Y362" s="182"/>
      <c r="Z362" s="182"/>
      <c r="AA362" s="182"/>
      <c r="AB362" s="182"/>
      <c r="AC362" s="182"/>
      <c r="AD362" s="182"/>
      <c r="AE362" s="184"/>
      <c r="AF362" s="183"/>
      <c r="AG362" s="183"/>
      <c r="AH362" s="183"/>
      <c r="AI362" s="183"/>
      <c r="AJ362" s="182"/>
      <c r="AK362" s="184"/>
      <c r="AL362" s="182"/>
      <c r="AM362" s="182"/>
      <c r="AN362" s="182"/>
      <c r="AO362" s="182"/>
      <c r="AP362" s="182"/>
      <c r="AQ362" s="182"/>
      <c r="AR362" s="182"/>
    </row>
    <row r="363" spans="1:44">
      <c r="A363" s="182"/>
      <c r="B363" s="182"/>
      <c r="C363" s="182"/>
      <c r="D363" s="182"/>
      <c r="E363" s="182"/>
      <c r="F363" s="182"/>
      <c r="G363" s="182"/>
      <c r="H363" s="182"/>
      <c r="I363" s="182"/>
      <c r="J363" s="182"/>
      <c r="K363" s="182"/>
      <c r="L363" s="182"/>
      <c r="M363" s="182"/>
      <c r="N363" s="177"/>
      <c r="O363" s="182"/>
      <c r="P363" s="179"/>
      <c r="Q363" s="182"/>
      <c r="R363" s="182"/>
      <c r="S363" s="182"/>
      <c r="T363" s="182"/>
      <c r="U363" s="182"/>
      <c r="V363" s="182"/>
      <c r="W363" s="182"/>
      <c r="X363" s="182"/>
      <c r="Y363" s="182"/>
      <c r="Z363" s="182"/>
      <c r="AA363" s="182"/>
      <c r="AB363" s="182"/>
      <c r="AC363" s="182"/>
      <c r="AD363" s="182"/>
      <c r="AE363" s="184"/>
      <c r="AF363" s="183"/>
      <c r="AG363" s="183"/>
      <c r="AH363" s="183"/>
      <c r="AI363" s="183"/>
      <c r="AJ363" s="182"/>
      <c r="AK363" s="184"/>
      <c r="AL363" s="182"/>
      <c r="AM363" s="182"/>
      <c r="AN363" s="182"/>
      <c r="AO363" s="182"/>
      <c r="AP363" s="182"/>
      <c r="AQ363" s="182"/>
      <c r="AR363" s="182"/>
    </row>
    <row r="364" spans="1:44">
      <c r="A364" s="182"/>
      <c r="B364" s="182"/>
      <c r="C364" s="182"/>
      <c r="D364" s="182"/>
      <c r="E364" s="182"/>
      <c r="F364" s="182"/>
      <c r="G364" s="182"/>
      <c r="H364" s="182"/>
      <c r="I364" s="182"/>
      <c r="J364" s="182"/>
      <c r="K364" s="182"/>
      <c r="L364" s="182"/>
      <c r="M364" s="182"/>
      <c r="N364" s="177"/>
      <c r="O364" s="182"/>
      <c r="P364" s="179"/>
      <c r="Q364" s="182"/>
      <c r="R364" s="182"/>
      <c r="S364" s="182"/>
      <c r="T364" s="182"/>
      <c r="U364" s="182"/>
      <c r="V364" s="182"/>
      <c r="W364" s="182"/>
      <c r="X364" s="182"/>
      <c r="Y364" s="182"/>
      <c r="Z364" s="182"/>
      <c r="AA364" s="182"/>
      <c r="AB364" s="182"/>
      <c r="AC364" s="182"/>
      <c r="AD364" s="182"/>
      <c r="AE364" s="184"/>
      <c r="AF364" s="183"/>
      <c r="AG364" s="183"/>
      <c r="AH364" s="183"/>
      <c r="AI364" s="183"/>
      <c r="AJ364" s="182"/>
      <c r="AK364" s="184"/>
      <c r="AL364" s="182"/>
      <c r="AM364" s="182"/>
      <c r="AN364" s="182"/>
      <c r="AO364" s="182"/>
      <c r="AP364" s="182"/>
      <c r="AQ364" s="182"/>
      <c r="AR364" s="182"/>
    </row>
    <row r="365" spans="1:44">
      <c r="A365" s="182"/>
      <c r="B365" s="182"/>
      <c r="C365" s="182"/>
      <c r="D365" s="182"/>
      <c r="E365" s="182"/>
      <c r="F365" s="182"/>
      <c r="G365" s="182"/>
      <c r="H365" s="182"/>
      <c r="I365" s="182"/>
      <c r="J365" s="182"/>
      <c r="K365" s="182"/>
      <c r="L365" s="182"/>
      <c r="M365" s="182"/>
      <c r="N365" s="177"/>
      <c r="O365" s="182"/>
      <c r="P365" s="179"/>
      <c r="Q365" s="182"/>
      <c r="R365" s="182"/>
      <c r="S365" s="182"/>
      <c r="T365" s="182"/>
      <c r="U365" s="182"/>
      <c r="V365" s="182"/>
      <c r="W365" s="182"/>
      <c r="X365" s="182"/>
      <c r="Y365" s="182"/>
      <c r="Z365" s="182"/>
      <c r="AA365" s="182"/>
      <c r="AB365" s="182"/>
      <c r="AC365" s="182"/>
      <c r="AD365" s="182"/>
      <c r="AE365" s="184"/>
      <c r="AF365" s="183"/>
      <c r="AG365" s="183"/>
      <c r="AH365" s="183"/>
      <c r="AI365" s="183"/>
      <c r="AJ365" s="182"/>
      <c r="AK365" s="184"/>
      <c r="AL365" s="182"/>
      <c r="AM365" s="182"/>
      <c r="AN365" s="182"/>
      <c r="AO365" s="182"/>
      <c r="AP365" s="182"/>
      <c r="AQ365" s="182"/>
      <c r="AR365" s="182"/>
    </row>
    <row r="366" spans="1:44">
      <c r="A366" s="182"/>
      <c r="B366" s="182"/>
      <c r="C366" s="182"/>
      <c r="D366" s="182"/>
      <c r="E366" s="182"/>
      <c r="F366" s="182"/>
      <c r="G366" s="182"/>
      <c r="H366" s="182"/>
      <c r="I366" s="182"/>
      <c r="J366" s="182"/>
      <c r="K366" s="182"/>
      <c r="L366" s="182"/>
      <c r="M366" s="182"/>
      <c r="N366" s="177"/>
      <c r="O366" s="182"/>
      <c r="P366" s="179"/>
      <c r="Q366" s="182"/>
      <c r="R366" s="182"/>
      <c r="S366" s="182"/>
      <c r="T366" s="182"/>
      <c r="U366" s="182"/>
      <c r="V366" s="182"/>
      <c r="W366" s="182"/>
      <c r="X366" s="182"/>
      <c r="Y366" s="182"/>
      <c r="Z366" s="182"/>
      <c r="AA366" s="182"/>
      <c r="AB366" s="182"/>
      <c r="AC366" s="182"/>
      <c r="AD366" s="182"/>
      <c r="AE366" s="184"/>
      <c r="AF366" s="183"/>
      <c r="AG366" s="183"/>
      <c r="AH366" s="183"/>
      <c r="AI366" s="183"/>
      <c r="AJ366" s="182"/>
      <c r="AK366" s="184"/>
      <c r="AL366" s="182"/>
      <c r="AM366" s="182"/>
      <c r="AN366" s="182"/>
      <c r="AO366" s="182"/>
      <c r="AP366" s="182"/>
      <c r="AQ366" s="182"/>
      <c r="AR366" s="182"/>
    </row>
    <row r="367" spans="1:44">
      <c r="A367" s="182"/>
      <c r="B367" s="182"/>
      <c r="C367" s="182"/>
      <c r="D367" s="182"/>
      <c r="E367" s="182"/>
      <c r="F367" s="182"/>
      <c r="G367" s="182"/>
      <c r="H367" s="182"/>
      <c r="I367" s="182"/>
      <c r="J367" s="182"/>
      <c r="K367" s="182"/>
      <c r="L367" s="182"/>
      <c r="M367" s="182"/>
      <c r="N367" s="177"/>
      <c r="O367" s="182"/>
      <c r="P367" s="179"/>
      <c r="Q367" s="182"/>
      <c r="R367" s="182"/>
      <c r="S367" s="182"/>
      <c r="T367" s="182"/>
      <c r="U367" s="182"/>
      <c r="V367" s="182"/>
      <c r="W367" s="182"/>
      <c r="X367" s="182"/>
      <c r="Y367" s="182"/>
      <c r="Z367" s="182"/>
      <c r="AA367" s="182"/>
      <c r="AB367" s="182"/>
      <c r="AC367" s="182"/>
      <c r="AD367" s="182"/>
      <c r="AE367" s="184"/>
      <c r="AF367" s="183"/>
      <c r="AG367" s="183"/>
      <c r="AH367" s="183"/>
      <c r="AI367" s="183"/>
      <c r="AJ367" s="182"/>
      <c r="AK367" s="184"/>
      <c r="AL367" s="182"/>
      <c r="AM367" s="182"/>
      <c r="AN367" s="182"/>
      <c r="AO367" s="182"/>
      <c r="AP367" s="182"/>
      <c r="AQ367" s="182"/>
      <c r="AR367" s="182"/>
    </row>
    <row r="368" spans="1:44">
      <c r="A368" s="182"/>
      <c r="B368" s="182"/>
      <c r="C368" s="182"/>
      <c r="D368" s="182"/>
      <c r="E368" s="182"/>
      <c r="F368" s="182"/>
      <c r="G368" s="182"/>
      <c r="H368" s="182"/>
      <c r="I368" s="182"/>
      <c r="J368" s="182"/>
      <c r="K368" s="182"/>
      <c r="L368" s="182"/>
      <c r="M368" s="182"/>
      <c r="N368" s="177"/>
      <c r="O368" s="182"/>
      <c r="P368" s="179"/>
      <c r="Q368" s="182"/>
      <c r="R368" s="182"/>
      <c r="S368" s="182"/>
      <c r="T368" s="182"/>
      <c r="U368" s="182"/>
      <c r="V368" s="182"/>
      <c r="W368" s="182"/>
      <c r="X368" s="182"/>
      <c r="Y368" s="182"/>
      <c r="Z368" s="182"/>
      <c r="AA368" s="182"/>
      <c r="AB368" s="182"/>
      <c r="AC368" s="182"/>
      <c r="AD368" s="182"/>
      <c r="AE368" s="184"/>
      <c r="AF368" s="183"/>
      <c r="AG368" s="183"/>
      <c r="AH368" s="183"/>
      <c r="AI368" s="183"/>
      <c r="AJ368" s="182"/>
      <c r="AK368" s="184"/>
      <c r="AL368" s="182"/>
      <c r="AM368" s="182"/>
      <c r="AN368" s="182"/>
      <c r="AO368" s="182"/>
      <c r="AP368" s="182"/>
      <c r="AQ368" s="182"/>
      <c r="AR368" s="182"/>
    </row>
    <row r="369" spans="1:44">
      <c r="A369" s="182"/>
      <c r="B369" s="182"/>
      <c r="C369" s="182"/>
      <c r="D369" s="182"/>
      <c r="E369" s="182"/>
      <c r="F369" s="182"/>
      <c r="G369" s="182"/>
      <c r="H369" s="182"/>
      <c r="I369" s="182"/>
      <c r="J369" s="182"/>
      <c r="K369" s="182"/>
      <c r="L369" s="182"/>
      <c r="M369" s="182"/>
      <c r="N369" s="177"/>
      <c r="O369" s="182"/>
      <c r="P369" s="179"/>
      <c r="Q369" s="182"/>
      <c r="R369" s="182"/>
      <c r="S369" s="182"/>
      <c r="T369" s="182"/>
      <c r="U369" s="182"/>
      <c r="V369" s="182"/>
      <c r="W369" s="182"/>
      <c r="X369" s="182"/>
      <c r="Y369" s="182"/>
      <c r="Z369" s="182"/>
      <c r="AA369" s="182"/>
      <c r="AB369" s="182"/>
      <c r="AC369" s="182"/>
      <c r="AD369" s="182"/>
      <c r="AE369" s="184"/>
      <c r="AF369" s="183"/>
      <c r="AG369" s="183"/>
      <c r="AH369" s="183"/>
      <c r="AI369" s="183"/>
      <c r="AJ369" s="182"/>
      <c r="AK369" s="184"/>
      <c r="AL369" s="182"/>
      <c r="AM369" s="182"/>
      <c r="AN369" s="182"/>
      <c r="AO369" s="182"/>
      <c r="AP369" s="182"/>
      <c r="AQ369" s="182"/>
      <c r="AR369" s="182"/>
    </row>
    <row r="370" spans="1:44">
      <c r="A370" s="182"/>
      <c r="B370" s="182"/>
      <c r="C370" s="182"/>
      <c r="D370" s="182"/>
      <c r="E370" s="182"/>
      <c r="F370" s="182"/>
      <c r="G370" s="182"/>
      <c r="H370" s="182"/>
      <c r="I370" s="182"/>
      <c r="J370" s="182"/>
      <c r="K370" s="182"/>
      <c r="L370" s="182"/>
      <c r="M370" s="182"/>
      <c r="N370" s="177"/>
      <c r="O370" s="182"/>
      <c r="P370" s="179"/>
      <c r="Q370" s="182"/>
      <c r="R370" s="182"/>
      <c r="S370" s="182"/>
      <c r="T370" s="182"/>
      <c r="U370" s="182"/>
      <c r="V370" s="182"/>
      <c r="W370" s="182"/>
      <c r="X370" s="182"/>
      <c r="Y370" s="182"/>
      <c r="Z370" s="182"/>
      <c r="AA370" s="182"/>
      <c r="AB370" s="182"/>
      <c r="AC370" s="182"/>
      <c r="AD370" s="182"/>
      <c r="AE370" s="184"/>
      <c r="AF370" s="183"/>
      <c r="AG370" s="183"/>
      <c r="AH370" s="183"/>
      <c r="AI370" s="183"/>
      <c r="AJ370" s="182"/>
      <c r="AK370" s="184"/>
      <c r="AL370" s="182"/>
      <c r="AM370" s="182"/>
      <c r="AN370" s="182"/>
      <c r="AO370" s="182"/>
      <c r="AP370" s="182"/>
      <c r="AQ370" s="182"/>
      <c r="AR370" s="182"/>
    </row>
    <row r="371" spans="1:44">
      <c r="A371" s="182"/>
      <c r="B371" s="182"/>
      <c r="C371" s="182"/>
      <c r="D371" s="182"/>
      <c r="E371" s="182"/>
      <c r="F371" s="182"/>
      <c r="G371" s="182"/>
      <c r="H371" s="182"/>
      <c r="I371" s="182"/>
      <c r="J371" s="182"/>
      <c r="K371" s="182"/>
      <c r="L371" s="182"/>
      <c r="M371" s="182"/>
      <c r="N371" s="177"/>
      <c r="O371" s="182"/>
      <c r="P371" s="179"/>
      <c r="Q371" s="182"/>
      <c r="R371" s="182"/>
      <c r="S371" s="182"/>
      <c r="T371" s="182"/>
      <c r="U371" s="182"/>
      <c r="V371" s="182"/>
      <c r="W371" s="182"/>
      <c r="X371" s="182"/>
      <c r="Y371" s="182"/>
      <c r="Z371" s="182"/>
      <c r="AA371" s="182"/>
      <c r="AB371" s="182"/>
      <c r="AC371" s="182"/>
      <c r="AD371" s="182"/>
      <c r="AE371" s="184"/>
      <c r="AF371" s="183"/>
      <c r="AG371" s="183"/>
      <c r="AH371" s="183"/>
      <c r="AI371" s="183"/>
      <c r="AJ371" s="182"/>
      <c r="AK371" s="184"/>
      <c r="AL371" s="182"/>
      <c r="AM371" s="182"/>
      <c r="AN371" s="182"/>
      <c r="AO371" s="182"/>
      <c r="AP371" s="182"/>
      <c r="AQ371" s="182"/>
      <c r="AR371" s="182"/>
    </row>
    <row r="372" spans="1:44">
      <c r="A372" s="182"/>
      <c r="B372" s="182"/>
      <c r="C372" s="182"/>
      <c r="D372" s="182"/>
      <c r="E372" s="182"/>
      <c r="F372" s="182"/>
      <c r="G372" s="182"/>
      <c r="H372" s="182"/>
      <c r="I372" s="182"/>
      <c r="J372" s="182"/>
      <c r="K372" s="182"/>
      <c r="L372" s="182"/>
      <c r="M372" s="182"/>
      <c r="N372" s="177"/>
      <c r="O372" s="182"/>
      <c r="P372" s="179"/>
      <c r="Q372" s="182"/>
      <c r="R372" s="182"/>
      <c r="S372" s="182"/>
      <c r="T372" s="182"/>
      <c r="U372" s="182"/>
      <c r="V372" s="182"/>
      <c r="W372" s="182"/>
      <c r="X372" s="182"/>
      <c r="Y372" s="182"/>
      <c r="Z372" s="182"/>
      <c r="AA372" s="182"/>
      <c r="AB372" s="182"/>
      <c r="AC372" s="182"/>
      <c r="AD372" s="182"/>
      <c r="AE372" s="184"/>
      <c r="AF372" s="183"/>
      <c r="AG372" s="183"/>
      <c r="AH372" s="183"/>
      <c r="AI372" s="183"/>
      <c r="AJ372" s="182"/>
      <c r="AK372" s="184"/>
      <c r="AL372" s="182"/>
      <c r="AM372" s="182"/>
      <c r="AN372" s="182"/>
      <c r="AO372" s="182"/>
      <c r="AP372" s="182"/>
      <c r="AQ372" s="182"/>
      <c r="AR372" s="182"/>
    </row>
    <row r="373" spans="1:44">
      <c r="A373" s="182"/>
      <c r="B373" s="182"/>
      <c r="C373" s="182"/>
      <c r="D373" s="182"/>
      <c r="E373" s="182"/>
      <c r="F373" s="182"/>
      <c r="G373" s="182"/>
      <c r="H373" s="182"/>
      <c r="I373" s="182"/>
      <c r="J373" s="182"/>
      <c r="K373" s="182"/>
      <c r="L373" s="182"/>
      <c r="M373" s="182"/>
      <c r="N373" s="177"/>
      <c r="O373" s="182"/>
      <c r="P373" s="179"/>
      <c r="Q373" s="182"/>
      <c r="R373" s="182"/>
      <c r="S373" s="182"/>
      <c r="T373" s="182"/>
      <c r="U373" s="182"/>
      <c r="V373" s="182"/>
      <c r="W373" s="182"/>
      <c r="X373" s="182"/>
      <c r="Y373" s="182"/>
      <c r="Z373" s="182"/>
      <c r="AA373" s="182"/>
      <c r="AB373" s="182"/>
      <c r="AC373" s="182"/>
      <c r="AD373" s="182"/>
      <c r="AE373" s="184"/>
      <c r="AF373" s="183"/>
      <c r="AG373" s="183"/>
      <c r="AH373" s="183"/>
      <c r="AI373" s="183"/>
      <c r="AJ373" s="182"/>
      <c r="AK373" s="184"/>
      <c r="AL373" s="182"/>
      <c r="AM373" s="182"/>
      <c r="AN373" s="182"/>
      <c r="AO373" s="182"/>
      <c r="AP373" s="182"/>
      <c r="AQ373" s="182"/>
      <c r="AR373" s="182"/>
    </row>
    <row r="374" spans="1:44">
      <c r="A374" s="182"/>
      <c r="B374" s="182"/>
      <c r="C374" s="182"/>
      <c r="D374" s="182"/>
      <c r="E374" s="182"/>
      <c r="F374" s="182"/>
      <c r="G374" s="182"/>
      <c r="H374" s="182"/>
      <c r="I374" s="182"/>
      <c r="J374" s="182"/>
      <c r="K374" s="182"/>
      <c r="L374" s="182"/>
      <c r="M374" s="182"/>
      <c r="N374" s="177"/>
      <c r="O374" s="182"/>
      <c r="P374" s="179"/>
      <c r="Q374" s="182"/>
      <c r="R374" s="182"/>
      <c r="S374" s="182"/>
      <c r="T374" s="182"/>
      <c r="U374" s="182"/>
      <c r="V374" s="182"/>
      <c r="W374" s="182"/>
      <c r="X374" s="182"/>
      <c r="Y374" s="182"/>
      <c r="Z374" s="182"/>
      <c r="AA374" s="182"/>
      <c r="AB374" s="182"/>
      <c r="AC374" s="182"/>
      <c r="AD374" s="182"/>
      <c r="AE374" s="184"/>
      <c r="AF374" s="183"/>
      <c r="AG374" s="183"/>
      <c r="AH374" s="183"/>
      <c r="AI374" s="183"/>
      <c r="AJ374" s="182"/>
      <c r="AK374" s="184"/>
      <c r="AL374" s="182"/>
      <c r="AM374" s="182"/>
      <c r="AN374" s="182"/>
      <c r="AO374" s="182"/>
      <c r="AP374" s="182"/>
      <c r="AQ374" s="182"/>
      <c r="AR374" s="182"/>
    </row>
    <row r="375" spans="1:44">
      <c r="A375" s="182"/>
      <c r="B375" s="182"/>
      <c r="C375" s="182"/>
      <c r="D375" s="182"/>
      <c r="E375" s="182"/>
      <c r="F375" s="182"/>
      <c r="G375" s="182"/>
      <c r="H375" s="182"/>
      <c r="I375" s="182"/>
      <c r="J375" s="182"/>
      <c r="K375" s="182"/>
      <c r="L375" s="182"/>
      <c r="M375" s="182"/>
      <c r="N375" s="177"/>
      <c r="O375" s="182"/>
      <c r="P375" s="179"/>
      <c r="Q375" s="182"/>
      <c r="R375" s="182"/>
      <c r="S375" s="182"/>
      <c r="T375" s="182"/>
      <c r="U375" s="182"/>
      <c r="V375" s="182"/>
      <c r="W375" s="182"/>
      <c r="X375" s="182"/>
      <c r="Y375" s="182"/>
      <c r="Z375" s="182"/>
      <c r="AA375" s="182"/>
      <c r="AB375" s="182"/>
      <c r="AC375" s="182"/>
      <c r="AD375" s="182"/>
      <c r="AE375" s="184"/>
      <c r="AF375" s="183"/>
      <c r="AG375" s="183"/>
      <c r="AH375" s="183"/>
      <c r="AI375" s="183"/>
      <c r="AJ375" s="182"/>
      <c r="AK375" s="184"/>
      <c r="AL375" s="182"/>
      <c r="AM375" s="182"/>
      <c r="AN375" s="182"/>
      <c r="AO375" s="182"/>
      <c r="AP375" s="182"/>
      <c r="AQ375" s="182"/>
      <c r="AR375" s="182"/>
    </row>
    <row r="376" spans="1:44">
      <c r="A376" s="182"/>
      <c r="B376" s="182"/>
      <c r="C376" s="182"/>
      <c r="D376" s="182"/>
      <c r="E376" s="182"/>
      <c r="F376" s="182"/>
      <c r="G376" s="182"/>
      <c r="H376" s="182"/>
      <c r="I376" s="182"/>
      <c r="J376" s="182"/>
      <c r="K376" s="182"/>
      <c r="L376" s="182"/>
      <c r="M376" s="182"/>
      <c r="N376" s="177"/>
      <c r="O376" s="182"/>
      <c r="P376" s="179"/>
      <c r="Q376" s="182"/>
      <c r="R376" s="182"/>
      <c r="S376" s="182"/>
      <c r="T376" s="182"/>
      <c r="U376" s="182"/>
      <c r="V376" s="182"/>
      <c r="W376" s="182"/>
      <c r="X376" s="182"/>
      <c r="Y376" s="182"/>
      <c r="Z376" s="182"/>
      <c r="AA376" s="182"/>
      <c r="AB376" s="182"/>
      <c r="AC376" s="182"/>
      <c r="AD376" s="182"/>
      <c r="AE376" s="184"/>
      <c r="AF376" s="183"/>
      <c r="AG376" s="183"/>
      <c r="AH376" s="183"/>
      <c r="AI376" s="183"/>
      <c r="AJ376" s="182"/>
      <c r="AK376" s="184"/>
      <c r="AL376" s="182"/>
      <c r="AM376" s="182"/>
      <c r="AN376" s="182"/>
      <c r="AO376" s="182"/>
      <c r="AP376" s="182"/>
      <c r="AQ376" s="182"/>
      <c r="AR376" s="182"/>
    </row>
    <row r="377" spans="1:44">
      <c r="A377" s="182"/>
      <c r="B377" s="182"/>
      <c r="C377" s="182"/>
      <c r="D377" s="182"/>
      <c r="E377" s="182"/>
      <c r="F377" s="182"/>
      <c r="G377" s="182"/>
      <c r="H377" s="182"/>
      <c r="I377" s="182"/>
      <c r="J377" s="182"/>
      <c r="K377" s="182"/>
      <c r="L377" s="182"/>
      <c r="M377" s="182"/>
      <c r="N377" s="177"/>
      <c r="O377" s="182"/>
      <c r="P377" s="179"/>
      <c r="Q377" s="182"/>
      <c r="R377" s="182"/>
      <c r="S377" s="182"/>
      <c r="T377" s="182"/>
      <c r="U377" s="182"/>
      <c r="V377" s="182"/>
      <c r="W377" s="182"/>
      <c r="X377" s="182"/>
      <c r="Y377" s="182"/>
      <c r="Z377" s="182"/>
      <c r="AA377" s="182"/>
      <c r="AB377" s="182"/>
      <c r="AC377" s="182"/>
      <c r="AD377" s="182"/>
      <c r="AE377" s="184"/>
      <c r="AF377" s="183"/>
      <c r="AG377" s="183"/>
      <c r="AH377" s="183"/>
      <c r="AI377" s="183"/>
      <c r="AJ377" s="182"/>
      <c r="AK377" s="184"/>
      <c r="AL377" s="182"/>
      <c r="AM377" s="182"/>
      <c r="AN377" s="182"/>
      <c r="AO377" s="182"/>
      <c r="AP377" s="182"/>
      <c r="AQ377" s="182"/>
      <c r="AR377" s="182"/>
    </row>
    <row r="378" spans="1:44">
      <c r="A378" s="182"/>
      <c r="B378" s="182"/>
      <c r="C378" s="182"/>
      <c r="D378" s="182"/>
      <c r="E378" s="182"/>
      <c r="F378" s="182"/>
      <c r="G378" s="182"/>
      <c r="H378" s="182"/>
      <c r="I378" s="182"/>
      <c r="J378" s="182"/>
      <c r="K378" s="182"/>
      <c r="L378" s="182"/>
      <c r="M378" s="182"/>
      <c r="N378" s="177"/>
      <c r="O378" s="182"/>
      <c r="P378" s="179"/>
      <c r="Q378" s="182"/>
      <c r="R378" s="182"/>
      <c r="S378" s="182"/>
      <c r="T378" s="182"/>
      <c r="U378" s="182"/>
      <c r="V378" s="182"/>
      <c r="W378" s="182"/>
      <c r="X378" s="182"/>
      <c r="Y378" s="182"/>
      <c r="Z378" s="182"/>
      <c r="AA378" s="182"/>
      <c r="AB378" s="182"/>
      <c r="AC378" s="182"/>
      <c r="AD378" s="182"/>
      <c r="AE378" s="184"/>
      <c r="AF378" s="183"/>
      <c r="AG378" s="183"/>
      <c r="AH378" s="183"/>
      <c r="AI378" s="183"/>
      <c r="AJ378" s="182"/>
      <c r="AK378" s="184"/>
      <c r="AL378" s="182"/>
      <c r="AM378" s="182"/>
      <c r="AN378" s="182"/>
      <c r="AO378" s="182"/>
      <c r="AP378" s="182"/>
      <c r="AQ378" s="182"/>
      <c r="AR378" s="182"/>
    </row>
    <row r="379" spans="1:44">
      <c r="A379" s="182"/>
      <c r="B379" s="182"/>
      <c r="C379" s="182"/>
      <c r="D379" s="182"/>
      <c r="E379" s="182"/>
      <c r="F379" s="182"/>
      <c r="G379" s="182"/>
      <c r="H379" s="182"/>
      <c r="I379" s="182"/>
      <c r="J379" s="182"/>
      <c r="K379" s="182"/>
      <c r="L379" s="182"/>
      <c r="M379" s="182"/>
      <c r="N379" s="177"/>
      <c r="O379" s="182"/>
      <c r="P379" s="179"/>
      <c r="Q379" s="182"/>
      <c r="R379" s="182"/>
      <c r="S379" s="182"/>
      <c r="T379" s="182"/>
      <c r="U379" s="182"/>
      <c r="V379" s="182"/>
      <c r="W379" s="182"/>
      <c r="X379" s="182"/>
      <c r="Y379" s="182"/>
      <c r="Z379" s="182"/>
      <c r="AA379" s="182"/>
      <c r="AB379" s="182"/>
      <c r="AC379" s="182"/>
      <c r="AD379" s="182"/>
      <c r="AE379" s="184"/>
      <c r="AF379" s="183"/>
      <c r="AG379" s="183"/>
      <c r="AH379" s="183"/>
      <c r="AI379" s="183"/>
      <c r="AJ379" s="182"/>
      <c r="AK379" s="184"/>
      <c r="AL379" s="182"/>
      <c r="AM379" s="182"/>
      <c r="AN379" s="182"/>
      <c r="AO379" s="182"/>
      <c r="AP379" s="182"/>
      <c r="AQ379" s="182"/>
      <c r="AR379" s="182"/>
    </row>
    <row r="380" spans="1:44">
      <c r="A380" s="182"/>
      <c r="B380" s="182"/>
      <c r="C380" s="182"/>
      <c r="D380" s="182"/>
      <c r="E380" s="182"/>
      <c r="F380" s="182"/>
      <c r="G380" s="182"/>
      <c r="H380" s="182"/>
      <c r="I380" s="182"/>
      <c r="J380" s="182"/>
      <c r="K380" s="182"/>
      <c r="L380" s="182"/>
      <c r="M380" s="182"/>
      <c r="N380" s="177"/>
      <c r="O380" s="182"/>
      <c r="P380" s="179"/>
      <c r="Q380" s="182"/>
      <c r="R380" s="182"/>
      <c r="S380" s="182"/>
      <c r="T380" s="182"/>
      <c r="U380" s="182"/>
      <c r="V380" s="182"/>
      <c r="W380" s="182"/>
      <c r="X380" s="182"/>
      <c r="Y380" s="182"/>
      <c r="Z380" s="182"/>
      <c r="AA380" s="182"/>
      <c r="AB380" s="182"/>
      <c r="AC380" s="182"/>
      <c r="AD380" s="182"/>
      <c r="AE380" s="184"/>
      <c r="AF380" s="183"/>
      <c r="AG380" s="183"/>
      <c r="AH380" s="183"/>
      <c r="AI380" s="183"/>
      <c r="AJ380" s="182"/>
      <c r="AK380" s="184"/>
      <c r="AL380" s="182"/>
      <c r="AM380" s="182"/>
      <c r="AN380" s="182"/>
      <c r="AO380" s="182"/>
      <c r="AP380" s="182"/>
      <c r="AQ380" s="182"/>
      <c r="AR380" s="182"/>
    </row>
    <row r="381" spans="1:44">
      <c r="A381" s="182"/>
      <c r="B381" s="182"/>
      <c r="C381" s="182"/>
      <c r="D381" s="182"/>
      <c r="E381" s="182"/>
      <c r="F381" s="182"/>
      <c r="G381" s="182"/>
      <c r="H381" s="182"/>
      <c r="I381" s="182"/>
      <c r="J381" s="182"/>
      <c r="K381" s="182"/>
      <c r="L381" s="182"/>
      <c r="M381" s="182"/>
      <c r="N381" s="177"/>
      <c r="O381" s="182"/>
      <c r="P381" s="179"/>
      <c r="Q381" s="182"/>
      <c r="R381" s="182"/>
      <c r="S381" s="182"/>
      <c r="T381" s="182"/>
      <c r="U381" s="182"/>
      <c r="V381" s="182"/>
      <c r="W381" s="182"/>
      <c r="X381" s="182"/>
      <c r="Y381" s="182"/>
      <c r="Z381" s="182"/>
      <c r="AA381" s="182"/>
      <c r="AB381" s="182"/>
      <c r="AC381" s="182"/>
      <c r="AD381" s="182"/>
      <c r="AE381" s="184"/>
      <c r="AF381" s="183"/>
      <c r="AG381" s="183"/>
      <c r="AH381" s="183"/>
      <c r="AI381" s="183"/>
      <c r="AJ381" s="182"/>
      <c r="AK381" s="184"/>
      <c r="AL381" s="182"/>
      <c r="AM381" s="182"/>
      <c r="AN381" s="182"/>
      <c r="AO381" s="182"/>
      <c r="AP381" s="182"/>
      <c r="AQ381" s="182"/>
      <c r="AR381" s="182"/>
    </row>
    <row r="382" spans="1:44">
      <c r="A382" s="182"/>
      <c r="B382" s="182"/>
      <c r="C382" s="182"/>
      <c r="D382" s="182"/>
      <c r="E382" s="182"/>
      <c r="F382" s="182"/>
      <c r="G382" s="182"/>
      <c r="H382" s="182"/>
      <c r="I382" s="182"/>
      <c r="J382" s="182"/>
      <c r="K382" s="182"/>
      <c r="L382" s="182"/>
      <c r="M382" s="182"/>
      <c r="N382" s="177"/>
      <c r="O382" s="182"/>
      <c r="P382" s="179"/>
      <c r="Q382" s="182"/>
      <c r="R382" s="182"/>
      <c r="S382" s="182"/>
      <c r="T382" s="182"/>
      <c r="U382" s="182"/>
      <c r="V382" s="182"/>
      <c r="W382" s="182"/>
      <c r="X382" s="182"/>
      <c r="Y382" s="182"/>
      <c r="Z382" s="182"/>
      <c r="AA382" s="182"/>
      <c r="AB382" s="182"/>
      <c r="AC382" s="182"/>
      <c r="AD382" s="182"/>
      <c r="AE382" s="184"/>
      <c r="AF382" s="183"/>
      <c r="AG382" s="183"/>
      <c r="AH382" s="183"/>
      <c r="AI382" s="183"/>
      <c r="AJ382" s="182"/>
      <c r="AK382" s="184"/>
      <c r="AL382" s="182"/>
      <c r="AM382" s="182"/>
      <c r="AN382" s="182"/>
      <c r="AO382" s="182"/>
      <c r="AP382" s="182"/>
      <c r="AQ382" s="182"/>
      <c r="AR382" s="182"/>
    </row>
    <row r="383" spans="1:44">
      <c r="A383" s="182"/>
      <c r="B383" s="182"/>
      <c r="C383" s="182"/>
      <c r="D383" s="182"/>
      <c r="E383" s="182"/>
      <c r="F383" s="182"/>
      <c r="G383" s="182"/>
      <c r="H383" s="182"/>
      <c r="I383" s="182"/>
      <c r="J383" s="182"/>
      <c r="K383" s="182"/>
      <c r="L383" s="182"/>
      <c r="M383" s="182"/>
      <c r="N383" s="177"/>
      <c r="O383" s="182"/>
      <c r="P383" s="179"/>
      <c r="Q383" s="182"/>
      <c r="R383" s="182"/>
      <c r="S383" s="182"/>
      <c r="T383" s="182"/>
      <c r="U383" s="182"/>
      <c r="V383" s="182"/>
      <c r="W383" s="182"/>
      <c r="X383" s="182"/>
      <c r="Y383" s="182"/>
      <c r="Z383" s="182"/>
      <c r="AA383" s="182"/>
      <c r="AB383" s="182"/>
      <c r="AC383" s="182"/>
      <c r="AD383" s="182"/>
      <c r="AE383" s="184"/>
      <c r="AF383" s="183"/>
      <c r="AG383" s="183"/>
      <c r="AH383" s="183"/>
      <c r="AI383" s="183"/>
      <c r="AJ383" s="182"/>
      <c r="AK383" s="184"/>
      <c r="AL383" s="182"/>
      <c r="AM383" s="182"/>
      <c r="AN383" s="182"/>
      <c r="AO383" s="182"/>
      <c r="AP383" s="182"/>
      <c r="AQ383" s="182"/>
      <c r="AR383" s="182"/>
    </row>
    <row r="384" spans="1:44">
      <c r="A384" s="182"/>
      <c r="B384" s="182"/>
      <c r="C384" s="182"/>
      <c r="D384" s="182"/>
      <c r="E384" s="182"/>
      <c r="F384" s="182"/>
      <c r="G384" s="182"/>
      <c r="H384" s="182"/>
      <c r="I384" s="182"/>
      <c r="J384" s="182"/>
      <c r="K384" s="182"/>
      <c r="L384" s="182"/>
      <c r="M384" s="182"/>
      <c r="N384" s="177"/>
      <c r="O384" s="182"/>
      <c r="P384" s="179"/>
      <c r="Q384" s="182"/>
      <c r="R384" s="182"/>
      <c r="S384" s="182"/>
      <c r="T384" s="182"/>
      <c r="U384" s="182"/>
      <c r="V384" s="182"/>
      <c r="W384" s="182"/>
      <c r="X384" s="182"/>
      <c r="Y384" s="182"/>
      <c r="Z384" s="182"/>
      <c r="AA384" s="182"/>
      <c r="AB384" s="182"/>
      <c r="AC384" s="182"/>
      <c r="AD384" s="182"/>
      <c r="AE384" s="184"/>
      <c r="AF384" s="183"/>
      <c r="AG384" s="183"/>
      <c r="AH384" s="183"/>
      <c r="AI384" s="183"/>
      <c r="AJ384" s="182"/>
      <c r="AK384" s="184"/>
      <c r="AL384" s="182"/>
      <c r="AM384" s="182"/>
      <c r="AN384" s="182"/>
      <c r="AO384" s="182"/>
      <c r="AP384" s="182"/>
      <c r="AQ384" s="182"/>
      <c r="AR384" s="182"/>
    </row>
    <row r="385" spans="1:44">
      <c r="A385" s="182"/>
      <c r="B385" s="182"/>
      <c r="C385" s="182"/>
      <c r="D385" s="182"/>
      <c r="E385" s="182"/>
      <c r="F385" s="182"/>
      <c r="G385" s="182"/>
      <c r="H385" s="182"/>
      <c r="I385" s="182"/>
      <c r="J385" s="182"/>
      <c r="K385" s="182"/>
      <c r="L385" s="182"/>
      <c r="M385" s="182"/>
      <c r="N385" s="177"/>
      <c r="O385" s="182"/>
      <c r="P385" s="179"/>
      <c r="Q385" s="182"/>
      <c r="R385" s="182"/>
      <c r="S385" s="182"/>
      <c r="T385" s="182"/>
      <c r="U385" s="182"/>
      <c r="V385" s="182"/>
      <c r="W385" s="182"/>
      <c r="X385" s="182"/>
      <c r="Y385" s="182"/>
      <c r="Z385" s="182"/>
      <c r="AA385" s="182"/>
      <c r="AB385" s="182"/>
      <c r="AC385" s="182"/>
      <c r="AD385" s="182"/>
      <c r="AE385" s="184"/>
      <c r="AF385" s="183"/>
      <c r="AG385" s="183"/>
      <c r="AH385" s="183"/>
      <c r="AI385" s="183"/>
      <c r="AJ385" s="182"/>
      <c r="AK385" s="184"/>
      <c r="AL385" s="182"/>
      <c r="AM385" s="182"/>
      <c r="AN385" s="182"/>
      <c r="AO385" s="182"/>
      <c r="AP385" s="182"/>
      <c r="AQ385" s="182"/>
      <c r="AR385" s="182"/>
    </row>
    <row r="386" spans="1:44">
      <c r="A386" s="182"/>
      <c r="B386" s="182"/>
      <c r="C386" s="182"/>
      <c r="D386" s="182"/>
      <c r="E386" s="182"/>
      <c r="F386" s="182"/>
      <c r="G386" s="182"/>
      <c r="H386" s="182"/>
      <c r="I386" s="182"/>
      <c r="J386" s="182"/>
      <c r="K386" s="182"/>
      <c r="L386" s="182"/>
      <c r="M386" s="182"/>
      <c r="N386" s="177"/>
      <c r="O386" s="182"/>
      <c r="P386" s="179"/>
      <c r="Q386" s="182"/>
      <c r="R386" s="182"/>
      <c r="S386" s="182"/>
      <c r="T386" s="182"/>
      <c r="U386" s="182"/>
      <c r="V386" s="182"/>
      <c r="W386" s="182"/>
      <c r="X386" s="182"/>
      <c r="Y386" s="182"/>
      <c r="Z386" s="182"/>
      <c r="AA386" s="182"/>
      <c r="AB386" s="182"/>
      <c r="AC386" s="182"/>
      <c r="AD386" s="182"/>
      <c r="AE386" s="184"/>
      <c r="AF386" s="183"/>
      <c r="AG386" s="183"/>
      <c r="AH386" s="183"/>
      <c r="AI386" s="183"/>
      <c r="AJ386" s="182"/>
      <c r="AK386" s="184"/>
      <c r="AL386" s="182"/>
      <c r="AM386" s="182"/>
      <c r="AN386" s="182"/>
      <c r="AO386" s="182"/>
      <c r="AP386" s="182"/>
      <c r="AQ386" s="182"/>
      <c r="AR386" s="182"/>
    </row>
    <row r="387" spans="1:44">
      <c r="A387" s="182"/>
      <c r="B387" s="182"/>
      <c r="C387" s="182"/>
      <c r="D387" s="182"/>
      <c r="E387" s="182"/>
      <c r="F387" s="182"/>
      <c r="G387" s="182"/>
      <c r="H387" s="182"/>
      <c r="I387" s="182"/>
      <c r="J387" s="182"/>
      <c r="K387" s="182"/>
      <c r="L387" s="182"/>
      <c r="M387" s="182"/>
      <c r="N387" s="177"/>
      <c r="O387" s="182"/>
      <c r="P387" s="179"/>
      <c r="Q387" s="182"/>
      <c r="R387" s="182"/>
      <c r="S387" s="182"/>
      <c r="T387" s="182"/>
      <c r="U387" s="182"/>
      <c r="V387" s="182"/>
      <c r="W387" s="182"/>
      <c r="X387" s="182"/>
      <c r="Y387" s="182"/>
      <c r="Z387" s="182"/>
      <c r="AA387" s="182"/>
      <c r="AB387" s="182"/>
      <c r="AC387" s="182"/>
      <c r="AD387" s="182"/>
      <c r="AE387" s="184"/>
      <c r="AF387" s="183"/>
      <c r="AG387" s="183"/>
      <c r="AH387" s="183"/>
      <c r="AI387" s="183"/>
      <c r="AJ387" s="182"/>
      <c r="AK387" s="184"/>
      <c r="AL387" s="182"/>
      <c r="AM387" s="182"/>
      <c r="AN387" s="182"/>
      <c r="AO387" s="182"/>
      <c r="AP387" s="182"/>
      <c r="AQ387" s="182"/>
      <c r="AR387" s="182"/>
    </row>
    <row r="388" spans="1:44">
      <c r="A388" s="182"/>
      <c r="B388" s="182"/>
      <c r="C388" s="182"/>
      <c r="D388" s="182"/>
      <c r="E388" s="182"/>
      <c r="F388" s="182"/>
      <c r="G388" s="182"/>
      <c r="H388" s="182"/>
      <c r="I388" s="182"/>
      <c r="J388" s="182"/>
      <c r="K388" s="182"/>
      <c r="L388" s="182"/>
      <c r="M388" s="182"/>
      <c r="N388" s="177"/>
      <c r="O388" s="182"/>
      <c r="P388" s="179"/>
      <c r="Q388" s="182"/>
      <c r="R388" s="182"/>
      <c r="S388" s="182"/>
      <c r="T388" s="182"/>
      <c r="U388" s="182"/>
      <c r="V388" s="182"/>
      <c r="W388" s="182"/>
      <c r="X388" s="182"/>
      <c r="Y388" s="182"/>
      <c r="Z388" s="182"/>
      <c r="AA388" s="182"/>
      <c r="AB388" s="182"/>
      <c r="AC388" s="182"/>
      <c r="AD388" s="182"/>
      <c r="AE388" s="184"/>
      <c r="AF388" s="183"/>
      <c r="AG388" s="183"/>
      <c r="AH388" s="183"/>
      <c r="AI388" s="183"/>
      <c r="AJ388" s="182"/>
      <c r="AK388" s="184"/>
      <c r="AL388" s="182"/>
      <c r="AM388" s="182"/>
      <c r="AN388" s="182"/>
      <c r="AO388" s="182"/>
      <c r="AP388" s="182"/>
      <c r="AQ388" s="182"/>
      <c r="AR388" s="182"/>
    </row>
    <row r="389" spans="1:44">
      <c r="A389" s="182"/>
      <c r="B389" s="182"/>
      <c r="C389" s="182"/>
      <c r="D389" s="182"/>
      <c r="E389" s="182"/>
      <c r="F389" s="182"/>
      <c r="G389" s="182"/>
      <c r="H389" s="182"/>
      <c r="I389" s="182"/>
      <c r="J389" s="182"/>
      <c r="K389" s="182"/>
      <c r="L389" s="182"/>
      <c r="M389" s="182"/>
      <c r="N389" s="177"/>
      <c r="O389" s="182"/>
      <c r="P389" s="179"/>
      <c r="Q389" s="182"/>
      <c r="R389" s="182"/>
      <c r="S389" s="182"/>
      <c r="T389" s="182"/>
      <c r="U389" s="182"/>
      <c r="V389" s="182"/>
      <c r="W389" s="182"/>
      <c r="X389" s="182"/>
      <c r="Y389" s="182"/>
      <c r="Z389" s="182"/>
      <c r="AA389" s="182"/>
      <c r="AB389" s="182"/>
      <c r="AC389" s="182"/>
      <c r="AD389" s="182"/>
      <c r="AE389" s="184"/>
      <c r="AF389" s="183"/>
      <c r="AG389" s="183"/>
      <c r="AH389" s="183"/>
      <c r="AI389" s="183"/>
      <c r="AJ389" s="182"/>
      <c r="AK389" s="184"/>
      <c r="AL389" s="182"/>
      <c r="AM389" s="182"/>
      <c r="AN389" s="182"/>
      <c r="AO389" s="182"/>
      <c r="AP389" s="182"/>
      <c r="AQ389" s="182"/>
      <c r="AR389" s="182"/>
    </row>
    <row r="390" spans="1:44">
      <c r="A390" s="182"/>
      <c r="B390" s="182"/>
      <c r="C390" s="182"/>
      <c r="D390" s="182"/>
      <c r="E390" s="182"/>
      <c r="F390" s="182"/>
      <c r="G390" s="182"/>
      <c r="H390" s="182"/>
      <c r="I390" s="182"/>
      <c r="J390" s="182"/>
      <c r="K390" s="182"/>
      <c r="L390" s="182"/>
      <c r="M390" s="182"/>
      <c r="N390" s="177"/>
      <c r="O390" s="182"/>
      <c r="P390" s="179"/>
      <c r="Q390" s="182"/>
      <c r="R390" s="182"/>
      <c r="S390" s="182"/>
      <c r="T390" s="182"/>
      <c r="U390" s="182"/>
      <c r="V390" s="182"/>
      <c r="W390" s="182"/>
      <c r="X390" s="182"/>
      <c r="Y390" s="182"/>
      <c r="Z390" s="182"/>
      <c r="AA390" s="182"/>
      <c r="AB390" s="182"/>
      <c r="AC390" s="182"/>
      <c r="AD390" s="182"/>
      <c r="AE390" s="184"/>
      <c r="AF390" s="183"/>
      <c r="AG390" s="183"/>
      <c r="AH390" s="183"/>
      <c r="AI390" s="183"/>
      <c r="AJ390" s="182"/>
      <c r="AK390" s="184"/>
      <c r="AL390" s="182"/>
      <c r="AM390" s="182"/>
      <c r="AN390" s="182"/>
      <c r="AO390" s="182"/>
      <c r="AP390" s="182"/>
      <c r="AQ390" s="182"/>
      <c r="AR390" s="182"/>
    </row>
    <row r="391" spans="1:44">
      <c r="A391" s="182"/>
      <c r="B391" s="182"/>
      <c r="C391" s="182"/>
      <c r="D391" s="182"/>
      <c r="E391" s="182"/>
      <c r="F391" s="182"/>
      <c r="G391" s="182"/>
      <c r="H391" s="182"/>
      <c r="I391" s="182"/>
      <c r="J391" s="182"/>
      <c r="K391" s="182"/>
      <c r="L391" s="182"/>
      <c r="M391" s="182"/>
      <c r="N391" s="177"/>
      <c r="O391" s="182"/>
      <c r="P391" s="179"/>
      <c r="Q391" s="182"/>
      <c r="R391" s="182"/>
      <c r="S391" s="182"/>
      <c r="T391" s="182"/>
      <c r="U391" s="182"/>
      <c r="V391" s="182"/>
      <c r="W391" s="182"/>
      <c r="X391" s="182"/>
      <c r="Y391" s="182"/>
      <c r="Z391" s="182"/>
      <c r="AA391" s="182"/>
      <c r="AB391" s="182"/>
      <c r="AC391" s="182"/>
      <c r="AD391" s="182"/>
      <c r="AE391" s="184"/>
      <c r="AF391" s="183"/>
      <c r="AG391" s="183"/>
      <c r="AH391" s="183"/>
      <c r="AI391" s="183"/>
      <c r="AJ391" s="182"/>
      <c r="AK391" s="184"/>
      <c r="AL391" s="182"/>
      <c r="AM391" s="182"/>
      <c r="AN391" s="182"/>
      <c r="AO391" s="182"/>
      <c r="AP391" s="182"/>
      <c r="AQ391" s="182"/>
      <c r="AR391" s="182"/>
    </row>
    <row r="392" spans="1:44">
      <c r="A392" s="182"/>
      <c r="B392" s="182"/>
      <c r="C392" s="182"/>
      <c r="D392" s="182"/>
      <c r="E392" s="182"/>
      <c r="F392" s="182"/>
      <c r="G392" s="182"/>
      <c r="H392" s="182"/>
      <c r="I392" s="182"/>
      <c r="J392" s="182"/>
      <c r="K392" s="182"/>
      <c r="L392" s="182"/>
      <c r="M392" s="182"/>
      <c r="N392" s="177"/>
      <c r="O392" s="182"/>
      <c r="P392" s="179"/>
      <c r="Q392" s="182"/>
      <c r="R392" s="182"/>
      <c r="S392" s="182"/>
      <c r="T392" s="182"/>
      <c r="U392" s="182"/>
      <c r="V392" s="182"/>
      <c r="W392" s="182"/>
      <c r="X392" s="182"/>
      <c r="Y392" s="182"/>
      <c r="Z392" s="182"/>
      <c r="AA392" s="182"/>
      <c r="AB392" s="182"/>
      <c r="AC392" s="182"/>
      <c r="AD392" s="182"/>
      <c r="AE392" s="184"/>
      <c r="AF392" s="183"/>
      <c r="AG392" s="183"/>
      <c r="AH392" s="183"/>
      <c r="AI392" s="183"/>
      <c r="AJ392" s="182"/>
      <c r="AK392" s="184"/>
      <c r="AL392" s="182"/>
      <c r="AM392" s="182"/>
      <c r="AN392" s="182"/>
      <c r="AO392" s="182"/>
      <c r="AP392" s="182"/>
      <c r="AQ392" s="182"/>
      <c r="AR392" s="182"/>
    </row>
    <row r="393" spans="1:44">
      <c r="A393" s="182"/>
      <c r="B393" s="182"/>
      <c r="C393" s="182"/>
      <c r="D393" s="182"/>
      <c r="E393" s="182"/>
      <c r="F393" s="182"/>
      <c r="G393" s="182"/>
      <c r="H393" s="182"/>
      <c r="I393" s="182"/>
      <c r="J393" s="182"/>
      <c r="K393" s="182"/>
      <c r="L393" s="182"/>
      <c r="M393" s="182"/>
      <c r="N393" s="177"/>
      <c r="O393" s="182"/>
      <c r="P393" s="179"/>
      <c r="Q393" s="182"/>
      <c r="R393" s="182"/>
      <c r="S393" s="182"/>
      <c r="T393" s="182"/>
      <c r="U393" s="182"/>
      <c r="V393" s="182"/>
      <c r="W393" s="182"/>
      <c r="X393" s="182"/>
      <c r="Y393" s="182"/>
      <c r="Z393" s="182"/>
      <c r="AA393" s="182"/>
      <c r="AB393" s="182"/>
      <c r="AC393" s="182"/>
      <c r="AD393" s="182"/>
      <c r="AE393" s="184"/>
      <c r="AF393" s="183"/>
      <c r="AG393" s="183"/>
      <c r="AH393" s="183"/>
      <c r="AI393" s="183"/>
      <c r="AJ393" s="182"/>
      <c r="AK393" s="184"/>
      <c r="AL393" s="182"/>
      <c r="AM393" s="182"/>
      <c r="AN393" s="182"/>
      <c r="AO393" s="182"/>
      <c r="AP393" s="182"/>
      <c r="AQ393" s="182"/>
      <c r="AR393" s="182"/>
    </row>
    <row r="394" spans="1:44">
      <c r="A394" s="182"/>
      <c r="B394" s="182"/>
      <c r="C394" s="182"/>
      <c r="D394" s="182"/>
      <c r="E394" s="182"/>
      <c r="F394" s="182"/>
      <c r="G394" s="182"/>
      <c r="H394" s="182"/>
      <c r="I394" s="182"/>
      <c r="J394" s="182"/>
      <c r="K394" s="182"/>
      <c r="L394" s="182"/>
      <c r="M394" s="182"/>
      <c r="N394" s="177"/>
      <c r="O394" s="182"/>
      <c r="P394" s="179"/>
      <c r="Q394" s="182"/>
      <c r="R394" s="182"/>
      <c r="S394" s="182"/>
      <c r="T394" s="182"/>
      <c r="U394" s="182"/>
      <c r="V394" s="182"/>
      <c r="W394" s="182"/>
      <c r="X394" s="182"/>
      <c r="Y394" s="182"/>
      <c r="Z394" s="182"/>
      <c r="AA394" s="182"/>
      <c r="AB394" s="182"/>
      <c r="AC394" s="182"/>
      <c r="AD394" s="182"/>
      <c r="AE394" s="184"/>
      <c r="AF394" s="183"/>
      <c r="AG394" s="183"/>
      <c r="AH394" s="183"/>
      <c r="AI394" s="183"/>
      <c r="AJ394" s="182"/>
      <c r="AK394" s="184"/>
      <c r="AL394" s="182"/>
      <c r="AM394" s="182"/>
      <c r="AN394" s="182"/>
      <c r="AO394" s="182"/>
      <c r="AP394" s="182"/>
      <c r="AQ394" s="182"/>
      <c r="AR394" s="182"/>
    </row>
    <row r="395" spans="1:44">
      <c r="A395" s="182"/>
      <c r="B395" s="182"/>
      <c r="C395" s="182"/>
      <c r="D395" s="182"/>
      <c r="E395" s="182"/>
      <c r="F395" s="182"/>
      <c r="G395" s="182"/>
      <c r="H395" s="182"/>
      <c r="I395" s="182"/>
      <c r="J395" s="182"/>
      <c r="K395" s="182"/>
      <c r="L395" s="182"/>
      <c r="M395" s="182"/>
      <c r="N395" s="177"/>
      <c r="O395" s="182"/>
      <c r="P395" s="179"/>
      <c r="Q395" s="182"/>
      <c r="R395" s="182"/>
      <c r="S395" s="182"/>
      <c r="T395" s="182"/>
      <c r="U395" s="182"/>
      <c r="V395" s="182"/>
      <c r="W395" s="182"/>
      <c r="X395" s="182"/>
      <c r="Y395" s="182"/>
      <c r="Z395" s="182"/>
      <c r="AA395" s="182"/>
      <c r="AB395" s="182"/>
      <c r="AC395" s="182"/>
      <c r="AD395" s="182"/>
      <c r="AE395" s="184"/>
      <c r="AF395" s="183"/>
      <c r="AG395" s="183"/>
      <c r="AH395" s="183"/>
      <c r="AI395" s="183"/>
      <c r="AJ395" s="182"/>
      <c r="AK395" s="184"/>
      <c r="AL395" s="182"/>
      <c r="AM395" s="182"/>
      <c r="AN395" s="182"/>
      <c r="AO395" s="182"/>
      <c r="AP395" s="182"/>
      <c r="AQ395" s="182"/>
      <c r="AR395" s="182"/>
    </row>
    <row r="396" spans="1:44">
      <c r="A396" s="182"/>
      <c r="B396" s="182"/>
      <c r="C396" s="182"/>
      <c r="D396" s="182"/>
      <c r="E396" s="182"/>
      <c r="F396" s="182"/>
      <c r="G396" s="182"/>
      <c r="H396" s="182"/>
      <c r="I396" s="182"/>
      <c r="J396" s="182"/>
      <c r="K396" s="182"/>
      <c r="L396" s="182"/>
      <c r="M396" s="182"/>
      <c r="N396" s="177"/>
      <c r="O396" s="182"/>
      <c r="P396" s="179"/>
      <c r="Q396" s="182"/>
      <c r="R396" s="182"/>
      <c r="S396" s="182"/>
      <c r="T396" s="182"/>
      <c r="U396" s="182"/>
      <c r="V396" s="182"/>
      <c r="W396" s="182"/>
      <c r="X396" s="182"/>
      <c r="Y396" s="182"/>
      <c r="Z396" s="182"/>
      <c r="AA396" s="182"/>
      <c r="AB396" s="182"/>
      <c r="AC396" s="182"/>
      <c r="AD396" s="182"/>
      <c r="AE396" s="184"/>
      <c r="AF396" s="183"/>
      <c r="AG396" s="183"/>
      <c r="AH396" s="183"/>
      <c r="AI396" s="183"/>
      <c r="AJ396" s="182"/>
      <c r="AK396" s="184"/>
      <c r="AL396" s="182"/>
      <c r="AM396" s="182"/>
      <c r="AN396" s="182"/>
      <c r="AO396" s="182"/>
      <c r="AP396" s="182"/>
      <c r="AQ396" s="182"/>
      <c r="AR396" s="182"/>
    </row>
    <row r="397" spans="1:44">
      <c r="A397" s="182"/>
      <c r="B397" s="182"/>
      <c r="C397" s="182"/>
      <c r="D397" s="182"/>
      <c r="E397" s="182"/>
      <c r="F397" s="182"/>
      <c r="G397" s="182"/>
      <c r="H397" s="182"/>
      <c r="I397" s="182"/>
      <c r="J397" s="182"/>
      <c r="K397" s="182"/>
      <c r="L397" s="182"/>
      <c r="M397" s="182"/>
      <c r="N397" s="177"/>
      <c r="O397" s="182"/>
      <c r="P397" s="179"/>
      <c r="Q397" s="182"/>
      <c r="R397" s="182"/>
      <c r="S397" s="182"/>
      <c r="T397" s="182"/>
      <c r="U397" s="182"/>
      <c r="V397" s="182"/>
      <c r="W397" s="182"/>
      <c r="X397" s="182"/>
      <c r="Y397" s="182"/>
      <c r="Z397" s="182"/>
      <c r="AA397" s="182"/>
      <c r="AB397" s="182"/>
      <c r="AC397" s="182"/>
      <c r="AD397" s="182"/>
      <c r="AE397" s="184"/>
      <c r="AF397" s="183"/>
      <c r="AG397" s="183"/>
      <c r="AH397" s="183"/>
      <c r="AI397" s="183"/>
      <c r="AJ397" s="182"/>
      <c r="AK397" s="184"/>
      <c r="AL397" s="182"/>
      <c r="AM397" s="182"/>
      <c r="AN397" s="182"/>
      <c r="AO397" s="182"/>
      <c r="AP397" s="182"/>
      <c r="AQ397" s="182"/>
      <c r="AR397" s="182"/>
    </row>
    <row r="398" spans="1:44">
      <c r="A398" s="182"/>
      <c r="B398" s="182"/>
      <c r="C398" s="182"/>
      <c r="D398" s="182"/>
      <c r="E398" s="182"/>
      <c r="F398" s="182"/>
      <c r="G398" s="182"/>
      <c r="H398" s="182"/>
      <c r="I398" s="182"/>
      <c r="J398" s="182"/>
      <c r="K398" s="182"/>
      <c r="L398" s="182"/>
      <c r="M398" s="182"/>
      <c r="N398" s="177"/>
      <c r="O398" s="182"/>
      <c r="P398" s="179"/>
      <c r="Q398" s="182"/>
      <c r="R398" s="182"/>
      <c r="S398" s="182"/>
      <c r="T398" s="182"/>
      <c r="U398" s="182"/>
      <c r="V398" s="182"/>
      <c r="W398" s="182"/>
      <c r="X398" s="182"/>
      <c r="Y398" s="182"/>
      <c r="Z398" s="182"/>
      <c r="AA398" s="182"/>
      <c r="AB398" s="182"/>
      <c r="AC398" s="182"/>
      <c r="AD398" s="182"/>
      <c r="AE398" s="184"/>
      <c r="AF398" s="183"/>
      <c r="AG398" s="183"/>
      <c r="AH398" s="183"/>
      <c r="AI398" s="183"/>
      <c r="AJ398" s="182"/>
      <c r="AK398" s="184"/>
      <c r="AL398" s="182"/>
      <c r="AM398" s="182"/>
      <c r="AN398" s="182"/>
      <c r="AO398" s="182"/>
      <c r="AP398" s="182"/>
      <c r="AQ398" s="182"/>
      <c r="AR398" s="182"/>
    </row>
    <row r="399" spans="1:44">
      <c r="A399" s="182"/>
      <c r="B399" s="182"/>
      <c r="C399" s="182"/>
      <c r="D399" s="182"/>
      <c r="E399" s="182"/>
      <c r="F399" s="182"/>
      <c r="G399" s="182"/>
      <c r="H399" s="182"/>
      <c r="I399" s="182"/>
      <c r="J399" s="182"/>
      <c r="K399" s="182"/>
      <c r="L399" s="182"/>
      <c r="M399" s="182"/>
      <c r="N399" s="177"/>
      <c r="O399" s="182"/>
      <c r="P399" s="179"/>
      <c r="Q399" s="182"/>
      <c r="R399" s="182"/>
      <c r="S399" s="182"/>
      <c r="T399" s="182"/>
      <c r="U399" s="182"/>
      <c r="V399" s="182"/>
      <c r="W399" s="182"/>
      <c r="X399" s="182"/>
      <c r="Y399" s="182"/>
      <c r="Z399" s="182"/>
      <c r="AA399" s="182"/>
      <c r="AB399" s="182"/>
      <c r="AC399" s="182"/>
      <c r="AD399" s="182"/>
      <c r="AE399" s="184"/>
      <c r="AF399" s="183"/>
      <c r="AG399" s="183"/>
      <c r="AH399" s="183"/>
      <c r="AI399" s="183"/>
      <c r="AJ399" s="182"/>
      <c r="AK399" s="184"/>
      <c r="AL399" s="182"/>
      <c r="AM399" s="182"/>
      <c r="AN399" s="182"/>
      <c r="AO399" s="182"/>
      <c r="AP399" s="182"/>
      <c r="AQ399" s="182"/>
      <c r="AR399" s="182"/>
    </row>
    <row r="400" spans="1:44">
      <c r="A400" s="182"/>
      <c r="B400" s="182"/>
      <c r="C400" s="182"/>
      <c r="D400" s="182"/>
      <c r="E400" s="182"/>
      <c r="F400" s="182"/>
      <c r="G400" s="182"/>
      <c r="H400" s="182"/>
      <c r="I400" s="182"/>
      <c r="J400" s="182"/>
      <c r="K400" s="182"/>
      <c r="L400" s="182"/>
      <c r="M400" s="182"/>
      <c r="N400" s="177"/>
      <c r="O400" s="182"/>
      <c r="P400" s="179"/>
      <c r="Q400" s="182"/>
      <c r="R400" s="182"/>
      <c r="S400" s="182"/>
      <c r="T400" s="182"/>
      <c r="U400" s="182"/>
      <c r="V400" s="182"/>
      <c r="W400" s="182"/>
      <c r="X400" s="182"/>
      <c r="Y400" s="182"/>
      <c r="Z400" s="182"/>
      <c r="AA400" s="182"/>
      <c r="AB400" s="182"/>
      <c r="AC400" s="182"/>
      <c r="AD400" s="182"/>
      <c r="AE400" s="184"/>
      <c r="AF400" s="183"/>
      <c r="AG400" s="183"/>
      <c r="AH400" s="183"/>
      <c r="AI400" s="183"/>
      <c r="AJ400" s="182"/>
      <c r="AK400" s="184"/>
      <c r="AL400" s="182"/>
      <c r="AM400" s="182"/>
      <c r="AN400" s="182"/>
      <c r="AO400" s="182"/>
      <c r="AP400" s="182"/>
      <c r="AQ400" s="182"/>
      <c r="AR400" s="182"/>
    </row>
    <row r="401" spans="1:44">
      <c r="A401" s="182"/>
      <c r="B401" s="182"/>
      <c r="C401" s="182"/>
      <c r="D401" s="182"/>
      <c r="E401" s="182"/>
      <c r="F401" s="182"/>
      <c r="G401" s="182"/>
      <c r="H401" s="182"/>
      <c r="I401" s="182"/>
      <c r="J401" s="182"/>
      <c r="K401" s="182"/>
      <c r="L401" s="182"/>
      <c r="M401" s="182"/>
      <c r="N401" s="177"/>
      <c r="O401" s="182"/>
      <c r="P401" s="179"/>
      <c r="Q401" s="182"/>
      <c r="R401" s="182"/>
      <c r="S401" s="182"/>
      <c r="T401" s="182"/>
      <c r="U401" s="182"/>
      <c r="V401" s="182"/>
      <c r="W401" s="182"/>
      <c r="X401" s="182"/>
      <c r="Y401" s="182"/>
      <c r="Z401" s="182"/>
      <c r="AA401" s="182"/>
      <c r="AB401" s="182"/>
      <c r="AC401" s="182"/>
      <c r="AD401" s="182"/>
      <c r="AE401" s="184"/>
      <c r="AF401" s="183"/>
      <c r="AG401" s="183"/>
      <c r="AH401" s="183"/>
      <c r="AI401" s="183"/>
      <c r="AJ401" s="182"/>
      <c r="AK401" s="184"/>
      <c r="AL401" s="182"/>
      <c r="AM401" s="182"/>
      <c r="AN401" s="182"/>
      <c r="AO401" s="182"/>
      <c r="AP401" s="182"/>
      <c r="AQ401" s="182"/>
      <c r="AR401" s="182"/>
    </row>
    <row r="402" spans="1:44">
      <c r="A402" s="182"/>
      <c r="B402" s="182"/>
      <c r="C402" s="182"/>
      <c r="D402" s="182"/>
      <c r="E402" s="182"/>
      <c r="F402" s="182"/>
      <c r="G402" s="182"/>
      <c r="H402" s="182"/>
      <c r="I402" s="182"/>
      <c r="J402" s="182"/>
      <c r="K402" s="182"/>
      <c r="L402" s="182"/>
      <c r="M402" s="182"/>
      <c r="N402" s="177"/>
      <c r="O402" s="182"/>
      <c r="P402" s="179"/>
      <c r="Q402" s="182"/>
      <c r="R402" s="182"/>
      <c r="S402" s="182"/>
      <c r="T402" s="182"/>
      <c r="U402" s="182"/>
      <c r="V402" s="182"/>
      <c r="W402" s="182"/>
      <c r="X402" s="182"/>
      <c r="Y402" s="182"/>
      <c r="Z402" s="182"/>
      <c r="AA402" s="182"/>
      <c r="AB402" s="182"/>
      <c r="AC402" s="182"/>
      <c r="AD402" s="182"/>
      <c r="AE402" s="184"/>
      <c r="AF402" s="183"/>
      <c r="AG402" s="183"/>
      <c r="AH402" s="183"/>
      <c r="AI402" s="183"/>
      <c r="AJ402" s="182"/>
      <c r="AK402" s="184"/>
      <c r="AL402" s="182"/>
      <c r="AM402" s="182"/>
      <c r="AN402" s="182"/>
      <c r="AO402" s="182"/>
      <c r="AP402" s="182"/>
      <c r="AQ402" s="182"/>
      <c r="AR402" s="182"/>
    </row>
    <row r="403" spans="1:44">
      <c r="A403" s="182"/>
      <c r="B403" s="182"/>
      <c r="C403" s="182"/>
      <c r="D403" s="182"/>
      <c r="E403" s="182"/>
      <c r="F403" s="182"/>
      <c r="G403" s="182"/>
      <c r="H403" s="182"/>
      <c r="I403" s="182"/>
      <c r="J403" s="182"/>
      <c r="K403" s="182"/>
      <c r="L403" s="182"/>
      <c r="M403" s="182"/>
      <c r="N403" s="177"/>
      <c r="O403" s="182"/>
      <c r="P403" s="179"/>
      <c r="Q403" s="182"/>
      <c r="R403" s="182"/>
      <c r="S403" s="182"/>
      <c r="T403" s="182"/>
      <c r="U403" s="182"/>
      <c r="V403" s="182"/>
      <c r="W403" s="182"/>
      <c r="X403" s="182"/>
      <c r="Y403" s="182"/>
      <c r="Z403" s="182"/>
      <c r="AA403" s="182"/>
      <c r="AB403" s="182"/>
      <c r="AC403" s="182"/>
      <c r="AD403" s="182"/>
      <c r="AE403" s="184"/>
      <c r="AF403" s="183"/>
      <c r="AG403" s="183"/>
      <c r="AH403" s="183"/>
      <c r="AI403" s="183"/>
      <c r="AJ403" s="182"/>
      <c r="AK403" s="184"/>
      <c r="AL403" s="182"/>
      <c r="AM403" s="182"/>
      <c r="AN403" s="182"/>
      <c r="AO403" s="182"/>
      <c r="AP403" s="182"/>
      <c r="AQ403" s="182"/>
      <c r="AR403" s="182"/>
    </row>
    <row r="404" spans="1:44">
      <c r="A404" s="182"/>
      <c r="B404" s="182"/>
      <c r="C404" s="182"/>
      <c r="D404" s="182"/>
      <c r="E404" s="182"/>
      <c r="F404" s="182"/>
      <c r="G404" s="182"/>
      <c r="H404" s="182"/>
      <c r="I404" s="182"/>
      <c r="J404" s="182"/>
      <c r="K404" s="182"/>
      <c r="L404" s="182"/>
      <c r="M404" s="182"/>
      <c r="N404" s="177"/>
      <c r="O404" s="182"/>
      <c r="P404" s="179"/>
      <c r="Q404" s="182"/>
      <c r="R404" s="182"/>
      <c r="S404" s="182"/>
      <c r="T404" s="182"/>
      <c r="U404" s="182"/>
      <c r="V404" s="182"/>
      <c r="W404" s="182"/>
      <c r="X404" s="182"/>
      <c r="Y404" s="182"/>
      <c r="Z404" s="182"/>
      <c r="AA404" s="182"/>
      <c r="AB404" s="182"/>
      <c r="AC404" s="182"/>
      <c r="AD404" s="182"/>
      <c r="AE404" s="184"/>
      <c r="AF404" s="183"/>
      <c r="AG404" s="183"/>
      <c r="AH404" s="183"/>
      <c r="AI404" s="183"/>
      <c r="AJ404" s="182"/>
      <c r="AK404" s="184"/>
      <c r="AL404" s="182"/>
      <c r="AM404" s="182"/>
      <c r="AN404" s="182"/>
      <c r="AO404" s="182"/>
      <c r="AP404" s="182"/>
      <c r="AQ404" s="182"/>
      <c r="AR404" s="182"/>
    </row>
    <row r="405" spans="1:44">
      <c r="A405" s="182"/>
      <c r="B405" s="182"/>
      <c r="C405" s="182"/>
      <c r="D405" s="182"/>
      <c r="E405" s="182"/>
      <c r="F405" s="182"/>
      <c r="G405" s="182"/>
      <c r="H405" s="182"/>
      <c r="I405" s="182"/>
      <c r="J405" s="182"/>
      <c r="K405" s="182"/>
      <c r="L405" s="182"/>
      <c r="M405" s="182"/>
      <c r="N405" s="177"/>
      <c r="O405" s="182"/>
      <c r="P405" s="179"/>
      <c r="Q405" s="182"/>
      <c r="R405" s="182"/>
      <c r="S405" s="182"/>
      <c r="T405" s="182"/>
      <c r="U405" s="182"/>
      <c r="V405" s="182"/>
      <c r="W405" s="182"/>
      <c r="X405" s="182"/>
      <c r="Y405" s="182"/>
      <c r="Z405" s="182"/>
      <c r="AA405" s="182"/>
      <c r="AB405" s="182"/>
      <c r="AC405" s="182"/>
      <c r="AD405" s="182"/>
      <c r="AE405" s="184"/>
      <c r="AF405" s="183"/>
      <c r="AG405" s="183"/>
      <c r="AH405" s="183"/>
      <c r="AI405" s="183"/>
      <c r="AJ405" s="182"/>
      <c r="AK405" s="184"/>
      <c r="AL405" s="182"/>
      <c r="AM405" s="182"/>
      <c r="AN405" s="182"/>
      <c r="AO405" s="182"/>
      <c r="AP405" s="182"/>
      <c r="AQ405" s="182"/>
      <c r="AR405" s="182"/>
    </row>
    <row r="406" spans="1:44">
      <c r="A406" s="182"/>
      <c r="B406" s="182"/>
      <c r="C406" s="182"/>
      <c r="D406" s="182"/>
      <c r="E406" s="182"/>
      <c r="F406" s="182"/>
      <c r="G406" s="182"/>
      <c r="H406" s="182"/>
      <c r="I406" s="182"/>
      <c r="J406" s="182"/>
      <c r="K406" s="182"/>
      <c r="L406" s="182"/>
      <c r="M406" s="182"/>
      <c r="N406" s="177"/>
      <c r="O406" s="182"/>
      <c r="P406" s="179"/>
      <c r="Q406" s="182"/>
      <c r="R406" s="182"/>
      <c r="S406" s="182"/>
      <c r="T406" s="182"/>
      <c r="U406" s="182"/>
      <c r="V406" s="182"/>
      <c r="W406" s="182"/>
      <c r="X406" s="182"/>
      <c r="Y406" s="182"/>
      <c r="Z406" s="182"/>
      <c r="AA406" s="182"/>
      <c r="AB406" s="182"/>
      <c r="AC406" s="182"/>
      <c r="AD406" s="182"/>
      <c r="AE406" s="184"/>
      <c r="AF406" s="183"/>
      <c r="AG406" s="183"/>
      <c r="AH406" s="183"/>
      <c r="AI406" s="183"/>
      <c r="AJ406" s="182"/>
      <c r="AK406" s="184"/>
      <c r="AL406" s="182"/>
      <c r="AM406" s="182"/>
      <c r="AN406" s="182"/>
      <c r="AO406" s="182"/>
      <c r="AP406" s="182"/>
      <c r="AQ406" s="182"/>
      <c r="AR406" s="182"/>
    </row>
    <row r="407" spans="1:44">
      <c r="A407" s="182"/>
      <c r="B407" s="182"/>
      <c r="C407" s="182"/>
      <c r="D407" s="182"/>
      <c r="E407" s="182"/>
      <c r="F407" s="182"/>
      <c r="G407" s="182"/>
      <c r="H407" s="182"/>
      <c r="I407" s="182"/>
      <c r="J407" s="182"/>
      <c r="K407" s="182"/>
      <c r="L407" s="182"/>
      <c r="M407" s="182"/>
      <c r="N407" s="177"/>
      <c r="O407" s="182"/>
      <c r="P407" s="179"/>
      <c r="Q407" s="182"/>
      <c r="R407" s="182"/>
      <c r="S407" s="182"/>
      <c r="T407" s="182"/>
      <c r="U407" s="182"/>
      <c r="V407" s="182"/>
      <c r="W407" s="182"/>
      <c r="X407" s="182"/>
      <c r="Y407" s="182"/>
      <c r="Z407" s="182"/>
      <c r="AA407" s="182"/>
      <c r="AB407" s="182"/>
      <c r="AC407" s="182"/>
      <c r="AD407" s="182"/>
      <c r="AE407" s="184"/>
      <c r="AF407" s="183"/>
      <c r="AG407" s="183"/>
      <c r="AH407" s="183"/>
      <c r="AI407" s="183"/>
      <c r="AJ407" s="182"/>
      <c r="AK407" s="184"/>
      <c r="AL407" s="182"/>
      <c r="AM407" s="182"/>
      <c r="AN407" s="182"/>
      <c r="AO407" s="182"/>
      <c r="AP407" s="182"/>
      <c r="AQ407" s="182"/>
      <c r="AR407" s="182"/>
    </row>
    <row r="408" spans="1:44">
      <c r="A408" s="182"/>
      <c r="B408" s="182"/>
      <c r="C408" s="182"/>
      <c r="D408" s="182"/>
      <c r="E408" s="182"/>
      <c r="F408" s="182"/>
      <c r="G408" s="182"/>
      <c r="H408" s="182"/>
      <c r="I408" s="182"/>
      <c r="J408" s="182"/>
      <c r="K408" s="182"/>
      <c r="L408" s="182"/>
      <c r="M408" s="182"/>
      <c r="N408" s="177"/>
      <c r="O408" s="182"/>
      <c r="P408" s="179"/>
      <c r="Q408" s="182"/>
      <c r="R408" s="182"/>
      <c r="S408" s="182"/>
      <c r="T408" s="182"/>
      <c r="U408" s="182"/>
      <c r="V408" s="182"/>
      <c r="W408" s="182"/>
      <c r="X408" s="182"/>
      <c r="Y408" s="182"/>
      <c r="Z408" s="182"/>
      <c r="AA408" s="182"/>
      <c r="AB408" s="182"/>
      <c r="AC408" s="182"/>
      <c r="AD408" s="182"/>
      <c r="AE408" s="184"/>
      <c r="AF408" s="183"/>
      <c r="AG408" s="183"/>
      <c r="AH408" s="183"/>
      <c r="AI408" s="183"/>
      <c r="AJ408" s="182"/>
      <c r="AK408" s="184"/>
      <c r="AL408" s="182"/>
      <c r="AM408" s="182"/>
      <c r="AN408" s="182"/>
      <c r="AO408" s="182"/>
      <c r="AP408" s="182"/>
      <c r="AQ408" s="182"/>
      <c r="AR408" s="182"/>
    </row>
    <row r="409" spans="1:44">
      <c r="A409" s="182"/>
      <c r="B409" s="182"/>
      <c r="C409" s="182"/>
      <c r="D409" s="182"/>
      <c r="E409" s="182"/>
      <c r="F409" s="182"/>
      <c r="G409" s="182"/>
      <c r="H409" s="182"/>
      <c r="I409" s="182"/>
      <c r="J409" s="182"/>
      <c r="K409" s="182"/>
      <c r="L409" s="182"/>
      <c r="M409" s="182"/>
      <c r="N409" s="177"/>
      <c r="O409" s="182"/>
      <c r="P409" s="179"/>
      <c r="Q409" s="182"/>
      <c r="R409" s="182"/>
      <c r="S409" s="182"/>
      <c r="T409" s="182"/>
      <c r="U409" s="182"/>
      <c r="V409" s="182"/>
      <c r="W409" s="182"/>
      <c r="X409" s="182"/>
      <c r="Y409" s="182"/>
      <c r="Z409" s="182"/>
      <c r="AA409" s="182"/>
      <c r="AB409" s="182"/>
      <c r="AC409" s="182"/>
      <c r="AD409" s="182"/>
      <c r="AE409" s="184"/>
      <c r="AF409" s="183"/>
      <c r="AG409" s="183"/>
      <c r="AH409" s="183"/>
      <c r="AI409" s="183"/>
      <c r="AJ409" s="182"/>
      <c r="AK409" s="184"/>
      <c r="AL409" s="182"/>
      <c r="AM409" s="182"/>
      <c r="AN409" s="182"/>
      <c r="AO409" s="182"/>
      <c r="AP409" s="182"/>
      <c r="AQ409" s="182"/>
      <c r="AR409" s="182"/>
    </row>
    <row r="410" spans="1:44">
      <c r="A410" s="182"/>
      <c r="B410" s="182"/>
      <c r="C410" s="182"/>
      <c r="D410" s="182"/>
      <c r="E410" s="182"/>
      <c r="F410" s="182"/>
      <c r="G410" s="182"/>
      <c r="H410" s="182"/>
      <c r="I410" s="182"/>
      <c r="J410" s="182"/>
      <c r="K410" s="182"/>
      <c r="L410" s="182"/>
      <c r="M410" s="182"/>
      <c r="N410" s="177"/>
      <c r="O410" s="182"/>
      <c r="P410" s="179"/>
      <c r="Q410" s="182"/>
      <c r="R410" s="182"/>
      <c r="S410" s="182"/>
      <c r="T410" s="182"/>
      <c r="U410" s="182"/>
      <c r="V410" s="182"/>
      <c r="W410" s="182"/>
      <c r="X410" s="182"/>
      <c r="Y410" s="182"/>
      <c r="Z410" s="182"/>
      <c r="AA410" s="182"/>
      <c r="AB410" s="182"/>
      <c r="AC410" s="182"/>
      <c r="AD410" s="182"/>
      <c r="AE410" s="184"/>
      <c r="AF410" s="183"/>
      <c r="AG410" s="183"/>
      <c r="AH410" s="183"/>
      <c r="AI410" s="183"/>
      <c r="AJ410" s="182"/>
      <c r="AK410" s="184"/>
      <c r="AL410" s="182"/>
      <c r="AM410" s="182"/>
      <c r="AN410" s="182"/>
      <c r="AO410" s="182"/>
      <c r="AP410" s="182"/>
      <c r="AQ410" s="182"/>
      <c r="AR410" s="182"/>
    </row>
    <row r="411" spans="1:44">
      <c r="A411" s="182"/>
      <c r="B411" s="182"/>
      <c r="C411" s="182"/>
      <c r="D411" s="182"/>
      <c r="E411" s="182"/>
      <c r="F411" s="182"/>
      <c r="G411" s="182"/>
      <c r="H411" s="182"/>
      <c r="I411" s="182"/>
      <c r="J411" s="182"/>
      <c r="K411" s="182"/>
      <c r="L411" s="182"/>
      <c r="M411" s="182"/>
      <c r="N411" s="177"/>
      <c r="O411" s="182"/>
      <c r="P411" s="179"/>
      <c r="Q411" s="182"/>
      <c r="R411" s="182"/>
      <c r="S411" s="182"/>
      <c r="T411" s="182"/>
      <c r="U411" s="182"/>
      <c r="V411" s="182"/>
      <c r="W411" s="182"/>
      <c r="X411" s="182"/>
      <c r="Y411" s="182"/>
      <c r="Z411" s="182"/>
      <c r="AA411" s="182"/>
      <c r="AB411" s="182"/>
      <c r="AC411" s="182"/>
      <c r="AD411" s="182"/>
      <c r="AE411" s="184"/>
      <c r="AF411" s="183"/>
      <c r="AG411" s="183"/>
      <c r="AH411" s="183"/>
      <c r="AI411" s="183"/>
      <c r="AJ411" s="182"/>
      <c r="AK411" s="184"/>
      <c r="AL411" s="182"/>
      <c r="AM411" s="182"/>
      <c r="AN411" s="182"/>
      <c r="AO411" s="182"/>
      <c r="AP411" s="182"/>
      <c r="AQ411" s="182"/>
      <c r="AR411" s="182"/>
    </row>
    <row r="412" spans="1:44">
      <c r="A412" s="182"/>
      <c r="B412" s="182"/>
      <c r="C412" s="182"/>
      <c r="D412" s="182"/>
      <c r="E412" s="182"/>
      <c r="F412" s="182"/>
      <c r="G412" s="182"/>
      <c r="H412" s="182"/>
      <c r="I412" s="182"/>
      <c r="J412" s="182"/>
      <c r="K412" s="182"/>
      <c r="L412" s="182"/>
      <c r="M412" s="182"/>
      <c r="N412" s="177"/>
      <c r="O412" s="182"/>
      <c r="P412" s="179"/>
      <c r="Q412" s="182"/>
      <c r="R412" s="182"/>
      <c r="S412" s="182"/>
      <c r="T412" s="182"/>
      <c r="U412" s="182"/>
      <c r="V412" s="182"/>
      <c r="W412" s="182"/>
      <c r="X412" s="182"/>
      <c r="Y412" s="182"/>
      <c r="Z412" s="182"/>
      <c r="AA412" s="182"/>
      <c r="AB412" s="182"/>
      <c r="AC412" s="182"/>
      <c r="AD412" s="182"/>
      <c r="AE412" s="184"/>
      <c r="AF412" s="183"/>
      <c r="AG412" s="183"/>
      <c r="AH412" s="183"/>
      <c r="AI412" s="183"/>
      <c r="AJ412" s="182"/>
      <c r="AK412" s="184"/>
      <c r="AL412" s="182"/>
      <c r="AM412" s="182"/>
      <c r="AN412" s="182"/>
      <c r="AO412" s="182"/>
      <c r="AP412" s="182"/>
      <c r="AQ412" s="182"/>
      <c r="AR412" s="182"/>
    </row>
    <row r="413" spans="1:44">
      <c r="A413" s="182"/>
      <c r="B413" s="182"/>
      <c r="C413" s="182"/>
      <c r="D413" s="182"/>
      <c r="E413" s="182"/>
      <c r="F413" s="182"/>
      <c r="G413" s="182"/>
      <c r="H413" s="182"/>
      <c r="I413" s="182"/>
      <c r="J413" s="182"/>
      <c r="K413" s="182"/>
      <c r="L413" s="182"/>
      <c r="M413" s="182"/>
      <c r="N413" s="177"/>
      <c r="O413" s="182"/>
      <c r="P413" s="179"/>
      <c r="Q413" s="182"/>
      <c r="R413" s="182"/>
      <c r="S413" s="182"/>
      <c r="T413" s="182"/>
      <c r="U413" s="182"/>
      <c r="V413" s="182"/>
      <c r="W413" s="182"/>
      <c r="X413" s="182"/>
      <c r="Y413" s="182"/>
      <c r="Z413" s="182"/>
      <c r="AA413" s="182"/>
      <c r="AB413" s="182"/>
      <c r="AC413" s="182"/>
      <c r="AD413" s="182"/>
      <c r="AE413" s="184"/>
      <c r="AF413" s="183"/>
      <c r="AG413" s="183"/>
      <c r="AH413" s="183"/>
      <c r="AI413" s="183"/>
      <c r="AJ413" s="182"/>
      <c r="AK413" s="184"/>
      <c r="AL413" s="182"/>
      <c r="AM413" s="182"/>
      <c r="AN413" s="182"/>
      <c r="AO413" s="182"/>
      <c r="AP413" s="182"/>
      <c r="AQ413" s="182"/>
      <c r="AR413" s="182"/>
    </row>
    <row r="414" spans="1:44">
      <c r="A414" s="182"/>
      <c r="B414" s="182"/>
      <c r="C414" s="182"/>
      <c r="D414" s="182"/>
      <c r="E414" s="182"/>
      <c r="F414" s="182"/>
      <c r="G414" s="182"/>
      <c r="H414" s="182"/>
      <c r="I414" s="182"/>
      <c r="J414" s="182"/>
      <c r="K414" s="182"/>
      <c r="L414" s="182"/>
      <c r="M414" s="182"/>
      <c r="N414" s="177"/>
      <c r="O414" s="182"/>
      <c r="P414" s="179"/>
      <c r="Q414" s="182"/>
      <c r="R414" s="182"/>
      <c r="S414" s="182"/>
      <c r="T414" s="182"/>
      <c r="U414" s="182"/>
      <c r="V414" s="182"/>
      <c r="W414" s="182"/>
      <c r="X414" s="182"/>
      <c r="Y414" s="182"/>
      <c r="Z414" s="182"/>
      <c r="AA414" s="182"/>
      <c r="AB414" s="182"/>
      <c r="AC414" s="182"/>
      <c r="AD414" s="182"/>
      <c r="AE414" s="184"/>
      <c r="AF414" s="183"/>
      <c r="AG414" s="183"/>
      <c r="AH414" s="183"/>
      <c r="AI414" s="183"/>
      <c r="AJ414" s="182"/>
      <c r="AK414" s="184"/>
      <c r="AL414" s="182"/>
      <c r="AM414" s="182"/>
      <c r="AN414" s="182"/>
      <c r="AO414" s="182"/>
      <c r="AP414" s="182"/>
      <c r="AQ414" s="182"/>
      <c r="AR414" s="182"/>
    </row>
    <row r="415" spans="1:44">
      <c r="A415" s="182"/>
      <c r="B415" s="182"/>
      <c r="C415" s="182"/>
      <c r="D415" s="182"/>
      <c r="E415" s="182"/>
      <c r="F415" s="182"/>
      <c r="G415" s="182"/>
      <c r="H415" s="182"/>
      <c r="I415" s="182"/>
      <c r="J415" s="182"/>
      <c r="K415" s="182"/>
      <c r="L415" s="182"/>
      <c r="M415" s="182"/>
      <c r="N415" s="177"/>
      <c r="O415" s="182"/>
      <c r="P415" s="179"/>
      <c r="Q415" s="182"/>
      <c r="R415" s="182"/>
      <c r="S415" s="182"/>
      <c r="T415" s="182"/>
      <c r="U415" s="182"/>
      <c r="V415" s="182"/>
      <c r="W415" s="182"/>
      <c r="X415" s="182"/>
      <c r="Y415" s="182"/>
      <c r="Z415" s="182"/>
      <c r="AA415" s="182"/>
      <c r="AB415" s="182"/>
      <c r="AC415" s="182"/>
      <c r="AD415" s="182"/>
      <c r="AE415" s="184"/>
      <c r="AF415" s="183"/>
      <c r="AG415" s="183"/>
      <c r="AH415" s="183"/>
      <c r="AI415" s="183"/>
      <c r="AJ415" s="182"/>
      <c r="AK415" s="184"/>
      <c r="AL415" s="182"/>
      <c r="AM415" s="182"/>
      <c r="AN415" s="182"/>
      <c r="AO415" s="182"/>
      <c r="AP415" s="182"/>
      <c r="AQ415" s="182"/>
      <c r="AR415" s="182"/>
    </row>
    <row r="416" spans="1:44">
      <c r="A416" s="182"/>
      <c r="B416" s="182"/>
      <c r="C416" s="182"/>
      <c r="D416" s="182"/>
      <c r="E416" s="182"/>
      <c r="F416" s="182"/>
      <c r="G416" s="182"/>
      <c r="H416" s="182"/>
      <c r="I416" s="182"/>
      <c r="J416" s="182"/>
      <c r="K416" s="182"/>
      <c r="L416" s="182"/>
      <c r="M416" s="182"/>
      <c r="N416" s="177"/>
      <c r="O416" s="182"/>
      <c r="P416" s="179"/>
      <c r="Q416" s="182"/>
      <c r="R416" s="182"/>
      <c r="S416" s="182"/>
      <c r="T416" s="182"/>
      <c r="U416" s="182"/>
      <c r="V416" s="182"/>
      <c r="W416" s="182"/>
      <c r="X416" s="182"/>
      <c r="Y416" s="182"/>
      <c r="Z416" s="182"/>
      <c r="AA416" s="182"/>
      <c r="AB416" s="182"/>
      <c r="AC416" s="182"/>
      <c r="AD416" s="182"/>
      <c r="AE416" s="184"/>
      <c r="AF416" s="183"/>
      <c r="AG416" s="183"/>
      <c r="AH416" s="183"/>
      <c r="AI416" s="183"/>
      <c r="AJ416" s="182"/>
      <c r="AK416" s="184"/>
      <c r="AL416" s="182"/>
      <c r="AM416" s="182"/>
      <c r="AN416" s="182"/>
      <c r="AO416" s="182"/>
      <c r="AP416" s="182"/>
      <c r="AQ416" s="182"/>
      <c r="AR416" s="182"/>
    </row>
    <row r="417" spans="1:44">
      <c r="A417" s="182"/>
      <c r="B417" s="182"/>
      <c r="C417" s="182"/>
      <c r="D417" s="182"/>
      <c r="E417" s="182"/>
      <c r="F417" s="182"/>
      <c r="G417" s="182"/>
      <c r="H417" s="182"/>
      <c r="I417" s="182"/>
      <c r="J417" s="182"/>
      <c r="K417" s="182"/>
      <c r="L417" s="182"/>
      <c r="M417" s="182"/>
      <c r="N417" s="177"/>
      <c r="O417" s="182"/>
      <c r="P417" s="179"/>
      <c r="Q417" s="182"/>
      <c r="R417" s="182"/>
      <c r="S417" s="182"/>
      <c r="T417" s="182"/>
      <c r="U417" s="182"/>
      <c r="V417" s="182"/>
      <c r="W417" s="182"/>
      <c r="X417" s="182"/>
      <c r="Y417" s="182"/>
      <c r="Z417" s="182"/>
      <c r="AA417" s="182"/>
      <c r="AB417" s="182"/>
      <c r="AC417" s="182"/>
      <c r="AD417" s="182"/>
      <c r="AE417" s="184"/>
      <c r="AF417" s="183"/>
      <c r="AG417" s="183"/>
      <c r="AH417" s="183"/>
      <c r="AI417" s="183"/>
      <c r="AJ417" s="182"/>
      <c r="AK417" s="184"/>
      <c r="AL417" s="182"/>
      <c r="AM417" s="182"/>
      <c r="AN417" s="182"/>
      <c r="AO417" s="182"/>
      <c r="AP417" s="182"/>
      <c r="AQ417" s="182"/>
      <c r="AR417" s="182"/>
    </row>
    <row r="418" spans="1:44">
      <c r="A418" s="182"/>
      <c r="B418" s="182"/>
      <c r="C418" s="182"/>
      <c r="D418" s="182"/>
      <c r="E418" s="182"/>
      <c r="F418" s="182"/>
      <c r="G418" s="182"/>
      <c r="H418" s="182"/>
      <c r="I418" s="182"/>
      <c r="J418" s="182"/>
      <c r="K418" s="182"/>
      <c r="L418" s="182"/>
      <c r="M418" s="182"/>
      <c r="N418" s="177"/>
      <c r="O418" s="182"/>
      <c r="P418" s="179"/>
      <c r="Q418" s="182"/>
      <c r="R418" s="182"/>
      <c r="S418" s="182"/>
      <c r="T418" s="182"/>
      <c r="U418" s="182"/>
      <c r="V418" s="182"/>
      <c r="W418" s="182"/>
      <c r="X418" s="182"/>
      <c r="Y418" s="182"/>
      <c r="Z418" s="182"/>
      <c r="AA418" s="182"/>
      <c r="AB418" s="182"/>
      <c r="AC418" s="182"/>
      <c r="AD418" s="182"/>
      <c r="AE418" s="184"/>
      <c r="AF418" s="183"/>
      <c r="AG418" s="183"/>
      <c r="AH418" s="183"/>
      <c r="AI418" s="183"/>
      <c r="AJ418" s="182"/>
      <c r="AK418" s="184"/>
      <c r="AL418" s="182"/>
      <c r="AM418" s="182"/>
      <c r="AN418" s="182"/>
      <c r="AO418" s="182"/>
      <c r="AP418" s="182"/>
      <c r="AQ418" s="182"/>
      <c r="AR418" s="182"/>
    </row>
    <row r="419" spans="1:44">
      <c r="A419" s="182"/>
      <c r="B419" s="182"/>
      <c r="C419" s="182"/>
      <c r="D419" s="182"/>
      <c r="E419" s="182"/>
      <c r="F419" s="182"/>
      <c r="G419" s="182"/>
      <c r="H419" s="182"/>
      <c r="I419" s="182"/>
      <c r="J419" s="182"/>
      <c r="K419" s="182"/>
      <c r="L419" s="182"/>
      <c r="M419" s="182"/>
      <c r="N419" s="177"/>
      <c r="O419" s="182"/>
      <c r="P419" s="179"/>
      <c r="Q419" s="182"/>
      <c r="R419" s="182"/>
      <c r="S419" s="182"/>
      <c r="T419" s="182"/>
      <c r="U419" s="182"/>
      <c r="V419" s="182"/>
      <c r="W419" s="182"/>
      <c r="X419" s="182"/>
      <c r="Y419" s="182"/>
      <c r="Z419" s="182"/>
      <c r="AA419" s="182"/>
      <c r="AB419" s="182"/>
      <c r="AC419" s="182"/>
      <c r="AD419" s="182"/>
      <c r="AE419" s="184"/>
      <c r="AF419" s="183"/>
      <c r="AG419" s="183"/>
      <c r="AH419" s="183"/>
      <c r="AI419" s="183"/>
      <c r="AJ419" s="182"/>
      <c r="AK419" s="184"/>
      <c r="AL419" s="182"/>
      <c r="AM419" s="182"/>
      <c r="AN419" s="182"/>
      <c r="AO419" s="182"/>
      <c r="AP419" s="182"/>
      <c r="AQ419" s="182"/>
      <c r="AR419" s="182"/>
    </row>
    <row r="420" spans="1:44">
      <c r="A420" s="182"/>
      <c r="B420" s="182"/>
      <c r="C420" s="182"/>
      <c r="D420" s="182"/>
      <c r="E420" s="182"/>
      <c r="F420" s="182"/>
      <c r="G420" s="182"/>
      <c r="H420" s="182"/>
      <c r="I420" s="182"/>
      <c r="J420" s="182"/>
      <c r="K420" s="182"/>
      <c r="L420" s="182"/>
      <c r="M420" s="182"/>
      <c r="N420" s="177"/>
      <c r="O420" s="182"/>
      <c r="P420" s="179"/>
      <c r="Q420" s="182"/>
      <c r="R420" s="182"/>
      <c r="S420" s="182"/>
      <c r="T420" s="182"/>
      <c r="U420" s="182"/>
      <c r="V420" s="182"/>
      <c r="W420" s="182"/>
      <c r="X420" s="182"/>
      <c r="Y420" s="182"/>
      <c r="Z420" s="182"/>
      <c r="AA420" s="182"/>
      <c r="AB420" s="182"/>
      <c r="AC420" s="182"/>
      <c r="AD420" s="182"/>
      <c r="AE420" s="184"/>
      <c r="AF420" s="183"/>
      <c r="AG420" s="183"/>
      <c r="AH420" s="183"/>
      <c r="AI420" s="183"/>
      <c r="AJ420" s="182"/>
      <c r="AK420" s="184"/>
      <c r="AL420" s="182"/>
      <c r="AM420" s="182"/>
      <c r="AN420" s="182"/>
      <c r="AO420" s="182"/>
      <c r="AP420" s="182"/>
      <c r="AQ420" s="182"/>
      <c r="AR420" s="182"/>
    </row>
    <row r="421" spans="1:44">
      <c r="A421" s="182"/>
      <c r="B421" s="182"/>
      <c r="C421" s="182"/>
      <c r="D421" s="182"/>
      <c r="E421" s="182"/>
      <c r="F421" s="182"/>
      <c r="G421" s="182"/>
      <c r="H421" s="182"/>
      <c r="I421" s="182"/>
      <c r="J421" s="182"/>
      <c r="K421" s="182"/>
      <c r="L421" s="182"/>
      <c r="M421" s="182"/>
      <c r="N421" s="177"/>
      <c r="O421" s="182"/>
      <c r="P421" s="179"/>
      <c r="Q421" s="182"/>
      <c r="R421" s="182"/>
      <c r="S421" s="182"/>
      <c r="T421" s="182"/>
      <c r="U421" s="182"/>
      <c r="V421" s="182"/>
      <c r="W421" s="182"/>
      <c r="X421" s="182"/>
      <c r="Y421" s="182"/>
      <c r="Z421" s="182"/>
      <c r="AA421" s="182"/>
      <c r="AB421" s="182"/>
      <c r="AC421" s="182"/>
      <c r="AD421" s="182"/>
      <c r="AE421" s="184"/>
      <c r="AF421" s="183"/>
      <c r="AG421" s="183"/>
      <c r="AH421" s="183"/>
      <c r="AI421" s="183"/>
      <c r="AJ421" s="182"/>
      <c r="AK421" s="184"/>
      <c r="AL421" s="182"/>
      <c r="AM421" s="182"/>
      <c r="AN421" s="182"/>
      <c r="AO421" s="182"/>
      <c r="AP421" s="182"/>
      <c r="AQ421" s="182"/>
      <c r="AR421" s="182"/>
    </row>
    <row r="422" spans="1:44">
      <c r="A422" s="182"/>
      <c r="B422" s="182"/>
      <c r="C422" s="182"/>
      <c r="D422" s="182"/>
      <c r="E422" s="182"/>
      <c r="F422" s="182"/>
      <c r="G422" s="182"/>
      <c r="H422" s="182"/>
      <c r="I422" s="182"/>
      <c r="J422" s="182"/>
      <c r="K422" s="182"/>
      <c r="L422" s="182"/>
      <c r="M422" s="182"/>
      <c r="N422" s="177"/>
      <c r="O422" s="182"/>
      <c r="P422" s="179"/>
      <c r="Q422" s="182"/>
      <c r="R422" s="182"/>
      <c r="S422" s="182"/>
      <c r="T422" s="182"/>
      <c r="U422" s="182"/>
      <c r="V422" s="182"/>
      <c r="W422" s="182"/>
      <c r="X422" s="182"/>
      <c r="Y422" s="182"/>
      <c r="Z422" s="182"/>
      <c r="AA422" s="182"/>
      <c r="AB422" s="182"/>
      <c r="AC422" s="182"/>
      <c r="AD422" s="182"/>
      <c r="AE422" s="184"/>
      <c r="AF422" s="183"/>
      <c r="AG422" s="183"/>
      <c r="AH422" s="183"/>
      <c r="AI422" s="183"/>
      <c r="AJ422" s="182"/>
      <c r="AK422" s="184"/>
      <c r="AL422" s="182"/>
      <c r="AM422" s="182"/>
      <c r="AN422" s="182"/>
      <c r="AO422" s="182"/>
      <c r="AP422" s="182"/>
      <c r="AQ422" s="182"/>
      <c r="AR422" s="182"/>
    </row>
    <row r="423" spans="1:44">
      <c r="A423" s="182"/>
      <c r="B423" s="182"/>
      <c r="C423" s="182"/>
      <c r="D423" s="182"/>
      <c r="E423" s="182"/>
      <c r="F423" s="182"/>
      <c r="G423" s="182"/>
      <c r="H423" s="182"/>
      <c r="I423" s="182"/>
      <c r="J423" s="182"/>
      <c r="K423" s="182"/>
      <c r="L423" s="182"/>
      <c r="M423" s="182"/>
      <c r="N423" s="177"/>
      <c r="O423" s="182"/>
      <c r="P423" s="179"/>
      <c r="Q423" s="182"/>
      <c r="R423" s="182"/>
      <c r="S423" s="182"/>
      <c r="T423" s="182"/>
      <c r="U423" s="182"/>
      <c r="V423" s="182"/>
      <c r="W423" s="182"/>
      <c r="X423" s="182"/>
      <c r="Y423" s="182"/>
      <c r="Z423" s="182"/>
      <c r="AA423" s="182"/>
      <c r="AB423" s="182"/>
      <c r="AC423" s="182"/>
      <c r="AD423" s="182"/>
      <c r="AE423" s="184"/>
      <c r="AF423" s="183"/>
      <c r="AG423" s="183"/>
      <c r="AH423" s="183"/>
      <c r="AI423" s="183"/>
      <c r="AJ423" s="182"/>
      <c r="AK423" s="184"/>
      <c r="AL423" s="182"/>
      <c r="AM423" s="182"/>
      <c r="AN423" s="182"/>
      <c r="AO423" s="182"/>
      <c r="AP423" s="182"/>
      <c r="AQ423" s="182"/>
      <c r="AR423" s="182"/>
    </row>
    <row r="424" spans="1:44">
      <c r="A424" s="182"/>
      <c r="B424" s="182"/>
      <c r="C424" s="182"/>
      <c r="D424" s="182"/>
      <c r="E424" s="182"/>
      <c r="F424" s="182"/>
      <c r="G424" s="182"/>
      <c r="H424" s="182"/>
      <c r="I424" s="182"/>
      <c r="J424" s="182"/>
      <c r="K424" s="182"/>
      <c r="L424" s="182"/>
      <c r="M424" s="182"/>
      <c r="N424" s="177"/>
      <c r="O424" s="182"/>
      <c r="P424" s="179"/>
      <c r="Q424" s="182"/>
      <c r="R424" s="182"/>
      <c r="S424" s="182"/>
      <c r="T424" s="182"/>
      <c r="U424" s="182"/>
      <c r="V424" s="182"/>
      <c r="W424" s="182"/>
      <c r="X424" s="182"/>
      <c r="Y424" s="182"/>
      <c r="Z424" s="182"/>
      <c r="AA424" s="182"/>
      <c r="AB424" s="182"/>
      <c r="AC424" s="182"/>
      <c r="AD424" s="182"/>
      <c r="AE424" s="184"/>
      <c r="AF424" s="183"/>
      <c r="AG424" s="183"/>
      <c r="AH424" s="183"/>
      <c r="AI424" s="183"/>
      <c r="AJ424" s="182"/>
      <c r="AK424" s="184"/>
      <c r="AL424" s="182"/>
      <c r="AM424" s="182"/>
      <c r="AN424" s="182"/>
      <c r="AO424" s="182"/>
      <c r="AP424" s="182"/>
      <c r="AQ424" s="182"/>
      <c r="AR424" s="182"/>
    </row>
    <row r="425" spans="1:44">
      <c r="A425" s="182"/>
      <c r="B425" s="182"/>
      <c r="C425" s="182"/>
      <c r="D425" s="182"/>
      <c r="E425" s="182"/>
      <c r="F425" s="182"/>
      <c r="G425" s="182"/>
      <c r="H425" s="182"/>
      <c r="I425" s="182"/>
      <c r="J425" s="182"/>
      <c r="K425" s="182"/>
      <c r="L425" s="182"/>
      <c r="M425" s="182"/>
      <c r="N425" s="177"/>
      <c r="O425" s="182"/>
      <c r="P425" s="179"/>
      <c r="Q425" s="182"/>
      <c r="R425" s="182"/>
      <c r="S425" s="182"/>
      <c r="T425" s="182"/>
      <c r="U425" s="182"/>
      <c r="V425" s="182"/>
      <c r="W425" s="182"/>
      <c r="X425" s="182"/>
      <c r="Y425" s="182"/>
      <c r="Z425" s="182"/>
      <c r="AA425" s="182"/>
      <c r="AB425" s="182"/>
      <c r="AC425" s="182"/>
      <c r="AD425" s="182"/>
      <c r="AE425" s="184"/>
      <c r="AF425" s="183"/>
      <c r="AG425" s="183"/>
      <c r="AH425" s="183"/>
      <c r="AI425" s="183"/>
      <c r="AJ425" s="182"/>
      <c r="AK425" s="184"/>
      <c r="AL425" s="182"/>
      <c r="AM425" s="182"/>
      <c r="AN425" s="182"/>
      <c r="AO425" s="182"/>
      <c r="AP425" s="182"/>
      <c r="AQ425" s="182"/>
      <c r="AR425" s="182"/>
    </row>
    <row r="426" spans="1:44">
      <c r="A426" s="182"/>
      <c r="B426" s="182"/>
      <c r="C426" s="182"/>
      <c r="D426" s="182"/>
      <c r="E426" s="182"/>
      <c r="F426" s="182"/>
      <c r="G426" s="182"/>
      <c r="H426" s="182"/>
      <c r="I426" s="182"/>
      <c r="J426" s="182"/>
      <c r="K426" s="182"/>
      <c r="L426" s="182"/>
      <c r="M426" s="182"/>
      <c r="N426" s="177"/>
      <c r="O426" s="182"/>
      <c r="P426" s="179"/>
      <c r="Q426" s="182"/>
      <c r="R426" s="182"/>
      <c r="S426" s="182"/>
      <c r="T426" s="182"/>
      <c r="U426" s="182"/>
      <c r="V426" s="182"/>
      <c r="W426" s="182"/>
      <c r="X426" s="182"/>
      <c r="Y426" s="182"/>
      <c r="Z426" s="182"/>
      <c r="AA426" s="182"/>
      <c r="AB426" s="182"/>
      <c r="AC426" s="182"/>
      <c r="AD426" s="182"/>
      <c r="AE426" s="184"/>
      <c r="AF426" s="183"/>
      <c r="AG426" s="183"/>
      <c r="AH426" s="183"/>
      <c r="AI426" s="183"/>
      <c r="AJ426" s="182"/>
      <c r="AK426" s="184"/>
      <c r="AL426" s="182"/>
      <c r="AM426" s="182"/>
      <c r="AN426" s="182"/>
      <c r="AO426" s="182"/>
      <c r="AP426" s="182"/>
      <c r="AQ426" s="182"/>
      <c r="AR426" s="182"/>
    </row>
    <row r="427" spans="1:44">
      <c r="A427" s="182"/>
      <c r="B427" s="182"/>
      <c r="C427" s="182"/>
      <c r="D427" s="182"/>
      <c r="E427" s="182"/>
      <c r="F427" s="182"/>
      <c r="G427" s="182"/>
      <c r="H427" s="182"/>
      <c r="I427" s="182"/>
      <c r="J427" s="182"/>
      <c r="K427" s="182"/>
      <c r="L427" s="182"/>
      <c r="M427" s="182"/>
      <c r="N427" s="177"/>
      <c r="O427" s="182"/>
      <c r="P427" s="179"/>
      <c r="Q427" s="182"/>
      <c r="R427" s="182"/>
      <c r="S427" s="182"/>
      <c r="T427" s="182"/>
      <c r="U427" s="182"/>
      <c r="V427" s="182"/>
      <c r="W427" s="182"/>
      <c r="X427" s="182"/>
      <c r="Y427" s="182"/>
      <c r="Z427" s="182"/>
      <c r="AA427" s="182"/>
      <c r="AB427" s="182"/>
      <c r="AC427" s="182"/>
      <c r="AD427" s="182"/>
      <c r="AE427" s="184"/>
      <c r="AF427" s="183"/>
      <c r="AG427" s="183"/>
      <c r="AH427" s="183"/>
      <c r="AI427" s="183"/>
      <c r="AJ427" s="182"/>
      <c r="AK427" s="184"/>
      <c r="AL427" s="182"/>
      <c r="AM427" s="182"/>
      <c r="AN427" s="182"/>
      <c r="AO427" s="182"/>
      <c r="AP427" s="182"/>
      <c r="AQ427" s="182"/>
      <c r="AR427" s="182"/>
    </row>
    <row r="428" spans="1:44">
      <c r="A428" s="182"/>
      <c r="B428" s="182"/>
      <c r="C428" s="182"/>
      <c r="D428" s="182"/>
      <c r="E428" s="182"/>
      <c r="F428" s="182"/>
      <c r="G428" s="182"/>
      <c r="H428" s="182"/>
      <c r="I428" s="182"/>
      <c r="J428" s="182"/>
      <c r="K428" s="182"/>
      <c r="L428" s="182"/>
      <c r="M428" s="182"/>
      <c r="N428" s="177"/>
      <c r="O428" s="182"/>
      <c r="P428" s="179"/>
      <c r="Q428" s="182"/>
      <c r="R428" s="182"/>
      <c r="S428" s="182"/>
      <c r="T428" s="182"/>
      <c r="U428" s="182"/>
      <c r="V428" s="182"/>
      <c r="W428" s="182"/>
      <c r="X428" s="182"/>
      <c r="Y428" s="182"/>
      <c r="Z428" s="182"/>
      <c r="AA428" s="182"/>
      <c r="AB428" s="182"/>
      <c r="AC428" s="182"/>
      <c r="AD428" s="182"/>
      <c r="AE428" s="184"/>
      <c r="AF428" s="183"/>
      <c r="AG428" s="183"/>
      <c r="AH428" s="183"/>
      <c r="AI428" s="183"/>
      <c r="AJ428" s="182"/>
      <c r="AK428" s="184"/>
      <c r="AL428" s="182"/>
      <c r="AM428" s="182"/>
      <c r="AN428" s="182"/>
      <c r="AO428" s="182"/>
      <c r="AP428" s="182"/>
      <c r="AQ428" s="182"/>
      <c r="AR428" s="182"/>
    </row>
    <row r="429" spans="1:44">
      <c r="A429" s="182"/>
      <c r="B429" s="182"/>
      <c r="C429" s="182"/>
      <c r="D429" s="182"/>
      <c r="E429" s="182"/>
      <c r="F429" s="182"/>
      <c r="G429" s="182"/>
      <c r="H429" s="182"/>
      <c r="I429" s="182"/>
      <c r="J429" s="182"/>
      <c r="K429" s="182"/>
      <c r="L429" s="182"/>
      <c r="M429" s="182"/>
      <c r="N429" s="177"/>
      <c r="O429" s="182"/>
      <c r="P429" s="179"/>
      <c r="Q429" s="182"/>
      <c r="R429" s="182"/>
      <c r="S429" s="182"/>
      <c r="T429" s="182"/>
      <c r="U429" s="182"/>
      <c r="V429" s="182"/>
      <c r="W429" s="182"/>
      <c r="X429" s="182"/>
      <c r="Y429" s="182"/>
      <c r="Z429" s="182"/>
      <c r="AA429" s="182"/>
      <c r="AB429" s="182"/>
      <c r="AC429" s="182"/>
      <c r="AD429" s="182"/>
      <c r="AE429" s="184"/>
      <c r="AF429" s="183"/>
      <c r="AG429" s="183"/>
      <c r="AH429" s="183"/>
      <c r="AI429" s="183"/>
      <c r="AJ429" s="182"/>
      <c r="AK429" s="184"/>
      <c r="AL429" s="182"/>
      <c r="AM429" s="182"/>
      <c r="AN429" s="182"/>
      <c r="AO429" s="182"/>
      <c r="AP429" s="182"/>
      <c r="AQ429" s="182"/>
      <c r="AR429" s="182"/>
    </row>
    <row r="430" spans="1:44">
      <c r="A430" s="182"/>
      <c r="B430" s="182"/>
      <c r="C430" s="182"/>
      <c r="D430" s="182"/>
      <c r="E430" s="182"/>
      <c r="F430" s="182"/>
      <c r="G430" s="182"/>
      <c r="H430" s="182"/>
      <c r="I430" s="182"/>
      <c r="J430" s="182"/>
      <c r="K430" s="182"/>
      <c r="L430" s="182"/>
      <c r="M430" s="182"/>
      <c r="N430" s="177"/>
      <c r="O430" s="182"/>
      <c r="P430" s="179"/>
      <c r="Q430" s="182"/>
      <c r="R430" s="182"/>
      <c r="S430" s="182"/>
      <c r="T430" s="182"/>
      <c r="U430" s="182"/>
      <c r="V430" s="182"/>
      <c r="W430" s="182"/>
      <c r="X430" s="182"/>
      <c r="Y430" s="182"/>
      <c r="Z430" s="182"/>
      <c r="AA430" s="182"/>
      <c r="AB430" s="182"/>
      <c r="AC430" s="182"/>
      <c r="AD430" s="182"/>
      <c r="AE430" s="184"/>
      <c r="AF430" s="183"/>
      <c r="AG430" s="183"/>
      <c r="AH430" s="183"/>
      <c r="AI430" s="183"/>
      <c r="AJ430" s="182"/>
      <c r="AK430" s="184"/>
      <c r="AL430" s="182"/>
      <c r="AM430" s="182"/>
      <c r="AN430" s="182"/>
      <c r="AO430" s="182"/>
      <c r="AP430" s="182"/>
      <c r="AQ430" s="182"/>
      <c r="AR430" s="182"/>
    </row>
    <row r="431" spans="1:44">
      <c r="A431" s="182"/>
      <c r="B431" s="182"/>
      <c r="C431" s="182"/>
      <c r="D431" s="182"/>
      <c r="E431" s="182"/>
      <c r="F431" s="182"/>
      <c r="G431" s="182"/>
      <c r="H431" s="182"/>
      <c r="I431" s="182"/>
      <c r="J431" s="182"/>
      <c r="K431" s="182"/>
      <c r="L431" s="182"/>
      <c r="M431" s="182"/>
      <c r="N431" s="177"/>
      <c r="O431" s="182"/>
      <c r="P431" s="179"/>
      <c r="Q431" s="182"/>
      <c r="R431" s="182"/>
      <c r="S431" s="182"/>
      <c r="T431" s="182"/>
      <c r="U431" s="182"/>
      <c r="V431" s="182"/>
      <c r="W431" s="182"/>
      <c r="X431" s="182"/>
      <c r="Y431" s="182"/>
      <c r="Z431" s="182"/>
      <c r="AA431" s="182"/>
      <c r="AB431" s="182"/>
      <c r="AC431" s="182"/>
      <c r="AD431" s="182"/>
      <c r="AE431" s="184"/>
      <c r="AF431" s="183"/>
      <c r="AG431" s="183"/>
      <c r="AH431" s="183"/>
      <c r="AI431" s="183"/>
      <c r="AJ431" s="182"/>
      <c r="AK431" s="184"/>
      <c r="AL431" s="182"/>
      <c r="AM431" s="182"/>
      <c r="AN431" s="182"/>
      <c r="AO431" s="182"/>
      <c r="AP431" s="182"/>
      <c r="AQ431" s="182"/>
      <c r="AR431" s="182"/>
    </row>
    <row r="432" spans="1:44">
      <c r="A432" s="182"/>
      <c r="B432" s="182"/>
      <c r="C432" s="182"/>
      <c r="D432" s="182"/>
      <c r="E432" s="182"/>
      <c r="F432" s="182"/>
      <c r="G432" s="182"/>
      <c r="H432" s="182"/>
      <c r="I432" s="182"/>
      <c r="J432" s="182"/>
      <c r="K432" s="182"/>
      <c r="L432" s="182"/>
      <c r="M432" s="182"/>
      <c r="N432" s="177"/>
      <c r="O432" s="182"/>
      <c r="P432" s="179"/>
      <c r="Q432" s="182"/>
      <c r="R432" s="182"/>
      <c r="S432" s="182"/>
      <c r="T432" s="182"/>
      <c r="U432" s="182"/>
      <c r="V432" s="182"/>
      <c r="W432" s="182"/>
      <c r="X432" s="182"/>
      <c r="Y432" s="182"/>
      <c r="Z432" s="182"/>
      <c r="AA432" s="182"/>
      <c r="AB432" s="182"/>
      <c r="AC432" s="182"/>
      <c r="AD432" s="182"/>
      <c r="AE432" s="184"/>
      <c r="AF432" s="183"/>
      <c r="AG432" s="183"/>
      <c r="AH432" s="183"/>
      <c r="AI432" s="183"/>
      <c r="AJ432" s="182"/>
      <c r="AK432" s="184"/>
      <c r="AL432" s="182"/>
      <c r="AM432" s="182"/>
      <c r="AN432" s="182"/>
      <c r="AO432" s="182"/>
      <c r="AP432" s="182"/>
      <c r="AQ432" s="182"/>
      <c r="AR432" s="182"/>
    </row>
    <row r="433" spans="1:44">
      <c r="A433" s="182"/>
      <c r="B433" s="182"/>
      <c r="C433" s="182"/>
      <c r="D433" s="182"/>
      <c r="E433" s="182"/>
      <c r="F433" s="182"/>
      <c r="G433" s="182"/>
      <c r="H433" s="182"/>
      <c r="I433" s="182"/>
      <c r="J433" s="182"/>
      <c r="K433" s="182"/>
      <c r="L433" s="182"/>
      <c r="M433" s="182"/>
      <c r="N433" s="177"/>
      <c r="O433" s="182"/>
      <c r="P433" s="179"/>
      <c r="Q433" s="182"/>
      <c r="R433" s="182"/>
      <c r="S433" s="182"/>
      <c r="T433" s="182"/>
      <c r="U433" s="182"/>
      <c r="V433" s="182"/>
      <c r="W433" s="182"/>
      <c r="X433" s="182"/>
      <c r="Y433" s="182"/>
      <c r="Z433" s="182"/>
      <c r="AA433" s="182"/>
      <c r="AB433" s="182"/>
      <c r="AC433" s="182"/>
      <c r="AD433" s="182"/>
      <c r="AE433" s="184"/>
      <c r="AF433" s="183"/>
      <c r="AG433" s="183"/>
      <c r="AH433" s="183"/>
      <c r="AI433" s="183"/>
      <c r="AJ433" s="182"/>
      <c r="AK433" s="184"/>
      <c r="AL433" s="182"/>
      <c r="AM433" s="182"/>
      <c r="AN433" s="182"/>
      <c r="AO433" s="182"/>
      <c r="AP433" s="182"/>
      <c r="AQ433" s="182"/>
      <c r="AR433" s="182"/>
    </row>
    <row r="434" spans="1:44">
      <c r="A434" s="182"/>
      <c r="B434" s="182"/>
      <c r="C434" s="182"/>
      <c r="D434" s="182"/>
      <c r="E434" s="182"/>
      <c r="F434" s="182"/>
      <c r="G434" s="182"/>
      <c r="H434" s="182"/>
      <c r="I434" s="182"/>
      <c r="J434" s="182"/>
      <c r="K434" s="182"/>
      <c r="L434" s="182"/>
      <c r="M434" s="182"/>
      <c r="N434" s="177"/>
      <c r="O434" s="182"/>
      <c r="P434" s="179"/>
      <c r="Q434" s="182"/>
      <c r="R434" s="182"/>
      <c r="S434" s="182"/>
      <c r="T434" s="182"/>
      <c r="U434" s="182"/>
      <c r="V434" s="182"/>
      <c r="W434" s="182"/>
      <c r="X434" s="182"/>
      <c r="Y434" s="182"/>
      <c r="Z434" s="182"/>
      <c r="AA434" s="182"/>
      <c r="AB434" s="182"/>
      <c r="AC434" s="182"/>
      <c r="AD434" s="182"/>
      <c r="AE434" s="184"/>
      <c r="AF434" s="183"/>
      <c r="AG434" s="183"/>
      <c r="AH434" s="183"/>
      <c r="AI434" s="183"/>
      <c r="AJ434" s="182"/>
      <c r="AK434" s="184"/>
      <c r="AL434" s="182"/>
      <c r="AM434" s="182"/>
      <c r="AN434" s="182"/>
      <c r="AO434" s="182"/>
      <c r="AP434" s="182"/>
      <c r="AQ434" s="182"/>
      <c r="AR434" s="182"/>
    </row>
    <row r="435" spans="1:44">
      <c r="A435" s="182"/>
      <c r="B435" s="182"/>
      <c r="C435" s="182"/>
      <c r="D435" s="182"/>
      <c r="E435" s="182"/>
      <c r="F435" s="182"/>
      <c r="G435" s="182"/>
      <c r="H435" s="182"/>
      <c r="I435" s="182"/>
      <c r="J435" s="182"/>
      <c r="K435" s="182"/>
      <c r="L435" s="182"/>
      <c r="M435" s="182"/>
      <c r="N435" s="177"/>
      <c r="O435" s="182"/>
      <c r="P435" s="179"/>
      <c r="Q435" s="182"/>
      <c r="R435" s="182"/>
      <c r="S435" s="182"/>
      <c r="T435" s="182"/>
      <c r="U435" s="182"/>
      <c r="V435" s="182"/>
      <c r="W435" s="182"/>
      <c r="X435" s="182"/>
      <c r="Y435" s="182"/>
      <c r="Z435" s="182"/>
      <c r="AA435" s="182"/>
      <c r="AB435" s="182"/>
      <c r="AC435" s="182"/>
      <c r="AD435" s="182"/>
      <c r="AE435" s="184"/>
      <c r="AF435" s="183"/>
      <c r="AG435" s="183"/>
      <c r="AH435" s="183"/>
      <c r="AI435" s="183"/>
      <c r="AJ435" s="182"/>
      <c r="AK435" s="184"/>
      <c r="AL435" s="182"/>
      <c r="AM435" s="182"/>
      <c r="AN435" s="182"/>
      <c r="AO435" s="182"/>
      <c r="AP435" s="182"/>
      <c r="AQ435" s="182"/>
      <c r="AR435" s="182"/>
    </row>
    <row r="436" spans="1:44">
      <c r="A436" s="182"/>
      <c r="B436" s="182"/>
      <c r="C436" s="182"/>
      <c r="D436" s="182"/>
      <c r="E436" s="182"/>
      <c r="F436" s="182"/>
      <c r="G436" s="182"/>
      <c r="H436" s="182"/>
      <c r="I436" s="182"/>
      <c r="J436" s="182"/>
      <c r="K436" s="182"/>
      <c r="L436" s="182"/>
      <c r="M436" s="182"/>
      <c r="N436" s="177"/>
      <c r="O436" s="182"/>
      <c r="P436" s="179"/>
      <c r="Q436" s="182"/>
      <c r="R436" s="182"/>
      <c r="S436" s="182"/>
      <c r="T436" s="182"/>
      <c r="U436" s="182"/>
      <c r="V436" s="182"/>
      <c r="W436" s="182"/>
      <c r="X436" s="182"/>
      <c r="Y436" s="182"/>
      <c r="Z436" s="182"/>
      <c r="AA436" s="182"/>
      <c r="AB436" s="182"/>
      <c r="AC436" s="182"/>
      <c r="AD436" s="182"/>
      <c r="AE436" s="184"/>
      <c r="AF436" s="183"/>
      <c r="AG436" s="183"/>
      <c r="AH436" s="183"/>
      <c r="AI436" s="183"/>
      <c r="AJ436" s="182"/>
      <c r="AK436" s="184"/>
      <c r="AL436" s="182"/>
      <c r="AM436" s="182"/>
      <c r="AN436" s="182"/>
      <c r="AO436" s="182"/>
      <c r="AP436" s="182"/>
      <c r="AQ436" s="182"/>
      <c r="AR436" s="182"/>
    </row>
    <row r="437" spans="1:44">
      <c r="A437" s="182"/>
      <c r="B437" s="182"/>
      <c r="C437" s="182"/>
      <c r="D437" s="182"/>
      <c r="E437" s="182"/>
      <c r="F437" s="182"/>
      <c r="G437" s="182"/>
      <c r="H437" s="182"/>
      <c r="I437" s="182"/>
      <c r="J437" s="182"/>
      <c r="K437" s="182"/>
      <c r="L437" s="182"/>
      <c r="M437" s="182"/>
      <c r="N437" s="177"/>
      <c r="O437" s="182"/>
      <c r="P437" s="179"/>
      <c r="Q437" s="182"/>
      <c r="R437" s="182"/>
      <c r="S437" s="182"/>
      <c r="T437" s="182"/>
      <c r="U437" s="182"/>
      <c r="V437" s="182"/>
      <c r="W437" s="182"/>
      <c r="X437" s="182"/>
      <c r="Y437" s="182"/>
      <c r="Z437" s="182"/>
      <c r="AA437" s="182"/>
      <c r="AB437" s="182"/>
      <c r="AC437" s="182"/>
      <c r="AD437" s="182"/>
      <c r="AE437" s="184"/>
      <c r="AF437" s="183"/>
      <c r="AG437" s="183"/>
      <c r="AH437" s="183"/>
      <c r="AI437" s="183"/>
      <c r="AJ437" s="182"/>
      <c r="AK437" s="184"/>
      <c r="AL437" s="182"/>
      <c r="AM437" s="182"/>
      <c r="AN437" s="182"/>
      <c r="AO437" s="182"/>
      <c r="AP437" s="182"/>
      <c r="AQ437" s="182"/>
      <c r="AR437" s="182"/>
    </row>
    <row r="438" spans="1:44">
      <c r="A438" s="182"/>
      <c r="B438" s="182"/>
      <c r="C438" s="182"/>
      <c r="D438" s="182"/>
      <c r="E438" s="182"/>
      <c r="F438" s="182"/>
      <c r="G438" s="182"/>
      <c r="H438" s="182"/>
      <c r="I438" s="182"/>
      <c r="J438" s="182"/>
      <c r="K438" s="182"/>
      <c r="L438" s="182"/>
      <c r="M438" s="182"/>
      <c r="N438" s="177"/>
      <c r="O438" s="182"/>
      <c r="P438" s="179"/>
      <c r="Q438" s="182"/>
      <c r="R438" s="182"/>
      <c r="S438" s="182"/>
      <c r="T438" s="182"/>
      <c r="U438" s="182"/>
      <c r="V438" s="182"/>
      <c r="W438" s="182"/>
      <c r="X438" s="182"/>
      <c r="Y438" s="182"/>
      <c r="Z438" s="182"/>
      <c r="AA438" s="182"/>
      <c r="AB438" s="182"/>
      <c r="AC438" s="182"/>
      <c r="AD438" s="182"/>
      <c r="AE438" s="184"/>
      <c r="AF438" s="183"/>
      <c r="AG438" s="183"/>
      <c r="AH438" s="183"/>
      <c r="AI438" s="183"/>
      <c r="AJ438" s="182"/>
      <c r="AK438" s="184"/>
      <c r="AL438" s="182"/>
      <c r="AM438" s="182"/>
      <c r="AN438" s="182"/>
      <c r="AO438" s="182"/>
      <c r="AP438" s="182"/>
      <c r="AQ438" s="182"/>
      <c r="AR438" s="182"/>
    </row>
    <row r="439" spans="1:44">
      <c r="A439" s="182"/>
      <c r="B439" s="182"/>
      <c r="C439" s="182"/>
      <c r="D439" s="182"/>
      <c r="E439" s="182"/>
      <c r="F439" s="182"/>
      <c r="G439" s="182"/>
      <c r="H439" s="182"/>
      <c r="I439" s="182"/>
      <c r="J439" s="182"/>
      <c r="K439" s="182"/>
      <c r="L439" s="182"/>
      <c r="M439" s="182"/>
      <c r="N439" s="177"/>
      <c r="O439" s="182"/>
      <c r="P439" s="179"/>
      <c r="Q439" s="182"/>
      <c r="R439" s="182"/>
      <c r="S439" s="182"/>
      <c r="T439" s="182"/>
      <c r="U439" s="182"/>
      <c r="V439" s="182"/>
      <c r="W439" s="182"/>
      <c r="X439" s="182"/>
      <c r="Y439" s="182"/>
      <c r="Z439" s="182"/>
      <c r="AA439" s="182"/>
      <c r="AB439" s="182"/>
      <c r="AC439" s="182"/>
      <c r="AD439" s="182"/>
      <c r="AE439" s="184"/>
      <c r="AF439" s="183"/>
      <c r="AG439" s="183"/>
      <c r="AH439" s="183"/>
      <c r="AI439" s="183"/>
      <c r="AJ439" s="182"/>
      <c r="AK439" s="184"/>
      <c r="AL439" s="182"/>
      <c r="AM439" s="182"/>
      <c r="AN439" s="182"/>
      <c r="AO439" s="182"/>
      <c r="AP439" s="182"/>
      <c r="AQ439" s="182"/>
      <c r="AR439" s="182"/>
    </row>
    <row r="440" spans="1:44">
      <c r="A440" s="182"/>
      <c r="B440" s="182"/>
      <c r="C440" s="182"/>
      <c r="D440" s="182"/>
      <c r="E440" s="182"/>
      <c r="F440" s="182"/>
      <c r="G440" s="182"/>
      <c r="H440" s="182"/>
      <c r="I440" s="182"/>
      <c r="J440" s="182"/>
      <c r="K440" s="182"/>
      <c r="L440" s="182"/>
      <c r="M440" s="182"/>
      <c r="N440" s="177"/>
      <c r="O440" s="182"/>
      <c r="P440" s="179"/>
      <c r="Q440" s="182"/>
      <c r="R440" s="182"/>
      <c r="S440" s="182"/>
      <c r="T440" s="182"/>
      <c r="U440" s="182"/>
      <c r="V440" s="182"/>
      <c r="W440" s="182"/>
      <c r="X440" s="182"/>
      <c r="Y440" s="182"/>
      <c r="Z440" s="182"/>
      <c r="AA440" s="182"/>
      <c r="AB440" s="182"/>
      <c r="AC440" s="182"/>
      <c r="AD440" s="182"/>
      <c r="AE440" s="184"/>
      <c r="AF440" s="183"/>
      <c r="AG440" s="183"/>
      <c r="AH440" s="183"/>
      <c r="AI440" s="183"/>
      <c r="AJ440" s="182"/>
      <c r="AK440" s="184"/>
      <c r="AL440" s="182"/>
      <c r="AM440" s="182"/>
      <c r="AN440" s="182"/>
      <c r="AO440" s="182"/>
      <c r="AP440" s="182"/>
      <c r="AQ440" s="182"/>
      <c r="AR440" s="182"/>
    </row>
    <row r="441" spans="1:44">
      <c r="A441" s="182"/>
      <c r="B441" s="182"/>
      <c r="C441" s="182"/>
      <c r="D441" s="182"/>
      <c r="E441" s="182"/>
      <c r="F441" s="182"/>
      <c r="G441" s="182"/>
      <c r="H441" s="182"/>
      <c r="I441" s="182"/>
      <c r="J441" s="182"/>
      <c r="K441" s="182"/>
      <c r="L441" s="182"/>
      <c r="M441" s="182"/>
      <c r="N441" s="177"/>
      <c r="O441" s="182"/>
      <c r="P441" s="179"/>
      <c r="Q441" s="182"/>
      <c r="R441" s="182"/>
      <c r="S441" s="182"/>
      <c r="T441" s="182"/>
      <c r="U441" s="182"/>
      <c r="V441" s="182"/>
      <c r="W441" s="182"/>
      <c r="X441" s="182"/>
      <c r="Y441" s="182"/>
      <c r="Z441" s="182"/>
      <c r="AA441" s="182"/>
      <c r="AB441" s="182"/>
      <c r="AC441" s="182"/>
      <c r="AD441" s="182"/>
      <c r="AE441" s="184"/>
      <c r="AF441" s="183"/>
      <c r="AG441" s="183"/>
      <c r="AH441" s="183"/>
      <c r="AI441" s="183"/>
      <c r="AJ441" s="182"/>
      <c r="AK441" s="184"/>
      <c r="AL441" s="182"/>
      <c r="AM441" s="182"/>
      <c r="AN441" s="182"/>
      <c r="AO441" s="182"/>
      <c r="AP441" s="182"/>
      <c r="AQ441" s="182"/>
      <c r="AR441" s="182"/>
    </row>
    <row r="442" spans="1:44">
      <c r="A442" s="182"/>
      <c r="B442" s="182"/>
      <c r="C442" s="182"/>
      <c r="D442" s="182"/>
      <c r="E442" s="182"/>
      <c r="F442" s="182"/>
      <c r="G442" s="182"/>
      <c r="H442" s="182"/>
      <c r="I442" s="182"/>
      <c r="J442" s="182"/>
      <c r="K442" s="182"/>
      <c r="L442" s="182"/>
      <c r="M442" s="182"/>
      <c r="N442" s="177"/>
      <c r="O442" s="182"/>
      <c r="P442" s="179"/>
      <c r="Q442" s="182"/>
      <c r="R442" s="182"/>
      <c r="S442" s="182"/>
      <c r="T442" s="182"/>
      <c r="U442" s="182"/>
      <c r="V442" s="182"/>
      <c r="W442" s="182"/>
      <c r="X442" s="182"/>
      <c r="Y442" s="182"/>
      <c r="Z442" s="182"/>
      <c r="AA442" s="182"/>
      <c r="AB442" s="182"/>
      <c r="AC442" s="182"/>
      <c r="AD442" s="182"/>
      <c r="AE442" s="184"/>
      <c r="AF442" s="183"/>
      <c r="AG442" s="183"/>
      <c r="AH442" s="183"/>
      <c r="AI442" s="183"/>
      <c r="AJ442" s="182"/>
      <c r="AK442" s="184"/>
      <c r="AL442" s="182"/>
      <c r="AM442" s="182"/>
      <c r="AN442" s="182"/>
      <c r="AO442" s="182"/>
      <c r="AP442" s="182"/>
      <c r="AQ442" s="182"/>
      <c r="AR442" s="182"/>
    </row>
    <row r="443" spans="1:44">
      <c r="A443" s="182"/>
      <c r="B443" s="182"/>
      <c r="C443" s="182"/>
      <c r="D443" s="182"/>
      <c r="E443" s="182"/>
      <c r="F443" s="182"/>
      <c r="G443" s="182"/>
      <c r="H443" s="182"/>
      <c r="I443" s="182"/>
      <c r="J443" s="182"/>
      <c r="K443" s="182"/>
      <c r="L443" s="182"/>
      <c r="M443" s="182"/>
      <c r="N443" s="177"/>
      <c r="O443" s="182"/>
      <c r="P443" s="179"/>
      <c r="Q443" s="182"/>
      <c r="R443" s="182"/>
      <c r="S443" s="182"/>
      <c r="T443" s="182"/>
      <c r="U443" s="182"/>
      <c r="V443" s="182"/>
      <c r="W443" s="182"/>
      <c r="X443" s="182"/>
      <c r="Y443" s="182"/>
      <c r="Z443" s="182"/>
      <c r="AA443" s="182"/>
      <c r="AB443" s="182"/>
      <c r="AC443" s="182"/>
      <c r="AD443" s="182"/>
      <c r="AE443" s="184"/>
      <c r="AF443" s="183"/>
      <c r="AG443" s="183"/>
      <c r="AH443" s="183"/>
      <c r="AI443" s="183"/>
      <c r="AJ443" s="182"/>
      <c r="AK443" s="184"/>
      <c r="AL443" s="182"/>
      <c r="AM443" s="182"/>
      <c r="AN443" s="182"/>
      <c r="AO443" s="182"/>
      <c r="AP443" s="182"/>
      <c r="AQ443" s="182"/>
      <c r="AR443" s="182"/>
    </row>
    <row r="444" spans="1:44">
      <c r="A444" s="182"/>
      <c r="B444" s="182"/>
      <c r="C444" s="182"/>
      <c r="D444" s="182"/>
      <c r="E444" s="182"/>
      <c r="F444" s="182"/>
      <c r="G444" s="182"/>
      <c r="H444" s="182"/>
      <c r="I444" s="182"/>
      <c r="J444" s="182"/>
      <c r="K444" s="182"/>
      <c r="L444" s="182"/>
      <c r="M444" s="182"/>
      <c r="N444" s="177"/>
      <c r="O444" s="182"/>
      <c r="P444" s="179"/>
      <c r="Q444" s="182"/>
      <c r="R444" s="182"/>
      <c r="S444" s="182"/>
      <c r="T444" s="182"/>
      <c r="U444" s="182"/>
      <c r="V444" s="182"/>
      <c r="W444" s="182"/>
      <c r="X444" s="182"/>
      <c r="Y444" s="182"/>
      <c r="Z444" s="182"/>
      <c r="AA444" s="182"/>
      <c r="AB444" s="182"/>
      <c r="AC444" s="182"/>
      <c r="AD444" s="182"/>
      <c r="AE444" s="184"/>
      <c r="AF444" s="183"/>
      <c r="AG444" s="183"/>
      <c r="AH444" s="183"/>
      <c r="AI444" s="183"/>
      <c r="AJ444" s="182"/>
      <c r="AK444" s="184"/>
      <c r="AL444" s="182"/>
      <c r="AM444" s="182"/>
      <c r="AN444" s="182"/>
      <c r="AO444" s="182"/>
      <c r="AP444" s="182"/>
      <c r="AQ444" s="182"/>
      <c r="AR444" s="182"/>
    </row>
    <row r="445" spans="1:44">
      <c r="A445" s="182"/>
      <c r="B445" s="182"/>
      <c r="C445" s="182"/>
      <c r="D445" s="182"/>
      <c r="E445" s="182"/>
      <c r="F445" s="182"/>
      <c r="G445" s="182"/>
      <c r="H445" s="182"/>
      <c r="I445" s="182"/>
      <c r="J445" s="182"/>
      <c r="K445" s="182"/>
      <c r="L445" s="182"/>
      <c r="M445" s="182"/>
      <c r="N445" s="177"/>
      <c r="O445" s="182"/>
      <c r="P445" s="179"/>
      <c r="Q445" s="182"/>
      <c r="R445" s="182"/>
      <c r="S445" s="182"/>
      <c r="T445" s="182"/>
      <c r="U445" s="182"/>
      <c r="V445" s="182"/>
      <c r="W445" s="182"/>
      <c r="X445" s="182"/>
      <c r="Y445" s="182"/>
      <c r="Z445" s="182"/>
      <c r="AA445" s="182"/>
      <c r="AB445" s="182"/>
      <c r="AC445" s="182"/>
      <c r="AD445" s="182"/>
      <c r="AE445" s="184"/>
      <c r="AF445" s="183"/>
      <c r="AG445" s="183"/>
      <c r="AH445" s="183"/>
      <c r="AI445" s="183"/>
      <c r="AJ445" s="182"/>
      <c r="AK445" s="184"/>
      <c r="AL445" s="182"/>
      <c r="AM445" s="182"/>
      <c r="AN445" s="182"/>
      <c r="AO445" s="182"/>
      <c r="AP445" s="182"/>
      <c r="AQ445" s="182"/>
      <c r="AR445" s="182"/>
    </row>
    <row r="446" spans="1:44">
      <c r="A446" s="182"/>
      <c r="B446" s="182"/>
      <c r="C446" s="182"/>
      <c r="D446" s="182"/>
      <c r="E446" s="182"/>
      <c r="F446" s="182"/>
      <c r="G446" s="182"/>
      <c r="H446" s="182"/>
      <c r="I446" s="182"/>
      <c r="J446" s="182"/>
      <c r="K446" s="182"/>
      <c r="L446" s="182"/>
      <c r="M446" s="182"/>
      <c r="N446" s="177"/>
      <c r="O446" s="182"/>
      <c r="P446" s="179"/>
      <c r="Q446" s="182"/>
      <c r="R446" s="182"/>
      <c r="S446" s="182"/>
      <c r="T446" s="182"/>
      <c r="U446" s="182"/>
      <c r="V446" s="182"/>
      <c r="W446" s="182"/>
      <c r="X446" s="182"/>
      <c r="Y446" s="182"/>
      <c r="Z446" s="182"/>
      <c r="AA446" s="182"/>
      <c r="AB446" s="182"/>
      <c r="AC446" s="182"/>
      <c r="AD446" s="182"/>
      <c r="AE446" s="184"/>
      <c r="AF446" s="183"/>
      <c r="AG446" s="183"/>
      <c r="AH446" s="183"/>
      <c r="AI446" s="183"/>
      <c r="AJ446" s="182"/>
      <c r="AK446" s="184"/>
      <c r="AL446" s="182"/>
      <c r="AM446" s="182"/>
      <c r="AN446" s="182"/>
      <c r="AO446" s="182"/>
      <c r="AP446" s="182"/>
      <c r="AQ446" s="182"/>
      <c r="AR446" s="182"/>
    </row>
    <row r="447" spans="1:44">
      <c r="A447" s="182"/>
      <c r="B447" s="182"/>
      <c r="C447" s="182"/>
      <c r="D447" s="182"/>
      <c r="E447" s="182"/>
      <c r="F447" s="182"/>
      <c r="G447" s="182"/>
      <c r="H447" s="182"/>
      <c r="I447" s="182"/>
      <c r="J447" s="182"/>
      <c r="K447" s="182"/>
      <c r="L447" s="182"/>
      <c r="M447" s="182"/>
      <c r="N447" s="177"/>
      <c r="O447" s="182"/>
      <c r="P447" s="179"/>
      <c r="Q447" s="182"/>
      <c r="R447" s="182"/>
      <c r="S447" s="182"/>
      <c r="T447" s="182"/>
      <c r="U447" s="182"/>
      <c r="V447" s="182"/>
      <c r="W447" s="182"/>
      <c r="X447" s="182"/>
      <c r="Y447" s="182"/>
      <c r="Z447" s="182"/>
      <c r="AA447" s="182"/>
      <c r="AB447" s="182"/>
      <c r="AC447" s="182"/>
      <c r="AD447" s="182"/>
      <c r="AE447" s="184"/>
      <c r="AF447" s="183"/>
      <c r="AG447" s="183"/>
      <c r="AH447" s="183"/>
      <c r="AI447" s="183"/>
      <c r="AJ447" s="182"/>
      <c r="AK447" s="184"/>
      <c r="AL447" s="182"/>
      <c r="AM447" s="182"/>
      <c r="AN447" s="182"/>
      <c r="AO447" s="182"/>
      <c r="AP447" s="182"/>
      <c r="AQ447" s="182"/>
      <c r="AR447" s="182"/>
    </row>
    <row r="448" spans="1:44">
      <c r="A448" s="182"/>
      <c r="B448" s="182"/>
      <c r="C448" s="182"/>
      <c r="D448" s="182"/>
      <c r="E448" s="182"/>
      <c r="F448" s="182"/>
      <c r="G448" s="182"/>
      <c r="H448" s="182"/>
      <c r="I448" s="182"/>
      <c r="J448" s="182"/>
      <c r="K448" s="182"/>
      <c r="L448" s="182"/>
      <c r="M448" s="182"/>
      <c r="N448" s="177"/>
      <c r="O448" s="182"/>
      <c r="P448" s="179"/>
      <c r="Q448" s="182"/>
      <c r="R448" s="182"/>
      <c r="S448" s="182"/>
      <c r="T448" s="182"/>
      <c r="U448" s="182"/>
      <c r="V448" s="182"/>
      <c r="W448" s="182"/>
      <c r="X448" s="182"/>
      <c r="Y448" s="182"/>
      <c r="Z448" s="182"/>
      <c r="AA448" s="182"/>
      <c r="AB448" s="182"/>
      <c r="AC448" s="182"/>
      <c r="AD448" s="182"/>
      <c r="AE448" s="184"/>
      <c r="AF448" s="183"/>
      <c r="AG448" s="183"/>
      <c r="AH448" s="183"/>
      <c r="AI448" s="183"/>
      <c r="AJ448" s="182"/>
      <c r="AK448" s="184"/>
      <c r="AL448" s="182"/>
      <c r="AM448" s="182"/>
      <c r="AN448" s="182"/>
      <c r="AO448" s="182"/>
      <c r="AP448" s="182"/>
      <c r="AQ448" s="182"/>
      <c r="AR448" s="182"/>
    </row>
    <row r="449" spans="1:44">
      <c r="A449" s="182"/>
      <c r="B449" s="182"/>
      <c r="C449" s="182"/>
      <c r="D449" s="182"/>
      <c r="E449" s="182"/>
      <c r="F449" s="182"/>
      <c r="G449" s="182"/>
      <c r="H449" s="182"/>
      <c r="I449" s="182"/>
      <c r="J449" s="182"/>
      <c r="K449" s="182"/>
      <c r="L449" s="182"/>
      <c r="M449" s="182"/>
      <c r="N449" s="177"/>
      <c r="O449" s="182"/>
      <c r="P449" s="179"/>
      <c r="Q449" s="182"/>
      <c r="R449" s="182"/>
      <c r="S449" s="182"/>
      <c r="T449" s="182"/>
      <c r="U449" s="182"/>
      <c r="V449" s="182"/>
      <c r="W449" s="182"/>
      <c r="X449" s="182"/>
      <c r="Y449" s="182"/>
      <c r="Z449" s="182"/>
      <c r="AA449" s="182"/>
      <c r="AB449" s="182"/>
      <c r="AC449" s="182"/>
      <c r="AD449" s="182"/>
      <c r="AE449" s="184"/>
      <c r="AF449" s="183"/>
      <c r="AG449" s="183"/>
      <c r="AH449" s="183"/>
      <c r="AI449" s="183"/>
      <c r="AJ449" s="182"/>
      <c r="AK449" s="184"/>
      <c r="AL449" s="182"/>
      <c r="AM449" s="182"/>
      <c r="AN449" s="182"/>
      <c r="AO449" s="182"/>
      <c r="AP449" s="182"/>
      <c r="AQ449" s="182"/>
      <c r="AR449" s="182"/>
    </row>
    <row r="450" spans="1:44">
      <c r="A450" s="182"/>
      <c r="B450" s="182"/>
      <c r="C450" s="182"/>
      <c r="D450" s="182"/>
      <c r="E450" s="182"/>
      <c r="F450" s="182"/>
      <c r="G450" s="182"/>
      <c r="H450" s="182"/>
      <c r="I450" s="182"/>
      <c r="J450" s="182"/>
      <c r="K450" s="182"/>
      <c r="L450" s="182"/>
      <c r="M450" s="182"/>
      <c r="N450" s="177"/>
      <c r="O450" s="182"/>
      <c r="P450" s="179"/>
      <c r="Q450" s="182"/>
      <c r="R450" s="182"/>
      <c r="S450" s="182"/>
      <c r="T450" s="182"/>
      <c r="U450" s="182"/>
      <c r="V450" s="182"/>
      <c r="W450" s="182"/>
      <c r="X450" s="182"/>
      <c r="Y450" s="182"/>
      <c r="Z450" s="182"/>
      <c r="AA450" s="182"/>
      <c r="AB450" s="182"/>
      <c r="AC450" s="182"/>
      <c r="AD450" s="182"/>
      <c r="AE450" s="184"/>
      <c r="AF450" s="183"/>
      <c r="AG450" s="183"/>
      <c r="AH450" s="183"/>
      <c r="AI450" s="183"/>
      <c r="AJ450" s="182"/>
      <c r="AK450" s="184"/>
      <c r="AL450" s="182"/>
      <c r="AM450" s="182"/>
      <c r="AN450" s="182"/>
      <c r="AO450" s="182"/>
      <c r="AP450" s="182"/>
      <c r="AQ450" s="182"/>
      <c r="AR450" s="182"/>
    </row>
    <row r="451" spans="1:44">
      <c r="A451" s="182"/>
      <c r="B451" s="182"/>
      <c r="C451" s="182"/>
      <c r="D451" s="182"/>
      <c r="E451" s="182"/>
      <c r="F451" s="182"/>
      <c r="G451" s="182"/>
      <c r="H451" s="182"/>
      <c r="I451" s="182"/>
      <c r="J451" s="182"/>
      <c r="K451" s="182"/>
      <c r="L451" s="182"/>
      <c r="M451" s="182"/>
      <c r="N451" s="177"/>
      <c r="O451" s="182"/>
      <c r="P451" s="179"/>
      <c r="Q451" s="182"/>
      <c r="R451" s="182"/>
      <c r="S451" s="182"/>
      <c r="T451" s="182"/>
      <c r="U451" s="182"/>
      <c r="V451" s="182"/>
      <c r="W451" s="182"/>
      <c r="X451" s="182"/>
      <c r="Y451" s="182"/>
      <c r="Z451" s="182"/>
      <c r="AA451" s="182"/>
      <c r="AB451" s="182"/>
      <c r="AC451" s="182"/>
      <c r="AD451" s="182"/>
      <c r="AE451" s="184"/>
      <c r="AF451" s="183"/>
      <c r="AG451" s="183"/>
      <c r="AH451" s="183"/>
      <c r="AI451" s="183"/>
      <c r="AJ451" s="182"/>
      <c r="AK451" s="184"/>
      <c r="AL451" s="182"/>
      <c r="AM451" s="182"/>
      <c r="AN451" s="182"/>
      <c r="AO451" s="182"/>
      <c r="AP451" s="182"/>
      <c r="AQ451" s="182"/>
      <c r="AR451" s="182"/>
    </row>
    <row r="452" spans="1:44">
      <c r="A452" s="182"/>
      <c r="B452" s="182"/>
      <c r="C452" s="182"/>
      <c r="D452" s="182"/>
      <c r="E452" s="182"/>
      <c r="F452" s="182"/>
      <c r="G452" s="182"/>
      <c r="H452" s="182"/>
      <c r="I452" s="182"/>
      <c r="J452" s="182"/>
      <c r="K452" s="182"/>
      <c r="L452" s="182"/>
      <c r="M452" s="182"/>
      <c r="N452" s="177"/>
      <c r="O452" s="182"/>
      <c r="P452" s="179"/>
      <c r="Q452" s="182"/>
      <c r="R452" s="182"/>
      <c r="S452" s="182"/>
      <c r="T452" s="182"/>
      <c r="U452" s="182"/>
      <c r="V452" s="182"/>
      <c r="W452" s="182"/>
      <c r="X452" s="182"/>
      <c r="Y452" s="182"/>
      <c r="Z452" s="182"/>
      <c r="AA452" s="182"/>
      <c r="AB452" s="182"/>
      <c r="AC452" s="182"/>
      <c r="AD452" s="182"/>
      <c r="AE452" s="184"/>
      <c r="AF452" s="183"/>
      <c r="AG452" s="183"/>
      <c r="AH452" s="183"/>
      <c r="AI452" s="183"/>
      <c r="AJ452" s="182"/>
      <c r="AK452" s="184"/>
      <c r="AL452" s="182"/>
      <c r="AM452" s="182"/>
      <c r="AN452" s="182"/>
      <c r="AO452" s="182"/>
      <c r="AP452" s="182"/>
      <c r="AQ452" s="182"/>
      <c r="AR452" s="182"/>
    </row>
    <row r="453" spans="1:44">
      <c r="A453" s="182"/>
      <c r="B453" s="182"/>
      <c r="C453" s="182"/>
      <c r="D453" s="182"/>
      <c r="E453" s="182"/>
      <c r="F453" s="182"/>
      <c r="G453" s="182"/>
      <c r="H453" s="182"/>
      <c r="I453" s="182"/>
      <c r="J453" s="182"/>
      <c r="K453" s="182"/>
      <c r="L453" s="182"/>
      <c r="M453" s="182"/>
      <c r="N453" s="177"/>
      <c r="O453" s="182"/>
      <c r="P453" s="179"/>
      <c r="Q453" s="182"/>
      <c r="R453" s="182"/>
      <c r="S453" s="182"/>
      <c r="T453" s="182"/>
      <c r="U453" s="182"/>
      <c r="V453" s="182"/>
      <c r="W453" s="182"/>
      <c r="X453" s="182"/>
      <c r="Y453" s="182"/>
      <c r="Z453" s="182"/>
      <c r="AA453" s="182"/>
      <c r="AB453" s="182"/>
      <c r="AC453" s="182"/>
      <c r="AD453" s="182"/>
      <c r="AE453" s="184"/>
      <c r="AF453" s="183"/>
      <c r="AG453" s="183"/>
      <c r="AH453" s="183"/>
      <c r="AI453" s="183"/>
      <c r="AJ453" s="182"/>
      <c r="AK453" s="184"/>
      <c r="AL453" s="182"/>
      <c r="AM453" s="182"/>
      <c r="AN453" s="182"/>
      <c r="AO453" s="182"/>
      <c r="AP453" s="182"/>
      <c r="AQ453" s="182"/>
      <c r="AR453" s="182"/>
    </row>
    <row r="454" spans="1:44">
      <c r="A454" s="182"/>
      <c r="B454" s="182"/>
      <c r="C454" s="182"/>
      <c r="D454" s="182"/>
      <c r="E454" s="182"/>
      <c r="F454" s="182"/>
      <c r="G454" s="182"/>
      <c r="H454" s="182"/>
      <c r="I454" s="182"/>
      <c r="J454" s="182"/>
      <c r="K454" s="182"/>
      <c r="L454" s="182"/>
      <c r="M454" s="182"/>
      <c r="N454" s="177"/>
      <c r="O454" s="182"/>
      <c r="P454" s="179"/>
      <c r="Q454" s="182"/>
      <c r="R454" s="182"/>
      <c r="S454" s="182"/>
      <c r="T454" s="182"/>
      <c r="U454" s="182"/>
      <c r="V454" s="182"/>
      <c r="W454" s="182"/>
      <c r="X454" s="182"/>
      <c r="Y454" s="182"/>
      <c r="Z454" s="182"/>
      <c r="AA454" s="182"/>
      <c r="AB454" s="182"/>
      <c r="AC454" s="182"/>
      <c r="AD454" s="182"/>
      <c r="AE454" s="184"/>
      <c r="AF454" s="183"/>
      <c r="AG454" s="183"/>
      <c r="AH454" s="183"/>
      <c r="AI454" s="183"/>
      <c r="AJ454" s="182"/>
      <c r="AK454" s="184"/>
      <c r="AL454" s="182"/>
      <c r="AM454" s="182"/>
      <c r="AN454" s="182"/>
      <c r="AO454" s="182"/>
      <c r="AP454" s="182"/>
      <c r="AQ454" s="182"/>
      <c r="AR454" s="182"/>
    </row>
    <row r="455" spans="1:44">
      <c r="A455" s="182"/>
      <c r="B455" s="182"/>
      <c r="C455" s="182"/>
      <c r="D455" s="182"/>
      <c r="E455" s="182"/>
      <c r="F455" s="182"/>
      <c r="G455" s="182"/>
      <c r="H455" s="182"/>
      <c r="I455" s="182"/>
      <c r="J455" s="182"/>
      <c r="K455" s="182"/>
      <c r="L455" s="182"/>
      <c r="M455" s="182"/>
      <c r="N455" s="177"/>
      <c r="O455" s="182"/>
      <c r="P455" s="179"/>
      <c r="Q455" s="182"/>
      <c r="R455" s="182"/>
      <c r="S455" s="182"/>
      <c r="T455" s="182"/>
      <c r="U455" s="182"/>
      <c r="V455" s="182"/>
      <c r="W455" s="182"/>
      <c r="X455" s="182"/>
      <c r="Y455" s="182"/>
      <c r="Z455" s="182"/>
      <c r="AA455" s="182"/>
      <c r="AB455" s="182"/>
      <c r="AC455" s="182"/>
      <c r="AD455" s="182"/>
      <c r="AE455" s="184"/>
      <c r="AF455" s="183"/>
      <c r="AG455" s="183"/>
      <c r="AH455" s="183"/>
      <c r="AI455" s="183"/>
      <c r="AJ455" s="182"/>
      <c r="AK455" s="184"/>
      <c r="AL455" s="182"/>
      <c r="AM455" s="182"/>
      <c r="AN455" s="182"/>
      <c r="AO455" s="182"/>
      <c r="AP455" s="182"/>
      <c r="AQ455" s="182"/>
      <c r="AR455" s="182"/>
    </row>
    <row r="456" spans="1:44">
      <c r="A456" s="182"/>
      <c r="B456" s="182"/>
      <c r="C456" s="182"/>
      <c r="D456" s="182"/>
      <c r="E456" s="182"/>
      <c r="F456" s="182"/>
      <c r="G456" s="182"/>
      <c r="H456" s="182"/>
      <c r="I456" s="182"/>
      <c r="J456" s="182"/>
      <c r="K456" s="182"/>
      <c r="L456" s="182"/>
      <c r="M456" s="182"/>
      <c r="N456" s="177"/>
      <c r="O456" s="182"/>
      <c r="P456" s="179"/>
      <c r="Q456" s="182"/>
      <c r="R456" s="182"/>
      <c r="S456" s="182"/>
      <c r="T456" s="182"/>
      <c r="U456" s="182"/>
      <c r="V456" s="182"/>
      <c r="W456" s="182"/>
      <c r="X456" s="182"/>
      <c r="Y456" s="182"/>
      <c r="Z456" s="182"/>
      <c r="AA456" s="182"/>
      <c r="AB456" s="182"/>
      <c r="AC456" s="182"/>
      <c r="AD456" s="182"/>
      <c r="AE456" s="184"/>
      <c r="AF456" s="183"/>
      <c r="AG456" s="183"/>
      <c r="AH456" s="183"/>
      <c r="AI456" s="183"/>
      <c r="AJ456" s="182"/>
      <c r="AK456" s="184"/>
      <c r="AL456" s="182"/>
      <c r="AM456" s="182"/>
      <c r="AN456" s="182"/>
      <c r="AO456" s="182"/>
      <c r="AP456" s="182"/>
      <c r="AQ456" s="182"/>
      <c r="AR456" s="182"/>
    </row>
    <row r="457" spans="1:44">
      <c r="A457" s="182"/>
      <c r="B457" s="182"/>
      <c r="C457" s="182"/>
      <c r="D457" s="182"/>
      <c r="E457" s="182"/>
      <c r="F457" s="182"/>
      <c r="G457" s="182"/>
      <c r="H457" s="182"/>
      <c r="I457" s="182"/>
      <c r="J457" s="182"/>
      <c r="K457" s="182"/>
      <c r="L457" s="182"/>
      <c r="M457" s="182"/>
      <c r="N457" s="177"/>
      <c r="O457" s="182"/>
      <c r="P457" s="179"/>
      <c r="Q457" s="182"/>
      <c r="R457" s="182"/>
      <c r="S457" s="182"/>
      <c r="T457" s="182"/>
      <c r="U457" s="182"/>
      <c r="V457" s="182"/>
      <c r="W457" s="182"/>
      <c r="X457" s="182"/>
      <c r="Y457" s="182"/>
      <c r="Z457" s="182"/>
      <c r="AA457" s="182"/>
      <c r="AB457" s="182"/>
      <c r="AC457" s="182"/>
      <c r="AD457" s="182"/>
      <c r="AE457" s="184"/>
      <c r="AF457" s="183"/>
      <c r="AG457" s="183"/>
      <c r="AH457" s="183"/>
      <c r="AI457" s="183"/>
      <c r="AJ457" s="182"/>
      <c r="AK457" s="184"/>
      <c r="AL457" s="182"/>
      <c r="AM457" s="182"/>
      <c r="AN457" s="182"/>
      <c r="AO457" s="182"/>
      <c r="AP457" s="182"/>
      <c r="AQ457" s="182"/>
      <c r="AR457" s="182"/>
    </row>
    <row r="458" spans="1:44">
      <c r="A458" s="182"/>
      <c r="B458" s="182"/>
      <c r="C458" s="182"/>
      <c r="D458" s="182"/>
      <c r="E458" s="182"/>
      <c r="F458" s="182"/>
      <c r="G458" s="182"/>
      <c r="H458" s="182"/>
      <c r="I458" s="182"/>
      <c r="J458" s="182"/>
      <c r="K458" s="182"/>
      <c r="L458" s="182"/>
      <c r="M458" s="182"/>
      <c r="N458" s="177"/>
      <c r="O458" s="182"/>
      <c r="P458" s="179"/>
      <c r="Q458" s="182"/>
      <c r="R458" s="182"/>
      <c r="S458" s="182"/>
      <c r="T458" s="182"/>
      <c r="U458" s="182"/>
      <c r="V458" s="182"/>
      <c r="W458" s="182"/>
      <c r="X458" s="182"/>
      <c r="Y458" s="182"/>
      <c r="Z458" s="182"/>
      <c r="AA458" s="182"/>
      <c r="AB458" s="182"/>
      <c r="AC458" s="182"/>
      <c r="AD458" s="182"/>
      <c r="AE458" s="184"/>
      <c r="AF458" s="183"/>
      <c r="AG458" s="183"/>
      <c r="AH458" s="183"/>
      <c r="AI458" s="183"/>
      <c r="AJ458" s="182"/>
      <c r="AK458" s="184"/>
      <c r="AL458" s="182"/>
      <c r="AM458" s="182"/>
      <c r="AN458" s="182"/>
      <c r="AO458" s="182"/>
      <c r="AP458" s="182"/>
      <c r="AQ458" s="182"/>
      <c r="AR458" s="182"/>
    </row>
    <row r="459" spans="1:44">
      <c r="A459" s="182"/>
      <c r="B459" s="182"/>
      <c r="C459" s="182"/>
      <c r="D459" s="182"/>
      <c r="E459" s="182"/>
      <c r="F459" s="182"/>
      <c r="G459" s="182"/>
      <c r="H459" s="182"/>
      <c r="I459" s="182"/>
      <c r="J459" s="182"/>
      <c r="K459" s="182"/>
      <c r="L459" s="182"/>
      <c r="M459" s="182"/>
      <c r="N459" s="177"/>
      <c r="O459" s="182"/>
      <c r="P459" s="179"/>
      <c r="Q459" s="182"/>
      <c r="R459" s="182"/>
      <c r="S459" s="182"/>
      <c r="T459" s="182"/>
      <c r="U459" s="182"/>
      <c r="V459" s="182"/>
      <c r="W459" s="182"/>
      <c r="X459" s="182"/>
      <c r="Y459" s="182"/>
      <c r="Z459" s="182"/>
      <c r="AA459" s="182"/>
      <c r="AB459" s="182"/>
      <c r="AC459" s="182"/>
      <c r="AD459" s="182"/>
      <c r="AE459" s="184"/>
      <c r="AF459" s="183"/>
      <c r="AG459" s="183"/>
      <c r="AH459" s="183"/>
      <c r="AI459" s="183"/>
      <c r="AJ459" s="182"/>
      <c r="AK459" s="184"/>
      <c r="AL459" s="182"/>
      <c r="AM459" s="182"/>
      <c r="AN459" s="182"/>
      <c r="AO459" s="182"/>
      <c r="AP459" s="182"/>
      <c r="AQ459" s="182"/>
      <c r="AR459" s="182"/>
    </row>
    <row r="460" spans="1:44">
      <c r="A460" s="182"/>
      <c r="B460" s="182"/>
      <c r="C460" s="182"/>
      <c r="D460" s="182"/>
      <c r="E460" s="182"/>
      <c r="F460" s="182"/>
      <c r="G460" s="182"/>
      <c r="H460" s="182"/>
      <c r="I460" s="182"/>
      <c r="J460" s="182"/>
      <c r="K460" s="182"/>
      <c r="L460" s="182"/>
      <c r="M460" s="182"/>
      <c r="N460" s="177"/>
      <c r="O460" s="182"/>
      <c r="P460" s="179"/>
      <c r="Q460" s="182"/>
      <c r="R460" s="182"/>
      <c r="S460" s="182"/>
      <c r="T460" s="182"/>
      <c r="U460" s="182"/>
      <c r="V460" s="182"/>
      <c r="W460" s="182"/>
      <c r="X460" s="182"/>
      <c r="Y460" s="182"/>
      <c r="Z460" s="182"/>
      <c r="AA460" s="182"/>
      <c r="AB460" s="182"/>
      <c r="AC460" s="182"/>
      <c r="AD460" s="182"/>
      <c r="AE460" s="184"/>
      <c r="AF460" s="183"/>
      <c r="AG460" s="183"/>
      <c r="AH460" s="183"/>
      <c r="AI460" s="183"/>
      <c r="AJ460" s="182"/>
      <c r="AK460" s="184"/>
      <c r="AL460" s="182"/>
      <c r="AM460" s="182"/>
      <c r="AN460" s="182"/>
      <c r="AO460" s="182"/>
      <c r="AP460" s="182"/>
      <c r="AQ460" s="182"/>
      <c r="AR460" s="182"/>
    </row>
    <row r="461" spans="1:44">
      <c r="A461" s="182"/>
      <c r="B461" s="182"/>
      <c r="C461" s="182"/>
      <c r="D461" s="182"/>
      <c r="E461" s="182"/>
      <c r="F461" s="182"/>
      <c r="G461" s="182"/>
      <c r="H461" s="182"/>
      <c r="I461" s="182"/>
      <c r="J461" s="182"/>
      <c r="K461" s="182"/>
      <c r="L461" s="182"/>
      <c r="M461" s="182"/>
      <c r="N461" s="177"/>
      <c r="O461" s="182"/>
      <c r="P461" s="179"/>
      <c r="Q461" s="182"/>
      <c r="R461" s="182"/>
      <c r="S461" s="182"/>
      <c r="T461" s="182"/>
      <c r="U461" s="182"/>
      <c r="V461" s="182"/>
      <c r="W461" s="182"/>
      <c r="X461" s="182"/>
      <c r="Y461" s="182"/>
      <c r="Z461" s="182"/>
      <c r="AA461" s="182"/>
      <c r="AB461" s="182"/>
      <c r="AC461" s="182"/>
      <c r="AD461" s="182"/>
      <c r="AE461" s="184"/>
      <c r="AF461" s="183"/>
      <c r="AG461" s="183"/>
      <c r="AH461" s="183"/>
      <c r="AI461" s="183"/>
      <c r="AJ461" s="182"/>
      <c r="AK461" s="184"/>
      <c r="AL461" s="182"/>
      <c r="AM461" s="182"/>
      <c r="AN461" s="182"/>
      <c r="AO461" s="182"/>
      <c r="AP461" s="182"/>
      <c r="AQ461" s="182"/>
      <c r="AR461" s="182"/>
    </row>
    <row r="462" spans="1:44">
      <c r="A462" s="182"/>
      <c r="B462" s="182"/>
      <c r="C462" s="182"/>
      <c r="D462" s="182"/>
      <c r="E462" s="182"/>
      <c r="F462" s="182"/>
      <c r="G462" s="182"/>
      <c r="H462" s="182"/>
      <c r="I462" s="182"/>
      <c r="J462" s="182"/>
      <c r="K462" s="182"/>
      <c r="L462" s="182"/>
      <c r="M462" s="182"/>
      <c r="N462" s="177"/>
      <c r="O462" s="182"/>
      <c r="P462" s="179"/>
      <c r="Q462" s="182"/>
      <c r="R462" s="182"/>
      <c r="S462" s="182"/>
      <c r="T462" s="182"/>
      <c r="U462" s="182"/>
      <c r="V462" s="182"/>
      <c r="W462" s="182"/>
      <c r="X462" s="182"/>
      <c r="Y462" s="182"/>
      <c r="Z462" s="182"/>
      <c r="AA462" s="182"/>
      <c r="AB462" s="182"/>
      <c r="AC462" s="182"/>
      <c r="AD462" s="182"/>
      <c r="AE462" s="184"/>
      <c r="AF462" s="183"/>
      <c r="AG462" s="183"/>
      <c r="AH462" s="183"/>
      <c r="AI462" s="183"/>
      <c r="AJ462" s="182"/>
      <c r="AK462" s="184"/>
      <c r="AL462" s="182"/>
      <c r="AM462" s="182"/>
      <c r="AN462" s="182"/>
      <c r="AO462" s="182"/>
      <c r="AP462" s="182"/>
      <c r="AQ462" s="182"/>
      <c r="AR462" s="182"/>
    </row>
    <row r="463" spans="1:44">
      <c r="A463" s="182"/>
      <c r="B463" s="182"/>
      <c r="C463" s="182"/>
      <c r="D463" s="182"/>
      <c r="E463" s="182"/>
      <c r="F463" s="182"/>
      <c r="G463" s="182"/>
      <c r="H463" s="182"/>
      <c r="I463" s="182"/>
      <c r="J463" s="182"/>
      <c r="K463" s="182"/>
      <c r="L463" s="182"/>
      <c r="M463" s="182"/>
      <c r="N463" s="177"/>
      <c r="O463" s="182"/>
      <c r="P463" s="179"/>
      <c r="Q463" s="182"/>
      <c r="R463" s="182"/>
      <c r="S463" s="182"/>
      <c r="T463" s="182"/>
      <c r="U463" s="182"/>
      <c r="V463" s="182"/>
      <c r="W463" s="182"/>
      <c r="X463" s="182"/>
      <c r="Y463" s="182"/>
      <c r="Z463" s="182"/>
      <c r="AA463" s="182"/>
      <c r="AB463" s="182"/>
      <c r="AC463" s="182"/>
      <c r="AD463" s="182"/>
      <c r="AE463" s="184"/>
      <c r="AF463" s="183"/>
      <c r="AG463" s="183"/>
      <c r="AH463" s="183"/>
      <c r="AI463" s="183"/>
      <c r="AJ463" s="182"/>
      <c r="AK463" s="184"/>
      <c r="AL463" s="182"/>
      <c r="AM463" s="182"/>
      <c r="AN463" s="182"/>
      <c r="AO463" s="182"/>
      <c r="AP463" s="182"/>
      <c r="AQ463" s="182"/>
      <c r="AR463" s="182"/>
    </row>
    <row r="464" spans="1:44">
      <c r="A464" s="182"/>
      <c r="B464" s="182"/>
      <c r="C464" s="182"/>
      <c r="D464" s="182"/>
      <c r="E464" s="182"/>
      <c r="F464" s="182"/>
      <c r="G464" s="182"/>
      <c r="H464" s="182"/>
      <c r="I464" s="182"/>
      <c r="J464" s="182"/>
      <c r="K464" s="182"/>
      <c r="L464" s="182"/>
      <c r="M464" s="182"/>
      <c r="N464" s="177"/>
      <c r="O464" s="182"/>
      <c r="P464" s="179"/>
      <c r="Q464" s="182"/>
      <c r="R464" s="182"/>
      <c r="S464" s="182"/>
      <c r="T464" s="182"/>
      <c r="U464" s="182"/>
      <c r="V464" s="182"/>
      <c r="W464" s="182"/>
      <c r="X464" s="182"/>
      <c r="Y464" s="182"/>
      <c r="Z464" s="182"/>
      <c r="AA464" s="182"/>
      <c r="AB464" s="182"/>
      <c r="AC464" s="182"/>
      <c r="AD464" s="182"/>
      <c r="AE464" s="184"/>
      <c r="AF464" s="183"/>
      <c r="AG464" s="183"/>
      <c r="AH464" s="183"/>
      <c r="AI464" s="183"/>
      <c r="AJ464" s="182"/>
      <c r="AK464" s="184"/>
      <c r="AL464" s="182"/>
      <c r="AM464" s="182"/>
      <c r="AN464" s="182"/>
      <c r="AO464" s="182"/>
      <c r="AP464" s="182"/>
      <c r="AQ464" s="182"/>
      <c r="AR464" s="182"/>
    </row>
    <row r="465" spans="1:44">
      <c r="A465" s="182"/>
      <c r="B465" s="182"/>
      <c r="C465" s="182"/>
      <c r="D465" s="182"/>
      <c r="E465" s="182"/>
      <c r="F465" s="182"/>
      <c r="G465" s="182"/>
      <c r="H465" s="182"/>
      <c r="I465" s="182"/>
      <c r="J465" s="182"/>
      <c r="K465" s="182"/>
      <c r="L465" s="182"/>
      <c r="M465" s="182"/>
      <c r="N465" s="177"/>
      <c r="O465" s="182"/>
      <c r="P465" s="179"/>
      <c r="Q465" s="182"/>
      <c r="R465" s="182"/>
      <c r="S465" s="182"/>
      <c r="T465" s="182"/>
      <c r="U465" s="182"/>
      <c r="V465" s="182"/>
      <c r="W465" s="182"/>
      <c r="X465" s="182"/>
      <c r="Y465" s="182"/>
      <c r="Z465" s="182"/>
      <c r="AA465" s="182"/>
      <c r="AB465" s="182"/>
      <c r="AC465" s="182"/>
      <c r="AD465" s="182"/>
      <c r="AE465" s="184"/>
      <c r="AF465" s="183"/>
      <c r="AG465" s="183"/>
      <c r="AH465" s="183"/>
      <c r="AI465" s="183"/>
      <c r="AJ465" s="182"/>
      <c r="AK465" s="184"/>
      <c r="AL465" s="182"/>
      <c r="AM465" s="182"/>
      <c r="AN465" s="182"/>
      <c r="AO465" s="182"/>
      <c r="AP465" s="182"/>
      <c r="AQ465" s="182"/>
      <c r="AR465" s="182"/>
    </row>
    <row r="466" spans="1:44">
      <c r="A466" s="182"/>
      <c r="B466" s="182"/>
      <c r="C466" s="182"/>
      <c r="D466" s="182"/>
      <c r="E466" s="182"/>
      <c r="F466" s="182"/>
      <c r="G466" s="182"/>
      <c r="H466" s="182"/>
      <c r="I466" s="182"/>
      <c r="J466" s="182"/>
      <c r="K466" s="182"/>
      <c r="L466" s="182"/>
      <c r="M466" s="182"/>
      <c r="N466" s="177"/>
      <c r="O466" s="182"/>
      <c r="P466" s="179"/>
      <c r="Q466" s="182"/>
      <c r="R466" s="182"/>
      <c r="S466" s="182"/>
      <c r="T466" s="182"/>
      <c r="U466" s="182"/>
      <c r="V466" s="182"/>
      <c r="W466" s="182"/>
      <c r="X466" s="182"/>
      <c r="Y466" s="182"/>
      <c r="Z466" s="182"/>
      <c r="AA466" s="182"/>
      <c r="AB466" s="182"/>
      <c r="AC466" s="182"/>
      <c r="AD466" s="182"/>
      <c r="AE466" s="184"/>
      <c r="AF466" s="183"/>
      <c r="AG466" s="183"/>
      <c r="AH466" s="183"/>
      <c r="AI466" s="183"/>
      <c r="AJ466" s="182"/>
      <c r="AK466" s="184"/>
      <c r="AL466" s="182"/>
      <c r="AM466" s="182"/>
      <c r="AN466" s="182"/>
      <c r="AO466" s="182"/>
      <c r="AP466" s="182"/>
      <c r="AQ466" s="182"/>
      <c r="AR466" s="182"/>
    </row>
    <row r="467" spans="1:44">
      <c r="A467" s="182"/>
      <c r="B467" s="182"/>
      <c r="C467" s="182"/>
      <c r="D467" s="182"/>
      <c r="E467" s="182"/>
      <c r="F467" s="182"/>
      <c r="G467" s="182"/>
      <c r="H467" s="182"/>
      <c r="I467" s="182"/>
      <c r="J467" s="182"/>
      <c r="K467" s="182"/>
      <c r="L467" s="182"/>
      <c r="M467" s="182"/>
      <c r="N467" s="177"/>
      <c r="O467" s="182"/>
      <c r="P467" s="179"/>
      <c r="Q467" s="182"/>
      <c r="R467" s="182"/>
      <c r="S467" s="182"/>
      <c r="T467" s="182"/>
      <c r="U467" s="182"/>
      <c r="V467" s="182"/>
      <c r="W467" s="182"/>
      <c r="X467" s="182"/>
      <c r="Y467" s="182"/>
      <c r="Z467" s="182"/>
      <c r="AA467" s="182"/>
      <c r="AB467" s="182"/>
      <c r="AC467" s="182"/>
      <c r="AD467" s="182"/>
      <c r="AE467" s="184"/>
      <c r="AF467" s="183"/>
      <c r="AG467" s="183"/>
      <c r="AH467" s="183"/>
      <c r="AI467" s="183"/>
      <c r="AJ467" s="182"/>
      <c r="AK467" s="184"/>
      <c r="AL467" s="182"/>
      <c r="AM467" s="182"/>
      <c r="AN467" s="182"/>
      <c r="AO467" s="182"/>
      <c r="AP467" s="182"/>
      <c r="AQ467" s="182"/>
      <c r="AR467" s="182"/>
    </row>
    <row r="468" spans="1:44">
      <c r="A468" s="182"/>
      <c r="B468" s="182"/>
      <c r="C468" s="182"/>
      <c r="D468" s="182"/>
      <c r="E468" s="182"/>
      <c r="F468" s="182"/>
      <c r="G468" s="182"/>
      <c r="H468" s="182"/>
      <c r="I468" s="182"/>
      <c r="J468" s="182"/>
      <c r="K468" s="182"/>
      <c r="L468" s="182"/>
      <c r="M468" s="182"/>
      <c r="N468" s="177"/>
      <c r="O468" s="182"/>
      <c r="P468" s="179"/>
      <c r="Q468" s="182"/>
      <c r="R468" s="182"/>
      <c r="S468" s="182"/>
      <c r="T468" s="182"/>
      <c r="U468" s="182"/>
      <c r="V468" s="182"/>
      <c r="W468" s="182"/>
      <c r="X468" s="182"/>
      <c r="Y468" s="182"/>
      <c r="Z468" s="182"/>
      <c r="AA468" s="182"/>
      <c r="AB468" s="182"/>
      <c r="AC468" s="182"/>
      <c r="AD468" s="182"/>
      <c r="AE468" s="184"/>
      <c r="AF468" s="183"/>
      <c r="AG468" s="183"/>
      <c r="AH468" s="183"/>
      <c r="AI468" s="183"/>
      <c r="AJ468" s="182"/>
      <c r="AK468" s="184"/>
      <c r="AL468" s="182"/>
      <c r="AM468" s="182"/>
      <c r="AN468" s="182"/>
      <c r="AO468" s="182"/>
      <c r="AP468" s="182"/>
      <c r="AQ468" s="182"/>
      <c r="AR468" s="182"/>
    </row>
    <row r="469" spans="1:44">
      <c r="A469" s="182"/>
      <c r="B469" s="182"/>
      <c r="C469" s="182"/>
      <c r="D469" s="182"/>
      <c r="E469" s="182"/>
      <c r="F469" s="182"/>
      <c r="G469" s="182"/>
      <c r="H469" s="182"/>
      <c r="I469" s="182"/>
      <c r="J469" s="182"/>
      <c r="K469" s="182"/>
      <c r="L469" s="182"/>
      <c r="M469" s="182"/>
      <c r="N469" s="177"/>
      <c r="O469" s="182"/>
      <c r="P469" s="179"/>
      <c r="Q469" s="182"/>
      <c r="R469" s="182"/>
      <c r="S469" s="182"/>
      <c r="T469" s="182"/>
      <c r="U469" s="182"/>
      <c r="V469" s="182"/>
      <c r="W469" s="182"/>
      <c r="X469" s="182"/>
      <c r="Y469" s="182"/>
      <c r="Z469" s="182"/>
      <c r="AA469" s="182"/>
      <c r="AB469" s="182"/>
      <c r="AC469" s="182"/>
      <c r="AD469" s="182"/>
      <c r="AE469" s="184"/>
      <c r="AF469" s="183"/>
      <c r="AG469" s="183"/>
      <c r="AH469" s="183"/>
      <c r="AI469" s="183"/>
      <c r="AJ469" s="182"/>
      <c r="AK469" s="184"/>
      <c r="AL469" s="182"/>
      <c r="AM469" s="182"/>
      <c r="AN469" s="182"/>
      <c r="AO469" s="182"/>
      <c r="AP469" s="182"/>
      <c r="AQ469" s="182"/>
      <c r="AR469" s="182"/>
    </row>
    <row r="470" spans="1:44">
      <c r="A470" s="182"/>
      <c r="B470" s="182"/>
      <c r="C470" s="182"/>
      <c r="D470" s="182"/>
      <c r="E470" s="182"/>
      <c r="F470" s="182"/>
      <c r="G470" s="182"/>
      <c r="H470" s="182"/>
      <c r="I470" s="182"/>
      <c r="J470" s="182"/>
      <c r="K470" s="182"/>
      <c r="L470" s="182"/>
      <c r="M470" s="182"/>
      <c r="N470" s="177"/>
      <c r="O470" s="182"/>
      <c r="P470" s="179"/>
      <c r="Q470" s="182"/>
      <c r="R470" s="182"/>
      <c r="S470" s="182"/>
      <c r="T470" s="182"/>
      <c r="U470" s="182"/>
      <c r="V470" s="182"/>
      <c r="W470" s="182"/>
      <c r="X470" s="182"/>
      <c r="Y470" s="182"/>
      <c r="Z470" s="182"/>
      <c r="AA470" s="182"/>
      <c r="AB470" s="182"/>
      <c r="AC470" s="182"/>
      <c r="AD470" s="182"/>
      <c r="AE470" s="184"/>
      <c r="AF470" s="183"/>
      <c r="AG470" s="183"/>
      <c r="AH470" s="183"/>
      <c r="AI470" s="183"/>
      <c r="AJ470" s="182"/>
      <c r="AK470" s="184"/>
      <c r="AL470" s="182"/>
      <c r="AM470" s="182"/>
      <c r="AN470" s="182"/>
      <c r="AO470" s="182"/>
      <c r="AP470" s="182"/>
      <c r="AQ470" s="182"/>
      <c r="AR470" s="182"/>
    </row>
    <row r="471" spans="1:44">
      <c r="A471" s="182"/>
      <c r="B471" s="182"/>
      <c r="C471" s="182"/>
      <c r="D471" s="182"/>
      <c r="E471" s="182"/>
      <c r="F471" s="182"/>
      <c r="G471" s="182"/>
      <c r="H471" s="182"/>
      <c r="I471" s="182"/>
      <c r="J471" s="182"/>
      <c r="K471" s="182"/>
      <c r="L471" s="182"/>
      <c r="M471" s="182"/>
      <c r="N471" s="177"/>
      <c r="O471" s="182"/>
      <c r="P471" s="179"/>
      <c r="Q471" s="182"/>
      <c r="R471" s="182"/>
      <c r="S471" s="182"/>
      <c r="T471" s="182"/>
      <c r="U471" s="182"/>
      <c r="V471" s="182"/>
      <c r="W471" s="182"/>
      <c r="X471" s="182"/>
      <c r="Y471" s="182"/>
      <c r="Z471" s="182"/>
      <c r="AA471" s="182"/>
      <c r="AB471" s="182"/>
      <c r="AC471" s="182"/>
      <c r="AD471" s="182"/>
      <c r="AE471" s="184"/>
      <c r="AF471" s="183"/>
      <c r="AG471" s="183"/>
      <c r="AH471" s="183"/>
      <c r="AI471" s="183"/>
      <c r="AJ471" s="182"/>
      <c r="AK471" s="184"/>
      <c r="AL471" s="182"/>
      <c r="AM471" s="182"/>
      <c r="AN471" s="182"/>
      <c r="AO471" s="182"/>
      <c r="AP471" s="182"/>
      <c r="AQ471" s="182"/>
      <c r="AR471" s="182"/>
    </row>
    <row r="472" spans="1:44">
      <c r="A472" s="182"/>
      <c r="B472" s="182"/>
      <c r="C472" s="182"/>
      <c r="D472" s="182"/>
      <c r="E472" s="182"/>
      <c r="F472" s="182"/>
      <c r="G472" s="182"/>
      <c r="H472" s="182"/>
      <c r="I472" s="182"/>
      <c r="J472" s="182"/>
      <c r="K472" s="182"/>
      <c r="L472" s="182"/>
      <c r="M472" s="182"/>
      <c r="N472" s="177"/>
      <c r="O472" s="182"/>
      <c r="P472" s="179"/>
      <c r="Q472" s="182"/>
      <c r="R472" s="182"/>
      <c r="S472" s="182"/>
      <c r="T472" s="182"/>
      <c r="U472" s="182"/>
      <c r="V472" s="182"/>
      <c r="W472" s="182"/>
      <c r="X472" s="182"/>
      <c r="Y472" s="182"/>
      <c r="Z472" s="182"/>
      <c r="AA472" s="182"/>
      <c r="AB472" s="182"/>
      <c r="AC472" s="182"/>
      <c r="AD472" s="182"/>
      <c r="AE472" s="184"/>
      <c r="AF472" s="183"/>
      <c r="AG472" s="183"/>
      <c r="AH472" s="183"/>
      <c r="AI472" s="183"/>
      <c r="AJ472" s="182"/>
      <c r="AK472" s="184"/>
      <c r="AL472" s="182"/>
      <c r="AM472" s="182"/>
      <c r="AN472" s="182"/>
      <c r="AO472" s="182"/>
      <c r="AP472" s="182"/>
      <c r="AQ472" s="182"/>
      <c r="AR472" s="182"/>
    </row>
    <row r="473" spans="1:44">
      <c r="A473" s="182"/>
      <c r="B473" s="182"/>
      <c r="C473" s="182"/>
      <c r="D473" s="182"/>
      <c r="E473" s="182"/>
      <c r="F473" s="182"/>
      <c r="G473" s="182"/>
      <c r="H473" s="182"/>
      <c r="I473" s="182"/>
      <c r="J473" s="182"/>
      <c r="K473" s="182"/>
      <c r="L473" s="182"/>
      <c r="M473" s="182"/>
      <c r="N473" s="177"/>
      <c r="O473" s="182"/>
      <c r="P473" s="179"/>
      <c r="Q473" s="182"/>
      <c r="R473" s="182"/>
      <c r="S473" s="182"/>
      <c r="T473" s="182"/>
      <c r="U473" s="182"/>
      <c r="V473" s="182"/>
      <c r="W473" s="182"/>
      <c r="X473" s="182"/>
      <c r="Y473" s="182"/>
      <c r="Z473" s="182"/>
      <c r="AA473" s="182"/>
      <c r="AB473" s="182"/>
      <c r="AC473" s="182"/>
      <c r="AD473" s="182"/>
      <c r="AE473" s="184"/>
      <c r="AF473" s="183"/>
      <c r="AG473" s="183"/>
      <c r="AH473" s="183"/>
      <c r="AI473" s="183"/>
      <c r="AJ473" s="182"/>
      <c r="AK473" s="184"/>
      <c r="AL473" s="182"/>
      <c r="AM473" s="182"/>
      <c r="AN473" s="182"/>
      <c r="AO473" s="182"/>
      <c r="AP473" s="182"/>
      <c r="AQ473" s="182"/>
      <c r="AR473" s="182"/>
    </row>
    <row r="474" spans="1:44">
      <c r="A474" s="182"/>
      <c r="B474" s="182"/>
      <c r="C474" s="182"/>
      <c r="D474" s="182"/>
      <c r="E474" s="182"/>
      <c r="F474" s="182"/>
      <c r="G474" s="182"/>
      <c r="H474" s="182"/>
      <c r="I474" s="182"/>
      <c r="J474" s="182"/>
      <c r="K474" s="182"/>
      <c r="L474" s="182"/>
      <c r="M474" s="182"/>
      <c r="N474" s="177"/>
      <c r="O474" s="182"/>
      <c r="P474" s="179"/>
      <c r="Q474" s="182"/>
      <c r="R474" s="182"/>
      <c r="S474" s="182"/>
      <c r="T474" s="182"/>
      <c r="U474" s="182"/>
      <c r="V474" s="182"/>
      <c r="W474" s="182"/>
      <c r="X474" s="182"/>
      <c r="Y474" s="182"/>
      <c r="Z474" s="182"/>
      <c r="AA474" s="182"/>
      <c r="AB474" s="182"/>
      <c r="AC474" s="182"/>
      <c r="AD474" s="182"/>
      <c r="AE474" s="184"/>
      <c r="AF474" s="183"/>
      <c r="AG474" s="183"/>
      <c r="AH474" s="183"/>
      <c r="AI474" s="183"/>
      <c r="AJ474" s="182"/>
      <c r="AK474" s="184"/>
      <c r="AL474" s="182"/>
      <c r="AM474" s="182"/>
      <c r="AN474" s="182"/>
      <c r="AO474" s="182"/>
      <c r="AP474" s="182"/>
      <c r="AQ474" s="182"/>
      <c r="AR474" s="182"/>
    </row>
    <row r="475" spans="1:44">
      <c r="A475" s="182"/>
      <c r="B475" s="182"/>
      <c r="C475" s="182"/>
      <c r="D475" s="182"/>
      <c r="E475" s="182"/>
      <c r="F475" s="182"/>
      <c r="G475" s="182"/>
      <c r="H475" s="182"/>
      <c r="I475" s="182"/>
      <c r="J475" s="182"/>
      <c r="K475" s="182"/>
      <c r="L475" s="182"/>
      <c r="M475" s="182"/>
      <c r="N475" s="177"/>
      <c r="O475" s="182"/>
      <c r="P475" s="179"/>
      <c r="Q475" s="182"/>
      <c r="R475" s="182"/>
      <c r="S475" s="182"/>
      <c r="T475" s="182"/>
      <c r="U475" s="182"/>
      <c r="V475" s="182"/>
      <c r="W475" s="182"/>
      <c r="X475" s="182"/>
      <c r="Y475" s="182"/>
      <c r="Z475" s="182"/>
      <c r="AA475" s="182"/>
      <c r="AB475" s="182"/>
      <c r="AC475" s="182"/>
      <c r="AD475" s="182"/>
      <c r="AE475" s="184"/>
      <c r="AF475" s="183"/>
      <c r="AG475" s="183"/>
      <c r="AH475" s="183"/>
      <c r="AI475" s="183"/>
      <c r="AJ475" s="182"/>
      <c r="AK475" s="184"/>
      <c r="AL475" s="182"/>
      <c r="AM475" s="182"/>
      <c r="AN475" s="182"/>
      <c r="AO475" s="182"/>
      <c r="AP475" s="182"/>
      <c r="AQ475" s="182"/>
      <c r="AR475" s="182"/>
    </row>
    <row r="476" spans="1:44">
      <c r="A476" s="182"/>
      <c r="B476" s="182"/>
      <c r="C476" s="182"/>
      <c r="D476" s="182"/>
      <c r="E476" s="182"/>
      <c r="F476" s="182"/>
      <c r="G476" s="182"/>
      <c r="H476" s="182"/>
      <c r="I476" s="182"/>
      <c r="J476" s="182"/>
      <c r="K476" s="182"/>
      <c r="L476" s="182"/>
      <c r="M476" s="182"/>
      <c r="N476" s="177"/>
      <c r="O476" s="182"/>
      <c r="P476" s="179"/>
      <c r="Q476" s="182"/>
      <c r="R476" s="182"/>
      <c r="S476" s="182"/>
      <c r="T476" s="182"/>
      <c r="U476" s="182"/>
      <c r="V476" s="182"/>
      <c r="W476" s="182"/>
      <c r="X476" s="182"/>
      <c r="Y476" s="182"/>
      <c r="Z476" s="182"/>
      <c r="AA476" s="182"/>
      <c r="AB476" s="182"/>
      <c r="AC476" s="182"/>
      <c r="AD476" s="182"/>
      <c r="AE476" s="184"/>
      <c r="AF476" s="183"/>
      <c r="AG476" s="183"/>
      <c r="AH476" s="183"/>
      <c r="AI476" s="183"/>
      <c r="AJ476" s="182"/>
      <c r="AK476" s="184"/>
      <c r="AL476" s="182"/>
      <c r="AM476" s="182"/>
      <c r="AN476" s="182"/>
      <c r="AO476" s="182"/>
      <c r="AP476" s="182"/>
      <c r="AQ476" s="182"/>
      <c r="AR476" s="182"/>
    </row>
    <row r="477" spans="1:44">
      <c r="A477" s="182"/>
      <c r="B477" s="182"/>
      <c r="C477" s="182"/>
      <c r="D477" s="182"/>
      <c r="E477" s="182"/>
      <c r="F477" s="182"/>
      <c r="G477" s="182"/>
      <c r="H477" s="182"/>
      <c r="I477" s="182"/>
      <c r="J477" s="182"/>
      <c r="K477" s="182"/>
      <c r="L477" s="182"/>
      <c r="M477" s="182"/>
      <c r="N477" s="177"/>
      <c r="O477" s="182"/>
      <c r="P477" s="179"/>
      <c r="Q477" s="182"/>
      <c r="R477" s="182"/>
      <c r="S477" s="182"/>
      <c r="T477" s="182"/>
      <c r="U477" s="182"/>
      <c r="V477" s="182"/>
      <c r="W477" s="182"/>
      <c r="X477" s="182"/>
      <c r="Y477" s="182"/>
      <c r="Z477" s="182"/>
      <c r="AA477" s="182"/>
      <c r="AB477" s="182"/>
      <c r="AC477" s="182"/>
      <c r="AD477" s="182"/>
      <c r="AE477" s="184"/>
      <c r="AF477" s="183"/>
      <c r="AG477" s="183"/>
      <c r="AH477" s="183"/>
      <c r="AI477" s="183"/>
      <c r="AJ477" s="182"/>
      <c r="AK477" s="184"/>
      <c r="AL477" s="182"/>
      <c r="AM477" s="182"/>
      <c r="AN477" s="182"/>
      <c r="AO477" s="182"/>
      <c r="AP477" s="182"/>
      <c r="AQ477" s="182"/>
      <c r="AR477" s="182"/>
    </row>
    <row r="478" spans="1:44">
      <c r="A478" s="182"/>
      <c r="B478" s="182"/>
      <c r="C478" s="182"/>
      <c r="D478" s="182"/>
      <c r="E478" s="182"/>
      <c r="F478" s="182"/>
      <c r="G478" s="182"/>
      <c r="H478" s="182"/>
      <c r="I478" s="182"/>
      <c r="J478" s="182"/>
      <c r="K478" s="182"/>
      <c r="L478" s="182"/>
      <c r="M478" s="182"/>
      <c r="N478" s="177"/>
      <c r="O478" s="182"/>
      <c r="P478" s="179"/>
      <c r="Q478" s="182"/>
      <c r="R478" s="182"/>
      <c r="S478" s="182"/>
      <c r="T478" s="182"/>
      <c r="U478" s="182"/>
      <c r="V478" s="182"/>
      <c r="W478" s="182"/>
      <c r="X478" s="182"/>
      <c r="Y478" s="182"/>
      <c r="Z478" s="182"/>
      <c r="AA478" s="182"/>
      <c r="AB478" s="182"/>
      <c r="AC478" s="182"/>
      <c r="AD478" s="182"/>
      <c r="AE478" s="184"/>
      <c r="AF478" s="183"/>
      <c r="AG478" s="183"/>
      <c r="AH478" s="183"/>
      <c r="AI478" s="183"/>
      <c r="AJ478" s="182"/>
      <c r="AK478" s="184"/>
      <c r="AL478" s="182"/>
      <c r="AM478" s="182"/>
      <c r="AN478" s="182"/>
      <c r="AO478" s="182"/>
      <c r="AP478" s="182"/>
      <c r="AQ478" s="182"/>
      <c r="AR478" s="182"/>
    </row>
    <row r="479" spans="1:44">
      <c r="A479" s="182"/>
      <c r="B479" s="182"/>
      <c r="C479" s="182"/>
      <c r="D479" s="182"/>
      <c r="E479" s="182"/>
      <c r="F479" s="182"/>
      <c r="G479" s="182"/>
      <c r="H479" s="182"/>
      <c r="I479" s="182"/>
      <c r="J479" s="182"/>
      <c r="K479" s="182"/>
      <c r="L479" s="182"/>
      <c r="M479" s="182"/>
      <c r="N479" s="177"/>
      <c r="O479" s="182"/>
      <c r="P479" s="179"/>
      <c r="Q479" s="182"/>
      <c r="R479" s="182"/>
      <c r="S479" s="182"/>
      <c r="T479" s="182"/>
      <c r="U479" s="182"/>
      <c r="V479" s="182"/>
      <c r="W479" s="182"/>
      <c r="X479" s="182"/>
      <c r="Y479" s="182"/>
      <c r="Z479" s="182"/>
      <c r="AA479" s="182"/>
      <c r="AB479" s="182"/>
      <c r="AC479" s="182"/>
      <c r="AD479" s="182"/>
      <c r="AE479" s="184"/>
      <c r="AF479" s="183"/>
      <c r="AG479" s="183"/>
      <c r="AH479" s="183"/>
      <c r="AI479" s="183"/>
      <c r="AJ479" s="182"/>
      <c r="AK479" s="184"/>
      <c r="AL479" s="182"/>
      <c r="AM479" s="182"/>
      <c r="AN479" s="182"/>
      <c r="AO479" s="182"/>
      <c r="AP479" s="182"/>
      <c r="AQ479" s="182"/>
      <c r="AR479" s="182"/>
    </row>
    <row r="480" spans="1:44">
      <c r="A480" s="182"/>
      <c r="B480" s="182"/>
      <c r="C480" s="182"/>
      <c r="D480" s="182"/>
      <c r="E480" s="182"/>
      <c r="F480" s="182"/>
      <c r="G480" s="182"/>
      <c r="H480" s="182"/>
      <c r="I480" s="182"/>
      <c r="J480" s="182"/>
      <c r="K480" s="182"/>
      <c r="L480" s="182"/>
      <c r="M480" s="182"/>
      <c r="N480" s="177"/>
      <c r="O480" s="182"/>
      <c r="P480" s="179"/>
      <c r="Q480" s="182"/>
      <c r="R480" s="182"/>
      <c r="S480" s="182"/>
      <c r="T480" s="182"/>
      <c r="U480" s="182"/>
      <c r="V480" s="182"/>
      <c r="W480" s="182"/>
      <c r="X480" s="182"/>
      <c r="Y480" s="182"/>
      <c r="Z480" s="182"/>
      <c r="AA480" s="182"/>
      <c r="AB480" s="182"/>
      <c r="AC480" s="182"/>
      <c r="AD480" s="182"/>
      <c r="AE480" s="184"/>
      <c r="AF480" s="183"/>
      <c r="AG480" s="183"/>
      <c r="AH480" s="183"/>
      <c r="AI480" s="183"/>
      <c r="AJ480" s="182"/>
      <c r="AK480" s="184"/>
      <c r="AL480" s="182"/>
      <c r="AM480" s="182"/>
      <c r="AN480" s="182"/>
      <c r="AO480" s="182"/>
      <c r="AP480" s="182"/>
      <c r="AQ480" s="182"/>
      <c r="AR480" s="182"/>
    </row>
    <row r="481" spans="1:44">
      <c r="A481" s="182"/>
      <c r="B481" s="182"/>
      <c r="C481" s="182"/>
      <c r="D481" s="182"/>
      <c r="E481" s="182"/>
      <c r="F481" s="182"/>
      <c r="G481" s="182"/>
      <c r="H481" s="182"/>
      <c r="I481" s="182"/>
      <c r="J481" s="182"/>
      <c r="K481" s="182"/>
      <c r="L481" s="182"/>
      <c r="M481" s="182"/>
      <c r="N481" s="177"/>
      <c r="O481" s="182"/>
      <c r="P481" s="179"/>
      <c r="Q481" s="182"/>
      <c r="R481" s="182"/>
      <c r="S481" s="182"/>
      <c r="T481" s="182"/>
      <c r="U481" s="182"/>
      <c r="V481" s="182"/>
      <c r="W481" s="182"/>
      <c r="X481" s="182"/>
      <c r="Y481" s="182"/>
      <c r="Z481" s="182"/>
      <c r="AA481" s="182"/>
      <c r="AB481" s="182"/>
      <c r="AC481" s="182"/>
      <c r="AD481" s="182"/>
      <c r="AE481" s="184"/>
      <c r="AF481" s="183"/>
      <c r="AG481" s="183"/>
      <c r="AH481" s="183"/>
      <c r="AI481" s="183"/>
      <c r="AJ481" s="182"/>
      <c r="AK481" s="184"/>
      <c r="AL481" s="182"/>
      <c r="AM481" s="182"/>
      <c r="AN481" s="182"/>
      <c r="AO481" s="182"/>
      <c r="AP481" s="182"/>
      <c r="AQ481" s="182"/>
      <c r="AR481" s="182"/>
    </row>
    <row r="482" spans="1:44">
      <c r="A482" s="182"/>
      <c r="B482" s="182"/>
      <c r="C482" s="182"/>
      <c r="D482" s="182"/>
      <c r="E482" s="182"/>
      <c r="F482" s="182"/>
      <c r="G482" s="182"/>
      <c r="H482" s="182"/>
      <c r="I482" s="182"/>
      <c r="J482" s="182"/>
      <c r="K482" s="182"/>
      <c r="L482" s="182"/>
      <c r="M482" s="182"/>
      <c r="N482" s="177"/>
      <c r="O482" s="182"/>
      <c r="P482" s="179"/>
      <c r="Q482" s="182"/>
      <c r="R482" s="182"/>
      <c r="S482" s="182"/>
      <c r="T482" s="182"/>
      <c r="U482" s="182"/>
      <c r="V482" s="182"/>
      <c r="W482" s="182"/>
      <c r="X482" s="182"/>
      <c r="Y482" s="182"/>
      <c r="Z482" s="182"/>
      <c r="AA482" s="182"/>
      <c r="AB482" s="182"/>
      <c r="AC482" s="182"/>
      <c r="AD482" s="182"/>
      <c r="AE482" s="184"/>
      <c r="AF482" s="183"/>
      <c r="AG482" s="183"/>
      <c r="AH482" s="183"/>
      <c r="AI482" s="183"/>
      <c r="AJ482" s="182"/>
      <c r="AK482" s="184"/>
      <c r="AL482" s="182"/>
      <c r="AM482" s="182"/>
      <c r="AN482" s="182"/>
      <c r="AO482" s="182"/>
      <c r="AP482" s="182"/>
      <c r="AQ482" s="182"/>
      <c r="AR482" s="182"/>
    </row>
    <row r="483" spans="1:44">
      <c r="A483" s="182"/>
      <c r="B483" s="182"/>
      <c r="C483" s="182"/>
      <c r="D483" s="182"/>
      <c r="E483" s="182"/>
      <c r="F483" s="182"/>
      <c r="G483" s="182"/>
      <c r="H483" s="182"/>
      <c r="I483" s="182"/>
      <c r="J483" s="182"/>
      <c r="K483" s="182"/>
      <c r="L483" s="182"/>
      <c r="M483" s="182"/>
      <c r="N483" s="177"/>
      <c r="O483" s="182"/>
      <c r="P483" s="179"/>
      <c r="Q483" s="182"/>
      <c r="R483" s="182"/>
      <c r="S483" s="182"/>
      <c r="T483" s="182"/>
      <c r="U483" s="182"/>
      <c r="V483" s="182"/>
      <c r="W483" s="182"/>
      <c r="X483" s="182"/>
      <c r="Y483" s="182"/>
      <c r="Z483" s="182"/>
      <c r="AA483" s="182"/>
      <c r="AB483" s="182"/>
      <c r="AC483" s="182"/>
      <c r="AD483" s="182"/>
      <c r="AE483" s="184"/>
      <c r="AF483" s="183"/>
      <c r="AG483" s="183"/>
      <c r="AH483" s="183"/>
      <c r="AI483" s="183"/>
      <c r="AJ483" s="182"/>
      <c r="AK483" s="184"/>
      <c r="AL483" s="182"/>
      <c r="AM483" s="182"/>
      <c r="AN483" s="182"/>
      <c r="AO483" s="182"/>
      <c r="AP483" s="182"/>
      <c r="AQ483" s="182"/>
      <c r="AR483" s="182"/>
    </row>
    <row r="484" spans="1:44">
      <c r="A484" s="182"/>
      <c r="B484" s="182"/>
      <c r="C484" s="182"/>
      <c r="D484" s="182"/>
      <c r="E484" s="182"/>
      <c r="F484" s="182"/>
      <c r="G484" s="182"/>
      <c r="H484" s="182"/>
      <c r="I484" s="182"/>
      <c r="J484" s="182"/>
      <c r="K484" s="182"/>
      <c r="L484" s="182"/>
      <c r="M484" s="182"/>
      <c r="N484" s="177"/>
      <c r="O484" s="182"/>
      <c r="P484" s="179"/>
      <c r="Q484" s="182"/>
      <c r="R484" s="182"/>
      <c r="S484" s="182"/>
      <c r="T484" s="182"/>
      <c r="U484" s="182"/>
      <c r="V484" s="182"/>
      <c r="W484" s="182"/>
      <c r="X484" s="182"/>
      <c r="Y484" s="182"/>
      <c r="Z484" s="182"/>
      <c r="AA484" s="182"/>
      <c r="AB484" s="182"/>
      <c r="AC484" s="182"/>
      <c r="AD484" s="182"/>
      <c r="AE484" s="184"/>
      <c r="AF484" s="183"/>
      <c r="AG484" s="183"/>
      <c r="AH484" s="183"/>
      <c r="AI484" s="183"/>
      <c r="AJ484" s="182"/>
      <c r="AK484" s="184"/>
      <c r="AL484" s="182"/>
      <c r="AM484" s="182"/>
      <c r="AN484" s="182"/>
      <c r="AO484" s="182"/>
      <c r="AP484" s="182"/>
      <c r="AQ484" s="182"/>
      <c r="AR484" s="182"/>
    </row>
    <row r="485" spans="1:44">
      <c r="A485" s="182"/>
      <c r="B485" s="182"/>
      <c r="C485" s="182"/>
      <c r="D485" s="182"/>
      <c r="E485" s="182"/>
      <c r="F485" s="182"/>
      <c r="G485" s="182"/>
      <c r="H485" s="182"/>
      <c r="I485" s="182"/>
      <c r="J485" s="182"/>
      <c r="K485" s="182"/>
      <c r="L485" s="182"/>
      <c r="M485" s="182"/>
      <c r="N485" s="177"/>
      <c r="O485" s="182"/>
      <c r="P485" s="179"/>
      <c r="Q485" s="182"/>
      <c r="R485" s="182"/>
      <c r="S485" s="182"/>
      <c r="T485" s="182"/>
      <c r="U485" s="182"/>
      <c r="V485" s="182"/>
      <c r="W485" s="182"/>
      <c r="X485" s="182"/>
      <c r="Y485" s="182"/>
      <c r="Z485" s="182"/>
      <c r="AA485" s="182"/>
      <c r="AB485" s="182"/>
      <c r="AC485" s="182"/>
      <c r="AD485" s="182"/>
      <c r="AE485" s="184"/>
      <c r="AF485" s="183"/>
      <c r="AG485" s="183"/>
      <c r="AH485" s="183"/>
      <c r="AI485" s="183"/>
      <c r="AJ485" s="182"/>
      <c r="AK485" s="184"/>
      <c r="AL485" s="182"/>
      <c r="AM485" s="182"/>
      <c r="AN485" s="182"/>
      <c r="AO485" s="182"/>
      <c r="AP485" s="182"/>
      <c r="AQ485" s="182"/>
      <c r="AR485" s="182"/>
    </row>
    <row r="486" spans="1:44">
      <c r="A486" s="182"/>
      <c r="B486" s="182"/>
      <c r="C486" s="182"/>
      <c r="D486" s="182"/>
      <c r="E486" s="182"/>
      <c r="F486" s="182"/>
      <c r="G486" s="182"/>
      <c r="H486" s="182"/>
      <c r="I486" s="182"/>
      <c r="J486" s="182"/>
      <c r="K486" s="182"/>
      <c r="L486" s="182"/>
      <c r="M486" s="182"/>
      <c r="N486" s="177"/>
      <c r="O486" s="182"/>
      <c r="P486" s="179"/>
      <c r="Q486" s="182"/>
      <c r="R486" s="182"/>
      <c r="S486" s="182"/>
      <c r="T486" s="182"/>
      <c r="U486" s="182"/>
      <c r="V486" s="182"/>
      <c r="W486" s="182"/>
      <c r="X486" s="182"/>
      <c r="Y486" s="182"/>
      <c r="Z486" s="182"/>
      <c r="AA486" s="182"/>
      <c r="AB486" s="182"/>
      <c r="AC486" s="182"/>
      <c r="AD486" s="182"/>
      <c r="AE486" s="184"/>
      <c r="AF486" s="183"/>
      <c r="AG486" s="183"/>
      <c r="AH486" s="183"/>
      <c r="AI486" s="183"/>
      <c r="AJ486" s="182"/>
      <c r="AK486" s="184"/>
      <c r="AL486" s="182"/>
      <c r="AM486" s="182"/>
      <c r="AN486" s="182"/>
      <c r="AO486" s="182"/>
      <c r="AP486" s="182"/>
      <c r="AQ486" s="182"/>
      <c r="AR486" s="182"/>
    </row>
    <row r="487" spans="1:44">
      <c r="A487" s="182"/>
      <c r="B487" s="182"/>
      <c r="C487" s="182"/>
      <c r="D487" s="182"/>
      <c r="E487" s="182"/>
      <c r="F487" s="182"/>
      <c r="G487" s="182"/>
      <c r="H487" s="182"/>
      <c r="I487" s="182"/>
      <c r="J487" s="182"/>
      <c r="K487" s="182"/>
      <c r="L487" s="182"/>
      <c r="M487" s="182"/>
      <c r="N487" s="177"/>
      <c r="O487" s="182"/>
      <c r="P487" s="179"/>
      <c r="Q487" s="182"/>
      <c r="R487" s="182"/>
      <c r="S487" s="182"/>
      <c r="T487" s="182"/>
      <c r="U487" s="182"/>
      <c r="V487" s="182"/>
      <c r="W487" s="182"/>
      <c r="X487" s="182"/>
      <c r="Y487" s="182"/>
      <c r="Z487" s="182"/>
      <c r="AA487" s="182"/>
      <c r="AB487" s="182"/>
      <c r="AC487" s="182"/>
      <c r="AD487" s="182"/>
      <c r="AE487" s="184"/>
      <c r="AF487" s="183"/>
      <c r="AG487" s="183"/>
      <c r="AH487" s="183"/>
      <c r="AI487" s="183"/>
      <c r="AJ487" s="182"/>
      <c r="AK487" s="184"/>
      <c r="AL487" s="182"/>
      <c r="AM487" s="182"/>
      <c r="AN487" s="182"/>
      <c r="AO487" s="182"/>
      <c r="AP487" s="182"/>
      <c r="AQ487" s="182"/>
      <c r="AR487" s="182"/>
    </row>
    <row r="488" spans="1:44">
      <c r="A488" s="182"/>
      <c r="B488" s="182"/>
      <c r="C488" s="182"/>
      <c r="D488" s="182"/>
      <c r="E488" s="182"/>
      <c r="F488" s="182"/>
      <c r="G488" s="182"/>
      <c r="H488" s="182"/>
      <c r="I488" s="182"/>
      <c r="J488" s="182"/>
      <c r="K488" s="182"/>
      <c r="L488" s="182"/>
      <c r="M488" s="182"/>
      <c r="N488" s="177"/>
      <c r="O488" s="182"/>
      <c r="P488" s="179"/>
      <c r="Q488" s="182"/>
      <c r="R488" s="182"/>
      <c r="S488" s="182"/>
      <c r="T488" s="182"/>
      <c r="U488" s="182"/>
      <c r="V488" s="182"/>
      <c r="W488" s="182"/>
      <c r="X488" s="182"/>
      <c r="Y488" s="182"/>
      <c r="Z488" s="182"/>
      <c r="AA488" s="182"/>
      <c r="AB488" s="182"/>
      <c r="AC488" s="182"/>
      <c r="AD488" s="182"/>
      <c r="AE488" s="184"/>
      <c r="AF488" s="183"/>
      <c r="AG488" s="183"/>
      <c r="AH488" s="183"/>
      <c r="AI488" s="183"/>
      <c r="AJ488" s="182"/>
      <c r="AK488" s="184"/>
      <c r="AL488" s="182"/>
      <c r="AM488" s="182"/>
      <c r="AN488" s="182"/>
      <c r="AO488" s="182"/>
      <c r="AP488" s="182"/>
      <c r="AQ488" s="182"/>
      <c r="AR488" s="182"/>
    </row>
    <row r="489" spans="1:44">
      <c r="A489" s="182"/>
      <c r="B489" s="182"/>
      <c r="C489" s="182"/>
      <c r="D489" s="182"/>
      <c r="E489" s="182"/>
      <c r="F489" s="182"/>
      <c r="G489" s="182"/>
      <c r="H489" s="182"/>
      <c r="I489" s="182"/>
      <c r="J489" s="182"/>
      <c r="K489" s="182"/>
      <c r="L489" s="182"/>
      <c r="M489" s="182"/>
      <c r="N489" s="177"/>
      <c r="O489" s="182"/>
      <c r="P489" s="179"/>
      <c r="Q489" s="182"/>
      <c r="R489" s="182"/>
      <c r="S489" s="182"/>
      <c r="T489" s="182"/>
      <c r="U489" s="182"/>
      <c r="V489" s="182"/>
      <c r="W489" s="182"/>
      <c r="X489" s="182"/>
      <c r="Y489" s="182"/>
      <c r="Z489" s="182"/>
      <c r="AA489" s="182"/>
      <c r="AB489" s="182"/>
      <c r="AC489" s="182"/>
      <c r="AD489" s="182"/>
      <c r="AE489" s="184"/>
      <c r="AF489" s="183"/>
      <c r="AG489" s="183"/>
      <c r="AH489" s="183"/>
      <c r="AI489" s="183"/>
      <c r="AJ489" s="182"/>
      <c r="AK489" s="184"/>
      <c r="AL489" s="182"/>
      <c r="AM489" s="182"/>
      <c r="AN489" s="182"/>
      <c r="AO489" s="182"/>
      <c r="AP489" s="182"/>
      <c r="AQ489" s="182"/>
      <c r="AR489" s="182"/>
    </row>
    <row r="490" spans="1:44">
      <c r="A490" s="182"/>
      <c r="B490" s="182"/>
      <c r="C490" s="182"/>
      <c r="D490" s="182"/>
      <c r="E490" s="182"/>
      <c r="F490" s="182"/>
      <c r="G490" s="182"/>
      <c r="H490" s="182"/>
      <c r="I490" s="182"/>
      <c r="J490" s="182"/>
      <c r="K490" s="182"/>
      <c r="L490" s="182"/>
      <c r="M490" s="182"/>
      <c r="N490" s="177"/>
      <c r="O490" s="182"/>
      <c r="P490" s="179"/>
      <c r="Q490" s="182"/>
      <c r="R490" s="182"/>
      <c r="S490" s="182"/>
      <c r="T490" s="182"/>
      <c r="U490" s="182"/>
      <c r="V490" s="182"/>
      <c r="W490" s="182"/>
      <c r="X490" s="182"/>
      <c r="Y490" s="182"/>
      <c r="Z490" s="182"/>
      <c r="AA490" s="182"/>
      <c r="AB490" s="182"/>
      <c r="AC490" s="182"/>
      <c r="AD490" s="182"/>
      <c r="AE490" s="184"/>
      <c r="AF490" s="183"/>
      <c r="AG490" s="183"/>
      <c r="AH490" s="183"/>
      <c r="AI490" s="183"/>
      <c r="AJ490" s="182"/>
      <c r="AK490" s="184"/>
      <c r="AL490" s="182"/>
      <c r="AM490" s="182"/>
      <c r="AN490" s="182"/>
      <c r="AO490" s="182"/>
      <c r="AP490" s="182"/>
      <c r="AQ490" s="182"/>
      <c r="AR490" s="182"/>
    </row>
    <row r="491" spans="1:44">
      <c r="A491" s="182"/>
      <c r="B491" s="182"/>
      <c r="C491" s="182"/>
      <c r="D491" s="182"/>
      <c r="E491" s="182"/>
      <c r="F491" s="182"/>
      <c r="G491" s="182"/>
      <c r="H491" s="182"/>
      <c r="I491" s="182"/>
      <c r="J491" s="182"/>
      <c r="K491" s="182"/>
      <c r="L491" s="182"/>
      <c r="M491" s="182"/>
      <c r="N491" s="177"/>
      <c r="O491" s="182"/>
      <c r="P491" s="179"/>
      <c r="Q491" s="182"/>
      <c r="R491" s="182"/>
      <c r="S491" s="182"/>
      <c r="T491" s="182"/>
      <c r="U491" s="182"/>
      <c r="V491" s="182"/>
      <c r="W491" s="182"/>
      <c r="X491" s="182"/>
      <c r="Y491" s="182"/>
      <c r="Z491" s="182"/>
      <c r="AA491" s="182"/>
      <c r="AB491" s="182"/>
      <c r="AC491" s="182"/>
      <c r="AD491" s="182"/>
      <c r="AE491" s="184"/>
      <c r="AF491" s="183"/>
      <c r="AG491" s="183"/>
      <c r="AH491" s="183"/>
      <c r="AI491" s="183"/>
      <c r="AJ491" s="182"/>
      <c r="AK491" s="184"/>
      <c r="AL491" s="182"/>
      <c r="AM491" s="182"/>
      <c r="AN491" s="182"/>
      <c r="AO491" s="182"/>
      <c r="AP491" s="182"/>
      <c r="AQ491" s="182"/>
      <c r="AR491" s="182"/>
    </row>
    <row r="492" spans="1:44">
      <c r="A492" s="182"/>
      <c r="B492" s="182"/>
      <c r="C492" s="182"/>
      <c r="D492" s="182"/>
      <c r="E492" s="182"/>
      <c r="F492" s="182"/>
      <c r="G492" s="182"/>
      <c r="H492" s="182"/>
      <c r="I492" s="182"/>
      <c r="J492" s="182"/>
      <c r="K492" s="182"/>
      <c r="L492" s="182"/>
      <c r="M492" s="182"/>
      <c r="N492" s="177"/>
      <c r="O492" s="182"/>
      <c r="P492" s="179"/>
      <c r="Q492" s="182"/>
      <c r="R492" s="182"/>
      <c r="S492" s="182"/>
      <c r="T492" s="182"/>
      <c r="U492" s="182"/>
      <c r="V492" s="182"/>
      <c r="W492" s="182"/>
      <c r="X492" s="182"/>
      <c r="Y492" s="182"/>
      <c r="Z492" s="182"/>
      <c r="AA492" s="182"/>
      <c r="AB492" s="182"/>
      <c r="AC492" s="182"/>
      <c r="AD492" s="182"/>
      <c r="AE492" s="184"/>
      <c r="AF492" s="183"/>
      <c r="AG492" s="183"/>
      <c r="AH492" s="183"/>
      <c r="AI492" s="183"/>
      <c r="AJ492" s="182"/>
      <c r="AK492" s="184"/>
      <c r="AL492" s="182"/>
      <c r="AM492" s="182"/>
      <c r="AN492" s="182"/>
      <c r="AO492" s="182"/>
      <c r="AP492" s="182"/>
      <c r="AQ492" s="182"/>
      <c r="AR492" s="182"/>
    </row>
    <row r="493" spans="1:44">
      <c r="A493" s="182"/>
      <c r="B493" s="182"/>
      <c r="C493" s="182"/>
      <c r="D493" s="182"/>
      <c r="E493" s="182"/>
      <c r="F493" s="182"/>
      <c r="G493" s="182"/>
      <c r="H493" s="182"/>
      <c r="I493" s="182"/>
      <c r="J493" s="182"/>
      <c r="K493" s="182"/>
      <c r="L493" s="182"/>
      <c r="M493" s="182"/>
      <c r="N493" s="177"/>
      <c r="O493" s="182"/>
      <c r="P493" s="179"/>
      <c r="Q493" s="182"/>
      <c r="R493" s="182"/>
      <c r="S493" s="182"/>
      <c r="T493" s="182"/>
      <c r="U493" s="182"/>
      <c r="V493" s="182"/>
      <c r="W493" s="182"/>
      <c r="X493" s="182"/>
      <c r="Y493" s="182"/>
      <c r="Z493" s="182"/>
      <c r="AA493" s="182"/>
      <c r="AB493" s="182"/>
      <c r="AC493" s="182"/>
      <c r="AD493" s="182"/>
      <c r="AE493" s="184"/>
      <c r="AF493" s="183"/>
      <c r="AG493" s="183"/>
      <c r="AH493" s="183"/>
      <c r="AI493" s="183"/>
      <c r="AJ493" s="182"/>
      <c r="AK493" s="184"/>
      <c r="AL493" s="182"/>
      <c r="AM493" s="182"/>
      <c r="AN493" s="182"/>
      <c r="AO493" s="182"/>
      <c r="AP493" s="182"/>
      <c r="AQ493" s="182"/>
      <c r="AR493" s="182"/>
    </row>
    <row r="494" spans="1:44">
      <c r="A494" s="182"/>
      <c r="B494" s="182"/>
      <c r="C494" s="182"/>
      <c r="D494" s="182"/>
      <c r="E494" s="182"/>
      <c r="F494" s="182"/>
      <c r="G494" s="182"/>
      <c r="H494" s="182"/>
      <c r="I494" s="182"/>
      <c r="J494" s="182"/>
      <c r="K494" s="182"/>
      <c r="L494" s="182"/>
      <c r="M494" s="182"/>
      <c r="N494" s="177"/>
      <c r="O494" s="182"/>
      <c r="P494" s="179"/>
      <c r="Q494" s="182"/>
      <c r="R494" s="182"/>
      <c r="S494" s="182"/>
      <c r="T494" s="182"/>
      <c r="U494" s="182"/>
      <c r="V494" s="182"/>
      <c r="W494" s="182"/>
      <c r="X494" s="182"/>
      <c r="Y494" s="182"/>
      <c r="Z494" s="182"/>
      <c r="AA494" s="182"/>
      <c r="AB494" s="182"/>
      <c r="AC494" s="182"/>
      <c r="AD494" s="182"/>
      <c r="AE494" s="184"/>
      <c r="AF494" s="183"/>
      <c r="AG494" s="183"/>
      <c r="AH494" s="183"/>
      <c r="AI494" s="183"/>
      <c r="AJ494" s="182"/>
      <c r="AK494" s="184"/>
      <c r="AL494" s="182"/>
      <c r="AM494" s="182"/>
      <c r="AN494" s="182"/>
      <c r="AO494" s="182"/>
      <c r="AP494" s="182"/>
      <c r="AQ494" s="182"/>
      <c r="AR494" s="182"/>
    </row>
    <row r="495" spans="1:44">
      <c r="A495" s="182"/>
      <c r="B495" s="182"/>
      <c r="C495" s="182"/>
      <c r="D495" s="182"/>
      <c r="E495" s="182"/>
      <c r="F495" s="182"/>
      <c r="G495" s="182"/>
      <c r="H495" s="182"/>
      <c r="I495" s="182"/>
      <c r="J495" s="182"/>
      <c r="K495" s="182"/>
      <c r="L495" s="182"/>
      <c r="M495" s="182"/>
      <c r="N495" s="177"/>
      <c r="O495" s="182"/>
      <c r="P495" s="179"/>
      <c r="Q495" s="182"/>
      <c r="R495" s="182"/>
      <c r="S495" s="182"/>
      <c r="T495" s="182"/>
      <c r="U495" s="182"/>
      <c r="V495" s="182"/>
      <c r="W495" s="182"/>
      <c r="X495" s="182"/>
      <c r="Y495" s="182"/>
      <c r="Z495" s="182"/>
      <c r="AA495" s="182"/>
      <c r="AB495" s="182"/>
      <c r="AC495" s="182"/>
      <c r="AD495" s="182"/>
      <c r="AE495" s="184"/>
      <c r="AF495" s="183"/>
      <c r="AG495" s="183"/>
      <c r="AH495" s="183"/>
      <c r="AI495" s="183"/>
      <c r="AJ495" s="182"/>
      <c r="AK495" s="184"/>
      <c r="AL495" s="182"/>
      <c r="AM495" s="182"/>
      <c r="AN495" s="182"/>
      <c r="AO495" s="182"/>
      <c r="AP495" s="182"/>
      <c r="AQ495" s="182"/>
      <c r="AR495" s="182"/>
    </row>
    <row r="496" spans="1:44">
      <c r="A496" s="182"/>
      <c r="B496" s="182"/>
      <c r="C496" s="182"/>
      <c r="D496" s="182"/>
      <c r="E496" s="182"/>
      <c r="F496" s="182"/>
      <c r="G496" s="182"/>
      <c r="H496" s="182"/>
      <c r="I496" s="182"/>
      <c r="J496" s="182"/>
      <c r="K496" s="182"/>
      <c r="L496" s="182"/>
      <c r="M496" s="182"/>
      <c r="N496" s="177"/>
      <c r="O496" s="182"/>
      <c r="P496" s="179"/>
      <c r="Q496" s="182"/>
      <c r="R496" s="182"/>
      <c r="S496" s="182"/>
      <c r="T496" s="182"/>
      <c r="U496" s="182"/>
      <c r="V496" s="182"/>
      <c r="W496" s="182"/>
      <c r="X496" s="182"/>
      <c r="Y496" s="182"/>
      <c r="Z496" s="182"/>
      <c r="AA496" s="182"/>
      <c r="AB496" s="182"/>
      <c r="AC496" s="182"/>
      <c r="AD496" s="182"/>
      <c r="AE496" s="184"/>
      <c r="AF496" s="183"/>
      <c r="AG496" s="183"/>
      <c r="AH496" s="183"/>
      <c r="AI496" s="183"/>
      <c r="AJ496" s="182"/>
      <c r="AK496" s="184"/>
      <c r="AL496" s="182"/>
      <c r="AM496" s="182"/>
      <c r="AN496" s="182"/>
      <c r="AO496" s="182"/>
      <c r="AP496" s="182"/>
      <c r="AQ496" s="182"/>
      <c r="AR496" s="182"/>
    </row>
    <row r="497" spans="1:44">
      <c r="A497" s="182"/>
      <c r="B497" s="182"/>
      <c r="C497" s="182"/>
      <c r="D497" s="182"/>
      <c r="E497" s="182"/>
      <c r="F497" s="182"/>
      <c r="G497" s="182"/>
      <c r="H497" s="182"/>
      <c r="I497" s="182"/>
      <c r="J497" s="182"/>
      <c r="K497" s="182"/>
      <c r="L497" s="182"/>
      <c r="M497" s="182"/>
      <c r="N497" s="177"/>
      <c r="O497" s="182"/>
      <c r="P497" s="179"/>
      <c r="Q497" s="182"/>
      <c r="R497" s="182"/>
      <c r="S497" s="182"/>
      <c r="T497" s="182"/>
      <c r="U497" s="182"/>
      <c r="V497" s="182"/>
      <c r="W497" s="182"/>
      <c r="X497" s="182"/>
      <c r="Y497" s="182"/>
      <c r="Z497" s="182"/>
      <c r="AA497" s="182"/>
      <c r="AB497" s="182"/>
      <c r="AC497" s="182"/>
      <c r="AD497" s="182"/>
      <c r="AE497" s="184"/>
      <c r="AF497" s="183"/>
      <c r="AG497" s="183"/>
      <c r="AH497" s="183"/>
      <c r="AI497" s="183"/>
      <c r="AJ497" s="182"/>
      <c r="AK497" s="184"/>
      <c r="AL497" s="182"/>
      <c r="AM497" s="182"/>
      <c r="AN497" s="182"/>
      <c r="AO497" s="182"/>
      <c r="AP497" s="182"/>
      <c r="AQ497" s="182"/>
      <c r="AR497" s="182"/>
    </row>
    <row r="498" spans="1:44">
      <c r="A498" s="182"/>
      <c r="B498" s="182"/>
      <c r="C498" s="182"/>
      <c r="D498" s="182"/>
      <c r="E498" s="182"/>
      <c r="F498" s="182"/>
      <c r="G498" s="182"/>
      <c r="H498" s="182"/>
      <c r="I498" s="182"/>
      <c r="J498" s="182"/>
      <c r="K498" s="182"/>
      <c r="L498" s="182"/>
      <c r="M498" s="182"/>
      <c r="N498" s="177"/>
      <c r="O498" s="182"/>
      <c r="P498" s="179"/>
      <c r="Q498" s="182"/>
      <c r="R498" s="182"/>
      <c r="S498" s="182"/>
      <c r="T498" s="182"/>
      <c r="U498" s="182"/>
      <c r="V498" s="182"/>
      <c r="W498" s="182"/>
      <c r="X498" s="182"/>
      <c r="Y498" s="182"/>
      <c r="Z498" s="182"/>
      <c r="AA498" s="182"/>
      <c r="AB498" s="182"/>
      <c r="AC498" s="182"/>
      <c r="AD498" s="182"/>
      <c r="AE498" s="184"/>
      <c r="AF498" s="183"/>
      <c r="AG498" s="183"/>
      <c r="AH498" s="183"/>
      <c r="AI498" s="183"/>
      <c r="AJ498" s="182"/>
      <c r="AK498" s="184"/>
      <c r="AL498" s="182"/>
      <c r="AM498" s="182"/>
      <c r="AN498" s="182"/>
      <c r="AO498" s="182"/>
      <c r="AP498" s="182"/>
      <c r="AQ498" s="182"/>
      <c r="AR498" s="182"/>
    </row>
    <row r="499" spans="1:44">
      <c r="A499" s="182"/>
      <c r="B499" s="182"/>
      <c r="C499" s="182"/>
      <c r="D499" s="182"/>
      <c r="E499" s="182"/>
      <c r="F499" s="182"/>
      <c r="G499" s="182"/>
      <c r="H499" s="182"/>
      <c r="I499" s="182"/>
      <c r="J499" s="182"/>
      <c r="K499" s="182"/>
      <c r="L499" s="182"/>
      <c r="M499" s="182"/>
      <c r="N499" s="177"/>
      <c r="O499" s="182"/>
      <c r="P499" s="179"/>
      <c r="Q499" s="182"/>
      <c r="R499" s="182"/>
      <c r="S499" s="182"/>
      <c r="T499" s="182"/>
      <c r="U499" s="182"/>
      <c r="V499" s="182"/>
      <c r="W499" s="182"/>
      <c r="X499" s="182"/>
      <c r="Y499" s="182"/>
      <c r="Z499" s="182"/>
      <c r="AA499" s="182"/>
      <c r="AB499" s="182"/>
      <c r="AC499" s="182"/>
      <c r="AD499" s="182"/>
      <c r="AE499" s="184"/>
      <c r="AF499" s="183"/>
      <c r="AG499" s="183"/>
      <c r="AH499" s="183"/>
      <c r="AI499" s="183"/>
      <c r="AJ499" s="182"/>
      <c r="AK499" s="184"/>
      <c r="AL499" s="182"/>
      <c r="AM499" s="182"/>
      <c r="AN499" s="182"/>
      <c r="AO499" s="182"/>
      <c r="AP499" s="182"/>
      <c r="AQ499" s="182"/>
      <c r="AR499" s="182"/>
    </row>
    <row r="500" spans="1:44">
      <c r="A500" s="182"/>
      <c r="B500" s="182"/>
      <c r="C500" s="182"/>
      <c r="D500" s="182"/>
      <c r="E500" s="182"/>
      <c r="F500" s="182"/>
      <c r="G500" s="182"/>
      <c r="H500" s="182"/>
      <c r="I500" s="182"/>
      <c r="J500" s="182"/>
      <c r="K500" s="182"/>
      <c r="L500" s="182"/>
      <c r="M500" s="182"/>
      <c r="N500" s="177"/>
      <c r="O500" s="182"/>
      <c r="P500" s="179"/>
      <c r="Q500" s="182"/>
      <c r="R500" s="182"/>
      <c r="S500" s="182"/>
      <c r="T500" s="182"/>
      <c r="U500" s="182"/>
      <c r="V500" s="182"/>
      <c r="W500" s="182"/>
      <c r="X500" s="182"/>
      <c r="Y500" s="182"/>
      <c r="Z500" s="182"/>
      <c r="AA500" s="182"/>
      <c r="AB500" s="182"/>
      <c r="AC500" s="182"/>
      <c r="AD500" s="182"/>
      <c r="AE500" s="184"/>
      <c r="AF500" s="183"/>
      <c r="AG500" s="183"/>
      <c r="AH500" s="183"/>
      <c r="AI500" s="183"/>
      <c r="AJ500" s="182"/>
      <c r="AK500" s="184"/>
      <c r="AL500" s="182"/>
      <c r="AM500" s="182"/>
      <c r="AN500" s="182"/>
      <c r="AO500" s="182"/>
      <c r="AP500" s="182"/>
      <c r="AQ500" s="182"/>
      <c r="AR500" s="182"/>
    </row>
    <row r="501" spans="1:44">
      <c r="A501" s="182"/>
      <c r="B501" s="182"/>
      <c r="C501" s="182"/>
      <c r="D501" s="182"/>
      <c r="E501" s="182"/>
      <c r="F501" s="182"/>
      <c r="G501" s="182"/>
      <c r="H501" s="182"/>
      <c r="I501" s="182"/>
      <c r="J501" s="182"/>
      <c r="K501" s="182"/>
      <c r="L501" s="182"/>
      <c r="M501" s="182"/>
      <c r="N501" s="177"/>
      <c r="O501" s="182"/>
      <c r="P501" s="179"/>
      <c r="Q501" s="182"/>
      <c r="R501" s="182"/>
      <c r="S501" s="182"/>
      <c r="T501" s="182"/>
      <c r="U501" s="182"/>
      <c r="V501" s="182"/>
      <c r="W501" s="182"/>
      <c r="X501" s="182"/>
      <c r="Y501" s="182"/>
      <c r="Z501" s="182"/>
      <c r="AA501" s="182"/>
      <c r="AB501" s="182"/>
      <c r="AC501" s="182"/>
      <c r="AD501" s="182"/>
      <c r="AE501" s="184"/>
      <c r="AF501" s="183"/>
      <c r="AG501" s="183"/>
      <c r="AH501" s="183"/>
      <c r="AI501" s="183"/>
      <c r="AJ501" s="182"/>
      <c r="AK501" s="184"/>
      <c r="AL501" s="182"/>
      <c r="AM501" s="182"/>
      <c r="AN501" s="182"/>
      <c r="AO501" s="182"/>
      <c r="AP501" s="182"/>
      <c r="AQ501" s="182"/>
      <c r="AR501" s="182"/>
    </row>
    <row r="502" spans="1:44">
      <c r="A502" s="182"/>
      <c r="B502" s="182"/>
      <c r="C502" s="182"/>
      <c r="D502" s="182"/>
      <c r="E502" s="182"/>
      <c r="F502" s="182"/>
      <c r="G502" s="182"/>
      <c r="H502" s="182"/>
      <c r="I502" s="182"/>
      <c r="J502" s="182"/>
      <c r="K502" s="182"/>
      <c r="L502" s="182"/>
      <c r="M502" s="182"/>
      <c r="N502" s="177"/>
      <c r="O502" s="182"/>
      <c r="P502" s="179"/>
      <c r="Q502" s="182"/>
      <c r="R502" s="182"/>
      <c r="S502" s="182"/>
      <c r="T502" s="182"/>
      <c r="U502" s="182"/>
      <c r="V502" s="182"/>
      <c r="W502" s="182"/>
      <c r="X502" s="182"/>
      <c r="Y502" s="182"/>
      <c r="Z502" s="182"/>
      <c r="AA502" s="182"/>
      <c r="AB502" s="182"/>
      <c r="AC502" s="182"/>
      <c r="AD502" s="182"/>
      <c r="AE502" s="184"/>
      <c r="AF502" s="183"/>
      <c r="AG502" s="183"/>
      <c r="AH502" s="183"/>
      <c r="AI502" s="183"/>
      <c r="AJ502" s="182"/>
      <c r="AK502" s="184"/>
      <c r="AL502" s="182"/>
      <c r="AM502" s="182"/>
      <c r="AN502" s="182"/>
      <c r="AO502" s="182"/>
      <c r="AP502" s="182"/>
      <c r="AQ502" s="182"/>
      <c r="AR502" s="182"/>
    </row>
    <row r="503" spans="1:44">
      <c r="A503" s="182"/>
      <c r="B503" s="182"/>
      <c r="C503" s="182"/>
      <c r="D503" s="182"/>
      <c r="E503" s="182"/>
      <c r="F503" s="182"/>
      <c r="G503" s="182"/>
      <c r="H503" s="182"/>
      <c r="I503" s="182"/>
      <c r="J503" s="182"/>
      <c r="K503" s="182"/>
      <c r="L503" s="182"/>
      <c r="M503" s="182"/>
      <c r="N503" s="177"/>
      <c r="O503" s="182"/>
      <c r="P503" s="179"/>
      <c r="Q503" s="182"/>
      <c r="R503" s="182"/>
      <c r="S503" s="182"/>
      <c r="T503" s="182"/>
      <c r="U503" s="182"/>
      <c r="V503" s="182"/>
      <c r="W503" s="182"/>
      <c r="X503" s="182"/>
      <c r="Y503" s="182"/>
      <c r="Z503" s="182"/>
      <c r="AA503" s="182"/>
      <c r="AB503" s="182"/>
      <c r="AC503" s="182"/>
      <c r="AD503" s="182"/>
      <c r="AE503" s="184"/>
      <c r="AF503" s="183"/>
      <c r="AG503" s="183"/>
      <c r="AH503" s="183"/>
      <c r="AI503" s="183"/>
      <c r="AJ503" s="182"/>
      <c r="AK503" s="184"/>
      <c r="AL503" s="182"/>
      <c r="AM503" s="182"/>
      <c r="AN503" s="182"/>
      <c r="AO503" s="182"/>
      <c r="AP503" s="182"/>
      <c r="AQ503" s="182"/>
      <c r="AR503" s="182"/>
    </row>
    <row r="504" spans="1:44">
      <c r="A504" s="182"/>
      <c r="B504" s="182"/>
      <c r="C504" s="182"/>
      <c r="D504" s="182"/>
      <c r="E504" s="182"/>
      <c r="F504" s="182"/>
      <c r="G504" s="182"/>
      <c r="H504" s="182"/>
      <c r="I504" s="182"/>
      <c r="J504" s="182"/>
      <c r="K504" s="182"/>
      <c r="L504" s="182"/>
      <c r="M504" s="182"/>
      <c r="N504" s="177"/>
      <c r="O504" s="182"/>
      <c r="P504" s="179"/>
      <c r="Q504" s="182"/>
      <c r="R504" s="182"/>
      <c r="S504" s="182"/>
      <c r="T504" s="182"/>
      <c r="U504" s="182"/>
      <c r="V504" s="182"/>
      <c r="W504" s="182"/>
      <c r="X504" s="182"/>
      <c r="Y504" s="182"/>
      <c r="Z504" s="182"/>
      <c r="AA504" s="182"/>
      <c r="AB504" s="182"/>
      <c r="AC504" s="182"/>
      <c r="AD504" s="182"/>
      <c r="AE504" s="184"/>
      <c r="AF504" s="183"/>
      <c r="AG504" s="183"/>
      <c r="AH504" s="183"/>
      <c r="AI504" s="183"/>
      <c r="AJ504" s="182"/>
      <c r="AK504" s="184"/>
      <c r="AL504" s="182"/>
      <c r="AM504" s="182"/>
      <c r="AN504" s="182"/>
      <c r="AO504" s="182"/>
      <c r="AP504" s="182"/>
      <c r="AQ504" s="182"/>
      <c r="AR504" s="182"/>
    </row>
    <row r="505" spans="1:44">
      <c r="A505" s="182"/>
      <c r="B505" s="182"/>
      <c r="C505" s="182"/>
      <c r="D505" s="182"/>
      <c r="E505" s="182"/>
      <c r="F505" s="182"/>
      <c r="G505" s="182"/>
      <c r="H505" s="182"/>
      <c r="I505" s="182"/>
      <c r="J505" s="182"/>
      <c r="K505" s="182"/>
      <c r="L505" s="182"/>
      <c r="M505" s="182"/>
      <c r="N505" s="177"/>
      <c r="O505" s="182"/>
      <c r="P505" s="179"/>
      <c r="Q505" s="182"/>
      <c r="R505" s="182"/>
      <c r="S505" s="182"/>
      <c r="T505" s="182"/>
      <c r="U505" s="182"/>
      <c r="V505" s="182"/>
      <c r="W505" s="182"/>
      <c r="X505" s="182"/>
      <c r="Y505" s="182"/>
      <c r="Z505" s="182"/>
      <c r="AA505" s="182"/>
      <c r="AB505" s="182"/>
      <c r="AC505" s="182"/>
      <c r="AD505" s="182"/>
      <c r="AE505" s="184"/>
      <c r="AF505" s="183"/>
      <c r="AG505" s="183"/>
      <c r="AH505" s="183"/>
      <c r="AI505" s="183"/>
      <c r="AJ505" s="182"/>
      <c r="AK505" s="184"/>
      <c r="AL505" s="182"/>
      <c r="AM505" s="182"/>
      <c r="AN505" s="182"/>
      <c r="AO505" s="182"/>
      <c r="AP505" s="182"/>
      <c r="AQ505" s="182"/>
      <c r="AR505" s="182"/>
    </row>
    <row r="506" spans="1:44">
      <c r="A506" s="182"/>
      <c r="B506" s="182"/>
      <c r="C506" s="182"/>
      <c r="D506" s="182"/>
      <c r="E506" s="182"/>
      <c r="F506" s="182"/>
      <c r="G506" s="182"/>
      <c r="H506" s="182"/>
      <c r="I506" s="182"/>
      <c r="J506" s="182"/>
      <c r="K506" s="182"/>
      <c r="L506" s="182"/>
      <c r="M506" s="182"/>
      <c r="N506" s="177"/>
      <c r="O506" s="182"/>
      <c r="P506" s="179"/>
      <c r="Q506" s="182"/>
      <c r="R506" s="182"/>
      <c r="S506" s="182"/>
      <c r="T506" s="182"/>
      <c r="U506" s="182"/>
      <c r="V506" s="182"/>
      <c r="W506" s="182"/>
      <c r="X506" s="182"/>
      <c r="Y506" s="182"/>
      <c r="Z506" s="182"/>
      <c r="AA506" s="182"/>
      <c r="AB506" s="182"/>
      <c r="AC506" s="182"/>
      <c r="AD506" s="182"/>
      <c r="AE506" s="184"/>
      <c r="AF506" s="183"/>
      <c r="AG506" s="183"/>
      <c r="AH506" s="183"/>
      <c r="AI506" s="183"/>
      <c r="AJ506" s="182"/>
      <c r="AK506" s="184"/>
      <c r="AL506" s="182"/>
      <c r="AM506" s="182"/>
      <c r="AN506" s="182"/>
      <c r="AO506" s="182"/>
      <c r="AP506" s="182"/>
      <c r="AQ506" s="182"/>
      <c r="AR506" s="182"/>
    </row>
    <row r="507" spans="1:44">
      <c r="A507" s="182"/>
      <c r="B507" s="182"/>
      <c r="C507" s="182"/>
      <c r="D507" s="182"/>
      <c r="E507" s="182"/>
      <c r="F507" s="182"/>
      <c r="G507" s="182"/>
      <c r="H507" s="182"/>
      <c r="I507" s="182"/>
      <c r="J507" s="182"/>
      <c r="K507" s="182"/>
      <c r="L507" s="182"/>
      <c r="M507" s="182"/>
      <c r="N507" s="177"/>
      <c r="O507" s="182"/>
      <c r="P507" s="179"/>
      <c r="Q507" s="182"/>
      <c r="R507" s="182"/>
      <c r="S507" s="182"/>
      <c r="T507" s="182"/>
      <c r="U507" s="182"/>
      <c r="V507" s="182"/>
      <c r="W507" s="182"/>
      <c r="X507" s="182"/>
      <c r="Y507" s="182"/>
      <c r="Z507" s="182"/>
      <c r="AA507" s="182"/>
      <c r="AB507" s="182"/>
      <c r="AC507" s="182"/>
      <c r="AD507" s="182"/>
      <c r="AE507" s="184"/>
      <c r="AF507" s="183"/>
      <c r="AG507" s="183"/>
      <c r="AH507" s="183"/>
      <c r="AI507" s="183"/>
      <c r="AJ507" s="182"/>
      <c r="AK507" s="184"/>
      <c r="AL507" s="182"/>
      <c r="AM507" s="182"/>
      <c r="AN507" s="182"/>
      <c r="AO507" s="182"/>
      <c r="AP507" s="182"/>
      <c r="AQ507" s="182"/>
      <c r="AR507" s="182"/>
    </row>
    <row r="508" spans="1:44">
      <c r="A508" s="182"/>
      <c r="B508" s="182"/>
      <c r="C508" s="182"/>
      <c r="D508" s="182"/>
      <c r="E508" s="182"/>
      <c r="F508" s="182"/>
      <c r="G508" s="182"/>
      <c r="H508" s="182"/>
      <c r="I508" s="182"/>
      <c r="J508" s="182"/>
      <c r="K508" s="182"/>
      <c r="L508" s="182"/>
      <c r="M508" s="182"/>
      <c r="N508" s="177"/>
      <c r="O508" s="182"/>
      <c r="P508" s="179"/>
      <c r="Q508" s="182"/>
      <c r="R508" s="182"/>
      <c r="S508" s="182"/>
      <c r="T508" s="182"/>
      <c r="U508" s="182"/>
      <c r="V508" s="182"/>
      <c r="W508" s="182"/>
      <c r="X508" s="182"/>
      <c r="Y508" s="182"/>
      <c r="Z508" s="182"/>
      <c r="AA508" s="182"/>
      <c r="AB508" s="182"/>
      <c r="AC508" s="182"/>
      <c r="AD508" s="182"/>
      <c r="AE508" s="184"/>
      <c r="AF508" s="183"/>
      <c r="AG508" s="183"/>
      <c r="AH508" s="183"/>
      <c r="AI508" s="183"/>
      <c r="AJ508" s="182"/>
      <c r="AK508" s="184"/>
      <c r="AL508" s="182"/>
      <c r="AM508" s="182"/>
      <c r="AN508" s="182"/>
      <c r="AO508" s="182"/>
      <c r="AP508" s="182"/>
      <c r="AQ508" s="182"/>
      <c r="AR508" s="182"/>
    </row>
    <row r="509" spans="1:44">
      <c r="A509" s="182"/>
      <c r="B509" s="182"/>
      <c r="C509" s="182"/>
      <c r="D509" s="182"/>
      <c r="E509" s="182"/>
      <c r="F509" s="182"/>
      <c r="G509" s="182"/>
      <c r="H509" s="182"/>
      <c r="I509" s="182"/>
      <c r="J509" s="182"/>
      <c r="K509" s="182"/>
      <c r="L509" s="182"/>
      <c r="M509" s="182"/>
      <c r="N509" s="177"/>
      <c r="O509" s="182"/>
      <c r="P509" s="179"/>
      <c r="Q509" s="182"/>
      <c r="R509" s="182"/>
      <c r="S509" s="182"/>
      <c r="T509" s="182"/>
      <c r="U509" s="182"/>
      <c r="V509" s="182"/>
      <c r="W509" s="182"/>
      <c r="X509" s="182"/>
      <c r="Y509" s="182"/>
      <c r="Z509" s="182"/>
      <c r="AA509" s="182"/>
      <c r="AB509" s="182"/>
      <c r="AC509" s="182"/>
      <c r="AD509" s="182"/>
      <c r="AE509" s="184"/>
      <c r="AF509" s="183"/>
      <c r="AG509" s="183"/>
      <c r="AH509" s="183"/>
      <c r="AI509" s="183"/>
      <c r="AJ509" s="182"/>
      <c r="AK509" s="184"/>
      <c r="AL509" s="182"/>
      <c r="AM509" s="182"/>
      <c r="AN509" s="182"/>
      <c r="AO509" s="182"/>
      <c r="AP509" s="182"/>
      <c r="AQ509" s="182"/>
      <c r="AR509" s="182"/>
    </row>
    <row r="510" spans="1:44">
      <c r="A510" s="182"/>
      <c r="B510" s="182"/>
      <c r="C510" s="182"/>
      <c r="D510" s="182"/>
      <c r="E510" s="182"/>
      <c r="F510" s="182"/>
      <c r="G510" s="182"/>
      <c r="H510" s="182"/>
      <c r="I510" s="182"/>
      <c r="J510" s="182"/>
      <c r="K510" s="182"/>
      <c r="L510" s="182"/>
      <c r="M510" s="182"/>
      <c r="N510" s="177"/>
      <c r="O510" s="182"/>
      <c r="P510" s="179"/>
      <c r="Q510" s="182"/>
      <c r="R510" s="182"/>
      <c r="S510" s="182"/>
      <c r="T510" s="182"/>
      <c r="U510" s="182"/>
      <c r="V510" s="182"/>
      <c r="W510" s="182"/>
      <c r="X510" s="182"/>
      <c r="Y510" s="182"/>
      <c r="Z510" s="182"/>
      <c r="AA510" s="182"/>
      <c r="AB510" s="182"/>
      <c r="AC510" s="182"/>
      <c r="AD510" s="182"/>
      <c r="AE510" s="184"/>
      <c r="AF510" s="183"/>
      <c r="AG510" s="183"/>
      <c r="AH510" s="183"/>
      <c r="AI510" s="183"/>
      <c r="AJ510" s="182"/>
      <c r="AK510" s="184"/>
      <c r="AL510" s="182"/>
      <c r="AM510" s="182"/>
      <c r="AN510" s="182"/>
      <c r="AO510" s="182"/>
      <c r="AP510" s="182"/>
      <c r="AQ510" s="182"/>
      <c r="AR510" s="182"/>
    </row>
    <row r="511" spans="1:44">
      <c r="A511" s="182"/>
      <c r="B511" s="182"/>
      <c r="C511" s="182"/>
      <c r="D511" s="182"/>
      <c r="E511" s="182"/>
      <c r="F511" s="182"/>
      <c r="G511" s="182"/>
      <c r="H511" s="182"/>
      <c r="I511" s="182"/>
      <c r="J511" s="182"/>
      <c r="K511" s="182"/>
      <c r="L511" s="182"/>
      <c r="M511" s="182"/>
      <c r="N511" s="177"/>
      <c r="O511" s="182"/>
      <c r="P511" s="179"/>
      <c r="Q511" s="182"/>
      <c r="R511" s="182"/>
      <c r="S511" s="182"/>
      <c r="T511" s="182"/>
      <c r="U511" s="182"/>
      <c r="V511" s="182"/>
      <c r="W511" s="182"/>
      <c r="X511" s="182"/>
      <c r="Y511" s="182"/>
      <c r="Z511" s="182"/>
      <c r="AA511" s="182"/>
      <c r="AB511" s="182"/>
      <c r="AC511" s="182"/>
      <c r="AD511" s="182"/>
      <c r="AE511" s="184"/>
      <c r="AF511" s="183"/>
      <c r="AG511" s="183"/>
      <c r="AH511" s="183"/>
      <c r="AI511" s="183"/>
      <c r="AJ511" s="182"/>
      <c r="AK511" s="184"/>
      <c r="AL511" s="182"/>
      <c r="AM511" s="182"/>
      <c r="AN511" s="182"/>
      <c r="AO511" s="182"/>
      <c r="AP511" s="182"/>
      <c r="AQ511" s="182"/>
      <c r="AR511" s="182"/>
    </row>
    <row r="512" spans="1:44">
      <c r="A512" s="182"/>
      <c r="B512" s="182"/>
      <c r="C512" s="182"/>
      <c r="D512" s="182"/>
      <c r="E512" s="182"/>
      <c r="F512" s="182"/>
      <c r="G512" s="182"/>
      <c r="H512" s="182"/>
      <c r="I512" s="182"/>
      <c r="J512" s="182"/>
      <c r="K512" s="182"/>
      <c r="L512" s="182"/>
      <c r="M512" s="182"/>
      <c r="N512" s="177"/>
      <c r="O512" s="182"/>
      <c r="P512" s="179"/>
      <c r="Q512" s="182"/>
      <c r="R512" s="182"/>
      <c r="S512" s="182"/>
      <c r="T512" s="182"/>
      <c r="U512" s="182"/>
      <c r="V512" s="182"/>
      <c r="W512" s="182"/>
      <c r="X512" s="182"/>
      <c r="Y512" s="182"/>
      <c r="Z512" s="182"/>
      <c r="AA512" s="182"/>
      <c r="AB512" s="182"/>
      <c r="AC512" s="182"/>
      <c r="AD512" s="182"/>
      <c r="AE512" s="184"/>
      <c r="AF512" s="183"/>
      <c r="AG512" s="183"/>
      <c r="AH512" s="183"/>
      <c r="AI512" s="183"/>
      <c r="AJ512" s="182"/>
      <c r="AK512" s="184"/>
      <c r="AL512" s="182"/>
      <c r="AM512" s="182"/>
      <c r="AN512" s="182"/>
      <c r="AO512" s="182"/>
      <c r="AP512" s="182"/>
      <c r="AQ512" s="182"/>
      <c r="AR512" s="182"/>
    </row>
    <row r="513" spans="1:44">
      <c r="A513" s="182"/>
      <c r="B513" s="182"/>
      <c r="C513" s="182"/>
      <c r="D513" s="182"/>
      <c r="E513" s="182"/>
      <c r="F513" s="182"/>
      <c r="G513" s="182"/>
      <c r="H513" s="182"/>
      <c r="I513" s="182"/>
      <c r="J513" s="182"/>
      <c r="K513" s="182"/>
      <c r="L513" s="182"/>
      <c r="M513" s="182"/>
      <c r="N513" s="177"/>
      <c r="O513" s="182"/>
      <c r="P513" s="179"/>
      <c r="Q513" s="182"/>
      <c r="R513" s="182"/>
      <c r="S513" s="182"/>
      <c r="T513" s="182"/>
      <c r="U513" s="182"/>
      <c r="V513" s="182"/>
      <c r="W513" s="182"/>
      <c r="X513" s="182"/>
      <c r="Y513" s="182"/>
      <c r="Z513" s="182"/>
      <c r="AA513" s="182"/>
      <c r="AB513" s="182"/>
      <c r="AC513" s="182"/>
      <c r="AD513" s="182"/>
      <c r="AE513" s="184"/>
      <c r="AF513" s="183"/>
      <c r="AG513" s="183"/>
      <c r="AH513" s="183"/>
      <c r="AI513" s="183"/>
      <c r="AJ513" s="182"/>
      <c r="AK513" s="184"/>
      <c r="AL513" s="182"/>
      <c r="AM513" s="182"/>
      <c r="AN513" s="182"/>
      <c r="AO513" s="182"/>
      <c r="AP513" s="182"/>
      <c r="AQ513" s="182"/>
      <c r="AR513" s="182"/>
    </row>
    <row r="514" spans="1:44">
      <c r="A514" s="182"/>
      <c r="B514" s="182"/>
      <c r="C514" s="182"/>
      <c r="D514" s="182"/>
      <c r="E514" s="182"/>
      <c r="F514" s="182"/>
      <c r="G514" s="182"/>
      <c r="H514" s="182"/>
      <c r="I514" s="182"/>
      <c r="J514" s="182"/>
      <c r="K514" s="182"/>
      <c r="L514" s="182"/>
      <c r="M514" s="182"/>
      <c r="N514" s="177"/>
      <c r="O514" s="182"/>
      <c r="P514" s="179"/>
      <c r="Q514" s="182"/>
      <c r="R514" s="182"/>
      <c r="S514" s="182"/>
      <c r="T514" s="182"/>
      <c r="U514" s="182"/>
      <c r="V514" s="182"/>
      <c r="W514" s="182"/>
      <c r="X514" s="182"/>
      <c r="Y514" s="182"/>
      <c r="Z514" s="182"/>
      <c r="AA514" s="182"/>
      <c r="AB514" s="182"/>
      <c r="AC514" s="182"/>
      <c r="AD514" s="182"/>
      <c r="AE514" s="184"/>
      <c r="AF514" s="183"/>
      <c r="AG514" s="183"/>
      <c r="AH514" s="183"/>
      <c r="AI514" s="183"/>
      <c r="AJ514" s="182"/>
      <c r="AK514" s="184"/>
      <c r="AL514" s="182"/>
      <c r="AM514" s="182"/>
      <c r="AN514" s="182"/>
      <c r="AO514" s="182"/>
      <c r="AP514" s="182"/>
      <c r="AQ514" s="182"/>
      <c r="AR514" s="182"/>
    </row>
    <row r="515" spans="1:44">
      <c r="A515" s="182"/>
      <c r="B515" s="182"/>
      <c r="C515" s="182"/>
      <c r="D515" s="182"/>
      <c r="E515" s="182"/>
      <c r="F515" s="182"/>
      <c r="G515" s="182"/>
      <c r="H515" s="182"/>
      <c r="I515" s="182"/>
      <c r="J515" s="182"/>
      <c r="K515" s="182"/>
      <c r="L515" s="182"/>
      <c r="M515" s="182"/>
      <c r="N515" s="177"/>
      <c r="O515" s="182"/>
      <c r="P515" s="179"/>
      <c r="Q515" s="182"/>
      <c r="R515" s="182"/>
      <c r="S515" s="182"/>
      <c r="T515" s="182"/>
      <c r="U515" s="182"/>
      <c r="V515" s="182"/>
      <c r="W515" s="182"/>
      <c r="X515" s="182"/>
      <c r="Y515" s="182"/>
      <c r="Z515" s="182"/>
      <c r="AA515" s="182"/>
      <c r="AB515" s="182"/>
      <c r="AC515" s="182"/>
      <c r="AD515" s="182"/>
      <c r="AE515" s="184"/>
      <c r="AF515" s="183"/>
      <c r="AG515" s="183"/>
      <c r="AH515" s="183"/>
      <c r="AI515" s="183"/>
      <c r="AJ515" s="182"/>
      <c r="AK515" s="184"/>
      <c r="AL515" s="182"/>
      <c r="AM515" s="182"/>
      <c r="AN515" s="182"/>
      <c r="AO515" s="182"/>
      <c r="AP515" s="182"/>
      <c r="AQ515" s="182"/>
      <c r="AR515" s="182"/>
    </row>
    <row r="516" spans="1:44">
      <c r="A516" s="182"/>
      <c r="B516" s="182"/>
      <c r="C516" s="182"/>
      <c r="D516" s="182"/>
      <c r="E516" s="182"/>
      <c r="F516" s="182"/>
      <c r="G516" s="182"/>
      <c r="H516" s="182"/>
      <c r="I516" s="182"/>
      <c r="J516" s="182"/>
      <c r="K516" s="182"/>
      <c r="L516" s="182"/>
      <c r="M516" s="182"/>
      <c r="N516" s="177"/>
      <c r="O516" s="182"/>
      <c r="P516" s="179"/>
      <c r="Q516" s="182"/>
      <c r="R516" s="182"/>
      <c r="S516" s="182"/>
      <c r="T516" s="182"/>
      <c r="U516" s="182"/>
      <c r="V516" s="182"/>
      <c r="W516" s="182"/>
      <c r="X516" s="182"/>
      <c r="Y516" s="182"/>
      <c r="Z516" s="182"/>
      <c r="AA516" s="182"/>
      <c r="AB516" s="182"/>
      <c r="AC516" s="182"/>
      <c r="AD516" s="182"/>
      <c r="AE516" s="184"/>
      <c r="AF516" s="183"/>
      <c r="AG516" s="183"/>
      <c r="AH516" s="183"/>
      <c r="AI516" s="183"/>
      <c r="AJ516" s="182"/>
      <c r="AK516" s="184"/>
      <c r="AL516" s="182"/>
      <c r="AM516" s="182"/>
      <c r="AN516" s="182"/>
      <c r="AO516" s="182"/>
      <c r="AP516" s="182"/>
      <c r="AQ516" s="182"/>
      <c r="AR516" s="182"/>
    </row>
    <row r="517" spans="1:44">
      <c r="A517" s="182"/>
      <c r="B517" s="182"/>
      <c r="C517" s="182"/>
      <c r="D517" s="182"/>
      <c r="E517" s="182"/>
      <c r="F517" s="182"/>
      <c r="G517" s="182"/>
      <c r="H517" s="182"/>
      <c r="I517" s="182"/>
      <c r="J517" s="182"/>
      <c r="K517" s="182"/>
      <c r="L517" s="182"/>
      <c r="M517" s="182"/>
      <c r="N517" s="177"/>
      <c r="O517" s="182"/>
      <c r="P517" s="179"/>
      <c r="Q517" s="182"/>
      <c r="R517" s="182"/>
      <c r="S517" s="182"/>
      <c r="T517" s="182"/>
      <c r="U517" s="182"/>
      <c r="V517" s="182"/>
      <c r="W517" s="182"/>
      <c r="X517" s="182"/>
      <c r="Y517" s="182"/>
      <c r="Z517" s="182"/>
      <c r="AA517" s="182"/>
      <c r="AB517" s="182"/>
      <c r="AC517" s="182"/>
      <c r="AD517" s="182"/>
      <c r="AE517" s="184"/>
      <c r="AF517" s="183"/>
      <c r="AG517" s="183"/>
      <c r="AH517" s="183"/>
      <c r="AI517" s="183"/>
      <c r="AJ517" s="182"/>
      <c r="AK517" s="184"/>
      <c r="AL517" s="182"/>
      <c r="AM517" s="182"/>
      <c r="AN517" s="182"/>
      <c r="AO517" s="182"/>
      <c r="AP517" s="182"/>
      <c r="AQ517" s="182"/>
      <c r="AR517" s="182"/>
    </row>
    <row r="518" spans="1:44">
      <c r="A518" s="182"/>
      <c r="B518" s="182"/>
      <c r="C518" s="182"/>
      <c r="D518" s="182"/>
      <c r="E518" s="182"/>
      <c r="F518" s="182"/>
      <c r="G518" s="182"/>
      <c r="H518" s="182"/>
      <c r="I518" s="182"/>
      <c r="J518" s="182"/>
      <c r="K518" s="182"/>
      <c r="L518" s="182"/>
      <c r="M518" s="182"/>
      <c r="N518" s="177"/>
      <c r="O518" s="182"/>
      <c r="P518" s="179"/>
      <c r="Q518" s="182"/>
      <c r="R518" s="182"/>
      <c r="S518" s="182"/>
      <c r="T518" s="182"/>
      <c r="U518" s="182"/>
      <c r="V518" s="182"/>
      <c r="W518" s="182"/>
      <c r="X518" s="182"/>
      <c r="Y518" s="182"/>
      <c r="Z518" s="182"/>
      <c r="AA518" s="182"/>
      <c r="AB518" s="182"/>
      <c r="AC518" s="182"/>
      <c r="AD518" s="182"/>
      <c r="AE518" s="184"/>
      <c r="AF518" s="183"/>
      <c r="AG518" s="183"/>
      <c r="AH518" s="183"/>
      <c r="AI518" s="183"/>
      <c r="AJ518" s="182"/>
      <c r="AK518" s="184"/>
      <c r="AL518" s="182"/>
      <c r="AM518" s="182"/>
      <c r="AN518" s="182"/>
      <c r="AO518" s="182"/>
      <c r="AP518" s="182"/>
      <c r="AQ518" s="182"/>
      <c r="AR518" s="182"/>
    </row>
    <row r="519" spans="1:44">
      <c r="A519" s="182"/>
      <c r="B519" s="182"/>
      <c r="C519" s="182"/>
      <c r="D519" s="182"/>
      <c r="E519" s="182"/>
      <c r="F519" s="182"/>
      <c r="G519" s="182"/>
      <c r="H519" s="182"/>
      <c r="I519" s="182"/>
      <c r="J519" s="182"/>
      <c r="K519" s="182"/>
      <c r="L519" s="182"/>
      <c r="M519" s="182"/>
      <c r="N519" s="177"/>
      <c r="O519" s="182"/>
      <c r="P519" s="179"/>
      <c r="Q519" s="182"/>
      <c r="R519" s="182"/>
      <c r="S519" s="182"/>
      <c r="T519" s="182"/>
      <c r="U519" s="182"/>
      <c r="V519" s="182"/>
      <c r="W519" s="182"/>
      <c r="X519" s="182"/>
      <c r="Y519" s="182"/>
      <c r="Z519" s="182"/>
      <c r="AA519" s="182"/>
      <c r="AB519" s="182"/>
      <c r="AC519" s="182"/>
      <c r="AD519" s="182"/>
      <c r="AE519" s="184"/>
      <c r="AF519" s="183"/>
      <c r="AG519" s="183"/>
      <c r="AH519" s="183"/>
      <c r="AI519" s="183"/>
      <c r="AJ519" s="182"/>
      <c r="AK519" s="184"/>
      <c r="AL519" s="182"/>
      <c r="AM519" s="182"/>
      <c r="AN519" s="182"/>
      <c r="AO519" s="182"/>
      <c r="AP519" s="182"/>
      <c r="AQ519" s="182"/>
      <c r="AR519" s="182"/>
    </row>
    <row r="520" spans="1:44">
      <c r="A520" s="182"/>
      <c r="B520" s="182"/>
      <c r="C520" s="182"/>
      <c r="D520" s="182"/>
      <c r="E520" s="182"/>
      <c r="F520" s="182"/>
      <c r="G520" s="182"/>
      <c r="H520" s="182"/>
      <c r="I520" s="182"/>
      <c r="J520" s="182"/>
      <c r="K520" s="182"/>
      <c r="L520" s="182"/>
      <c r="M520" s="182"/>
      <c r="N520" s="177"/>
      <c r="O520" s="182"/>
      <c r="P520" s="179"/>
      <c r="Q520" s="182"/>
      <c r="R520" s="182"/>
      <c r="S520" s="182"/>
      <c r="T520" s="182"/>
      <c r="U520" s="182"/>
      <c r="V520" s="182"/>
      <c r="W520" s="182"/>
      <c r="X520" s="182"/>
      <c r="Y520" s="182"/>
      <c r="Z520" s="182"/>
      <c r="AA520" s="182"/>
      <c r="AB520" s="182"/>
      <c r="AC520" s="182"/>
      <c r="AD520" s="182"/>
      <c r="AE520" s="184"/>
      <c r="AF520" s="183"/>
      <c r="AG520" s="183"/>
      <c r="AH520" s="183"/>
      <c r="AI520" s="183"/>
      <c r="AJ520" s="182"/>
      <c r="AK520" s="184"/>
      <c r="AL520" s="182"/>
      <c r="AM520" s="182"/>
      <c r="AN520" s="182"/>
      <c r="AO520" s="182"/>
      <c r="AP520" s="182"/>
      <c r="AQ520" s="182"/>
      <c r="AR520" s="182"/>
    </row>
    <row r="521" spans="1:44">
      <c r="A521" s="182"/>
      <c r="B521" s="182"/>
      <c r="C521" s="182"/>
      <c r="D521" s="182"/>
      <c r="E521" s="182"/>
      <c r="F521" s="182"/>
      <c r="G521" s="182"/>
      <c r="H521" s="182"/>
      <c r="I521" s="182"/>
      <c r="J521" s="182"/>
      <c r="K521" s="182"/>
      <c r="L521" s="182"/>
      <c r="M521" s="182"/>
      <c r="N521" s="177"/>
      <c r="O521" s="182"/>
      <c r="P521" s="179"/>
      <c r="Q521" s="182"/>
      <c r="R521" s="182"/>
      <c r="S521" s="182"/>
      <c r="T521" s="182"/>
      <c r="U521" s="182"/>
      <c r="V521" s="182"/>
      <c r="W521" s="182"/>
      <c r="X521" s="182"/>
      <c r="Y521" s="182"/>
      <c r="Z521" s="182"/>
      <c r="AA521" s="182"/>
      <c r="AB521" s="182"/>
      <c r="AC521" s="182"/>
      <c r="AD521" s="182"/>
      <c r="AE521" s="184"/>
      <c r="AF521" s="183"/>
      <c r="AG521" s="183"/>
      <c r="AH521" s="183"/>
      <c r="AI521" s="183"/>
      <c r="AJ521" s="182"/>
      <c r="AK521" s="184"/>
      <c r="AL521" s="182"/>
      <c r="AM521" s="182"/>
      <c r="AN521" s="182"/>
      <c r="AO521" s="182"/>
      <c r="AP521" s="182"/>
      <c r="AQ521" s="182"/>
      <c r="AR521" s="182"/>
    </row>
    <row r="522" spans="1:44">
      <c r="A522" s="182"/>
      <c r="B522" s="182"/>
      <c r="C522" s="182"/>
      <c r="D522" s="182"/>
      <c r="E522" s="182"/>
      <c r="F522" s="182"/>
      <c r="G522" s="182"/>
      <c r="H522" s="182"/>
      <c r="I522" s="182"/>
      <c r="J522" s="182"/>
      <c r="K522" s="182"/>
      <c r="L522" s="182"/>
      <c r="M522" s="182"/>
      <c r="N522" s="177"/>
      <c r="O522" s="182"/>
      <c r="P522" s="179"/>
      <c r="Q522" s="182"/>
      <c r="R522" s="182"/>
      <c r="S522" s="182"/>
      <c r="T522" s="182"/>
      <c r="U522" s="182"/>
      <c r="V522" s="182"/>
      <c r="W522" s="182"/>
      <c r="X522" s="182"/>
      <c r="Y522" s="182"/>
      <c r="Z522" s="182"/>
      <c r="AA522" s="182"/>
      <c r="AB522" s="182"/>
      <c r="AC522" s="182"/>
      <c r="AD522" s="182"/>
      <c r="AE522" s="184"/>
      <c r="AF522" s="183"/>
      <c r="AG522" s="183"/>
      <c r="AH522" s="183"/>
      <c r="AI522" s="183"/>
      <c r="AJ522" s="182"/>
      <c r="AK522" s="184"/>
      <c r="AL522" s="182"/>
      <c r="AM522" s="182"/>
      <c r="AN522" s="182"/>
      <c r="AO522" s="182"/>
      <c r="AP522" s="182"/>
      <c r="AQ522" s="182"/>
      <c r="AR522" s="182"/>
    </row>
    <row r="523" spans="1:44">
      <c r="A523" s="182"/>
      <c r="B523" s="182"/>
      <c r="C523" s="182"/>
      <c r="D523" s="182"/>
      <c r="E523" s="182"/>
      <c r="F523" s="182"/>
      <c r="G523" s="182"/>
      <c r="H523" s="182"/>
      <c r="I523" s="182"/>
      <c r="J523" s="182"/>
      <c r="K523" s="182"/>
      <c r="L523" s="182"/>
      <c r="M523" s="182"/>
      <c r="N523" s="177"/>
      <c r="O523" s="182"/>
      <c r="P523" s="179"/>
      <c r="Q523" s="182"/>
      <c r="R523" s="182"/>
      <c r="S523" s="182"/>
      <c r="T523" s="182"/>
      <c r="U523" s="182"/>
      <c r="V523" s="182"/>
      <c r="W523" s="182"/>
      <c r="X523" s="182"/>
      <c r="Y523" s="182"/>
      <c r="Z523" s="182"/>
      <c r="AA523" s="182"/>
      <c r="AB523" s="182"/>
      <c r="AC523" s="182"/>
      <c r="AD523" s="182"/>
      <c r="AE523" s="184"/>
      <c r="AF523" s="183"/>
      <c r="AG523" s="183"/>
      <c r="AH523" s="183"/>
      <c r="AI523" s="183"/>
      <c r="AJ523" s="182"/>
      <c r="AK523" s="184"/>
      <c r="AL523" s="182"/>
      <c r="AM523" s="182"/>
      <c r="AN523" s="182"/>
      <c r="AO523" s="182"/>
      <c r="AP523" s="182"/>
      <c r="AQ523" s="182"/>
      <c r="AR523" s="182"/>
    </row>
    <row r="524" spans="1:44">
      <c r="A524" s="182"/>
      <c r="B524" s="182"/>
      <c r="C524" s="182"/>
      <c r="D524" s="182"/>
      <c r="E524" s="182"/>
      <c r="F524" s="182"/>
      <c r="G524" s="182"/>
      <c r="H524" s="182"/>
      <c r="I524" s="182"/>
      <c r="J524" s="182"/>
      <c r="K524" s="182"/>
      <c r="L524" s="182"/>
      <c r="M524" s="182"/>
      <c r="N524" s="177"/>
      <c r="O524" s="182"/>
      <c r="P524" s="179"/>
      <c r="Q524" s="182"/>
      <c r="R524" s="182"/>
      <c r="S524" s="182"/>
      <c r="T524" s="182"/>
      <c r="U524" s="182"/>
      <c r="V524" s="182"/>
      <c r="W524" s="182"/>
      <c r="X524" s="182"/>
      <c r="Y524" s="182"/>
      <c r="Z524" s="182"/>
      <c r="AA524" s="182"/>
      <c r="AB524" s="182"/>
      <c r="AC524" s="182"/>
      <c r="AD524" s="182"/>
      <c r="AE524" s="184"/>
      <c r="AF524" s="183"/>
      <c r="AG524" s="183"/>
      <c r="AH524" s="183"/>
      <c r="AI524" s="183"/>
      <c r="AJ524" s="182"/>
      <c r="AK524" s="184"/>
      <c r="AL524" s="182"/>
      <c r="AM524" s="182"/>
      <c r="AN524" s="182"/>
      <c r="AO524" s="182"/>
      <c r="AP524" s="182"/>
      <c r="AQ524" s="182"/>
      <c r="AR524" s="182"/>
    </row>
    <row r="525" spans="1:44">
      <c r="A525" s="182"/>
      <c r="B525" s="182"/>
      <c r="C525" s="182"/>
      <c r="D525" s="182"/>
      <c r="E525" s="182"/>
      <c r="F525" s="182"/>
      <c r="G525" s="182"/>
      <c r="H525" s="182"/>
      <c r="I525" s="182"/>
      <c r="J525" s="182"/>
      <c r="K525" s="182"/>
      <c r="L525" s="182"/>
      <c r="M525" s="182"/>
      <c r="N525" s="177"/>
      <c r="O525" s="182"/>
      <c r="P525" s="179"/>
      <c r="Q525" s="182"/>
      <c r="R525" s="182"/>
      <c r="S525" s="182"/>
      <c r="T525" s="182"/>
      <c r="U525" s="182"/>
      <c r="V525" s="182"/>
      <c r="W525" s="182"/>
      <c r="X525" s="182"/>
      <c r="Y525" s="182"/>
      <c r="Z525" s="182"/>
      <c r="AA525" s="182"/>
      <c r="AB525" s="182"/>
      <c r="AC525" s="182"/>
      <c r="AD525" s="182"/>
      <c r="AE525" s="184"/>
      <c r="AF525" s="183"/>
      <c r="AG525" s="183"/>
      <c r="AH525" s="183"/>
      <c r="AI525" s="183"/>
      <c r="AJ525" s="182"/>
      <c r="AK525" s="184"/>
      <c r="AL525" s="182"/>
      <c r="AM525" s="182"/>
      <c r="AN525" s="182"/>
      <c r="AO525" s="182"/>
      <c r="AP525" s="182"/>
      <c r="AQ525" s="182"/>
      <c r="AR525" s="182"/>
    </row>
    <row r="526" spans="1:44">
      <c r="A526" s="182"/>
      <c r="B526" s="182"/>
      <c r="C526" s="182"/>
      <c r="D526" s="182"/>
      <c r="E526" s="182"/>
      <c r="F526" s="182"/>
      <c r="G526" s="182"/>
      <c r="H526" s="182"/>
      <c r="I526" s="182"/>
      <c r="J526" s="182"/>
      <c r="K526" s="182"/>
      <c r="L526" s="182"/>
      <c r="M526" s="182"/>
      <c r="N526" s="177"/>
      <c r="O526" s="182"/>
      <c r="P526" s="179"/>
      <c r="Q526" s="182"/>
      <c r="R526" s="182"/>
      <c r="S526" s="182"/>
      <c r="T526" s="182"/>
      <c r="U526" s="182"/>
      <c r="V526" s="182"/>
      <c r="W526" s="182"/>
      <c r="X526" s="182"/>
      <c r="Y526" s="182"/>
      <c r="Z526" s="182"/>
      <c r="AA526" s="182"/>
      <c r="AB526" s="182"/>
      <c r="AC526" s="182"/>
      <c r="AD526" s="182"/>
      <c r="AE526" s="184"/>
      <c r="AF526" s="183"/>
      <c r="AG526" s="183"/>
      <c r="AH526" s="183"/>
      <c r="AI526" s="183"/>
      <c r="AJ526" s="182"/>
      <c r="AK526" s="184"/>
      <c r="AL526" s="182"/>
      <c r="AM526" s="182"/>
      <c r="AN526" s="182"/>
      <c r="AO526" s="182"/>
      <c r="AP526" s="182"/>
      <c r="AQ526" s="182"/>
      <c r="AR526" s="182"/>
    </row>
    <row r="527" spans="1:44">
      <c r="A527" s="182"/>
      <c r="B527" s="182"/>
      <c r="C527" s="182"/>
      <c r="D527" s="182"/>
      <c r="E527" s="182"/>
      <c r="F527" s="182"/>
      <c r="G527" s="182"/>
      <c r="H527" s="182"/>
      <c r="I527" s="182"/>
      <c r="J527" s="182"/>
      <c r="K527" s="182"/>
      <c r="L527" s="182"/>
      <c r="M527" s="182"/>
      <c r="N527" s="177"/>
      <c r="O527" s="182"/>
      <c r="P527" s="179"/>
      <c r="Q527" s="182"/>
      <c r="R527" s="182"/>
      <c r="S527" s="182"/>
      <c r="T527" s="182"/>
      <c r="U527" s="182"/>
      <c r="V527" s="182"/>
      <c r="W527" s="182"/>
      <c r="X527" s="182"/>
      <c r="Y527" s="182"/>
      <c r="Z527" s="182"/>
      <c r="AA527" s="182"/>
      <c r="AB527" s="182"/>
      <c r="AC527" s="182"/>
      <c r="AD527" s="182"/>
      <c r="AE527" s="184"/>
      <c r="AF527" s="183"/>
      <c r="AG527" s="183"/>
      <c r="AH527" s="183"/>
      <c r="AI527" s="183"/>
      <c r="AJ527" s="182"/>
      <c r="AK527" s="184"/>
      <c r="AL527" s="182"/>
      <c r="AM527" s="182"/>
      <c r="AN527" s="182"/>
      <c r="AO527" s="182"/>
      <c r="AP527" s="182"/>
      <c r="AQ527" s="182"/>
      <c r="AR527" s="182"/>
    </row>
    <row r="528" spans="1:44">
      <c r="A528" s="182"/>
      <c r="B528" s="182"/>
      <c r="C528" s="182"/>
      <c r="D528" s="182"/>
      <c r="E528" s="182"/>
      <c r="F528" s="182"/>
      <c r="G528" s="182"/>
      <c r="H528" s="182"/>
      <c r="I528" s="182"/>
      <c r="J528" s="182"/>
      <c r="K528" s="182"/>
      <c r="L528" s="182"/>
      <c r="M528" s="182"/>
      <c r="N528" s="177"/>
      <c r="O528" s="182"/>
      <c r="P528" s="179"/>
      <c r="Q528" s="182"/>
      <c r="R528" s="182"/>
      <c r="S528" s="182"/>
      <c r="T528" s="182"/>
      <c r="U528" s="182"/>
      <c r="V528" s="182"/>
      <c r="W528" s="182"/>
      <c r="X528" s="182"/>
      <c r="Y528" s="182"/>
      <c r="Z528" s="182"/>
      <c r="AA528" s="182"/>
      <c r="AB528" s="182"/>
      <c r="AC528" s="182"/>
      <c r="AD528" s="182"/>
      <c r="AE528" s="184"/>
      <c r="AF528" s="183"/>
      <c r="AG528" s="183"/>
      <c r="AH528" s="183"/>
      <c r="AI528" s="183"/>
      <c r="AJ528" s="182"/>
      <c r="AK528" s="184"/>
      <c r="AL528" s="182"/>
      <c r="AM528" s="182"/>
      <c r="AN528" s="182"/>
      <c r="AO528" s="182"/>
      <c r="AP528" s="182"/>
      <c r="AQ528" s="182"/>
      <c r="AR528" s="182"/>
    </row>
    <row r="529" spans="1:44">
      <c r="A529" s="182"/>
      <c r="B529" s="182"/>
      <c r="C529" s="182"/>
      <c r="D529" s="182"/>
      <c r="E529" s="182"/>
      <c r="F529" s="182"/>
      <c r="G529" s="182"/>
      <c r="H529" s="182"/>
      <c r="I529" s="182"/>
      <c r="J529" s="182"/>
      <c r="K529" s="182"/>
      <c r="L529" s="182"/>
      <c r="M529" s="182"/>
      <c r="N529" s="177"/>
      <c r="O529" s="182"/>
      <c r="P529" s="179"/>
      <c r="Q529" s="182"/>
      <c r="R529" s="182"/>
      <c r="S529" s="182"/>
      <c r="T529" s="182"/>
      <c r="U529" s="182"/>
      <c r="V529" s="182"/>
      <c r="W529" s="182"/>
      <c r="X529" s="182"/>
      <c r="Y529" s="182"/>
      <c r="Z529" s="182"/>
      <c r="AA529" s="182"/>
      <c r="AB529" s="182"/>
      <c r="AC529" s="182"/>
      <c r="AD529" s="182"/>
      <c r="AE529" s="184"/>
      <c r="AF529" s="183"/>
      <c r="AG529" s="183"/>
      <c r="AH529" s="183"/>
      <c r="AI529" s="183"/>
      <c r="AJ529" s="182"/>
      <c r="AK529" s="184"/>
      <c r="AL529" s="182"/>
      <c r="AM529" s="182"/>
      <c r="AN529" s="182"/>
      <c r="AO529" s="182"/>
      <c r="AP529" s="182"/>
      <c r="AQ529" s="182"/>
      <c r="AR529" s="182"/>
    </row>
    <row r="530" spans="1:44">
      <c r="A530" s="182"/>
      <c r="B530" s="182"/>
      <c r="C530" s="182"/>
      <c r="D530" s="182"/>
      <c r="E530" s="182"/>
      <c r="F530" s="182"/>
      <c r="G530" s="182"/>
      <c r="H530" s="182"/>
      <c r="I530" s="182"/>
      <c r="J530" s="182"/>
      <c r="K530" s="182"/>
      <c r="L530" s="182"/>
      <c r="M530" s="182"/>
      <c r="N530" s="177"/>
      <c r="O530" s="182"/>
      <c r="P530" s="179"/>
      <c r="Q530" s="182"/>
      <c r="R530" s="182"/>
      <c r="S530" s="182"/>
      <c r="T530" s="182"/>
      <c r="U530" s="182"/>
      <c r="V530" s="182"/>
      <c r="W530" s="182"/>
      <c r="X530" s="182"/>
      <c r="Y530" s="182"/>
      <c r="Z530" s="182"/>
      <c r="AA530" s="182"/>
      <c r="AB530" s="182"/>
      <c r="AC530" s="182"/>
      <c r="AD530" s="182"/>
      <c r="AE530" s="184"/>
      <c r="AF530" s="183"/>
      <c r="AG530" s="183"/>
      <c r="AH530" s="183"/>
      <c r="AI530" s="183"/>
      <c r="AJ530" s="182"/>
      <c r="AK530" s="184"/>
      <c r="AL530" s="182"/>
      <c r="AM530" s="182"/>
      <c r="AN530" s="182"/>
      <c r="AO530" s="182"/>
      <c r="AP530" s="182"/>
      <c r="AQ530" s="182"/>
      <c r="AR530" s="182"/>
    </row>
    <row r="531" spans="1:44">
      <c r="A531" s="182"/>
      <c r="B531" s="182"/>
      <c r="C531" s="182"/>
      <c r="D531" s="182"/>
      <c r="E531" s="182"/>
      <c r="F531" s="182"/>
      <c r="G531" s="182"/>
      <c r="H531" s="182"/>
      <c r="I531" s="182"/>
      <c r="J531" s="182"/>
      <c r="K531" s="182"/>
      <c r="L531" s="182"/>
      <c r="M531" s="182"/>
      <c r="N531" s="177"/>
      <c r="O531" s="182"/>
      <c r="P531" s="179"/>
      <c r="Q531" s="182"/>
      <c r="R531" s="182"/>
      <c r="S531" s="182"/>
      <c r="T531" s="182"/>
      <c r="U531" s="182"/>
      <c r="V531" s="182"/>
      <c r="W531" s="182"/>
      <c r="X531" s="182"/>
      <c r="Y531" s="182"/>
      <c r="Z531" s="182"/>
      <c r="AA531" s="182"/>
      <c r="AB531" s="182"/>
      <c r="AC531" s="182"/>
      <c r="AD531" s="182"/>
      <c r="AE531" s="184"/>
      <c r="AF531" s="183"/>
      <c r="AG531" s="183"/>
      <c r="AH531" s="183"/>
      <c r="AI531" s="183"/>
      <c r="AJ531" s="182"/>
      <c r="AK531" s="184"/>
      <c r="AL531" s="182"/>
      <c r="AM531" s="182"/>
      <c r="AN531" s="182"/>
      <c r="AO531" s="182"/>
      <c r="AP531" s="182"/>
      <c r="AQ531" s="182"/>
      <c r="AR531" s="182"/>
    </row>
    <row r="532" spans="1:44">
      <c r="A532" s="182"/>
      <c r="B532" s="182"/>
      <c r="C532" s="182"/>
      <c r="D532" s="182"/>
      <c r="E532" s="182"/>
      <c r="F532" s="182"/>
      <c r="G532" s="182"/>
      <c r="H532" s="182"/>
      <c r="I532" s="182"/>
      <c r="J532" s="182"/>
      <c r="K532" s="182"/>
      <c r="L532" s="182"/>
      <c r="M532" s="182"/>
      <c r="N532" s="177"/>
      <c r="O532" s="182"/>
      <c r="P532" s="179"/>
      <c r="Q532" s="182"/>
      <c r="R532" s="182"/>
      <c r="S532" s="182"/>
      <c r="T532" s="182"/>
      <c r="U532" s="182"/>
      <c r="V532" s="182"/>
      <c r="W532" s="182"/>
      <c r="X532" s="182"/>
      <c r="Y532" s="182"/>
      <c r="Z532" s="182"/>
      <c r="AA532" s="182"/>
      <c r="AB532" s="182"/>
      <c r="AC532" s="182"/>
      <c r="AD532" s="182"/>
      <c r="AE532" s="184"/>
      <c r="AF532" s="183"/>
      <c r="AG532" s="183"/>
      <c r="AH532" s="183"/>
      <c r="AI532" s="183"/>
      <c r="AJ532" s="182"/>
      <c r="AK532" s="184"/>
      <c r="AL532" s="182"/>
      <c r="AM532" s="182"/>
      <c r="AN532" s="182"/>
      <c r="AO532" s="182"/>
      <c r="AP532" s="182"/>
      <c r="AQ532" s="182"/>
      <c r="AR532" s="182"/>
    </row>
    <row r="533" spans="1:44">
      <c r="A533" s="182"/>
      <c r="B533" s="182"/>
      <c r="C533" s="182"/>
      <c r="D533" s="182"/>
      <c r="E533" s="182"/>
      <c r="F533" s="182"/>
      <c r="G533" s="182"/>
      <c r="H533" s="182"/>
      <c r="I533" s="182"/>
      <c r="J533" s="182"/>
      <c r="K533" s="182"/>
      <c r="L533" s="182"/>
      <c r="M533" s="182"/>
      <c r="N533" s="177"/>
      <c r="O533" s="182"/>
      <c r="P533" s="179"/>
      <c r="Q533" s="182"/>
      <c r="R533" s="182"/>
      <c r="S533" s="182"/>
      <c r="T533" s="182"/>
      <c r="U533" s="182"/>
      <c r="V533" s="182"/>
      <c r="W533" s="182"/>
      <c r="X533" s="182"/>
      <c r="Y533" s="182"/>
      <c r="Z533" s="182"/>
      <c r="AA533" s="182"/>
      <c r="AB533" s="182"/>
      <c r="AC533" s="182"/>
      <c r="AD533" s="182"/>
      <c r="AE533" s="184"/>
      <c r="AF533" s="183"/>
      <c r="AG533" s="183"/>
      <c r="AH533" s="183"/>
      <c r="AI533" s="183"/>
      <c r="AJ533" s="182"/>
      <c r="AK533" s="184"/>
      <c r="AL533" s="182"/>
      <c r="AM533" s="182"/>
      <c r="AN533" s="182"/>
      <c r="AO533" s="182"/>
      <c r="AP533" s="182"/>
      <c r="AQ533" s="182"/>
      <c r="AR533" s="182"/>
    </row>
    <row r="534" spans="1:44">
      <c r="A534" s="182"/>
      <c r="B534" s="182"/>
      <c r="C534" s="182"/>
      <c r="D534" s="182"/>
      <c r="E534" s="182"/>
      <c r="F534" s="182"/>
      <c r="G534" s="182"/>
      <c r="H534" s="182"/>
      <c r="I534" s="182"/>
      <c r="J534" s="182"/>
      <c r="K534" s="182"/>
      <c r="L534" s="182"/>
      <c r="M534" s="182"/>
      <c r="N534" s="177"/>
      <c r="O534" s="182"/>
      <c r="P534" s="179"/>
      <c r="Q534" s="182"/>
      <c r="R534" s="182"/>
      <c r="S534" s="182"/>
      <c r="T534" s="182"/>
      <c r="U534" s="182"/>
      <c r="V534" s="182"/>
      <c r="W534" s="182"/>
      <c r="X534" s="182"/>
      <c r="Y534" s="182"/>
      <c r="Z534" s="182"/>
      <c r="AA534" s="182"/>
      <c r="AB534" s="182"/>
      <c r="AC534" s="182"/>
      <c r="AD534" s="182"/>
      <c r="AE534" s="184"/>
      <c r="AF534" s="183"/>
      <c r="AG534" s="183"/>
      <c r="AH534" s="183"/>
      <c r="AI534" s="183"/>
      <c r="AJ534" s="182"/>
      <c r="AK534" s="184"/>
      <c r="AL534" s="182"/>
      <c r="AM534" s="182"/>
      <c r="AN534" s="182"/>
      <c r="AO534" s="182"/>
      <c r="AP534" s="182"/>
      <c r="AQ534" s="182"/>
      <c r="AR534" s="182"/>
    </row>
    <row r="535" spans="1:44">
      <c r="A535" s="182"/>
      <c r="B535" s="182"/>
      <c r="C535" s="182"/>
      <c r="D535" s="182"/>
      <c r="E535" s="182"/>
      <c r="F535" s="182"/>
      <c r="G535" s="182"/>
      <c r="H535" s="182"/>
      <c r="I535" s="182"/>
      <c r="J535" s="182"/>
      <c r="K535" s="182"/>
      <c r="L535" s="182"/>
      <c r="M535" s="182"/>
      <c r="N535" s="177"/>
      <c r="O535" s="182"/>
      <c r="P535" s="179"/>
      <c r="Q535" s="182"/>
      <c r="R535" s="182"/>
      <c r="S535" s="182"/>
      <c r="T535" s="182"/>
      <c r="U535" s="182"/>
      <c r="V535" s="182"/>
      <c r="W535" s="182"/>
      <c r="X535" s="182"/>
      <c r="Y535" s="182"/>
      <c r="Z535" s="182"/>
      <c r="AA535" s="182"/>
      <c r="AB535" s="182"/>
      <c r="AC535" s="182"/>
      <c r="AD535" s="182"/>
      <c r="AE535" s="184"/>
      <c r="AF535" s="183"/>
      <c r="AG535" s="183"/>
      <c r="AH535" s="183"/>
      <c r="AI535" s="183"/>
      <c r="AJ535" s="182"/>
      <c r="AK535" s="184"/>
      <c r="AL535" s="182"/>
      <c r="AM535" s="182"/>
      <c r="AN535" s="182"/>
      <c r="AO535" s="182"/>
      <c r="AP535" s="182"/>
      <c r="AQ535" s="182"/>
      <c r="AR535" s="182"/>
    </row>
    <row r="536" spans="1:44">
      <c r="A536" s="182"/>
      <c r="B536" s="182"/>
      <c r="C536" s="182"/>
      <c r="D536" s="182"/>
      <c r="E536" s="182"/>
      <c r="F536" s="182"/>
      <c r="G536" s="182"/>
      <c r="H536" s="182"/>
      <c r="I536" s="182"/>
      <c r="J536" s="182"/>
      <c r="K536" s="182"/>
      <c r="L536" s="182"/>
      <c r="M536" s="182"/>
      <c r="N536" s="177"/>
      <c r="O536" s="182"/>
      <c r="P536" s="179"/>
      <c r="Q536" s="182"/>
      <c r="R536" s="182"/>
      <c r="S536" s="182"/>
      <c r="T536" s="182"/>
      <c r="U536" s="182"/>
      <c r="V536" s="182"/>
      <c r="W536" s="182"/>
      <c r="X536" s="182"/>
      <c r="Y536" s="182"/>
      <c r="Z536" s="182"/>
      <c r="AA536" s="182"/>
      <c r="AB536" s="182"/>
      <c r="AC536" s="182"/>
      <c r="AD536" s="182"/>
      <c r="AE536" s="184"/>
      <c r="AF536" s="183"/>
      <c r="AG536" s="183"/>
      <c r="AH536" s="183"/>
      <c r="AI536" s="183"/>
      <c r="AJ536" s="182"/>
      <c r="AK536" s="184"/>
      <c r="AL536" s="182"/>
      <c r="AM536" s="182"/>
      <c r="AN536" s="182"/>
      <c r="AO536" s="182"/>
      <c r="AP536" s="182"/>
      <c r="AQ536" s="182"/>
      <c r="AR536" s="182"/>
    </row>
    <row r="537" spans="1:44">
      <c r="A537" s="182"/>
      <c r="B537" s="182"/>
      <c r="C537" s="182"/>
      <c r="D537" s="182"/>
      <c r="E537" s="182"/>
      <c r="F537" s="182"/>
      <c r="G537" s="182"/>
      <c r="H537" s="182"/>
      <c r="I537" s="182"/>
      <c r="J537" s="182"/>
      <c r="K537" s="182"/>
      <c r="L537" s="182"/>
      <c r="M537" s="182"/>
      <c r="N537" s="177"/>
      <c r="O537" s="182"/>
      <c r="P537" s="179"/>
      <c r="Q537" s="182"/>
      <c r="R537" s="182"/>
      <c r="S537" s="182"/>
      <c r="T537" s="182"/>
      <c r="U537" s="182"/>
      <c r="V537" s="182"/>
      <c r="W537" s="182"/>
      <c r="X537" s="182"/>
      <c r="Y537" s="182"/>
      <c r="Z537" s="182"/>
      <c r="AA537" s="182"/>
      <c r="AB537" s="182"/>
      <c r="AC537" s="182"/>
      <c r="AD537" s="182"/>
      <c r="AE537" s="184"/>
      <c r="AF537" s="183"/>
      <c r="AG537" s="183"/>
      <c r="AH537" s="183"/>
      <c r="AI537" s="183"/>
      <c r="AJ537" s="182"/>
      <c r="AK537" s="184"/>
      <c r="AL537" s="182"/>
      <c r="AM537" s="182"/>
      <c r="AN537" s="182"/>
      <c r="AO537" s="182"/>
      <c r="AP537" s="182"/>
      <c r="AQ537" s="182"/>
      <c r="AR537" s="182"/>
    </row>
    <row r="538" spans="1:44">
      <c r="A538" s="182"/>
      <c r="B538" s="182"/>
      <c r="C538" s="182"/>
      <c r="D538" s="182"/>
      <c r="E538" s="182"/>
      <c r="F538" s="182"/>
      <c r="G538" s="182"/>
      <c r="H538" s="182"/>
      <c r="I538" s="182"/>
      <c r="J538" s="182"/>
      <c r="K538" s="182"/>
      <c r="L538" s="182"/>
      <c r="M538" s="182"/>
      <c r="N538" s="177"/>
      <c r="O538" s="182"/>
      <c r="P538" s="179"/>
      <c r="Q538" s="182"/>
      <c r="R538" s="182"/>
      <c r="S538" s="182"/>
      <c r="T538" s="182"/>
      <c r="U538" s="182"/>
      <c r="V538" s="182"/>
      <c r="W538" s="182"/>
      <c r="X538" s="182"/>
      <c r="Y538" s="182"/>
      <c r="Z538" s="182"/>
      <c r="AA538" s="182"/>
      <c r="AB538" s="182"/>
      <c r="AC538" s="182"/>
      <c r="AD538" s="182"/>
      <c r="AE538" s="184"/>
      <c r="AF538" s="183"/>
      <c r="AG538" s="183"/>
      <c r="AH538" s="183"/>
      <c r="AI538" s="183"/>
      <c r="AJ538" s="182"/>
      <c r="AK538" s="184"/>
      <c r="AL538" s="182"/>
      <c r="AM538" s="182"/>
      <c r="AN538" s="182"/>
      <c r="AO538" s="182"/>
      <c r="AP538" s="182"/>
      <c r="AQ538" s="182"/>
      <c r="AR538" s="182"/>
    </row>
    <row r="539" spans="1:44">
      <c r="A539" s="182"/>
      <c r="B539" s="182"/>
      <c r="C539" s="182"/>
      <c r="D539" s="182"/>
      <c r="E539" s="182"/>
      <c r="F539" s="182"/>
      <c r="G539" s="182"/>
      <c r="H539" s="182"/>
      <c r="I539" s="182"/>
      <c r="J539" s="182"/>
      <c r="K539" s="182"/>
      <c r="L539" s="182"/>
      <c r="M539" s="182"/>
      <c r="N539" s="177"/>
      <c r="O539" s="182"/>
      <c r="P539" s="179"/>
      <c r="Q539" s="182"/>
      <c r="R539" s="182"/>
      <c r="S539" s="182"/>
      <c r="T539" s="182"/>
      <c r="U539" s="182"/>
      <c r="V539" s="182"/>
      <c r="W539" s="182"/>
      <c r="X539" s="182"/>
      <c r="Y539" s="182"/>
      <c r="Z539" s="182"/>
      <c r="AA539" s="182"/>
      <c r="AB539" s="182"/>
      <c r="AC539" s="182"/>
      <c r="AD539" s="182"/>
      <c r="AE539" s="184"/>
      <c r="AF539" s="183"/>
      <c r="AG539" s="183"/>
      <c r="AH539" s="183"/>
      <c r="AI539" s="183"/>
      <c r="AJ539" s="182"/>
      <c r="AK539" s="184"/>
      <c r="AL539" s="182"/>
      <c r="AM539" s="182"/>
      <c r="AN539" s="182"/>
      <c r="AO539" s="182"/>
      <c r="AP539" s="182"/>
      <c r="AQ539" s="182"/>
      <c r="AR539" s="182"/>
    </row>
    <row r="540" spans="1:44">
      <c r="A540" s="182"/>
      <c r="B540" s="182"/>
      <c r="C540" s="182"/>
      <c r="D540" s="182"/>
      <c r="E540" s="182"/>
      <c r="F540" s="182"/>
      <c r="G540" s="182"/>
      <c r="H540" s="182"/>
      <c r="I540" s="182"/>
      <c r="J540" s="182"/>
      <c r="K540" s="182"/>
      <c r="L540" s="182"/>
      <c r="M540" s="182"/>
      <c r="N540" s="177"/>
      <c r="O540" s="182"/>
      <c r="P540" s="179"/>
      <c r="Q540" s="182"/>
      <c r="R540" s="182"/>
      <c r="S540" s="182"/>
      <c r="T540" s="182"/>
      <c r="U540" s="182"/>
      <c r="V540" s="182"/>
      <c r="W540" s="182"/>
      <c r="X540" s="182"/>
      <c r="Y540" s="182"/>
      <c r="Z540" s="182"/>
      <c r="AA540" s="182"/>
      <c r="AB540" s="182"/>
      <c r="AC540" s="182"/>
      <c r="AD540" s="182"/>
      <c r="AE540" s="184"/>
      <c r="AF540" s="183"/>
      <c r="AG540" s="183"/>
      <c r="AH540" s="183"/>
      <c r="AI540" s="183"/>
      <c r="AJ540" s="182"/>
      <c r="AK540" s="184"/>
      <c r="AL540" s="182"/>
      <c r="AM540" s="182"/>
      <c r="AN540" s="182"/>
      <c r="AO540" s="182"/>
      <c r="AP540" s="182"/>
      <c r="AQ540" s="182"/>
      <c r="AR540" s="182"/>
    </row>
    <row r="541" spans="1:44">
      <c r="A541" s="182"/>
      <c r="B541" s="182"/>
      <c r="C541" s="182"/>
      <c r="D541" s="182"/>
      <c r="E541" s="182"/>
      <c r="F541" s="182"/>
      <c r="G541" s="182"/>
      <c r="H541" s="182"/>
      <c r="I541" s="182"/>
      <c r="J541" s="182"/>
      <c r="K541" s="182"/>
      <c r="L541" s="182"/>
      <c r="M541" s="182"/>
      <c r="N541" s="177"/>
      <c r="O541" s="182"/>
      <c r="P541" s="179"/>
      <c r="Q541" s="182"/>
      <c r="R541" s="182"/>
      <c r="S541" s="182"/>
      <c r="T541" s="182"/>
      <c r="U541" s="182"/>
      <c r="V541" s="182"/>
      <c r="W541" s="182"/>
      <c r="X541" s="182"/>
      <c r="Y541" s="182"/>
      <c r="Z541" s="182"/>
      <c r="AA541" s="182"/>
      <c r="AB541" s="182"/>
      <c r="AC541" s="182"/>
      <c r="AD541" s="182"/>
      <c r="AE541" s="184"/>
      <c r="AF541" s="183"/>
      <c r="AG541" s="183"/>
      <c r="AH541" s="183"/>
      <c r="AI541" s="183"/>
      <c r="AJ541" s="182"/>
      <c r="AK541" s="184"/>
      <c r="AL541" s="182"/>
      <c r="AM541" s="182"/>
      <c r="AN541" s="182"/>
      <c r="AO541" s="182"/>
      <c r="AP541" s="182"/>
      <c r="AQ541" s="182"/>
      <c r="AR541" s="182"/>
    </row>
    <row r="542" spans="1:44">
      <c r="A542" s="182"/>
      <c r="B542" s="182"/>
      <c r="C542" s="182"/>
      <c r="D542" s="182"/>
      <c r="E542" s="182"/>
      <c r="F542" s="182"/>
      <c r="G542" s="182"/>
      <c r="H542" s="182"/>
      <c r="I542" s="182"/>
      <c r="J542" s="182"/>
      <c r="K542" s="182"/>
      <c r="L542" s="182"/>
      <c r="M542" s="182"/>
      <c r="N542" s="177"/>
      <c r="O542" s="182"/>
      <c r="P542" s="179"/>
      <c r="Q542" s="182"/>
      <c r="R542" s="182"/>
      <c r="S542" s="182"/>
      <c r="T542" s="182"/>
      <c r="U542" s="182"/>
      <c r="V542" s="182"/>
      <c r="W542" s="182"/>
      <c r="X542" s="182"/>
      <c r="Y542" s="182"/>
      <c r="Z542" s="182"/>
      <c r="AA542" s="182"/>
      <c r="AB542" s="182"/>
      <c r="AC542" s="182"/>
      <c r="AD542" s="182"/>
      <c r="AE542" s="184"/>
      <c r="AF542" s="183"/>
      <c r="AG542" s="183"/>
      <c r="AH542" s="183"/>
      <c r="AI542" s="183"/>
      <c r="AJ542" s="182"/>
      <c r="AK542" s="184"/>
      <c r="AL542" s="182"/>
      <c r="AM542" s="182"/>
      <c r="AN542" s="182"/>
      <c r="AO542" s="182"/>
      <c r="AP542" s="182"/>
      <c r="AQ542" s="182"/>
      <c r="AR542" s="182"/>
    </row>
    <row r="543" spans="1:44">
      <c r="A543" s="182"/>
      <c r="B543" s="182"/>
      <c r="C543" s="182"/>
      <c r="D543" s="182"/>
      <c r="E543" s="182"/>
      <c r="F543" s="182"/>
      <c r="G543" s="182"/>
      <c r="H543" s="182"/>
      <c r="I543" s="182"/>
      <c r="J543" s="182"/>
      <c r="K543" s="182"/>
      <c r="L543" s="182"/>
      <c r="M543" s="182"/>
      <c r="N543" s="177"/>
      <c r="O543" s="182"/>
      <c r="P543" s="179"/>
      <c r="Q543" s="182"/>
      <c r="R543" s="182"/>
      <c r="S543" s="182"/>
      <c r="T543" s="182"/>
      <c r="U543" s="182"/>
      <c r="V543" s="182"/>
      <c r="W543" s="182"/>
      <c r="X543" s="182"/>
      <c r="Y543" s="182"/>
      <c r="Z543" s="182"/>
      <c r="AA543" s="182"/>
      <c r="AB543" s="182"/>
      <c r="AC543" s="182"/>
      <c r="AD543" s="182"/>
      <c r="AE543" s="184"/>
      <c r="AF543" s="183"/>
      <c r="AG543" s="183"/>
      <c r="AH543" s="183"/>
      <c r="AI543" s="183"/>
      <c r="AJ543" s="182"/>
      <c r="AK543" s="184"/>
      <c r="AL543" s="182"/>
      <c r="AM543" s="182"/>
      <c r="AN543" s="182"/>
      <c r="AO543" s="182"/>
      <c r="AP543" s="182"/>
      <c r="AQ543" s="182"/>
      <c r="AR543" s="182"/>
    </row>
    <row r="544" spans="1:44">
      <c r="A544" s="182"/>
      <c r="B544" s="182"/>
      <c r="C544" s="182"/>
      <c r="D544" s="182"/>
      <c r="E544" s="182"/>
      <c r="F544" s="182"/>
      <c r="G544" s="182"/>
      <c r="H544" s="182"/>
      <c r="I544" s="182"/>
      <c r="J544" s="182"/>
      <c r="K544" s="182"/>
      <c r="L544" s="182"/>
      <c r="M544" s="182"/>
      <c r="N544" s="177"/>
      <c r="O544" s="182"/>
      <c r="P544" s="179"/>
      <c r="Q544" s="182"/>
      <c r="R544" s="182"/>
      <c r="S544" s="182"/>
      <c r="T544" s="182"/>
      <c r="U544" s="182"/>
      <c r="V544" s="182"/>
      <c r="W544" s="182"/>
      <c r="X544" s="182"/>
      <c r="Y544" s="182"/>
      <c r="Z544" s="182"/>
      <c r="AA544" s="182"/>
      <c r="AB544" s="182"/>
      <c r="AC544" s="182"/>
      <c r="AD544" s="182"/>
      <c r="AE544" s="184"/>
      <c r="AF544" s="183"/>
      <c r="AG544" s="183"/>
      <c r="AH544" s="183"/>
      <c r="AI544" s="183"/>
      <c r="AJ544" s="182"/>
      <c r="AK544" s="184"/>
      <c r="AL544" s="182"/>
      <c r="AM544" s="182"/>
      <c r="AN544" s="182"/>
      <c r="AO544" s="182"/>
      <c r="AP544" s="182"/>
      <c r="AQ544" s="182"/>
      <c r="AR544" s="182"/>
    </row>
    <row r="545" spans="1:44">
      <c r="A545" s="182"/>
      <c r="B545" s="182"/>
      <c r="C545" s="182"/>
      <c r="D545" s="182"/>
      <c r="E545" s="182"/>
      <c r="F545" s="182"/>
      <c r="G545" s="182"/>
      <c r="H545" s="182"/>
      <c r="I545" s="182"/>
      <c r="J545" s="182"/>
      <c r="K545" s="182"/>
      <c r="L545" s="182"/>
      <c r="M545" s="182"/>
      <c r="N545" s="177"/>
      <c r="O545" s="182"/>
      <c r="P545" s="179"/>
      <c r="Q545" s="182"/>
      <c r="R545" s="182"/>
      <c r="S545" s="182"/>
      <c r="T545" s="182"/>
      <c r="U545" s="182"/>
      <c r="V545" s="182"/>
      <c r="W545" s="182"/>
      <c r="X545" s="182"/>
      <c r="Y545" s="182"/>
      <c r="Z545" s="182"/>
      <c r="AA545" s="182"/>
      <c r="AB545" s="182"/>
      <c r="AC545" s="182"/>
      <c r="AD545" s="182"/>
      <c r="AE545" s="184"/>
      <c r="AF545" s="183"/>
      <c r="AG545" s="183"/>
      <c r="AH545" s="183"/>
      <c r="AI545" s="183"/>
      <c r="AJ545" s="182"/>
      <c r="AK545" s="184"/>
      <c r="AL545" s="182"/>
      <c r="AM545" s="182"/>
      <c r="AN545" s="182"/>
      <c r="AO545" s="182"/>
      <c r="AP545" s="182"/>
      <c r="AQ545" s="182"/>
      <c r="AR545" s="182"/>
    </row>
    <row r="546" spans="1:44">
      <c r="A546" s="182"/>
      <c r="B546" s="182"/>
      <c r="C546" s="182"/>
      <c r="D546" s="182"/>
      <c r="E546" s="182"/>
      <c r="F546" s="182"/>
      <c r="G546" s="182"/>
      <c r="H546" s="182"/>
      <c r="I546" s="182"/>
      <c r="J546" s="182"/>
      <c r="K546" s="182"/>
      <c r="L546" s="182"/>
      <c r="M546" s="182"/>
      <c r="N546" s="177"/>
      <c r="O546" s="182"/>
      <c r="P546" s="179"/>
      <c r="Q546" s="182"/>
      <c r="R546" s="182"/>
      <c r="S546" s="182"/>
      <c r="T546" s="182"/>
      <c r="U546" s="182"/>
      <c r="V546" s="182"/>
      <c r="W546" s="182"/>
      <c r="X546" s="182"/>
      <c r="Y546" s="182"/>
      <c r="Z546" s="182"/>
      <c r="AA546" s="182"/>
      <c r="AB546" s="182"/>
      <c r="AC546" s="182"/>
      <c r="AD546" s="182"/>
      <c r="AE546" s="184"/>
      <c r="AF546" s="183"/>
      <c r="AG546" s="183"/>
      <c r="AH546" s="183"/>
      <c r="AI546" s="183"/>
      <c r="AJ546" s="182"/>
      <c r="AK546" s="184"/>
      <c r="AL546" s="182"/>
      <c r="AM546" s="182"/>
      <c r="AN546" s="182"/>
      <c r="AO546" s="182"/>
      <c r="AP546" s="182"/>
      <c r="AQ546" s="182"/>
      <c r="AR546" s="182"/>
    </row>
    <row r="547" spans="1:44">
      <c r="A547" s="182"/>
      <c r="B547" s="182"/>
      <c r="C547" s="182"/>
      <c r="D547" s="182"/>
      <c r="E547" s="182"/>
      <c r="F547" s="182"/>
      <c r="G547" s="182"/>
      <c r="H547" s="182"/>
      <c r="I547" s="182"/>
      <c r="J547" s="182"/>
      <c r="K547" s="182"/>
      <c r="L547" s="182"/>
      <c r="M547" s="182"/>
      <c r="N547" s="177"/>
      <c r="O547" s="182"/>
      <c r="P547" s="179"/>
      <c r="Q547" s="182"/>
      <c r="R547" s="182"/>
      <c r="S547" s="182"/>
      <c r="T547" s="182"/>
      <c r="U547" s="182"/>
      <c r="V547" s="182"/>
      <c r="W547" s="182"/>
      <c r="X547" s="182"/>
      <c r="Y547" s="182"/>
      <c r="Z547" s="182"/>
      <c r="AA547" s="182"/>
      <c r="AB547" s="182"/>
      <c r="AC547" s="182"/>
      <c r="AD547" s="182"/>
      <c r="AE547" s="184"/>
      <c r="AF547" s="183"/>
      <c r="AG547" s="183"/>
      <c r="AH547" s="183"/>
      <c r="AI547" s="183"/>
      <c r="AJ547" s="182"/>
      <c r="AK547" s="184"/>
      <c r="AL547" s="182"/>
      <c r="AM547" s="182"/>
      <c r="AN547" s="182"/>
      <c r="AO547" s="182"/>
      <c r="AP547" s="182"/>
      <c r="AQ547" s="182"/>
      <c r="AR547" s="182"/>
    </row>
    <row r="548" spans="1:44">
      <c r="A548" s="182"/>
      <c r="B548" s="182"/>
      <c r="C548" s="182"/>
      <c r="D548" s="182"/>
      <c r="E548" s="182"/>
      <c r="F548" s="182"/>
      <c r="G548" s="182"/>
      <c r="H548" s="182"/>
      <c r="I548" s="182"/>
      <c r="J548" s="182"/>
      <c r="K548" s="182"/>
      <c r="L548" s="182"/>
      <c r="M548" s="182"/>
      <c r="N548" s="177"/>
      <c r="O548" s="182"/>
      <c r="P548" s="179"/>
      <c r="Q548" s="182"/>
      <c r="R548" s="182"/>
      <c r="S548" s="182"/>
      <c r="T548" s="182"/>
      <c r="U548" s="182"/>
      <c r="V548" s="182"/>
      <c r="W548" s="182"/>
      <c r="X548" s="182"/>
      <c r="Y548" s="182"/>
      <c r="Z548" s="182"/>
      <c r="AA548" s="182"/>
      <c r="AB548" s="182"/>
      <c r="AC548" s="182"/>
      <c r="AD548" s="182"/>
      <c r="AE548" s="184"/>
      <c r="AF548" s="183"/>
      <c r="AG548" s="183"/>
      <c r="AH548" s="183"/>
      <c r="AI548" s="183"/>
      <c r="AJ548" s="182"/>
      <c r="AK548" s="184"/>
      <c r="AL548" s="182"/>
      <c r="AM548" s="182"/>
      <c r="AN548" s="182"/>
      <c r="AO548" s="182"/>
      <c r="AP548" s="182"/>
      <c r="AQ548" s="182"/>
      <c r="AR548" s="182"/>
    </row>
    <row r="549" spans="1:44">
      <c r="A549" s="182"/>
      <c r="B549" s="182"/>
      <c r="C549" s="182"/>
      <c r="D549" s="182"/>
      <c r="E549" s="182"/>
      <c r="F549" s="182"/>
      <c r="G549" s="182"/>
      <c r="H549" s="182"/>
      <c r="I549" s="182"/>
      <c r="J549" s="182"/>
      <c r="K549" s="182"/>
      <c r="L549" s="182"/>
      <c r="M549" s="182"/>
      <c r="N549" s="177"/>
      <c r="O549" s="182"/>
      <c r="P549" s="179"/>
      <c r="Q549" s="182"/>
      <c r="R549" s="182"/>
      <c r="S549" s="182"/>
      <c r="T549" s="182"/>
      <c r="U549" s="182"/>
      <c r="V549" s="182"/>
      <c r="W549" s="182"/>
      <c r="X549" s="182"/>
      <c r="Y549" s="182"/>
      <c r="Z549" s="182"/>
      <c r="AA549" s="182"/>
      <c r="AB549" s="182"/>
      <c r="AC549" s="182"/>
      <c r="AD549" s="182"/>
      <c r="AE549" s="184"/>
      <c r="AF549" s="183"/>
      <c r="AG549" s="183"/>
      <c r="AH549" s="183"/>
      <c r="AI549" s="183"/>
      <c r="AJ549" s="182"/>
      <c r="AK549" s="184"/>
      <c r="AL549" s="182"/>
      <c r="AM549" s="182"/>
      <c r="AN549" s="182"/>
      <c r="AO549" s="182"/>
      <c r="AP549" s="182"/>
      <c r="AQ549" s="182"/>
      <c r="AR549" s="182"/>
    </row>
    <row r="550" spans="1:44">
      <c r="A550" s="182"/>
      <c r="B550" s="182"/>
      <c r="C550" s="182"/>
      <c r="D550" s="182"/>
      <c r="E550" s="182"/>
      <c r="F550" s="182"/>
      <c r="G550" s="182"/>
      <c r="H550" s="182"/>
      <c r="I550" s="182"/>
      <c r="J550" s="182"/>
      <c r="K550" s="182"/>
      <c r="L550" s="182"/>
      <c r="M550" s="182"/>
      <c r="N550" s="177"/>
      <c r="O550" s="182"/>
      <c r="P550" s="179"/>
      <c r="Q550" s="182"/>
      <c r="R550" s="182"/>
      <c r="S550" s="182"/>
      <c r="T550" s="182"/>
      <c r="U550" s="182"/>
      <c r="V550" s="182"/>
      <c r="W550" s="182"/>
      <c r="X550" s="182"/>
      <c r="Y550" s="182"/>
      <c r="Z550" s="182"/>
      <c r="AA550" s="182"/>
      <c r="AB550" s="182"/>
      <c r="AC550" s="182"/>
      <c r="AD550" s="182"/>
      <c r="AE550" s="184"/>
      <c r="AF550" s="183"/>
      <c r="AG550" s="183"/>
      <c r="AH550" s="183"/>
      <c r="AI550" s="183"/>
      <c r="AJ550" s="182"/>
      <c r="AK550" s="184"/>
      <c r="AL550" s="182"/>
      <c r="AM550" s="182"/>
      <c r="AN550" s="182"/>
      <c r="AO550" s="182"/>
      <c r="AP550" s="182"/>
      <c r="AQ550" s="182"/>
      <c r="AR550" s="182"/>
    </row>
    <row r="551" spans="1:44">
      <c r="A551" s="182"/>
      <c r="B551" s="182"/>
      <c r="C551" s="182"/>
      <c r="D551" s="182"/>
      <c r="E551" s="182"/>
      <c r="F551" s="182"/>
      <c r="G551" s="182"/>
      <c r="H551" s="182"/>
      <c r="I551" s="182"/>
      <c r="J551" s="182"/>
      <c r="K551" s="182"/>
      <c r="L551" s="182"/>
      <c r="M551" s="182"/>
      <c r="N551" s="177"/>
      <c r="O551" s="182"/>
      <c r="P551" s="179"/>
      <c r="Q551" s="182"/>
      <c r="R551" s="182"/>
      <c r="S551" s="182"/>
      <c r="T551" s="182"/>
      <c r="U551" s="182"/>
      <c r="V551" s="182"/>
      <c r="W551" s="182"/>
      <c r="X551" s="182"/>
      <c r="Y551" s="182"/>
      <c r="Z551" s="182"/>
      <c r="AA551" s="182"/>
      <c r="AB551" s="182"/>
      <c r="AC551" s="182"/>
      <c r="AD551" s="182"/>
      <c r="AE551" s="184"/>
      <c r="AF551" s="183"/>
      <c r="AG551" s="183"/>
      <c r="AH551" s="183"/>
      <c r="AI551" s="183"/>
      <c r="AJ551" s="182"/>
      <c r="AK551" s="184"/>
      <c r="AL551" s="182"/>
      <c r="AM551" s="182"/>
      <c r="AN551" s="182"/>
      <c r="AO551" s="182"/>
      <c r="AP551" s="182"/>
      <c r="AQ551" s="182"/>
      <c r="AR551" s="182"/>
    </row>
    <row r="552" spans="1:44">
      <c r="A552" s="182"/>
      <c r="B552" s="182"/>
      <c r="C552" s="182"/>
      <c r="D552" s="182"/>
      <c r="E552" s="182"/>
      <c r="F552" s="182"/>
      <c r="G552" s="182"/>
      <c r="H552" s="182"/>
      <c r="I552" s="182"/>
      <c r="J552" s="182"/>
      <c r="K552" s="182"/>
      <c r="L552" s="182"/>
      <c r="M552" s="182"/>
      <c r="N552" s="177"/>
      <c r="O552" s="182"/>
      <c r="P552" s="179"/>
      <c r="Q552" s="182"/>
      <c r="R552" s="182"/>
      <c r="S552" s="182"/>
      <c r="T552" s="182"/>
      <c r="U552" s="182"/>
      <c r="V552" s="182"/>
      <c r="W552" s="182"/>
      <c r="X552" s="182"/>
      <c r="Y552" s="182"/>
      <c r="Z552" s="182"/>
      <c r="AA552" s="182"/>
      <c r="AB552" s="182"/>
      <c r="AC552" s="182"/>
      <c r="AD552" s="182"/>
      <c r="AE552" s="184"/>
      <c r="AF552" s="183"/>
      <c r="AG552" s="183"/>
      <c r="AH552" s="183"/>
      <c r="AI552" s="183"/>
      <c r="AJ552" s="182"/>
      <c r="AK552" s="184"/>
      <c r="AL552" s="182"/>
      <c r="AM552" s="182"/>
      <c r="AN552" s="182"/>
      <c r="AO552" s="182"/>
      <c r="AP552" s="182"/>
      <c r="AQ552" s="182"/>
      <c r="AR552" s="182"/>
    </row>
    <row r="553" spans="1:44">
      <c r="A553" s="182"/>
      <c r="B553" s="182"/>
      <c r="C553" s="182"/>
      <c r="D553" s="182"/>
      <c r="E553" s="182"/>
      <c r="F553" s="182"/>
      <c r="G553" s="182"/>
      <c r="H553" s="182"/>
      <c r="I553" s="182"/>
      <c r="J553" s="182"/>
      <c r="K553" s="182"/>
      <c r="L553" s="182"/>
      <c r="M553" s="182"/>
      <c r="N553" s="177"/>
      <c r="O553" s="182"/>
      <c r="P553" s="179"/>
      <c r="Q553" s="182"/>
      <c r="R553" s="182"/>
      <c r="S553" s="182"/>
      <c r="T553" s="182"/>
      <c r="U553" s="182"/>
      <c r="V553" s="182"/>
      <c r="W553" s="182"/>
      <c r="X553" s="182"/>
      <c r="Y553" s="182"/>
      <c r="Z553" s="182"/>
      <c r="AA553" s="182"/>
      <c r="AB553" s="182"/>
      <c r="AC553" s="182"/>
      <c r="AD553" s="182"/>
      <c r="AE553" s="184"/>
      <c r="AF553" s="183"/>
      <c r="AG553" s="183"/>
      <c r="AH553" s="183"/>
      <c r="AI553" s="183"/>
      <c r="AJ553" s="182"/>
      <c r="AK553" s="184"/>
      <c r="AL553" s="182"/>
      <c r="AM553" s="182"/>
      <c r="AN553" s="182"/>
      <c r="AO553" s="182"/>
      <c r="AP553" s="182"/>
      <c r="AQ553" s="182"/>
      <c r="AR553" s="182"/>
    </row>
    <row r="554" spans="1:44">
      <c r="A554" s="182"/>
      <c r="B554" s="182"/>
      <c r="C554" s="182"/>
      <c r="D554" s="182"/>
      <c r="E554" s="182"/>
      <c r="F554" s="182"/>
      <c r="G554" s="182"/>
      <c r="H554" s="182"/>
      <c r="I554" s="182"/>
      <c r="J554" s="182"/>
      <c r="K554" s="182"/>
      <c r="L554" s="182"/>
      <c r="M554" s="182"/>
      <c r="N554" s="177"/>
      <c r="O554" s="182"/>
      <c r="P554" s="179"/>
      <c r="Q554" s="182"/>
      <c r="R554" s="182"/>
      <c r="S554" s="182"/>
      <c r="T554" s="182"/>
      <c r="U554" s="182"/>
      <c r="V554" s="182"/>
      <c r="W554" s="182"/>
      <c r="X554" s="182"/>
      <c r="Y554" s="182"/>
      <c r="Z554" s="182"/>
      <c r="AA554" s="182"/>
      <c r="AB554" s="182"/>
      <c r="AC554" s="182"/>
      <c r="AD554" s="182"/>
      <c r="AE554" s="184"/>
      <c r="AF554" s="183"/>
      <c r="AG554" s="183"/>
      <c r="AH554" s="183"/>
      <c r="AI554" s="183"/>
      <c r="AJ554" s="182"/>
      <c r="AK554" s="184"/>
      <c r="AL554" s="182"/>
      <c r="AM554" s="182"/>
      <c r="AN554" s="182"/>
      <c r="AO554" s="182"/>
      <c r="AP554" s="182"/>
      <c r="AQ554" s="182"/>
      <c r="AR554" s="182"/>
    </row>
    <row r="555" spans="1:44">
      <c r="A555" s="182"/>
      <c r="B555" s="182"/>
      <c r="C555" s="182"/>
      <c r="D555" s="182"/>
      <c r="E555" s="182"/>
      <c r="F555" s="182"/>
      <c r="G555" s="182"/>
      <c r="H555" s="182"/>
      <c r="I555" s="182"/>
      <c r="J555" s="182"/>
      <c r="K555" s="182"/>
      <c r="L555" s="182"/>
      <c r="M555" s="182"/>
      <c r="N555" s="177"/>
      <c r="O555" s="182"/>
      <c r="P555" s="179"/>
      <c r="Q555" s="182"/>
      <c r="R555" s="182"/>
      <c r="S555" s="182"/>
      <c r="T555" s="182"/>
      <c r="U555" s="182"/>
      <c r="V555" s="182"/>
      <c r="W555" s="182"/>
      <c r="X555" s="182"/>
      <c r="Y555" s="182"/>
      <c r="Z555" s="182"/>
      <c r="AA555" s="182"/>
      <c r="AB555" s="182"/>
      <c r="AC555" s="182"/>
      <c r="AD555" s="182"/>
      <c r="AE555" s="184"/>
      <c r="AF555" s="183"/>
      <c r="AG555" s="183"/>
      <c r="AH555" s="183"/>
      <c r="AI555" s="183"/>
      <c r="AJ555" s="182"/>
      <c r="AK555" s="184"/>
      <c r="AL555" s="182"/>
      <c r="AM555" s="182"/>
      <c r="AN555" s="182"/>
      <c r="AO555" s="182"/>
      <c r="AP555" s="182"/>
      <c r="AQ555" s="182"/>
      <c r="AR555" s="182"/>
    </row>
    <row r="556" spans="1:44">
      <c r="A556" s="182"/>
      <c r="B556" s="182"/>
      <c r="C556" s="182"/>
      <c r="D556" s="182"/>
      <c r="E556" s="182"/>
      <c r="F556" s="182"/>
      <c r="G556" s="182"/>
      <c r="H556" s="182"/>
      <c r="I556" s="182"/>
      <c r="J556" s="182"/>
      <c r="K556" s="182"/>
      <c r="L556" s="182"/>
      <c r="M556" s="182"/>
      <c r="N556" s="177"/>
      <c r="O556" s="182"/>
      <c r="P556" s="179"/>
      <c r="Q556" s="182"/>
      <c r="R556" s="182"/>
      <c r="S556" s="182"/>
      <c r="T556" s="182"/>
      <c r="U556" s="182"/>
      <c r="V556" s="182"/>
      <c r="W556" s="182"/>
      <c r="X556" s="182"/>
      <c r="Y556" s="182"/>
      <c r="Z556" s="182"/>
      <c r="AA556" s="182"/>
      <c r="AB556" s="182"/>
      <c r="AC556" s="182"/>
      <c r="AD556" s="182"/>
      <c r="AE556" s="184"/>
      <c r="AF556" s="183"/>
      <c r="AG556" s="183"/>
      <c r="AH556" s="183"/>
      <c r="AI556" s="183"/>
      <c r="AJ556" s="182"/>
      <c r="AK556" s="184"/>
      <c r="AL556" s="182"/>
      <c r="AM556" s="182"/>
      <c r="AN556" s="182"/>
      <c r="AO556" s="182"/>
      <c r="AP556" s="182"/>
      <c r="AQ556" s="182"/>
      <c r="AR556" s="182"/>
    </row>
    <row r="557" spans="1:44">
      <c r="A557" s="182"/>
      <c r="B557" s="182"/>
      <c r="C557" s="182"/>
      <c r="D557" s="182"/>
      <c r="E557" s="182"/>
      <c r="F557" s="182"/>
      <c r="G557" s="182"/>
      <c r="H557" s="182"/>
      <c r="I557" s="182"/>
      <c r="J557" s="182"/>
      <c r="K557" s="182"/>
      <c r="L557" s="182"/>
      <c r="M557" s="182"/>
      <c r="N557" s="177"/>
      <c r="O557" s="182"/>
      <c r="P557" s="179"/>
      <c r="Q557" s="182"/>
      <c r="R557" s="182"/>
      <c r="S557" s="182"/>
      <c r="T557" s="182"/>
      <c r="U557" s="182"/>
      <c r="V557" s="182"/>
      <c r="W557" s="182"/>
      <c r="X557" s="182"/>
      <c r="Y557" s="182"/>
      <c r="Z557" s="182"/>
      <c r="AA557" s="182"/>
      <c r="AB557" s="182"/>
      <c r="AC557" s="182"/>
      <c r="AD557" s="182"/>
      <c r="AE557" s="184"/>
      <c r="AF557" s="183"/>
      <c r="AG557" s="183"/>
      <c r="AH557" s="183"/>
      <c r="AI557" s="183"/>
      <c r="AJ557" s="182"/>
      <c r="AK557" s="184"/>
      <c r="AL557" s="182"/>
      <c r="AM557" s="182"/>
      <c r="AN557" s="182"/>
      <c r="AO557" s="182"/>
      <c r="AP557" s="182"/>
      <c r="AQ557" s="182"/>
      <c r="AR557" s="182"/>
    </row>
    <row r="558" spans="1:44">
      <c r="A558" s="182"/>
      <c r="B558" s="182"/>
      <c r="C558" s="182"/>
      <c r="D558" s="182"/>
      <c r="E558" s="182"/>
      <c r="F558" s="182"/>
      <c r="G558" s="182"/>
      <c r="H558" s="182"/>
      <c r="I558" s="182"/>
      <c r="J558" s="182"/>
      <c r="K558" s="182"/>
      <c r="L558" s="182"/>
      <c r="M558" s="182"/>
      <c r="N558" s="177"/>
      <c r="O558" s="182"/>
      <c r="P558" s="179"/>
      <c r="Q558" s="182"/>
      <c r="R558" s="182"/>
      <c r="S558" s="182"/>
      <c r="T558" s="182"/>
      <c r="U558" s="182"/>
      <c r="V558" s="182"/>
      <c r="W558" s="182"/>
      <c r="X558" s="182"/>
      <c r="Y558" s="182"/>
      <c r="Z558" s="182"/>
      <c r="AA558" s="182"/>
      <c r="AB558" s="182"/>
      <c r="AC558" s="182"/>
      <c r="AD558" s="182"/>
      <c r="AE558" s="184"/>
      <c r="AF558" s="183"/>
      <c r="AG558" s="183"/>
      <c r="AH558" s="183"/>
      <c r="AI558" s="183"/>
      <c r="AJ558" s="182"/>
      <c r="AK558" s="184"/>
      <c r="AL558" s="182"/>
      <c r="AM558" s="182"/>
      <c r="AN558" s="182"/>
      <c r="AO558" s="182"/>
      <c r="AP558" s="182"/>
      <c r="AQ558" s="182"/>
      <c r="AR558" s="182"/>
    </row>
    <row r="559" spans="1:44">
      <c r="A559" s="182"/>
      <c r="B559" s="182"/>
      <c r="C559" s="182"/>
      <c r="D559" s="182"/>
      <c r="E559" s="182"/>
      <c r="F559" s="182"/>
      <c r="G559" s="182"/>
      <c r="H559" s="182"/>
      <c r="I559" s="182"/>
      <c r="J559" s="182"/>
      <c r="K559" s="182"/>
      <c r="L559" s="182"/>
      <c r="M559" s="182"/>
      <c r="N559" s="177"/>
      <c r="O559" s="182"/>
      <c r="P559" s="179"/>
      <c r="Q559" s="182"/>
      <c r="R559" s="182"/>
      <c r="S559" s="182"/>
      <c r="T559" s="182"/>
      <c r="U559" s="182"/>
      <c r="V559" s="182"/>
      <c r="W559" s="182"/>
      <c r="X559" s="182"/>
      <c r="Y559" s="182"/>
      <c r="Z559" s="182"/>
      <c r="AA559" s="182"/>
      <c r="AB559" s="182"/>
      <c r="AC559" s="182"/>
      <c r="AD559" s="182"/>
      <c r="AE559" s="184"/>
      <c r="AF559" s="183"/>
      <c r="AG559" s="183"/>
      <c r="AH559" s="183"/>
      <c r="AI559" s="183"/>
      <c r="AJ559" s="182"/>
      <c r="AK559" s="184"/>
      <c r="AL559" s="182"/>
      <c r="AM559" s="182"/>
      <c r="AN559" s="182"/>
      <c r="AO559" s="182"/>
      <c r="AP559" s="182"/>
      <c r="AQ559" s="182"/>
      <c r="AR559" s="182"/>
    </row>
    <row r="560" spans="1:44">
      <c r="A560" s="182"/>
      <c r="B560" s="182"/>
      <c r="C560" s="182"/>
      <c r="D560" s="182"/>
      <c r="E560" s="182"/>
      <c r="F560" s="182"/>
      <c r="G560" s="182"/>
      <c r="H560" s="182"/>
      <c r="I560" s="182"/>
      <c r="J560" s="182"/>
      <c r="K560" s="182"/>
      <c r="L560" s="182"/>
      <c r="M560" s="182"/>
      <c r="N560" s="177"/>
      <c r="O560" s="182"/>
      <c r="P560" s="179"/>
      <c r="Q560" s="182"/>
      <c r="R560" s="182"/>
      <c r="S560" s="182"/>
      <c r="T560" s="182"/>
      <c r="U560" s="182"/>
      <c r="V560" s="182"/>
      <c r="W560" s="182"/>
      <c r="X560" s="182"/>
      <c r="Y560" s="182"/>
      <c r="Z560" s="182"/>
      <c r="AA560" s="182"/>
      <c r="AB560" s="182"/>
      <c r="AC560" s="182"/>
      <c r="AD560" s="182"/>
      <c r="AE560" s="184"/>
      <c r="AF560" s="183"/>
      <c r="AG560" s="183"/>
      <c r="AH560" s="183"/>
      <c r="AI560" s="183"/>
      <c r="AJ560" s="182"/>
      <c r="AK560" s="184"/>
      <c r="AL560" s="182"/>
      <c r="AM560" s="182"/>
      <c r="AN560" s="182"/>
      <c r="AO560" s="182"/>
      <c r="AP560" s="182"/>
      <c r="AQ560" s="182"/>
      <c r="AR560" s="182"/>
    </row>
    <row r="561" spans="1:44">
      <c r="A561" s="182"/>
      <c r="B561" s="182"/>
      <c r="C561" s="182"/>
      <c r="D561" s="182"/>
      <c r="E561" s="182"/>
      <c r="F561" s="182"/>
      <c r="G561" s="182"/>
      <c r="H561" s="182"/>
      <c r="I561" s="182"/>
      <c r="J561" s="182"/>
      <c r="K561" s="182"/>
      <c r="L561" s="182"/>
      <c r="M561" s="182"/>
      <c r="N561" s="177"/>
      <c r="O561" s="182"/>
      <c r="P561" s="179"/>
      <c r="Q561" s="182"/>
      <c r="R561" s="182"/>
      <c r="S561" s="182"/>
      <c r="T561" s="182"/>
      <c r="U561" s="182"/>
      <c r="V561" s="182"/>
      <c r="W561" s="182"/>
      <c r="X561" s="182"/>
      <c r="Y561" s="182"/>
      <c r="Z561" s="182"/>
      <c r="AA561" s="182"/>
      <c r="AB561" s="182"/>
      <c r="AC561" s="182"/>
      <c r="AD561" s="182"/>
      <c r="AE561" s="184"/>
      <c r="AF561" s="183"/>
      <c r="AG561" s="183"/>
      <c r="AH561" s="183"/>
      <c r="AI561" s="183"/>
      <c r="AJ561" s="182"/>
      <c r="AK561" s="184"/>
      <c r="AL561" s="182"/>
      <c r="AM561" s="182"/>
      <c r="AN561" s="182"/>
      <c r="AO561" s="182"/>
      <c r="AP561" s="182"/>
      <c r="AQ561" s="182"/>
      <c r="AR561" s="182"/>
    </row>
    <row r="562" spans="1:44">
      <c r="A562" s="182"/>
      <c r="B562" s="182"/>
      <c r="C562" s="182"/>
      <c r="D562" s="182"/>
      <c r="E562" s="182"/>
      <c r="F562" s="182"/>
      <c r="G562" s="182"/>
      <c r="H562" s="182"/>
      <c r="I562" s="182"/>
      <c r="J562" s="182"/>
      <c r="K562" s="182"/>
      <c r="L562" s="182"/>
      <c r="M562" s="182"/>
      <c r="N562" s="177"/>
      <c r="O562" s="182"/>
      <c r="P562" s="179"/>
      <c r="Q562" s="182"/>
      <c r="R562" s="182"/>
      <c r="S562" s="182"/>
      <c r="T562" s="182"/>
      <c r="U562" s="182"/>
      <c r="V562" s="182"/>
      <c r="W562" s="182"/>
      <c r="X562" s="182"/>
      <c r="Y562" s="182"/>
      <c r="Z562" s="182"/>
      <c r="AA562" s="182"/>
      <c r="AB562" s="182"/>
      <c r="AC562" s="182"/>
      <c r="AD562" s="182"/>
      <c r="AE562" s="184"/>
      <c r="AF562" s="183"/>
      <c r="AG562" s="183"/>
      <c r="AH562" s="183"/>
      <c r="AI562" s="183"/>
      <c r="AJ562" s="182"/>
      <c r="AK562" s="184"/>
      <c r="AL562" s="182"/>
      <c r="AM562" s="182"/>
      <c r="AN562" s="182"/>
      <c r="AO562" s="182"/>
      <c r="AP562" s="182"/>
      <c r="AQ562" s="182"/>
      <c r="AR562" s="182"/>
    </row>
    <row r="563" spans="1:44">
      <c r="A563" s="182"/>
      <c r="B563" s="182"/>
      <c r="C563" s="182"/>
      <c r="D563" s="182"/>
      <c r="E563" s="182"/>
      <c r="F563" s="182"/>
      <c r="G563" s="182"/>
      <c r="H563" s="182"/>
      <c r="I563" s="182"/>
      <c r="J563" s="182"/>
      <c r="K563" s="182"/>
      <c r="L563" s="182"/>
      <c r="M563" s="182"/>
      <c r="N563" s="177"/>
      <c r="O563" s="182"/>
      <c r="P563" s="179"/>
      <c r="Q563" s="182"/>
      <c r="R563" s="182"/>
      <c r="S563" s="182"/>
      <c r="T563" s="182"/>
      <c r="U563" s="182"/>
      <c r="V563" s="182"/>
      <c r="W563" s="182"/>
      <c r="X563" s="182"/>
      <c r="Y563" s="182"/>
      <c r="Z563" s="182"/>
      <c r="AA563" s="182"/>
      <c r="AB563" s="182"/>
      <c r="AC563" s="182"/>
      <c r="AD563" s="182"/>
      <c r="AE563" s="184"/>
      <c r="AF563" s="183"/>
      <c r="AG563" s="183"/>
      <c r="AH563" s="183"/>
      <c r="AI563" s="183"/>
      <c r="AJ563" s="182"/>
      <c r="AK563" s="184"/>
      <c r="AL563" s="182"/>
      <c r="AM563" s="182"/>
      <c r="AN563" s="182"/>
      <c r="AO563" s="182"/>
      <c r="AP563" s="182"/>
      <c r="AQ563" s="182"/>
      <c r="AR563" s="182"/>
    </row>
    <row r="564" spans="1:44">
      <c r="A564" s="182"/>
      <c r="B564" s="182"/>
      <c r="C564" s="182"/>
      <c r="D564" s="182"/>
      <c r="E564" s="182"/>
      <c r="F564" s="182"/>
      <c r="G564" s="182"/>
      <c r="H564" s="182"/>
      <c r="I564" s="182"/>
      <c r="J564" s="182"/>
      <c r="K564" s="182"/>
      <c r="L564" s="182"/>
      <c r="M564" s="182"/>
      <c r="N564" s="177"/>
      <c r="O564" s="182"/>
      <c r="P564" s="179"/>
      <c r="Q564" s="182"/>
      <c r="R564" s="182"/>
      <c r="S564" s="182"/>
      <c r="T564" s="182"/>
      <c r="U564" s="182"/>
      <c r="V564" s="182"/>
      <c r="W564" s="182"/>
      <c r="X564" s="182"/>
      <c r="Y564" s="182"/>
      <c r="Z564" s="182"/>
      <c r="AA564" s="182"/>
      <c r="AB564" s="182"/>
      <c r="AC564" s="182"/>
      <c r="AD564" s="182"/>
      <c r="AE564" s="184"/>
      <c r="AF564" s="183"/>
      <c r="AG564" s="183"/>
      <c r="AH564" s="183"/>
      <c r="AI564" s="183"/>
      <c r="AJ564" s="182"/>
      <c r="AK564" s="184"/>
      <c r="AL564" s="182"/>
      <c r="AM564" s="182"/>
      <c r="AN564" s="182"/>
      <c r="AO564" s="182"/>
      <c r="AP564" s="182"/>
      <c r="AQ564" s="182"/>
      <c r="AR564" s="182"/>
    </row>
    <row r="565" spans="1:44">
      <c r="A565" s="182"/>
      <c r="B565" s="182"/>
      <c r="C565" s="182"/>
      <c r="D565" s="182"/>
      <c r="E565" s="182"/>
      <c r="F565" s="182"/>
      <c r="G565" s="182"/>
      <c r="H565" s="182"/>
      <c r="I565" s="182"/>
      <c r="J565" s="182"/>
      <c r="K565" s="182"/>
      <c r="L565" s="182"/>
      <c r="M565" s="182"/>
      <c r="N565" s="177"/>
      <c r="O565" s="182"/>
      <c r="P565" s="179"/>
      <c r="Q565" s="182"/>
      <c r="R565" s="182"/>
      <c r="S565" s="182"/>
      <c r="T565" s="182"/>
      <c r="U565" s="182"/>
      <c r="V565" s="182"/>
      <c r="W565" s="182"/>
      <c r="X565" s="182"/>
      <c r="Y565" s="182"/>
      <c r="Z565" s="182"/>
      <c r="AA565" s="182"/>
      <c r="AB565" s="182"/>
      <c r="AC565" s="182"/>
      <c r="AD565" s="182"/>
      <c r="AE565" s="184"/>
      <c r="AF565" s="183"/>
      <c r="AG565" s="183"/>
      <c r="AH565" s="183"/>
      <c r="AI565" s="183"/>
      <c r="AJ565" s="182"/>
      <c r="AK565" s="184"/>
      <c r="AL565" s="182"/>
      <c r="AM565" s="182"/>
      <c r="AN565" s="182"/>
      <c r="AO565" s="182"/>
      <c r="AP565" s="182"/>
      <c r="AQ565" s="182"/>
      <c r="AR565" s="182"/>
    </row>
    <row r="566" spans="1:44">
      <c r="A566" s="182"/>
      <c r="B566" s="182"/>
      <c r="C566" s="182"/>
      <c r="D566" s="182"/>
      <c r="E566" s="182"/>
      <c r="F566" s="182"/>
      <c r="G566" s="182"/>
      <c r="H566" s="182"/>
      <c r="I566" s="182"/>
      <c r="J566" s="182"/>
      <c r="K566" s="182"/>
      <c r="L566" s="182"/>
      <c r="M566" s="182"/>
      <c r="N566" s="177"/>
      <c r="O566" s="182"/>
      <c r="P566" s="179"/>
      <c r="Q566" s="182"/>
      <c r="R566" s="182"/>
      <c r="S566" s="182"/>
      <c r="T566" s="182"/>
      <c r="U566" s="182"/>
      <c r="V566" s="182"/>
      <c r="W566" s="182"/>
      <c r="X566" s="182"/>
      <c r="Y566" s="182"/>
      <c r="Z566" s="182"/>
      <c r="AA566" s="182"/>
      <c r="AB566" s="182"/>
      <c r="AC566" s="182"/>
      <c r="AD566" s="182"/>
      <c r="AE566" s="184"/>
      <c r="AF566" s="183"/>
      <c r="AG566" s="183"/>
      <c r="AH566" s="183"/>
      <c r="AI566" s="183"/>
      <c r="AJ566" s="182"/>
      <c r="AK566" s="184"/>
      <c r="AL566" s="182"/>
      <c r="AM566" s="182"/>
      <c r="AN566" s="182"/>
      <c r="AO566" s="182"/>
      <c r="AP566" s="182"/>
      <c r="AQ566" s="182"/>
      <c r="AR566" s="182"/>
    </row>
    <row r="567" spans="1:44">
      <c r="A567" s="182"/>
      <c r="B567" s="182"/>
      <c r="C567" s="182"/>
      <c r="D567" s="182"/>
      <c r="E567" s="182"/>
      <c r="F567" s="182"/>
      <c r="G567" s="182"/>
      <c r="H567" s="182"/>
      <c r="I567" s="182"/>
      <c r="J567" s="182"/>
      <c r="K567" s="182"/>
      <c r="L567" s="182"/>
      <c r="M567" s="182"/>
      <c r="N567" s="177"/>
      <c r="O567" s="182"/>
      <c r="P567" s="179"/>
      <c r="Q567" s="182"/>
      <c r="R567" s="182"/>
      <c r="S567" s="182"/>
      <c r="T567" s="182"/>
      <c r="U567" s="182"/>
      <c r="V567" s="182"/>
      <c r="W567" s="182"/>
      <c r="X567" s="182"/>
      <c r="Y567" s="182"/>
      <c r="Z567" s="182"/>
      <c r="AA567" s="182"/>
      <c r="AB567" s="182"/>
      <c r="AC567" s="182"/>
      <c r="AD567" s="182"/>
      <c r="AE567" s="184"/>
      <c r="AF567" s="183"/>
      <c r="AG567" s="183"/>
      <c r="AH567" s="183"/>
      <c r="AI567" s="183"/>
      <c r="AJ567" s="182"/>
      <c r="AK567" s="184"/>
      <c r="AL567" s="182"/>
      <c r="AM567" s="182"/>
      <c r="AN567" s="182"/>
      <c r="AO567" s="182"/>
      <c r="AP567" s="182"/>
      <c r="AQ567" s="182"/>
      <c r="AR567" s="182"/>
    </row>
    <row r="568" spans="1:44">
      <c r="A568" s="182"/>
      <c r="B568" s="182"/>
      <c r="C568" s="182"/>
      <c r="D568" s="182"/>
      <c r="E568" s="182"/>
      <c r="F568" s="182"/>
      <c r="G568" s="182"/>
      <c r="H568" s="182"/>
      <c r="I568" s="182"/>
      <c r="J568" s="182"/>
      <c r="K568" s="182"/>
      <c r="L568" s="182"/>
      <c r="M568" s="182"/>
      <c r="N568" s="177"/>
      <c r="O568" s="182"/>
      <c r="P568" s="179"/>
      <c r="Q568" s="182"/>
      <c r="R568" s="182"/>
      <c r="S568" s="182"/>
      <c r="T568" s="182"/>
      <c r="U568" s="182"/>
      <c r="V568" s="182"/>
      <c r="W568" s="182"/>
      <c r="X568" s="182"/>
      <c r="Y568" s="182"/>
      <c r="Z568" s="182"/>
      <c r="AA568" s="182"/>
      <c r="AB568" s="182"/>
      <c r="AC568" s="182"/>
      <c r="AD568" s="182"/>
      <c r="AE568" s="184"/>
      <c r="AF568" s="183"/>
      <c r="AG568" s="183"/>
      <c r="AH568" s="183"/>
      <c r="AI568" s="183"/>
      <c r="AJ568" s="182"/>
      <c r="AK568" s="184"/>
      <c r="AL568" s="182"/>
      <c r="AM568" s="182"/>
      <c r="AN568" s="182"/>
      <c r="AO568" s="182"/>
      <c r="AP568" s="182"/>
      <c r="AQ568" s="182"/>
      <c r="AR568" s="182"/>
    </row>
    <row r="569" spans="1:44">
      <c r="A569" s="182"/>
      <c r="B569" s="182"/>
      <c r="C569" s="182"/>
      <c r="D569" s="182"/>
      <c r="E569" s="182"/>
      <c r="F569" s="182"/>
      <c r="G569" s="182"/>
      <c r="H569" s="182"/>
      <c r="I569" s="182"/>
      <c r="J569" s="182"/>
      <c r="K569" s="182"/>
      <c r="L569" s="182"/>
      <c r="M569" s="182"/>
      <c r="N569" s="177"/>
      <c r="O569" s="182"/>
      <c r="P569" s="179"/>
      <c r="Q569" s="182"/>
      <c r="R569" s="182"/>
      <c r="S569" s="182"/>
      <c r="T569" s="182"/>
      <c r="U569" s="182"/>
      <c r="V569" s="182"/>
      <c r="W569" s="182"/>
      <c r="X569" s="182"/>
      <c r="Y569" s="182"/>
      <c r="Z569" s="182"/>
      <c r="AA569" s="182"/>
      <c r="AB569" s="182"/>
      <c r="AC569" s="182"/>
      <c r="AD569" s="182"/>
      <c r="AE569" s="184"/>
      <c r="AF569" s="183"/>
      <c r="AG569" s="183"/>
      <c r="AH569" s="183"/>
      <c r="AI569" s="183"/>
      <c r="AJ569" s="182"/>
      <c r="AK569" s="184"/>
      <c r="AL569" s="182"/>
      <c r="AM569" s="182"/>
      <c r="AN569" s="182"/>
      <c r="AO569" s="182"/>
      <c r="AP569" s="182"/>
      <c r="AQ569" s="182"/>
      <c r="AR569" s="182"/>
    </row>
    <row r="570" spans="1:44">
      <c r="A570" s="182"/>
      <c r="B570" s="182"/>
      <c r="C570" s="182"/>
      <c r="D570" s="182"/>
      <c r="E570" s="182"/>
      <c r="F570" s="182"/>
      <c r="G570" s="182"/>
      <c r="H570" s="182"/>
      <c r="I570" s="182"/>
      <c r="J570" s="182"/>
      <c r="K570" s="182"/>
      <c r="L570" s="182"/>
      <c r="M570" s="182"/>
      <c r="N570" s="177"/>
      <c r="O570" s="182"/>
      <c r="P570" s="179"/>
      <c r="Q570" s="182"/>
      <c r="R570" s="182"/>
      <c r="S570" s="182"/>
      <c r="T570" s="182"/>
      <c r="U570" s="182"/>
      <c r="V570" s="182"/>
      <c r="W570" s="182"/>
      <c r="X570" s="182"/>
      <c r="Y570" s="182"/>
      <c r="Z570" s="182"/>
      <c r="AA570" s="182"/>
      <c r="AB570" s="182"/>
      <c r="AC570" s="182"/>
      <c r="AD570" s="182"/>
      <c r="AE570" s="184"/>
      <c r="AF570" s="183"/>
      <c r="AG570" s="183"/>
      <c r="AH570" s="183"/>
      <c r="AI570" s="183"/>
      <c r="AJ570" s="182"/>
      <c r="AK570" s="184"/>
      <c r="AL570" s="182"/>
      <c r="AM570" s="182"/>
      <c r="AN570" s="182"/>
      <c r="AO570" s="182"/>
      <c r="AP570" s="182"/>
      <c r="AQ570" s="182"/>
      <c r="AR570" s="182"/>
    </row>
    <row r="571" spans="1:44">
      <c r="A571" s="182"/>
      <c r="B571" s="182"/>
      <c r="C571" s="182"/>
      <c r="D571" s="182"/>
      <c r="E571" s="182"/>
      <c r="F571" s="182"/>
      <c r="G571" s="182"/>
      <c r="H571" s="182"/>
      <c r="I571" s="182"/>
      <c r="J571" s="182"/>
      <c r="K571" s="182"/>
      <c r="L571" s="182"/>
      <c r="M571" s="182"/>
      <c r="N571" s="177"/>
      <c r="O571" s="182"/>
      <c r="P571" s="179"/>
      <c r="Q571" s="182"/>
      <c r="R571" s="182"/>
      <c r="S571" s="182"/>
      <c r="T571" s="182"/>
      <c r="U571" s="182"/>
      <c r="V571" s="182"/>
      <c r="W571" s="182"/>
      <c r="X571" s="182"/>
      <c r="Y571" s="182"/>
      <c r="Z571" s="182"/>
      <c r="AA571" s="182"/>
      <c r="AB571" s="182"/>
      <c r="AC571" s="182"/>
      <c r="AD571" s="182"/>
      <c r="AE571" s="184"/>
      <c r="AF571" s="183"/>
      <c r="AG571" s="183"/>
      <c r="AH571" s="183"/>
      <c r="AI571" s="183"/>
      <c r="AJ571" s="182"/>
      <c r="AK571" s="184"/>
      <c r="AL571" s="182"/>
      <c r="AM571" s="182"/>
      <c r="AN571" s="182"/>
      <c r="AO571" s="182"/>
      <c r="AP571" s="182"/>
      <c r="AQ571" s="182"/>
      <c r="AR571" s="182"/>
    </row>
    <row r="572" spans="1:44">
      <c r="A572" s="182"/>
      <c r="B572" s="182"/>
      <c r="C572" s="182"/>
      <c r="D572" s="182"/>
      <c r="E572" s="182"/>
      <c r="F572" s="182"/>
      <c r="G572" s="182"/>
      <c r="H572" s="182"/>
      <c r="I572" s="182"/>
      <c r="J572" s="182"/>
      <c r="K572" s="182"/>
      <c r="L572" s="182"/>
      <c r="M572" s="182"/>
      <c r="N572" s="177"/>
      <c r="O572" s="182"/>
      <c r="P572" s="179"/>
      <c r="Q572" s="182"/>
      <c r="R572" s="182"/>
      <c r="S572" s="182"/>
      <c r="T572" s="182"/>
      <c r="U572" s="182"/>
      <c r="V572" s="182"/>
      <c r="W572" s="182"/>
      <c r="X572" s="182"/>
      <c r="Y572" s="182"/>
      <c r="Z572" s="182"/>
      <c r="AA572" s="182"/>
      <c r="AB572" s="182"/>
      <c r="AC572" s="182"/>
      <c r="AD572" s="182"/>
      <c r="AE572" s="184"/>
      <c r="AF572" s="183"/>
      <c r="AG572" s="183"/>
      <c r="AH572" s="183"/>
      <c r="AI572" s="183"/>
      <c r="AJ572" s="182"/>
      <c r="AK572" s="184"/>
      <c r="AL572" s="182"/>
      <c r="AM572" s="182"/>
      <c r="AN572" s="182"/>
      <c r="AO572" s="182"/>
      <c r="AP572" s="182"/>
      <c r="AQ572" s="182"/>
      <c r="AR572" s="182"/>
    </row>
    <row r="573" spans="1:44">
      <c r="A573" s="182"/>
      <c r="B573" s="182"/>
      <c r="C573" s="182"/>
      <c r="D573" s="182"/>
      <c r="E573" s="182"/>
      <c r="F573" s="182"/>
      <c r="G573" s="182"/>
      <c r="H573" s="182"/>
      <c r="I573" s="182"/>
      <c r="J573" s="182"/>
      <c r="K573" s="182"/>
      <c r="L573" s="182"/>
      <c r="M573" s="182"/>
      <c r="N573" s="177"/>
      <c r="O573" s="182"/>
      <c r="P573" s="179"/>
      <c r="Q573" s="182"/>
      <c r="R573" s="182"/>
      <c r="S573" s="182"/>
      <c r="T573" s="182"/>
      <c r="U573" s="182"/>
      <c r="V573" s="182"/>
      <c r="W573" s="182"/>
      <c r="X573" s="182"/>
      <c r="Y573" s="182"/>
      <c r="Z573" s="182"/>
      <c r="AA573" s="182"/>
      <c r="AB573" s="182"/>
      <c r="AC573" s="182"/>
      <c r="AD573" s="182"/>
      <c r="AE573" s="184"/>
      <c r="AF573" s="183"/>
      <c r="AG573" s="183"/>
      <c r="AH573" s="183"/>
      <c r="AI573" s="183"/>
      <c r="AJ573" s="182"/>
      <c r="AK573" s="184"/>
      <c r="AL573" s="182"/>
      <c r="AM573" s="182"/>
      <c r="AN573" s="182"/>
      <c r="AO573" s="182"/>
      <c r="AP573" s="182"/>
      <c r="AQ573" s="182"/>
      <c r="AR573" s="182"/>
    </row>
    <row r="574" spans="1:44">
      <c r="A574" s="182"/>
      <c r="B574" s="182"/>
      <c r="C574" s="182"/>
      <c r="D574" s="182"/>
      <c r="E574" s="182"/>
      <c r="F574" s="182"/>
      <c r="G574" s="182"/>
      <c r="H574" s="182"/>
      <c r="I574" s="182"/>
      <c r="J574" s="182"/>
      <c r="K574" s="182"/>
      <c r="L574" s="182"/>
      <c r="M574" s="182"/>
      <c r="N574" s="177"/>
      <c r="O574" s="182"/>
      <c r="P574" s="179"/>
      <c r="Q574" s="182"/>
      <c r="R574" s="182"/>
      <c r="S574" s="182"/>
      <c r="T574" s="182"/>
      <c r="U574" s="182"/>
      <c r="V574" s="182"/>
      <c r="W574" s="182"/>
      <c r="X574" s="182"/>
      <c r="Y574" s="182"/>
      <c r="Z574" s="182"/>
      <c r="AA574" s="182"/>
      <c r="AB574" s="182"/>
      <c r="AC574" s="182"/>
      <c r="AD574" s="182"/>
      <c r="AE574" s="184"/>
      <c r="AF574" s="183"/>
      <c r="AG574" s="183"/>
      <c r="AH574" s="183"/>
      <c r="AI574" s="183"/>
      <c r="AJ574" s="182"/>
      <c r="AK574" s="184"/>
      <c r="AL574" s="182"/>
      <c r="AM574" s="182"/>
      <c r="AN574" s="182"/>
      <c r="AO574" s="182"/>
      <c r="AP574" s="182"/>
      <c r="AQ574" s="182"/>
      <c r="AR574" s="182"/>
    </row>
    <row r="575" spans="1:44">
      <c r="A575" s="182"/>
      <c r="B575" s="182"/>
      <c r="C575" s="182"/>
      <c r="D575" s="182"/>
      <c r="E575" s="182"/>
      <c r="F575" s="182"/>
      <c r="G575" s="182"/>
      <c r="H575" s="182"/>
      <c r="I575" s="182"/>
      <c r="J575" s="182"/>
      <c r="K575" s="182"/>
      <c r="L575" s="182"/>
      <c r="M575" s="182"/>
      <c r="N575" s="177"/>
      <c r="O575" s="182"/>
      <c r="P575" s="179"/>
      <c r="Q575" s="182"/>
      <c r="R575" s="182"/>
      <c r="S575" s="182"/>
      <c r="T575" s="182"/>
      <c r="U575" s="182"/>
      <c r="V575" s="182"/>
      <c r="W575" s="182"/>
      <c r="X575" s="182"/>
      <c r="Y575" s="182"/>
      <c r="Z575" s="182"/>
      <c r="AA575" s="182"/>
      <c r="AB575" s="182"/>
      <c r="AC575" s="182"/>
      <c r="AD575" s="182"/>
      <c r="AE575" s="184"/>
      <c r="AF575" s="183"/>
      <c r="AG575" s="183"/>
      <c r="AH575" s="183"/>
      <c r="AI575" s="183"/>
      <c r="AJ575" s="182"/>
      <c r="AK575" s="184"/>
      <c r="AL575" s="182"/>
      <c r="AM575" s="182"/>
      <c r="AN575" s="182"/>
      <c r="AO575" s="182"/>
      <c r="AP575" s="182"/>
      <c r="AQ575" s="182"/>
      <c r="AR575" s="182"/>
    </row>
    <row r="576" spans="1:44">
      <c r="A576" s="182"/>
      <c r="B576" s="182"/>
      <c r="C576" s="182"/>
      <c r="D576" s="182"/>
      <c r="E576" s="182"/>
      <c r="F576" s="182"/>
      <c r="G576" s="182"/>
      <c r="H576" s="182"/>
      <c r="I576" s="182"/>
      <c r="J576" s="182"/>
      <c r="K576" s="182"/>
      <c r="L576" s="182"/>
      <c r="M576" s="182"/>
      <c r="N576" s="177"/>
      <c r="O576" s="182"/>
      <c r="P576" s="179"/>
      <c r="Q576" s="182"/>
      <c r="R576" s="182"/>
      <c r="S576" s="182"/>
      <c r="T576" s="182"/>
      <c r="U576" s="182"/>
      <c r="V576" s="182"/>
      <c r="W576" s="182"/>
      <c r="X576" s="182"/>
      <c r="Y576" s="182"/>
      <c r="Z576" s="182"/>
      <c r="AA576" s="182"/>
      <c r="AB576" s="182"/>
      <c r="AC576" s="182"/>
      <c r="AD576" s="182"/>
      <c r="AE576" s="184"/>
      <c r="AF576" s="183"/>
      <c r="AG576" s="183"/>
      <c r="AH576" s="183"/>
      <c r="AI576" s="183"/>
      <c r="AJ576" s="182"/>
      <c r="AK576" s="184"/>
      <c r="AL576" s="182"/>
      <c r="AM576" s="182"/>
      <c r="AN576" s="182"/>
      <c r="AO576" s="182"/>
      <c r="AP576" s="182"/>
      <c r="AQ576" s="182"/>
      <c r="AR576" s="182"/>
    </row>
    <row r="577" spans="1:44">
      <c r="A577" s="182"/>
      <c r="B577" s="182"/>
      <c r="C577" s="182"/>
      <c r="D577" s="182"/>
      <c r="E577" s="182"/>
      <c r="F577" s="182"/>
      <c r="G577" s="182"/>
      <c r="H577" s="182"/>
      <c r="I577" s="182"/>
      <c r="J577" s="182"/>
      <c r="K577" s="182"/>
      <c r="L577" s="182"/>
      <c r="M577" s="182"/>
      <c r="N577" s="177"/>
      <c r="O577" s="182"/>
      <c r="P577" s="179"/>
      <c r="Q577" s="182"/>
      <c r="R577" s="182"/>
      <c r="S577" s="182"/>
      <c r="T577" s="182"/>
      <c r="U577" s="182"/>
      <c r="V577" s="182"/>
      <c r="W577" s="182"/>
      <c r="X577" s="182"/>
      <c r="Y577" s="182"/>
      <c r="Z577" s="182"/>
      <c r="AA577" s="182"/>
      <c r="AB577" s="182"/>
      <c r="AC577" s="182"/>
      <c r="AD577" s="182"/>
      <c r="AE577" s="184"/>
      <c r="AF577" s="183"/>
      <c r="AG577" s="183"/>
      <c r="AH577" s="183"/>
      <c r="AI577" s="183"/>
      <c r="AJ577" s="182"/>
      <c r="AK577" s="184"/>
      <c r="AL577" s="182"/>
      <c r="AM577" s="182"/>
      <c r="AN577" s="182"/>
      <c r="AO577" s="182"/>
      <c r="AP577" s="182"/>
      <c r="AQ577" s="182"/>
      <c r="AR577" s="182"/>
    </row>
    <row r="578" spans="1:44">
      <c r="A578" s="182"/>
      <c r="B578" s="182"/>
      <c r="C578" s="182"/>
      <c r="D578" s="182"/>
      <c r="E578" s="182"/>
      <c r="F578" s="182"/>
      <c r="G578" s="182"/>
      <c r="H578" s="182"/>
      <c r="I578" s="182"/>
      <c r="J578" s="182"/>
      <c r="K578" s="182"/>
      <c r="L578" s="182"/>
      <c r="M578" s="182"/>
      <c r="N578" s="177"/>
      <c r="O578" s="182"/>
      <c r="P578" s="179"/>
      <c r="Q578" s="182"/>
      <c r="R578" s="182"/>
      <c r="S578" s="182"/>
      <c r="T578" s="182"/>
      <c r="U578" s="182"/>
      <c r="V578" s="182"/>
      <c r="W578" s="182"/>
      <c r="X578" s="182"/>
      <c r="Y578" s="182"/>
      <c r="Z578" s="182"/>
      <c r="AA578" s="182"/>
      <c r="AB578" s="182"/>
      <c r="AC578" s="182"/>
      <c r="AD578" s="182"/>
      <c r="AE578" s="184"/>
      <c r="AF578" s="183"/>
      <c r="AG578" s="183"/>
      <c r="AH578" s="183"/>
      <c r="AI578" s="183"/>
      <c r="AJ578" s="182"/>
      <c r="AK578" s="184"/>
      <c r="AL578" s="182"/>
      <c r="AM578" s="182"/>
      <c r="AN578" s="182"/>
      <c r="AO578" s="182"/>
      <c r="AP578" s="182"/>
      <c r="AQ578" s="182"/>
      <c r="AR578" s="182"/>
    </row>
    <row r="579" spans="1:44">
      <c r="A579" s="182"/>
      <c r="B579" s="182"/>
      <c r="C579" s="182"/>
      <c r="D579" s="182"/>
      <c r="E579" s="182"/>
      <c r="F579" s="182"/>
      <c r="G579" s="182"/>
      <c r="H579" s="182"/>
      <c r="I579" s="182"/>
      <c r="J579" s="182"/>
      <c r="K579" s="182"/>
      <c r="L579" s="182"/>
      <c r="M579" s="182"/>
      <c r="N579" s="177"/>
      <c r="O579" s="182"/>
      <c r="P579" s="179"/>
      <c r="Q579" s="182"/>
      <c r="R579" s="182"/>
      <c r="S579" s="182"/>
      <c r="T579" s="182"/>
      <c r="U579" s="182"/>
      <c r="V579" s="182"/>
      <c r="W579" s="182"/>
      <c r="X579" s="182"/>
      <c r="Y579" s="182"/>
      <c r="Z579" s="182"/>
      <c r="AA579" s="182"/>
      <c r="AB579" s="182"/>
      <c r="AC579" s="182"/>
      <c r="AD579" s="182"/>
      <c r="AE579" s="184"/>
      <c r="AF579" s="183"/>
      <c r="AG579" s="183"/>
      <c r="AH579" s="183"/>
      <c r="AI579" s="183"/>
      <c r="AJ579" s="182"/>
      <c r="AK579" s="184"/>
      <c r="AL579" s="182"/>
      <c r="AM579" s="182"/>
      <c r="AN579" s="182"/>
      <c r="AO579" s="182"/>
      <c r="AP579" s="182"/>
      <c r="AQ579" s="182"/>
      <c r="AR579" s="182"/>
    </row>
    <row r="580" spans="1:44">
      <c r="A580" s="182"/>
      <c r="B580" s="182"/>
      <c r="C580" s="182"/>
      <c r="D580" s="182"/>
      <c r="E580" s="182"/>
      <c r="F580" s="182"/>
      <c r="G580" s="182"/>
      <c r="H580" s="182"/>
      <c r="I580" s="182"/>
      <c r="J580" s="182"/>
      <c r="K580" s="182"/>
      <c r="L580" s="182"/>
      <c r="M580" s="182"/>
      <c r="N580" s="177"/>
      <c r="O580" s="182"/>
      <c r="P580" s="179"/>
      <c r="Q580" s="182"/>
      <c r="R580" s="182"/>
      <c r="S580" s="182"/>
      <c r="T580" s="182"/>
      <c r="U580" s="182"/>
      <c r="V580" s="182"/>
      <c r="W580" s="182"/>
      <c r="X580" s="182"/>
      <c r="Y580" s="182"/>
      <c r="Z580" s="182"/>
      <c r="AA580" s="182"/>
      <c r="AB580" s="182"/>
      <c r="AC580" s="182"/>
      <c r="AD580" s="182"/>
      <c r="AE580" s="184"/>
      <c r="AF580" s="183"/>
      <c r="AG580" s="183"/>
      <c r="AH580" s="183"/>
      <c r="AI580" s="183"/>
      <c r="AJ580" s="182"/>
      <c r="AK580" s="184"/>
      <c r="AL580" s="182"/>
      <c r="AM580" s="182"/>
      <c r="AN580" s="182"/>
      <c r="AO580" s="182"/>
      <c r="AP580" s="182"/>
      <c r="AQ580" s="182"/>
      <c r="AR580" s="182"/>
    </row>
    <row r="581" spans="1:44">
      <c r="A581" s="182"/>
      <c r="B581" s="182"/>
      <c r="C581" s="182"/>
      <c r="D581" s="182"/>
      <c r="E581" s="182"/>
      <c r="F581" s="182"/>
      <c r="G581" s="182"/>
      <c r="H581" s="182"/>
      <c r="I581" s="182"/>
      <c r="J581" s="182"/>
      <c r="K581" s="182"/>
      <c r="L581" s="182"/>
      <c r="M581" s="182"/>
      <c r="N581" s="177"/>
      <c r="O581" s="182"/>
      <c r="P581" s="179"/>
      <c r="Q581" s="182"/>
      <c r="R581" s="182"/>
      <c r="S581" s="182"/>
      <c r="T581" s="182"/>
      <c r="U581" s="182"/>
      <c r="V581" s="182"/>
      <c r="W581" s="182"/>
      <c r="X581" s="182"/>
      <c r="Y581" s="182"/>
      <c r="Z581" s="182"/>
      <c r="AA581" s="182"/>
      <c r="AB581" s="182"/>
      <c r="AC581" s="182"/>
      <c r="AD581" s="182"/>
      <c r="AE581" s="184"/>
      <c r="AF581" s="183"/>
      <c r="AG581" s="183"/>
      <c r="AH581" s="183"/>
      <c r="AI581" s="183"/>
      <c r="AJ581" s="182"/>
      <c r="AK581" s="184"/>
      <c r="AL581" s="182"/>
      <c r="AM581" s="182"/>
      <c r="AN581" s="182"/>
      <c r="AO581" s="182"/>
      <c r="AP581" s="182"/>
      <c r="AQ581" s="182"/>
      <c r="AR581" s="182"/>
    </row>
    <row r="582" spans="1:44">
      <c r="A582" s="182"/>
      <c r="B582" s="182"/>
      <c r="C582" s="182"/>
      <c r="D582" s="182"/>
      <c r="E582" s="182"/>
      <c r="F582" s="182"/>
      <c r="G582" s="182"/>
      <c r="H582" s="182"/>
      <c r="I582" s="182"/>
      <c r="J582" s="182"/>
      <c r="K582" s="182"/>
      <c r="L582" s="182"/>
      <c r="M582" s="182"/>
      <c r="N582" s="177"/>
      <c r="O582" s="182"/>
      <c r="P582" s="179"/>
      <c r="Q582" s="182"/>
      <c r="R582" s="182"/>
      <c r="S582" s="182"/>
      <c r="T582" s="182"/>
      <c r="U582" s="182"/>
      <c r="V582" s="182"/>
      <c r="W582" s="182"/>
      <c r="X582" s="182"/>
      <c r="Y582" s="182"/>
      <c r="Z582" s="182"/>
      <c r="AA582" s="182"/>
      <c r="AB582" s="182"/>
      <c r="AC582" s="182"/>
      <c r="AD582" s="182"/>
      <c r="AE582" s="184"/>
      <c r="AF582" s="183"/>
      <c r="AG582" s="183"/>
      <c r="AH582" s="183"/>
      <c r="AI582" s="183"/>
      <c r="AJ582" s="182"/>
      <c r="AK582" s="184"/>
      <c r="AL582" s="182"/>
      <c r="AM582" s="182"/>
      <c r="AN582" s="182"/>
      <c r="AO582" s="182"/>
      <c r="AP582" s="182"/>
      <c r="AQ582" s="182"/>
      <c r="AR582" s="182"/>
    </row>
    <row r="583" spans="1:44">
      <c r="A583" s="182"/>
      <c r="B583" s="182"/>
      <c r="C583" s="182"/>
      <c r="D583" s="182"/>
      <c r="E583" s="182"/>
      <c r="F583" s="182"/>
      <c r="G583" s="182"/>
      <c r="H583" s="182"/>
      <c r="I583" s="182"/>
      <c r="J583" s="182"/>
      <c r="K583" s="182"/>
      <c r="L583" s="182"/>
      <c r="M583" s="182"/>
      <c r="N583" s="177"/>
      <c r="O583" s="182"/>
      <c r="P583" s="179"/>
      <c r="Q583" s="182"/>
      <c r="R583" s="182"/>
      <c r="S583" s="182"/>
      <c r="T583" s="182"/>
      <c r="U583" s="182"/>
      <c r="V583" s="182"/>
      <c r="W583" s="182"/>
      <c r="X583" s="182"/>
      <c r="Y583" s="182"/>
      <c r="Z583" s="182"/>
      <c r="AA583" s="182"/>
      <c r="AB583" s="182"/>
      <c r="AC583" s="182"/>
      <c r="AD583" s="182"/>
      <c r="AE583" s="184"/>
      <c r="AF583" s="183"/>
      <c r="AG583" s="183"/>
      <c r="AH583" s="183"/>
      <c r="AI583" s="183"/>
      <c r="AJ583" s="182"/>
      <c r="AK583" s="184"/>
      <c r="AL583" s="182"/>
      <c r="AM583" s="182"/>
      <c r="AN583" s="182"/>
      <c r="AO583" s="182"/>
      <c r="AP583" s="182"/>
      <c r="AQ583" s="182"/>
      <c r="AR583" s="182"/>
    </row>
    <row r="584" spans="1:44">
      <c r="A584" s="182"/>
      <c r="B584" s="182"/>
      <c r="C584" s="182"/>
      <c r="D584" s="182"/>
      <c r="E584" s="182"/>
      <c r="F584" s="182"/>
      <c r="G584" s="182"/>
      <c r="H584" s="182"/>
      <c r="I584" s="182"/>
      <c r="J584" s="182"/>
      <c r="K584" s="182"/>
      <c r="L584" s="182"/>
      <c r="M584" s="182"/>
      <c r="N584" s="177"/>
      <c r="O584" s="182"/>
      <c r="P584" s="179"/>
      <c r="Q584" s="182"/>
      <c r="R584" s="182"/>
      <c r="S584" s="182"/>
      <c r="T584" s="182"/>
      <c r="U584" s="182"/>
      <c r="V584" s="182"/>
      <c r="W584" s="182"/>
      <c r="X584" s="182"/>
      <c r="Y584" s="182"/>
      <c r="Z584" s="182"/>
      <c r="AA584" s="182"/>
      <c r="AB584" s="182"/>
      <c r="AC584" s="182"/>
      <c r="AD584" s="182"/>
      <c r="AE584" s="184"/>
      <c r="AF584" s="183"/>
      <c r="AG584" s="183"/>
      <c r="AH584" s="183"/>
      <c r="AI584" s="183"/>
      <c r="AJ584" s="182"/>
      <c r="AK584" s="184"/>
      <c r="AL584" s="182"/>
      <c r="AM584" s="182"/>
      <c r="AN584" s="182"/>
      <c r="AO584" s="182"/>
      <c r="AP584" s="182"/>
      <c r="AQ584" s="182"/>
      <c r="AR584" s="182"/>
    </row>
    <row r="585" spans="1:44">
      <c r="A585" s="182"/>
      <c r="B585" s="182"/>
      <c r="C585" s="182"/>
      <c r="D585" s="182"/>
      <c r="E585" s="182"/>
      <c r="F585" s="182"/>
      <c r="G585" s="182"/>
      <c r="H585" s="182"/>
      <c r="I585" s="182"/>
      <c r="J585" s="182"/>
      <c r="K585" s="182"/>
      <c r="L585" s="182"/>
      <c r="M585" s="182"/>
      <c r="N585" s="177"/>
      <c r="O585" s="182"/>
      <c r="P585" s="179"/>
      <c r="Q585" s="182"/>
      <c r="R585" s="182"/>
      <c r="S585" s="182"/>
      <c r="T585" s="182"/>
      <c r="U585" s="182"/>
      <c r="V585" s="182"/>
      <c r="W585" s="182"/>
      <c r="X585" s="182"/>
      <c r="Y585" s="182"/>
      <c r="Z585" s="182"/>
      <c r="AA585" s="182"/>
      <c r="AB585" s="182"/>
      <c r="AC585" s="182"/>
      <c r="AD585" s="182"/>
      <c r="AE585" s="184"/>
      <c r="AF585" s="183"/>
      <c r="AG585" s="183"/>
      <c r="AH585" s="183"/>
      <c r="AI585" s="183"/>
      <c r="AJ585" s="182"/>
      <c r="AK585" s="184"/>
      <c r="AL585" s="182"/>
      <c r="AM585" s="182"/>
      <c r="AN585" s="182"/>
      <c r="AO585" s="182"/>
      <c r="AP585" s="182"/>
      <c r="AQ585" s="182"/>
      <c r="AR585" s="182"/>
    </row>
    <row r="586" spans="1:44">
      <c r="A586" s="182"/>
      <c r="B586" s="182"/>
      <c r="C586" s="182"/>
      <c r="D586" s="182"/>
      <c r="E586" s="182"/>
      <c r="F586" s="182"/>
      <c r="G586" s="182"/>
      <c r="H586" s="182"/>
      <c r="I586" s="182"/>
      <c r="J586" s="182"/>
      <c r="K586" s="182"/>
      <c r="L586" s="182"/>
      <c r="M586" s="182"/>
      <c r="N586" s="177"/>
      <c r="O586" s="182"/>
      <c r="P586" s="179"/>
      <c r="Q586" s="182"/>
      <c r="R586" s="182"/>
      <c r="S586" s="182"/>
      <c r="T586" s="182"/>
      <c r="U586" s="182"/>
      <c r="V586" s="182"/>
      <c r="W586" s="182"/>
      <c r="X586" s="182"/>
      <c r="Y586" s="182"/>
      <c r="Z586" s="182"/>
      <c r="AA586" s="182"/>
      <c r="AB586" s="182"/>
      <c r="AC586" s="182"/>
      <c r="AD586" s="182"/>
      <c r="AE586" s="184"/>
      <c r="AF586" s="183"/>
      <c r="AG586" s="183"/>
      <c r="AH586" s="183"/>
      <c r="AI586" s="183"/>
      <c r="AJ586" s="182"/>
      <c r="AK586" s="184"/>
      <c r="AL586" s="182"/>
      <c r="AM586" s="182"/>
      <c r="AN586" s="182"/>
      <c r="AO586" s="182"/>
      <c r="AP586" s="182"/>
      <c r="AQ586" s="182"/>
      <c r="AR586" s="182"/>
    </row>
    <row r="587" spans="1:44">
      <c r="A587" s="182"/>
      <c r="B587" s="182"/>
      <c r="C587" s="182"/>
      <c r="D587" s="182"/>
      <c r="E587" s="182"/>
      <c r="F587" s="182"/>
      <c r="G587" s="182"/>
      <c r="H587" s="182"/>
      <c r="I587" s="182"/>
      <c r="J587" s="182"/>
      <c r="K587" s="182"/>
      <c r="L587" s="182"/>
      <c r="M587" s="182"/>
      <c r="N587" s="177"/>
      <c r="O587" s="182"/>
      <c r="P587" s="179"/>
      <c r="Q587" s="182"/>
      <c r="R587" s="182"/>
      <c r="S587" s="182"/>
      <c r="T587" s="182"/>
      <c r="U587" s="182"/>
      <c r="V587" s="182"/>
      <c r="W587" s="182"/>
      <c r="X587" s="182"/>
      <c r="Y587" s="182"/>
      <c r="Z587" s="182"/>
      <c r="AA587" s="182"/>
      <c r="AB587" s="182"/>
      <c r="AC587" s="182"/>
      <c r="AD587" s="182"/>
      <c r="AE587" s="184"/>
      <c r="AF587" s="183"/>
      <c r="AG587" s="183"/>
      <c r="AH587" s="183"/>
      <c r="AI587" s="183"/>
      <c r="AJ587" s="182"/>
      <c r="AK587" s="184"/>
      <c r="AL587" s="182"/>
      <c r="AM587" s="182"/>
      <c r="AN587" s="182"/>
      <c r="AO587" s="182"/>
      <c r="AP587" s="182"/>
      <c r="AQ587" s="182"/>
      <c r="AR587" s="182"/>
    </row>
    <row r="588" spans="1:44">
      <c r="A588" s="182"/>
      <c r="B588" s="182"/>
      <c r="C588" s="182"/>
      <c r="D588" s="182"/>
      <c r="E588" s="182"/>
      <c r="F588" s="182"/>
      <c r="G588" s="182"/>
      <c r="H588" s="182"/>
      <c r="I588" s="182"/>
      <c r="J588" s="182"/>
      <c r="K588" s="182"/>
      <c r="L588" s="182"/>
      <c r="M588" s="182"/>
      <c r="N588" s="177"/>
      <c r="O588" s="182"/>
      <c r="P588" s="179"/>
      <c r="Q588" s="182"/>
      <c r="R588" s="182"/>
      <c r="S588" s="182"/>
      <c r="T588" s="182"/>
      <c r="U588" s="182"/>
      <c r="V588" s="182"/>
      <c r="W588" s="182"/>
      <c r="X588" s="182"/>
      <c r="Y588" s="182"/>
      <c r="Z588" s="182"/>
      <c r="AA588" s="182"/>
      <c r="AB588" s="182"/>
      <c r="AC588" s="182"/>
      <c r="AD588" s="182"/>
      <c r="AE588" s="184"/>
      <c r="AF588" s="183"/>
      <c r="AG588" s="183"/>
      <c r="AH588" s="183"/>
      <c r="AI588" s="183"/>
      <c r="AJ588" s="182"/>
      <c r="AK588" s="184"/>
      <c r="AL588" s="182"/>
      <c r="AM588" s="182"/>
      <c r="AN588" s="182"/>
      <c r="AO588" s="182"/>
      <c r="AP588" s="182"/>
      <c r="AQ588" s="182"/>
      <c r="AR588" s="182"/>
    </row>
    <row r="589" spans="1:44">
      <c r="A589" s="182"/>
      <c r="B589" s="182"/>
      <c r="C589" s="182"/>
      <c r="D589" s="182"/>
      <c r="E589" s="182"/>
      <c r="F589" s="182"/>
      <c r="G589" s="182"/>
      <c r="H589" s="182"/>
      <c r="I589" s="182"/>
      <c r="J589" s="182"/>
      <c r="K589" s="182"/>
      <c r="L589" s="182"/>
      <c r="M589" s="182"/>
      <c r="N589" s="177"/>
      <c r="O589" s="182"/>
      <c r="P589" s="179"/>
      <c r="Q589" s="182"/>
      <c r="R589" s="182"/>
      <c r="S589" s="182"/>
      <c r="T589" s="182"/>
      <c r="U589" s="182"/>
      <c r="V589" s="182"/>
      <c r="W589" s="182"/>
      <c r="X589" s="182"/>
      <c r="Y589" s="182"/>
      <c r="Z589" s="182"/>
      <c r="AA589" s="182"/>
      <c r="AB589" s="182"/>
      <c r="AC589" s="182"/>
      <c r="AD589" s="182"/>
      <c r="AE589" s="184"/>
      <c r="AF589" s="183"/>
      <c r="AG589" s="183"/>
      <c r="AH589" s="183"/>
      <c r="AI589" s="183"/>
      <c r="AJ589" s="182"/>
      <c r="AK589" s="184"/>
      <c r="AL589" s="182"/>
      <c r="AM589" s="182"/>
      <c r="AN589" s="182"/>
      <c r="AO589" s="182"/>
      <c r="AP589" s="182"/>
      <c r="AQ589" s="182"/>
      <c r="AR589" s="182"/>
    </row>
    <row r="590" spans="1:44">
      <c r="A590" s="182"/>
      <c r="B590" s="182"/>
      <c r="C590" s="182"/>
      <c r="D590" s="182"/>
      <c r="E590" s="182"/>
      <c r="F590" s="182"/>
      <c r="G590" s="182"/>
      <c r="H590" s="182"/>
      <c r="I590" s="182"/>
      <c r="J590" s="182"/>
      <c r="K590" s="182"/>
      <c r="L590" s="182"/>
      <c r="M590" s="182"/>
      <c r="N590" s="177"/>
      <c r="O590" s="182"/>
      <c r="P590" s="179"/>
      <c r="Q590" s="182"/>
      <c r="R590" s="182"/>
      <c r="S590" s="182"/>
      <c r="T590" s="182"/>
      <c r="U590" s="182"/>
      <c r="V590" s="182"/>
      <c r="W590" s="182"/>
      <c r="X590" s="182"/>
      <c r="Y590" s="182"/>
      <c r="Z590" s="182"/>
      <c r="AA590" s="182"/>
      <c r="AB590" s="182"/>
      <c r="AC590" s="182"/>
      <c r="AD590" s="182"/>
      <c r="AE590" s="184"/>
      <c r="AF590" s="183"/>
      <c r="AG590" s="183"/>
      <c r="AH590" s="183"/>
      <c r="AI590" s="183"/>
      <c r="AJ590" s="182"/>
      <c r="AK590" s="184"/>
      <c r="AL590" s="182"/>
      <c r="AM590" s="182"/>
      <c r="AN590" s="182"/>
      <c r="AO590" s="182"/>
      <c r="AP590" s="182"/>
      <c r="AQ590" s="182"/>
      <c r="AR590" s="182"/>
    </row>
    <row r="591" spans="1:44">
      <c r="A591" s="182"/>
      <c r="B591" s="182"/>
      <c r="C591" s="182"/>
      <c r="D591" s="182"/>
      <c r="E591" s="182"/>
      <c r="F591" s="182"/>
      <c r="G591" s="182"/>
      <c r="H591" s="182"/>
      <c r="I591" s="182"/>
      <c r="J591" s="182"/>
      <c r="K591" s="182"/>
      <c r="L591" s="182"/>
      <c r="M591" s="182"/>
      <c r="N591" s="177"/>
      <c r="O591" s="182"/>
      <c r="P591" s="179"/>
      <c r="Q591" s="182"/>
      <c r="R591" s="182"/>
      <c r="S591" s="182"/>
      <c r="T591" s="182"/>
      <c r="U591" s="182"/>
      <c r="V591" s="182"/>
      <c r="W591" s="182"/>
      <c r="X591" s="182"/>
      <c r="Y591" s="182"/>
      <c r="Z591" s="182"/>
      <c r="AA591" s="182"/>
      <c r="AB591" s="182"/>
      <c r="AC591" s="182"/>
      <c r="AD591" s="182"/>
      <c r="AE591" s="184"/>
      <c r="AF591" s="183"/>
      <c r="AG591" s="183"/>
      <c r="AH591" s="183"/>
      <c r="AI591" s="183"/>
      <c r="AJ591" s="182"/>
      <c r="AK591" s="184"/>
      <c r="AL591" s="182"/>
      <c r="AM591" s="182"/>
      <c r="AN591" s="182"/>
      <c r="AO591" s="182"/>
      <c r="AP591" s="182"/>
      <c r="AQ591" s="182"/>
      <c r="AR591" s="182"/>
    </row>
    <row r="592" spans="1:44">
      <c r="A592" s="182"/>
      <c r="B592" s="182"/>
      <c r="C592" s="182"/>
      <c r="D592" s="182"/>
      <c r="E592" s="182"/>
      <c r="F592" s="182"/>
      <c r="G592" s="182"/>
      <c r="H592" s="182"/>
      <c r="I592" s="182"/>
      <c r="J592" s="182"/>
      <c r="K592" s="182"/>
      <c r="L592" s="182"/>
      <c r="M592" s="182"/>
      <c r="N592" s="177"/>
      <c r="O592" s="182"/>
      <c r="P592" s="179"/>
      <c r="Q592" s="182"/>
      <c r="R592" s="182"/>
      <c r="S592" s="182"/>
      <c r="T592" s="182"/>
      <c r="U592" s="182"/>
      <c r="V592" s="182"/>
      <c r="W592" s="182"/>
      <c r="X592" s="182"/>
      <c r="Y592" s="182"/>
      <c r="Z592" s="182"/>
      <c r="AA592" s="182"/>
      <c r="AB592" s="182"/>
      <c r="AC592" s="182"/>
      <c r="AD592" s="182"/>
      <c r="AE592" s="184"/>
      <c r="AF592" s="183"/>
      <c r="AG592" s="183"/>
      <c r="AH592" s="183"/>
      <c r="AI592" s="183"/>
      <c r="AJ592" s="182"/>
      <c r="AK592" s="184"/>
      <c r="AL592" s="182"/>
      <c r="AM592" s="182"/>
      <c r="AN592" s="182"/>
      <c r="AO592" s="182"/>
      <c r="AP592" s="182"/>
      <c r="AQ592" s="182"/>
      <c r="AR592" s="182"/>
    </row>
    <row r="593" spans="1:44">
      <c r="A593" s="182"/>
      <c r="B593" s="182"/>
      <c r="C593" s="182"/>
      <c r="D593" s="182"/>
      <c r="E593" s="182"/>
      <c r="F593" s="182"/>
      <c r="G593" s="182"/>
      <c r="H593" s="182"/>
      <c r="I593" s="182"/>
      <c r="J593" s="182"/>
      <c r="K593" s="182"/>
      <c r="L593" s="182"/>
      <c r="M593" s="182"/>
      <c r="N593" s="177"/>
      <c r="O593" s="182"/>
      <c r="P593" s="179"/>
      <c r="Q593" s="182"/>
      <c r="R593" s="182"/>
      <c r="S593" s="182"/>
      <c r="T593" s="182"/>
      <c r="U593" s="182"/>
      <c r="V593" s="182"/>
      <c r="W593" s="182"/>
      <c r="X593" s="182"/>
      <c r="Y593" s="182"/>
      <c r="Z593" s="182"/>
      <c r="AA593" s="182"/>
      <c r="AB593" s="182"/>
      <c r="AC593" s="182"/>
      <c r="AD593" s="182"/>
      <c r="AE593" s="184"/>
      <c r="AF593" s="183"/>
      <c r="AG593" s="183"/>
      <c r="AH593" s="183"/>
      <c r="AI593" s="183"/>
      <c r="AJ593" s="182"/>
      <c r="AK593" s="184"/>
      <c r="AL593" s="182"/>
      <c r="AM593" s="182"/>
      <c r="AN593" s="182"/>
      <c r="AO593" s="182"/>
      <c r="AP593" s="182"/>
      <c r="AQ593" s="182"/>
      <c r="AR593" s="182"/>
    </row>
    <row r="594" spans="1:44">
      <c r="A594" s="182"/>
      <c r="B594" s="182"/>
      <c r="C594" s="182"/>
      <c r="D594" s="182"/>
      <c r="E594" s="182"/>
      <c r="F594" s="182"/>
      <c r="G594" s="182"/>
      <c r="H594" s="182"/>
      <c r="I594" s="182"/>
      <c r="J594" s="182"/>
      <c r="K594" s="182"/>
      <c r="L594" s="182"/>
      <c r="M594" s="182"/>
      <c r="N594" s="177"/>
      <c r="O594" s="182"/>
      <c r="P594" s="179"/>
      <c r="Q594" s="182"/>
      <c r="R594" s="182"/>
      <c r="S594" s="182"/>
      <c r="T594" s="182"/>
      <c r="U594" s="182"/>
      <c r="V594" s="182"/>
      <c r="W594" s="182"/>
      <c r="X594" s="182"/>
      <c r="Y594" s="182"/>
      <c r="Z594" s="182"/>
      <c r="AA594" s="182"/>
      <c r="AB594" s="182"/>
      <c r="AC594" s="182"/>
      <c r="AD594" s="182"/>
      <c r="AE594" s="184"/>
      <c r="AF594" s="183"/>
      <c r="AG594" s="183"/>
      <c r="AH594" s="183"/>
      <c r="AI594" s="183"/>
      <c r="AJ594" s="182"/>
      <c r="AK594" s="184"/>
      <c r="AL594" s="182"/>
      <c r="AM594" s="182"/>
      <c r="AN594" s="182"/>
      <c r="AO594" s="182"/>
      <c r="AP594" s="182"/>
      <c r="AQ594" s="182"/>
      <c r="AR594" s="182"/>
    </row>
    <row r="595" spans="1:44">
      <c r="A595" s="182"/>
      <c r="B595" s="182"/>
      <c r="C595" s="182"/>
      <c r="D595" s="182"/>
      <c r="E595" s="182"/>
      <c r="F595" s="182"/>
      <c r="G595" s="182"/>
      <c r="H595" s="182"/>
      <c r="I595" s="182"/>
      <c r="J595" s="182"/>
      <c r="K595" s="182"/>
      <c r="L595" s="182"/>
      <c r="M595" s="182"/>
      <c r="N595" s="177"/>
      <c r="O595" s="182"/>
      <c r="P595" s="179"/>
      <c r="Q595" s="182"/>
      <c r="R595" s="182"/>
      <c r="S595" s="182"/>
      <c r="T595" s="182"/>
      <c r="U595" s="182"/>
      <c r="V595" s="182"/>
      <c r="W595" s="182"/>
      <c r="X595" s="182"/>
      <c r="Y595" s="182"/>
      <c r="Z595" s="182"/>
      <c r="AA595" s="182"/>
      <c r="AB595" s="182"/>
      <c r="AC595" s="182"/>
      <c r="AD595" s="182"/>
      <c r="AE595" s="184"/>
      <c r="AF595" s="183"/>
      <c r="AG595" s="183"/>
      <c r="AH595" s="183"/>
      <c r="AI595" s="183"/>
      <c r="AJ595" s="182"/>
      <c r="AK595" s="184"/>
      <c r="AL595" s="182"/>
      <c r="AM595" s="182"/>
      <c r="AN595" s="182"/>
      <c r="AO595" s="182"/>
      <c r="AP595" s="182"/>
      <c r="AQ595" s="182"/>
      <c r="AR595" s="182"/>
    </row>
    <row r="596" spans="1:44">
      <c r="A596" s="182"/>
      <c r="B596" s="182"/>
      <c r="C596" s="182"/>
      <c r="D596" s="182"/>
      <c r="E596" s="182"/>
      <c r="F596" s="182"/>
      <c r="G596" s="182"/>
      <c r="H596" s="182"/>
      <c r="I596" s="182"/>
      <c r="J596" s="182"/>
      <c r="K596" s="182"/>
      <c r="L596" s="182"/>
      <c r="M596" s="182"/>
      <c r="N596" s="177"/>
      <c r="O596" s="182"/>
      <c r="P596" s="179"/>
      <c r="Q596" s="182"/>
      <c r="R596" s="182"/>
      <c r="S596" s="182"/>
      <c r="T596" s="182"/>
      <c r="U596" s="182"/>
      <c r="V596" s="182"/>
      <c r="W596" s="182"/>
      <c r="X596" s="182"/>
      <c r="Y596" s="182"/>
      <c r="Z596" s="182"/>
      <c r="AA596" s="182"/>
      <c r="AB596" s="182"/>
      <c r="AC596" s="182"/>
      <c r="AD596" s="182"/>
      <c r="AE596" s="184"/>
      <c r="AF596" s="183"/>
      <c r="AG596" s="183"/>
      <c r="AH596" s="183"/>
      <c r="AI596" s="183"/>
      <c r="AJ596" s="182"/>
      <c r="AK596" s="184"/>
      <c r="AL596" s="182"/>
      <c r="AM596" s="182"/>
      <c r="AN596" s="182"/>
      <c r="AO596" s="182"/>
      <c r="AP596" s="182"/>
      <c r="AQ596" s="182"/>
      <c r="AR596" s="182"/>
    </row>
    <row r="597" spans="1:44">
      <c r="A597" s="182"/>
      <c r="B597" s="182"/>
      <c r="C597" s="182"/>
      <c r="D597" s="182"/>
      <c r="E597" s="182"/>
      <c r="F597" s="182"/>
      <c r="G597" s="182"/>
      <c r="H597" s="182"/>
      <c r="I597" s="182"/>
      <c r="J597" s="182"/>
      <c r="K597" s="182"/>
      <c r="L597" s="182"/>
      <c r="M597" s="182"/>
      <c r="N597" s="177"/>
      <c r="O597" s="182"/>
      <c r="P597" s="179"/>
      <c r="Q597" s="182"/>
      <c r="R597" s="182"/>
      <c r="S597" s="182"/>
      <c r="T597" s="182"/>
      <c r="U597" s="182"/>
      <c r="V597" s="182"/>
      <c r="W597" s="182"/>
      <c r="X597" s="182"/>
      <c r="Y597" s="182"/>
      <c r="Z597" s="182"/>
      <c r="AA597" s="182"/>
      <c r="AB597" s="182"/>
      <c r="AC597" s="182"/>
      <c r="AD597" s="182"/>
      <c r="AE597" s="184"/>
      <c r="AF597" s="183"/>
      <c r="AG597" s="183"/>
      <c r="AH597" s="183"/>
      <c r="AI597" s="183"/>
      <c r="AJ597" s="182"/>
      <c r="AK597" s="184"/>
      <c r="AL597" s="182"/>
      <c r="AM597" s="182"/>
      <c r="AN597" s="182"/>
      <c r="AO597" s="182"/>
      <c r="AP597" s="182"/>
      <c r="AQ597" s="182"/>
      <c r="AR597" s="182"/>
    </row>
    <row r="598" spans="1:44">
      <c r="A598" s="182"/>
      <c r="B598" s="182"/>
      <c r="C598" s="182"/>
      <c r="D598" s="182"/>
      <c r="E598" s="182"/>
      <c r="F598" s="182"/>
      <c r="G598" s="182"/>
      <c r="H598" s="182"/>
      <c r="I598" s="182"/>
      <c r="J598" s="182"/>
      <c r="K598" s="182"/>
      <c r="L598" s="182"/>
      <c r="M598" s="182"/>
      <c r="N598" s="177"/>
      <c r="O598" s="182"/>
      <c r="P598" s="179"/>
      <c r="Q598" s="182"/>
      <c r="R598" s="182"/>
      <c r="S598" s="182"/>
      <c r="T598" s="182"/>
      <c r="U598" s="182"/>
      <c r="V598" s="182"/>
      <c r="W598" s="182"/>
      <c r="X598" s="182"/>
      <c r="Y598" s="182"/>
      <c r="Z598" s="182"/>
      <c r="AA598" s="182"/>
      <c r="AB598" s="182"/>
      <c r="AC598" s="182"/>
      <c r="AD598" s="182"/>
      <c r="AE598" s="184"/>
      <c r="AF598" s="183"/>
      <c r="AG598" s="183"/>
      <c r="AH598" s="183"/>
      <c r="AI598" s="183"/>
      <c r="AJ598" s="182"/>
      <c r="AK598" s="184"/>
      <c r="AL598" s="182"/>
      <c r="AM598" s="182"/>
      <c r="AN598" s="182"/>
      <c r="AO598" s="182"/>
      <c r="AP598" s="182"/>
      <c r="AQ598" s="182"/>
      <c r="AR598" s="182"/>
    </row>
    <row r="599" spans="1:44">
      <c r="A599" s="182"/>
      <c r="B599" s="182"/>
      <c r="C599" s="182"/>
      <c r="D599" s="182"/>
      <c r="E599" s="182"/>
      <c r="F599" s="182"/>
      <c r="G599" s="182"/>
      <c r="H599" s="182"/>
      <c r="I599" s="182"/>
      <c r="J599" s="182"/>
      <c r="K599" s="182"/>
      <c r="L599" s="182"/>
      <c r="M599" s="182"/>
      <c r="N599" s="177"/>
      <c r="O599" s="182"/>
      <c r="P599" s="179"/>
      <c r="Q599" s="182"/>
      <c r="R599" s="182"/>
      <c r="S599" s="182"/>
      <c r="T599" s="182"/>
      <c r="U599" s="182"/>
      <c r="V599" s="182"/>
      <c r="W599" s="182"/>
      <c r="X599" s="182"/>
      <c r="Y599" s="182"/>
      <c r="Z599" s="182"/>
      <c r="AA599" s="182"/>
      <c r="AB599" s="182"/>
      <c r="AC599" s="182"/>
      <c r="AD599" s="182"/>
      <c r="AE599" s="184"/>
      <c r="AF599" s="183"/>
      <c r="AG599" s="183"/>
      <c r="AH599" s="183"/>
      <c r="AI599" s="183"/>
      <c r="AJ599" s="182"/>
      <c r="AK599" s="184"/>
      <c r="AL599" s="182"/>
      <c r="AM599" s="182"/>
      <c r="AN599" s="182"/>
      <c r="AO599" s="182"/>
      <c r="AP599" s="182"/>
      <c r="AQ599" s="182"/>
      <c r="AR599" s="182"/>
    </row>
    <row r="600" spans="1:44">
      <c r="A600" s="182"/>
      <c r="B600" s="182"/>
      <c r="C600" s="182"/>
      <c r="D600" s="182"/>
      <c r="E600" s="182"/>
      <c r="F600" s="182"/>
      <c r="G600" s="182"/>
      <c r="H600" s="182"/>
      <c r="I600" s="182"/>
      <c r="J600" s="182"/>
      <c r="K600" s="182"/>
      <c r="L600" s="182"/>
      <c r="M600" s="182"/>
      <c r="N600" s="177"/>
      <c r="O600" s="182"/>
      <c r="P600" s="179"/>
      <c r="Q600" s="182"/>
      <c r="R600" s="182"/>
      <c r="S600" s="182"/>
      <c r="T600" s="182"/>
      <c r="U600" s="182"/>
      <c r="V600" s="182"/>
      <c r="W600" s="182"/>
      <c r="X600" s="182"/>
      <c r="Y600" s="182"/>
      <c r="Z600" s="182"/>
      <c r="AA600" s="182"/>
      <c r="AB600" s="182"/>
      <c r="AC600" s="182"/>
      <c r="AD600" s="182"/>
      <c r="AE600" s="184"/>
      <c r="AF600" s="183"/>
      <c r="AG600" s="183"/>
      <c r="AH600" s="183"/>
      <c r="AI600" s="183"/>
      <c r="AJ600" s="182"/>
      <c r="AK600" s="184"/>
      <c r="AL600" s="182"/>
      <c r="AM600" s="182"/>
      <c r="AN600" s="182"/>
      <c r="AO600" s="182"/>
      <c r="AP600" s="182"/>
      <c r="AQ600" s="182"/>
      <c r="AR600" s="182"/>
    </row>
    <row r="601" spans="1:44">
      <c r="A601" s="182"/>
      <c r="B601" s="182"/>
      <c r="C601" s="182"/>
      <c r="D601" s="182"/>
      <c r="E601" s="182"/>
      <c r="F601" s="182"/>
      <c r="G601" s="182"/>
      <c r="H601" s="182"/>
      <c r="I601" s="182"/>
      <c r="J601" s="182"/>
      <c r="K601" s="182"/>
      <c r="L601" s="182"/>
      <c r="M601" s="182"/>
      <c r="N601" s="177"/>
      <c r="O601" s="182"/>
      <c r="P601" s="179"/>
      <c r="Q601" s="182"/>
      <c r="R601" s="182"/>
      <c r="S601" s="182"/>
      <c r="T601" s="182"/>
      <c r="U601" s="182"/>
      <c r="V601" s="182"/>
      <c r="W601" s="182"/>
      <c r="X601" s="182"/>
      <c r="Y601" s="182"/>
      <c r="Z601" s="182"/>
      <c r="AA601" s="182"/>
      <c r="AB601" s="182"/>
      <c r="AC601" s="182"/>
      <c r="AD601" s="182"/>
      <c r="AE601" s="184"/>
      <c r="AF601" s="183"/>
      <c r="AG601" s="183"/>
      <c r="AH601" s="183"/>
      <c r="AI601" s="183"/>
      <c r="AJ601" s="182"/>
      <c r="AK601" s="184"/>
      <c r="AL601" s="182"/>
      <c r="AM601" s="182"/>
      <c r="AN601" s="182"/>
      <c r="AO601" s="182"/>
      <c r="AP601" s="182"/>
      <c r="AQ601" s="182"/>
      <c r="AR601" s="182"/>
    </row>
    <row r="602" spans="1:44">
      <c r="A602" s="182"/>
      <c r="B602" s="182"/>
      <c r="C602" s="182"/>
      <c r="D602" s="182"/>
      <c r="E602" s="182"/>
      <c r="F602" s="182"/>
      <c r="G602" s="182"/>
      <c r="H602" s="182"/>
      <c r="I602" s="182"/>
      <c r="J602" s="182"/>
      <c r="K602" s="182"/>
      <c r="L602" s="182"/>
      <c r="M602" s="182"/>
      <c r="N602" s="177"/>
      <c r="O602" s="182"/>
      <c r="P602" s="179"/>
      <c r="Q602" s="182"/>
      <c r="R602" s="182"/>
      <c r="S602" s="182"/>
      <c r="T602" s="182"/>
      <c r="U602" s="182"/>
      <c r="V602" s="182"/>
      <c r="W602" s="182"/>
      <c r="X602" s="182"/>
      <c r="Y602" s="182"/>
      <c r="Z602" s="182"/>
      <c r="AA602" s="182"/>
      <c r="AB602" s="182"/>
      <c r="AC602" s="182"/>
      <c r="AD602" s="182"/>
      <c r="AE602" s="184"/>
      <c r="AF602" s="183"/>
      <c r="AG602" s="183"/>
      <c r="AH602" s="183"/>
      <c r="AI602" s="183"/>
      <c r="AJ602" s="182"/>
      <c r="AK602" s="184"/>
      <c r="AL602" s="182"/>
      <c r="AM602" s="182"/>
      <c r="AN602" s="182"/>
      <c r="AO602" s="182"/>
      <c r="AP602" s="182"/>
      <c r="AQ602" s="182"/>
      <c r="AR602" s="182"/>
    </row>
    <row r="603" spans="1:44">
      <c r="A603" s="182"/>
      <c r="B603" s="182"/>
      <c r="C603" s="182"/>
      <c r="D603" s="182"/>
      <c r="E603" s="182"/>
      <c r="F603" s="182"/>
      <c r="G603" s="182"/>
      <c r="H603" s="182"/>
      <c r="I603" s="182"/>
      <c r="J603" s="182"/>
      <c r="K603" s="182"/>
      <c r="L603" s="182"/>
      <c r="M603" s="182"/>
      <c r="N603" s="177"/>
      <c r="O603" s="182"/>
      <c r="P603" s="179"/>
      <c r="Q603" s="182"/>
      <c r="R603" s="182"/>
      <c r="S603" s="182"/>
      <c r="T603" s="182"/>
      <c r="U603" s="182"/>
      <c r="V603" s="182"/>
      <c r="W603" s="182"/>
      <c r="X603" s="182"/>
      <c r="Y603" s="182"/>
      <c r="Z603" s="182"/>
      <c r="AA603" s="182"/>
      <c r="AB603" s="182"/>
      <c r="AC603" s="182"/>
      <c r="AD603" s="182"/>
      <c r="AE603" s="184"/>
      <c r="AF603" s="183"/>
      <c r="AG603" s="183"/>
      <c r="AH603" s="183"/>
      <c r="AI603" s="183"/>
      <c r="AJ603" s="182"/>
      <c r="AK603" s="184"/>
      <c r="AL603" s="182"/>
      <c r="AM603" s="182"/>
      <c r="AN603" s="182"/>
      <c r="AO603" s="182"/>
      <c r="AP603" s="182"/>
      <c r="AQ603" s="182"/>
      <c r="AR603" s="182"/>
    </row>
    <row r="604" spans="1:44">
      <c r="A604" s="182"/>
      <c r="B604" s="182"/>
      <c r="C604" s="182"/>
      <c r="D604" s="182"/>
      <c r="E604" s="182"/>
      <c r="F604" s="182"/>
      <c r="G604" s="182"/>
      <c r="H604" s="182"/>
      <c r="I604" s="182"/>
      <c r="J604" s="182"/>
      <c r="K604" s="182"/>
      <c r="L604" s="182"/>
      <c r="M604" s="182"/>
      <c r="N604" s="177"/>
      <c r="O604" s="182"/>
      <c r="P604" s="179"/>
      <c r="Q604" s="182"/>
      <c r="R604" s="182"/>
      <c r="S604" s="182"/>
      <c r="T604" s="182"/>
      <c r="U604" s="182"/>
      <c r="V604" s="182"/>
      <c r="W604" s="182"/>
      <c r="X604" s="182"/>
      <c r="Y604" s="182"/>
      <c r="Z604" s="182"/>
      <c r="AA604" s="182"/>
      <c r="AB604" s="182"/>
      <c r="AC604" s="182"/>
      <c r="AD604" s="182"/>
      <c r="AE604" s="184"/>
      <c r="AF604" s="183"/>
      <c r="AG604" s="183"/>
      <c r="AH604" s="183"/>
      <c r="AI604" s="183"/>
      <c r="AJ604" s="182"/>
      <c r="AK604" s="184"/>
      <c r="AL604" s="182"/>
      <c r="AM604" s="182"/>
      <c r="AN604" s="182"/>
      <c r="AO604" s="182"/>
      <c r="AP604" s="182"/>
      <c r="AQ604" s="182"/>
      <c r="AR604" s="182"/>
    </row>
    <row r="605" spans="1:44">
      <c r="A605" s="182"/>
      <c r="B605" s="182"/>
      <c r="C605" s="182"/>
      <c r="D605" s="182"/>
      <c r="E605" s="182"/>
      <c r="F605" s="182"/>
      <c r="G605" s="182"/>
      <c r="H605" s="182"/>
      <c r="I605" s="182"/>
      <c r="J605" s="182"/>
      <c r="K605" s="182"/>
      <c r="L605" s="182"/>
      <c r="M605" s="182"/>
      <c r="N605" s="177"/>
      <c r="O605" s="182"/>
      <c r="P605" s="179"/>
      <c r="Q605" s="182"/>
      <c r="R605" s="182"/>
      <c r="S605" s="182"/>
      <c r="T605" s="182"/>
      <c r="U605" s="182"/>
      <c r="V605" s="182"/>
      <c r="W605" s="182"/>
      <c r="X605" s="182"/>
      <c r="Y605" s="182"/>
      <c r="Z605" s="182"/>
      <c r="AA605" s="182"/>
      <c r="AB605" s="182"/>
      <c r="AC605" s="182"/>
      <c r="AD605" s="182"/>
      <c r="AE605" s="184"/>
      <c r="AF605" s="183"/>
      <c r="AG605" s="183"/>
      <c r="AH605" s="183"/>
      <c r="AI605" s="183"/>
      <c r="AJ605" s="182"/>
      <c r="AK605" s="184"/>
      <c r="AL605" s="182"/>
      <c r="AM605" s="182"/>
      <c r="AN605" s="182"/>
      <c r="AO605" s="182"/>
      <c r="AP605" s="182"/>
      <c r="AQ605" s="182"/>
      <c r="AR605" s="182"/>
    </row>
    <row r="606" spans="1:44">
      <c r="A606" s="182"/>
      <c r="B606" s="182"/>
      <c r="C606" s="182"/>
      <c r="D606" s="182"/>
      <c r="E606" s="182"/>
      <c r="F606" s="182"/>
      <c r="G606" s="182"/>
      <c r="H606" s="182"/>
      <c r="I606" s="182"/>
      <c r="J606" s="182"/>
      <c r="K606" s="182"/>
      <c r="L606" s="182"/>
      <c r="M606" s="182"/>
      <c r="N606" s="177"/>
      <c r="O606" s="182"/>
      <c r="P606" s="179"/>
      <c r="Q606" s="182"/>
      <c r="R606" s="182"/>
      <c r="S606" s="182"/>
      <c r="T606" s="182"/>
      <c r="U606" s="182"/>
      <c r="V606" s="182"/>
      <c r="W606" s="182"/>
      <c r="X606" s="182"/>
      <c r="Y606" s="182"/>
      <c r="Z606" s="182"/>
      <c r="AA606" s="182"/>
      <c r="AB606" s="182"/>
      <c r="AC606" s="182"/>
      <c r="AD606" s="182"/>
      <c r="AE606" s="184"/>
      <c r="AF606" s="183"/>
      <c r="AG606" s="183"/>
      <c r="AH606" s="183"/>
      <c r="AI606" s="183"/>
      <c r="AJ606" s="182"/>
      <c r="AK606" s="184"/>
      <c r="AL606" s="182"/>
      <c r="AM606" s="182"/>
      <c r="AN606" s="182"/>
      <c r="AO606" s="182"/>
      <c r="AP606" s="182"/>
      <c r="AQ606" s="182"/>
      <c r="AR606" s="182"/>
    </row>
    <row r="607" spans="1:44">
      <c r="A607" s="182"/>
      <c r="B607" s="182"/>
      <c r="C607" s="182"/>
      <c r="D607" s="182"/>
      <c r="E607" s="182"/>
      <c r="F607" s="182"/>
      <c r="G607" s="182"/>
      <c r="H607" s="182"/>
      <c r="I607" s="182"/>
      <c r="J607" s="182"/>
      <c r="K607" s="182"/>
      <c r="L607" s="182"/>
      <c r="M607" s="182"/>
      <c r="N607" s="177"/>
      <c r="O607" s="182"/>
      <c r="P607" s="179"/>
      <c r="Q607" s="182"/>
      <c r="R607" s="182"/>
      <c r="S607" s="182"/>
      <c r="T607" s="182"/>
      <c r="U607" s="182"/>
      <c r="V607" s="182"/>
      <c r="W607" s="182"/>
      <c r="X607" s="182"/>
      <c r="Y607" s="182"/>
      <c r="Z607" s="182"/>
      <c r="AA607" s="182"/>
      <c r="AB607" s="182"/>
      <c r="AC607" s="182"/>
      <c r="AD607" s="182"/>
      <c r="AE607" s="184"/>
      <c r="AF607" s="183"/>
      <c r="AG607" s="183"/>
      <c r="AH607" s="183"/>
      <c r="AI607" s="183"/>
      <c r="AJ607" s="182"/>
      <c r="AK607" s="184"/>
      <c r="AL607" s="182"/>
      <c r="AM607" s="182"/>
      <c r="AN607" s="182"/>
      <c r="AO607" s="182"/>
      <c r="AP607" s="182"/>
      <c r="AQ607" s="182"/>
      <c r="AR607" s="182"/>
    </row>
    <row r="608" spans="1:44">
      <c r="A608" s="182"/>
      <c r="B608" s="182"/>
      <c r="C608" s="182"/>
      <c r="D608" s="182"/>
      <c r="E608" s="182"/>
      <c r="F608" s="182"/>
      <c r="G608" s="182"/>
      <c r="H608" s="182"/>
      <c r="I608" s="182"/>
      <c r="J608" s="182"/>
      <c r="K608" s="182"/>
      <c r="L608" s="182"/>
      <c r="M608" s="182"/>
      <c r="N608" s="177"/>
      <c r="O608" s="182"/>
      <c r="P608" s="179"/>
      <c r="Q608" s="182"/>
      <c r="R608" s="182"/>
      <c r="S608" s="182"/>
      <c r="T608" s="182"/>
      <c r="U608" s="182"/>
      <c r="V608" s="182"/>
      <c r="W608" s="182"/>
      <c r="X608" s="182"/>
      <c r="Y608" s="182"/>
      <c r="Z608" s="182"/>
      <c r="AA608" s="182"/>
      <c r="AB608" s="182"/>
      <c r="AC608" s="182"/>
      <c r="AD608" s="182"/>
      <c r="AE608" s="184"/>
      <c r="AF608" s="183"/>
      <c r="AG608" s="183"/>
      <c r="AH608" s="183"/>
      <c r="AI608" s="183"/>
      <c r="AJ608" s="182"/>
      <c r="AK608" s="184"/>
      <c r="AL608" s="182"/>
      <c r="AM608" s="182"/>
      <c r="AN608" s="182"/>
      <c r="AO608" s="182"/>
      <c r="AP608" s="182"/>
      <c r="AQ608" s="182"/>
      <c r="AR608" s="182"/>
    </row>
    <row r="609" spans="1:44">
      <c r="A609" s="182"/>
      <c r="B609" s="182"/>
      <c r="C609" s="182"/>
      <c r="D609" s="182"/>
      <c r="E609" s="182"/>
      <c r="F609" s="182"/>
      <c r="G609" s="182"/>
      <c r="H609" s="182"/>
      <c r="I609" s="182"/>
      <c r="J609" s="182"/>
      <c r="K609" s="182"/>
      <c r="L609" s="182"/>
      <c r="M609" s="182"/>
      <c r="N609" s="177"/>
      <c r="O609" s="182"/>
      <c r="P609" s="179"/>
      <c r="Q609" s="182"/>
      <c r="R609" s="182"/>
      <c r="S609" s="182"/>
      <c r="T609" s="182"/>
      <c r="U609" s="182"/>
      <c r="V609" s="182"/>
      <c r="W609" s="182"/>
      <c r="X609" s="182"/>
      <c r="Y609" s="182"/>
      <c r="Z609" s="182"/>
      <c r="AA609" s="182"/>
      <c r="AB609" s="182"/>
      <c r="AC609" s="182"/>
      <c r="AD609" s="182"/>
      <c r="AE609" s="184"/>
      <c r="AF609" s="183"/>
      <c r="AG609" s="183"/>
      <c r="AH609" s="183"/>
      <c r="AI609" s="183"/>
      <c r="AJ609" s="182"/>
      <c r="AK609" s="184"/>
      <c r="AL609" s="182"/>
      <c r="AM609" s="182"/>
      <c r="AN609" s="182"/>
      <c r="AO609" s="182"/>
      <c r="AP609" s="182"/>
      <c r="AQ609" s="182"/>
      <c r="AR609" s="182"/>
    </row>
    <row r="610" spans="1:44">
      <c r="A610" s="182"/>
      <c r="B610" s="182"/>
      <c r="C610" s="182"/>
      <c r="D610" s="182"/>
      <c r="E610" s="182"/>
      <c r="F610" s="182"/>
      <c r="G610" s="182"/>
      <c r="H610" s="182"/>
      <c r="I610" s="182"/>
      <c r="J610" s="182"/>
      <c r="K610" s="182"/>
      <c r="L610" s="182"/>
      <c r="M610" s="182"/>
      <c r="N610" s="177"/>
      <c r="O610" s="182"/>
      <c r="P610" s="179"/>
      <c r="Q610" s="182"/>
      <c r="R610" s="182"/>
      <c r="S610" s="182"/>
      <c r="T610" s="182"/>
      <c r="U610" s="182"/>
      <c r="V610" s="182"/>
      <c r="W610" s="182"/>
      <c r="X610" s="182"/>
      <c r="Y610" s="182"/>
      <c r="Z610" s="182"/>
      <c r="AA610" s="182"/>
      <c r="AB610" s="182"/>
      <c r="AC610" s="182"/>
      <c r="AD610" s="182"/>
      <c r="AE610" s="184"/>
      <c r="AF610" s="183"/>
      <c r="AG610" s="183"/>
      <c r="AH610" s="183"/>
      <c r="AI610" s="183"/>
      <c r="AJ610" s="182"/>
      <c r="AK610" s="184"/>
      <c r="AL610" s="182"/>
      <c r="AM610" s="182"/>
      <c r="AN610" s="182"/>
      <c r="AO610" s="182"/>
      <c r="AP610" s="182"/>
      <c r="AQ610" s="182"/>
      <c r="AR610" s="182"/>
    </row>
    <row r="611" spans="1:44">
      <c r="A611" s="182"/>
      <c r="B611" s="182"/>
      <c r="C611" s="182"/>
      <c r="D611" s="182"/>
      <c r="E611" s="182"/>
      <c r="F611" s="182"/>
      <c r="G611" s="182"/>
      <c r="H611" s="182"/>
      <c r="I611" s="182"/>
      <c r="J611" s="182"/>
      <c r="K611" s="182"/>
      <c r="L611" s="182"/>
      <c r="M611" s="182"/>
      <c r="N611" s="177"/>
      <c r="O611" s="182"/>
      <c r="P611" s="179"/>
      <c r="Q611" s="182"/>
      <c r="R611" s="182"/>
      <c r="S611" s="182"/>
      <c r="T611" s="182"/>
      <c r="U611" s="182"/>
      <c r="V611" s="182"/>
      <c r="W611" s="182"/>
      <c r="X611" s="182"/>
      <c r="Y611" s="182"/>
      <c r="Z611" s="182"/>
      <c r="AA611" s="182"/>
      <c r="AB611" s="182"/>
      <c r="AC611" s="182"/>
      <c r="AD611" s="182"/>
      <c r="AE611" s="184"/>
      <c r="AF611" s="183"/>
      <c r="AG611" s="183"/>
      <c r="AH611" s="183"/>
      <c r="AI611" s="183"/>
      <c r="AJ611" s="182"/>
      <c r="AK611" s="184"/>
      <c r="AL611" s="182"/>
      <c r="AM611" s="182"/>
      <c r="AN611" s="182"/>
      <c r="AO611" s="182"/>
      <c r="AP611" s="182"/>
      <c r="AQ611" s="182"/>
      <c r="AR611" s="182"/>
    </row>
    <row r="612" spans="1:44">
      <c r="A612" s="182"/>
      <c r="B612" s="182"/>
      <c r="C612" s="182"/>
      <c r="D612" s="182"/>
      <c r="E612" s="182"/>
      <c r="F612" s="182"/>
      <c r="G612" s="182"/>
      <c r="H612" s="182"/>
      <c r="I612" s="182"/>
      <c r="J612" s="182"/>
      <c r="K612" s="182"/>
      <c r="L612" s="182"/>
      <c r="M612" s="182"/>
      <c r="N612" s="177"/>
      <c r="O612" s="182"/>
      <c r="P612" s="179"/>
      <c r="Q612" s="182"/>
      <c r="R612" s="182"/>
      <c r="S612" s="182"/>
      <c r="T612" s="182"/>
      <c r="U612" s="182"/>
      <c r="V612" s="182"/>
      <c r="W612" s="182"/>
      <c r="X612" s="182"/>
      <c r="Y612" s="182"/>
      <c r="Z612" s="182"/>
      <c r="AA612" s="182"/>
      <c r="AB612" s="182"/>
      <c r="AC612" s="182"/>
      <c r="AD612" s="182"/>
      <c r="AE612" s="184"/>
      <c r="AF612" s="183"/>
      <c r="AG612" s="183"/>
      <c r="AH612" s="183"/>
      <c r="AI612" s="183"/>
      <c r="AJ612" s="182"/>
      <c r="AK612" s="184"/>
      <c r="AL612" s="182"/>
      <c r="AM612" s="182"/>
      <c r="AN612" s="182"/>
      <c r="AO612" s="182"/>
      <c r="AP612" s="182"/>
      <c r="AQ612" s="182"/>
      <c r="AR612" s="182"/>
    </row>
    <row r="613" spans="1:44">
      <c r="A613" s="182"/>
      <c r="B613" s="182"/>
      <c r="C613" s="182"/>
      <c r="D613" s="182"/>
      <c r="E613" s="182"/>
      <c r="F613" s="182"/>
      <c r="G613" s="182"/>
      <c r="H613" s="182"/>
      <c r="I613" s="182"/>
      <c r="J613" s="182"/>
      <c r="K613" s="182"/>
      <c r="L613" s="182"/>
      <c r="M613" s="182"/>
      <c r="N613" s="177"/>
      <c r="O613" s="182"/>
      <c r="P613" s="179"/>
      <c r="Q613" s="182"/>
      <c r="R613" s="182"/>
      <c r="S613" s="182"/>
      <c r="T613" s="182"/>
      <c r="U613" s="182"/>
      <c r="V613" s="182"/>
      <c r="W613" s="182"/>
      <c r="X613" s="182"/>
      <c r="Y613" s="182"/>
      <c r="Z613" s="182"/>
      <c r="AA613" s="182"/>
      <c r="AB613" s="182"/>
      <c r="AC613" s="182"/>
      <c r="AD613" s="182"/>
      <c r="AE613" s="184"/>
      <c r="AF613" s="183"/>
      <c r="AG613" s="183"/>
      <c r="AH613" s="183"/>
      <c r="AI613" s="183"/>
      <c r="AJ613" s="182"/>
      <c r="AK613" s="184"/>
      <c r="AL613" s="182"/>
      <c r="AM613" s="182"/>
      <c r="AN613" s="182"/>
      <c r="AO613" s="182"/>
      <c r="AP613" s="182"/>
      <c r="AQ613" s="182"/>
      <c r="AR613" s="182"/>
    </row>
    <row r="614" spans="1:44">
      <c r="A614" s="182"/>
      <c r="B614" s="182"/>
      <c r="C614" s="182"/>
      <c r="D614" s="182"/>
      <c r="E614" s="182"/>
      <c r="F614" s="182"/>
      <c r="G614" s="182"/>
      <c r="H614" s="182"/>
      <c r="I614" s="182"/>
      <c r="J614" s="182"/>
      <c r="K614" s="182"/>
      <c r="L614" s="182"/>
      <c r="M614" s="182"/>
      <c r="N614" s="177"/>
      <c r="O614" s="182"/>
      <c r="P614" s="179"/>
      <c r="Q614" s="182"/>
      <c r="R614" s="182"/>
      <c r="S614" s="182"/>
      <c r="T614" s="182"/>
      <c r="U614" s="182"/>
      <c r="V614" s="182"/>
      <c r="W614" s="182"/>
      <c r="X614" s="182"/>
      <c r="Y614" s="182"/>
      <c r="Z614" s="182"/>
      <c r="AA614" s="182"/>
      <c r="AB614" s="182"/>
      <c r="AC614" s="182"/>
      <c r="AD614" s="182"/>
      <c r="AE614" s="184"/>
      <c r="AF614" s="183"/>
      <c r="AG614" s="183"/>
      <c r="AH614" s="183"/>
      <c r="AI614" s="183"/>
      <c r="AJ614" s="182"/>
      <c r="AK614" s="184"/>
      <c r="AL614" s="182"/>
      <c r="AM614" s="182"/>
      <c r="AN614" s="182"/>
      <c r="AO614" s="182"/>
      <c r="AP614" s="182"/>
      <c r="AQ614" s="182"/>
      <c r="AR614" s="182"/>
    </row>
    <row r="615" spans="1:44">
      <c r="A615" s="182"/>
      <c r="B615" s="182"/>
      <c r="C615" s="182"/>
      <c r="D615" s="182"/>
      <c r="E615" s="182"/>
      <c r="F615" s="182"/>
      <c r="G615" s="182"/>
      <c r="H615" s="182"/>
      <c r="I615" s="182"/>
      <c r="J615" s="182"/>
      <c r="K615" s="182"/>
      <c r="L615" s="182"/>
      <c r="M615" s="182"/>
      <c r="N615" s="177"/>
      <c r="O615" s="182"/>
      <c r="P615" s="179"/>
      <c r="Q615" s="182"/>
      <c r="R615" s="182"/>
      <c r="S615" s="182"/>
      <c r="T615" s="182"/>
      <c r="U615" s="182"/>
      <c r="V615" s="182"/>
      <c r="W615" s="182"/>
      <c r="X615" s="182"/>
      <c r="Y615" s="182"/>
      <c r="Z615" s="182"/>
      <c r="AA615" s="182"/>
      <c r="AB615" s="182"/>
      <c r="AC615" s="182"/>
      <c r="AD615" s="182"/>
      <c r="AE615" s="184"/>
      <c r="AF615" s="183"/>
      <c r="AG615" s="183"/>
      <c r="AH615" s="183"/>
      <c r="AI615" s="183"/>
      <c r="AJ615" s="182"/>
      <c r="AK615" s="184"/>
      <c r="AL615" s="182"/>
      <c r="AM615" s="182"/>
      <c r="AN615" s="182"/>
      <c r="AO615" s="182"/>
      <c r="AP615" s="182"/>
      <c r="AQ615" s="182"/>
      <c r="AR615" s="182"/>
    </row>
    <row r="616" spans="1:44">
      <c r="A616" s="182"/>
      <c r="B616" s="182"/>
      <c r="C616" s="182"/>
      <c r="D616" s="182"/>
      <c r="E616" s="182"/>
      <c r="F616" s="182"/>
      <c r="G616" s="182"/>
      <c r="H616" s="182"/>
      <c r="I616" s="182"/>
      <c r="J616" s="182"/>
      <c r="K616" s="182"/>
      <c r="L616" s="182"/>
      <c r="M616" s="182"/>
      <c r="N616" s="177"/>
      <c r="O616" s="182"/>
      <c r="P616" s="179"/>
      <c r="Q616" s="182"/>
      <c r="R616" s="182"/>
      <c r="S616" s="182"/>
      <c r="T616" s="182"/>
      <c r="U616" s="182"/>
      <c r="V616" s="182"/>
      <c r="W616" s="182"/>
      <c r="X616" s="182"/>
      <c r="Y616" s="182"/>
      <c r="Z616" s="182"/>
      <c r="AA616" s="182"/>
      <c r="AB616" s="182"/>
      <c r="AC616" s="182"/>
      <c r="AD616" s="182"/>
      <c r="AE616" s="184"/>
      <c r="AF616" s="183"/>
      <c r="AG616" s="183"/>
      <c r="AH616" s="183"/>
      <c r="AI616" s="183"/>
      <c r="AJ616" s="182"/>
      <c r="AK616" s="184"/>
      <c r="AL616" s="182"/>
      <c r="AM616" s="182"/>
      <c r="AN616" s="182"/>
      <c r="AO616" s="182"/>
      <c r="AP616" s="182"/>
      <c r="AQ616" s="182"/>
      <c r="AR616" s="182"/>
    </row>
    <row r="617" spans="1:44">
      <c r="A617" s="182"/>
      <c r="B617" s="182"/>
      <c r="C617" s="182"/>
      <c r="D617" s="182"/>
      <c r="E617" s="182"/>
      <c r="F617" s="182"/>
      <c r="G617" s="182"/>
      <c r="H617" s="182"/>
      <c r="I617" s="182"/>
      <c r="J617" s="182"/>
      <c r="K617" s="182"/>
      <c r="L617" s="182"/>
      <c r="M617" s="182"/>
      <c r="N617" s="177"/>
      <c r="O617" s="182"/>
      <c r="P617" s="179"/>
      <c r="Q617" s="182"/>
      <c r="R617" s="182"/>
      <c r="S617" s="182"/>
      <c r="T617" s="182"/>
      <c r="U617" s="182"/>
      <c r="V617" s="182"/>
      <c r="W617" s="182"/>
      <c r="X617" s="182"/>
      <c r="Y617" s="182"/>
      <c r="Z617" s="182"/>
      <c r="AA617" s="182"/>
      <c r="AB617" s="182"/>
      <c r="AC617" s="182"/>
      <c r="AD617" s="182"/>
      <c r="AE617" s="184"/>
      <c r="AF617" s="183"/>
      <c r="AG617" s="183"/>
      <c r="AH617" s="183"/>
      <c r="AI617" s="183"/>
      <c r="AJ617" s="182"/>
      <c r="AK617" s="184"/>
      <c r="AL617" s="182"/>
      <c r="AM617" s="182"/>
      <c r="AN617" s="182"/>
      <c r="AO617" s="182"/>
      <c r="AP617" s="182"/>
      <c r="AQ617" s="182"/>
      <c r="AR617" s="182"/>
    </row>
    <row r="618" spans="1:44">
      <c r="A618" s="182"/>
      <c r="B618" s="182"/>
      <c r="C618" s="182"/>
      <c r="D618" s="182"/>
      <c r="E618" s="182"/>
      <c r="F618" s="182"/>
      <c r="G618" s="182"/>
      <c r="H618" s="182"/>
      <c r="I618" s="182"/>
      <c r="J618" s="182"/>
      <c r="K618" s="182"/>
      <c r="L618" s="182"/>
      <c r="M618" s="182"/>
      <c r="N618" s="177"/>
      <c r="O618" s="182"/>
      <c r="P618" s="179"/>
      <c r="Q618" s="182"/>
      <c r="R618" s="182"/>
      <c r="S618" s="182"/>
      <c r="T618" s="182"/>
      <c r="U618" s="182"/>
      <c r="V618" s="182"/>
      <c r="W618" s="182"/>
      <c r="X618" s="182"/>
      <c r="Y618" s="182"/>
      <c r="Z618" s="182"/>
      <c r="AA618" s="182"/>
      <c r="AB618" s="182"/>
      <c r="AC618" s="182"/>
      <c r="AD618" s="182"/>
      <c r="AE618" s="184"/>
      <c r="AF618" s="183"/>
      <c r="AG618" s="183"/>
      <c r="AH618" s="183"/>
      <c r="AI618" s="183"/>
      <c r="AJ618" s="182"/>
      <c r="AK618" s="184"/>
      <c r="AL618" s="182"/>
      <c r="AM618" s="182"/>
      <c r="AN618" s="182"/>
      <c r="AO618" s="182"/>
      <c r="AP618" s="182"/>
      <c r="AQ618" s="182"/>
      <c r="AR618" s="182"/>
    </row>
    <row r="619" spans="1:44">
      <c r="A619" s="182"/>
      <c r="B619" s="182"/>
      <c r="C619" s="182"/>
      <c r="D619" s="182"/>
      <c r="E619" s="182"/>
      <c r="F619" s="182"/>
      <c r="G619" s="182"/>
      <c r="H619" s="182"/>
      <c r="I619" s="182"/>
      <c r="J619" s="182"/>
      <c r="K619" s="182"/>
      <c r="L619" s="182"/>
      <c r="M619" s="182"/>
      <c r="N619" s="177"/>
      <c r="O619" s="182"/>
      <c r="P619" s="179"/>
      <c r="Q619" s="182"/>
      <c r="R619" s="182"/>
      <c r="S619" s="182"/>
      <c r="T619" s="182"/>
      <c r="U619" s="182"/>
      <c r="V619" s="182"/>
      <c r="W619" s="182"/>
      <c r="X619" s="182"/>
      <c r="Y619" s="182"/>
      <c r="Z619" s="182"/>
      <c r="AA619" s="182"/>
      <c r="AB619" s="182"/>
      <c r="AC619" s="182"/>
      <c r="AD619" s="182"/>
      <c r="AE619" s="184"/>
      <c r="AF619" s="183"/>
      <c r="AG619" s="183"/>
      <c r="AH619" s="183"/>
      <c r="AI619" s="183"/>
      <c r="AJ619" s="182"/>
      <c r="AK619" s="184"/>
      <c r="AL619" s="182"/>
      <c r="AM619" s="182"/>
      <c r="AN619" s="182"/>
      <c r="AO619" s="182"/>
      <c r="AP619" s="182"/>
      <c r="AQ619" s="182"/>
      <c r="AR619" s="182"/>
    </row>
    <row r="620" spans="1:44">
      <c r="A620" s="182"/>
      <c r="B620" s="182"/>
      <c r="C620" s="182"/>
      <c r="D620" s="182"/>
      <c r="E620" s="182"/>
      <c r="F620" s="182"/>
      <c r="G620" s="182"/>
      <c r="H620" s="182"/>
      <c r="I620" s="182"/>
      <c r="J620" s="182"/>
      <c r="K620" s="182"/>
      <c r="L620" s="182"/>
      <c r="M620" s="182"/>
      <c r="N620" s="177"/>
      <c r="O620" s="182"/>
      <c r="P620" s="179"/>
      <c r="Q620" s="182"/>
      <c r="R620" s="182"/>
      <c r="S620" s="182"/>
      <c r="T620" s="182"/>
      <c r="U620" s="182"/>
      <c r="V620" s="182"/>
      <c r="W620" s="182"/>
      <c r="X620" s="182"/>
      <c r="Y620" s="182"/>
      <c r="Z620" s="182"/>
      <c r="AA620" s="182"/>
      <c r="AB620" s="182"/>
      <c r="AC620" s="182"/>
      <c r="AD620" s="182"/>
      <c r="AE620" s="184"/>
      <c r="AF620" s="183"/>
      <c r="AG620" s="183"/>
      <c r="AH620" s="183"/>
      <c r="AI620" s="183"/>
      <c r="AJ620" s="182"/>
      <c r="AK620" s="184"/>
      <c r="AL620" s="182"/>
      <c r="AM620" s="182"/>
      <c r="AN620" s="182"/>
      <c r="AO620" s="182"/>
      <c r="AP620" s="182"/>
      <c r="AQ620" s="182"/>
      <c r="AR620" s="182"/>
    </row>
    <row r="621" spans="1:44">
      <c r="A621" s="182"/>
      <c r="B621" s="182"/>
      <c r="C621" s="182"/>
      <c r="D621" s="182"/>
      <c r="E621" s="182"/>
      <c r="F621" s="182"/>
      <c r="G621" s="182"/>
      <c r="H621" s="182"/>
      <c r="I621" s="182"/>
      <c r="J621" s="182"/>
      <c r="K621" s="182"/>
      <c r="L621" s="182"/>
      <c r="M621" s="182"/>
      <c r="N621" s="177"/>
      <c r="O621" s="182"/>
      <c r="P621" s="179"/>
      <c r="Q621" s="182"/>
      <c r="R621" s="182"/>
      <c r="S621" s="182"/>
      <c r="T621" s="182"/>
      <c r="U621" s="182"/>
      <c r="V621" s="182"/>
      <c r="W621" s="182"/>
      <c r="X621" s="182"/>
      <c r="Y621" s="182"/>
      <c r="Z621" s="182"/>
      <c r="AA621" s="182"/>
      <c r="AB621" s="182"/>
      <c r="AC621" s="182"/>
      <c r="AD621" s="182"/>
      <c r="AE621" s="184"/>
      <c r="AF621" s="183"/>
      <c r="AG621" s="183"/>
      <c r="AH621" s="183"/>
      <c r="AI621" s="183"/>
      <c r="AJ621" s="182"/>
      <c r="AK621" s="184"/>
      <c r="AL621" s="182"/>
      <c r="AM621" s="182"/>
      <c r="AN621" s="182"/>
      <c r="AO621" s="182"/>
      <c r="AP621" s="182"/>
      <c r="AQ621" s="182"/>
      <c r="AR621" s="182"/>
    </row>
    <row r="622" spans="1:44">
      <c r="A622" s="182"/>
      <c r="B622" s="182"/>
      <c r="C622" s="182"/>
      <c r="D622" s="182"/>
      <c r="E622" s="182"/>
      <c r="F622" s="182"/>
      <c r="G622" s="182"/>
      <c r="H622" s="182"/>
      <c r="I622" s="182"/>
      <c r="J622" s="182"/>
      <c r="K622" s="182"/>
      <c r="L622" s="182"/>
      <c r="M622" s="182"/>
      <c r="N622" s="177"/>
      <c r="O622" s="182"/>
      <c r="P622" s="179"/>
      <c r="Q622" s="182"/>
      <c r="R622" s="182"/>
      <c r="S622" s="182"/>
      <c r="T622" s="182"/>
      <c r="U622" s="182"/>
      <c r="V622" s="182"/>
      <c r="W622" s="182"/>
      <c r="X622" s="182"/>
      <c r="Y622" s="182"/>
      <c r="Z622" s="182"/>
      <c r="AA622" s="182"/>
      <c r="AB622" s="182"/>
      <c r="AC622" s="182"/>
      <c r="AD622" s="182"/>
      <c r="AE622" s="184"/>
      <c r="AF622" s="183"/>
      <c r="AG622" s="183"/>
      <c r="AH622" s="183"/>
      <c r="AI622" s="183"/>
      <c r="AJ622" s="182"/>
      <c r="AK622" s="184"/>
      <c r="AL622" s="182"/>
      <c r="AM622" s="182"/>
      <c r="AN622" s="182"/>
      <c r="AO622" s="182"/>
      <c r="AP622" s="182"/>
      <c r="AQ622" s="182"/>
      <c r="AR622" s="182"/>
    </row>
    <row r="623" spans="1:44">
      <c r="A623" s="182"/>
      <c r="B623" s="182"/>
      <c r="C623" s="182"/>
      <c r="D623" s="182"/>
      <c r="E623" s="182"/>
      <c r="F623" s="182"/>
      <c r="G623" s="182"/>
      <c r="H623" s="182"/>
      <c r="I623" s="182"/>
      <c r="J623" s="182"/>
      <c r="K623" s="182"/>
      <c r="L623" s="182"/>
      <c r="M623" s="182"/>
      <c r="N623" s="177"/>
      <c r="O623" s="182"/>
      <c r="P623" s="179"/>
      <c r="Q623" s="182"/>
      <c r="R623" s="182"/>
      <c r="S623" s="182"/>
      <c r="T623" s="182"/>
      <c r="U623" s="182"/>
      <c r="V623" s="182"/>
      <c r="W623" s="182"/>
      <c r="X623" s="182"/>
      <c r="Y623" s="182"/>
      <c r="Z623" s="182"/>
      <c r="AA623" s="182"/>
      <c r="AB623" s="182"/>
      <c r="AC623" s="182"/>
      <c r="AD623" s="182"/>
      <c r="AE623" s="184"/>
      <c r="AF623" s="183"/>
      <c r="AG623" s="183"/>
      <c r="AH623" s="183"/>
      <c r="AI623" s="183"/>
      <c r="AJ623" s="182"/>
      <c r="AK623" s="184"/>
      <c r="AL623" s="182"/>
      <c r="AM623" s="182"/>
      <c r="AN623" s="182"/>
      <c r="AO623" s="182"/>
      <c r="AP623" s="182"/>
      <c r="AQ623" s="182"/>
      <c r="AR623" s="182"/>
    </row>
    <row r="624" spans="1:44">
      <c r="A624" s="182"/>
      <c r="B624" s="182"/>
      <c r="C624" s="182"/>
      <c r="D624" s="182"/>
      <c r="E624" s="182"/>
      <c r="F624" s="182"/>
      <c r="G624" s="182"/>
      <c r="H624" s="182"/>
      <c r="I624" s="182"/>
      <c r="J624" s="182"/>
      <c r="K624" s="182"/>
      <c r="L624" s="182"/>
      <c r="M624" s="182"/>
      <c r="N624" s="177"/>
      <c r="O624" s="182"/>
      <c r="P624" s="179"/>
      <c r="Q624" s="182"/>
      <c r="R624" s="182"/>
      <c r="S624" s="182"/>
      <c r="T624" s="182"/>
      <c r="U624" s="182"/>
      <c r="V624" s="182"/>
      <c r="W624" s="182"/>
      <c r="X624" s="182"/>
      <c r="Y624" s="182"/>
      <c r="Z624" s="182"/>
      <c r="AA624" s="182"/>
      <c r="AB624" s="182"/>
      <c r="AC624" s="182"/>
      <c r="AD624" s="182"/>
      <c r="AE624" s="184"/>
      <c r="AF624" s="183"/>
      <c r="AG624" s="183"/>
      <c r="AH624" s="183"/>
      <c r="AI624" s="183"/>
      <c r="AJ624" s="182"/>
      <c r="AK624" s="184"/>
      <c r="AL624" s="182"/>
      <c r="AM624" s="182"/>
      <c r="AN624" s="182"/>
      <c r="AO624" s="182"/>
      <c r="AP624" s="182"/>
      <c r="AQ624" s="182"/>
      <c r="AR624" s="182"/>
    </row>
    <row r="625" spans="1:44">
      <c r="A625" s="182"/>
      <c r="B625" s="182"/>
      <c r="C625" s="182"/>
      <c r="D625" s="182"/>
      <c r="E625" s="182"/>
      <c r="F625" s="182"/>
      <c r="G625" s="182"/>
      <c r="H625" s="182"/>
      <c r="I625" s="182"/>
      <c r="J625" s="182"/>
      <c r="K625" s="182"/>
      <c r="L625" s="182"/>
      <c r="M625" s="182"/>
      <c r="N625" s="177"/>
      <c r="O625" s="182"/>
      <c r="P625" s="179"/>
      <c r="Q625" s="182"/>
      <c r="R625" s="182"/>
      <c r="S625" s="182"/>
      <c r="T625" s="182"/>
      <c r="U625" s="182"/>
      <c r="V625" s="182"/>
      <c r="W625" s="182"/>
      <c r="X625" s="182"/>
      <c r="Y625" s="182"/>
      <c r="Z625" s="182"/>
      <c r="AA625" s="182"/>
      <c r="AB625" s="182"/>
      <c r="AC625" s="182"/>
      <c r="AD625" s="182"/>
      <c r="AE625" s="184"/>
      <c r="AF625" s="183"/>
      <c r="AG625" s="183"/>
      <c r="AH625" s="183"/>
      <c r="AI625" s="183"/>
      <c r="AJ625" s="182"/>
      <c r="AK625" s="184"/>
      <c r="AL625" s="182"/>
      <c r="AM625" s="182"/>
      <c r="AN625" s="182"/>
      <c r="AO625" s="182"/>
      <c r="AP625" s="182"/>
      <c r="AQ625" s="182"/>
      <c r="AR625" s="182"/>
    </row>
    <row r="626" spans="1:44">
      <c r="A626" s="182"/>
      <c r="B626" s="182"/>
      <c r="C626" s="182"/>
      <c r="D626" s="182"/>
      <c r="E626" s="182"/>
      <c r="F626" s="182"/>
      <c r="G626" s="182"/>
      <c r="H626" s="182"/>
      <c r="I626" s="182"/>
      <c r="J626" s="182"/>
      <c r="K626" s="182"/>
      <c r="L626" s="182"/>
      <c r="M626" s="182"/>
      <c r="N626" s="177"/>
      <c r="O626" s="182"/>
      <c r="P626" s="179"/>
      <c r="Q626" s="182"/>
      <c r="R626" s="182"/>
      <c r="S626" s="182"/>
      <c r="T626" s="182"/>
      <c r="U626" s="182"/>
      <c r="V626" s="182"/>
      <c r="W626" s="182"/>
      <c r="X626" s="182"/>
      <c r="Y626" s="182"/>
      <c r="Z626" s="182"/>
      <c r="AA626" s="182"/>
      <c r="AB626" s="182"/>
      <c r="AC626" s="182"/>
      <c r="AD626" s="182"/>
      <c r="AE626" s="184"/>
      <c r="AF626" s="183"/>
      <c r="AG626" s="183"/>
      <c r="AH626" s="183"/>
      <c r="AI626" s="183"/>
      <c r="AJ626" s="182"/>
      <c r="AK626" s="184"/>
      <c r="AL626" s="182"/>
      <c r="AM626" s="182"/>
      <c r="AN626" s="182"/>
      <c r="AO626" s="182"/>
      <c r="AP626" s="182"/>
      <c r="AQ626" s="182"/>
      <c r="AR626" s="182"/>
    </row>
    <row r="627" spans="1:44">
      <c r="A627" s="182"/>
      <c r="B627" s="182"/>
      <c r="C627" s="182"/>
      <c r="D627" s="182"/>
      <c r="E627" s="182"/>
      <c r="F627" s="182"/>
      <c r="G627" s="182"/>
      <c r="H627" s="182"/>
      <c r="I627" s="182"/>
      <c r="J627" s="182"/>
      <c r="K627" s="182"/>
      <c r="L627" s="182"/>
      <c r="M627" s="182"/>
      <c r="N627" s="177"/>
      <c r="O627" s="182"/>
      <c r="P627" s="179"/>
      <c r="Q627" s="182"/>
      <c r="R627" s="182"/>
      <c r="S627" s="182"/>
      <c r="T627" s="182"/>
      <c r="U627" s="182"/>
      <c r="V627" s="182"/>
      <c r="W627" s="182"/>
      <c r="X627" s="182"/>
      <c r="Y627" s="182"/>
      <c r="Z627" s="182"/>
      <c r="AA627" s="182"/>
      <c r="AB627" s="182"/>
      <c r="AC627" s="182"/>
      <c r="AD627" s="182"/>
      <c r="AE627" s="184"/>
      <c r="AF627" s="183"/>
      <c r="AG627" s="183"/>
      <c r="AH627" s="183"/>
      <c r="AI627" s="183"/>
      <c r="AJ627" s="182"/>
      <c r="AK627" s="184"/>
      <c r="AL627" s="182"/>
      <c r="AM627" s="182"/>
      <c r="AN627" s="182"/>
      <c r="AO627" s="182"/>
      <c r="AP627" s="182"/>
      <c r="AQ627" s="182"/>
      <c r="AR627" s="182"/>
    </row>
    <row r="628" spans="1:44">
      <c r="A628" s="182"/>
      <c r="B628" s="182"/>
      <c r="C628" s="182"/>
      <c r="D628" s="182"/>
      <c r="E628" s="182"/>
      <c r="F628" s="182"/>
      <c r="G628" s="182"/>
      <c r="H628" s="182"/>
      <c r="I628" s="182"/>
      <c r="J628" s="182"/>
      <c r="K628" s="182"/>
      <c r="L628" s="182"/>
      <c r="M628" s="182"/>
      <c r="N628" s="177"/>
      <c r="O628" s="182"/>
      <c r="P628" s="179"/>
      <c r="Q628" s="182"/>
      <c r="R628" s="182"/>
      <c r="S628" s="182"/>
      <c r="T628" s="182"/>
      <c r="U628" s="182"/>
      <c r="V628" s="182"/>
      <c r="W628" s="182"/>
      <c r="X628" s="182"/>
      <c r="Y628" s="182"/>
      <c r="Z628" s="182"/>
      <c r="AA628" s="182"/>
      <c r="AB628" s="182"/>
      <c r="AC628" s="182"/>
      <c r="AD628" s="182"/>
      <c r="AE628" s="184"/>
      <c r="AF628" s="183"/>
      <c r="AG628" s="183"/>
      <c r="AH628" s="183"/>
      <c r="AI628" s="183"/>
      <c r="AJ628" s="182"/>
      <c r="AK628" s="184"/>
      <c r="AL628" s="182"/>
      <c r="AM628" s="182"/>
      <c r="AN628" s="182"/>
      <c r="AO628" s="182"/>
      <c r="AP628" s="182"/>
      <c r="AQ628" s="182"/>
      <c r="AR628" s="182"/>
    </row>
    <row r="629" spans="1:44">
      <c r="A629" s="182"/>
      <c r="B629" s="182"/>
      <c r="C629" s="182"/>
      <c r="D629" s="182"/>
      <c r="E629" s="182"/>
      <c r="F629" s="182"/>
      <c r="G629" s="182"/>
      <c r="H629" s="182"/>
      <c r="I629" s="182"/>
      <c r="J629" s="182"/>
      <c r="K629" s="182"/>
      <c r="L629" s="182"/>
      <c r="M629" s="182"/>
      <c r="N629" s="177"/>
      <c r="O629" s="182"/>
      <c r="P629" s="179"/>
      <c r="Q629" s="182"/>
      <c r="R629" s="182"/>
      <c r="S629" s="182"/>
      <c r="T629" s="182"/>
      <c r="U629" s="182"/>
      <c r="V629" s="182"/>
      <c r="W629" s="182"/>
      <c r="X629" s="182"/>
      <c r="Y629" s="182"/>
      <c r="Z629" s="182"/>
      <c r="AA629" s="182"/>
      <c r="AB629" s="182"/>
      <c r="AC629" s="182"/>
      <c r="AD629" s="182"/>
      <c r="AE629" s="184"/>
      <c r="AF629" s="183"/>
      <c r="AG629" s="183"/>
      <c r="AH629" s="183"/>
      <c r="AI629" s="183"/>
      <c r="AJ629" s="182"/>
      <c r="AK629" s="184"/>
      <c r="AL629" s="182"/>
      <c r="AM629" s="182"/>
      <c r="AN629" s="182"/>
      <c r="AO629" s="182"/>
      <c r="AP629" s="182"/>
      <c r="AQ629" s="182"/>
      <c r="AR629" s="182"/>
    </row>
    <row r="630" spans="1:44">
      <c r="A630" s="182"/>
      <c r="B630" s="182"/>
      <c r="C630" s="182"/>
      <c r="D630" s="182"/>
      <c r="E630" s="182"/>
      <c r="F630" s="182"/>
      <c r="G630" s="182"/>
      <c r="H630" s="182"/>
      <c r="I630" s="182"/>
      <c r="J630" s="182"/>
      <c r="K630" s="182"/>
      <c r="L630" s="182"/>
      <c r="M630" s="182"/>
      <c r="N630" s="177"/>
      <c r="O630" s="182"/>
      <c r="P630" s="179"/>
      <c r="Q630" s="182"/>
      <c r="R630" s="182"/>
      <c r="S630" s="182"/>
      <c r="T630" s="182"/>
      <c r="U630" s="182"/>
      <c r="V630" s="182"/>
      <c r="W630" s="182"/>
      <c r="X630" s="182"/>
      <c r="Y630" s="182"/>
      <c r="Z630" s="182"/>
      <c r="AA630" s="182"/>
      <c r="AB630" s="182"/>
      <c r="AC630" s="182"/>
      <c r="AD630" s="182"/>
      <c r="AE630" s="184"/>
      <c r="AF630" s="183"/>
      <c r="AG630" s="183"/>
      <c r="AH630" s="183"/>
      <c r="AI630" s="183"/>
      <c r="AJ630" s="182"/>
      <c r="AK630" s="184"/>
      <c r="AL630" s="182"/>
      <c r="AM630" s="182"/>
      <c r="AN630" s="182"/>
      <c r="AO630" s="182"/>
      <c r="AP630" s="182"/>
      <c r="AQ630" s="182"/>
      <c r="AR630" s="182"/>
    </row>
    <row r="631" spans="1:44">
      <c r="A631" s="182"/>
      <c r="B631" s="182"/>
      <c r="C631" s="182"/>
      <c r="D631" s="182"/>
      <c r="E631" s="182"/>
      <c r="F631" s="182"/>
      <c r="G631" s="182"/>
      <c r="H631" s="182"/>
      <c r="I631" s="182"/>
      <c r="J631" s="182"/>
      <c r="K631" s="182"/>
      <c r="L631" s="182"/>
      <c r="M631" s="182"/>
      <c r="N631" s="177"/>
      <c r="O631" s="182"/>
      <c r="P631" s="179"/>
      <c r="Q631" s="182"/>
      <c r="R631" s="182"/>
      <c r="S631" s="182"/>
      <c r="T631" s="182"/>
      <c r="U631" s="182"/>
      <c r="V631" s="182"/>
      <c r="W631" s="182"/>
      <c r="X631" s="182"/>
      <c r="Y631" s="182"/>
      <c r="Z631" s="182"/>
      <c r="AA631" s="182"/>
      <c r="AB631" s="182"/>
      <c r="AC631" s="182"/>
      <c r="AD631" s="182"/>
      <c r="AE631" s="184"/>
      <c r="AF631" s="183"/>
      <c r="AG631" s="183"/>
      <c r="AH631" s="183"/>
      <c r="AI631" s="183"/>
      <c r="AJ631" s="182"/>
      <c r="AK631" s="184"/>
      <c r="AL631" s="182"/>
      <c r="AM631" s="182"/>
      <c r="AN631" s="182"/>
      <c r="AO631" s="182"/>
      <c r="AP631" s="182"/>
      <c r="AQ631" s="182"/>
      <c r="AR631" s="182"/>
    </row>
    <row r="632" spans="1:44">
      <c r="A632" s="182"/>
      <c r="B632" s="182"/>
      <c r="C632" s="182"/>
      <c r="D632" s="182"/>
      <c r="E632" s="182"/>
      <c r="F632" s="182"/>
      <c r="G632" s="182"/>
      <c r="H632" s="182"/>
      <c r="I632" s="182"/>
      <c r="J632" s="182"/>
      <c r="K632" s="182"/>
      <c r="L632" s="182"/>
      <c r="M632" s="182"/>
      <c r="N632" s="177"/>
      <c r="O632" s="182"/>
      <c r="P632" s="179"/>
      <c r="Q632" s="182"/>
      <c r="R632" s="182"/>
      <c r="S632" s="182"/>
      <c r="T632" s="182"/>
      <c r="U632" s="182"/>
      <c r="V632" s="182"/>
      <c r="W632" s="182"/>
      <c r="X632" s="182"/>
      <c r="Y632" s="182"/>
      <c r="Z632" s="182"/>
      <c r="AA632" s="182"/>
      <c r="AB632" s="182"/>
      <c r="AC632" s="182"/>
      <c r="AD632" s="182"/>
      <c r="AE632" s="184"/>
      <c r="AF632" s="183"/>
      <c r="AG632" s="183"/>
      <c r="AH632" s="183"/>
      <c r="AI632" s="183"/>
      <c r="AJ632" s="182"/>
      <c r="AK632" s="184"/>
      <c r="AL632" s="182"/>
      <c r="AM632" s="182"/>
      <c r="AN632" s="182"/>
      <c r="AO632" s="182"/>
      <c r="AP632" s="182"/>
      <c r="AQ632" s="182"/>
      <c r="AR632" s="182"/>
    </row>
    <row r="633" spans="1:44">
      <c r="A633" s="182"/>
      <c r="B633" s="182"/>
      <c r="C633" s="182"/>
      <c r="D633" s="182"/>
      <c r="E633" s="182"/>
      <c r="F633" s="182"/>
      <c r="G633" s="182"/>
      <c r="H633" s="182"/>
      <c r="I633" s="182"/>
      <c r="J633" s="182"/>
      <c r="K633" s="182"/>
      <c r="L633" s="182"/>
      <c r="M633" s="182"/>
      <c r="N633" s="177"/>
      <c r="O633" s="182"/>
      <c r="P633" s="179"/>
      <c r="Q633" s="182"/>
      <c r="R633" s="182"/>
      <c r="S633" s="182"/>
      <c r="T633" s="182"/>
      <c r="U633" s="182"/>
      <c r="V633" s="182"/>
      <c r="W633" s="182"/>
      <c r="X633" s="182"/>
      <c r="Y633" s="182"/>
      <c r="Z633" s="182"/>
      <c r="AA633" s="182"/>
      <c r="AB633" s="182"/>
      <c r="AC633" s="182"/>
      <c r="AD633" s="182"/>
      <c r="AE633" s="184"/>
      <c r="AF633" s="183"/>
      <c r="AG633" s="183"/>
      <c r="AH633" s="183"/>
      <c r="AI633" s="183"/>
      <c r="AJ633" s="182"/>
      <c r="AK633" s="184"/>
      <c r="AL633" s="182"/>
      <c r="AM633" s="182"/>
      <c r="AN633" s="182"/>
      <c r="AO633" s="182"/>
      <c r="AP633" s="182"/>
      <c r="AQ633" s="182"/>
      <c r="AR633" s="182"/>
    </row>
    <row r="634" spans="1:44">
      <c r="A634" s="182"/>
      <c r="B634" s="182"/>
      <c r="C634" s="182"/>
      <c r="D634" s="182"/>
      <c r="E634" s="182"/>
      <c r="F634" s="182"/>
      <c r="G634" s="182"/>
      <c r="H634" s="182"/>
      <c r="I634" s="182"/>
      <c r="J634" s="182"/>
      <c r="K634" s="182"/>
      <c r="L634" s="182"/>
      <c r="M634" s="182"/>
      <c r="N634" s="177"/>
      <c r="O634" s="182"/>
      <c r="P634" s="179"/>
      <c r="Q634" s="182"/>
      <c r="R634" s="182"/>
      <c r="S634" s="182"/>
      <c r="T634" s="182"/>
      <c r="U634" s="182"/>
      <c r="V634" s="182"/>
      <c r="W634" s="182"/>
      <c r="X634" s="182"/>
      <c r="Y634" s="182"/>
      <c r="Z634" s="182"/>
      <c r="AA634" s="182"/>
      <c r="AB634" s="182"/>
      <c r="AC634" s="182"/>
      <c r="AD634" s="182"/>
      <c r="AE634" s="184"/>
      <c r="AF634" s="183"/>
      <c r="AG634" s="183"/>
      <c r="AH634" s="183"/>
      <c r="AI634" s="183"/>
      <c r="AJ634" s="182"/>
      <c r="AK634" s="184"/>
      <c r="AL634" s="182"/>
      <c r="AM634" s="182"/>
      <c r="AN634" s="182"/>
      <c r="AO634" s="182"/>
      <c r="AP634" s="182"/>
      <c r="AQ634" s="182"/>
      <c r="AR634" s="182"/>
    </row>
    <row r="635" spans="1:44">
      <c r="A635" s="182"/>
      <c r="B635" s="182"/>
      <c r="C635" s="182"/>
      <c r="D635" s="182"/>
      <c r="E635" s="182"/>
      <c r="F635" s="182"/>
      <c r="G635" s="182"/>
      <c r="H635" s="182"/>
      <c r="I635" s="182"/>
      <c r="J635" s="182"/>
      <c r="K635" s="182"/>
      <c r="L635" s="182"/>
      <c r="M635" s="182"/>
      <c r="N635" s="177"/>
      <c r="O635" s="182"/>
      <c r="P635" s="179"/>
      <c r="Q635" s="182"/>
      <c r="R635" s="182"/>
      <c r="S635" s="182"/>
      <c r="T635" s="182"/>
      <c r="U635" s="182"/>
      <c r="V635" s="182"/>
      <c r="W635" s="182"/>
      <c r="X635" s="182"/>
      <c r="Y635" s="182"/>
      <c r="Z635" s="182"/>
      <c r="AA635" s="182"/>
      <c r="AB635" s="182"/>
      <c r="AC635" s="182"/>
      <c r="AD635" s="182"/>
      <c r="AE635" s="184"/>
      <c r="AF635" s="183"/>
      <c r="AG635" s="183"/>
      <c r="AH635" s="183"/>
      <c r="AI635" s="183"/>
      <c r="AJ635" s="182"/>
      <c r="AK635" s="184"/>
      <c r="AL635" s="182"/>
      <c r="AM635" s="182"/>
      <c r="AN635" s="182"/>
      <c r="AO635" s="182"/>
      <c r="AP635" s="182"/>
      <c r="AQ635" s="182"/>
      <c r="AR635" s="182"/>
    </row>
    <row r="636" spans="1:44">
      <c r="A636" s="182"/>
      <c r="B636" s="182"/>
      <c r="C636" s="182"/>
      <c r="D636" s="182"/>
      <c r="E636" s="182"/>
      <c r="F636" s="182"/>
      <c r="G636" s="182"/>
      <c r="H636" s="182"/>
      <c r="I636" s="182"/>
      <c r="J636" s="182"/>
      <c r="K636" s="182"/>
      <c r="L636" s="182"/>
      <c r="M636" s="182"/>
      <c r="N636" s="177"/>
      <c r="O636" s="182"/>
      <c r="P636" s="179"/>
      <c r="Q636" s="182"/>
      <c r="R636" s="182"/>
      <c r="S636" s="182"/>
      <c r="T636" s="182"/>
      <c r="U636" s="182"/>
      <c r="V636" s="182"/>
      <c r="W636" s="182"/>
      <c r="X636" s="182"/>
      <c r="Y636" s="182"/>
      <c r="Z636" s="182"/>
      <c r="AA636" s="182"/>
      <c r="AB636" s="182"/>
      <c r="AC636" s="182"/>
      <c r="AD636" s="182"/>
      <c r="AE636" s="184"/>
      <c r="AF636" s="183"/>
      <c r="AG636" s="183"/>
      <c r="AH636" s="183"/>
      <c r="AI636" s="183"/>
      <c r="AJ636" s="182"/>
      <c r="AK636" s="184"/>
      <c r="AL636" s="182"/>
      <c r="AM636" s="182"/>
      <c r="AN636" s="182"/>
      <c r="AO636" s="182"/>
      <c r="AP636" s="182"/>
      <c r="AQ636" s="182"/>
      <c r="AR636" s="182"/>
    </row>
    <row r="637" spans="1:44">
      <c r="A637" s="182"/>
      <c r="B637" s="182"/>
      <c r="C637" s="182"/>
      <c r="D637" s="182"/>
      <c r="E637" s="182"/>
      <c r="F637" s="182"/>
      <c r="G637" s="182"/>
      <c r="H637" s="182"/>
      <c r="I637" s="182"/>
      <c r="J637" s="182"/>
      <c r="K637" s="182"/>
      <c r="L637" s="182"/>
      <c r="M637" s="182"/>
      <c r="N637" s="177"/>
      <c r="O637" s="182"/>
      <c r="P637" s="179"/>
      <c r="Q637" s="182"/>
      <c r="R637" s="182"/>
      <c r="S637" s="182"/>
      <c r="T637" s="182"/>
      <c r="U637" s="182"/>
      <c r="V637" s="182"/>
      <c r="W637" s="182"/>
      <c r="X637" s="182"/>
      <c r="Y637" s="182"/>
      <c r="Z637" s="182"/>
      <c r="AA637" s="182"/>
      <c r="AB637" s="182"/>
      <c r="AC637" s="182"/>
      <c r="AD637" s="182"/>
      <c r="AE637" s="184"/>
      <c r="AF637" s="183"/>
      <c r="AG637" s="183"/>
      <c r="AH637" s="183"/>
      <c r="AI637" s="183"/>
      <c r="AJ637" s="182"/>
      <c r="AK637" s="184"/>
      <c r="AL637" s="182"/>
      <c r="AM637" s="182"/>
      <c r="AN637" s="182"/>
      <c r="AO637" s="182"/>
      <c r="AP637" s="182"/>
      <c r="AQ637" s="182"/>
      <c r="AR637" s="182"/>
    </row>
    <row r="638" spans="1:44">
      <c r="A638" s="182"/>
      <c r="B638" s="182"/>
      <c r="C638" s="182"/>
      <c r="D638" s="182"/>
      <c r="E638" s="182"/>
      <c r="F638" s="182"/>
      <c r="G638" s="182"/>
      <c r="H638" s="182"/>
      <c r="I638" s="182"/>
      <c r="J638" s="182"/>
      <c r="K638" s="182"/>
      <c r="L638" s="182"/>
      <c r="M638" s="182"/>
      <c r="N638" s="177"/>
      <c r="O638" s="182"/>
      <c r="P638" s="179"/>
      <c r="Q638" s="182"/>
      <c r="R638" s="182"/>
      <c r="S638" s="182"/>
      <c r="T638" s="182"/>
      <c r="U638" s="182"/>
      <c r="V638" s="182"/>
      <c r="W638" s="182"/>
      <c r="X638" s="182"/>
      <c r="Y638" s="182"/>
      <c r="Z638" s="182"/>
      <c r="AA638" s="182"/>
      <c r="AB638" s="182"/>
      <c r="AC638" s="182"/>
      <c r="AD638" s="182"/>
      <c r="AE638" s="184"/>
      <c r="AF638" s="183"/>
      <c r="AG638" s="183"/>
      <c r="AH638" s="183"/>
      <c r="AI638" s="183"/>
      <c r="AJ638" s="182"/>
      <c r="AK638" s="184"/>
      <c r="AL638" s="182"/>
      <c r="AM638" s="182"/>
      <c r="AN638" s="182"/>
      <c r="AO638" s="182"/>
      <c r="AP638" s="182"/>
      <c r="AQ638" s="182"/>
      <c r="AR638" s="182"/>
    </row>
    <row r="639" spans="1:44">
      <c r="A639" s="182"/>
      <c r="B639" s="182"/>
      <c r="C639" s="182"/>
      <c r="D639" s="182"/>
      <c r="E639" s="182"/>
      <c r="F639" s="182"/>
      <c r="G639" s="182"/>
      <c r="H639" s="182"/>
      <c r="I639" s="182"/>
      <c r="J639" s="182"/>
      <c r="K639" s="182"/>
      <c r="L639" s="182"/>
      <c r="M639" s="182"/>
      <c r="N639" s="177"/>
      <c r="O639" s="182"/>
      <c r="P639" s="179"/>
      <c r="Q639" s="182"/>
      <c r="R639" s="182"/>
      <c r="S639" s="182"/>
      <c r="T639" s="182"/>
      <c r="U639" s="182"/>
      <c r="V639" s="182"/>
      <c r="W639" s="182"/>
      <c r="X639" s="182"/>
      <c r="Y639" s="182"/>
      <c r="Z639" s="182"/>
      <c r="AA639" s="182"/>
      <c r="AB639" s="182"/>
      <c r="AC639" s="182"/>
      <c r="AD639" s="182"/>
      <c r="AE639" s="184"/>
      <c r="AF639" s="183"/>
      <c r="AG639" s="183"/>
      <c r="AH639" s="183"/>
      <c r="AI639" s="183"/>
      <c r="AJ639" s="182"/>
      <c r="AK639" s="184"/>
      <c r="AL639" s="182"/>
      <c r="AM639" s="182"/>
      <c r="AN639" s="182"/>
      <c r="AO639" s="182"/>
      <c r="AP639" s="182"/>
      <c r="AQ639" s="182"/>
      <c r="AR639" s="182"/>
    </row>
    <row r="640" spans="1:44">
      <c r="A640" s="182"/>
      <c r="B640" s="182"/>
      <c r="C640" s="182"/>
      <c r="D640" s="182"/>
      <c r="E640" s="182"/>
      <c r="F640" s="182"/>
      <c r="G640" s="182"/>
      <c r="H640" s="182"/>
      <c r="I640" s="182"/>
      <c r="J640" s="182"/>
      <c r="K640" s="182"/>
      <c r="L640" s="182"/>
      <c r="M640" s="182"/>
      <c r="N640" s="177"/>
      <c r="O640" s="182"/>
      <c r="P640" s="179"/>
      <c r="Q640" s="182"/>
      <c r="R640" s="182"/>
      <c r="S640" s="182"/>
      <c r="T640" s="182"/>
      <c r="U640" s="182"/>
      <c r="V640" s="182"/>
      <c r="W640" s="182"/>
      <c r="X640" s="182"/>
      <c r="Y640" s="182"/>
      <c r="Z640" s="182"/>
      <c r="AA640" s="182"/>
      <c r="AB640" s="182"/>
      <c r="AC640" s="182"/>
      <c r="AD640" s="182"/>
      <c r="AE640" s="184"/>
      <c r="AF640" s="183"/>
      <c r="AG640" s="183"/>
      <c r="AH640" s="183"/>
      <c r="AI640" s="183"/>
      <c r="AJ640" s="182"/>
      <c r="AK640" s="184"/>
      <c r="AL640" s="182"/>
      <c r="AM640" s="182"/>
      <c r="AN640" s="182"/>
      <c r="AO640" s="182"/>
      <c r="AP640" s="182"/>
      <c r="AQ640" s="182"/>
      <c r="AR640" s="182"/>
    </row>
    <row r="641" spans="1:44">
      <c r="A641" s="182"/>
      <c r="B641" s="182"/>
      <c r="C641" s="182"/>
      <c r="D641" s="182"/>
      <c r="E641" s="182"/>
      <c r="F641" s="182"/>
      <c r="G641" s="182"/>
      <c r="H641" s="182"/>
      <c r="I641" s="182"/>
      <c r="J641" s="182"/>
      <c r="K641" s="182"/>
      <c r="L641" s="182"/>
      <c r="M641" s="182"/>
      <c r="N641" s="177"/>
      <c r="O641" s="182"/>
      <c r="P641" s="179"/>
      <c r="Q641" s="182"/>
      <c r="R641" s="182"/>
      <c r="S641" s="182"/>
      <c r="T641" s="182"/>
      <c r="U641" s="182"/>
      <c r="V641" s="182"/>
      <c r="W641" s="182"/>
      <c r="X641" s="182"/>
      <c r="Y641" s="182"/>
      <c r="Z641" s="182"/>
      <c r="AA641" s="182"/>
      <c r="AB641" s="182"/>
      <c r="AC641" s="182"/>
      <c r="AD641" s="182"/>
      <c r="AE641" s="184"/>
      <c r="AF641" s="183"/>
      <c r="AG641" s="183"/>
      <c r="AH641" s="183"/>
      <c r="AI641" s="183"/>
      <c r="AJ641" s="182"/>
      <c r="AK641" s="184"/>
      <c r="AL641" s="182"/>
      <c r="AM641" s="182"/>
      <c r="AN641" s="182"/>
      <c r="AO641" s="182"/>
      <c r="AP641" s="182"/>
      <c r="AQ641" s="182"/>
      <c r="AR641" s="182"/>
    </row>
    <row r="642" spans="1:44">
      <c r="A642" s="182"/>
      <c r="B642" s="182"/>
      <c r="C642" s="182"/>
      <c r="D642" s="182"/>
      <c r="E642" s="182"/>
      <c r="F642" s="182"/>
      <c r="G642" s="182"/>
      <c r="H642" s="182"/>
      <c r="I642" s="182"/>
      <c r="J642" s="182"/>
      <c r="K642" s="182"/>
      <c r="L642" s="182"/>
      <c r="M642" s="182"/>
      <c r="N642" s="177"/>
      <c r="O642" s="182"/>
      <c r="P642" s="179"/>
      <c r="Q642" s="182"/>
      <c r="R642" s="182"/>
      <c r="S642" s="182"/>
      <c r="T642" s="182"/>
      <c r="U642" s="182"/>
      <c r="V642" s="182"/>
      <c r="W642" s="182"/>
      <c r="X642" s="182"/>
      <c r="Y642" s="182"/>
      <c r="Z642" s="182"/>
      <c r="AA642" s="182"/>
      <c r="AB642" s="182"/>
      <c r="AC642" s="182"/>
      <c r="AD642" s="182"/>
      <c r="AE642" s="184"/>
      <c r="AF642" s="183"/>
      <c r="AG642" s="183"/>
      <c r="AH642" s="183"/>
      <c r="AI642" s="183"/>
      <c r="AJ642" s="182"/>
      <c r="AK642" s="184"/>
      <c r="AL642" s="182"/>
      <c r="AM642" s="182"/>
      <c r="AN642" s="182"/>
      <c r="AO642" s="182"/>
      <c r="AP642" s="182"/>
      <c r="AQ642" s="182"/>
      <c r="AR642" s="182"/>
    </row>
    <row r="643" spans="1:44">
      <c r="A643" s="182"/>
      <c r="B643" s="182"/>
      <c r="C643" s="182"/>
      <c r="D643" s="182"/>
      <c r="E643" s="182"/>
      <c r="F643" s="182"/>
      <c r="G643" s="182"/>
      <c r="H643" s="182"/>
      <c r="I643" s="182"/>
      <c r="J643" s="182"/>
      <c r="K643" s="182"/>
      <c r="L643" s="182"/>
      <c r="M643" s="182"/>
      <c r="N643" s="177"/>
      <c r="O643" s="182"/>
      <c r="P643" s="179"/>
      <c r="Q643" s="182"/>
      <c r="R643" s="182"/>
      <c r="S643" s="182"/>
      <c r="T643" s="182"/>
      <c r="U643" s="182"/>
      <c r="V643" s="182"/>
      <c r="W643" s="182"/>
      <c r="X643" s="182"/>
      <c r="Y643" s="182"/>
      <c r="Z643" s="182"/>
      <c r="AA643" s="182"/>
      <c r="AB643" s="182"/>
      <c r="AC643" s="182"/>
      <c r="AD643" s="182"/>
      <c r="AE643" s="184"/>
      <c r="AF643" s="183"/>
      <c r="AG643" s="183"/>
      <c r="AH643" s="183"/>
      <c r="AI643" s="183"/>
      <c r="AJ643" s="182"/>
      <c r="AK643" s="184"/>
      <c r="AL643" s="182"/>
      <c r="AM643" s="182"/>
      <c r="AN643" s="182"/>
      <c r="AO643" s="182"/>
      <c r="AP643" s="182"/>
      <c r="AQ643" s="182"/>
      <c r="AR643" s="182"/>
    </row>
    <row r="644" spans="1:44">
      <c r="A644" s="182"/>
      <c r="B644" s="182"/>
      <c r="C644" s="182"/>
      <c r="D644" s="182"/>
      <c r="E644" s="182"/>
      <c r="F644" s="182"/>
      <c r="G644" s="182"/>
      <c r="H644" s="182"/>
      <c r="I644" s="182"/>
      <c r="J644" s="182"/>
      <c r="K644" s="182"/>
      <c r="L644" s="182"/>
      <c r="M644" s="182"/>
      <c r="N644" s="177"/>
      <c r="O644" s="182"/>
      <c r="P644" s="179"/>
      <c r="Q644" s="182"/>
      <c r="R644" s="182"/>
      <c r="S644" s="182"/>
      <c r="T644" s="182"/>
      <c r="U644" s="182"/>
      <c r="V644" s="182"/>
      <c r="W644" s="182"/>
      <c r="X644" s="182"/>
      <c r="Y644" s="182"/>
      <c r="Z644" s="182"/>
      <c r="AA644" s="182"/>
      <c r="AB644" s="182"/>
      <c r="AC644" s="182"/>
      <c r="AD644" s="182"/>
      <c r="AE644" s="184"/>
      <c r="AF644" s="183"/>
      <c r="AG644" s="183"/>
      <c r="AH644" s="183"/>
      <c r="AI644" s="183"/>
      <c r="AJ644" s="182"/>
      <c r="AK644" s="184"/>
      <c r="AL644" s="182"/>
      <c r="AM644" s="182"/>
      <c r="AN644" s="182"/>
      <c r="AO644" s="182"/>
      <c r="AP644" s="182"/>
      <c r="AQ644" s="182"/>
      <c r="AR644" s="182"/>
    </row>
    <row r="645" spans="1:44">
      <c r="A645" s="182"/>
      <c r="B645" s="182"/>
      <c r="C645" s="182"/>
      <c r="D645" s="182"/>
      <c r="E645" s="182"/>
      <c r="F645" s="182"/>
      <c r="G645" s="182"/>
      <c r="H645" s="182"/>
      <c r="I645" s="182"/>
      <c r="J645" s="182"/>
      <c r="K645" s="182"/>
      <c r="L645" s="182"/>
      <c r="M645" s="182"/>
      <c r="N645" s="177"/>
      <c r="O645" s="182"/>
      <c r="P645" s="179"/>
      <c r="Q645" s="182"/>
      <c r="R645" s="182"/>
      <c r="S645" s="182"/>
      <c r="T645" s="182"/>
      <c r="U645" s="182"/>
      <c r="V645" s="182"/>
      <c r="W645" s="182"/>
      <c r="X645" s="182"/>
      <c r="Y645" s="182"/>
      <c r="Z645" s="182"/>
      <c r="AA645" s="182"/>
      <c r="AB645" s="182"/>
      <c r="AC645" s="182"/>
      <c r="AD645" s="182"/>
      <c r="AE645" s="184"/>
      <c r="AF645" s="183"/>
      <c r="AG645" s="183"/>
      <c r="AH645" s="183"/>
      <c r="AI645" s="183"/>
      <c r="AJ645" s="182"/>
      <c r="AK645" s="184"/>
      <c r="AL645" s="182"/>
      <c r="AM645" s="182"/>
      <c r="AN645" s="182"/>
      <c r="AO645" s="182"/>
      <c r="AP645" s="182"/>
      <c r="AQ645" s="182"/>
      <c r="AR645" s="182"/>
    </row>
    <row r="646" spans="1:44">
      <c r="A646" s="182"/>
      <c r="B646" s="182"/>
      <c r="C646" s="182"/>
      <c r="D646" s="182"/>
      <c r="E646" s="182"/>
      <c r="F646" s="182"/>
      <c r="G646" s="182"/>
      <c r="H646" s="182"/>
      <c r="I646" s="182"/>
      <c r="J646" s="182"/>
      <c r="K646" s="182"/>
      <c r="L646" s="182"/>
      <c r="M646" s="182"/>
      <c r="N646" s="177"/>
      <c r="O646" s="182"/>
      <c r="P646" s="179"/>
      <c r="Q646" s="182"/>
      <c r="R646" s="182"/>
      <c r="S646" s="182"/>
      <c r="T646" s="182"/>
      <c r="U646" s="182"/>
      <c r="V646" s="182"/>
      <c r="W646" s="182"/>
      <c r="X646" s="182"/>
      <c r="Y646" s="182"/>
      <c r="Z646" s="182"/>
      <c r="AA646" s="182"/>
      <c r="AB646" s="182"/>
      <c r="AC646" s="182"/>
      <c r="AD646" s="182"/>
      <c r="AE646" s="184"/>
      <c r="AF646" s="183"/>
      <c r="AG646" s="183"/>
      <c r="AH646" s="183"/>
      <c r="AI646" s="183"/>
      <c r="AJ646" s="182"/>
      <c r="AK646" s="184"/>
      <c r="AL646" s="182"/>
      <c r="AM646" s="182"/>
      <c r="AN646" s="182"/>
      <c r="AO646" s="182"/>
      <c r="AP646" s="182"/>
      <c r="AQ646" s="182"/>
      <c r="AR646" s="182"/>
    </row>
    <row r="647" spans="1:44">
      <c r="A647" s="182"/>
      <c r="B647" s="182"/>
      <c r="C647" s="182"/>
      <c r="D647" s="182"/>
      <c r="E647" s="182"/>
      <c r="F647" s="182"/>
      <c r="G647" s="182"/>
      <c r="H647" s="182"/>
      <c r="I647" s="182"/>
      <c r="J647" s="182"/>
      <c r="K647" s="182"/>
      <c r="L647" s="182"/>
      <c r="M647" s="182"/>
      <c r="N647" s="177"/>
      <c r="O647" s="182"/>
      <c r="P647" s="179"/>
      <c r="Q647" s="182"/>
      <c r="R647" s="182"/>
      <c r="S647" s="182"/>
      <c r="T647" s="182"/>
      <c r="U647" s="182"/>
      <c r="V647" s="182"/>
      <c r="W647" s="182"/>
      <c r="X647" s="182"/>
      <c r="Y647" s="182"/>
      <c r="Z647" s="182"/>
      <c r="AA647" s="182"/>
      <c r="AB647" s="182"/>
      <c r="AC647" s="182"/>
      <c r="AD647" s="182"/>
      <c r="AE647" s="184"/>
      <c r="AF647" s="183"/>
      <c r="AG647" s="183"/>
      <c r="AH647" s="183"/>
      <c r="AI647" s="183"/>
      <c r="AJ647" s="182"/>
      <c r="AK647" s="184"/>
      <c r="AL647" s="182"/>
      <c r="AM647" s="182"/>
      <c r="AN647" s="182"/>
      <c r="AO647" s="182"/>
      <c r="AP647" s="182"/>
      <c r="AQ647" s="182"/>
      <c r="AR647" s="182"/>
    </row>
    <row r="648" spans="1:44">
      <c r="A648" s="182"/>
      <c r="B648" s="182"/>
      <c r="C648" s="182"/>
      <c r="D648" s="182"/>
      <c r="E648" s="182"/>
      <c r="F648" s="182"/>
      <c r="G648" s="182"/>
      <c r="H648" s="182"/>
      <c r="I648" s="182"/>
      <c r="J648" s="182"/>
      <c r="K648" s="182"/>
      <c r="L648" s="182"/>
      <c r="M648" s="182"/>
      <c r="N648" s="177"/>
      <c r="O648" s="182"/>
      <c r="P648" s="179"/>
      <c r="Q648" s="182"/>
      <c r="R648" s="182"/>
      <c r="S648" s="182"/>
      <c r="T648" s="182"/>
      <c r="U648" s="182"/>
      <c r="V648" s="182"/>
      <c r="W648" s="182"/>
      <c r="X648" s="182"/>
      <c r="Y648" s="182"/>
      <c r="Z648" s="182"/>
      <c r="AA648" s="182"/>
      <c r="AB648" s="182"/>
      <c r="AC648" s="182"/>
      <c r="AD648" s="182"/>
      <c r="AE648" s="184"/>
      <c r="AF648" s="183"/>
      <c r="AG648" s="183"/>
      <c r="AH648" s="183"/>
      <c r="AI648" s="183"/>
      <c r="AJ648" s="182"/>
      <c r="AK648" s="184"/>
      <c r="AL648" s="182"/>
      <c r="AM648" s="182"/>
      <c r="AN648" s="182"/>
      <c r="AO648" s="182"/>
      <c r="AP648" s="182"/>
      <c r="AQ648" s="182"/>
      <c r="AR648" s="182"/>
    </row>
    <row r="649" spans="1:44">
      <c r="A649" s="182"/>
      <c r="B649" s="182"/>
      <c r="C649" s="182"/>
      <c r="D649" s="182"/>
      <c r="E649" s="182"/>
      <c r="F649" s="182"/>
      <c r="G649" s="182"/>
      <c r="H649" s="182"/>
      <c r="I649" s="182"/>
      <c r="J649" s="182"/>
      <c r="K649" s="182"/>
      <c r="L649" s="182"/>
      <c r="M649" s="182"/>
      <c r="N649" s="177"/>
      <c r="O649" s="182"/>
      <c r="P649" s="179"/>
      <c r="Q649" s="182"/>
      <c r="R649" s="182"/>
      <c r="S649" s="182"/>
      <c r="T649" s="182"/>
      <c r="U649" s="182"/>
      <c r="V649" s="182"/>
      <c r="W649" s="182"/>
      <c r="X649" s="182"/>
      <c r="Y649" s="182"/>
      <c r="Z649" s="182"/>
      <c r="AA649" s="182"/>
      <c r="AB649" s="182"/>
      <c r="AC649" s="182"/>
      <c r="AD649" s="182"/>
      <c r="AE649" s="184"/>
      <c r="AF649" s="183"/>
      <c r="AG649" s="183"/>
      <c r="AH649" s="183"/>
      <c r="AI649" s="183"/>
      <c r="AJ649" s="182"/>
      <c r="AK649" s="184"/>
      <c r="AL649" s="182"/>
      <c r="AM649" s="182"/>
      <c r="AN649" s="182"/>
      <c r="AO649" s="182"/>
      <c r="AP649" s="182"/>
      <c r="AQ649" s="182"/>
      <c r="AR649" s="182"/>
    </row>
    <row r="650" spans="1:44">
      <c r="A650" s="182"/>
      <c r="B650" s="182"/>
      <c r="C650" s="182"/>
      <c r="D650" s="182"/>
      <c r="E650" s="182"/>
      <c r="F650" s="182"/>
      <c r="G650" s="182"/>
      <c r="H650" s="182"/>
      <c r="I650" s="182"/>
      <c r="J650" s="182"/>
      <c r="K650" s="182"/>
      <c r="L650" s="182"/>
      <c r="M650" s="182"/>
      <c r="N650" s="177"/>
      <c r="O650" s="182"/>
      <c r="P650" s="179"/>
      <c r="Q650" s="182"/>
      <c r="R650" s="182"/>
      <c r="S650" s="182"/>
      <c r="T650" s="182"/>
      <c r="U650" s="182"/>
      <c r="V650" s="182"/>
      <c r="W650" s="182"/>
      <c r="X650" s="182"/>
      <c r="Y650" s="182"/>
      <c r="Z650" s="182"/>
      <c r="AA650" s="182"/>
      <c r="AB650" s="182"/>
      <c r="AC650" s="182"/>
      <c r="AD650" s="182"/>
      <c r="AE650" s="184"/>
      <c r="AF650" s="183"/>
      <c r="AG650" s="183"/>
      <c r="AH650" s="183"/>
      <c r="AI650" s="183"/>
      <c r="AJ650" s="182"/>
      <c r="AK650" s="184"/>
      <c r="AL650" s="182"/>
      <c r="AM650" s="182"/>
      <c r="AN650" s="182"/>
      <c r="AO650" s="182"/>
      <c r="AP650" s="182"/>
      <c r="AQ650" s="182"/>
      <c r="AR650" s="182"/>
    </row>
    <row r="651" spans="1:44">
      <c r="A651" s="182"/>
      <c r="B651" s="182"/>
      <c r="C651" s="182"/>
      <c r="D651" s="182"/>
      <c r="E651" s="182"/>
      <c r="F651" s="182"/>
      <c r="G651" s="182"/>
      <c r="H651" s="182"/>
      <c r="I651" s="182"/>
      <c r="J651" s="182"/>
      <c r="K651" s="182"/>
      <c r="L651" s="182"/>
      <c r="M651" s="182"/>
      <c r="N651" s="177"/>
      <c r="O651" s="182"/>
      <c r="P651" s="179"/>
      <c r="Q651" s="182"/>
      <c r="R651" s="182"/>
      <c r="S651" s="182"/>
      <c r="T651" s="182"/>
      <c r="U651" s="182"/>
      <c r="V651" s="182"/>
      <c r="W651" s="182"/>
      <c r="X651" s="182"/>
      <c r="Y651" s="182"/>
      <c r="Z651" s="182"/>
      <c r="AA651" s="182"/>
      <c r="AB651" s="182"/>
      <c r="AC651" s="182"/>
      <c r="AD651" s="182"/>
      <c r="AE651" s="184"/>
      <c r="AF651" s="183"/>
      <c r="AG651" s="183"/>
      <c r="AH651" s="183"/>
      <c r="AI651" s="183"/>
      <c r="AJ651" s="182"/>
      <c r="AK651" s="184"/>
      <c r="AL651" s="182"/>
      <c r="AM651" s="182"/>
      <c r="AN651" s="182"/>
      <c r="AO651" s="182"/>
      <c r="AP651" s="182"/>
      <c r="AQ651" s="182"/>
      <c r="AR651" s="182"/>
    </row>
    <row r="652" spans="1:44">
      <c r="A652" s="182"/>
      <c r="B652" s="182"/>
      <c r="C652" s="182"/>
      <c r="D652" s="182"/>
      <c r="E652" s="182"/>
      <c r="F652" s="182"/>
      <c r="G652" s="182"/>
      <c r="H652" s="182"/>
      <c r="I652" s="182"/>
      <c r="J652" s="182"/>
      <c r="K652" s="182"/>
      <c r="L652" s="182"/>
      <c r="M652" s="182"/>
      <c r="N652" s="177"/>
      <c r="O652" s="182"/>
      <c r="P652" s="179"/>
      <c r="Q652" s="182"/>
      <c r="R652" s="182"/>
      <c r="S652" s="182"/>
      <c r="T652" s="182"/>
      <c r="U652" s="182"/>
      <c r="V652" s="182"/>
      <c r="W652" s="182"/>
      <c r="X652" s="182"/>
      <c r="Y652" s="182"/>
      <c r="Z652" s="182"/>
      <c r="AA652" s="182"/>
      <c r="AB652" s="182"/>
      <c r="AC652" s="182"/>
      <c r="AD652" s="182"/>
      <c r="AE652" s="184"/>
      <c r="AF652" s="183"/>
      <c r="AG652" s="183"/>
      <c r="AH652" s="183"/>
      <c r="AI652" s="183"/>
      <c r="AJ652" s="182"/>
      <c r="AK652" s="184"/>
      <c r="AL652" s="182"/>
      <c r="AM652" s="182"/>
      <c r="AN652" s="182"/>
      <c r="AO652" s="182"/>
      <c r="AP652" s="182"/>
      <c r="AQ652" s="182"/>
      <c r="AR652" s="182"/>
    </row>
    <row r="653" spans="1:44">
      <c r="A653" s="182"/>
      <c r="B653" s="182"/>
      <c r="C653" s="182"/>
      <c r="D653" s="182"/>
      <c r="E653" s="182"/>
      <c r="F653" s="182"/>
      <c r="G653" s="182"/>
      <c r="H653" s="182"/>
      <c r="I653" s="182"/>
      <c r="J653" s="182"/>
      <c r="K653" s="182"/>
      <c r="L653" s="182"/>
      <c r="M653" s="182"/>
      <c r="N653" s="177"/>
      <c r="O653" s="182"/>
      <c r="P653" s="179"/>
      <c r="Q653" s="182"/>
      <c r="R653" s="182"/>
      <c r="S653" s="182"/>
      <c r="T653" s="182"/>
      <c r="U653" s="182"/>
      <c r="V653" s="182"/>
      <c r="W653" s="182"/>
      <c r="X653" s="182"/>
      <c r="Y653" s="182"/>
      <c r="Z653" s="182"/>
      <c r="AA653" s="182"/>
      <c r="AB653" s="182"/>
      <c r="AC653" s="182"/>
      <c r="AD653" s="182"/>
      <c r="AE653" s="184"/>
      <c r="AF653" s="183"/>
      <c r="AG653" s="183"/>
      <c r="AH653" s="183"/>
      <c r="AI653" s="183"/>
      <c r="AJ653" s="182"/>
      <c r="AK653" s="184"/>
      <c r="AL653" s="182"/>
      <c r="AM653" s="182"/>
      <c r="AN653" s="182"/>
      <c r="AO653" s="182"/>
      <c r="AP653" s="182"/>
      <c r="AQ653" s="182"/>
      <c r="AR653" s="182"/>
    </row>
    <row r="654" spans="1:44">
      <c r="A654" s="182"/>
      <c r="B654" s="182"/>
      <c r="C654" s="182"/>
      <c r="D654" s="182"/>
      <c r="E654" s="182"/>
      <c r="F654" s="182"/>
      <c r="G654" s="182"/>
      <c r="H654" s="182"/>
      <c r="I654" s="182"/>
      <c r="J654" s="182"/>
      <c r="K654" s="182"/>
      <c r="L654" s="182"/>
      <c r="M654" s="182"/>
      <c r="N654" s="177"/>
      <c r="O654" s="182"/>
      <c r="P654" s="179"/>
      <c r="Q654" s="182"/>
      <c r="R654" s="182"/>
      <c r="S654" s="182"/>
      <c r="T654" s="182"/>
      <c r="U654" s="182"/>
      <c r="V654" s="182"/>
      <c r="W654" s="182"/>
      <c r="X654" s="182"/>
      <c r="Y654" s="182"/>
      <c r="Z654" s="182"/>
      <c r="AA654" s="182"/>
      <c r="AB654" s="182"/>
      <c r="AC654" s="182"/>
      <c r="AD654" s="182"/>
      <c r="AE654" s="184"/>
      <c r="AF654" s="183"/>
      <c r="AG654" s="183"/>
      <c r="AH654" s="183"/>
      <c r="AI654" s="183"/>
      <c r="AJ654" s="182"/>
      <c r="AK654" s="184"/>
      <c r="AL654" s="182"/>
      <c r="AM654" s="182"/>
      <c r="AN654" s="182"/>
      <c r="AO654" s="182"/>
      <c r="AP654" s="182"/>
      <c r="AQ654" s="182"/>
      <c r="AR654" s="182"/>
    </row>
    <row r="655" spans="1:44">
      <c r="A655" s="182"/>
      <c r="B655" s="182"/>
      <c r="C655" s="182"/>
      <c r="D655" s="182"/>
      <c r="E655" s="182"/>
      <c r="F655" s="182"/>
      <c r="G655" s="182"/>
      <c r="H655" s="182"/>
      <c r="I655" s="182"/>
      <c r="J655" s="182"/>
      <c r="K655" s="182"/>
      <c r="L655" s="182"/>
      <c r="M655" s="182"/>
      <c r="N655" s="177"/>
      <c r="O655" s="182"/>
      <c r="P655" s="179"/>
      <c r="Q655" s="182"/>
      <c r="R655" s="182"/>
      <c r="S655" s="182"/>
      <c r="T655" s="182"/>
      <c r="U655" s="182"/>
      <c r="V655" s="182"/>
      <c r="W655" s="182"/>
      <c r="X655" s="182"/>
      <c r="Y655" s="182"/>
      <c r="Z655" s="182"/>
      <c r="AA655" s="182"/>
      <c r="AB655" s="182"/>
      <c r="AC655" s="182"/>
      <c r="AD655" s="182"/>
      <c r="AE655" s="184"/>
      <c r="AF655" s="183"/>
      <c r="AG655" s="183"/>
      <c r="AH655" s="183"/>
      <c r="AI655" s="183"/>
      <c r="AJ655" s="182"/>
      <c r="AK655" s="184"/>
      <c r="AL655" s="182"/>
      <c r="AM655" s="182"/>
      <c r="AN655" s="182"/>
      <c r="AO655" s="182"/>
      <c r="AP655" s="182"/>
      <c r="AQ655" s="182"/>
      <c r="AR655" s="182"/>
    </row>
    <row r="656" spans="1:44">
      <c r="A656" s="182"/>
      <c r="B656" s="182"/>
      <c r="C656" s="182"/>
      <c r="D656" s="182"/>
      <c r="E656" s="182"/>
      <c r="F656" s="182"/>
      <c r="G656" s="182"/>
      <c r="H656" s="182"/>
      <c r="I656" s="182"/>
      <c r="J656" s="182"/>
      <c r="K656" s="182"/>
      <c r="L656" s="182"/>
      <c r="M656" s="182"/>
      <c r="N656" s="177"/>
      <c r="O656" s="182"/>
      <c r="P656" s="179"/>
      <c r="Q656" s="182"/>
      <c r="R656" s="182"/>
      <c r="S656" s="182"/>
      <c r="T656" s="182"/>
      <c r="U656" s="182"/>
      <c r="V656" s="182"/>
      <c r="W656" s="182"/>
      <c r="X656" s="182"/>
      <c r="Y656" s="182"/>
      <c r="Z656" s="182"/>
      <c r="AA656" s="182"/>
      <c r="AB656" s="182"/>
      <c r="AC656" s="182"/>
      <c r="AD656" s="182"/>
      <c r="AE656" s="184"/>
      <c r="AF656" s="183"/>
      <c r="AG656" s="183"/>
      <c r="AH656" s="183"/>
      <c r="AI656" s="183"/>
      <c r="AJ656" s="182"/>
      <c r="AK656" s="184"/>
      <c r="AL656" s="182"/>
      <c r="AM656" s="182"/>
      <c r="AN656" s="182"/>
      <c r="AO656" s="182"/>
      <c r="AP656" s="182"/>
      <c r="AQ656" s="182"/>
      <c r="AR656" s="182"/>
    </row>
    <row r="657" spans="1:44">
      <c r="A657" s="182"/>
      <c r="B657" s="182"/>
      <c r="C657" s="182"/>
      <c r="D657" s="182"/>
      <c r="E657" s="182"/>
      <c r="F657" s="182"/>
      <c r="G657" s="182"/>
      <c r="H657" s="182"/>
      <c r="I657" s="182"/>
      <c r="J657" s="182"/>
      <c r="K657" s="182"/>
      <c r="L657" s="182"/>
      <c r="M657" s="182"/>
      <c r="N657" s="177"/>
      <c r="O657" s="182"/>
      <c r="P657" s="179"/>
      <c r="Q657" s="182"/>
      <c r="R657" s="182"/>
      <c r="S657" s="182"/>
      <c r="T657" s="182"/>
      <c r="U657" s="182"/>
      <c r="V657" s="182"/>
      <c r="W657" s="182"/>
      <c r="X657" s="182"/>
      <c r="Y657" s="182"/>
      <c r="Z657" s="182"/>
      <c r="AA657" s="182"/>
      <c r="AB657" s="182"/>
      <c r="AC657" s="182"/>
      <c r="AD657" s="182"/>
      <c r="AE657" s="184"/>
      <c r="AF657" s="183"/>
      <c r="AG657" s="183"/>
      <c r="AH657" s="183"/>
      <c r="AI657" s="183"/>
      <c r="AJ657" s="182"/>
      <c r="AK657" s="184"/>
      <c r="AL657" s="182"/>
      <c r="AM657" s="182"/>
      <c r="AN657" s="182"/>
      <c r="AO657" s="182"/>
      <c r="AP657" s="182"/>
      <c r="AQ657" s="182"/>
      <c r="AR657" s="182"/>
    </row>
    <row r="658" spans="1:44">
      <c r="A658" s="182"/>
      <c r="B658" s="182"/>
      <c r="C658" s="182"/>
      <c r="D658" s="182"/>
      <c r="E658" s="182"/>
      <c r="F658" s="182"/>
      <c r="G658" s="182"/>
      <c r="H658" s="182"/>
      <c r="I658" s="182"/>
      <c r="J658" s="182"/>
      <c r="K658" s="182"/>
      <c r="L658" s="182"/>
      <c r="M658" s="182"/>
      <c r="N658" s="177"/>
      <c r="O658" s="182"/>
      <c r="P658" s="179"/>
      <c r="Q658" s="182"/>
      <c r="R658" s="182"/>
      <c r="S658" s="182"/>
      <c r="T658" s="182"/>
      <c r="U658" s="182"/>
      <c r="V658" s="182"/>
      <c r="W658" s="182"/>
      <c r="X658" s="182"/>
      <c r="Y658" s="182"/>
      <c r="Z658" s="182"/>
      <c r="AA658" s="182"/>
      <c r="AB658" s="182"/>
      <c r="AC658" s="182"/>
      <c r="AD658" s="182"/>
      <c r="AE658" s="184"/>
      <c r="AF658" s="183"/>
      <c r="AG658" s="183"/>
      <c r="AH658" s="183"/>
      <c r="AI658" s="183"/>
      <c r="AJ658" s="182"/>
      <c r="AK658" s="184"/>
      <c r="AL658" s="182"/>
      <c r="AM658" s="182"/>
      <c r="AN658" s="182"/>
      <c r="AO658" s="182"/>
      <c r="AP658" s="182"/>
      <c r="AQ658" s="182"/>
      <c r="AR658" s="182"/>
    </row>
    <row r="659" spans="1:44">
      <c r="A659" s="182"/>
      <c r="B659" s="182"/>
      <c r="C659" s="182"/>
      <c r="D659" s="182"/>
      <c r="E659" s="182"/>
      <c r="F659" s="182"/>
      <c r="G659" s="182"/>
      <c r="H659" s="182"/>
      <c r="I659" s="182"/>
      <c r="J659" s="182"/>
      <c r="K659" s="182"/>
      <c r="L659" s="182"/>
      <c r="M659" s="182"/>
      <c r="N659" s="177"/>
      <c r="O659" s="182"/>
      <c r="P659" s="179"/>
      <c r="Q659" s="182"/>
      <c r="R659" s="182"/>
      <c r="S659" s="182"/>
      <c r="T659" s="182"/>
      <c r="U659" s="182"/>
      <c r="V659" s="182"/>
      <c r="W659" s="182"/>
      <c r="X659" s="182"/>
      <c r="Y659" s="182"/>
      <c r="Z659" s="182"/>
      <c r="AA659" s="182"/>
      <c r="AB659" s="182"/>
      <c r="AC659" s="182"/>
      <c r="AD659" s="182"/>
      <c r="AE659" s="184"/>
      <c r="AF659" s="183"/>
      <c r="AG659" s="183"/>
      <c r="AH659" s="183"/>
      <c r="AI659" s="183"/>
      <c r="AJ659" s="182"/>
      <c r="AK659" s="184"/>
      <c r="AL659" s="182"/>
      <c r="AM659" s="182"/>
      <c r="AN659" s="182"/>
      <c r="AO659" s="182"/>
      <c r="AP659" s="182"/>
      <c r="AQ659" s="182"/>
      <c r="AR659" s="182"/>
    </row>
    <row r="660" spans="1:44">
      <c r="A660" s="182"/>
      <c r="B660" s="182"/>
      <c r="C660" s="182"/>
      <c r="D660" s="182"/>
      <c r="E660" s="182"/>
      <c r="F660" s="182"/>
      <c r="G660" s="182"/>
      <c r="H660" s="182"/>
      <c r="I660" s="182"/>
      <c r="J660" s="182"/>
      <c r="K660" s="182"/>
      <c r="L660" s="182"/>
      <c r="M660" s="182"/>
      <c r="N660" s="177"/>
      <c r="O660" s="182"/>
      <c r="P660" s="179"/>
      <c r="Q660" s="182"/>
      <c r="R660" s="182"/>
      <c r="S660" s="182"/>
      <c r="T660" s="182"/>
      <c r="U660" s="182"/>
      <c r="V660" s="182"/>
      <c r="W660" s="182"/>
      <c r="X660" s="182"/>
      <c r="Y660" s="182"/>
      <c r="Z660" s="182"/>
      <c r="AA660" s="182"/>
      <c r="AB660" s="182"/>
      <c r="AC660" s="182"/>
      <c r="AD660" s="182"/>
      <c r="AE660" s="184"/>
      <c r="AF660" s="183"/>
      <c r="AG660" s="183"/>
      <c r="AH660" s="183"/>
      <c r="AI660" s="183"/>
      <c r="AJ660" s="182"/>
      <c r="AK660" s="184"/>
      <c r="AL660" s="182"/>
      <c r="AM660" s="182"/>
      <c r="AN660" s="182"/>
      <c r="AO660" s="182"/>
      <c r="AP660" s="182"/>
      <c r="AQ660" s="182"/>
      <c r="AR660" s="182"/>
    </row>
    <row r="661" spans="1:44">
      <c r="A661" s="182"/>
      <c r="B661" s="182"/>
      <c r="C661" s="182"/>
      <c r="D661" s="182"/>
      <c r="E661" s="182"/>
      <c r="F661" s="182"/>
      <c r="G661" s="182"/>
      <c r="H661" s="182"/>
      <c r="I661" s="182"/>
      <c r="J661" s="182"/>
      <c r="K661" s="182"/>
      <c r="L661" s="182"/>
      <c r="M661" s="182"/>
      <c r="N661" s="177"/>
      <c r="O661" s="182"/>
      <c r="P661" s="179"/>
      <c r="Q661" s="182"/>
      <c r="R661" s="182"/>
      <c r="S661" s="182"/>
      <c r="T661" s="182"/>
      <c r="U661" s="182"/>
      <c r="V661" s="182"/>
      <c r="W661" s="182"/>
      <c r="X661" s="182"/>
      <c r="Y661" s="182"/>
      <c r="Z661" s="182"/>
      <c r="AA661" s="182"/>
      <c r="AB661" s="182"/>
      <c r="AC661" s="182"/>
      <c r="AD661" s="182"/>
      <c r="AE661" s="184"/>
      <c r="AF661" s="183"/>
      <c r="AG661" s="183"/>
      <c r="AH661" s="183"/>
      <c r="AI661" s="183"/>
      <c r="AJ661" s="182"/>
      <c r="AK661" s="184"/>
      <c r="AL661" s="182"/>
      <c r="AM661" s="182"/>
      <c r="AN661" s="182"/>
      <c r="AO661" s="182"/>
      <c r="AP661" s="182"/>
      <c r="AQ661" s="182"/>
      <c r="AR661" s="182"/>
    </row>
    <row r="662" spans="1:44">
      <c r="A662" s="182"/>
      <c r="B662" s="182"/>
      <c r="C662" s="182"/>
      <c r="D662" s="182"/>
      <c r="E662" s="182"/>
      <c r="F662" s="182"/>
      <c r="G662" s="182"/>
      <c r="H662" s="182"/>
      <c r="I662" s="182"/>
      <c r="J662" s="182"/>
      <c r="K662" s="182"/>
      <c r="L662" s="182"/>
      <c r="M662" s="182"/>
      <c r="N662" s="177"/>
      <c r="O662" s="182"/>
      <c r="P662" s="179"/>
      <c r="Q662" s="182"/>
      <c r="R662" s="182"/>
      <c r="S662" s="182"/>
      <c r="T662" s="182"/>
      <c r="U662" s="182"/>
      <c r="V662" s="182"/>
      <c r="W662" s="182"/>
      <c r="X662" s="182"/>
      <c r="Y662" s="182"/>
      <c r="Z662" s="182"/>
      <c r="AA662" s="182"/>
      <c r="AB662" s="182"/>
      <c r="AC662" s="182"/>
      <c r="AD662" s="182"/>
      <c r="AE662" s="184"/>
      <c r="AF662" s="183"/>
      <c r="AG662" s="183"/>
      <c r="AH662" s="183"/>
      <c r="AI662" s="183"/>
      <c r="AJ662" s="182"/>
      <c r="AK662" s="184"/>
      <c r="AL662" s="182"/>
      <c r="AM662" s="182"/>
      <c r="AN662" s="182"/>
      <c r="AO662" s="182"/>
      <c r="AP662" s="182"/>
      <c r="AQ662" s="182"/>
      <c r="AR662" s="182"/>
    </row>
    <row r="663" spans="1:44">
      <c r="A663" s="182"/>
      <c r="B663" s="182"/>
      <c r="C663" s="182"/>
      <c r="D663" s="182"/>
      <c r="E663" s="182"/>
      <c r="F663" s="182"/>
      <c r="G663" s="182"/>
      <c r="H663" s="182"/>
      <c r="I663" s="182"/>
      <c r="J663" s="182"/>
      <c r="K663" s="182"/>
      <c r="L663" s="182"/>
      <c r="M663" s="182"/>
      <c r="N663" s="177"/>
      <c r="O663" s="182"/>
      <c r="P663" s="179"/>
      <c r="Q663" s="182"/>
      <c r="R663" s="182"/>
      <c r="S663" s="182"/>
      <c r="T663" s="182"/>
      <c r="U663" s="182"/>
      <c r="V663" s="182"/>
      <c r="W663" s="182"/>
      <c r="X663" s="182"/>
      <c r="Y663" s="182"/>
      <c r="Z663" s="182"/>
      <c r="AA663" s="182"/>
      <c r="AB663" s="182"/>
      <c r="AC663" s="182"/>
      <c r="AD663" s="182"/>
      <c r="AE663" s="184"/>
      <c r="AF663" s="183"/>
      <c r="AG663" s="183"/>
      <c r="AH663" s="183"/>
      <c r="AI663" s="183"/>
      <c r="AJ663" s="182"/>
      <c r="AK663" s="184"/>
      <c r="AL663" s="182"/>
      <c r="AM663" s="182"/>
      <c r="AN663" s="182"/>
      <c r="AO663" s="182"/>
      <c r="AP663" s="182"/>
      <c r="AQ663" s="182"/>
      <c r="AR663" s="182"/>
    </row>
    <row r="664" spans="1:44">
      <c r="A664" s="182"/>
      <c r="B664" s="182"/>
      <c r="C664" s="182"/>
      <c r="D664" s="182"/>
      <c r="E664" s="182"/>
      <c r="F664" s="182"/>
      <c r="G664" s="182"/>
      <c r="H664" s="182"/>
      <c r="I664" s="182"/>
      <c r="J664" s="182"/>
      <c r="K664" s="182"/>
      <c r="L664" s="182"/>
      <c r="M664" s="182"/>
      <c r="N664" s="177"/>
      <c r="O664" s="182"/>
      <c r="P664" s="179"/>
      <c r="Q664" s="182"/>
      <c r="R664" s="182"/>
      <c r="S664" s="182"/>
      <c r="T664" s="182"/>
      <c r="U664" s="182"/>
      <c r="V664" s="182"/>
      <c r="W664" s="182"/>
      <c r="X664" s="182"/>
      <c r="Y664" s="182"/>
      <c r="Z664" s="182"/>
      <c r="AA664" s="182"/>
      <c r="AB664" s="182"/>
      <c r="AC664" s="182"/>
      <c r="AD664" s="182"/>
      <c r="AE664" s="184"/>
      <c r="AF664" s="183"/>
      <c r="AG664" s="183"/>
      <c r="AH664" s="183"/>
      <c r="AI664" s="183"/>
      <c r="AJ664" s="182"/>
      <c r="AK664" s="184"/>
      <c r="AL664" s="182"/>
      <c r="AM664" s="182"/>
      <c r="AN664" s="182"/>
      <c r="AO664" s="182"/>
      <c r="AP664" s="182"/>
      <c r="AQ664" s="182"/>
      <c r="AR664" s="182"/>
    </row>
    <row r="665" spans="1:44">
      <c r="A665" s="182"/>
      <c r="B665" s="182"/>
      <c r="C665" s="182"/>
      <c r="D665" s="182"/>
      <c r="E665" s="182"/>
      <c r="F665" s="182"/>
      <c r="G665" s="182"/>
      <c r="H665" s="182"/>
      <c r="I665" s="182"/>
      <c r="J665" s="182"/>
      <c r="K665" s="182"/>
      <c r="L665" s="182"/>
      <c r="M665" s="182"/>
      <c r="N665" s="177"/>
      <c r="O665" s="182"/>
      <c r="P665" s="179"/>
      <c r="Q665" s="182"/>
      <c r="R665" s="182"/>
      <c r="S665" s="182"/>
      <c r="T665" s="182"/>
      <c r="U665" s="182"/>
      <c r="V665" s="182"/>
      <c r="W665" s="182"/>
      <c r="X665" s="182"/>
      <c r="Y665" s="182"/>
      <c r="Z665" s="182"/>
      <c r="AA665" s="182"/>
      <c r="AB665" s="182"/>
      <c r="AC665" s="182"/>
      <c r="AD665" s="182"/>
      <c r="AE665" s="184"/>
      <c r="AF665" s="183"/>
      <c r="AG665" s="183"/>
      <c r="AH665" s="183"/>
      <c r="AI665" s="183"/>
      <c r="AJ665" s="182"/>
      <c r="AK665" s="184"/>
      <c r="AL665" s="182"/>
      <c r="AM665" s="182"/>
      <c r="AN665" s="182"/>
      <c r="AO665" s="182"/>
      <c r="AP665" s="182"/>
      <c r="AQ665" s="182"/>
      <c r="AR665" s="182"/>
    </row>
    <row r="666" spans="1:44">
      <c r="A666" s="182"/>
      <c r="B666" s="182"/>
      <c r="C666" s="182"/>
      <c r="D666" s="182"/>
      <c r="E666" s="182"/>
      <c r="F666" s="182"/>
      <c r="G666" s="182"/>
      <c r="H666" s="182"/>
      <c r="I666" s="182"/>
      <c r="J666" s="182"/>
      <c r="K666" s="182"/>
      <c r="L666" s="182"/>
      <c r="M666" s="182"/>
      <c r="N666" s="177"/>
      <c r="O666" s="182"/>
      <c r="P666" s="179"/>
      <c r="Q666" s="182"/>
      <c r="R666" s="182"/>
      <c r="S666" s="182"/>
      <c r="T666" s="182"/>
      <c r="U666" s="182"/>
      <c r="V666" s="182"/>
      <c r="W666" s="182"/>
      <c r="X666" s="182"/>
      <c r="Y666" s="182"/>
      <c r="Z666" s="182"/>
      <c r="AA666" s="182"/>
      <c r="AB666" s="182"/>
      <c r="AC666" s="182"/>
      <c r="AD666" s="182"/>
      <c r="AE666" s="184"/>
      <c r="AF666" s="183"/>
      <c r="AG666" s="183"/>
      <c r="AH666" s="183"/>
      <c r="AI666" s="183"/>
      <c r="AJ666" s="182"/>
      <c r="AK666" s="184"/>
      <c r="AL666" s="182"/>
      <c r="AM666" s="182"/>
      <c r="AN666" s="182"/>
      <c r="AO666" s="182"/>
      <c r="AP666" s="182"/>
      <c r="AQ666" s="182"/>
      <c r="AR666" s="182"/>
    </row>
    <row r="667" spans="1:44">
      <c r="A667" s="182"/>
      <c r="B667" s="182"/>
      <c r="C667" s="182"/>
      <c r="D667" s="182"/>
      <c r="E667" s="182"/>
      <c r="F667" s="182"/>
      <c r="G667" s="182"/>
      <c r="H667" s="182"/>
      <c r="I667" s="182"/>
      <c r="J667" s="182"/>
      <c r="K667" s="182"/>
      <c r="L667" s="182"/>
      <c r="M667" s="182"/>
      <c r="N667" s="177"/>
      <c r="O667" s="182"/>
      <c r="P667" s="179"/>
      <c r="Q667" s="182"/>
      <c r="R667" s="182"/>
      <c r="S667" s="182"/>
      <c r="T667" s="182"/>
      <c r="U667" s="182"/>
      <c r="V667" s="182"/>
      <c r="W667" s="182"/>
      <c r="X667" s="182"/>
      <c r="Y667" s="182"/>
      <c r="Z667" s="182"/>
      <c r="AA667" s="182"/>
      <c r="AB667" s="182"/>
      <c r="AC667" s="182"/>
      <c r="AD667" s="182"/>
      <c r="AE667" s="184"/>
      <c r="AF667" s="183"/>
      <c r="AG667" s="183"/>
      <c r="AH667" s="183"/>
      <c r="AI667" s="183"/>
      <c r="AJ667" s="182"/>
      <c r="AK667" s="184"/>
      <c r="AL667" s="182"/>
      <c r="AM667" s="182"/>
      <c r="AN667" s="182"/>
      <c r="AO667" s="182"/>
      <c r="AP667" s="182"/>
      <c r="AQ667" s="182"/>
      <c r="AR667" s="182"/>
    </row>
    <row r="668" spans="1:44">
      <c r="A668" s="182"/>
      <c r="B668" s="182"/>
      <c r="C668" s="182"/>
      <c r="D668" s="182"/>
      <c r="E668" s="182"/>
      <c r="F668" s="182"/>
      <c r="G668" s="182"/>
      <c r="H668" s="182"/>
      <c r="I668" s="182"/>
      <c r="J668" s="182"/>
      <c r="K668" s="182"/>
      <c r="L668" s="182"/>
      <c r="M668" s="182"/>
      <c r="N668" s="177"/>
      <c r="O668" s="182"/>
      <c r="P668" s="179"/>
      <c r="Q668" s="182"/>
      <c r="R668" s="182"/>
      <c r="S668" s="182"/>
      <c r="T668" s="182"/>
      <c r="U668" s="182"/>
      <c r="V668" s="182"/>
      <c r="W668" s="182"/>
      <c r="X668" s="182"/>
      <c r="Y668" s="182"/>
      <c r="Z668" s="182"/>
      <c r="AA668" s="182"/>
      <c r="AB668" s="182"/>
      <c r="AC668" s="182"/>
      <c r="AD668" s="182"/>
      <c r="AE668" s="184"/>
      <c r="AF668" s="183"/>
      <c r="AG668" s="183"/>
      <c r="AH668" s="183"/>
      <c r="AI668" s="183"/>
      <c r="AJ668" s="182"/>
      <c r="AK668" s="184"/>
      <c r="AL668" s="182"/>
      <c r="AM668" s="182"/>
      <c r="AN668" s="182"/>
      <c r="AO668" s="182"/>
      <c r="AP668" s="182"/>
      <c r="AQ668" s="182"/>
      <c r="AR668" s="182"/>
    </row>
    <row r="669" spans="1:44">
      <c r="A669" s="182"/>
      <c r="B669" s="182"/>
      <c r="C669" s="182"/>
      <c r="D669" s="182"/>
      <c r="E669" s="182"/>
      <c r="F669" s="182"/>
      <c r="G669" s="182"/>
      <c r="H669" s="182"/>
      <c r="I669" s="182"/>
      <c r="J669" s="182"/>
      <c r="K669" s="182"/>
      <c r="L669" s="182"/>
      <c r="M669" s="182"/>
      <c r="N669" s="177"/>
      <c r="O669" s="182"/>
      <c r="P669" s="179"/>
      <c r="Q669" s="182"/>
      <c r="R669" s="182"/>
      <c r="S669" s="182"/>
      <c r="T669" s="182"/>
      <c r="U669" s="182"/>
      <c r="V669" s="182"/>
      <c r="W669" s="182"/>
      <c r="X669" s="182"/>
      <c r="Y669" s="182"/>
      <c r="Z669" s="182"/>
      <c r="AA669" s="182"/>
      <c r="AB669" s="182"/>
      <c r="AC669" s="182"/>
      <c r="AD669" s="182"/>
      <c r="AE669" s="184"/>
      <c r="AF669" s="183"/>
      <c r="AG669" s="183"/>
      <c r="AH669" s="183"/>
      <c r="AI669" s="183"/>
      <c r="AJ669" s="182"/>
      <c r="AK669" s="184"/>
      <c r="AL669" s="182"/>
      <c r="AM669" s="182"/>
      <c r="AN669" s="182"/>
      <c r="AO669" s="182"/>
      <c r="AP669" s="182"/>
      <c r="AQ669" s="182"/>
      <c r="AR669" s="182"/>
    </row>
    <row r="670" spans="1:44">
      <c r="A670" s="182"/>
      <c r="B670" s="182"/>
      <c r="C670" s="182"/>
      <c r="D670" s="182"/>
      <c r="E670" s="182"/>
      <c r="F670" s="182"/>
      <c r="G670" s="182"/>
      <c r="H670" s="182"/>
      <c r="I670" s="182"/>
      <c r="J670" s="182"/>
      <c r="K670" s="182"/>
      <c r="L670" s="182"/>
      <c r="M670" s="182"/>
      <c r="N670" s="177"/>
      <c r="O670" s="182"/>
      <c r="P670" s="179"/>
      <c r="Q670" s="182"/>
      <c r="R670" s="182"/>
      <c r="S670" s="182"/>
      <c r="T670" s="182"/>
      <c r="U670" s="182"/>
      <c r="V670" s="182"/>
      <c r="W670" s="182"/>
      <c r="X670" s="182"/>
      <c r="Y670" s="182"/>
      <c r="Z670" s="182"/>
      <c r="AA670" s="182"/>
      <c r="AB670" s="182"/>
      <c r="AC670" s="182"/>
      <c r="AD670" s="182"/>
      <c r="AE670" s="184"/>
      <c r="AF670" s="183"/>
      <c r="AG670" s="183"/>
      <c r="AH670" s="183"/>
      <c r="AI670" s="183"/>
      <c r="AJ670" s="182"/>
      <c r="AK670" s="184"/>
      <c r="AL670" s="182"/>
      <c r="AM670" s="182"/>
      <c r="AN670" s="182"/>
      <c r="AO670" s="182"/>
      <c r="AP670" s="182"/>
      <c r="AQ670" s="182"/>
      <c r="AR670" s="182"/>
    </row>
    <row r="671" spans="1:44">
      <c r="A671" s="182"/>
      <c r="B671" s="182"/>
      <c r="C671" s="182"/>
      <c r="D671" s="182"/>
      <c r="E671" s="182"/>
      <c r="F671" s="182"/>
      <c r="G671" s="182"/>
      <c r="H671" s="182"/>
      <c r="I671" s="182"/>
      <c r="J671" s="182"/>
      <c r="K671" s="182"/>
      <c r="L671" s="182"/>
      <c r="M671" s="182"/>
      <c r="N671" s="177"/>
      <c r="O671" s="182"/>
      <c r="P671" s="179"/>
      <c r="Q671" s="182"/>
      <c r="R671" s="182"/>
      <c r="S671" s="182"/>
      <c r="T671" s="182"/>
      <c r="U671" s="182"/>
      <c r="V671" s="182"/>
      <c r="W671" s="182"/>
      <c r="X671" s="182"/>
      <c r="Y671" s="182"/>
      <c r="Z671" s="182"/>
      <c r="AA671" s="182"/>
      <c r="AB671" s="182"/>
      <c r="AC671" s="182"/>
      <c r="AD671" s="182"/>
      <c r="AE671" s="184"/>
      <c r="AF671" s="183"/>
      <c r="AG671" s="183"/>
      <c r="AH671" s="183"/>
      <c r="AI671" s="183"/>
      <c r="AJ671" s="182"/>
      <c r="AK671" s="184"/>
      <c r="AL671" s="182"/>
      <c r="AM671" s="182"/>
      <c r="AN671" s="182"/>
      <c r="AO671" s="182"/>
      <c r="AP671" s="182"/>
      <c r="AQ671" s="182"/>
      <c r="AR671" s="182"/>
    </row>
    <row r="672" spans="1:44">
      <c r="A672" s="182"/>
      <c r="B672" s="182"/>
      <c r="C672" s="182"/>
      <c r="D672" s="182"/>
      <c r="E672" s="182"/>
      <c r="F672" s="182"/>
      <c r="G672" s="182"/>
      <c r="H672" s="182"/>
      <c r="I672" s="182"/>
      <c r="J672" s="182"/>
      <c r="K672" s="182"/>
      <c r="L672" s="182"/>
      <c r="M672" s="182"/>
      <c r="N672" s="177"/>
      <c r="O672" s="182"/>
      <c r="P672" s="179"/>
      <c r="Q672" s="182"/>
      <c r="R672" s="182"/>
      <c r="S672" s="182"/>
      <c r="T672" s="182"/>
      <c r="U672" s="182"/>
      <c r="V672" s="182"/>
      <c r="W672" s="182"/>
      <c r="X672" s="182"/>
      <c r="Y672" s="182"/>
      <c r="Z672" s="182"/>
      <c r="AA672" s="182"/>
      <c r="AB672" s="182"/>
      <c r="AC672" s="182"/>
      <c r="AD672" s="182"/>
      <c r="AE672" s="184"/>
      <c r="AF672" s="183"/>
      <c r="AG672" s="183"/>
      <c r="AH672" s="183"/>
      <c r="AI672" s="183"/>
      <c r="AJ672" s="182"/>
      <c r="AK672" s="184"/>
      <c r="AL672" s="182"/>
      <c r="AM672" s="182"/>
      <c r="AN672" s="182"/>
      <c r="AO672" s="182"/>
      <c r="AP672" s="182"/>
      <c r="AQ672" s="182"/>
      <c r="AR672" s="182"/>
    </row>
    <row r="673" spans="1:44">
      <c r="A673" s="182"/>
      <c r="B673" s="182"/>
      <c r="C673" s="182"/>
      <c r="D673" s="182"/>
      <c r="E673" s="182"/>
      <c r="F673" s="182"/>
      <c r="G673" s="182"/>
      <c r="H673" s="182"/>
      <c r="I673" s="182"/>
      <c r="J673" s="182"/>
      <c r="K673" s="182"/>
      <c r="L673" s="182"/>
      <c r="M673" s="182"/>
      <c r="N673" s="177"/>
      <c r="O673" s="182"/>
      <c r="P673" s="179"/>
      <c r="Q673" s="182"/>
      <c r="R673" s="182"/>
      <c r="S673" s="182"/>
      <c r="T673" s="182"/>
      <c r="U673" s="182"/>
      <c r="V673" s="182"/>
      <c r="W673" s="182"/>
      <c r="X673" s="182"/>
      <c r="Y673" s="182"/>
      <c r="Z673" s="182"/>
      <c r="AA673" s="182"/>
      <c r="AB673" s="182"/>
      <c r="AC673" s="182"/>
      <c r="AD673" s="182"/>
      <c r="AE673" s="184"/>
      <c r="AF673" s="183"/>
      <c r="AG673" s="183"/>
      <c r="AH673" s="183"/>
      <c r="AI673" s="183"/>
      <c r="AJ673" s="182"/>
      <c r="AK673" s="184"/>
      <c r="AL673" s="182"/>
      <c r="AM673" s="182"/>
      <c r="AN673" s="182"/>
      <c r="AO673" s="182"/>
      <c r="AP673" s="182"/>
      <c r="AQ673" s="182"/>
      <c r="AR673" s="182"/>
    </row>
    <row r="674" spans="1:44">
      <c r="A674" s="182"/>
      <c r="B674" s="182"/>
      <c r="C674" s="182"/>
      <c r="D674" s="182"/>
      <c r="E674" s="182"/>
      <c r="F674" s="182"/>
      <c r="G674" s="182"/>
      <c r="H674" s="182"/>
      <c r="I674" s="182"/>
      <c r="J674" s="182"/>
      <c r="K674" s="182"/>
      <c r="L674" s="182"/>
      <c r="M674" s="182"/>
      <c r="N674" s="177"/>
      <c r="O674" s="182"/>
      <c r="P674" s="179"/>
      <c r="Q674" s="182"/>
      <c r="R674" s="182"/>
      <c r="S674" s="182"/>
      <c r="T674" s="182"/>
      <c r="U674" s="182"/>
      <c r="V674" s="182"/>
      <c r="W674" s="182"/>
      <c r="X674" s="182"/>
      <c r="Y674" s="182"/>
      <c r="Z674" s="182"/>
      <c r="AA674" s="182"/>
      <c r="AB674" s="182"/>
      <c r="AC674" s="182"/>
      <c r="AD674" s="182"/>
      <c r="AE674" s="184"/>
      <c r="AF674" s="183"/>
      <c r="AG674" s="183"/>
      <c r="AH674" s="183"/>
      <c r="AI674" s="183"/>
      <c r="AJ674" s="182"/>
      <c r="AK674" s="184"/>
      <c r="AL674" s="182"/>
      <c r="AM674" s="182"/>
      <c r="AN674" s="182"/>
      <c r="AO674" s="182"/>
      <c r="AP674" s="182"/>
      <c r="AQ674" s="182"/>
      <c r="AR674" s="182"/>
    </row>
    <row r="675" spans="1:44">
      <c r="A675" s="182"/>
      <c r="B675" s="182"/>
      <c r="C675" s="182"/>
      <c r="D675" s="182"/>
      <c r="E675" s="182"/>
      <c r="F675" s="182"/>
      <c r="G675" s="182"/>
      <c r="H675" s="182"/>
      <c r="I675" s="182"/>
      <c r="J675" s="182"/>
      <c r="K675" s="182"/>
      <c r="L675" s="182"/>
      <c r="M675" s="182"/>
      <c r="N675" s="177"/>
      <c r="O675" s="182"/>
      <c r="P675" s="179"/>
      <c r="Q675" s="182"/>
      <c r="R675" s="182"/>
      <c r="S675" s="182"/>
      <c r="T675" s="182"/>
      <c r="U675" s="182"/>
      <c r="V675" s="182"/>
      <c r="W675" s="182"/>
      <c r="X675" s="182"/>
      <c r="Y675" s="182"/>
      <c r="Z675" s="182"/>
      <c r="AA675" s="182"/>
      <c r="AB675" s="182"/>
      <c r="AC675" s="182"/>
      <c r="AD675" s="182"/>
      <c r="AE675" s="184"/>
      <c r="AF675" s="183"/>
      <c r="AG675" s="183"/>
      <c r="AH675" s="183"/>
      <c r="AI675" s="183"/>
      <c r="AJ675" s="182"/>
      <c r="AK675" s="184"/>
      <c r="AL675" s="182"/>
      <c r="AM675" s="182"/>
      <c r="AN675" s="182"/>
      <c r="AO675" s="182"/>
      <c r="AP675" s="182"/>
      <c r="AQ675" s="182"/>
      <c r="AR675" s="182"/>
    </row>
    <row r="676" spans="1:44">
      <c r="A676" s="182"/>
      <c r="B676" s="182"/>
      <c r="C676" s="182"/>
      <c r="D676" s="182"/>
      <c r="E676" s="182"/>
      <c r="F676" s="182"/>
      <c r="G676" s="182"/>
      <c r="H676" s="182"/>
      <c r="I676" s="182"/>
      <c r="J676" s="182"/>
      <c r="K676" s="182"/>
      <c r="L676" s="182"/>
      <c r="M676" s="182"/>
      <c r="N676" s="177"/>
      <c r="O676" s="182"/>
      <c r="P676" s="179"/>
      <c r="Q676" s="182"/>
      <c r="R676" s="182"/>
      <c r="S676" s="182"/>
      <c r="T676" s="182"/>
      <c r="U676" s="182"/>
      <c r="V676" s="182"/>
      <c r="W676" s="182"/>
      <c r="X676" s="182"/>
      <c r="Y676" s="182"/>
      <c r="Z676" s="182"/>
      <c r="AA676" s="182"/>
      <c r="AB676" s="182"/>
      <c r="AC676" s="182"/>
      <c r="AD676" s="182"/>
      <c r="AE676" s="184"/>
      <c r="AF676" s="183"/>
      <c r="AG676" s="183"/>
      <c r="AH676" s="183"/>
      <c r="AI676" s="183"/>
      <c r="AJ676" s="182"/>
      <c r="AK676" s="184"/>
      <c r="AL676" s="182"/>
      <c r="AM676" s="182"/>
      <c r="AN676" s="182"/>
      <c r="AO676" s="182"/>
      <c r="AP676" s="182"/>
      <c r="AQ676" s="182"/>
      <c r="AR676" s="182"/>
    </row>
    <row r="677" spans="1:44">
      <c r="A677" s="182"/>
      <c r="B677" s="182"/>
      <c r="C677" s="182"/>
      <c r="D677" s="182"/>
      <c r="E677" s="182"/>
      <c r="F677" s="182"/>
      <c r="G677" s="182"/>
      <c r="H677" s="182"/>
      <c r="I677" s="182"/>
      <c r="J677" s="182"/>
      <c r="K677" s="182"/>
      <c r="L677" s="182"/>
      <c r="M677" s="182"/>
      <c r="N677" s="177"/>
      <c r="O677" s="182"/>
      <c r="P677" s="179"/>
      <c r="Q677" s="182"/>
      <c r="R677" s="182"/>
      <c r="S677" s="182"/>
      <c r="T677" s="182"/>
      <c r="U677" s="182"/>
      <c r="V677" s="182"/>
      <c r="W677" s="182"/>
      <c r="X677" s="182"/>
      <c r="Y677" s="182"/>
      <c r="Z677" s="182"/>
      <c r="AA677" s="182"/>
      <c r="AB677" s="182"/>
      <c r="AC677" s="182"/>
      <c r="AD677" s="182"/>
      <c r="AE677" s="184"/>
      <c r="AF677" s="183"/>
      <c r="AG677" s="183"/>
      <c r="AH677" s="183"/>
      <c r="AI677" s="183"/>
      <c r="AJ677" s="182"/>
      <c r="AK677" s="184"/>
      <c r="AL677" s="182"/>
      <c r="AM677" s="182"/>
      <c r="AN677" s="182"/>
      <c r="AO677" s="182"/>
      <c r="AP677" s="182"/>
      <c r="AQ677" s="182"/>
      <c r="AR677" s="182"/>
    </row>
    <row r="678" spans="1:44">
      <c r="A678" s="182"/>
      <c r="B678" s="182"/>
      <c r="C678" s="182"/>
      <c r="D678" s="182"/>
      <c r="E678" s="182"/>
      <c r="F678" s="182"/>
      <c r="G678" s="182"/>
      <c r="H678" s="182"/>
      <c r="I678" s="182"/>
      <c r="J678" s="182"/>
      <c r="K678" s="182"/>
      <c r="L678" s="182"/>
      <c r="M678" s="182"/>
      <c r="N678" s="177"/>
      <c r="O678" s="182"/>
      <c r="P678" s="179"/>
      <c r="Q678" s="182"/>
      <c r="R678" s="182"/>
      <c r="S678" s="182"/>
      <c r="T678" s="182"/>
      <c r="U678" s="182"/>
      <c r="V678" s="182"/>
      <c r="W678" s="182"/>
      <c r="X678" s="182"/>
      <c r="Y678" s="182"/>
      <c r="Z678" s="182"/>
      <c r="AA678" s="182"/>
      <c r="AB678" s="182"/>
      <c r="AC678" s="182"/>
      <c r="AD678" s="182"/>
      <c r="AE678" s="184"/>
      <c r="AF678" s="183"/>
      <c r="AG678" s="183"/>
      <c r="AH678" s="183"/>
      <c r="AI678" s="183"/>
      <c r="AJ678" s="182"/>
      <c r="AK678" s="184"/>
      <c r="AL678" s="182"/>
      <c r="AM678" s="182"/>
      <c r="AN678" s="182"/>
      <c r="AO678" s="182"/>
      <c r="AP678" s="182"/>
      <c r="AQ678" s="182"/>
      <c r="AR678" s="182"/>
    </row>
    <row r="679" spans="1:44">
      <c r="A679" s="182"/>
      <c r="B679" s="182"/>
      <c r="C679" s="182"/>
      <c r="D679" s="182"/>
      <c r="E679" s="182"/>
      <c r="F679" s="182"/>
      <c r="G679" s="182"/>
      <c r="H679" s="182"/>
      <c r="I679" s="182"/>
      <c r="J679" s="182"/>
      <c r="K679" s="182"/>
      <c r="L679" s="182"/>
      <c r="M679" s="182"/>
      <c r="N679" s="177"/>
      <c r="O679" s="182"/>
      <c r="P679" s="179"/>
      <c r="Q679" s="182"/>
      <c r="R679" s="182"/>
      <c r="S679" s="182"/>
      <c r="T679" s="182"/>
      <c r="U679" s="182"/>
      <c r="V679" s="182"/>
      <c r="W679" s="182"/>
      <c r="X679" s="182"/>
      <c r="Y679" s="182"/>
      <c r="Z679" s="182"/>
      <c r="AA679" s="182"/>
      <c r="AB679" s="182"/>
      <c r="AC679" s="182"/>
      <c r="AD679" s="182"/>
      <c r="AE679" s="184"/>
      <c r="AF679" s="183"/>
      <c r="AG679" s="183"/>
      <c r="AH679" s="183"/>
      <c r="AI679" s="183"/>
      <c r="AJ679" s="182"/>
      <c r="AK679" s="184"/>
      <c r="AL679" s="182"/>
      <c r="AM679" s="182"/>
      <c r="AN679" s="182"/>
      <c r="AO679" s="182"/>
      <c r="AP679" s="182"/>
      <c r="AQ679" s="182"/>
      <c r="AR679" s="182"/>
    </row>
    <row r="680" spans="1:44">
      <c r="A680" s="182"/>
      <c r="B680" s="182"/>
      <c r="C680" s="182"/>
      <c r="D680" s="182"/>
      <c r="E680" s="182"/>
      <c r="F680" s="182"/>
      <c r="G680" s="182"/>
      <c r="H680" s="182"/>
      <c r="I680" s="182"/>
      <c r="J680" s="182"/>
      <c r="K680" s="182"/>
      <c r="L680" s="182"/>
      <c r="M680" s="182"/>
      <c r="N680" s="177"/>
      <c r="O680" s="182"/>
      <c r="P680" s="179"/>
      <c r="Q680" s="182"/>
      <c r="R680" s="182"/>
      <c r="S680" s="182"/>
      <c r="T680" s="182"/>
      <c r="U680" s="182"/>
      <c r="V680" s="182"/>
      <c r="W680" s="182"/>
      <c r="X680" s="182"/>
      <c r="Y680" s="182"/>
      <c r="Z680" s="182"/>
      <c r="AA680" s="182"/>
      <c r="AB680" s="182"/>
      <c r="AC680" s="182"/>
      <c r="AD680" s="182"/>
      <c r="AE680" s="184"/>
      <c r="AF680" s="183"/>
      <c r="AG680" s="183"/>
      <c r="AH680" s="183"/>
      <c r="AI680" s="183"/>
      <c r="AJ680" s="182"/>
      <c r="AK680" s="184"/>
      <c r="AL680" s="182"/>
      <c r="AM680" s="182"/>
      <c r="AN680" s="182"/>
      <c r="AO680" s="182"/>
      <c r="AP680" s="182"/>
      <c r="AQ680" s="182"/>
      <c r="AR680" s="182"/>
    </row>
    <row r="681" spans="1:44">
      <c r="A681" s="182"/>
      <c r="B681" s="182"/>
      <c r="C681" s="182"/>
      <c r="D681" s="182"/>
      <c r="E681" s="182"/>
      <c r="F681" s="182"/>
      <c r="G681" s="182"/>
      <c r="H681" s="182"/>
      <c r="I681" s="182"/>
      <c r="J681" s="182"/>
      <c r="K681" s="182"/>
      <c r="L681" s="182"/>
      <c r="M681" s="182"/>
      <c r="N681" s="177"/>
      <c r="O681" s="182"/>
      <c r="P681" s="179"/>
      <c r="Q681" s="182"/>
      <c r="R681" s="182"/>
      <c r="S681" s="182"/>
      <c r="T681" s="182"/>
      <c r="U681" s="182"/>
      <c r="V681" s="182"/>
      <c r="W681" s="182"/>
      <c r="X681" s="182"/>
      <c r="Y681" s="182"/>
      <c r="Z681" s="182"/>
      <c r="AA681" s="182"/>
      <c r="AB681" s="182"/>
      <c r="AC681" s="182"/>
      <c r="AD681" s="182"/>
      <c r="AE681" s="184"/>
      <c r="AF681" s="183"/>
      <c r="AG681" s="183"/>
      <c r="AH681" s="183"/>
      <c r="AI681" s="183"/>
      <c r="AJ681" s="182"/>
      <c r="AK681" s="184"/>
      <c r="AL681" s="182"/>
      <c r="AM681" s="182"/>
      <c r="AN681" s="182"/>
      <c r="AO681" s="182"/>
      <c r="AP681" s="182"/>
      <c r="AQ681" s="182"/>
      <c r="AR681" s="182"/>
    </row>
    <row r="682" spans="1:44">
      <c r="A682" s="182"/>
      <c r="B682" s="182"/>
      <c r="C682" s="182"/>
      <c r="D682" s="182"/>
      <c r="E682" s="182"/>
      <c r="F682" s="182"/>
      <c r="G682" s="182"/>
      <c r="H682" s="182"/>
      <c r="I682" s="182"/>
      <c r="J682" s="182"/>
      <c r="K682" s="182"/>
      <c r="L682" s="182"/>
      <c r="M682" s="182"/>
      <c r="N682" s="177"/>
      <c r="O682" s="182"/>
      <c r="P682" s="179"/>
      <c r="Q682" s="182"/>
      <c r="R682" s="182"/>
      <c r="S682" s="182"/>
      <c r="T682" s="182"/>
      <c r="U682" s="182"/>
      <c r="V682" s="182"/>
      <c r="W682" s="182"/>
      <c r="X682" s="182"/>
      <c r="Y682" s="182"/>
      <c r="Z682" s="182"/>
      <c r="AA682" s="182"/>
      <c r="AB682" s="182"/>
      <c r="AC682" s="182"/>
      <c r="AD682" s="182"/>
      <c r="AE682" s="184"/>
      <c r="AF682" s="183"/>
      <c r="AG682" s="183"/>
      <c r="AH682" s="183"/>
      <c r="AI682" s="183"/>
      <c r="AJ682" s="182"/>
      <c r="AK682" s="184"/>
      <c r="AL682" s="182"/>
      <c r="AM682" s="182"/>
      <c r="AN682" s="182"/>
      <c r="AO682" s="182"/>
      <c r="AP682" s="182"/>
      <c r="AQ682" s="182"/>
      <c r="AR682" s="182"/>
    </row>
    <row r="683" spans="1:44">
      <c r="A683" s="182"/>
      <c r="B683" s="182"/>
      <c r="C683" s="182"/>
      <c r="D683" s="182"/>
      <c r="E683" s="182"/>
      <c r="F683" s="182"/>
      <c r="G683" s="182"/>
      <c r="H683" s="182"/>
      <c r="I683" s="182"/>
      <c r="J683" s="182"/>
      <c r="K683" s="182"/>
      <c r="L683" s="182"/>
      <c r="M683" s="182"/>
      <c r="N683" s="177"/>
      <c r="O683" s="182"/>
      <c r="P683" s="179"/>
      <c r="Q683" s="182"/>
      <c r="R683" s="182"/>
      <c r="S683" s="182"/>
      <c r="T683" s="182"/>
      <c r="U683" s="182"/>
      <c r="V683" s="182"/>
      <c r="W683" s="182"/>
      <c r="X683" s="182"/>
      <c r="Y683" s="182"/>
      <c r="Z683" s="182"/>
      <c r="AA683" s="182"/>
      <c r="AB683" s="182"/>
      <c r="AC683" s="182"/>
      <c r="AD683" s="182"/>
      <c r="AE683" s="184"/>
      <c r="AF683" s="183"/>
      <c r="AG683" s="183"/>
      <c r="AH683" s="183"/>
      <c r="AI683" s="183"/>
      <c r="AJ683" s="182"/>
      <c r="AK683" s="184"/>
      <c r="AL683" s="182"/>
      <c r="AM683" s="182"/>
      <c r="AN683" s="182"/>
      <c r="AO683" s="182"/>
      <c r="AP683" s="182"/>
      <c r="AQ683" s="182"/>
      <c r="AR683" s="182"/>
    </row>
    <row r="684" spans="1:44">
      <c r="A684" s="182"/>
      <c r="B684" s="182"/>
      <c r="C684" s="182"/>
      <c r="D684" s="182"/>
      <c r="E684" s="182"/>
      <c r="F684" s="182"/>
      <c r="G684" s="182"/>
      <c r="H684" s="182"/>
      <c r="I684" s="182"/>
      <c r="J684" s="182"/>
      <c r="K684" s="182"/>
      <c r="L684" s="182"/>
      <c r="M684" s="182"/>
      <c r="N684" s="177"/>
      <c r="O684" s="182"/>
      <c r="P684" s="179"/>
      <c r="Q684" s="182"/>
      <c r="R684" s="182"/>
      <c r="S684" s="182"/>
      <c r="T684" s="182"/>
      <c r="U684" s="182"/>
      <c r="V684" s="182"/>
      <c r="W684" s="182"/>
      <c r="X684" s="182"/>
      <c r="Y684" s="182"/>
      <c r="Z684" s="182"/>
      <c r="AA684" s="182"/>
      <c r="AB684" s="182"/>
      <c r="AC684" s="182"/>
      <c r="AD684" s="182"/>
      <c r="AE684" s="184"/>
      <c r="AF684" s="183"/>
      <c r="AG684" s="183"/>
      <c r="AH684" s="183"/>
      <c r="AI684" s="183"/>
      <c r="AJ684" s="182"/>
      <c r="AK684" s="184"/>
      <c r="AL684" s="182"/>
      <c r="AM684" s="182"/>
      <c r="AN684" s="182"/>
      <c r="AO684" s="182"/>
      <c r="AP684" s="182"/>
      <c r="AQ684" s="182"/>
      <c r="AR684" s="182"/>
    </row>
    <row r="685" spans="1:44">
      <c r="A685" s="182"/>
      <c r="B685" s="182"/>
      <c r="C685" s="182"/>
      <c r="D685" s="182"/>
      <c r="E685" s="182"/>
      <c r="F685" s="182"/>
      <c r="G685" s="182"/>
      <c r="H685" s="182"/>
      <c r="I685" s="182"/>
      <c r="J685" s="182"/>
      <c r="K685" s="182"/>
      <c r="L685" s="182"/>
      <c r="M685" s="182"/>
      <c r="N685" s="177"/>
      <c r="O685" s="182"/>
      <c r="P685" s="179"/>
      <c r="Q685" s="182"/>
      <c r="R685" s="182"/>
      <c r="S685" s="182"/>
      <c r="T685" s="182"/>
      <c r="U685" s="182"/>
      <c r="V685" s="182"/>
      <c r="W685" s="182"/>
      <c r="X685" s="182"/>
      <c r="Y685" s="182"/>
      <c r="Z685" s="182"/>
      <c r="AA685" s="182"/>
      <c r="AB685" s="182"/>
      <c r="AC685" s="182"/>
      <c r="AD685" s="182"/>
      <c r="AE685" s="184"/>
      <c r="AF685" s="183"/>
      <c r="AG685" s="183"/>
      <c r="AH685" s="183"/>
      <c r="AI685" s="183"/>
      <c r="AJ685" s="182"/>
      <c r="AK685" s="184"/>
      <c r="AL685" s="182"/>
      <c r="AM685" s="182"/>
      <c r="AN685" s="182"/>
      <c r="AO685" s="182"/>
      <c r="AP685" s="182"/>
      <c r="AQ685" s="182"/>
      <c r="AR685" s="182"/>
    </row>
    <row r="686" spans="1:44">
      <c r="A686" s="182"/>
      <c r="B686" s="182"/>
      <c r="C686" s="182"/>
      <c r="D686" s="182"/>
      <c r="E686" s="182"/>
      <c r="F686" s="182"/>
      <c r="G686" s="182"/>
      <c r="H686" s="182"/>
      <c r="I686" s="182"/>
      <c r="J686" s="182"/>
      <c r="K686" s="182"/>
      <c r="L686" s="182"/>
      <c r="M686" s="182"/>
      <c r="N686" s="177"/>
      <c r="O686" s="182"/>
      <c r="P686" s="179"/>
      <c r="Q686" s="182"/>
      <c r="R686" s="182"/>
      <c r="S686" s="182"/>
      <c r="T686" s="182"/>
      <c r="U686" s="182"/>
      <c r="V686" s="182"/>
      <c r="W686" s="182"/>
      <c r="X686" s="182"/>
      <c r="Y686" s="182"/>
      <c r="Z686" s="182"/>
      <c r="AA686" s="182"/>
      <c r="AB686" s="182"/>
      <c r="AC686" s="182"/>
      <c r="AD686" s="182"/>
      <c r="AE686" s="184"/>
      <c r="AF686" s="183"/>
      <c r="AG686" s="183"/>
      <c r="AH686" s="183"/>
      <c r="AI686" s="183"/>
      <c r="AJ686" s="182"/>
      <c r="AK686" s="184"/>
      <c r="AL686" s="182"/>
      <c r="AM686" s="182"/>
      <c r="AN686" s="182"/>
      <c r="AO686" s="182"/>
      <c r="AP686" s="182"/>
      <c r="AQ686" s="182"/>
      <c r="AR686" s="182"/>
    </row>
    <row r="687" spans="1:44">
      <c r="A687" s="182"/>
      <c r="B687" s="182"/>
      <c r="C687" s="182"/>
      <c r="D687" s="182"/>
      <c r="E687" s="182"/>
      <c r="F687" s="182"/>
      <c r="G687" s="182"/>
      <c r="H687" s="182"/>
      <c r="I687" s="182"/>
      <c r="J687" s="182"/>
      <c r="K687" s="182"/>
      <c r="L687" s="182"/>
      <c r="M687" s="182"/>
      <c r="N687" s="177"/>
      <c r="O687" s="182"/>
      <c r="P687" s="179"/>
      <c r="Q687" s="182"/>
      <c r="R687" s="182"/>
      <c r="S687" s="182"/>
      <c r="T687" s="182"/>
      <c r="U687" s="182"/>
      <c r="V687" s="182"/>
      <c r="W687" s="182"/>
      <c r="X687" s="182"/>
      <c r="Y687" s="182"/>
      <c r="Z687" s="182"/>
      <c r="AA687" s="182"/>
      <c r="AB687" s="182"/>
      <c r="AC687" s="182"/>
      <c r="AD687" s="182"/>
      <c r="AE687" s="184"/>
      <c r="AF687" s="183"/>
      <c r="AG687" s="183"/>
      <c r="AH687" s="183"/>
      <c r="AI687" s="183"/>
      <c r="AJ687" s="182"/>
      <c r="AK687" s="184"/>
      <c r="AL687" s="182"/>
      <c r="AM687" s="182"/>
      <c r="AN687" s="182"/>
      <c r="AO687" s="182"/>
      <c r="AP687" s="182"/>
      <c r="AQ687" s="182"/>
      <c r="AR687" s="182"/>
    </row>
    <row r="688" spans="1:44">
      <c r="A688" s="182"/>
      <c r="B688" s="182"/>
      <c r="C688" s="182"/>
      <c r="D688" s="182"/>
      <c r="E688" s="182"/>
      <c r="F688" s="182"/>
      <c r="G688" s="182"/>
      <c r="H688" s="182"/>
      <c r="I688" s="182"/>
      <c r="J688" s="182"/>
      <c r="K688" s="182"/>
      <c r="L688" s="182"/>
      <c r="M688" s="182"/>
      <c r="N688" s="177"/>
      <c r="O688" s="182"/>
      <c r="P688" s="179"/>
      <c r="Q688" s="182"/>
      <c r="R688" s="182"/>
      <c r="S688" s="182"/>
      <c r="T688" s="182"/>
      <c r="U688" s="182"/>
      <c r="V688" s="182"/>
      <c r="W688" s="182"/>
      <c r="X688" s="182"/>
      <c r="Y688" s="182"/>
      <c r="Z688" s="182"/>
      <c r="AA688" s="182"/>
      <c r="AB688" s="182"/>
      <c r="AC688" s="182"/>
      <c r="AD688" s="182"/>
      <c r="AE688" s="184"/>
      <c r="AF688" s="183"/>
      <c r="AG688" s="183"/>
      <c r="AH688" s="183"/>
      <c r="AI688" s="183"/>
      <c r="AJ688" s="182"/>
      <c r="AK688" s="184"/>
      <c r="AL688" s="182"/>
      <c r="AM688" s="182"/>
      <c r="AN688" s="182"/>
      <c r="AO688" s="182"/>
      <c r="AP688" s="182"/>
      <c r="AQ688" s="182"/>
      <c r="AR688" s="182"/>
    </row>
    <row r="689" spans="1:44">
      <c r="A689" s="182"/>
      <c r="B689" s="182"/>
      <c r="C689" s="182"/>
      <c r="D689" s="182"/>
      <c r="E689" s="182"/>
      <c r="F689" s="182"/>
      <c r="G689" s="182"/>
      <c r="H689" s="182"/>
      <c r="I689" s="182"/>
      <c r="J689" s="182"/>
      <c r="K689" s="182"/>
      <c r="L689" s="182"/>
      <c r="M689" s="182"/>
      <c r="N689" s="177"/>
      <c r="O689" s="182"/>
      <c r="P689" s="179"/>
      <c r="Q689" s="182"/>
      <c r="R689" s="182"/>
      <c r="S689" s="182"/>
      <c r="T689" s="182"/>
      <c r="U689" s="182"/>
      <c r="V689" s="182"/>
      <c r="W689" s="182"/>
      <c r="X689" s="182"/>
      <c r="Y689" s="182"/>
      <c r="Z689" s="182"/>
      <c r="AA689" s="182"/>
      <c r="AB689" s="182"/>
      <c r="AC689" s="182"/>
      <c r="AD689" s="182"/>
      <c r="AE689" s="184"/>
      <c r="AF689" s="183"/>
      <c r="AG689" s="183"/>
      <c r="AH689" s="183"/>
      <c r="AI689" s="183"/>
      <c r="AJ689" s="182"/>
      <c r="AK689" s="184"/>
      <c r="AL689" s="182"/>
      <c r="AM689" s="182"/>
      <c r="AN689" s="182"/>
      <c r="AO689" s="182"/>
      <c r="AP689" s="182"/>
      <c r="AQ689" s="182"/>
      <c r="AR689" s="182"/>
    </row>
    <row r="690" spans="1:44">
      <c r="A690" s="182"/>
      <c r="B690" s="182"/>
      <c r="C690" s="182"/>
      <c r="D690" s="182"/>
      <c r="E690" s="182"/>
      <c r="F690" s="182"/>
      <c r="G690" s="182"/>
      <c r="H690" s="182"/>
      <c r="I690" s="182"/>
      <c r="J690" s="182"/>
      <c r="K690" s="182"/>
      <c r="L690" s="182"/>
      <c r="M690" s="182"/>
      <c r="N690" s="177"/>
      <c r="O690" s="182"/>
      <c r="P690" s="179"/>
      <c r="Q690" s="182"/>
      <c r="R690" s="182"/>
      <c r="S690" s="182"/>
      <c r="T690" s="182"/>
      <c r="U690" s="182"/>
      <c r="V690" s="182"/>
      <c r="W690" s="182"/>
      <c r="X690" s="182"/>
      <c r="Y690" s="182"/>
      <c r="Z690" s="182"/>
      <c r="AA690" s="182"/>
      <c r="AB690" s="182"/>
      <c r="AC690" s="182"/>
      <c r="AD690" s="182"/>
      <c r="AE690" s="184"/>
      <c r="AF690" s="183"/>
      <c r="AG690" s="183"/>
      <c r="AH690" s="183"/>
      <c r="AI690" s="183"/>
      <c r="AJ690" s="182"/>
      <c r="AK690" s="184"/>
      <c r="AL690" s="182"/>
      <c r="AM690" s="182"/>
      <c r="AN690" s="182"/>
      <c r="AO690" s="182"/>
      <c r="AP690" s="182"/>
      <c r="AQ690" s="182"/>
      <c r="AR690" s="182"/>
    </row>
    <row r="691" spans="1:44">
      <c r="A691" s="182"/>
      <c r="B691" s="182"/>
      <c r="C691" s="182"/>
      <c r="D691" s="182"/>
      <c r="E691" s="182"/>
      <c r="F691" s="182"/>
      <c r="G691" s="182"/>
      <c r="H691" s="182"/>
      <c r="I691" s="182"/>
      <c r="J691" s="182"/>
      <c r="K691" s="182"/>
      <c r="L691" s="182"/>
      <c r="M691" s="182"/>
      <c r="N691" s="177"/>
      <c r="O691" s="182"/>
      <c r="P691" s="179"/>
      <c r="Q691" s="182"/>
      <c r="R691" s="182"/>
      <c r="S691" s="182"/>
      <c r="T691" s="182"/>
      <c r="U691" s="182"/>
      <c r="V691" s="182"/>
      <c r="W691" s="182"/>
      <c r="X691" s="182"/>
      <c r="Y691" s="182"/>
      <c r="Z691" s="182"/>
      <c r="AA691" s="182"/>
      <c r="AB691" s="182"/>
      <c r="AC691" s="182"/>
      <c r="AD691" s="182"/>
      <c r="AE691" s="184"/>
      <c r="AF691" s="183"/>
      <c r="AG691" s="183"/>
      <c r="AH691" s="183"/>
      <c r="AI691" s="183"/>
      <c r="AJ691" s="182"/>
      <c r="AK691" s="184"/>
      <c r="AL691" s="182"/>
      <c r="AM691" s="182"/>
      <c r="AN691" s="182"/>
      <c r="AO691" s="182"/>
      <c r="AP691" s="182"/>
      <c r="AQ691" s="182"/>
      <c r="AR691" s="182"/>
    </row>
    <row r="692" spans="1:44">
      <c r="A692" s="182"/>
      <c r="B692" s="182"/>
      <c r="C692" s="182"/>
      <c r="D692" s="182"/>
      <c r="E692" s="182"/>
      <c r="F692" s="182"/>
      <c r="G692" s="182"/>
      <c r="H692" s="182"/>
      <c r="I692" s="182"/>
      <c r="J692" s="182"/>
      <c r="K692" s="182"/>
      <c r="L692" s="182"/>
      <c r="M692" s="182"/>
      <c r="N692" s="177"/>
      <c r="O692" s="182"/>
      <c r="P692" s="179"/>
      <c r="Q692" s="182"/>
      <c r="R692" s="182"/>
      <c r="S692" s="182"/>
      <c r="T692" s="182"/>
      <c r="U692" s="182"/>
      <c r="V692" s="182"/>
      <c r="W692" s="182"/>
      <c r="X692" s="182"/>
      <c r="Y692" s="182"/>
      <c r="Z692" s="182"/>
      <c r="AA692" s="182"/>
      <c r="AB692" s="182"/>
      <c r="AC692" s="182"/>
      <c r="AD692" s="182"/>
      <c r="AE692" s="184"/>
      <c r="AF692" s="183"/>
      <c r="AG692" s="183"/>
      <c r="AH692" s="183"/>
      <c r="AI692" s="183"/>
      <c r="AJ692" s="182"/>
      <c r="AK692" s="184"/>
      <c r="AL692" s="182"/>
      <c r="AM692" s="182"/>
      <c r="AN692" s="182"/>
      <c r="AO692" s="182"/>
      <c r="AP692" s="182"/>
      <c r="AQ692" s="182"/>
      <c r="AR692" s="182"/>
    </row>
    <row r="693" spans="1:44">
      <c r="A693" s="182"/>
      <c r="B693" s="182"/>
      <c r="C693" s="182"/>
      <c r="D693" s="182"/>
      <c r="E693" s="182"/>
      <c r="F693" s="182"/>
      <c r="G693" s="182"/>
      <c r="H693" s="182"/>
      <c r="I693" s="182"/>
      <c r="J693" s="182"/>
      <c r="K693" s="182"/>
      <c r="L693" s="182"/>
      <c r="M693" s="182"/>
      <c r="N693" s="177"/>
      <c r="O693" s="182"/>
      <c r="P693" s="179"/>
      <c r="Q693" s="182"/>
      <c r="R693" s="182"/>
      <c r="S693" s="182"/>
      <c r="T693" s="182"/>
      <c r="U693" s="182"/>
      <c r="V693" s="182"/>
      <c r="W693" s="182"/>
      <c r="X693" s="182"/>
      <c r="Y693" s="182"/>
      <c r="Z693" s="182"/>
      <c r="AA693" s="182"/>
      <c r="AB693" s="182"/>
      <c r="AC693" s="182"/>
      <c r="AD693" s="182"/>
      <c r="AE693" s="184"/>
      <c r="AF693" s="183"/>
      <c r="AG693" s="183"/>
      <c r="AH693" s="183"/>
      <c r="AI693" s="183"/>
      <c r="AJ693" s="182"/>
      <c r="AK693" s="184"/>
      <c r="AL693" s="182"/>
      <c r="AM693" s="182"/>
      <c r="AN693" s="182"/>
      <c r="AO693" s="182"/>
      <c r="AP693" s="182"/>
      <c r="AQ693" s="182"/>
      <c r="AR693" s="182"/>
    </row>
    <row r="694" spans="1:44">
      <c r="A694" s="182"/>
      <c r="B694" s="182"/>
      <c r="C694" s="182"/>
      <c r="D694" s="182"/>
      <c r="E694" s="182"/>
      <c r="F694" s="182"/>
      <c r="G694" s="182"/>
      <c r="H694" s="182"/>
      <c r="I694" s="182"/>
      <c r="J694" s="182"/>
      <c r="K694" s="182"/>
      <c r="L694" s="182"/>
      <c r="M694" s="182"/>
      <c r="N694" s="177"/>
      <c r="O694" s="182"/>
      <c r="P694" s="179"/>
      <c r="Q694" s="182"/>
      <c r="R694" s="182"/>
      <c r="S694" s="182"/>
      <c r="T694" s="182"/>
      <c r="U694" s="182"/>
      <c r="V694" s="182"/>
      <c r="W694" s="182"/>
      <c r="X694" s="182"/>
      <c r="Y694" s="182"/>
      <c r="Z694" s="182"/>
      <c r="AA694" s="182"/>
      <c r="AB694" s="182"/>
      <c r="AC694" s="182"/>
      <c r="AD694" s="182"/>
      <c r="AE694" s="184"/>
      <c r="AF694" s="183"/>
      <c r="AG694" s="183"/>
      <c r="AH694" s="183"/>
      <c r="AI694" s="183"/>
      <c r="AJ694" s="182"/>
      <c r="AK694" s="184"/>
      <c r="AL694" s="182"/>
      <c r="AM694" s="182"/>
      <c r="AN694" s="182"/>
      <c r="AO694" s="182"/>
      <c r="AP694" s="182"/>
      <c r="AQ694" s="182"/>
      <c r="AR694" s="182"/>
    </row>
    <row r="695" spans="1:44">
      <c r="A695" s="182"/>
      <c r="B695" s="182"/>
      <c r="C695" s="182"/>
      <c r="D695" s="182"/>
      <c r="E695" s="182"/>
      <c r="F695" s="182"/>
      <c r="G695" s="182"/>
      <c r="H695" s="182"/>
      <c r="I695" s="182"/>
      <c r="J695" s="182"/>
      <c r="K695" s="182"/>
      <c r="L695" s="182"/>
      <c r="M695" s="182"/>
      <c r="N695" s="177"/>
      <c r="O695" s="182"/>
      <c r="P695" s="179"/>
      <c r="Q695" s="182"/>
      <c r="R695" s="182"/>
      <c r="S695" s="182"/>
      <c r="T695" s="182"/>
      <c r="U695" s="182"/>
      <c r="V695" s="182"/>
      <c r="W695" s="182"/>
      <c r="X695" s="182"/>
      <c r="Y695" s="182"/>
      <c r="Z695" s="182"/>
      <c r="AA695" s="182"/>
      <c r="AB695" s="182"/>
      <c r="AC695" s="182"/>
      <c r="AD695" s="182"/>
      <c r="AE695" s="184"/>
      <c r="AF695" s="183"/>
      <c r="AG695" s="183"/>
      <c r="AH695" s="183"/>
      <c r="AI695" s="183"/>
      <c r="AJ695" s="182"/>
      <c r="AK695" s="184"/>
      <c r="AL695" s="182"/>
      <c r="AM695" s="182"/>
      <c r="AN695" s="182"/>
      <c r="AO695" s="182"/>
      <c r="AP695" s="182"/>
      <c r="AQ695" s="182"/>
      <c r="AR695" s="182"/>
    </row>
    <row r="696" spans="1:44">
      <c r="A696" s="182"/>
      <c r="B696" s="182"/>
      <c r="C696" s="182"/>
      <c r="D696" s="182"/>
      <c r="E696" s="182"/>
      <c r="F696" s="182"/>
      <c r="G696" s="182"/>
      <c r="H696" s="182"/>
      <c r="I696" s="182"/>
      <c r="J696" s="182"/>
      <c r="K696" s="182"/>
      <c r="L696" s="182"/>
      <c r="M696" s="182"/>
      <c r="N696" s="177"/>
      <c r="O696" s="182"/>
      <c r="P696" s="179"/>
      <c r="Q696" s="182"/>
      <c r="R696" s="182"/>
      <c r="S696" s="182"/>
      <c r="T696" s="182"/>
      <c r="U696" s="182"/>
      <c r="V696" s="182"/>
      <c r="W696" s="182"/>
      <c r="X696" s="182"/>
      <c r="Y696" s="182"/>
      <c r="Z696" s="182"/>
      <c r="AA696" s="182"/>
      <c r="AB696" s="182"/>
      <c r="AC696" s="182"/>
      <c r="AD696" s="182"/>
      <c r="AE696" s="184"/>
      <c r="AF696" s="183"/>
      <c r="AG696" s="183"/>
      <c r="AH696" s="183"/>
      <c r="AI696" s="183"/>
      <c r="AJ696" s="182"/>
      <c r="AK696" s="184"/>
      <c r="AL696" s="182"/>
      <c r="AM696" s="182"/>
      <c r="AN696" s="182"/>
      <c r="AO696" s="182"/>
      <c r="AP696" s="182"/>
      <c r="AQ696" s="182"/>
      <c r="AR696" s="182"/>
    </row>
    <row r="697" spans="1:44">
      <c r="A697" s="182"/>
      <c r="B697" s="182"/>
      <c r="C697" s="182"/>
      <c r="D697" s="182"/>
      <c r="E697" s="182"/>
      <c r="F697" s="182"/>
      <c r="G697" s="182"/>
      <c r="H697" s="182"/>
      <c r="I697" s="182"/>
      <c r="J697" s="182"/>
      <c r="K697" s="182"/>
      <c r="L697" s="182"/>
      <c r="M697" s="182"/>
      <c r="N697" s="177"/>
      <c r="O697" s="182"/>
      <c r="P697" s="179"/>
      <c r="Q697" s="182"/>
      <c r="R697" s="182"/>
      <c r="S697" s="182"/>
      <c r="T697" s="182"/>
      <c r="U697" s="182"/>
      <c r="V697" s="182"/>
      <c r="W697" s="182"/>
      <c r="X697" s="182"/>
      <c r="Y697" s="182"/>
      <c r="Z697" s="182"/>
      <c r="AA697" s="182"/>
      <c r="AB697" s="182"/>
      <c r="AC697" s="182"/>
      <c r="AD697" s="182"/>
      <c r="AE697" s="184"/>
      <c r="AF697" s="183"/>
      <c r="AG697" s="183"/>
      <c r="AH697" s="183"/>
      <c r="AI697" s="183"/>
      <c r="AJ697" s="182"/>
      <c r="AK697" s="184"/>
      <c r="AL697" s="182"/>
      <c r="AM697" s="182"/>
      <c r="AN697" s="182"/>
      <c r="AO697" s="182"/>
      <c r="AP697" s="182"/>
      <c r="AQ697" s="182"/>
      <c r="AR697" s="182"/>
    </row>
    <row r="698" spans="1:44">
      <c r="A698" s="182"/>
      <c r="B698" s="182"/>
      <c r="C698" s="182"/>
      <c r="D698" s="182"/>
      <c r="E698" s="182"/>
      <c r="F698" s="182"/>
      <c r="G698" s="182"/>
      <c r="H698" s="182"/>
      <c r="I698" s="182"/>
      <c r="J698" s="182"/>
      <c r="K698" s="182"/>
      <c r="L698" s="182"/>
      <c r="M698" s="182"/>
      <c r="N698" s="177"/>
      <c r="O698" s="182"/>
      <c r="P698" s="179"/>
      <c r="Q698" s="182"/>
      <c r="R698" s="182"/>
      <c r="S698" s="182"/>
      <c r="T698" s="182"/>
      <c r="U698" s="182"/>
      <c r="V698" s="182"/>
      <c r="W698" s="182"/>
      <c r="X698" s="182"/>
      <c r="Y698" s="182"/>
      <c r="Z698" s="182"/>
      <c r="AA698" s="182"/>
      <c r="AB698" s="182"/>
      <c r="AC698" s="182"/>
      <c r="AD698" s="182"/>
      <c r="AE698" s="184"/>
      <c r="AF698" s="183"/>
      <c r="AG698" s="183"/>
      <c r="AH698" s="183"/>
      <c r="AI698" s="183"/>
      <c r="AJ698" s="182"/>
      <c r="AK698" s="184"/>
      <c r="AL698" s="182"/>
      <c r="AM698" s="182"/>
      <c r="AN698" s="182"/>
      <c r="AO698" s="182"/>
      <c r="AP698" s="182"/>
      <c r="AQ698" s="182"/>
      <c r="AR698" s="182"/>
    </row>
    <row r="699" spans="1:44">
      <c r="A699" s="182"/>
      <c r="B699" s="182"/>
      <c r="C699" s="182"/>
      <c r="D699" s="182"/>
      <c r="E699" s="182"/>
      <c r="F699" s="182"/>
      <c r="G699" s="182"/>
      <c r="H699" s="182"/>
      <c r="I699" s="182"/>
      <c r="J699" s="182"/>
      <c r="K699" s="182"/>
      <c r="L699" s="182"/>
      <c r="M699" s="182"/>
      <c r="N699" s="177"/>
      <c r="O699" s="182"/>
      <c r="P699" s="179"/>
      <c r="Q699" s="182"/>
      <c r="R699" s="182"/>
      <c r="S699" s="182"/>
      <c r="T699" s="182"/>
      <c r="U699" s="182"/>
      <c r="V699" s="182"/>
      <c r="W699" s="182"/>
      <c r="X699" s="182"/>
      <c r="Y699" s="182"/>
      <c r="Z699" s="182"/>
      <c r="AA699" s="182"/>
      <c r="AB699" s="182"/>
      <c r="AC699" s="182"/>
      <c r="AD699" s="182"/>
      <c r="AE699" s="184"/>
      <c r="AF699" s="183"/>
      <c r="AG699" s="183"/>
      <c r="AH699" s="183"/>
      <c r="AI699" s="183"/>
      <c r="AJ699" s="182"/>
      <c r="AK699" s="184"/>
      <c r="AL699" s="182"/>
      <c r="AM699" s="182"/>
      <c r="AN699" s="182"/>
      <c r="AO699" s="182"/>
      <c r="AP699" s="182"/>
      <c r="AQ699" s="182"/>
      <c r="AR699" s="182"/>
    </row>
    <row r="700" spans="1:44">
      <c r="A700" s="182"/>
      <c r="B700" s="182"/>
      <c r="C700" s="182"/>
      <c r="D700" s="182"/>
      <c r="E700" s="182"/>
      <c r="F700" s="182"/>
      <c r="G700" s="182"/>
      <c r="H700" s="182"/>
      <c r="I700" s="182"/>
      <c r="J700" s="182"/>
      <c r="K700" s="182"/>
      <c r="L700" s="182"/>
      <c r="M700" s="182"/>
      <c r="N700" s="177"/>
      <c r="O700" s="182"/>
      <c r="P700" s="179"/>
      <c r="Q700" s="182"/>
      <c r="R700" s="182"/>
      <c r="S700" s="182"/>
      <c r="T700" s="182"/>
      <c r="U700" s="182"/>
      <c r="V700" s="182"/>
      <c r="W700" s="182"/>
      <c r="X700" s="182"/>
      <c r="Y700" s="182"/>
      <c r="Z700" s="182"/>
      <c r="AA700" s="182"/>
      <c r="AB700" s="182"/>
      <c r="AC700" s="182"/>
      <c r="AD700" s="182"/>
      <c r="AE700" s="184"/>
      <c r="AF700" s="183"/>
      <c r="AG700" s="183"/>
      <c r="AH700" s="183"/>
      <c r="AI700" s="183"/>
      <c r="AJ700" s="182"/>
      <c r="AK700" s="184"/>
      <c r="AL700" s="182"/>
      <c r="AM700" s="182"/>
      <c r="AN700" s="182"/>
      <c r="AO700" s="182"/>
      <c r="AP700" s="182"/>
      <c r="AQ700" s="182"/>
      <c r="AR700" s="182"/>
    </row>
    <row r="701" spans="1:44">
      <c r="A701" s="182"/>
      <c r="B701" s="182"/>
      <c r="C701" s="182"/>
      <c r="D701" s="182"/>
      <c r="E701" s="182"/>
      <c r="F701" s="182"/>
      <c r="G701" s="182"/>
      <c r="H701" s="182"/>
      <c r="I701" s="182"/>
      <c r="J701" s="182"/>
      <c r="K701" s="182"/>
      <c r="L701" s="182"/>
      <c r="M701" s="182"/>
      <c r="N701" s="177"/>
      <c r="O701" s="182"/>
      <c r="P701" s="179"/>
      <c r="Q701" s="182"/>
      <c r="R701" s="182"/>
      <c r="S701" s="182"/>
      <c r="T701" s="182"/>
      <c r="U701" s="182"/>
      <c r="V701" s="182"/>
      <c r="W701" s="182"/>
      <c r="X701" s="182"/>
      <c r="Y701" s="182"/>
      <c r="Z701" s="182"/>
      <c r="AA701" s="182"/>
      <c r="AB701" s="182"/>
      <c r="AC701" s="182"/>
      <c r="AD701" s="182"/>
      <c r="AE701" s="184"/>
      <c r="AF701" s="183"/>
      <c r="AG701" s="183"/>
      <c r="AH701" s="183"/>
      <c r="AI701" s="183"/>
      <c r="AJ701" s="182"/>
      <c r="AK701" s="184"/>
      <c r="AL701" s="182"/>
      <c r="AM701" s="182"/>
      <c r="AN701" s="182"/>
      <c r="AO701" s="182"/>
      <c r="AP701" s="182"/>
      <c r="AQ701" s="182"/>
      <c r="AR701" s="182"/>
    </row>
    <row r="702" spans="1:44">
      <c r="A702" s="182"/>
      <c r="B702" s="182"/>
      <c r="C702" s="182"/>
      <c r="D702" s="182"/>
      <c r="E702" s="182"/>
      <c r="F702" s="182"/>
      <c r="G702" s="182"/>
      <c r="H702" s="182"/>
      <c r="I702" s="182"/>
      <c r="J702" s="182"/>
      <c r="K702" s="182"/>
      <c r="L702" s="182"/>
      <c r="M702" s="182"/>
      <c r="N702" s="177"/>
      <c r="O702" s="182"/>
      <c r="P702" s="179"/>
      <c r="Q702" s="182"/>
      <c r="R702" s="182"/>
      <c r="S702" s="182"/>
      <c r="T702" s="182"/>
      <c r="U702" s="182"/>
      <c r="V702" s="182"/>
      <c r="W702" s="182"/>
      <c r="X702" s="182"/>
      <c r="Y702" s="182"/>
      <c r="Z702" s="182"/>
      <c r="AA702" s="182"/>
      <c r="AB702" s="182"/>
      <c r="AC702" s="182"/>
      <c r="AD702" s="182"/>
      <c r="AE702" s="184"/>
      <c r="AF702" s="183"/>
      <c r="AG702" s="183"/>
      <c r="AH702" s="183"/>
      <c r="AI702" s="183"/>
      <c r="AJ702" s="182"/>
      <c r="AK702" s="184"/>
      <c r="AL702" s="182"/>
      <c r="AM702" s="182"/>
      <c r="AN702" s="182"/>
      <c r="AO702" s="182"/>
      <c r="AP702" s="182"/>
      <c r="AQ702" s="182"/>
      <c r="AR702" s="182"/>
    </row>
    <row r="703" spans="1:44">
      <c r="A703" s="182"/>
      <c r="B703" s="182"/>
      <c r="C703" s="182"/>
      <c r="D703" s="182"/>
      <c r="E703" s="182"/>
      <c r="F703" s="182"/>
      <c r="G703" s="182"/>
      <c r="H703" s="182"/>
      <c r="I703" s="182"/>
      <c r="J703" s="182"/>
      <c r="K703" s="182"/>
      <c r="L703" s="182"/>
      <c r="M703" s="182"/>
      <c r="N703" s="177"/>
      <c r="O703" s="182"/>
      <c r="P703" s="179"/>
      <c r="Q703" s="182"/>
      <c r="R703" s="182"/>
      <c r="S703" s="182"/>
      <c r="T703" s="182"/>
      <c r="U703" s="182"/>
      <c r="V703" s="182"/>
      <c r="W703" s="182"/>
      <c r="X703" s="182"/>
      <c r="Y703" s="182"/>
      <c r="Z703" s="182"/>
      <c r="AA703" s="182"/>
      <c r="AB703" s="182"/>
      <c r="AC703" s="182"/>
      <c r="AD703" s="182"/>
      <c r="AE703" s="184"/>
      <c r="AF703" s="183"/>
      <c r="AG703" s="183"/>
      <c r="AH703" s="183"/>
      <c r="AI703" s="183"/>
      <c r="AJ703" s="182"/>
      <c r="AK703" s="184"/>
      <c r="AL703" s="182"/>
      <c r="AM703" s="182"/>
      <c r="AN703" s="182"/>
      <c r="AO703" s="182"/>
      <c r="AP703" s="182"/>
      <c r="AQ703" s="182"/>
      <c r="AR703" s="182"/>
    </row>
    <row r="704" spans="1:44">
      <c r="A704" s="182"/>
      <c r="B704" s="182"/>
      <c r="C704" s="182"/>
      <c r="D704" s="182"/>
      <c r="E704" s="182"/>
      <c r="F704" s="182"/>
      <c r="G704" s="182"/>
      <c r="H704" s="182"/>
      <c r="I704" s="182"/>
      <c r="J704" s="182"/>
      <c r="K704" s="182"/>
      <c r="L704" s="182"/>
      <c r="M704" s="182"/>
      <c r="N704" s="177"/>
      <c r="O704" s="182"/>
      <c r="P704" s="179"/>
      <c r="Q704" s="182"/>
      <c r="R704" s="182"/>
      <c r="S704" s="182"/>
      <c r="T704" s="182"/>
      <c r="U704" s="182"/>
      <c r="V704" s="182"/>
      <c r="W704" s="182"/>
      <c r="X704" s="182"/>
      <c r="Y704" s="182"/>
      <c r="Z704" s="182"/>
      <c r="AA704" s="182"/>
      <c r="AB704" s="182"/>
      <c r="AC704" s="182"/>
      <c r="AD704" s="182"/>
      <c r="AE704" s="184"/>
      <c r="AF704" s="183"/>
      <c r="AG704" s="183"/>
      <c r="AH704" s="183"/>
      <c r="AI704" s="183"/>
      <c r="AJ704" s="182"/>
      <c r="AK704" s="184"/>
      <c r="AL704" s="182"/>
      <c r="AM704" s="182"/>
      <c r="AN704" s="182"/>
      <c r="AO704" s="182"/>
      <c r="AP704" s="182"/>
      <c r="AQ704" s="182"/>
      <c r="AR704" s="182"/>
    </row>
    <row r="705" spans="1:44">
      <c r="A705" s="182"/>
      <c r="B705" s="182"/>
      <c r="C705" s="182"/>
      <c r="D705" s="182"/>
      <c r="E705" s="182"/>
      <c r="F705" s="182"/>
      <c r="G705" s="182"/>
      <c r="H705" s="182"/>
      <c r="I705" s="182"/>
      <c r="J705" s="182"/>
      <c r="K705" s="182"/>
      <c r="L705" s="182"/>
      <c r="M705" s="182"/>
      <c r="N705" s="177"/>
      <c r="O705" s="182"/>
      <c r="P705" s="179"/>
      <c r="Q705" s="182"/>
      <c r="R705" s="182"/>
      <c r="S705" s="182"/>
      <c r="T705" s="182"/>
      <c r="U705" s="182"/>
      <c r="V705" s="182"/>
      <c r="W705" s="182"/>
      <c r="X705" s="182"/>
      <c r="Y705" s="182"/>
      <c r="Z705" s="182"/>
      <c r="AA705" s="182"/>
      <c r="AB705" s="182"/>
      <c r="AC705" s="182"/>
      <c r="AD705" s="182"/>
      <c r="AE705" s="184"/>
      <c r="AF705" s="183"/>
      <c r="AG705" s="183"/>
      <c r="AH705" s="183"/>
      <c r="AI705" s="183"/>
      <c r="AJ705" s="182"/>
      <c r="AK705" s="184"/>
      <c r="AL705" s="182"/>
      <c r="AM705" s="182"/>
      <c r="AN705" s="182"/>
      <c r="AO705" s="182"/>
      <c r="AP705" s="182"/>
      <c r="AQ705" s="182"/>
      <c r="AR705" s="182"/>
    </row>
    <row r="706" spans="1:44">
      <c r="A706" s="182"/>
      <c r="B706" s="182"/>
      <c r="C706" s="182"/>
      <c r="D706" s="182"/>
      <c r="E706" s="182"/>
      <c r="F706" s="182"/>
      <c r="G706" s="182"/>
      <c r="H706" s="182"/>
      <c r="I706" s="182"/>
      <c r="J706" s="182"/>
      <c r="K706" s="182"/>
      <c r="L706" s="182"/>
      <c r="M706" s="182"/>
      <c r="N706" s="177"/>
      <c r="O706" s="182"/>
      <c r="P706" s="179"/>
      <c r="Q706" s="182"/>
      <c r="R706" s="182"/>
      <c r="S706" s="182"/>
      <c r="T706" s="182"/>
      <c r="U706" s="182"/>
      <c r="V706" s="182"/>
      <c r="W706" s="182"/>
      <c r="X706" s="182"/>
      <c r="Y706" s="182"/>
      <c r="Z706" s="182"/>
      <c r="AA706" s="182"/>
      <c r="AB706" s="182"/>
      <c r="AC706" s="182"/>
      <c r="AD706" s="182"/>
      <c r="AE706" s="184"/>
      <c r="AF706" s="183"/>
      <c r="AG706" s="183"/>
      <c r="AH706" s="183"/>
      <c r="AI706" s="183"/>
      <c r="AJ706" s="182"/>
      <c r="AK706" s="184"/>
      <c r="AL706" s="182"/>
      <c r="AM706" s="182"/>
      <c r="AN706" s="182"/>
      <c r="AO706" s="182"/>
      <c r="AP706" s="182"/>
      <c r="AQ706" s="182"/>
      <c r="AR706" s="182"/>
    </row>
    <row r="707" spans="1:44">
      <c r="A707" s="182"/>
      <c r="B707" s="182"/>
      <c r="C707" s="182"/>
      <c r="D707" s="182"/>
      <c r="E707" s="182"/>
      <c r="F707" s="182"/>
      <c r="G707" s="182"/>
      <c r="H707" s="182"/>
      <c r="I707" s="182"/>
      <c r="J707" s="182"/>
      <c r="K707" s="182"/>
      <c r="L707" s="182"/>
      <c r="M707" s="182"/>
      <c r="N707" s="177"/>
      <c r="O707" s="182"/>
      <c r="P707" s="179"/>
      <c r="Q707" s="182"/>
      <c r="R707" s="182"/>
      <c r="S707" s="182"/>
      <c r="T707" s="182"/>
      <c r="U707" s="182"/>
      <c r="V707" s="182"/>
      <c r="W707" s="182"/>
      <c r="X707" s="182"/>
      <c r="Y707" s="182"/>
      <c r="Z707" s="182"/>
      <c r="AA707" s="182"/>
      <c r="AB707" s="182"/>
      <c r="AC707" s="182"/>
      <c r="AD707" s="182"/>
      <c r="AE707" s="184"/>
      <c r="AF707" s="183"/>
      <c r="AG707" s="183"/>
      <c r="AH707" s="183"/>
      <c r="AI707" s="183"/>
      <c r="AJ707" s="182"/>
      <c r="AK707" s="184"/>
      <c r="AL707" s="182"/>
      <c r="AM707" s="182"/>
      <c r="AN707" s="182"/>
      <c r="AO707" s="182"/>
      <c r="AP707" s="182"/>
      <c r="AQ707" s="182"/>
      <c r="AR707" s="182"/>
    </row>
    <row r="708" spans="1:44">
      <c r="A708" s="182"/>
      <c r="B708" s="182"/>
      <c r="C708" s="182"/>
      <c r="D708" s="182"/>
      <c r="E708" s="182"/>
      <c r="F708" s="182"/>
      <c r="G708" s="182"/>
      <c r="H708" s="182"/>
      <c r="I708" s="182"/>
      <c r="J708" s="182"/>
      <c r="K708" s="182"/>
      <c r="L708" s="182"/>
      <c r="M708" s="182"/>
      <c r="N708" s="177"/>
      <c r="O708" s="182"/>
      <c r="P708" s="179"/>
      <c r="Q708" s="182"/>
      <c r="R708" s="182"/>
      <c r="S708" s="182"/>
      <c r="T708" s="182"/>
      <c r="U708" s="182"/>
      <c r="V708" s="182"/>
      <c r="W708" s="182"/>
      <c r="X708" s="182"/>
      <c r="Y708" s="182"/>
      <c r="Z708" s="182"/>
      <c r="AA708" s="182"/>
      <c r="AB708" s="182"/>
      <c r="AC708" s="182"/>
      <c r="AD708" s="182"/>
      <c r="AE708" s="184"/>
      <c r="AF708" s="183"/>
      <c r="AG708" s="183"/>
      <c r="AH708" s="183"/>
      <c r="AI708" s="183"/>
      <c r="AJ708" s="182"/>
      <c r="AK708" s="184"/>
      <c r="AL708" s="182"/>
      <c r="AM708" s="182"/>
      <c r="AN708" s="182"/>
      <c r="AO708" s="182"/>
      <c r="AP708" s="182"/>
      <c r="AQ708" s="182"/>
      <c r="AR708" s="182"/>
    </row>
    <row r="709" spans="1:44">
      <c r="A709" s="182"/>
      <c r="B709" s="182"/>
      <c r="C709" s="182"/>
      <c r="D709" s="182"/>
      <c r="E709" s="182"/>
      <c r="F709" s="182"/>
      <c r="G709" s="182"/>
      <c r="H709" s="182"/>
      <c r="I709" s="182"/>
      <c r="J709" s="182"/>
      <c r="K709" s="182"/>
      <c r="L709" s="182"/>
      <c r="M709" s="182"/>
      <c r="N709" s="177"/>
      <c r="O709" s="182"/>
      <c r="P709" s="179"/>
      <c r="Q709" s="182"/>
      <c r="R709" s="182"/>
      <c r="S709" s="182"/>
      <c r="T709" s="182"/>
      <c r="U709" s="182"/>
      <c r="V709" s="182"/>
      <c r="W709" s="182"/>
      <c r="X709" s="182"/>
      <c r="Y709" s="182"/>
      <c r="Z709" s="182"/>
      <c r="AA709" s="182"/>
      <c r="AB709" s="182"/>
      <c r="AC709" s="182"/>
      <c r="AD709" s="182"/>
      <c r="AE709" s="184"/>
      <c r="AF709" s="183"/>
      <c r="AG709" s="183"/>
      <c r="AH709" s="183"/>
      <c r="AI709" s="183"/>
      <c r="AJ709" s="182"/>
      <c r="AK709" s="184"/>
      <c r="AL709" s="182"/>
      <c r="AM709" s="182"/>
      <c r="AN709" s="182"/>
      <c r="AO709" s="182"/>
      <c r="AP709" s="182"/>
      <c r="AQ709" s="182"/>
      <c r="AR709" s="182"/>
    </row>
    <row r="710" spans="1:44">
      <c r="A710" s="182"/>
      <c r="B710" s="182"/>
      <c r="C710" s="182"/>
      <c r="D710" s="182"/>
      <c r="E710" s="182"/>
      <c r="F710" s="182"/>
      <c r="G710" s="182"/>
      <c r="H710" s="182"/>
      <c r="I710" s="182"/>
      <c r="J710" s="182"/>
      <c r="K710" s="182"/>
      <c r="L710" s="182"/>
      <c r="M710" s="182"/>
      <c r="N710" s="177"/>
      <c r="O710" s="182"/>
      <c r="P710" s="179"/>
      <c r="Q710" s="182"/>
      <c r="R710" s="182"/>
      <c r="S710" s="182"/>
      <c r="T710" s="182"/>
      <c r="U710" s="182"/>
      <c r="V710" s="182"/>
      <c r="W710" s="182"/>
      <c r="X710" s="182"/>
      <c r="Y710" s="182"/>
      <c r="Z710" s="182"/>
      <c r="AA710" s="182"/>
      <c r="AB710" s="182"/>
      <c r="AC710" s="182"/>
      <c r="AD710" s="182"/>
      <c r="AE710" s="184"/>
      <c r="AF710" s="183"/>
      <c r="AG710" s="183"/>
      <c r="AH710" s="183"/>
      <c r="AI710" s="183"/>
      <c r="AJ710" s="182"/>
      <c r="AK710" s="184"/>
      <c r="AL710" s="182"/>
      <c r="AM710" s="182"/>
      <c r="AN710" s="182"/>
      <c r="AO710" s="182"/>
      <c r="AP710" s="182"/>
      <c r="AQ710" s="182"/>
      <c r="AR710" s="182"/>
    </row>
    <row r="711" spans="1:44">
      <c r="A711" s="182"/>
      <c r="B711" s="182"/>
      <c r="C711" s="182"/>
      <c r="D711" s="182"/>
      <c r="E711" s="182"/>
      <c r="F711" s="182"/>
      <c r="G711" s="182"/>
      <c r="H711" s="182"/>
      <c r="I711" s="182"/>
      <c r="J711" s="182"/>
      <c r="K711" s="182"/>
      <c r="L711" s="182"/>
      <c r="M711" s="182"/>
      <c r="N711" s="177"/>
      <c r="O711" s="182"/>
      <c r="P711" s="179"/>
      <c r="Q711" s="182"/>
      <c r="R711" s="182"/>
      <c r="S711" s="182"/>
      <c r="T711" s="182"/>
      <c r="U711" s="182"/>
      <c r="V711" s="182"/>
      <c r="W711" s="182"/>
      <c r="X711" s="182"/>
      <c r="Y711" s="182"/>
      <c r="Z711" s="182"/>
      <c r="AA711" s="182"/>
      <c r="AB711" s="182"/>
      <c r="AC711" s="182"/>
      <c r="AD711" s="182"/>
      <c r="AE711" s="184"/>
      <c r="AF711" s="183"/>
      <c r="AG711" s="183"/>
      <c r="AH711" s="183"/>
      <c r="AI711" s="183"/>
      <c r="AJ711" s="182"/>
      <c r="AK711" s="184"/>
      <c r="AL711" s="182"/>
      <c r="AM711" s="182"/>
      <c r="AN711" s="182"/>
      <c r="AO711" s="182"/>
      <c r="AP711" s="182"/>
      <c r="AQ711" s="182"/>
      <c r="AR711" s="182"/>
    </row>
    <row r="712" spans="1:44">
      <c r="A712" s="182"/>
      <c r="B712" s="182"/>
      <c r="C712" s="182"/>
      <c r="D712" s="182"/>
      <c r="E712" s="182"/>
      <c r="F712" s="182"/>
      <c r="G712" s="182"/>
      <c r="H712" s="182"/>
      <c r="I712" s="182"/>
      <c r="J712" s="182"/>
      <c r="K712" s="182"/>
      <c r="L712" s="182"/>
      <c r="M712" s="182"/>
      <c r="N712" s="177"/>
      <c r="O712" s="182"/>
      <c r="P712" s="179"/>
      <c r="Q712" s="182"/>
      <c r="R712" s="182"/>
      <c r="S712" s="182"/>
      <c r="T712" s="182"/>
      <c r="U712" s="182"/>
      <c r="V712" s="182"/>
      <c r="W712" s="182"/>
      <c r="X712" s="182"/>
      <c r="Y712" s="182"/>
      <c r="Z712" s="182"/>
      <c r="AA712" s="182"/>
      <c r="AB712" s="182"/>
      <c r="AC712" s="182"/>
      <c r="AD712" s="182"/>
      <c r="AE712" s="184"/>
      <c r="AF712" s="183"/>
      <c r="AG712" s="183"/>
      <c r="AH712" s="183"/>
      <c r="AI712" s="183"/>
      <c r="AJ712" s="182"/>
      <c r="AK712" s="184"/>
      <c r="AL712" s="182"/>
      <c r="AM712" s="182"/>
      <c r="AN712" s="182"/>
      <c r="AO712" s="182"/>
      <c r="AP712" s="182"/>
      <c r="AQ712" s="182"/>
      <c r="AR712" s="182"/>
    </row>
    <row r="713" spans="1:44">
      <c r="A713" s="182"/>
      <c r="B713" s="182"/>
      <c r="C713" s="182"/>
      <c r="D713" s="182"/>
      <c r="E713" s="182"/>
      <c r="F713" s="182"/>
      <c r="G713" s="182"/>
      <c r="H713" s="182"/>
      <c r="I713" s="182"/>
      <c r="J713" s="182"/>
      <c r="K713" s="182"/>
      <c r="L713" s="182"/>
      <c r="M713" s="182"/>
      <c r="N713" s="177"/>
      <c r="O713" s="182"/>
      <c r="P713" s="179"/>
      <c r="Q713" s="182"/>
      <c r="R713" s="182"/>
      <c r="S713" s="182"/>
      <c r="T713" s="182"/>
      <c r="U713" s="182"/>
      <c r="V713" s="182"/>
      <c r="W713" s="182"/>
      <c r="X713" s="182"/>
      <c r="Y713" s="182"/>
      <c r="Z713" s="182"/>
      <c r="AA713" s="182"/>
      <c r="AB713" s="182"/>
      <c r="AC713" s="182"/>
      <c r="AD713" s="182"/>
      <c r="AE713" s="184"/>
      <c r="AF713" s="183"/>
      <c r="AG713" s="183"/>
      <c r="AH713" s="183"/>
      <c r="AI713" s="183"/>
      <c r="AJ713" s="182"/>
      <c r="AK713" s="184"/>
      <c r="AL713" s="182"/>
      <c r="AM713" s="182"/>
      <c r="AN713" s="182"/>
      <c r="AO713" s="182"/>
      <c r="AP713" s="182"/>
      <c r="AQ713" s="182"/>
      <c r="AR713" s="182"/>
    </row>
    <row r="714" spans="1:44">
      <c r="A714" s="182"/>
      <c r="B714" s="182"/>
      <c r="C714" s="182"/>
      <c r="D714" s="182"/>
      <c r="E714" s="182"/>
      <c r="F714" s="182"/>
      <c r="G714" s="182"/>
      <c r="H714" s="182"/>
      <c r="I714" s="182"/>
      <c r="J714" s="182"/>
      <c r="K714" s="182"/>
      <c r="L714" s="182"/>
      <c r="M714" s="182"/>
      <c r="N714" s="177"/>
      <c r="O714" s="182"/>
      <c r="P714" s="179"/>
      <c r="Q714" s="182"/>
      <c r="R714" s="182"/>
      <c r="S714" s="182"/>
      <c r="T714" s="182"/>
      <c r="U714" s="182"/>
      <c r="V714" s="182"/>
      <c r="W714" s="182"/>
      <c r="X714" s="182"/>
      <c r="Y714" s="182"/>
      <c r="Z714" s="182"/>
      <c r="AA714" s="182"/>
      <c r="AB714" s="182"/>
      <c r="AC714" s="182"/>
      <c r="AD714" s="182"/>
      <c r="AE714" s="184"/>
      <c r="AF714" s="183"/>
      <c r="AG714" s="183"/>
      <c r="AH714" s="183"/>
      <c r="AI714" s="183"/>
      <c r="AJ714" s="182"/>
      <c r="AK714" s="184"/>
      <c r="AL714" s="182"/>
      <c r="AM714" s="182"/>
      <c r="AN714" s="182"/>
      <c r="AO714" s="182"/>
      <c r="AP714" s="182"/>
      <c r="AQ714" s="182"/>
      <c r="AR714" s="182"/>
    </row>
    <row r="715" spans="1:44">
      <c r="A715" s="182"/>
      <c r="B715" s="182"/>
      <c r="C715" s="182"/>
      <c r="D715" s="182"/>
      <c r="E715" s="182"/>
      <c r="F715" s="182"/>
      <c r="G715" s="182"/>
      <c r="H715" s="182"/>
      <c r="I715" s="182"/>
      <c r="J715" s="182"/>
      <c r="K715" s="182"/>
      <c r="L715" s="182"/>
      <c r="M715" s="182"/>
      <c r="N715" s="177"/>
      <c r="O715" s="182"/>
      <c r="P715" s="179"/>
      <c r="Q715" s="182"/>
      <c r="R715" s="182"/>
      <c r="S715" s="182"/>
      <c r="T715" s="182"/>
      <c r="U715" s="182"/>
      <c r="V715" s="182"/>
      <c r="W715" s="182"/>
      <c r="X715" s="182"/>
      <c r="Y715" s="182"/>
      <c r="Z715" s="182"/>
      <c r="AA715" s="182"/>
      <c r="AB715" s="182"/>
      <c r="AC715" s="182"/>
      <c r="AD715" s="182"/>
      <c r="AE715" s="184"/>
      <c r="AF715" s="183"/>
      <c r="AG715" s="183"/>
      <c r="AH715" s="183"/>
      <c r="AI715" s="183"/>
      <c r="AJ715" s="182"/>
      <c r="AK715" s="184"/>
      <c r="AL715" s="182"/>
      <c r="AM715" s="182"/>
      <c r="AN715" s="182"/>
      <c r="AO715" s="182"/>
      <c r="AP715" s="182"/>
      <c r="AQ715" s="182"/>
      <c r="AR715" s="182"/>
    </row>
    <row r="716" spans="1:44">
      <c r="A716" s="182"/>
      <c r="B716" s="182"/>
      <c r="C716" s="182"/>
      <c r="D716" s="182"/>
      <c r="E716" s="182"/>
      <c r="F716" s="182"/>
      <c r="G716" s="182"/>
      <c r="H716" s="182"/>
      <c r="I716" s="182"/>
      <c r="J716" s="182"/>
      <c r="K716" s="182"/>
      <c r="L716" s="182"/>
      <c r="M716" s="182"/>
      <c r="N716" s="177"/>
      <c r="O716" s="182"/>
      <c r="P716" s="179"/>
      <c r="Q716" s="182"/>
      <c r="R716" s="182"/>
      <c r="S716" s="182"/>
      <c r="T716" s="182"/>
      <c r="U716" s="182"/>
      <c r="V716" s="182"/>
      <c r="W716" s="182"/>
      <c r="X716" s="182"/>
      <c r="Y716" s="182"/>
      <c r="Z716" s="182"/>
      <c r="AA716" s="182"/>
      <c r="AB716" s="182"/>
      <c r="AC716" s="182"/>
      <c r="AD716" s="182"/>
      <c r="AE716" s="184"/>
      <c r="AF716" s="183"/>
      <c r="AG716" s="183"/>
      <c r="AH716" s="183"/>
      <c r="AI716" s="183"/>
      <c r="AJ716" s="182"/>
      <c r="AK716" s="184"/>
      <c r="AL716" s="182"/>
      <c r="AM716" s="182"/>
      <c r="AN716" s="182"/>
      <c r="AO716" s="182"/>
      <c r="AP716" s="182"/>
      <c r="AQ716" s="182"/>
      <c r="AR716" s="182"/>
    </row>
    <row r="717" spans="1:44">
      <c r="A717" s="182"/>
      <c r="B717" s="182"/>
      <c r="C717" s="182"/>
      <c r="D717" s="182"/>
      <c r="E717" s="182"/>
      <c r="F717" s="182"/>
      <c r="G717" s="182"/>
      <c r="H717" s="182"/>
      <c r="I717" s="182"/>
      <c r="J717" s="182"/>
      <c r="K717" s="182"/>
      <c r="L717" s="182"/>
      <c r="M717" s="182"/>
      <c r="N717" s="177"/>
      <c r="O717" s="182"/>
      <c r="P717" s="179"/>
      <c r="Q717" s="182"/>
      <c r="R717" s="182"/>
      <c r="S717" s="182"/>
      <c r="T717" s="182"/>
      <c r="U717" s="182"/>
      <c r="V717" s="182"/>
      <c r="W717" s="182"/>
      <c r="X717" s="182"/>
      <c r="Y717" s="182"/>
      <c r="Z717" s="182"/>
      <c r="AA717" s="182"/>
      <c r="AB717" s="182"/>
      <c r="AC717" s="182"/>
      <c r="AD717" s="182"/>
      <c r="AE717" s="184"/>
      <c r="AF717" s="183"/>
      <c r="AG717" s="183"/>
      <c r="AH717" s="183"/>
      <c r="AI717" s="183"/>
      <c r="AJ717" s="182"/>
      <c r="AK717" s="184"/>
      <c r="AL717" s="182"/>
      <c r="AM717" s="182"/>
      <c r="AN717" s="182"/>
      <c r="AO717" s="182"/>
      <c r="AP717" s="182"/>
      <c r="AQ717" s="182"/>
      <c r="AR717" s="182"/>
    </row>
    <row r="718" spans="1:44">
      <c r="A718" s="182"/>
      <c r="B718" s="182"/>
      <c r="C718" s="182"/>
      <c r="D718" s="182"/>
      <c r="E718" s="182"/>
      <c r="F718" s="182"/>
      <c r="G718" s="182"/>
      <c r="H718" s="182"/>
      <c r="I718" s="182"/>
      <c r="J718" s="182"/>
      <c r="K718" s="182"/>
      <c r="L718" s="182"/>
      <c r="M718" s="182"/>
      <c r="N718" s="177"/>
      <c r="O718" s="182"/>
      <c r="P718" s="179"/>
      <c r="Q718" s="182"/>
      <c r="R718" s="182"/>
      <c r="S718" s="182"/>
      <c r="T718" s="182"/>
      <c r="U718" s="182"/>
      <c r="V718" s="182"/>
      <c r="W718" s="182"/>
      <c r="X718" s="182"/>
      <c r="Y718" s="182"/>
      <c r="Z718" s="182"/>
      <c r="AA718" s="182"/>
      <c r="AB718" s="182"/>
      <c r="AC718" s="182"/>
      <c r="AD718" s="182"/>
      <c r="AE718" s="184"/>
      <c r="AF718" s="183"/>
      <c r="AG718" s="183"/>
      <c r="AH718" s="183"/>
      <c r="AI718" s="183"/>
      <c r="AJ718" s="182"/>
      <c r="AK718" s="184"/>
      <c r="AL718" s="182"/>
      <c r="AM718" s="182"/>
      <c r="AN718" s="182"/>
      <c r="AO718" s="182"/>
      <c r="AP718" s="182"/>
      <c r="AQ718" s="182"/>
      <c r="AR718" s="182"/>
    </row>
    <row r="719" spans="1:44">
      <c r="A719" s="182"/>
      <c r="B719" s="182"/>
      <c r="C719" s="182"/>
      <c r="D719" s="182"/>
      <c r="E719" s="182"/>
      <c r="F719" s="182"/>
      <c r="G719" s="182"/>
      <c r="H719" s="182"/>
      <c r="I719" s="182"/>
      <c r="J719" s="182"/>
      <c r="K719" s="182"/>
      <c r="L719" s="182"/>
      <c r="M719" s="182"/>
      <c r="N719" s="177"/>
      <c r="O719" s="182"/>
      <c r="P719" s="179"/>
      <c r="Q719" s="182"/>
      <c r="R719" s="182"/>
      <c r="S719" s="182"/>
      <c r="T719" s="182"/>
      <c r="U719" s="182"/>
      <c r="V719" s="182"/>
      <c r="W719" s="182"/>
      <c r="X719" s="182"/>
      <c r="Y719" s="182"/>
      <c r="Z719" s="182"/>
      <c r="AA719" s="182"/>
      <c r="AB719" s="182"/>
      <c r="AC719" s="182"/>
      <c r="AD719" s="182"/>
      <c r="AE719" s="184"/>
      <c r="AF719" s="183"/>
      <c r="AG719" s="183"/>
      <c r="AH719" s="183"/>
      <c r="AI719" s="183"/>
      <c r="AJ719" s="182"/>
      <c r="AK719" s="184"/>
      <c r="AL719" s="182"/>
      <c r="AM719" s="182"/>
      <c r="AN719" s="182"/>
      <c r="AO719" s="182"/>
      <c r="AP719" s="182"/>
      <c r="AQ719" s="182"/>
      <c r="AR719" s="182"/>
    </row>
    <row r="720" spans="1:44">
      <c r="A720" s="182"/>
      <c r="B720" s="182"/>
      <c r="C720" s="182"/>
      <c r="D720" s="182"/>
      <c r="E720" s="182"/>
      <c r="F720" s="182"/>
      <c r="G720" s="182"/>
      <c r="H720" s="182"/>
      <c r="I720" s="182"/>
      <c r="J720" s="182"/>
      <c r="K720" s="182"/>
      <c r="L720" s="182"/>
      <c r="M720" s="182"/>
      <c r="N720" s="177"/>
      <c r="O720" s="182"/>
      <c r="P720" s="179"/>
      <c r="Q720" s="182"/>
      <c r="R720" s="182"/>
      <c r="S720" s="182"/>
      <c r="T720" s="182"/>
      <c r="U720" s="182"/>
      <c r="V720" s="182"/>
      <c r="W720" s="182"/>
      <c r="X720" s="182"/>
      <c r="Y720" s="182"/>
      <c r="Z720" s="182"/>
      <c r="AA720" s="182"/>
      <c r="AB720" s="182"/>
      <c r="AC720" s="182"/>
      <c r="AD720" s="182"/>
      <c r="AE720" s="184"/>
      <c r="AF720" s="183"/>
      <c r="AG720" s="183"/>
      <c r="AH720" s="183"/>
      <c r="AI720" s="183"/>
      <c r="AJ720" s="182"/>
      <c r="AK720" s="184"/>
      <c r="AL720" s="182"/>
      <c r="AM720" s="182"/>
      <c r="AN720" s="182"/>
      <c r="AO720" s="182"/>
      <c r="AP720" s="182"/>
      <c r="AQ720" s="182"/>
      <c r="AR720" s="182"/>
    </row>
    <row r="721" spans="1:44">
      <c r="A721" s="182"/>
      <c r="B721" s="182"/>
      <c r="C721" s="182"/>
      <c r="D721" s="182"/>
      <c r="E721" s="182"/>
      <c r="F721" s="182"/>
      <c r="G721" s="182"/>
      <c r="H721" s="182"/>
      <c r="I721" s="182"/>
      <c r="J721" s="182"/>
      <c r="K721" s="182"/>
      <c r="L721" s="182"/>
      <c r="M721" s="182"/>
      <c r="N721" s="177"/>
      <c r="O721" s="182"/>
      <c r="P721" s="179"/>
      <c r="Q721" s="182"/>
      <c r="R721" s="182"/>
      <c r="S721" s="182"/>
      <c r="T721" s="182"/>
      <c r="U721" s="182"/>
      <c r="V721" s="182"/>
      <c r="W721" s="182"/>
      <c r="X721" s="182"/>
      <c r="Y721" s="182"/>
      <c r="Z721" s="182"/>
      <c r="AA721" s="182"/>
      <c r="AB721" s="182"/>
      <c r="AC721" s="182"/>
      <c r="AD721" s="182"/>
      <c r="AE721" s="184"/>
      <c r="AF721" s="183"/>
      <c r="AG721" s="183"/>
      <c r="AH721" s="183"/>
      <c r="AI721" s="183"/>
      <c r="AJ721" s="182"/>
      <c r="AK721" s="184"/>
      <c r="AL721" s="182"/>
      <c r="AM721" s="182"/>
      <c r="AN721" s="182"/>
      <c r="AO721" s="182"/>
      <c r="AP721" s="182"/>
      <c r="AQ721" s="182"/>
      <c r="AR721" s="182"/>
    </row>
    <row r="722" spans="1:44">
      <c r="A722" s="182"/>
      <c r="B722" s="182"/>
      <c r="C722" s="182"/>
      <c r="D722" s="182"/>
      <c r="E722" s="182"/>
      <c r="F722" s="182"/>
      <c r="G722" s="182"/>
      <c r="H722" s="182"/>
      <c r="I722" s="182"/>
      <c r="J722" s="182"/>
      <c r="K722" s="182"/>
      <c r="L722" s="182"/>
      <c r="M722" s="182"/>
      <c r="N722" s="177"/>
      <c r="O722" s="182"/>
      <c r="P722" s="179"/>
      <c r="Q722" s="182"/>
      <c r="R722" s="182"/>
      <c r="S722" s="182"/>
      <c r="T722" s="182"/>
      <c r="U722" s="182"/>
      <c r="V722" s="182"/>
      <c r="W722" s="182"/>
      <c r="X722" s="182"/>
      <c r="Y722" s="182"/>
      <c r="Z722" s="182"/>
      <c r="AA722" s="182"/>
      <c r="AB722" s="182"/>
      <c r="AC722" s="182"/>
      <c r="AD722" s="182"/>
      <c r="AE722" s="184"/>
      <c r="AF722" s="183"/>
      <c r="AG722" s="183"/>
      <c r="AH722" s="183"/>
      <c r="AI722" s="183"/>
      <c r="AJ722" s="182"/>
      <c r="AK722" s="184"/>
      <c r="AL722" s="182"/>
      <c r="AM722" s="182"/>
      <c r="AN722" s="182"/>
      <c r="AO722" s="182"/>
      <c r="AP722" s="182"/>
      <c r="AQ722" s="182"/>
      <c r="AR722" s="182"/>
    </row>
    <row r="723" spans="1:44">
      <c r="A723" s="182"/>
      <c r="B723" s="182"/>
      <c r="C723" s="182"/>
      <c r="D723" s="182"/>
      <c r="E723" s="182"/>
      <c r="F723" s="182"/>
      <c r="G723" s="182"/>
      <c r="H723" s="182"/>
      <c r="I723" s="182"/>
      <c r="J723" s="182"/>
      <c r="K723" s="182"/>
      <c r="L723" s="182"/>
      <c r="M723" s="182"/>
      <c r="N723" s="177"/>
      <c r="O723" s="182"/>
      <c r="P723" s="179"/>
      <c r="Q723" s="182"/>
      <c r="R723" s="182"/>
      <c r="S723" s="182"/>
      <c r="T723" s="182"/>
      <c r="U723" s="182"/>
      <c r="V723" s="182"/>
      <c r="W723" s="182"/>
      <c r="X723" s="182"/>
      <c r="Y723" s="182"/>
      <c r="Z723" s="182"/>
      <c r="AA723" s="182"/>
      <c r="AB723" s="182"/>
      <c r="AC723" s="182"/>
      <c r="AD723" s="182"/>
      <c r="AE723" s="184"/>
      <c r="AF723" s="183"/>
      <c r="AG723" s="183"/>
      <c r="AH723" s="183"/>
      <c r="AI723" s="183"/>
      <c r="AJ723" s="182"/>
      <c r="AK723" s="184"/>
      <c r="AL723" s="182"/>
      <c r="AM723" s="182"/>
      <c r="AN723" s="182"/>
      <c r="AO723" s="182"/>
      <c r="AP723" s="182"/>
      <c r="AQ723" s="182"/>
      <c r="AR723" s="182"/>
    </row>
    <row r="724" spans="1:44">
      <c r="A724" s="182"/>
      <c r="B724" s="182"/>
      <c r="C724" s="182"/>
      <c r="D724" s="182"/>
      <c r="E724" s="182"/>
      <c r="F724" s="182"/>
      <c r="G724" s="182"/>
      <c r="H724" s="182"/>
      <c r="I724" s="182"/>
      <c r="J724" s="182"/>
      <c r="K724" s="182"/>
      <c r="L724" s="182"/>
      <c r="M724" s="182"/>
      <c r="N724" s="177"/>
      <c r="O724" s="182"/>
      <c r="P724" s="179"/>
      <c r="Q724" s="182"/>
      <c r="R724" s="182"/>
      <c r="S724" s="182"/>
      <c r="T724" s="182"/>
      <c r="U724" s="182"/>
      <c r="V724" s="182"/>
      <c r="W724" s="182"/>
      <c r="X724" s="182"/>
      <c r="Y724" s="182"/>
      <c r="Z724" s="182"/>
      <c r="AA724" s="182"/>
      <c r="AB724" s="182"/>
      <c r="AC724" s="182"/>
      <c r="AD724" s="182"/>
      <c r="AE724" s="184"/>
      <c r="AF724" s="183"/>
      <c r="AG724" s="183"/>
      <c r="AH724" s="183"/>
      <c r="AI724" s="183"/>
      <c r="AJ724" s="182"/>
      <c r="AK724" s="184"/>
      <c r="AL724" s="182"/>
      <c r="AM724" s="182"/>
      <c r="AN724" s="182"/>
      <c r="AO724" s="182"/>
      <c r="AP724" s="182"/>
      <c r="AQ724" s="182"/>
      <c r="AR724" s="182"/>
    </row>
    <row r="725" spans="1:44">
      <c r="A725" s="182"/>
      <c r="B725" s="182"/>
      <c r="C725" s="182"/>
      <c r="D725" s="182"/>
      <c r="E725" s="182"/>
      <c r="F725" s="182"/>
      <c r="G725" s="182"/>
      <c r="H725" s="182"/>
      <c r="I725" s="182"/>
      <c r="J725" s="182"/>
      <c r="K725" s="182"/>
      <c r="L725" s="182"/>
      <c r="M725" s="182"/>
      <c r="N725" s="177"/>
      <c r="O725" s="182"/>
      <c r="P725" s="179"/>
      <c r="Q725" s="182"/>
      <c r="R725" s="182"/>
      <c r="S725" s="182"/>
      <c r="T725" s="182"/>
      <c r="U725" s="182"/>
      <c r="V725" s="182"/>
      <c r="W725" s="182"/>
      <c r="X725" s="182"/>
      <c r="Y725" s="182"/>
      <c r="Z725" s="182"/>
      <c r="AA725" s="182"/>
      <c r="AB725" s="182"/>
      <c r="AC725" s="182"/>
      <c r="AD725" s="182"/>
      <c r="AE725" s="184"/>
      <c r="AF725" s="183"/>
      <c r="AG725" s="183"/>
      <c r="AH725" s="183"/>
      <c r="AI725" s="183"/>
      <c r="AJ725" s="182"/>
      <c r="AK725" s="184"/>
      <c r="AL725" s="182"/>
      <c r="AM725" s="182"/>
      <c r="AN725" s="182"/>
      <c r="AO725" s="182"/>
      <c r="AP725" s="182"/>
      <c r="AQ725" s="182"/>
      <c r="AR725" s="182"/>
    </row>
    <row r="726" spans="1:44">
      <c r="A726" s="182"/>
      <c r="B726" s="182"/>
      <c r="C726" s="182"/>
      <c r="D726" s="182"/>
      <c r="E726" s="182"/>
      <c r="F726" s="182"/>
      <c r="G726" s="182"/>
      <c r="H726" s="182"/>
      <c r="I726" s="182"/>
      <c r="J726" s="182"/>
      <c r="K726" s="182"/>
      <c r="L726" s="182"/>
      <c r="M726" s="182"/>
      <c r="N726" s="177"/>
      <c r="O726" s="182"/>
      <c r="P726" s="179"/>
      <c r="Q726" s="182"/>
      <c r="R726" s="182"/>
      <c r="S726" s="182"/>
      <c r="T726" s="182"/>
      <c r="U726" s="182"/>
      <c r="V726" s="182"/>
      <c r="W726" s="182"/>
      <c r="X726" s="182"/>
      <c r="Y726" s="182"/>
      <c r="Z726" s="182"/>
      <c r="AA726" s="182"/>
      <c r="AB726" s="182"/>
      <c r="AC726" s="182"/>
      <c r="AD726" s="182"/>
      <c r="AE726" s="184"/>
      <c r="AF726" s="183"/>
      <c r="AG726" s="183"/>
      <c r="AH726" s="183"/>
      <c r="AI726" s="183"/>
      <c r="AJ726" s="182"/>
      <c r="AK726" s="184"/>
      <c r="AL726" s="182"/>
      <c r="AM726" s="182"/>
      <c r="AN726" s="182"/>
      <c r="AO726" s="182"/>
      <c r="AP726" s="182"/>
      <c r="AQ726" s="182"/>
      <c r="AR726" s="182"/>
    </row>
    <row r="727" spans="1:44">
      <c r="A727" s="182"/>
      <c r="B727" s="182"/>
      <c r="C727" s="182"/>
      <c r="D727" s="182"/>
      <c r="E727" s="182"/>
      <c r="F727" s="182"/>
      <c r="G727" s="182"/>
      <c r="H727" s="182"/>
      <c r="I727" s="182"/>
      <c r="J727" s="182"/>
      <c r="K727" s="182"/>
      <c r="L727" s="182"/>
      <c r="M727" s="182"/>
      <c r="N727" s="177"/>
      <c r="O727" s="182"/>
      <c r="P727" s="179"/>
      <c r="Q727" s="182"/>
      <c r="R727" s="182"/>
      <c r="S727" s="182"/>
      <c r="T727" s="182"/>
      <c r="U727" s="182"/>
      <c r="V727" s="182"/>
      <c r="W727" s="182"/>
      <c r="X727" s="182"/>
      <c r="Y727" s="182"/>
      <c r="Z727" s="182"/>
      <c r="AA727" s="182"/>
      <c r="AB727" s="182"/>
      <c r="AC727" s="182"/>
      <c r="AD727" s="182"/>
      <c r="AE727" s="184"/>
      <c r="AF727" s="183"/>
      <c r="AG727" s="183"/>
      <c r="AH727" s="183"/>
      <c r="AI727" s="183"/>
      <c r="AJ727" s="182"/>
      <c r="AK727" s="184"/>
      <c r="AL727" s="182"/>
      <c r="AM727" s="182"/>
      <c r="AN727" s="182"/>
      <c r="AO727" s="182"/>
      <c r="AP727" s="182"/>
      <c r="AQ727" s="182"/>
      <c r="AR727" s="182"/>
    </row>
    <row r="728" spans="1:44">
      <c r="A728" s="182"/>
      <c r="B728" s="182"/>
      <c r="C728" s="182"/>
      <c r="D728" s="182"/>
      <c r="E728" s="182"/>
      <c r="F728" s="182"/>
      <c r="G728" s="182"/>
      <c r="H728" s="182"/>
      <c r="I728" s="182"/>
      <c r="J728" s="182"/>
      <c r="K728" s="182"/>
      <c r="L728" s="182"/>
      <c r="M728" s="182"/>
      <c r="N728" s="177"/>
      <c r="O728" s="182"/>
      <c r="P728" s="179"/>
      <c r="Q728" s="182"/>
      <c r="R728" s="182"/>
      <c r="S728" s="182"/>
      <c r="T728" s="182"/>
      <c r="U728" s="182"/>
      <c r="V728" s="182"/>
      <c r="W728" s="182"/>
      <c r="X728" s="182"/>
      <c r="Y728" s="182"/>
      <c r="Z728" s="182"/>
      <c r="AA728" s="182"/>
      <c r="AB728" s="182"/>
      <c r="AC728" s="182"/>
      <c r="AD728" s="182"/>
      <c r="AE728" s="184"/>
      <c r="AF728" s="183"/>
      <c r="AG728" s="183"/>
      <c r="AH728" s="183"/>
      <c r="AI728" s="183"/>
      <c r="AJ728" s="182"/>
      <c r="AK728" s="184"/>
      <c r="AL728" s="182"/>
      <c r="AM728" s="182"/>
      <c r="AN728" s="182"/>
      <c r="AO728" s="182"/>
      <c r="AP728" s="182"/>
      <c r="AQ728" s="182"/>
      <c r="AR728" s="182"/>
    </row>
    <row r="729" spans="1:44">
      <c r="A729" s="182"/>
      <c r="B729" s="182"/>
      <c r="C729" s="182"/>
      <c r="D729" s="182"/>
      <c r="E729" s="182"/>
      <c r="F729" s="182"/>
      <c r="G729" s="182"/>
      <c r="H729" s="182"/>
      <c r="I729" s="182"/>
      <c r="J729" s="182"/>
      <c r="K729" s="182"/>
      <c r="L729" s="182"/>
      <c r="M729" s="182"/>
      <c r="N729" s="177"/>
      <c r="O729" s="182"/>
      <c r="P729" s="179"/>
      <c r="Q729" s="182"/>
      <c r="R729" s="182"/>
      <c r="S729" s="182"/>
      <c r="T729" s="182"/>
      <c r="U729" s="182"/>
      <c r="V729" s="182"/>
      <c r="W729" s="182"/>
      <c r="X729" s="182"/>
      <c r="Y729" s="182"/>
      <c r="Z729" s="182"/>
      <c r="AA729" s="182"/>
      <c r="AB729" s="182"/>
      <c r="AC729" s="182"/>
      <c r="AD729" s="182"/>
      <c r="AE729" s="184"/>
      <c r="AF729" s="183"/>
      <c r="AG729" s="183"/>
      <c r="AH729" s="183"/>
      <c r="AI729" s="183"/>
      <c r="AJ729" s="182"/>
      <c r="AK729" s="184"/>
      <c r="AL729" s="182"/>
      <c r="AM729" s="182"/>
      <c r="AN729" s="182"/>
      <c r="AO729" s="182"/>
      <c r="AP729" s="182"/>
      <c r="AQ729" s="182"/>
      <c r="AR729" s="182"/>
    </row>
    <row r="730" spans="1:44">
      <c r="A730" s="182"/>
      <c r="B730" s="182"/>
      <c r="C730" s="182"/>
      <c r="D730" s="182"/>
      <c r="E730" s="182"/>
      <c r="F730" s="182"/>
      <c r="G730" s="182"/>
      <c r="H730" s="182"/>
      <c r="I730" s="182"/>
      <c r="J730" s="182"/>
      <c r="K730" s="182"/>
      <c r="L730" s="182"/>
      <c r="M730" s="182"/>
      <c r="N730" s="177"/>
      <c r="O730" s="182"/>
      <c r="P730" s="179"/>
      <c r="Q730" s="182"/>
      <c r="R730" s="182"/>
      <c r="S730" s="182"/>
      <c r="T730" s="182"/>
      <c r="U730" s="182"/>
      <c r="V730" s="182"/>
      <c r="W730" s="182"/>
      <c r="X730" s="182"/>
      <c r="Y730" s="182"/>
      <c r="Z730" s="182"/>
      <c r="AA730" s="182"/>
      <c r="AB730" s="182"/>
      <c r="AC730" s="182"/>
      <c r="AD730" s="182"/>
      <c r="AE730" s="184"/>
      <c r="AF730" s="183"/>
      <c r="AG730" s="183"/>
      <c r="AH730" s="183"/>
      <c r="AI730" s="183"/>
      <c r="AJ730" s="182"/>
      <c r="AK730" s="184"/>
      <c r="AL730" s="182"/>
      <c r="AM730" s="182"/>
      <c r="AN730" s="182"/>
      <c r="AO730" s="182"/>
      <c r="AP730" s="182"/>
      <c r="AQ730" s="182"/>
      <c r="AR730" s="182"/>
    </row>
    <row r="731" spans="1:44">
      <c r="A731" s="182"/>
      <c r="B731" s="182"/>
      <c r="C731" s="182"/>
      <c r="D731" s="182"/>
      <c r="E731" s="182"/>
      <c r="F731" s="182"/>
      <c r="G731" s="182"/>
      <c r="H731" s="182"/>
      <c r="I731" s="182"/>
      <c r="J731" s="182"/>
      <c r="K731" s="182"/>
      <c r="L731" s="182"/>
      <c r="M731" s="182"/>
      <c r="N731" s="177"/>
      <c r="O731" s="182"/>
      <c r="P731" s="179"/>
      <c r="Q731" s="182"/>
      <c r="R731" s="182"/>
      <c r="S731" s="182"/>
      <c r="T731" s="182"/>
      <c r="U731" s="182"/>
      <c r="V731" s="182"/>
      <c r="W731" s="182"/>
      <c r="X731" s="182"/>
      <c r="Y731" s="182"/>
      <c r="Z731" s="182"/>
      <c r="AA731" s="182"/>
      <c r="AB731" s="182"/>
      <c r="AC731" s="182"/>
      <c r="AD731" s="182"/>
      <c r="AE731" s="184"/>
      <c r="AF731" s="183"/>
      <c r="AG731" s="183"/>
      <c r="AH731" s="183"/>
      <c r="AI731" s="183"/>
      <c r="AJ731" s="182"/>
      <c r="AK731" s="184"/>
      <c r="AL731" s="182"/>
      <c r="AM731" s="182"/>
      <c r="AN731" s="182"/>
      <c r="AO731" s="182"/>
      <c r="AP731" s="182"/>
      <c r="AQ731" s="182"/>
      <c r="AR731" s="182"/>
    </row>
    <row r="732" spans="1:44">
      <c r="A732" s="182"/>
      <c r="B732" s="182"/>
      <c r="C732" s="182"/>
      <c r="D732" s="182"/>
      <c r="E732" s="182"/>
      <c r="F732" s="182"/>
      <c r="G732" s="182"/>
      <c r="H732" s="182"/>
      <c r="I732" s="182"/>
      <c r="J732" s="182"/>
      <c r="K732" s="182"/>
      <c r="L732" s="182"/>
      <c r="M732" s="182"/>
      <c r="N732" s="177"/>
      <c r="O732" s="182"/>
      <c r="P732" s="179"/>
      <c r="Q732" s="182"/>
      <c r="R732" s="182"/>
      <c r="S732" s="182"/>
      <c r="T732" s="182"/>
      <c r="U732" s="182"/>
      <c r="V732" s="182"/>
      <c r="W732" s="182"/>
      <c r="X732" s="182"/>
      <c r="Y732" s="182"/>
      <c r="Z732" s="182"/>
      <c r="AA732" s="182"/>
      <c r="AB732" s="182"/>
      <c r="AC732" s="182"/>
      <c r="AD732" s="182"/>
      <c r="AE732" s="184"/>
      <c r="AF732" s="183"/>
      <c r="AG732" s="183"/>
      <c r="AH732" s="183"/>
      <c r="AI732" s="183"/>
      <c r="AJ732" s="182"/>
      <c r="AK732" s="184"/>
      <c r="AL732" s="182"/>
      <c r="AM732" s="182"/>
      <c r="AN732" s="182"/>
      <c r="AO732" s="182"/>
      <c r="AP732" s="182"/>
      <c r="AQ732" s="182"/>
      <c r="AR732" s="182"/>
    </row>
    <row r="733" spans="1:44">
      <c r="A733" s="182"/>
      <c r="B733" s="182"/>
      <c r="C733" s="182"/>
      <c r="D733" s="182"/>
      <c r="E733" s="182"/>
      <c r="F733" s="182"/>
      <c r="G733" s="182"/>
      <c r="H733" s="182"/>
      <c r="I733" s="182"/>
      <c r="J733" s="182"/>
      <c r="K733" s="182"/>
      <c r="L733" s="182"/>
      <c r="M733" s="182"/>
      <c r="N733" s="177"/>
      <c r="O733" s="182"/>
      <c r="P733" s="179"/>
      <c r="Q733" s="182"/>
      <c r="R733" s="182"/>
      <c r="S733" s="182"/>
      <c r="T733" s="182"/>
      <c r="U733" s="182"/>
      <c r="V733" s="182"/>
      <c r="W733" s="182"/>
      <c r="X733" s="182"/>
      <c r="Y733" s="182"/>
      <c r="Z733" s="182"/>
      <c r="AA733" s="182"/>
      <c r="AB733" s="182"/>
      <c r="AC733" s="182"/>
      <c r="AD733" s="182"/>
      <c r="AE733" s="184"/>
      <c r="AF733" s="183"/>
      <c r="AG733" s="183"/>
      <c r="AH733" s="183"/>
      <c r="AI733" s="183"/>
      <c r="AJ733" s="182"/>
      <c r="AK733" s="184"/>
      <c r="AL733" s="182"/>
      <c r="AM733" s="182"/>
      <c r="AN733" s="182"/>
      <c r="AO733" s="182"/>
      <c r="AP733" s="182"/>
      <c r="AQ733" s="182"/>
      <c r="AR733" s="182"/>
    </row>
    <row r="734" spans="1:44">
      <c r="A734" s="182"/>
      <c r="B734" s="182"/>
      <c r="C734" s="182"/>
      <c r="D734" s="182"/>
      <c r="E734" s="182"/>
      <c r="F734" s="182"/>
      <c r="G734" s="182"/>
      <c r="H734" s="182"/>
      <c r="I734" s="182"/>
      <c r="J734" s="182"/>
      <c r="K734" s="182"/>
      <c r="L734" s="182"/>
      <c r="M734" s="182"/>
      <c r="N734" s="177"/>
      <c r="O734" s="182"/>
      <c r="P734" s="179"/>
      <c r="Q734" s="182"/>
      <c r="R734" s="182"/>
      <c r="S734" s="182"/>
      <c r="T734" s="182"/>
      <c r="U734" s="182"/>
      <c r="V734" s="182"/>
      <c r="W734" s="182"/>
      <c r="X734" s="182"/>
      <c r="Y734" s="182"/>
      <c r="Z734" s="182"/>
      <c r="AA734" s="182"/>
      <c r="AB734" s="182"/>
      <c r="AC734" s="182"/>
      <c r="AD734" s="182"/>
      <c r="AE734" s="184"/>
      <c r="AF734" s="183"/>
      <c r="AG734" s="183"/>
      <c r="AH734" s="183"/>
      <c r="AI734" s="183"/>
      <c r="AJ734" s="182"/>
      <c r="AK734" s="184"/>
      <c r="AL734" s="182"/>
      <c r="AM734" s="182"/>
      <c r="AN734" s="182"/>
      <c r="AO734" s="182"/>
      <c r="AP734" s="182"/>
      <c r="AQ734" s="182"/>
      <c r="AR734" s="182"/>
    </row>
    <row r="735" spans="1:44">
      <c r="A735" s="182"/>
      <c r="B735" s="182"/>
      <c r="C735" s="182"/>
      <c r="D735" s="182"/>
      <c r="E735" s="182"/>
      <c r="F735" s="182"/>
      <c r="G735" s="182"/>
      <c r="H735" s="182"/>
      <c r="I735" s="182"/>
      <c r="J735" s="182"/>
      <c r="K735" s="182"/>
      <c r="L735" s="182"/>
      <c r="M735" s="182"/>
      <c r="N735" s="177"/>
      <c r="O735" s="182"/>
      <c r="P735" s="179"/>
      <c r="Q735" s="182"/>
      <c r="R735" s="182"/>
      <c r="S735" s="182"/>
      <c r="T735" s="182"/>
      <c r="U735" s="182"/>
      <c r="V735" s="182"/>
      <c r="W735" s="182"/>
      <c r="X735" s="182"/>
      <c r="Y735" s="182"/>
      <c r="Z735" s="182"/>
      <c r="AA735" s="182"/>
      <c r="AB735" s="182"/>
      <c r="AC735" s="182"/>
      <c r="AD735" s="182"/>
      <c r="AE735" s="184"/>
      <c r="AF735" s="183"/>
      <c r="AG735" s="183"/>
      <c r="AH735" s="183"/>
      <c r="AI735" s="183"/>
      <c r="AJ735" s="182"/>
      <c r="AK735" s="184"/>
      <c r="AL735" s="182"/>
      <c r="AM735" s="182"/>
      <c r="AN735" s="182"/>
      <c r="AO735" s="182"/>
      <c r="AP735" s="182"/>
      <c r="AQ735" s="182"/>
      <c r="AR735" s="182"/>
    </row>
    <row r="736" spans="1:44">
      <c r="A736" s="182"/>
      <c r="B736" s="182"/>
      <c r="C736" s="182"/>
      <c r="D736" s="182"/>
      <c r="E736" s="182"/>
      <c r="F736" s="182"/>
      <c r="G736" s="182"/>
      <c r="H736" s="182"/>
      <c r="I736" s="182"/>
      <c r="J736" s="182"/>
      <c r="K736" s="182"/>
      <c r="L736" s="182"/>
      <c r="M736" s="182"/>
      <c r="N736" s="177"/>
      <c r="O736" s="182"/>
      <c r="P736" s="179"/>
      <c r="Q736" s="182"/>
      <c r="R736" s="182"/>
      <c r="S736" s="182"/>
      <c r="T736" s="182"/>
      <c r="U736" s="182"/>
      <c r="V736" s="182"/>
      <c r="W736" s="182"/>
      <c r="X736" s="182"/>
      <c r="Y736" s="182"/>
      <c r="Z736" s="182"/>
      <c r="AA736" s="182"/>
      <c r="AB736" s="182"/>
      <c r="AC736" s="182"/>
      <c r="AD736" s="182"/>
      <c r="AE736" s="184"/>
      <c r="AF736" s="183"/>
      <c r="AG736" s="183"/>
      <c r="AH736" s="183"/>
      <c r="AI736" s="183"/>
      <c r="AJ736" s="182"/>
      <c r="AK736" s="184"/>
      <c r="AL736" s="182"/>
      <c r="AM736" s="182"/>
      <c r="AN736" s="182"/>
      <c r="AO736" s="182"/>
      <c r="AP736" s="182"/>
      <c r="AQ736" s="182"/>
      <c r="AR736" s="182"/>
    </row>
    <row r="737" spans="1:44">
      <c r="A737" s="182"/>
      <c r="B737" s="182"/>
      <c r="C737" s="182"/>
      <c r="D737" s="182"/>
      <c r="E737" s="182"/>
      <c r="F737" s="182"/>
      <c r="G737" s="182"/>
      <c r="H737" s="182"/>
      <c r="I737" s="182"/>
      <c r="J737" s="182"/>
      <c r="K737" s="182"/>
      <c r="L737" s="182"/>
      <c r="M737" s="182"/>
      <c r="N737" s="177"/>
      <c r="O737" s="182"/>
      <c r="P737" s="179"/>
      <c r="Q737" s="182"/>
      <c r="R737" s="182"/>
      <c r="S737" s="182"/>
      <c r="T737" s="182"/>
      <c r="U737" s="182"/>
      <c r="V737" s="182"/>
      <c r="W737" s="182"/>
      <c r="X737" s="182"/>
      <c r="Y737" s="182"/>
      <c r="Z737" s="182"/>
      <c r="AA737" s="182"/>
      <c r="AB737" s="182"/>
      <c r="AC737" s="182"/>
      <c r="AD737" s="182"/>
      <c r="AE737" s="184"/>
      <c r="AF737" s="183"/>
      <c r="AG737" s="183"/>
      <c r="AH737" s="183"/>
      <c r="AI737" s="183"/>
      <c r="AJ737" s="182"/>
      <c r="AK737" s="184"/>
      <c r="AL737" s="182"/>
      <c r="AM737" s="182"/>
      <c r="AN737" s="182"/>
      <c r="AO737" s="182"/>
      <c r="AP737" s="182"/>
      <c r="AQ737" s="182"/>
      <c r="AR737" s="182"/>
    </row>
    <row r="738" spans="1:44">
      <c r="A738" s="182"/>
      <c r="B738" s="182"/>
      <c r="C738" s="182"/>
      <c r="D738" s="182"/>
      <c r="E738" s="182"/>
      <c r="F738" s="182"/>
      <c r="G738" s="182"/>
      <c r="H738" s="182"/>
      <c r="I738" s="182"/>
      <c r="J738" s="182"/>
      <c r="K738" s="182"/>
      <c r="L738" s="182"/>
      <c r="M738" s="182"/>
      <c r="N738" s="177"/>
      <c r="O738" s="182"/>
      <c r="P738" s="179"/>
      <c r="Q738" s="182"/>
      <c r="R738" s="182"/>
      <c r="S738" s="182"/>
      <c r="T738" s="182"/>
      <c r="U738" s="182"/>
      <c r="V738" s="182"/>
      <c r="W738" s="182"/>
      <c r="X738" s="182"/>
      <c r="Y738" s="182"/>
      <c r="Z738" s="182"/>
      <c r="AA738" s="182"/>
      <c r="AB738" s="182"/>
      <c r="AC738" s="182"/>
      <c r="AD738" s="182"/>
      <c r="AE738" s="184"/>
      <c r="AF738" s="183"/>
      <c r="AG738" s="183"/>
      <c r="AH738" s="183"/>
      <c r="AI738" s="183"/>
      <c r="AJ738" s="182"/>
      <c r="AK738" s="184"/>
      <c r="AL738" s="182"/>
      <c r="AM738" s="182"/>
      <c r="AN738" s="182"/>
      <c r="AO738" s="182"/>
      <c r="AP738" s="182"/>
      <c r="AQ738" s="182"/>
      <c r="AR738" s="182"/>
    </row>
    <row r="739" spans="1:44">
      <c r="A739" s="182"/>
      <c r="B739" s="182"/>
      <c r="C739" s="182"/>
      <c r="D739" s="182"/>
      <c r="E739" s="182"/>
      <c r="F739" s="182"/>
      <c r="G739" s="182"/>
      <c r="H739" s="182"/>
      <c r="I739" s="182"/>
      <c r="J739" s="182"/>
      <c r="K739" s="182"/>
      <c r="L739" s="182"/>
      <c r="M739" s="182"/>
      <c r="N739" s="177"/>
      <c r="O739" s="182"/>
      <c r="P739" s="179"/>
      <c r="Q739" s="182"/>
      <c r="R739" s="182"/>
      <c r="S739" s="182"/>
      <c r="T739" s="182"/>
      <c r="U739" s="182"/>
      <c r="V739" s="182"/>
      <c r="W739" s="182"/>
      <c r="X739" s="182"/>
      <c r="Y739" s="182"/>
      <c r="Z739" s="182"/>
      <c r="AA739" s="182"/>
      <c r="AB739" s="182"/>
      <c r="AC739" s="182"/>
      <c r="AD739" s="182"/>
      <c r="AE739" s="184"/>
      <c r="AF739" s="183"/>
      <c r="AG739" s="183"/>
      <c r="AH739" s="183"/>
      <c r="AI739" s="183"/>
      <c r="AJ739" s="182"/>
      <c r="AK739" s="184"/>
      <c r="AL739" s="182"/>
      <c r="AM739" s="182"/>
      <c r="AN739" s="182"/>
      <c r="AO739" s="182"/>
      <c r="AP739" s="182"/>
      <c r="AQ739" s="182"/>
      <c r="AR739" s="182"/>
    </row>
    <row r="740" spans="1:44">
      <c r="A740" s="182"/>
      <c r="B740" s="182"/>
      <c r="C740" s="182"/>
      <c r="D740" s="182"/>
      <c r="E740" s="182"/>
      <c r="F740" s="182"/>
      <c r="G740" s="182"/>
      <c r="H740" s="182"/>
      <c r="I740" s="182"/>
      <c r="J740" s="182"/>
      <c r="K740" s="182"/>
      <c r="L740" s="182"/>
      <c r="M740" s="182"/>
      <c r="N740" s="177"/>
      <c r="O740" s="182"/>
      <c r="P740" s="179"/>
      <c r="Q740" s="182"/>
      <c r="R740" s="182"/>
      <c r="S740" s="182"/>
      <c r="T740" s="182"/>
      <c r="U740" s="182"/>
      <c r="V740" s="182"/>
      <c r="W740" s="182"/>
      <c r="X740" s="182"/>
      <c r="Y740" s="182"/>
      <c r="Z740" s="182"/>
      <c r="AA740" s="182"/>
      <c r="AB740" s="182"/>
      <c r="AC740" s="182"/>
      <c r="AD740" s="182"/>
      <c r="AE740" s="184"/>
      <c r="AF740" s="183"/>
      <c r="AG740" s="183"/>
      <c r="AH740" s="183"/>
      <c r="AI740" s="183"/>
      <c r="AJ740" s="182"/>
      <c r="AK740" s="184"/>
      <c r="AL740" s="182"/>
      <c r="AM740" s="182"/>
      <c r="AN740" s="182"/>
      <c r="AO740" s="182"/>
      <c r="AP740" s="182"/>
      <c r="AQ740" s="182"/>
      <c r="AR740" s="182"/>
    </row>
    <row r="741" spans="1:44">
      <c r="A741" s="182"/>
      <c r="B741" s="182"/>
      <c r="C741" s="182"/>
      <c r="D741" s="182"/>
      <c r="E741" s="182"/>
      <c r="F741" s="182"/>
      <c r="G741" s="182"/>
      <c r="H741" s="182"/>
      <c r="I741" s="182"/>
      <c r="J741" s="182"/>
      <c r="K741" s="182"/>
      <c r="L741" s="182"/>
      <c r="M741" s="182"/>
      <c r="N741" s="177"/>
      <c r="O741" s="182"/>
      <c r="P741" s="179"/>
      <c r="Q741" s="182"/>
      <c r="R741" s="182"/>
      <c r="S741" s="182"/>
      <c r="T741" s="182"/>
      <c r="U741" s="182"/>
      <c r="V741" s="182"/>
      <c r="W741" s="182"/>
      <c r="X741" s="182"/>
      <c r="Y741" s="182"/>
      <c r="Z741" s="182"/>
      <c r="AA741" s="182"/>
      <c r="AB741" s="182"/>
      <c r="AC741" s="182"/>
      <c r="AD741" s="182"/>
      <c r="AE741" s="184"/>
      <c r="AF741" s="183"/>
      <c r="AG741" s="183"/>
      <c r="AH741" s="183"/>
      <c r="AI741" s="183"/>
      <c r="AJ741" s="182"/>
      <c r="AK741" s="184"/>
      <c r="AL741" s="182"/>
      <c r="AM741" s="182"/>
      <c r="AN741" s="182"/>
      <c r="AO741" s="182"/>
      <c r="AP741" s="182"/>
      <c r="AQ741" s="182"/>
      <c r="AR741" s="182"/>
    </row>
    <row r="742" spans="1:44">
      <c r="A742" s="182"/>
      <c r="B742" s="182"/>
      <c r="C742" s="182"/>
      <c r="D742" s="182"/>
      <c r="E742" s="182"/>
      <c r="F742" s="182"/>
      <c r="G742" s="182"/>
      <c r="H742" s="182"/>
      <c r="I742" s="182"/>
      <c r="J742" s="182"/>
      <c r="K742" s="182"/>
      <c r="L742" s="182"/>
      <c r="M742" s="182"/>
      <c r="N742" s="177"/>
      <c r="O742" s="182"/>
      <c r="P742" s="179"/>
      <c r="Q742" s="182"/>
      <c r="R742" s="182"/>
      <c r="S742" s="182"/>
      <c r="T742" s="182"/>
      <c r="U742" s="182"/>
      <c r="V742" s="182"/>
      <c r="W742" s="182"/>
      <c r="X742" s="182"/>
      <c r="Y742" s="182"/>
      <c r="Z742" s="182"/>
      <c r="AA742" s="182"/>
      <c r="AB742" s="182"/>
      <c r="AC742" s="182"/>
      <c r="AD742" s="182"/>
      <c r="AE742" s="184"/>
      <c r="AF742" s="183"/>
      <c r="AG742" s="183"/>
      <c r="AH742" s="183"/>
      <c r="AI742" s="183"/>
      <c r="AJ742" s="182"/>
      <c r="AK742" s="184"/>
      <c r="AL742" s="182"/>
      <c r="AM742" s="182"/>
      <c r="AN742" s="182"/>
      <c r="AO742" s="182"/>
      <c r="AP742" s="182"/>
      <c r="AQ742" s="182"/>
      <c r="AR742" s="182"/>
    </row>
    <row r="743" spans="1:44">
      <c r="A743" s="182"/>
      <c r="B743" s="182"/>
      <c r="C743" s="182"/>
      <c r="D743" s="182"/>
      <c r="E743" s="182"/>
      <c r="F743" s="182"/>
      <c r="G743" s="182"/>
      <c r="H743" s="182"/>
      <c r="I743" s="182"/>
      <c r="J743" s="182"/>
      <c r="K743" s="182"/>
      <c r="L743" s="182"/>
      <c r="M743" s="182"/>
      <c r="N743" s="177"/>
      <c r="O743" s="182"/>
      <c r="P743" s="179"/>
      <c r="Q743" s="182"/>
      <c r="R743" s="182"/>
      <c r="S743" s="182"/>
      <c r="T743" s="182"/>
      <c r="U743" s="182"/>
      <c r="V743" s="182"/>
      <c r="W743" s="182"/>
      <c r="X743" s="182"/>
      <c r="Y743" s="182"/>
      <c r="Z743" s="182"/>
      <c r="AA743" s="182"/>
      <c r="AB743" s="182"/>
      <c r="AC743" s="182"/>
      <c r="AD743" s="182"/>
      <c r="AE743" s="184"/>
      <c r="AF743" s="183"/>
      <c r="AG743" s="183"/>
      <c r="AH743" s="183"/>
      <c r="AI743" s="183"/>
      <c r="AJ743" s="182"/>
      <c r="AK743" s="184"/>
      <c r="AL743" s="182"/>
      <c r="AM743" s="182"/>
      <c r="AN743" s="182"/>
      <c r="AO743" s="182"/>
      <c r="AP743" s="182"/>
      <c r="AQ743" s="182"/>
      <c r="AR743" s="182"/>
    </row>
    <row r="744" spans="1:44">
      <c r="A744" s="182"/>
      <c r="B744" s="182"/>
      <c r="C744" s="182"/>
      <c r="D744" s="182"/>
      <c r="E744" s="182"/>
      <c r="F744" s="182"/>
      <c r="G744" s="182"/>
      <c r="H744" s="182"/>
      <c r="I744" s="182"/>
      <c r="J744" s="182"/>
      <c r="K744" s="182"/>
      <c r="L744" s="182"/>
      <c r="M744" s="182"/>
      <c r="N744" s="177"/>
      <c r="O744" s="182"/>
      <c r="P744" s="179"/>
      <c r="Q744" s="182"/>
      <c r="R744" s="182"/>
      <c r="S744" s="182"/>
      <c r="T744" s="182"/>
      <c r="U744" s="182"/>
      <c r="V744" s="182"/>
      <c r="W744" s="182"/>
      <c r="X744" s="182"/>
      <c r="Y744" s="182"/>
      <c r="Z744" s="182"/>
      <c r="AA744" s="182"/>
      <c r="AB744" s="182"/>
      <c r="AC744" s="182"/>
      <c r="AD744" s="182"/>
      <c r="AE744" s="184"/>
      <c r="AF744" s="183"/>
      <c r="AG744" s="183"/>
      <c r="AH744" s="183"/>
      <c r="AI744" s="183"/>
      <c r="AJ744" s="182"/>
      <c r="AK744" s="184"/>
      <c r="AL744" s="182"/>
      <c r="AM744" s="182"/>
      <c r="AN744" s="182"/>
      <c r="AO744" s="182"/>
      <c r="AP744" s="182"/>
      <c r="AQ744" s="182"/>
      <c r="AR744" s="182"/>
    </row>
    <row r="745" spans="1:44">
      <c r="A745" s="182"/>
      <c r="B745" s="182"/>
      <c r="C745" s="182"/>
      <c r="D745" s="182"/>
      <c r="E745" s="182"/>
      <c r="F745" s="182"/>
      <c r="G745" s="182"/>
      <c r="H745" s="182"/>
      <c r="I745" s="182"/>
      <c r="J745" s="182"/>
      <c r="K745" s="182"/>
      <c r="L745" s="182"/>
      <c r="M745" s="182"/>
      <c r="N745" s="177"/>
      <c r="O745" s="182"/>
      <c r="P745" s="179"/>
      <c r="Q745" s="182"/>
      <c r="R745" s="182"/>
      <c r="S745" s="182"/>
      <c r="T745" s="182"/>
      <c r="U745" s="182"/>
      <c r="V745" s="182"/>
      <c r="W745" s="182"/>
      <c r="X745" s="182"/>
      <c r="Y745" s="182"/>
      <c r="Z745" s="182"/>
      <c r="AA745" s="182"/>
      <c r="AB745" s="182"/>
      <c r="AC745" s="182"/>
      <c r="AD745" s="182"/>
      <c r="AE745" s="184"/>
      <c r="AF745" s="183"/>
      <c r="AG745" s="183"/>
      <c r="AH745" s="183"/>
      <c r="AI745" s="183"/>
      <c r="AJ745" s="182"/>
      <c r="AK745" s="184"/>
      <c r="AL745" s="182"/>
      <c r="AM745" s="182"/>
      <c r="AN745" s="182"/>
      <c r="AO745" s="182"/>
      <c r="AP745" s="182"/>
      <c r="AQ745" s="182"/>
      <c r="AR745" s="182"/>
    </row>
    <row r="746" spans="1:44">
      <c r="A746" s="182"/>
      <c r="B746" s="182"/>
      <c r="C746" s="182"/>
      <c r="D746" s="182"/>
      <c r="E746" s="182"/>
      <c r="F746" s="182"/>
      <c r="G746" s="182"/>
      <c r="H746" s="182"/>
      <c r="I746" s="182"/>
      <c r="J746" s="182"/>
      <c r="K746" s="182"/>
      <c r="L746" s="182"/>
      <c r="M746" s="182"/>
      <c r="N746" s="177"/>
      <c r="O746" s="182"/>
      <c r="P746" s="179"/>
      <c r="Q746" s="182"/>
      <c r="R746" s="182"/>
      <c r="S746" s="182"/>
      <c r="T746" s="182"/>
      <c r="U746" s="182"/>
      <c r="V746" s="182"/>
      <c r="W746" s="182"/>
      <c r="X746" s="182"/>
      <c r="Y746" s="182"/>
      <c r="Z746" s="182"/>
      <c r="AA746" s="182"/>
      <c r="AB746" s="182"/>
      <c r="AC746" s="182"/>
      <c r="AD746" s="182"/>
      <c r="AE746" s="184"/>
      <c r="AF746" s="183"/>
      <c r="AG746" s="183"/>
      <c r="AH746" s="183"/>
      <c r="AI746" s="183"/>
      <c r="AJ746" s="182"/>
      <c r="AK746" s="184"/>
      <c r="AL746" s="182"/>
      <c r="AM746" s="182"/>
      <c r="AN746" s="182"/>
      <c r="AO746" s="182"/>
      <c r="AP746" s="182"/>
      <c r="AQ746" s="182"/>
      <c r="AR746" s="182"/>
    </row>
    <row r="747" spans="1:44">
      <c r="A747" s="182"/>
      <c r="B747" s="182"/>
      <c r="C747" s="182"/>
      <c r="D747" s="182"/>
      <c r="E747" s="182"/>
      <c r="F747" s="182"/>
      <c r="G747" s="182"/>
      <c r="H747" s="182"/>
      <c r="I747" s="182"/>
      <c r="J747" s="182"/>
      <c r="K747" s="182"/>
      <c r="L747" s="182"/>
      <c r="M747" s="182"/>
      <c r="N747" s="177"/>
      <c r="O747" s="182"/>
      <c r="P747" s="179"/>
      <c r="Q747" s="182"/>
      <c r="R747" s="182"/>
      <c r="S747" s="182"/>
      <c r="T747" s="182"/>
      <c r="U747" s="182"/>
      <c r="V747" s="182"/>
      <c r="W747" s="182"/>
      <c r="X747" s="182"/>
      <c r="Y747" s="182"/>
      <c r="Z747" s="182"/>
      <c r="AA747" s="182"/>
      <c r="AB747" s="182"/>
      <c r="AC747" s="182"/>
      <c r="AD747" s="182"/>
      <c r="AE747" s="184"/>
      <c r="AF747" s="183"/>
      <c r="AG747" s="183"/>
      <c r="AH747" s="183"/>
      <c r="AI747" s="183"/>
      <c r="AJ747" s="182"/>
      <c r="AK747" s="184"/>
      <c r="AL747" s="182"/>
      <c r="AM747" s="182"/>
      <c r="AN747" s="182"/>
      <c r="AO747" s="182"/>
      <c r="AP747" s="182"/>
      <c r="AQ747" s="182"/>
      <c r="AR747" s="182"/>
    </row>
    <row r="748" spans="1:44">
      <c r="A748" s="182"/>
      <c r="B748" s="182"/>
      <c r="C748" s="182"/>
      <c r="D748" s="182"/>
      <c r="E748" s="182"/>
      <c r="F748" s="182"/>
      <c r="G748" s="182"/>
      <c r="H748" s="182"/>
      <c r="I748" s="182"/>
      <c r="J748" s="182"/>
      <c r="K748" s="182"/>
      <c r="L748" s="182"/>
      <c r="M748" s="182"/>
      <c r="N748" s="177"/>
      <c r="O748" s="182"/>
      <c r="P748" s="179"/>
      <c r="Q748" s="182"/>
      <c r="R748" s="182"/>
      <c r="S748" s="182"/>
      <c r="T748" s="182"/>
      <c r="U748" s="182"/>
      <c r="V748" s="182"/>
      <c r="W748" s="182"/>
      <c r="X748" s="182"/>
      <c r="Y748" s="182"/>
      <c r="Z748" s="182"/>
      <c r="AA748" s="182"/>
      <c r="AB748" s="182"/>
      <c r="AC748" s="182"/>
      <c r="AD748" s="182"/>
      <c r="AE748" s="184"/>
      <c r="AF748" s="183"/>
      <c r="AG748" s="183"/>
      <c r="AH748" s="183"/>
      <c r="AI748" s="183"/>
      <c r="AJ748" s="182"/>
      <c r="AK748" s="184"/>
      <c r="AL748" s="182"/>
      <c r="AM748" s="182"/>
      <c r="AN748" s="182"/>
      <c r="AO748" s="182"/>
      <c r="AP748" s="182"/>
      <c r="AQ748" s="182"/>
      <c r="AR748" s="182"/>
    </row>
    <row r="749" spans="1:44">
      <c r="A749" s="182"/>
      <c r="B749" s="182"/>
      <c r="C749" s="182"/>
      <c r="D749" s="182"/>
      <c r="E749" s="182"/>
      <c r="F749" s="182"/>
      <c r="G749" s="182"/>
      <c r="H749" s="182"/>
      <c r="I749" s="182"/>
      <c r="J749" s="182"/>
      <c r="K749" s="182"/>
      <c r="L749" s="182"/>
      <c r="M749" s="182"/>
      <c r="N749" s="177"/>
      <c r="O749" s="182"/>
      <c r="P749" s="179"/>
      <c r="Q749" s="182"/>
      <c r="R749" s="182"/>
      <c r="S749" s="182"/>
      <c r="T749" s="182"/>
      <c r="U749" s="182"/>
      <c r="V749" s="182"/>
      <c r="W749" s="182"/>
      <c r="X749" s="182"/>
      <c r="Y749" s="182"/>
      <c r="Z749" s="182"/>
      <c r="AA749" s="182"/>
      <c r="AB749" s="182"/>
      <c r="AC749" s="182"/>
      <c r="AD749" s="182"/>
      <c r="AE749" s="184"/>
      <c r="AF749" s="183"/>
      <c r="AG749" s="183"/>
      <c r="AH749" s="183"/>
      <c r="AI749" s="183"/>
      <c r="AJ749" s="182"/>
      <c r="AK749" s="184"/>
      <c r="AL749" s="182"/>
      <c r="AM749" s="182"/>
      <c r="AN749" s="182"/>
      <c r="AO749" s="182"/>
      <c r="AP749" s="182"/>
      <c r="AQ749" s="182"/>
      <c r="AR749" s="182"/>
    </row>
    <row r="750" spans="1:44">
      <c r="A750" s="182"/>
      <c r="B750" s="182"/>
      <c r="C750" s="182"/>
      <c r="D750" s="182"/>
      <c r="E750" s="182"/>
      <c r="F750" s="182"/>
      <c r="G750" s="182"/>
      <c r="H750" s="182"/>
      <c r="I750" s="182"/>
      <c r="J750" s="182"/>
      <c r="K750" s="182"/>
      <c r="L750" s="182"/>
      <c r="M750" s="182"/>
      <c r="N750" s="177"/>
      <c r="O750" s="182"/>
      <c r="P750" s="179"/>
      <c r="Q750" s="182"/>
      <c r="R750" s="182"/>
      <c r="S750" s="182"/>
      <c r="T750" s="182"/>
      <c r="U750" s="182"/>
      <c r="V750" s="182"/>
      <c r="W750" s="182"/>
      <c r="X750" s="182"/>
      <c r="Y750" s="182"/>
      <c r="Z750" s="182"/>
      <c r="AA750" s="182"/>
      <c r="AB750" s="182"/>
      <c r="AC750" s="182"/>
      <c r="AD750" s="182"/>
      <c r="AE750" s="184"/>
      <c r="AF750" s="183"/>
      <c r="AG750" s="183"/>
      <c r="AH750" s="183"/>
      <c r="AI750" s="183"/>
      <c r="AJ750" s="182"/>
      <c r="AK750" s="184"/>
      <c r="AL750" s="182"/>
      <c r="AM750" s="182"/>
      <c r="AN750" s="182"/>
      <c r="AO750" s="182"/>
      <c r="AP750" s="182"/>
      <c r="AQ750" s="182"/>
      <c r="AR750" s="182"/>
    </row>
    <row r="751" spans="1:44">
      <c r="A751" s="182"/>
      <c r="B751" s="182"/>
      <c r="C751" s="182"/>
      <c r="D751" s="182"/>
      <c r="E751" s="182"/>
      <c r="F751" s="182"/>
      <c r="G751" s="182"/>
      <c r="H751" s="182"/>
      <c r="I751" s="182"/>
      <c r="J751" s="182"/>
      <c r="K751" s="182"/>
      <c r="L751" s="182"/>
      <c r="M751" s="182"/>
      <c r="N751" s="177"/>
      <c r="O751" s="182"/>
      <c r="P751" s="179"/>
      <c r="Q751" s="182"/>
      <c r="R751" s="182"/>
      <c r="S751" s="182"/>
      <c r="T751" s="182"/>
      <c r="U751" s="182"/>
      <c r="V751" s="182"/>
      <c r="W751" s="182"/>
      <c r="X751" s="182"/>
      <c r="Y751" s="182"/>
      <c r="Z751" s="182"/>
      <c r="AA751" s="182"/>
      <c r="AB751" s="182"/>
      <c r="AC751" s="182"/>
      <c r="AD751" s="182"/>
      <c r="AE751" s="184"/>
      <c r="AF751" s="183"/>
      <c r="AG751" s="183"/>
      <c r="AH751" s="183"/>
      <c r="AI751" s="183"/>
      <c r="AJ751" s="182"/>
      <c r="AK751" s="184"/>
      <c r="AL751" s="182"/>
      <c r="AM751" s="182"/>
      <c r="AN751" s="182"/>
      <c r="AO751" s="182"/>
      <c r="AP751" s="182"/>
      <c r="AQ751" s="182"/>
      <c r="AR751" s="182"/>
    </row>
    <row r="752" spans="1:44">
      <c r="A752" s="182"/>
      <c r="B752" s="182"/>
      <c r="C752" s="182"/>
      <c r="D752" s="182"/>
      <c r="E752" s="182"/>
      <c r="F752" s="182"/>
      <c r="G752" s="182"/>
      <c r="H752" s="182"/>
      <c r="I752" s="182"/>
      <c r="J752" s="182"/>
      <c r="K752" s="182"/>
      <c r="L752" s="182"/>
      <c r="M752" s="182"/>
      <c r="N752" s="177"/>
      <c r="O752" s="182"/>
      <c r="P752" s="179"/>
      <c r="Q752" s="182"/>
      <c r="R752" s="182"/>
      <c r="S752" s="182"/>
      <c r="T752" s="182"/>
      <c r="U752" s="182"/>
      <c r="V752" s="182"/>
      <c r="W752" s="182"/>
      <c r="X752" s="182"/>
      <c r="Y752" s="182"/>
      <c r="Z752" s="182"/>
      <c r="AA752" s="182"/>
      <c r="AB752" s="182"/>
      <c r="AC752" s="182"/>
      <c r="AD752" s="182"/>
      <c r="AE752" s="184"/>
      <c r="AF752" s="183"/>
      <c r="AG752" s="183"/>
      <c r="AH752" s="183"/>
      <c r="AI752" s="183"/>
      <c r="AJ752" s="182"/>
      <c r="AK752" s="184"/>
      <c r="AL752" s="182"/>
      <c r="AM752" s="182"/>
      <c r="AN752" s="182"/>
      <c r="AO752" s="182"/>
      <c r="AP752" s="182"/>
      <c r="AQ752" s="182"/>
      <c r="AR752" s="182"/>
    </row>
    <row r="753" spans="1:44">
      <c r="A753" s="182"/>
      <c r="B753" s="182"/>
      <c r="C753" s="182"/>
      <c r="D753" s="182"/>
      <c r="E753" s="182"/>
      <c r="F753" s="182"/>
      <c r="G753" s="182"/>
      <c r="H753" s="182"/>
      <c r="I753" s="182"/>
      <c r="J753" s="182"/>
      <c r="K753" s="182"/>
      <c r="L753" s="182"/>
      <c r="M753" s="182"/>
      <c r="N753" s="177"/>
      <c r="O753" s="182"/>
      <c r="P753" s="179"/>
      <c r="Q753" s="182"/>
      <c r="R753" s="182"/>
      <c r="S753" s="182"/>
      <c r="T753" s="182"/>
      <c r="U753" s="182"/>
      <c r="V753" s="182"/>
      <c r="W753" s="182"/>
      <c r="X753" s="182"/>
      <c r="Y753" s="182"/>
      <c r="Z753" s="182"/>
      <c r="AA753" s="182"/>
      <c r="AB753" s="182"/>
      <c r="AC753" s="182"/>
      <c r="AD753" s="182"/>
      <c r="AE753" s="184"/>
      <c r="AF753" s="183"/>
      <c r="AG753" s="183"/>
      <c r="AH753" s="183"/>
      <c r="AI753" s="183"/>
      <c r="AJ753" s="182"/>
      <c r="AK753" s="184"/>
      <c r="AL753" s="182"/>
      <c r="AM753" s="182"/>
      <c r="AN753" s="182"/>
      <c r="AO753" s="182"/>
      <c r="AP753" s="182"/>
      <c r="AQ753" s="182"/>
      <c r="AR753" s="182"/>
    </row>
    <row r="754" spans="1:44">
      <c r="A754" s="182"/>
      <c r="B754" s="182"/>
      <c r="C754" s="182"/>
      <c r="D754" s="182"/>
      <c r="E754" s="182"/>
      <c r="F754" s="182"/>
      <c r="G754" s="182"/>
      <c r="H754" s="182"/>
      <c r="I754" s="182"/>
      <c r="J754" s="182"/>
      <c r="K754" s="182"/>
      <c r="L754" s="182"/>
      <c r="M754" s="182"/>
      <c r="N754" s="177"/>
      <c r="O754" s="182"/>
      <c r="P754" s="179"/>
      <c r="Q754" s="182"/>
      <c r="R754" s="182"/>
      <c r="S754" s="182"/>
      <c r="T754" s="182"/>
      <c r="U754" s="182"/>
      <c r="V754" s="182"/>
      <c r="W754" s="182"/>
      <c r="X754" s="182"/>
      <c r="Y754" s="182"/>
      <c r="Z754" s="182"/>
      <c r="AA754" s="182"/>
      <c r="AB754" s="182"/>
      <c r="AC754" s="182"/>
      <c r="AD754" s="182"/>
      <c r="AE754" s="184"/>
      <c r="AF754" s="183"/>
      <c r="AG754" s="183"/>
      <c r="AH754" s="183"/>
      <c r="AI754" s="183"/>
      <c r="AJ754" s="182"/>
      <c r="AK754" s="184"/>
      <c r="AL754" s="182"/>
      <c r="AM754" s="182"/>
      <c r="AN754" s="182"/>
      <c r="AO754" s="182"/>
      <c r="AP754" s="182"/>
      <c r="AQ754" s="182"/>
      <c r="AR754" s="182"/>
    </row>
    <row r="755" spans="1:44">
      <c r="A755" s="182"/>
      <c r="B755" s="182"/>
      <c r="C755" s="182"/>
      <c r="D755" s="182"/>
      <c r="E755" s="182"/>
      <c r="F755" s="182"/>
      <c r="G755" s="182"/>
      <c r="H755" s="182"/>
      <c r="I755" s="182"/>
      <c r="J755" s="182"/>
      <c r="K755" s="182"/>
      <c r="L755" s="182"/>
      <c r="M755" s="182"/>
      <c r="N755" s="177"/>
      <c r="O755" s="182"/>
      <c r="P755" s="179"/>
      <c r="Q755" s="182"/>
      <c r="R755" s="182"/>
      <c r="S755" s="182"/>
      <c r="T755" s="182"/>
      <c r="U755" s="182"/>
      <c r="V755" s="182"/>
      <c r="W755" s="182"/>
      <c r="X755" s="182"/>
      <c r="Y755" s="182"/>
      <c r="Z755" s="182"/>
      <c r="AA755" s="182"/>
      <c r="AB755" s="182"/>
      <c r="AC755" s="182"/>
      <c r="AD755" s="182"/>
      <c r="AE755" s="184"/>
      <c r="AF755" s="183"/>
      <c r="AG755" s="183"/>
      <c r="AH755" s="183"/>
      <c r="AI755" s="183"/>
      <c r="AJ755" s="182"/>
      <c r="AK755" s="184"/>
      <c r="AL755" s="182"/>
      <c r="AM755" s="182"/>
      <c r="AN755" s="182"/>
      <c r="AO755" s="182"/>
      <c r="AP755" s="182"/>
      <c r="AQ755" s="182"/>
      <c r="AR755" s="182"/>
    </row>
    <row r="756" spans="1:44">
      <c r="A756" s="182"/>
      <c r="B756" s="182"/>
      <c r="C756" s="182"/>
      <c r="D756" s="182"/>
      <c r="E756" s="182"/>
      <c r="F756" s="182"/>
      <c r="G756" s="182"/>
      <c r="H756" s="182"/>
      <c r="I756" s="182"/>
      <c r="J756" s="182"/>
      <c r="K756" s="182"/>
      <c r="L756" s="182"/>
      <c r="M756" s="182"/>
      <c r="N756" s="177"/>
      <c r="O756" s="182"/>
      <c r="P756" s="179"/>
      <c r="Q756" s="182"/>
      <c r="R756" s="182"/>
      <c r="S756" s="182"/>
      <c r="T756" s="182"/>
      <c r="U756" s="182"/>
      <c r="V756" s="182"/>
      <c r="W756" s="182"/>
      <c r="X756" s="182"/>
      <c r="Y756" s="182"/>
      <c r="Z756" s="182"/>
      <c r="AA756" s="182"/>
      <c r="AB756" s="182"/>
      <c r="AC756" s="182"/>
      <c r="AD756" s="182"/>
      <c r="AE756" s="184"/>
      <c r="AF756" s="183"/>
      <c r="AG756" s="183"/>
      <c r="AH756" s="183"/>
      <c r="AI756" s="183"/>
      <c r="AJ756" s="182"/>
      <c r="AK756" s="184"/>
      <c r="AL756" s="182"/>
      <c r="AM756" s="182"/>
      <c r="AN756" s="182"/>
      <c r="AO756" s="182"/>
      <c r="AP756" s="182"/>
      <c r="AQ756" s="182"/>
      <c r="AR756" s="182"/>
    </row>
    <row r="757" spans="1:44">
      <c r="A757" s="182"/>
      <c r="B757" s="182"/>
      <c r="C757" s="182"/>
      <c r="D757" s="182"/>
      <c r="E757" s="182"/>
      <c r="F757" s="182"/>
      <c r="G757" s="182"/>
      <c r="H757" s="182"/>
      <c r="I757" s="182"/>
      <c r="J757" s="182"/>
      <c r="K757" s="182"/>
      <c r="L757" s="182"/>
      <c r="M757" s="182"/>
      <c r="N757" s="177"/>
      <c r="O757" s="182"/>
      <c r="P757" s="179"/>
      <c r="Q757" s="182"/>
      <c r="R757" s="182"/>
      <c r="S757" s="182"/>
      <c r="T757" s="182"/>
      <c r="U757" s="182"/>
      <c r="V757" s="182"/>
      <c r="W757" s="182"/>
      <c r="X757" s="182"/>
      <c r="Y757" s="182"/>
      <c r="Z757" s="182"/>
      <c r="AA757" s="182"/>
      <c r="AB757" s="182"/>
      <c r="AC757" s="182"/>
      <c r="AD757" s="182"/>
      <c r="AE757" s="184"/>
      <c r="AF757" s="183"/>
      <c r="AG757" s="183"/>
      <c r="AH757" s="183"/>
      <c r="AI757" s="183"/>
      <c r="AJ757" s="182"/>
      <c r="AK757" s="184"/>
      <c r="AL757" s="182"/>
      <c r="AM757" s="182"/>
      <c r="AN757" s="182"/>
      <c r="AO757" s="182"/>
      <c r="AP757" s="182"/>
      <c r="AQ757" s="182"/>
      <c r="AR757" s="182"/>
    </row>
    <row r="758" spans="1:44">
      <c r="A758" s="182"/>
      <c r="B758" s="182"/>
      <c r="C758" s="182"/>
      <c r="D758" s="182"/>
      <c r="E758" s="182"/>
      <c r="F758" s="182"/>
      <c r="G758" s="182"/>
      <c r="H758" s="182"/>
      <c r="I758" s="182"/>
      <c r="J758" s="182"/>
      <c r="K758" s="182"/>
      <c r="L758" s="182"/>
      <c r="M758" s="182"/>
      <c r="N758" s="177"/>
      <c r="O758" s="182"/>
      <c r="P758" s="179"/>
      <c r="Q758" s="182"/>
      <c r="R758" s="182"/>
      <c r="S758" s="182"/>
      <c r="T758" s="182"/>
      <c r="U758" s="182"/>
      <c r="V758" s="182"/>
      <c r="W758" s="182"/>
      <c r="X758" s="182"/>
      <c r="Y758" s="182"/>
      <c r="Z758" s="182"/>
      <c r="AA758" s="182"/>
      <c r="AB758" s="182"/>
      <c r="AC758" s="182"/>
      <c r="AD758" s="182"/>
      <c r="AE758" s="184"/>
      <c r="AF758" s="183"/>
      <c r="AG758" s="183"/>
      <c r="AH758" s="183"/>
      <c r="AI758" s="183"/>
      <c r="AJ758" s="182"/>
      <c r="AK758" s="184"/>
      <c r="AL758" s="182"/>
      <c r="AM758" s="182"/>
      <c r="AN758" s="182"/>
      <c r="AO758" s="182"/>
      <c r="AP758" s="182"/>
      <c r="AQ758" s="182"/>
      <c r="AR758" s="182"/>
    </row>
    <row r="759" spans="1:44">
      <c r="A759" s="182"/>
      <c r="B759" s="182"/>
      <c r="C759" s="182"/>
      <c r="D759" s="182"/>
      <c r="E759" s="182"/>
      <c r="F759" s="182"/>
      <c r="G759" s="182"/>
      <c r="H759" s="182"/>
      <c r="I759" s="182"/>
      <c r="J759" s="182"/>
      <c r="K759" s="182"/>
      <c r="L759" s="182"/>
      <c r="M759" s="182"/>
      <c r="N759" s="177"/>
      <c r="O759" s="182"/>
      <c r="P759" s="179"/>
      <c r="Q759" s="182"/>
      <c r="R759" s="182"/>
      <c r="S759" s="182"/>
      <c r="T759" s="182"/>
      <c r="U759" s="182"/>
      <c r="V759" s="182"/>
      <c r="W759" s="182"/>
      <c r="X759" s="182"/>
      <c r="Y759" s="182"/>
      <c r="Z759" s="182"/>
      <c r="AA759" s="182"/>
      <c r="AB759" s="182"/>
      <c r="AC759" s="182"/>
      <c r="AD759" s="182"/>
      <c r="AE759" s="184"/>
      <c r="AF759" s="183"/>
      <c r="AG759" s="183"/>
      <c r="AH759" s="183"/>
      <c r="AI759" s="183"/>
      <c r="AJ759" s="182"/>
      <c r="AK759" s="184"/>
      <c r="AL759" s="182"/>
      <c r="AM759" s="182"/>
      <c r="AN759" s="182"/>
      <c r="AO759" s="182"/>
      <c r="AP759" s="182"/>
      <c r="AQ759" s="182"/>
      <c r="AR759" s="182"/>
    </row>
    <row r="760" spans="1:44">
      <c r="A760" s="182"/>
      <c r="B760" s="182"/>
      <c r="C760" s="182"/>
      <c r="D760" s="182"/>
      <c r="E760" s="182"/>
      <c r="F760" s="182"/>
      <c r="G760" s="182"/>
      <c r="H760" s="182"/>
      <c r="I760" s="182"/>
      <c r="J760" s="182"/>
      <c r="K760" s="182"/>
      <c r="L760" s="182"/>
      <c r="M760" s="182"/>
      <c r="N760" s="177"/>
      <c r="O760" s="182"/>
      <c r="P760" s="179"/>
      <c r="Q760" s="182"/>
      <c r="R760" s="182"/>
      <c r="S760" s="182"/>
      <c r="T760" s="182"/>
      <c r="U760" s="182"/>
      <c r="V760" s="182"/>
      <c r="W760" s="182"/>
      <c r="X760" s="182"/>
      <c r="Y760" s="182"/>
      <c r="Z760" s="182"/>
      <c r="AA760" s="182"/>
      <c r="AB760" s="182"/>
      <c r="AC760" s="182"/>
      <c r="AD760" s="182"/>
      <c r="AE760" s="184"/>
      <c r="AF760" s="183"/>
      <c r="AG760" s="183"/>
      <c r="AH760" s="183"/>
      <c r="AI760" s="183"/>
      <c r="AJ760" s="182"/>
      <c r="AK760" s="184"/>
      <c r="AL760" s="182"/>
      <c r="AM760" s="182"/>
      <c r="AN760" s="182"/>
      <c r="AO760" s="182"/>
      <c r="AP760" s="182"/>
      <c r="AQ760" s="182"/>
      <c r="AR760" s="182"/>
    </row>
    <row r="761" spans="1:44">
      <c r="A761" s="182"/>
      <c r="B761" s="182"/>
      <c r="C761" s="182"/>
      <c r="D761" s="182"/>
      <c r="E761" s="182"/>
      <c r="F761" s="182"/>
      <c r="G761" s="182"/>
      <c r="H761" s="182"/>
      <c r="I761" s="182"/>
      <c r="J761" s="182"/>
      <c r="K761" s="182"/>
      <c r="L761" s="182"/>
      <c r="M761" s="182"/>
      <c r="N761" s="177"/>
      <c r="O761" s="182"/>
      <c r="P761" s="179"/>
      <c r="Q761" s="182"/>
      <c r="R761" s="182"/>
      <c r="S761" s="182"/>
      <c r="T761" s="182"/>
      <c r="U761" s="182"/>
      <c r="V761" s="182"/>
      <c r="W761" s="182"/>
      <c r="X761" s="182"/>
      <c r="Y761" s="182"/>
      <c r="Z761" s="182"/>
      <c r="AA761" s="182"/>
      <c r="AB761" s="182"/>
      <c r="AC761" s="182"/>
      <c r="AD761" s="182"/>
      <c r="AE761" s="184"/>
      <c r="AF761" s="183"/>
      <c r="AG761" s="183"/>
      <c r="AH761" s="183"/>
      <c r="AI761" s="183"/>
      <c r="AJ761" s="182"/>
      <c r="AK761" s="184"/>
      <c r="AL761" s="182"/>
      <c r="AM761" s="182"/>
      <c r="AN761" s="182"/>
      <c r="AO761" s="182"/>
      <c r="AP761" s="182"/>
      <c r="AQ761" s="182"/>
      <c r="AR761" s="182"/>
    </row>
    <row r="762" spans="1:44">
      <c r="A762" s="182"/>
      <c r="B762" s="182"/>
      <c r="C762" s="182"/>
      <c r="D762" s="182"/>
      <c r="E762" s="182"/>
      <c r="F762" s="182"/>
      <c r="G762" s="182"/>
      <c r="H762" s="182"/>
      <c r="I762" s="182"/>
      <c r="J762" s="182"/>
      <c r="K762" s="182"/>
      <c r="L762" s="182"/>
      <c r="M762" s="182"/>
      <c r="N762" s="177"/>
      <c r="O762" s="182"/>
      <c r="P762" s="179"/>
      <c r="Q762" s="182"/>
      <c r="R762" s="182"/>
      <c r="S762" s="182"/>
      <c r="T762" s="182"/>
      <c r="U762" s="182"/>
      <c r="V762" s="182"/>
      <c r="W762" s="182"/>
      <c r="X762" s="182"/>
      <c r="Y762" s="182"/>
      <c r="Z762" s="182"/>
      <c r="AA762" s="182"/>
      <c r="AB762" s="182"/>
      <c r="AC762" s="182"/>
      <c r="AD762" s="182"/>
      <c r="AE762" s="184"/>
      <c r="AF762" s="183"/>
      <c r="AG762" s="183"/>
      <c r="AH762" s="183"/>
      <c r="AI762" s="183"/>
      <c r="AJ762" s="182"/>
      <c r="AK762" s="184"/>
      <c r="AL762" s="182"/>
      <c r="AM762" s="182"/>
      <c r="AN762" s="182"/>
      <c r="AO762" s="182"/>
      <c r="AP762" s="182"/>
      <c r="AQ762" s="182"/>
      <c r="AR762" s="182"/>
    </row>
    <row r="763" spans="1:44">
      <c r="A763" s="182"/>
      <c r="B763" s="182"/>
      <c r="C763" s="182"/>
      <c r="D763" s="182"/>
      <c r="E763" s="182"/>
      <c r="F763" s="182"/>
      <c r="G763" s="182"/>
      <c r="H763" s="182"/>
      <c r="I763" s="182"/>
      <c r="J763" s="182"/>
      <c r="K763" s="182"/>
      <c r="L763" s="182"/>
      <c r="M763" s="182"/>
      <c r="N763" s="177"/>
      <c r="O763" s="182"/>
      <c r="P763" s="179"/>
      <c r="Q763" s="182"/>
      <c r="R763" s="182"/>
      <c r="S763" s="182"/>
      <c r="T763" s="182"/>
      <c r="U763" s="182"/>
      <c r="V763" s="182"/>
      <c r="W763" s="182"/>
      <c r="X763" s="182"/>
      <c r="Y763" s="182"/>
      <c r="Z763" s="182"/>
      <c r="AA763" s="182"/>
      <c r="AB763" s="182"/>
      <c r="AC763" s="182"/>
      <c r="AD763" s="182"/>
      <c r="AE763" s="184"/>
      <c r="AF763" s="183"/>
      <c r="AG763" s="183"/>
      <c r="AH763" s="183"/>
      <c r="AI763" s="183"/>
      <c r="AJ763" s="182"/>
      <c r="AK763" s="184"/>
      <c r="AL763" s="182"/>
      <c r="AM763" s="182"/>
      <c r="AN763" s="182"/>
      <c r="AO763" s="182"/>
      <c r="AP763" s="182"/>
      <c r="AQ763" s="182"/>
      <c r="AR763" s="182"/>
    </row>
    <row r="764" spans="1:44">
      <c r="A764" s="182"/>
      <c r="B764" s="182"/>
      <c r="C764" s="182"/>
      <c r="D764" s="182"/>
      <c r="E764" s="182"/>
      <c r="F764" s="182"/>
      <c r="G764" s="182"/>
      <c r="H764" s="182"/>
      <c r="I764" s="182"/>
      <c r="J764" s="182"/>
      <c r="K764" s="182"/>
      <c r="L764" s="182"/>
      <c r="M764" s="182"/>
      <c r="N764" s="177"/>
      <c r="O764" s="182"/>
      <c r="P764" s="179"/>
      <c r="Q764" s="182"/>
      <c r="R764" s="182"/>
      <c r="S764" s="182"/>
      <c r="T764" s="182"/>
      <c r="U764" s="182"/>
      <c r="V764" s="182"/>
      <c r="W764" s="182"/>
      <c r="X764" s="182"/>
      <c r="Y764" s="182"/>
      <c r="Z764" s="182"/>
      <c r="AA764" s="182"/>
      <c r="AB764" s="182"/>
      <c r="AC764" s="182"/>
      <c r="AD764" s="182"/>
      <c r="AE764" s="184"/>
      <c r="AF764" s="183"/>
      <c r="AG764" s="183"/>
      <c r="AH764" s="183"/>
      <c r="AI764" s="183"/>
      <c r="AJ764" s="182"/>
      <c r="AK764" s="184"/>
      <c r="AL764" s="182"/>
      <c r="AM764" s="182"/>
      <c r="AN764" s="182"/>
      <c r="AO764" s="182"/>
      <c r="AP764" s="182"/>
      <c r="AQ764" s="182"/>
      <c r="AR764" s="182"/>
    </row>
    <row r="765" spans="1:44">
      <c r="A765" s="182"/>
      <c r="B765" s="182"/>
      <c r="C765" s="182"/>
      <c r="D765" s="182"/>
      <c r="E765" s="182"/>
      <c r="F765" s="182"/>
      <c r="G765" s="182"/>
      <c r="H765" s="182"/>
      <c r="I765" s="182"/>
      <c r="J765" s="182"/>
      <c r="K765" s="182"/>
      <c r="L765" s="182"/>
      <c r="M765" s="182"/>
      <c r="N765" s="177"/>
      <c r="O765" s="182"/>
      <c r="P765" s="179"/>
      <c r="Q765" s="182"/>
      <c r="R765" s="182"/>
      <c r="S765" s="182"/>
      <c r="T765" s="182"/>
      <c r="U765" s="182"/>
      <c r="V765" s="182"/>
      <c r="W765" s="182"/>
      <c r="X765" s="182"/>
      <c r="Y765" s="182"/>
      <c r="Z765" s="182"/>
      <c r="AA765" s="182"/>
      <c r="AB765" s="182"/>
      <c r="AC765" s="182"/>
      <c r="AD765" s="182"/>
      <c r="AE765" s="184"/>
      <c r="AF765" s="183"/>
      <c r="AG765" s="183"/>
      <c r="AH765" s="183"/>
      <c r="AI765" s="183"/>
      <c r="AJ765" s="182"/>
      <c r="AK765" s="184"/>
      <c r="AL765" s="182"/>
      <c r="AM765" s="182"/>
      <c r="AN765" s="182"/>
      <c r="AO765" s="182"/>
      <c r="AP765" s="182"/>
      <c r="AQ765" s="182"/>
      <c r="AR765" s="182"/>
    </row>
    <row r="766" spans="1:44">
      <c r="A766" s="182"/>
      <c r="B766" s="182"/>
      <c r="C766" s="182"/>
      <c r="D766" s="182"/>
      <c r="E766" s="182"/>
      <c r="F766" s="182"/>
      <c r="G766" s="182"/>
      <c r="H766" s="182"/>
      <c r="I766" s="182"/>
      <c r="J766" s="182"/>
      <c r="K766" s="182"/>
      <c r="L766" s="182"/>
      <c r="M766" s="182"/>
      <c r="N766" s="177"/>
      <c r="O766" s="182"/>
      <c r="P766" s="179"/>
      <c r="Q766" s="182"/>
      <c r="R766" s="182"/>
      <c r="S766" s="182"/>
      <c r="T766" s="182"/>
      <c r="U766" s="182"/>
      <c r="V766" s="182"/>
      <c r="W766" s="182"/>
      <c r="X766" s="182"/>
      <c r="Y766" s="182"/>
      <c r="Z766" s="182"/>
      <c r="AA766" s="182"/>
      <c r="AB766" s="182"/>
      <c r="AC766" s="182"/>
      <c r="AD766" s="182"/>
      <c r="AE766" s="184"/>
      <c r="AF766" s="183"/>
      <c r="AG766" s="183"/>
      <c r="AH766" s="183"/>
      <c r="AI766" s="183"/>
      <c r="AJ766" s="182"/>
      <c r="AK766" s="184"/>
      <c r="AL766" s="182"/>
      <c r="AM766" s="182"/>
      <c r="AN766" s="182"/>
      <c r="AO766" s="182"/>
      <c r="AP766" s="182"/>
      <c r="AQ766" s="182"/>
      <c r="AR766" s="182"/>
    </row>
    <row r="767" spans="1:44">
      <c r="A767" s="182"/>
      <c r="B767" s="182"/>
      <c r="C767" s="182"/>
      <c r="D767" s="182"/>
      <c r="E767" s="182"/>
      <c r="F767" s="182"/>
      <c r="G767" s="182"/>
      <c r="H767" s="182"/>
      <c r="I767" s="182"/>
      <c r="J767" s="182"/>
      <c r="K767" s="182"/>
      <c r="L767" s="182"/>
      <c r="M767" s="182"/>
      <c r="N767" s="177"/>
      <c r="O767" s="182"/>
      <c r="P767" s="179"/>
      <c r="Q767" s="182"/>
      <c r="R767" s="182"/>
      <c r="S767" s="182"/>
      <c r="T767" s="182"/>
      <c r="U767" s="182"/>
      <c r="V767" s="182"/>
      <c r="W767" s="182"/>
      <c r="X767" s="182"/>
      <c r="Y767" s="182"/>
      <c r="Z767" s="182"/>
      <c r="AA767" s="182"/>
      <c r="AB767" s="182"/>
      <c r="AC767" s="182"/>
      <c r="AD767" s="182"/>
      <c r="AE767" s="184"/>
      <c r="AF767" s="183"/>
      <c r="AG767" s="183"/>
      <c r="AH767" s="183"/>
      <c r="AI767" s="183"/>
      <c r="AJ767" s="182"/>
      <c r="AK767" s="184"/>
      <c r="AL767" s="182"/>
      <c r="AM767" s="182"/>
      <c r="AN767" s="182"/>
      <c r="AO767" s="182"/>
      <c r="AP767" s="182"/>
      <c r="AQ767" s="182"/>
      <c r="AR767" s="182"/>
    </row>
    <row r="768" spans="1:44">
      <c r="A768" s="182"/>
      <c r="B768" s="182"/>
      <c r="C768" s="182"/>
      <c r="D768" s="182"/>
      <c r="E768" s="182"/>
      <c r="F768" s="182"/>
      <c r="G768" s="182"/>
      <c r="H768" s="182"/>
      <c r="I768" s="182"/>
      <c r="J768" s="182"/>
      <c r="K768" s="182"/>
      <c r="L768" s="182"/>
      <c r="M768" s="182"/>
      <c r="N768" s="177"/>
      <c r="O768" s="182"/>
      <c r="P768" s="179"/>
      <c r="Q768" s="182"/>
      <c r="R768" s="182"/>
      <c r="S768" s="182"/>
      <c r="T768" s="182"/>
      <c r="U768" s="182"/>
      <c r="V768" s="182"/>
      <c r="W768" s="182"/>
      <c r="X768" s="182"/>
      <c r="Y768" s="182"/>
      <c r="Z768" s="182"/>
      <c r="AA768" s="182"/>
      <c r="AB768" s="182"/>
      <c r="AC768" s="182"/>
      <c r="AD768" s="182"/>
      <c r="AE768" s="184"/>
      <c r="AF768" s="183"/>
      <c r="AG768" s="183"/>
      <c r="AH768" s="183"/>
      <c r="AI768" s="183"/>
      <c r="AJ768" s="182"/>
      <c r="AK768" s="184"/>
      <c r="AL768" s="182"/>
      <c r="AM768" s="182"/>
      <c r="AN768" s="182"/>
      <c r="AO768" s="182"/>
      <c r="AP768" s="182"/>
      <c r="AQ768" s="182"/>
      <c r="AR768" s="182"/>
    </row>
    <row r="769" spans="1:44">
      <c r="A769" s="182"/>
      <c r="B769" s="182"/>
      <c r="C769" s="182"/>
      <c r="D769" s="182"/>
      <c r="E769" s="182"/>
      <c r="F769" s="182"/>
      <c r="G769" s="182"/>
      <c r="H769" s="182"/>
      <c r="I769" s="182"/>
      <c r="J769" s="182"/>
      <c r="K769" s="182"/>
      <c r="L769" s="182"/>
      <c r="M769" s="182"/>
      <c r="N769" s="177"/>
      <c r="O769" s="182"/>
      <c r="P769" s="179"/>
      <c r="Q769" s="182"/>
      <c r="R769" s="182"/>
      <c r="S769" s="182"/>
      <c r="T769" s="182"/>
      <c r="U769" s="182"/>
      <c r="V769" s="182"/>
      <c r="W769" s="182"/>
      <c r="X769" s="182"/>
      <c r="Y769" s="182"/>
      <c r="Z769" s="182"/>
      <c r="AA769" s="182"/>
      <c r="AB769" s="182"/>
      <c r="AC769" s="182"/>
      <c r="AD769" s="182"/>
      <c r="AE769" s="184"/>
      <c r="AF769" s="183"/>
      <c r="AG769" s="183"/>
      <c r="AH769" s="183"/>
      <c r="AI769" s="183"/>
      <c r="AJ769" s="182"/>
      <c r="AK769" s="184"/>
      <c r="AL769" s="182"/>
      <c r="AM769" s="182"/>
      <c r="AN769" s="182"/>
      <c r="AO769" s="182"/>
      <c r="AP769" s="182"/>
      <c r="AQ769" s="182"/>
      <c r="AR769" s="182"/>
    </row>
    <row r="770" spans="1:44">
      <c r="A770" s="182"/>
      <c r="B770" s="182"/>
      <c r="C770" s="182"/>
      <c r="D770" s="182"/>
      <c r="E770" s="182"/>
      <c r="F770" s="182"/>
      <c r="G770" s="182"/>
      <c r="H770" s="182"/>
      <c r="I770" s="182"/>
      <c r="J770" s="182"/>
      <c r="K770" s="182"/>
      <c r="L770" s="182"/>
      <c r="M770" s="182"/>
      <c r="N770" s="177"/>
      <c r="O770" s="182"/>
      <c r="P770" s="179"/>
      <c r="Q770" s="182"/>
      <c r="R770" s="182"/>
      <c r="S770" s="182"/>
      <c r="T770" s="182"/>
      <c r="U770" s="182"/>
      <c r="V770" s="182"/>
      <c r="W770" s="182"/>
      <c r="X770" s="182"/>
      <c r="Y770" s="182"/>
      <c r="Z770" s="182"/>
      <c r="AA770" s="182"/>
      <c r="AB770" s="182"/>
      <c r="AC770" s="182"/>
      <c r="AD770" s="182"/>
      <c r="AE770" s="184"/>
      <c r="AF770" s="183"/>
      <c r="AG770" s="183"/>
      <c r="AH770" s="183"/>
      <c r="AI770" s="183"/>
      <c r="AJ770" s="182"/>
      <c r="AK770" s="184"/>
      <c r="AL770" s="182"/>
      <c r="AM770" s="182"/>
      <c r="AN770" s="182"/>
      <c r="AO770" s="182"/>
      <c r="AP770" s="182"/>
      <c r="AQ770" s="182"/>
      <c r="AR770" s="182"/>
    </row>
    <row r="771" spans="1:44">
      <c r="A771" s="182"/>
      <c r="B771" s="182"/>
      <c r="C771" s="182"/>
      <c r="D771" s="182"/>
      <c r="E771" s="182"/>
      <c r="F771" s="182"/>
      <c r="G771" s="182"/>
      <c r="H771" s="182"/>
      <c r="I771" s="182"/>
      <c r="J771" s="182"/>
      <c r="K771" s="182"/>
      <c r="L771" s="182"/>
      <c r="M771" s="182"/>
      <c r="N771" s="177"/>
      <c r="O771" s="182"/>
      <c r="P771" s="179"/>
      <c r="Q771" s="182"/>
      <c r="R771" s="182"/>
      <c r="S771" s="182"/>
      <c r="T771" s="182"/>
      <c r="U771" s="182"/>
      <c r="V771" s="182"/>
      <c r="W771" s="182"/>
      <c r="X771" s="182"/>
      <c r="Y771" s="182"/>
      <c r="Z771" s="182"/>
      <c r="AA771" s="182"/>
      <c r="AB771" s="182"/>
      <c r="AC771" s="182"/>
      <c r="AD771" s="182"/>
      <c r="AE771" s="184"/>
      <c r="AF771" s="183"/>
      <c r="AG771" s="183"/>
      <c r="AH771" s="183"/>
      <c r="AI771" s="183"/>
      <c r="AJ771" s="182"/>
      <c r="AK771" s="184"/>
      <c r="AL771" s="182"/>
      <c r="AM771" s="182"/>
      <c r="AN771" s="182"/>
      <c r="AO771" s="182"/>
      <c r="AP771" s="182"/>
      <c r="AQ771" s="182"/>
      <c r="AR771" s="182"/>
    </row>
    <row r="772" spans="1:44">
      <c r="A772" s="182"/>
      <c r="B772" s="182"/>
      <c r="C772" s="182"/>
      <c r="D772" s="182"/>
      <c r="E772" s="182"/>
      <c r="F772" s="182"/>
      <c r="G772" s="182"/>
      <c r="H772" s="182"/>
      <c r="I772" s="182"/>
      <c r="J772" s="182"/>
      <c r="K772" s="182"/>
      <c r="L772" s="182"/>
      <c r="M772" s="182"/>
      <c r="N772" s="177"/>
      <c r="O772" s="182"/>
      <c r="P772" s="179"/>
      <c r="Q772" s="182"/>
      <c r="R772" s="182"/>
      <c r="S772" s="182"/>
      <c r="T772" s="182"/>
      <c r="U772" s="182"/>
      <c r="V772" s="182"/>
      <c r="W772" s="182"/>
      <c r="X772" s="182"/>
      <c r="Y772" s="182"/>
      <c r="Z772" s="182"/>
      <c r="AA772" s="182"/>
      <c r="AB772" s="182"/>
      <c r="AC772" s="182"/>
      <c r="AD772" s="182"/>
      <c r="AE772" s="184"/>
      <c r="AF772" s="183"/>
      <c r="AG772" s="183"/>
      <c r="AH772" s="183"/>
      <c r="AI772" s="183"/>
      <c r="AJ772" s="182"/>
      <c r="AK772" s="184"/>
      <c r="AL772" s="182"/>
      <c r="AM772" s="182"/>
      <c r="AN772" s="182"/>
      <c r="AO772" s="182"/>
      <c r="AP772" s="182"/>
      <c r="AQ772" s="182"/>
      <c r="AR772" s="182"/>
    </row>
    <row r="773" spans="1:44">
      <c r="A773" s="182"/>
      <c r="B773" s="182"/>
      <c r="C773" s="182"/>
      <c r="D773" s="182"/>
      <c r="E773" s="182"/>
      <c r="F773" s="182"/>
      <c r="G773" s="182"/>
      <c r="H773" s="182"/>
      <c r="I773" s="182"/>
      <c r="J773" s="182"/>
      <c r="K773" s="182"/>
      <c r="L773" s="182"/>
      <c r="M773" s="182"/>
      <c r="N773" s="177"/>
      <c r="O773" s="182"/>
      <c r="P773" s="179"/>
      <c r="Q773" s="182"/>
      <c r="R773" s="182"/>
      <c r="S773" s="182"/>
      <c r="T773" s="182"/>
      <c r="U773" s="182"/>
      <c r="V773" s="182"/>
      <c r="W773" s="182"/>
      <c r="X773" s="182"/>
      <c r="Y773" s="182"/>
      <c r="Z773" s="182"/>
      <c r="AA773" s="182"/>
      <c r="AB773" s="182"/>
      <c r="AC773" s="182"/>
      <c r="AD773" s="182"/>
      <c r="AE773" s="184"/>
      <c r="AF773" s="183"/>
      <c r="AG773" s="183"/>
      <c r="AH773" s="183"/>
      <c r="AI773" s="183"/>
      <c r="AJ773" s="182"/>
      <c r="AK773" s="184"/>
      <c r="AL773" s="182"/>
      <c r="AM773" s="182"/>
      <c r="AN773" s="182"/>
      <c r="AO773" s="182"/>
      <c r="AP773" s="182"/>
      <c r="AQ773" s="182"/>
      <c r="AR773" s="182"/>
    </row>
    <row r="774" spans="1:44">
      <c r="A774" s="182"/>
      <c r="B774" s="182"/>
      <c r="C774" s="182"/>
      <c r="D774" s="182"/>
      <c r="E774" s="182"/>
      <c r="F774" s="182"/>
      <c r="G774" s="182"/>
      <c r="H774" s="182"/>
      <c r="I774" s="182"/>
      <c r="J774" s="182"/>
      <c r="K774" s="182"/>
      <c r="L774" s="182"/>
      <c r="M774" s="182"/>
      <c r="N774" s="177"/>
      <c r="O774" s="182"/>
      <c r="P774" s="179"/>
      <c r="Q774" s="182"/>
      <c r="R774" s="182"/>
      <c r="S774" s="182"/>
      <c r="T774" s="182"/>
      <c r="U774" s="182"/>
      <c r="V774" s="182"/>
      <c r="W774" s="182"/>
      <c r="X774" s="182"/>
      <c r="Y774" s="182"/>
      <c r="Z774" s="182"/>
      <c r="AA774" s="182"/>
      <c r="AB774" s="182"/>
      <c r="AC774" s="182"/>
      <c r="AD774" s="182"/>
      <c r="AE774" s="184"/>
      <c r="AF774" s="183"/>
      <c r="AG774" s="183"/>
      <c r="AH774" s="183"/>
      <c r="AI774" s="183"/>
      <c r="AJ774" s="182"/>
      <c r="AK774" s="184"/>
      <c r="AL774" s="182"/>
      <c r="AM774" s="182"/>
      <c r="AN774" s="182"/>
      <c r="AO774" s="182"/>
      <c r="AP774" s="182"/>
      <c r="AQ774" s="182"/>
      <c r="AR774" s="182"/>
    </row>
    <row r="775" spans="1:44">
      <c r="A775" s="182"/>
      <c r="B775" s="182"/>
      <c r="C775" s="182"/>
      <c r="D775" s="182"/>
      <c r="E775" s="182"/>
      <c r="F775" s="182"/>
      <c r="G775" s="182"/>
      <c r="H775" s="182"/>
      <c r="I775" s="182"/>
      <c r="J775" s="182"/>
      <c r="K775" s="182"/>
      <c r="L775" s="182"/>
      <c r="M775" s="182"/>
      <c r="N775" s="177"/>
      <c r="O775" s="182"/>
      <c r="P775" s="179"/>
      <c r="Q775" s="182"/>
      <c r="R775" s="182"/>
      <c r="S775" s="182"/>
      <c r="T775" s="182"/>
      <c r="U775" s="182"/>
      <c r="V775" s="182"/>
      <c r="W775" s="182"/>
      <c r="X775" s="182"/>
      <c r="Y775" s="182"/>
      <c r="Z775" s="182"/>
      <c r="AA775" s="182"/>
      <c r="AB775" s="182"/>
      <c r="AC775" s="182"/>
      <c r="AD775" s="182"/>
      <c r="AE775" s="184"/>
      <c r="AF775" s="183"/>
      <c r="AG775" s="183"/>
      <c r="AH775" s="183"/>
      <c r="AI775" s="183"/>
      <c r="AJ775" s="182"/>
      <c r="AK775" s="184"/>
      <c r="AL775" s="182"/>
      <c r="AM775" s="182"/>
      <c r="AN775" s="182"/>
      <c r="AO775" s="182"/>
      <c r="AP775" s="182"/>
      <c r="AQ775" s="182"/>
      <c r="AR775" s="182"/>
    </row>
    <row r="776" spans="1:44">
      <c r="A776" s="182"/>
      <c r="B776" s="182"/>
      <c r="C776" s="182"/>
      <c r="D776" s="182"/>
      <c r="E776" s="182"/>
      <c r="F776" s="182"/>
      <c r="G776" s="182"/>
      <c r="H776" s="182"/>
      <c r="I776" s="182"/>
      <c r="J776" s="182"/>
      <c r="K776" s="182"/>
      <c r="L776" s="182"/>
      <c r="M776" s="182"/>
      <c r="N776" s="177"/>
      <c r="O776" s="182"/>
      <c r="P776" s="179"/>
      <c r="Q776" s="182"/>
      <c r="R776" s="182"/>
      <c r="S776" s="182"/>
      <c r="T776" s="182"/>
      <c r="U776" s="182"/>
      <c r="V776" s="182"/>
      <c r="W776" s="182"/>
      <c r="X776" s="182"/>
      <c r="Y776" s="182"/>
      <c r="Z776" s="182"/>
      <c r="AA776" s="182"/>
      <c r="AB776" s="182"/>
      <c r="AC776" s="182"/>
      <c r="AD776" s="182"/>
      <c r="AE776" s="184"/>
      <c r="AF776" s="183"/>
      <c r="AG776" s="183"/>
      <c r="AH776" s="183"/>
      <c r="AI776" s="183"/>
      <c r="AJ776" s="182"/>
      <c r="AK776" s="184"/>
      <c r="AL776" s="182"/>
      <c r="AM776" s="182"/>
      <c r="AN776" s="182"/>
      <c r="AO776" s="182"/>
      <c r="AP776" s="182"/>
      <c r="AQ776" s="182"/>
      <c r="AR776" s="182"/>
    </row>
    <row r="777" spans="1:44">
      <c r="A777" s="182"/>
      <c r="B777" s="182"/>
      <c r="C777" s="182"/>
      <c r="D777" s="182"/>
      <c r="E777" s="182"/>
      <c r="F777" s="182"/>
      <c r="G777" s="182"/>
      <c r="H777" s="182"/>
      <c r="I777" s="182"/>
      <c r="J777" s="182"/>
      <c r="K777" s="182"/>
      <c r="L777" s="182"/>
      <c r="M777" s="182"/>
      <c r="N777" s="177"/>
      <c r="O777" s="182"/>
      <c r="P777" s="179"/>
      <c r="Q777" s="182"/>
      <c r="R777" s="182"/>
      <c r="S777" s="182"/>
      <c r="T777" s="182"/>
      <c r="U777" s="182"/>
      <c r="V777" s="182"/>
      <c r="W777" s="182"/>
      <c r="X777" s="182"/>
      <c r="Y777" s="182"/>
      <c r="Z777" s="182"/>
      <c r="AA777" s="182"/>
      <c r="AB777" s="182"/>
      <c r="AC777" s="182"/>
      <c r="AD777" s="182"/>
      <c r="AE777" s="184"/>
      <c r="AF777" s="183"/>
      <c r="AG777" s="183"/>
      <c r="AH777" s="183"/>
      <c r="AI777" s="183"/>
      <c r="AJ777" s="182"/>
      <c r="AK777" s="184"/>
      <c r="AL777" s="182"/>
      <c r="AM777" s="182"/>
      <c r="AN777" s="182"/>
      <c r="AO777" s="182"/>
      <c r="AP777" s="182"/>
      <c r="AQ777" s="182"/>
      <c r="AR777" s="182"/>
    </row>
    <row r="778" spans="1:44">
      <c r="A778" s="182"/>
      <c r="B778" s="182"/>
      <c r="C778" s="182"/>
      <c r="D778" s="182"/>
      <c r="E778" s="182"/>
      <c r="F778" s="182"/>
      <c r="G778" s="182"/>
      <c r="H778" s="182"/>
      <c r="I778" s="182"/>
      <c r="J778" s="182"/>
      <c r="K778" s="182"/>
      <c r="L778" s="182"/>
      <c r="M778" s="182"/>
      <c r="N778" s="177"/>
      <c r="O778" s="182"/>
      <c r="P778" s="179"/>
      <c r="Q778" s="182"/>
      <c r="R778" s="182"/>
      <c r="S778" s="182"/>
      <c r="T778" s="182"/>
      <c r="U778" s="182"/>
      <c r="V778" s="182"/>
      <c r="W778" s="182"/>
      <c r="X778" s="182"/>
      <c r="Y778" s="182"/>
      <c r="Z778" s="182"/>
      <c r="AA778" s="182"/>
      <c r="AB778" s="182"/>
      <c r="AC778" s="182"/>
      <c r="AD778" s="182"/>
      <c r="AE778" s="184"/>
      <c r="AF778" s="183"/>
      <c r="AG778" s="183"/>
      <c r="AH778" s="183"/>
      <c r="AI778" s="183"/>
      <c r="AJ778" s="182"/>
      <c r="AK778" s="184"/>
      <c r="AL778" s="182"/>
      <c r="AM778" s="182"/>
      <c r="AN778" s="182"/>
      <c r="AO778" s="182"/>
      <c r="AP778" s="182"/>
      <c r="AQ778" s="182"/>
      <c r="AR778" s="182"/>
    </row>
    <row r="779" spans="1:44">
      <c r="A779" s="182"/>
      <c r="B779" s="182"/>
      <c r="C779" s="182"/>
      <c r="D779" s="182"/>
      <c r="E779" s="182"/>
      <c r="F779" s="182"/>
      <c r="G779" s="182"/>
      <c r="H779" s="182"/>
      <c r="I779" s="182"/>
      <c r="J779" s="182"/>
      <c r="K779" s="182"/>
      <c r="L779" s="182"/>
      <c r="M779" s="182"/>
      <c r="N779" s="177"/>
      <c r="O779" s="182"/>
      <c r="P779" s="179"/>
      <c r="Q779" s="182"/>
      <c r="R779" s="182"/>
      <c r="S779" s="182"/>
      <c r="T779" s="182"/>
      <c r="U779" s="182"/>
      <c r="V779" s="182"/>
      <c r="W779" s="182"/>
      <c r="X779" s="182"/>
      <c r="Y779" s="182"/>
      <c r="Z779" s="182"/>
      <c r="AA779" s="182"/>
      <c r="AB779" s="182"/>
      <c r="AC779" s="182"/>
      <c r="AD779" s="182"/>
      <c r="AE779" s="184"/>
      <c r="AF779" s="183"/>
      <c r="AG779" s="183"/>
      <c r="AH779" s="183"/>
      <c r="AI779" s="183"/>
      <c r="AJ779" s="182"/>
      <c r="AK779" s="184"/>
      <c r="AL779" s="182"/>
      <c r="AM779" s="182"/>
      <c r="AN779" s="182"/>
      <c r="AO779" s="182"/>
      <c r="AP779" s="182"/>
      <c r="AQ779" s="182"/>
      <c r="AR779" s="182"/>
    </row>
    <row r="780" spans="1:44">
      <c r="A780" s="182"/>
      <c r="B780" s="182"/>
      <c r="C780" s="182"/>
      <c r="D780" s="182"/>
      <c r="E780" s="182"/>
      <c r="F780" s="182"/>
      <c r="G780" s="182"/>
      <c r="H780" s="182"/>
      <c r="I780" s="182"/>
      <c r="J780" s="182"/>
      <c r="K780" s="182"/>
      <c r="L780" s="182"/>
      <c r="M780" s="182"/>
      <c r="N780" s="177"/>
      <c r="O780" s="182"/>
      <c r="P780" s="179"/>
      <c r="Q780" s="182"/>
      <c r="R780" s="182"/>
      <c r="S780" s="182"/>
      <c r="T780" s="182"/>
      <c r="U780" s="182"/>
      <c r="V780" s="182"/>
      <c r="W780" s="182"/>
      <c r="X780" s="182"/>
      <c r="Y780" s="182"/>
      <c r="Z780" s="182"/>
      <c r="AA780" s="182"/>
      <c r="AB780" s="182"/>
      <c r="AC780" s="182"/>
      <c r="AD780" s="182"/>
      <c r="AE780" s="184"/>
      <c r="AF780" s="183"/>
      <c r="AG780" s="183"/>
      <c r="AH780" s="183"/>
      <c r="AI780" s="183"/>
      <c r="AJ780" s="182"/>
      <c r="AK780" s="184"/>
      <c r="AL780" s="182"/>
      <c r="AM780" s="182"/>
      <c r="AN780" s="182"/>
      <c r="AO780" s="182"/>
      <c r="AP780" s="182"/>
      <c r="AQ780" s="182"/>
      <c r="AR780" s="182"/>
    </row>
    <row r="781" spans="1:44">
      <c r="A781" s="182"/>
      <c r="B781" s="182"/>
      <c r="C781" s="182"/>
      <c r="D781" s="182"/>
      <c r="E781" s="182"/>
      <c r="F781" s="182"/>
      <c r="G781" s="182"/>
      <c r="H781" s="182"/>
      <c r="I781" s="182"/>
      <c r="J781" s="182"/>
      <c r="K781" s="182"/>
      <c r="L781" s="182"/>
      <c r="M781" s="182"/>
      <c r="N781" s="177"/>
      <c r="O781" s="182"/>
      <c r="P781" s="179"/>
      <c r="Q781" s="182"/>
      <c r="R781" s="182"/>
      <c r="S781" s="182"/>
      <c r="T781" s="182"/>
      <c r="U781" s="182"/>
      <c r="V781" s="182"/>
      <c r="W781" s="182"/>
      <c r="X781" s="182"/>
      <c r="Y781" s="182"/>
      <c r="Z781" s="182"/>
      <c r="AA781" s="182"/>
      <c r="AB781" s="182"/>
      <c r="AC781" s="182"/>
      <c r="AD781" s="182"/>
      <c r="AE781" s="184"/>
      <c r="AF781" s="183"/>
      <c r="AG781" s="183"/>
      <c r="AH781" s="183"/>
      <c r="AI781" s="183"/>
      <c r="AJ781" s="182"/>
      <c r="AK781" s="184"/>
      <c r="AL781" s="182"/>
      <c r="AM781" s="182"/>
      <c r="AN781" s="182"/>
      <c r="AO781" s="182"/>
      <c r="AP781" s="182"/>
      <c r="AQ781" s="182"/>
      <c r="AR781" s="182"/>
    </row>
    <row r="782" spans="1:44">
      <c r="A782" s="182"/>
      <c r="B782" s="182"/>
      <c r="C782" s="182"/>
      <c r="D782" s="182"/>
      <c r="E782" s="182"/>
      <c r="F782" s="182"/>
      <c r="G782" s="182"/>
      <c r="H782" s="182"/>
      <c r="I782" s="182"/>
      <c r="J782" s="182"/>
      <c r="K782" s="182"/>
      <c r="L782" s="182"/>
      <c r="M782" s="182"/>
      <c r="N782" s="177"/>
      <c r="O782" s="182"/>
      <c r="P782" s="179"/>
      <c r="Q782" s="182"/>
      <c r="R782" s="182"/>
      <c r="S782" s="182"/>
      <c r="T782" s="182"/>
      <c r="U782" s="182"/>
      <c r="V782" s="182"/>
      <c r="W782" s="182"/>
      <c r="X782" s="182"/>
      <c r="Y782" s="182"/>
      <c r="Z782" s="182"/>
      <c r="AA782" s="182"/>
      <c r="AB782" s="182"/>
      <c r="AC782" s="182"/>
      <c r="AD782" s="182"/>
      <c r="AE782" s="184"/>
      <c r="AF782" s="183"/>
      <c r="AG782" s="183"/>
      <c r="AH782" s="183"/>
      <c r="AI782" s="183"/>
      <c r="AJ782" s="182"/>
      <c r="AK782" s="184"/>
      <c r="AL782" s="182"/>
      <c r="AM782" s="182"/>
      <c r="AN782" s="182"/>
      <c r="AO782" s="182"/>
      <c r="AP782" s="182"/>
      <c r="AQ782" s="182"/>
      <c r="AR782" s="182"/>
    </row>
    <row r="783" spans="1:44">
      <c r="A783" s="182"/>
      <c r="B783" s="182"/>
      <c r="C783" s="182"/>
      <c r="D783" s="182"/>
      <c r="E783" s="182"/>
      <c r="F783" s="182"/>
      <c r="G783" s="182"/>
      <c r="H783" s="182"/>
      <c r="I783" s="182"/>
      <c r="J783" s="182"/>
      <c r="K783" s="182"/>
      <c r="L783" s="182"/>
      <c r="M783" s="182"/>
      <c r="N783" s="177"/>
      <c r="O783" s="182"/>
      <c r="P783" s="179"/>
      <c r="Q783" s="182"/>
      <c r="R783" s="182"/>
      <c r="S783" s="182"/>
      <c r="T783" s="182"/>
      <c r="U783" s="182"/>
      <c r="V783" s="182"/>
      <c r="W783" s="182"/>
      <c r="X783" s="182"/>
      <c r="Y783" s="182"/>
      <c r="Z783" s="182"/>
      <c r="AA783" s="182"/>
      <c r="AB783" s="182"/>
      <c r="AC783" s="182"/>
      <c r="AD783" s="182"/>
      <c r="AE783" s="184"/>
      <c r="AF783" s="183"/>
      <c r="AG783" s="183"/>
      <c r="AH783" s="183"/>
      <c r="AI783" s="183"/>
      <c r="AJ783" s="182"/>
      <c r="AK783" s="184"/>
      <c r="AL783" s="182"/>
      <c r="AM783" s="182"/>
      <c r="AN783" s="182"/>
      <c r="AO783" s="182"/>
      <c r="AP783" s="182"/>
      <c r="AQ783" s="182"/>
      <c r="AR783" s="182"/>
    </row>
    <row r="784" spans="1:44">
      <c r="A784" s="182"/>
      <c r="B784" s="182"/>
      <c r="C784" s="182"/>
      <c r="D784" s="182"/>
      <c r="E784" s="182"/>
      <c r="F784" s="182"/>
      <c r="G784" s="182"/>
      <c r="H784" s="182"/>
      <c r="I784" s="182"/>
      <c r="J784" s="182"/>
      <c r="K784" s="182"/>
      <c r="L784" s="182"/>
      <c r="M784" s="182"/>
      <c r="N784" s="177"/>
      <c r="O784" s="182"/>
      <c r="P784" s="179"/>
      <c r="Q784" s="182"/>
      <c r="R784" s="182"/>
      <c r="S784" s="182"/>
      <c r="T784" s="182"/>
      <c r="U784" s="182"/>
      <c r="V784" s="182"/>
      <c r="W784" s="182"/>
      <c r="X784" s="182"/>
      <c r="Y784" s="182"/>
      <c r="Z784" s="182"/>
      <c r="AA784" s="182"/>
      <c r="AB784" s="182"/>
      <c r="AC784" s="182"/>
      <c r="AD784" s="182"/>
      <c r="AE784" s="184"/>
      <c r="AF784" s="183"/>
      <c r="AG784" s="183"/>
      <c r="AH784" s="183"/>
      <c r="AI784" s="183"/>
      <c r="AJ784" s="182"/>
      <c r="AK784" s="184"/>
      <c r="AL784" s="182"/>
      <c r="AM784" s="182"/>
      <c r="AN784" s="182"/>
      <c r="AO784" s="182"/>
      <c r="AP784" s="182"/>
      <c r="AQ784" s="182"/>
      <c r="AR784" s="182"/>
    </row>
    <row r="785" spans="1:44">
      <c r="A785" s="182"/>
      <c r="B785" s="182"/>
      <c r="C785" s="182"/>
      <c r="D785" s="182"/>
      <c r="E785" s="182"/>
      <c r="F785" s="182"/>
      <c r="G785" s="182"/>
      <c r="H785" s="182"/>
      <c r="I785" s="182"/>
      <c r="J785" s="182"/>
      <c r="K785" s="182"/>
      <c r="L785" s="182"/>
      <c r="M785" s="182"/>
      <c r="N785" s="177"/>
      <c r="O785" s="182"/>
      <c r="P785" s="179"/>
      <c r="Q785" s="182"/>
      <c r="R785" s="182"/>
      <c r="S785" s="182"/>
      <c r="T785" s="182"/>
      <c r="U785" s="182"/>
      <c r="V785" s="182"/>
      <c r="W785" s="182"/>
      <c r="X785" s="182"/>
      <c r="Y785" s="182"/>
      <c r="Z785" s="182"/>
      <c r="AA785" s="182"/>
      <c r="AB785" s="182"/>
      <c r="AC785" s="182"/>
      <c r="AD785" s="182"/>
      <c r="AE785" s="184"/>
      <c r="AF785" s="183"/>
      <c r="AG785" s="183"/>
      <c r="AH785" s="183"/>
      <c r="AI785" s="183"/>
      <c r="AJ785" s="182"/>
      <c r="AK785" s="184"/>
      <c r="AL785" s="182"/>
      <c r="AM785" s="182"/>
      <c r="AN785" s="182"/>
      <c r="AO785" s="182"/>
      <c r="AP785" s="182"/>
      <c r="AQ785" s="182"/>
      <c r="AR785" s="182"/>
    </row>
    <row r="786" spans="1:44">
      <c r="A786" s="182"/>
      <c r="B786" s="182"/>
      <c r="C786" s="182"/>
      <c r="D786" s="182"/>
      <c r="E786" s="182"/>
      <c r="F786" s="182"/>
      <c r="G786" s="182"/>
      <c r="H786" s="182"/>
      <c r="I786" s="182"/>
      <c r="J786" s="182"/>
      <c r="K786" s="182"/>
      <c r="L786" s="182"/>
      <c r="M786" s="182"/>
      <c r="N786" s="177"/>
      <c r="O786" s="182"/>
      <c r="P786" s="179"/>
      <c r="Q786" s="182"/>
      <c r="R786" s="182"/>
      <c r="S786" s="182"/>
      <c r="T786" s="182"/>
      <c r="U786" s="182"/>
      <c r="V786" s="182"/>
      <c r="W786" s="182"/>
      <c r="X786" s="182"/>
      <c r="Y786" s="182"/>
      <c r="Z786" s="182"/>
      <c r="AA786" s="182"/>
      <c r="AB786" s="182"/>
      <c r="AC786" s="182"/>
      <c r="AD786" s="182"/>
      <c r="AE786" s="184"/>
      <c r="AF786" s="183"/>
      <c r="AG786" s="183"/>
      <c r="AH786" s="183"/>
      <c r="AI786" s="183"/>
      <c r="AJ786" s="182"/>
      <c r="AK786" s="184"/>
      <c r="AL786" s="182"/>
      <c r="AM786" s="182"/>
      <c r="AN786" s="182"/>
      <c r="AO786" s="182"/>
      <c r="AP786" s="182"/>
      <c r="AQ786" s="182"/>
      <c r="AR786" s="182"/>
    </row>
    <row r="787" spans="1:44">
      <c r="A787" s="182"/>
      <c r="B787" s="182"/>
      <c r="C787" s="182"/>
      <c r="D787" s="182"/>
      <c r="E787" s="182"/>
      <c r="F787" s="182"/>
      <c r="G787" s="182"/>
      <c r="H787" s="182"/>
      <c r="I787" s="182"/>
      <c r="J787" s="182"/>
      <c r="K787" s="182"/>
      <c r="L787" s="182"/>
      <c r="M787" s="182"/>
      <c r="N787" s="177"/>
      <c r="O787" s="182"/>
      <c r="P787" s="179"/>
      <c r="Q787" s="182"/>
      <c r="R787" s="182"/>
      <c r="S787" s="182"/>
      <c r="T787" s="182"/>
      <c r="U787" s="182"/>
      <c r="V787" s="182"/>
      <c r="W787" s="182"/>
      <c r="X787" s="182"/>
      <c r="Y787" s="182"/>
      <c r="Z787" s="182"/>
      <c r="AA787" s="182"/>
      <c r="AB787" s="182"/>
      <c r="AC787" s="182"/>
      <c r="AD787" s="182"/>
      <c r="AE787" s="184"/>
      <c r="AF787" s="183"/>
      <c r="AG787" s="183"/>
      <c r="AH787" s="183"/>
      <c r="AI787" s="183"/>
      <c r="AJ787" s="182"/>
      <c r="AK787" s="184"/>
      <c r="AL787" s="182"/>
      <c r="AM787" s="182"/>
      <c r="AN787" s="182"/>
      <c r="AO787" s="182"/>
      <c r="AP787" s="182"/>
      <c r="AQ787" s="182"/>
      <c r="AR787" s="182"/>
    </row>
    <row r="788" spans="1:44">
      <c r="A788" s="182"/>
      <c r="B788" s="182"/>
      <c r="C788" s="182"/>
      <c r="D788" s="182"/>
      <c r="E788" s="182"/>
      <c r="F788" s="182"/>
      <c r="G788" s="182"/>
      <c r="H788" s="182"/>
      <c r="I788" s="182"/>
      <c r="J788" s="182"/>
      <c r="K788" s="182"/>
      <c r="L788" s="182"/>
      <c r="M788" s="182"/>
      <c r="N788" s="177"/>
      <c r="O788" s="182"/>
      <c r="P788" s="179"/>
      <c r="Q788" s="182"/>
      <c r="R788" s="182"/>
      <c r="S788" s="182"/>
      <c r="T788" s="182"/>
      <c r="U788" s="182"/>
      <c r="V788" s="182"/>
      <c r="W788" s="182"/>
      <c r="X788" s="182"/>
      <c r="Y788" s="182"/>
      <c r="Z788" s="182"/>
      <c r="AA788" s="182"/>
      <c r="AB788" s="182"/>
      <c r="AC788" s="182"/>
      <c r="AD788" s="182"/>
      <c r="AE788" s="184"/>
      <c r="AF788" s="183"/>
      <c r="AG788" s="183"/>
      <c r="AH788" s="183"/>
      <c r="AI788" s="183"/>
      <c r="AJ788" s="182"/>
      <c r="AK788" s="184"/>
      <c r="AL788" s="182"/>
      <c r="AM788" s="182"/>
      <c r="AN788" s="182"/>
      <c r="AO788" s="182"/>
      <c r="AP788" s="182"/>
      <c r="AQ788" s="182"/>
      <c r="AR788" s="182"/>
    </row>
    <row r="789" spans="1:44">
      <c r="A789" s="182"/>
      <c r="B789" s="182"/>
      <c r="C789" s="182"/>
      <c r="D789" s="182"/>
      <c r="E789" s="182"/>
      <c r="F789" s="182"/>
      <c r="G789" s="182"/>
      <c r="H789" s="182"/>
      <c r="I789" s="182"/>
      <c r="J789" s="182"/>
      <c r="K789" s="182"/>
      <c r="L789" s="182"/>
      <c r="M789" s="182"/>
      <c r="N789" s="177"/>
      <c r="O789" s="182"/>
      <c r="P789" s="179"/>
      <c r="Q789" s="182"/>
      <c r="R789" s="182"/>
      <c r="S789" s="182"/>
      <c r="T789" s="182"/>
      <c r="U789" s="182"/>
      <c r="V789" s="182"/>
      <c r="W789" s="182"/>
      <c r="X789" s="182"/>
      <c r="Y789" s="182"/>
      <c r="Z789" s="182"/>
      <c r="AA789" s="182"/>
      <c r="AB789" s="182"/>
      <c r="AC789" s="182"/>
      <c r="AD789" s="182"/>
      <c r="AE789" s="184"/>
      <c r="AF789" s="183"/>
      <c r="AG789" s="183"/>
      <c r="AH789" s="183"/>
      <c r="AI789" s="183"/>
      <c r="AJ789" s="182"/>
      <c r="AK789" s="184"/>
      <c r="AL789" s="182"/>
      <c r="AM789" s="182"/>
      <c r="AN789" s="182"/>
      <c r="AO789" s="182"/>
      <c r="AP789" s="182"/>
      <c r="AQ789" s="182"/>
      <c r="AR789" s="182"/>
    </row>
    <row r="790" spans="1:44">
      <c r="A790" s="182"/>
      <c r="B790" s="182"/>
      <c r="C790" s="182"/>
      <c r="D790" s="182"/>
      <c r="E790" s="182"/>
      <c r="F790" s="182"/>
      <c r="G790" s="182"/>
      <c r="H790" s="182"/>
      <c r="I790" s="182"/>
      <c r="J790" s="182"/>
      <c r="K790" s="182"/>
      <c r="L790" s="182"/>
      <c r="M790" s="182"/>
      <c r="N790" s="177"/>
      <c r="O790" s="182"/>
      <c r="P790" s="179"/>
      <c r="Q790" s="182"/>
      <c r="R790" s="182"/>
      <c r="S790" s="182"/>
      <c r="T790" s="182"/>
      <c r="U790" s="182"/>
      <c r="V790" s="182"/>
      <c r="W790" s="182"/>
      <c r="X790" s="182"/>
      <c r="Y790" s="182"/>
      <c r="Z790" s="182"/>
      <c r="AA790" s="182"/>
      <c r="AB790" s="182"/>
      <c r="AC790" s="182"/>
      <c r="AD790" s="182"/>
      <c r="AE790" s="184"/>
      <c r="AF790" s="183"/>
      <c r="AG790" s="183"/>
      <c r="AH790" s="183"/>
      <c r="AI790" s="183"/>
      <c r="AJ790" s="182"/>
      <c r="AK790" s="184"/>
      <c r="AL790" s="182"/>
      <c r="AM790" s="182"/>
      <c r="AN790" s="182"/>
      <c r="AO790" s="182"/>
      <c r="AP790" s="182"/>
      <c r="AQ790" s="182"/>
      <c r="AR790" s="182"/>
    </row>
    <row r="791" spans="1:44">
      <c r="A791" s="182"/>
      <c r="B791" s="182"/>
      <c r="C791" s="182"/>
      <c r="D791" s="182"/>
      <c r="E791" s="182"/>
      <c r="F791" s="182"/>
      <c r="G791" s="182"/>
      <c r="H791" s="182"/>
      <c r="I791" s="182"/>
      <c r="J791" s="182"/>
      <c r="K791" s="182"/>
      <c r="L791" s="182"/>
      <c r="M791" s="182"/>
      <c r="N791" s="177"/>
      <c r="O791" s="182"/>
      <c r="P791" s="179"/>
      <c r="Q791" s="182"/>
      <c r="R791" s="182"/>
      <c r="S791" s="182"/>
      <c r="T791" s="182"/>
      <c r="U791" s="182"/>
      <c r="V791" s="182"/>
      <c r="W791" s="182"/>
      <c r="X791" s="182"/>
      <c r="Y791" s="182"/>
      <c r="Z791" s="182"/>
      <c r="AA791" s="182"/>
      <c r="AB791" s="182"/>
      <c r="AC791" s="182"/>
      <c r="AD791" s="182"/>
      <c r="AE791" s="184"/>
      <c r="AF791" s="183"/>
      <c r="AG791" s="183"/>
      <c r="AH791" s="183"/>
      <c r="AI791" s="183"/>
      <c r="AJ791" s="182"/>
      <c r="AK791" s="184"/>
      <c r="AL791" s="182"/>
      <c r="AM791" s="182"/>
      <c r="AN791" s="182"/>
      <c r="AO791" s="182"/>
      <c r="AP791" s="182"/>
      <c r="AQ791" s="182"/>
      <c r="AR791" s="182"/>
    </row>
    <row r="792" spans="1:44">
      <c r="A792" s="182"/>
      <c r="B792" s="182"/>
      <c r="C792" s="182"/>
      <c r="D792" s="182"/>
      <c r="E792" s="182"/>
      <c r="F792" s="182"/>
      <c r="G792" s="182"/>
      <c r="H792" s="182"/>
      <c r="I792" s="182"/>
      <c r="J792" s="182"/>
      <c r="K792" s="182"/>
      <c r="L792" s="182"/>
      <c r="M792" s="182"/>
      <c r="N792" s="177"/>
      <c r="O792" s="182"/>
      <c r="P792" s="179"/>
      <c r="Q792" s="182"/>
      <c r="R792" s="182"/>
      <c r="S792" s="182"/>
      <c r="T792" s="182"/>
      <c r="U792" s="182"/>
      <c r="V792" s="182"/>
      <c r="W792" s="182"/>
      <c r="X792" s="182"/>
      <c r="Y792" s="182"/>
      <c r="Z792" s="182"/>
      <c r="AA792" s="182"/>
      <c r="AB792" s="182"/>
      <c r="AC792" s="182"/>
      <c r="AD792" s="182"/>
      <c r="AE792" s="184"/>
      <c r="AF792" s="183"/>
      <c r="AG792" s="183"/>
      <c r="AH792" s="183"/>
      <c r="AI792" s="183"/>
      <c r="AJ792" s="182"/>
      <c r="AK792" s="184"/>
      <c r="AL792" s="182"/>
      <c r="AM792" s="182"/>
      <c r="AN792" s="182"/>
      <c r="AO792" s="182"/>
      <c r="AP792" s="182"/>
      <c r="AQ792" s="182"/>
      <c r="AR792" s="182"/>
    </row>
    <row r="793" spans="1:44">
      <c r="A793" s="182"/>
      <c r="B793" s="182"/>
      <c r="C793" s="182"/>
      <c r="D793" s="182"/>
      <c r="E793" s="182"/>
      <c r="F793" s="182"/>
      <c r="G793" s="182"/>
      <c r="H793" s="182"/>
      <c r="I793" s="182"/>
      <c r="J793" s="182"/>
      <c r="K793" s="182"/>
      <c r="L793" s="182"/>
      <c r="M793" s="182"/>
      <c r="N793" s="177"/>
      <c r="O793" s="182"/>
      <c r="P793" s="179"/>
      <c r="Q793" s="182"/>
      <c r="R793" s="182"/>
      <c r="S793" s="182"/>
      <c r="T793" s="182"/>
      <c r="U793" s="182"/>
      <c r="V793" s="182"/>
      <c r="W793" s="182"/>
      <c r="X793" s="182"/>
      <c r="Y793" s="182"/>
      <c r="Z793" s="182"/>
      <c r="AA793" s="182"/>
      <c r="AB793" s="182"/>
      <c r="AC793" s="182"/>
      <c r="AD793" s="182"/>
      <c r="AE793" s="184"/>
      <c r="AF793" s="183"/>
      <c r="AG793" s="183"/>
      <c r="AH793" s="183"/>
      <c r="AI793" s="183"/>
      <c r="AJ793" s="182"/>
      <c r="AK793" s="184"/>
      <c r="AL793" s="182"/>
      <c r="AM793" s="182"/>
      <c r="AN793" s="182"/>
      <c r="AO793" s="182"/>
      <c r="AP793" s="182"/>
      <c r="AQ793" s="182"/>
      <c r="AR793" s="182"/>
    </row>
    <row r="794" spans="1:44">
      <c r="A794" s="182"/>
      <c r="B794" s="182"/>
      <c r="C794" s="182"/>
      <c r="D794" s="182"/>
      <c r="E794" s="182"/>
      <c r="F794" s="182"/>
      <c r="G794" s="182"/>
      <c r="H794" s="182"/>
      <c r="I794" s="182"/>
      <c r="J794" s="182"/>
      <c r="K794" s="182"/>
      <c r="L794" s="182"/>
      <c r="M794" s="182"/>
      <c r="N794" s="177"/>
      <c r="O794" s="182"/>
      <c r="P794" s="179"/>
      <c r="Q794" s="182"/>
      <c r="R794" s="182"/>
      <c r="S794" s="182"/>
      <c r="T794" s="182"/>
      <c r="U794" s="182"/>
      <c r="V794" s="182"/>
      <c r="W794" s="182"/>
      <c r="X794" s="182"/>
      <c r="Y794" s="182"/>
      <c r="Z794" s="182"/>
      <c r="AA794" s="182"/>
      <c r="AB794" s="182"/>
      <c r="AC794" s="182"/>
      <c r="AD794" s="182"/>
      <c r="AE794" s="184"/>
      <c r="AF794" s="183"/>
      <c r="AG794" s="183"/>
      <c r="AH794" s="183"/>
      <c r="AI794" s="183"/>
      <c r="AJ794" s="182"/>
      <c r="AK794" s="184"/>
      <c r="AL794" s="182"/>
      <c r="AM794" s="182"/>
      <c r="AN794" s="182"/>
      <c r="AO794" s="182"/>
      <c r="AP794" s="182"/>
      <c r="AQ794" s="182"/>
      <c r="AR794" s="182"/>
    </row>
    <row r="795" spans="1:44">
      <c r="A795" s="182"/>
      <c r="B795" s="182"/>
      <c r="C795" s="182"/>
      <c r="D795" s="182"/>
      <c r="E795" s="182"/>
      <c r="F795" s="182"/>
      <c r="G795" s="182"/>
      <c r="H795" s="182"/>
      <c r="I795" s="182"/>
      <c r="J795" s="182"/>
      <c r="K795" s="182"/>
      <c r="L795" s="182"/>
      <c r="M795" s="182"/>
      <c r="N795" s="177"/>
      <c r="O795" s="182"/>
      <c r="P795" s="179"/>
      <c r="Q795" s="182"/>
      <c r="R795" s="182"/>
      <c r="S795" s="182"/>
      <c r="T795" s="182"/>
      <c r="U795" s="182"/>
      <c r="V795" s="182"/>
      <c r="W795" s="182"/>
      <c r="X795" s="182"/>
      <c r="Y795" s="182"/>
      <c r="Z795" s="182"/>
      <c r="AA795" s="182"/>
      <c r="AB795" s="182"/>
      <c r="AC795" s="182"/>
      <c r="AD795" s="182"/>
      <c r="AE795" s="184"/>
      <c r="AF795" s="183"/>
      <c r="AG795" s="183"/>
      <c r="AH795" s="183"/>
      <c r="AI795" s="183"/>
      <c r="AJ795" s="182"/>
      <c r="AK795" s="184"/>
      <c r="AL795" s="182"/>
      <c r="AM795" s="182"/>
      <c r="AN795" s="182"/>
      <c r="AO795" s="182"/>
      <c r="AP795" s="182"/>
      <c r="AQ795" s="182"/>
      <c r="AR795" s="182"/>
    </row>
    <row r="796" spans="1:44">
      <c r="A796" s="182"/>
      <c r="B796" s="182"/>
      <c r="C796" s="182"/>
      <c r="D796" s="182"/>
      <c r="E796" s="182"/>
      <c r="F796" s="182"/>
      <c r="G796" s="182"/>
      <c r="H796" s="182"/>
      <c r="I796" s="182"/>
      <c r="J796" s="182"/>
      <c r="K796" s="182"/>
      <c r="L796" s="182"/>
      <c r="M796" s="182"/>
      <c r="N796" s="177"/>
      <c r="O796" s="182"/>
      <c r="P796" s="179"/>
      <c r="Q796" s="182"/>
      <c r="R796" s="182"/>
      <c r="S796" s="182"/>
      <c r="T796" s="182"/>
      <c r="U796" s="182"/>
      <c r="V796" s="182"/>
      <c r="W796" s="182"/>
      <c r="X796" s="182"/>
      <c r="Y796" s="182"/>
      <c r="Z796" s="182"/>
      <c r="AA796" s="182"/>
      <c r="AB796" s="182"/>
      <c r="AC796" s="182"/>
      <c r="AD796" s="182"/>
      <c r="AE796" s="184"/>
      <c r="AF796" s="183"/>
      <c r="AG796" s="183"/>
      <c r="AH796" s="183"/>
      <c r="AI796" s="183"/>
      <c r="AJ796" s="182"/>
      <c r="AK796" s="184"/>
      <c r="AL796" s="182"/>
      <c r="AM796" s="182"/>
      <c r="AN796" s="182"/>
      <c r="AO796" s="182"/>
      <c r="AP796" s="182"/>
      <c r="AQ796" s="182"/>
      <c r="AR796" s="182"/>
    </row>
    <row r="797" spans="1:44">
      <c r="A797" s="182"/>
      <c r="B797" s="182"/>
      <c r="C797" s="182"/>
      <c r="D797" s="182"/>
      <c r="E797" s="182"/>
      <c r="F797" s="182"/>
      <c r="G797" s="182"/>
      <c r="H797" s="182"/>
      <c r="I797" s="182"/>
      <c r="J797" s="182"/>
      <c r="K797" s="182"/>
      <c r="L797" s="182"/>
      <c r="M797" s="182"/>
      <c r="N797" s="177"/>
      <c r="O797" s="182"/>
      <c r="P797" s="179"/>
      <c r="Q797" s="182"/>
      <c r="R797" s="182"/>
      <c r="S797" s="182"/>
      <c r="T797" s="182"/>
      <c r="U797" s="182"/>
      <c r="V797" s="182"/>
      <c r="W797" s="182"/>
      <c r="X797" s="182"/>
      <c r="Y797" s="182"/>
      <c r="Z797" s="182"/>
      <c r="AA797" s="182"/>
      <c r="AB797" s="182"/>
      <c r="AC797" s="182"/>
      <c r="AD797" s="182"/>
      <c r="AE797" s="184"/>
      <c r="AF797" s="183"/>
      <c r="AG797" s="183"/>
      <c r="AH797" s="183"/>
      <c r="AI797" s="183"/>
      <c r="AJ797" s="182"/>
      <c r="AK797" s="184"/>
      <c r="AL797" s="182"/>
      <c r="AM797" s="182"/>
      <c r="AN797" s="182"/>
      <c r="AO797" s="182"/>
      <c r="AP797" s="182"/>
      <c r="AQ797" s="182"/>
      <c r="AR797" s="182"/>
    </row>
    <row r="798" spans="1:44">
      <c r="A798" s="182"/>
      <c r="B798" s="182"/>
      <c r="C798" s="182"/>
      <c r="D798" s="182"/>
      <c r="E798" s="182"/>
      <c r="F798" s="182"/>
      <c r="G798" s="182"/>
      <c r="H798" s="182"/>
      <c r="I798" s="182"/>
      <c r="J798" s="182"/>
      <c r="K798" s="182"/>
      <c r="L798" s="182"/>
      <c r="M798" s="182"/>
      <c r="N798" s="177"/>
      <c r="O798" s="182"/>
      <c r="P798" s="179"/>
      <c r="Q798" s="182"/>
      <c r="R798" s="182"/>
      <c r="S798" s="182"/>
      <c r="T798" s="182"/>
      <c r="U798" s="182"/>
      <c r="V798" s="182"/>
      <c r="W798" s="182"/>
      <c r="X798" s="182"/>
      <c r="Y798" s="182"/>
      <c r="Z798" s="182"/>
      <c r="AA798" s="182"/>
      <c r="AB798" s="182"/>
      <c r="AC798" s="182"/>
      <c r="AD798" s="182"/>
      <c r="AE798" s="184"/>
      <c r="AF798" s="183"/>
      <c r="AG798" s="183"/>
      <c r="AH798" s="183"/>
      <c r="AI798" s="183"/>
      <c r="AJ798" s="182"/>
      <c r="AK798" s="184"/>
      <c r="AL798" s="182"/>
      <c r="AM798" s="182"/>
      <c r="AN798" s="182"/>
      <c r="AO798" s="182"/>
      <c r="AP798" s="182"/>
      <c r="AQ798" s="182"/>
      <c r="AR798" s="182"/>
    </row>
    <row r="799" spans="1:44">
      <c r="A799" s="182"/>
      <c r="B799" s="182"/>
      <c r="C799" s="182"/>
      <c r="D799" s="182"/>
      <c r="E799" s="182"/>
      <c r="F799" s="182"/>
      <c r="G799" s="182"/>
      <c r="H799" s="182"/>
      <c r="I799" s="182"/>
      <c r="J799" s="182"/>
      <c r="K799" s="182"/>
      <c r="L799" s="182"/>
      <c r="M799" s="182"/>
      <c r="N799" s="177"/>
      <c r="O799" s="182"/>
      <c r="P799" s="179"/>
      <c r="Q799" s="182"/>
      <c r="R799" s="182"/>
      <c r="S799" s="182"/>
      <c r="T799" s="182"/>
      <c r="U799" s="182"/>
      <c r="V799" s="182"/>
      <c r="W799" s="182"/>
      <c r="X799" s="182"/>
      <c r="Y799" s="182"/>
      <c r="Z799" s="182"/>
      <c r="AA799" s="182"/>
      <c r="AB799" s="182"/>
      <c r="AC799" s="182"/>
      <c r="AD799" s="182"/>
      <c r="AE799" s="184"/>
      <c r="AF799" s="183"/>
      <c r="AG799" s="183"/>
      <c r="AH799" s="183"/>
      <c r="AI799" s="183"/>
      <c r="AJ799" s="182"/>
      <c r="AK799" s="184"/>
      <c r="AL799" s="182"/>
      <c r="AM799" s="182"/>
      <c r="AN799" s="182"/>
      <c r="AO799" s="182"/>
      <c r="AP799" s="182"/>
      <c r="AQ799" s="182"/>
      <c r="AR799" s="182"/>
    </row>
    <row r="800" spans="1:44">
      <c r="A800" s="182"/>
      <c r="B800" s="182"/>
      <c r="C800" s="182"/>
      <c r="D800" s="182"/>
      <c r="E800" s="182"/>
      <c r="F800" s="182"/>
      <c r="G800" s="182"/>
      <c r="H800" s="182"/>
      <c r="I800" s="182"/>
      <c r="J800" s="182"/>
      <c r="K800" s="182"/>
      <c r="L800" s="182"/>
      <c r="M800" s="182"/>
      <c r="N800" s="177"/>
      <c r="O800" s="182"/>
      <c r="P800" s="179"/>
      <c r="Q800" s="182"/>
      <c r="R800" s="182"/>
      <c r="S800" s="182"/>
      <c r="T800" s="182"/>
      <c r="U800" s="182"/>
      <c r="V800" s="182"/>
      <c r="W800" s="182"/>
      <c r="X800" s="182"/>
      <c r="Y800" s="182"/>
      <c r="Z800" s="182"/>
      <c r="AA800" s="182"/>
      <c r="AB800" s="182"/>
      <c r="AC800" s="182"/>
      <c r="AD800" s="182"/>
      <c r="AE800" s="184"/>
      <c r="AF800" s="183"/>
      <c r="AG800" s="183"/>
      <c r="AH800" s="183"/>
      <c r="AI800" s="183"/>
      <c r="AJ800" s="182"/>
      <c r="AK800" s="184"/>
      <c r="AL800" s="182"/>
      <c r="AM800" s="182"/>
      <c r="AN800" s="182"/>
      <c r="AO800" s="182"/>
      <c r="AP800" s="182"/>
      <c r="AQ800" s="182"/>
      <c r="AR800" s="182"/>
    </row>
    <row r="801" spans="1:44">
      <c r="A801" s="182"/>
      <c r="B801" s="182"/>
      <c r="C801" s="182"/>
      <c r="D801" s="182"/>
      <c r="E801" s="182"/>
      <c r="F801" s="182"/>
      <c r="G801" s="182"/>
      <c r="H801" s="182"/>
      <c r="I801" s="182"/>
      <c r="J801" s="182"/>
      <c r="K801" s="182"/>
      <c r="L801" s="182"/>
      <c r="M801" s="182"/>
      <c r="N801" s="177"/>
      <c r="O801" s="182"/>
      <c r="P801" s="179"/>
      <c r="Q801" s="182"/>
      <c r="R801" s="182"/>
      <c r="S801" s="182"/>
      <c r="T801" s="182"/>
      <c r="U801" s="182"/>
      <c r="V801" s="182"/>
      <c r="W801" s="182"/>
      <c r="X801" s="182"/>
      <c r="Y801" s="182"/>
      <c r="Z801" s="182"/>
      <c r="AA801" s="182"/>
      <c r="AB801" s="182"/>
      <c r="AC801" s="182"/>
      <c r="AD801" s="182"/>
      <c r="AE801" s="184"/>
      <c r="AF801" s="183"/>
      <c r="AG801" s="183"/>
      <c r="AH801" s="183"/>
      <c r="AI801" s="183"/>
      <c r="AJ801" s="182"/>
      <c r="AK801" s="184"/>
      <c r="AL801" s="182"/>
      <c r="AM801" s="182"/>
      <c r="AN801" s="182"/>
      <c r="AO801" s="182"/>
      <c r="AP801" s="182"/>
      <c r="AQ801" s="182"/>
      <c r="AR801" s="182"/>
    </row>
    <row r="802" spans="1:44">
      <c r="A802" s="182"/>
      <c r="B802" s="182"/>
      <c r="C802" s="182"/>
      <c r="D802" s="182"/>
      <c r="E802" s="182"/>
      <c r="F802" s="182"/>
      <c r="G802" s="182"/>
      <c r="H802" s="182"/>
      <c r="I802" s="182"/>
      <c r="J802" s="182"/>
      <c r="K802" s="182"/>
      <c r="L802" s="182"/>
      <c r="M802" s="182"/>
      <c r="N802" s="177"/>
      <c r="O802" s="182"/>
      <c r="P802" s="179"/>
      <c r="Q802" s="182"/>
      <c r="R802" s="182"/>
      <c r="S802" s="182"/>
      <c r="T802" s="182"/>
      <c r="U802" s="182"/>
      <c r="V802" s="182"/>
      <c r="W802" s="182"/>
      <c r="X802" s="182"/>
      <c r="Y802" s="182"/>
      <c r="Z802" s="182"/>
      <c r="AA802" s="182"/>
      <c r="AB802" s="182"/>
      <c r="AC802" s="182"/>
      <c r="AD802" s="182"/>
      <c r="AE802" s="184"/>
      <c r="AF802" s="183"/>
      <c r="AG802" s="183"/>
      <c r="AH802" s="183"/>
      <c r="AI802" s="183"/>
      <c r="AJ802" s="182"/>
      <c r="AK802" s="184"/>
      <c r="AL802" s="182"/>
      <c r="AM802" s="182"/>
      <c r="AN802" s="182"/>
      <c r="AO802" s="182"/>
      <c r="AP802" s="182"/>
      <c r="AQ802" s="182"/>
      <c r="AR802" s="182"/>
    </row>
    <row r="803" spans="1:44">
      <c r="A803" s="182"/>
      <c r="B803" s="182"/>
      <c r="C803" s="182"/>
      <c r="D803" s="182"/>
      <c r="E803" s="182"/>
      <c r="F803" s="182"/>
      <c r="G803" s="182"/>
      <c r="H803" s="182"/>
      <c r="I803" s="182"/>
      <c r="J803" s="182"/>
      <c r="K803" s="182"/>
      <c r="L803" s="182"/>
      <c r="M803" s="182"/>
      <c r="N803" s="177"/>
      <c r="O803" s="182"/>
      <c r="P803" s="179"/>
      <c r="Q803" s="182"/>
      <c r="R803" s="182"/>
      <c r="S803" s="182"/>
      <c r="T803" s="182"/>
      <c r="U803" s="182"/>
      <c r="V803" s="182"/>
      <c r="W803" s="182"/>
      <c r="X803" s="182"/>
      <c r="Y803" s="182"/>
      <c r="Z803" s="182"/>
      <c r="AA803" s="182"/>
      <c r="AB803" s="182"/>
      <c r="AC803" s="182"/>
      <c r="AD803" s="182"/>
      <c r="AE803" s="184"/>
      <c r="AF803" s="183"/>
      <c r="AG803" s="183"/>
      <c r="AH803" s="183"/>
      <c r="AI803" s="183"/>
      <c r="AJ803" s="182"/>
      <c r="AK803" s="184"/>
      <c r="AL803" s="182"/>
      <c r="AM803" s="182"/>
      <c r="AN803" s="182"/>
      <c r="AO803" s="182"/>
      <c r="AP803" s="182"/>
      <c r="AQ803" s="182"/>
      <c r="AR803" s="182"/>
    </row>
    <row r="804" spans="1:44">
      <c r="A804" s="182"/>
      <c r="B804" s="182"/>
      <c r="C804" s="182"/>
      <c r="D804" s="182"/>
      <c r="E804" s="182"/>
      <c r="F804" s="182"/>
      <c r="G804" s="182"/>
      <c r="H804" s="182"/>
      <c r="I804" s="182"/>
      <c r="J804" s="182"/>
      <c r="K804" s="182"/>
      <c r="L804" s="182"/>
      <c r="M804" s="182"/>
      <c r="N804" s="177"/>
      <c r="O804" s="182"/>
      <c r="P804" s="179"/>
      <c r="Q804" s="182"/>
      <c r="R804" s="182"/>
      <c r="S804" s="182"/>
      <c r="T804" s="182"/>
      <c r="U804" s="182"/>
      <c r="V804" s="182"/>
      <c r="W804" s="182"/>
      <c r="X804" s="182"/>
      <c r="Y804" s="182"/>
      <c r="Z804" s="182"/>
      <c r="AA804" s="182"/>
      <c r="AB804" s="182"/>
      <c r="AC804" s="182"/>
      <c r="AD804" s="182"/>
      <c r="AE804" s="184"/>
      <c r="AF804" s="183"/>
      <c r="AG804" s="183"/>
      <c r="AH804" s="183"/>
      <c r="AI804" s="183"/>
      <c r="AJ804" s="182"/>
      <c r="AK804" s="184"/>
      <c r="AL804" s="182"/>
      <c r="AM804" s="182"/>
      <c r="AN804" s="182"/>
      <c r="AO804" s="182"/>
      <c r="AP804" s="182"/>
      <c r="AQ804" s="182"/>
      <c r="AR804" s="182"/>
    </row>
    <row r="805" spans="1:44">
      <c r="A805" s="182"/>
      <c r="B805" s="182"/>
      <c r="C805" s="182"/>
      <c r="D805" s="182"/>
      <c r="E805" s="182"/>
      <c r="F805" s="182"/>
      <c r="G805" s="182"/>
      <c r="H805" s="182"/>
      <c r="I805" s="182"/>
      <c r="J805" s="182"/>
      <c r="K805" s="182"/>
      <c r="L805" s="182"/>
      <c r="M805" s="182"/>
      <c r="N805" s="177"/>
      <c r="O805" s="182"/>
      <c r="P805" s="179"/>
      <c r="Q805" s="182"/>
      <c r="R805" s="182"/>
      <c r="S805" s="182"/>
      <c r="T805" s="182"/>
      <c r="U805" s="182"/>
      <c r="V805" s="182"/>
      <c r="W805" s="182"/>
      <c r="X805" s="182"/>
      <c r="Y805" s="182"/>
      <c r="Z805" s="182"/>
      <c r="AA805" s="182"/>
      <c r="AB805" s="182"/>
      <c r="AC805" s="182"/>
      <c r="AD805" s="182"/>
      <c r="AE805" s="184"/>
      <c r="AF805" s="183"/>
      <c r="AG805" s="183"/>
      <c r="AH805" s="183"/>
      <c r="AI805" s="183"/>
      <c r="AJ805" s="182"/>
      <c r="AK805" s="184"/>
      <c r="AL805" s="182"/>
      <c r="AM805" s="182"/>
      <c r="AN805" s="182"/>
      <c r="AO805" s="182"/>
      <c r="AP805" s="182"/>
      <c r="AQ805" s="182"/>
      <c r="AR805" s="182"/>
    </row>
    <row r="806" spans="1:44">
      <c r="A806" s="182"/>
      <c r="B806" s="182"/>
      <c r="C806" s="182"/>
      <c r="D806" s="182"/>
      <c r="E806" s="182"/>
      <c r="F806" s="182"/>
      <c r="G806" s="182"/>
      <c r="H806" s="182"/>
      <c r="I806" s="182"/>
      <c r="J806" s="182"/>
      <c r="K806" s="182"/>
      <c r="L806" s="182"/>
      <c r="M806" s="182"/>
      <c r="N806" s="177"/>
      <c r="O806" s="182"/>
      <c r="P806" s="179"/>
      <c r="Q806" s="182"/>
      <c r="R806" s="182"/>
      <c r="S806" s="182"/>
      <c r="T806" s="182"/>
      <c r="U806" s="182"/>
      <c r="V806" s="182"/>
      <c r="W806" s="182"/>
      <c r="X806" s="182"/>
      <c r="Y806" s="182"/>
      <c r="Z806" s="182"/>
      <c r="AA806" s="182"/>
      <c r="AB806" s="182"/>
      <c r="AC806" s="182"/>
      <c r="AD806" s="182"/>
      <c r="AE806" s="184"/>
      <c r="AF806" s="183"/>
      <c r="AG806" s="183"/>
      <c r="AH806" s="183"/>
      <c r="AI806" s="183"/>
      <c r="AJ806" s="182"/>
      <c r="AK806" s="184"/>
      <c r="AL806" s="182"/>
      <c r="AM806" s="182"/>
      <c r="AN806" s="182"/>
      <c r="AO806" s="182"/>
      <c r="AP806" s="182"/>
      <c r="AQ806" s="182"/>
      <c r="AR806" s="182"/>
    </row>
    <row r="807" spans="1:44">
      <c r="A807" s="182"/>
      <c r="B807" s="182"/>
      <c r="C807" s="182"/>
      <c r="D807" s="182"/>
      <c r="E807" s="182"/>
      <c r="F807" s="182"/>
      <c r="G807" s="182"/>
      <c r="H807" s="182"/>
      <c r="I807" s="182"/>
      <c r="J807" s="182"/>
      <c r="K807" s="182"/>
      <c r="L807" s="182"/>
      <c r="M807" s="182"/>
      <c r="N807" s="177"/>
      <c r="O807" s="182"/>
      <c r="P807" s="179"/>
      <c r="Q807" s="182"/>
      <c r="R807" s="182"/>
      <c r="S807" s="182"/>
      <c r="T807" s="182"/>
      <c r="U807" s="182"/>
      <c r="V807" s="182"/>
      <c r="W807" s="182"/>
      <c r="X807" s="182"/>
      <c r="Y807" s="182"/>
      <c r="Z807" s="182"/>
      <c r="AA807" s="182"/>
      <c r="AB807" s="182"/>
      <c r="AC807" s="182"/>
      <c r="AD807" s="182"/>
      <c r="AE807" s="184"/>
      <c r="AF807" s="183"/>
      <c r="AG807" s="183"/>
      <c r="AH807" s="183"/>
      <c r="AI807" s="183"/>
      <c r="AJ807" s="182"/>
      <c r="AK807" s="184"/>
      <c r="AL807" s="182"/>
      <c r="AM807" s="182"/>
      <c r="AN807" s="182"/>
      <c r="AO807" s="182"/>
      <c r="AP807" s="182"/>
      <c r="AQ807" s="182"/>
      <c r="AR807" s="182"/>
    </row>
    <row r="808" spans="1:44">
      <c r="A808" s="182"/>
      <c r="B808" s="182"/>
      <c r="C808" s="182"/>
      <c r="D808" s="182"/>
      <c r="E808" s="182"/>
      <c r="F808" s="182"/>
      <c r="G808" s="182"/>
      <c r="H808" s="182"/>
      <c r="I808" s="182"/>
      <c r="J808" s="182"/>
      <c r="K808" s="182"/>
      <c r="L808" s="182"/>
      <c r="M808" s="182"/>
      <c r="N808" s="177"/>
      <c r="O808" s="182"/>
      <c r="P808" s="179"/>
      <c r="Q808" s="182"/>
      <c r="R808" s="182"/>
      <c r="S808" s="182"/>
      <c r="T808" s="182"/>
      <c r="U808" s="182"/>
      <c r="V808" s="182"/>
      <c r="W808" s="182"/>
      <c r="X808" s="182"/>
      <c r="Y808" s="182"/>
      <c r="Z808" s="182"/>
      <c r="AA808" s="182"/>
      <c r="AB808" s="182"/>
      <c r="AC808" s="182"/>
      <c r="AD808" s="182"/>
      <c r="AE808" s="184"/>
      <c r="AF808" s="183"/>
      <c r="AG808" s="183"/>
      <c r="AH808" s="183"/>
      <c r="AI808" s="183"/>
      <c r="AJ808" s="182"/>
      <c r="AK808" s="184"/>
      <c r="AL808" s="182"/>
      <c r="AM808" s="182"/>
      <c r="AN808" s="182"/>
      <c r="AO808" s="182"/>
      <c r="AP808" s="182"/>
      <c r="AQ808" s="182"/>
      <c r="AR808" s="182"/>
    </row>
    <row r="809" spans="1:44">
      <c r="A809" s="182"/>
      <c r="B809" s="182"/>
      <c r="C809" s="182"/>
      <c r="D809" s="182"/>
      <c r="E809" s="182"/>
      <c r="F809" s="182"/>
      <c r="G809" s="182"/>
      <c r="H809" s="182"/>
      <c r="I809" s="182"/>
      <c r="J809" s="182"/>
      <c r="K809" s="182"/>
      <c r="L809" s="182"/>
      <c r="M809" s="182"/>
      <c r="N809" s="177"/>
      <c r="O809" s="182"/>
      <c r="P809" s="179"/>
      <c r="Q809" s="182"/>
      <c r="R809" s="182"/>
      <c r="S809" s="182"/>
      <c r="T809" s="182"/>
      <c r="U809" s="182"/>
      <c r="V809" s="182"/>
      <c r="W809" s="182"/>
      <c r="X809" s="182"/>
      <c r="Y809" s="182"/>
      <c r="Z809" s="182"/>
      <c r="AA809" s="182"/>
      <c r="AB809" s="182"/>
      <c r="AC809" s="182"/>
      <c r="AD809" s="182"/>
      <c r="AE809" s="184"/>
      <c r="AF809" s="183"/>
      <c r="AG809" s="183"/>
      <c r="AH809" s="183"/>
      <c r="AI809" s="183"/>
      <c r="AJ809" s="182"/>
      <c r="AK809" s="184"/>
      <c r="AL809" s="182"/>
      <c r="AM809" s="182"/>
      <c r="AN809" s="182"/>
      <c r="AO809" s="182"/>
      <c r="AP809" s="182"/>
      <c r="AQ809" s="182"/>
      <c r="AR809" s="182"/>
    </row>
    <row r="810" spans="1:44">
      <c r="A810" s="182"/>
      <c r="B810" s="182"/>
      <c r="C810" s="182"/>
      <c r="D810" s="182"/>
      <c r="E810" s="182"/>
      <c r="F810" s="182"/>
      <c r="G810" s="182"/>
      <c r="H810" s="182"/>
      <c r="I810" s="182"/>
      <c r="J810" s="182"/>
      <c r="K810" s="182"/>
      <c r="L810" s="182"/>
      <c r="M810" s="182"/>
      <c r="N810" s="177"/>
      <c r="O810" s="182"/>
      <c r="P810" s="179"/>
      <c r="Q810" s="182"/>
      <c r="R810" s="182"/>
      <c r="S810" s="182"/>
      <c r="T810" s="182"/>
      <c r="U810" s="182"/>
      <c r="V810" s="182"/>
      <c r="W810" s="182"/>
      <c r="X810" s="182"/>
      <c r="Y810" s="182"/>
      <c r="Z810" s="182"/>
      <c r="AA810" s="182"/>
      <c r="AB810" s="182"/>
      <c r="AC810" s="182"/>
      <c r="AD810" s="182"/>
      <c r="AE810" s="184"/>
      <c r="AF810" s="183"/>
      <c r="AG810" s="183"/>
      <c r="AH810" s="183"/>
      <c r="AI810" s="183"/>
      <c r="AJ810" s="182"/>
      <c r="AK810" s="184"/>
      <c r="AL810" s="182"/>
      <c r="AM810" s="182"/>
      <c r="AN810" s="182"/>
      <c r="AO810" s="182"/>
      <c r="AP810" s="182"/>
      <c r="AQ810" s="182"/>
      <c r="AR810" s="182"/>
    </row>
    <row r="811" spans="1:44">
      <c r="A811" s="182"/>
      <c r="B811" s="182"/>
      <c r="C811" s="182"/>
      <c r="D811" s="182"/>
      <c r="E811" s="182"/>
      <c r="F811" s="182"/>
      <c r="G811" s="182"/>
      <c r="H811" s="182"/>
      <c r="I811" s="182"/>
      <c r="J811" s="182"/>
      <c r="K811" s="182"/>
      <c r="L811" s="182"/>
      <c r="M811" s="182"/>
      <c r="N811" s="177"/>
      <c r="O811" s="182"/>
      <c r="P811" s="179"/>
      <c r="Q811" s="182"/>
      <c r="R811" s="182"/>
      <c r="S811" s="182"/>
      <c r="T811" s="182"/>
      <c r="U811" s="182"/>
      <c r="V811" s="182"/>
      <c r="W811" s="182"/>
      <c r="X811" s="182"/>
      <c r="Y811" s="182"/>
      <c r="Z811" s="182"/>
      <c r="AA811" s="182"/>
      <c r="AB811" s="182"/>
      <c r="AC811" s="182"/>
      <c r="AD811" s="182"/>
      <c r="AE811" s="184"/>
      <c r="AF811" s="183"/>
      <c r="AG811" s="183"/>
      <c r="AH811" s="183"/>
      <c r="AI811" s="183"/>
      <c r="AJ811" s="182"/>
      <c r="AK811" s="184"/>
      <c r="AL811" s="182"/>
      <c r="AM811" s="182"/>
      <c r="AN811" s="182"/>
      <c r="AO811" s="182"/>
      <c r="AP811" s="182"/>
      <c r="AQ811" s="182"/>
      <c r="AR811" s="182"/>
    </row>
    <row r="812" spans="1:44">
      <c r="A812" s="182"/>
      <c r="B812" s="182"/>
      <c r="C812" s="182"/>
      <c r="D812" s="182"/>
      <c r="E812" s="182"/>
      <c r="F812" s="182"/>
      <c r="G812" s="182"/>
      <c r="H812" s="182"/>
      <c r="I812" s="182"/>
      <c r="J812" s="182"/>
      <c r="K812" s="182"/>
      <c r="L812" s="182"/>
      <c r="M812" s="182"/>
      <c r="N812" s="177"/>
      <c r="O812" s="182"/>
      <c r="P812" s="179"/>
      <c r="Q812" s="182"/>
      <c r="R812" s="182"/>
      <c r="S812" s="182"/>
      <c r="T812" s="182"/>
      <c r="U812" s="182"/>
      <c r="V812" s="182"/>
      <c r="W812" s="182"/>
      <c r="X812" s="182"/>
      <c r="Y812" s="182"/>
      <c r="Z812" s="182"/>
      <c r="AA812" s="182"/>
      <c r="AB812" s="182"/>
      <c r="AC812" s="182"/>
      <c r="AD812" s="182"/>
      <c r="AE812" s="184"/>
      <c r="AF812" s="183"/>
      <c r="AG812" s="183"/>
      <c r="AH812" s="183"/>
      <c r="AI812" s="183"/>
      <c r="AJ812" s="182"/>
      <c r="AK812" s="184"/>
      <c r="AL812" s="182"/>
      <c r="AM812" s="182"/>
      <c r="AN812" s="182"/>
      <c r="AO812" s="182"/>
      <c r="AP812" s="182"/>
      <c r="AQ812" s="182"/>
      <c r="AR812" s="182"/>
    </row>
    <row r="813" spans="1:44">
      <c r="A813" s="182"/>
      <c r="B813" s="182"/>
      <c r="C813" s="182"/>
      <c r="D813" s="182"/>
      <c r="E813" s="182"/>
      <c r="F813" s="182"/>
      <c r="G813" s="182"/>
      <c r="H813" s="182"/>
      <c r="I813" s="182"/>
      <c r="J813" s="182"/>
      <c r="K813" s="182"/>
      <c r="L813" s="182"/>
      <c r="M813" s="182"/>
      <c r="N813" s="177"/>
      <c r="O813" s="182"/>
      <c r="P813" s="179"/>
      <c r="Q813" s="182"/>
      <c r="R813" s="182"/>
      <c r="S813" s="182"/>
      <c r="T813" s="182"/>
      <c r="U813" s="182"/>
      <c r="V813" s="182"/>
      <c r="W813" s="182"/>
      <c r="X813" s="182"/>
      <c r="Y813" s="182"/>
      <c r="Z813" s="182"/>
      <c r="AA813" s="182"/>
      <c r="AB813" s="182"/>
      <c r="AC813" s="182"/>
      <c r="AD813" s="182"/>
      <c r="AE813" s="184"/>
      <c r="AF813" s="183"/>
      <c r="AG813" s="183"/>
      <c r="AH813" s="183"/>
      <c r="AI813" s="183"/>
      <c r="AJ813" s="182"/>
      <c r="AK813" s="184"/>
      <c r="AL813" s="182"/>
      <c r="AM813" s="182"/>
      <c r="AN813" s="182"/>
      <c r="AO813" s="182"/>
      <c r="AP813" s="182"/>
      <c r="AQ813" s="182"/>
      <c r="AR813" s="182"/>
    </row>
    <row r="814" spans="1:44">
      <c r="A814" s="182"/>
      <c r="B814" s="182"/>
      <c r="C814" s="182"/>
      <c r="D814" s="182"/>
      <c r="E814" s="182"/>
      <c r="F814" s="182"/>
      <c r="G814" s="182"/>
      <c r="H814" s="182"/>
      <c r="I814" s="182"/>
      <c r="J814" s="182"/>
      <c r="K814" s="182"/>
      <c r="L814" s="182"/>
      <c r="M814" s="182"/>
      <c r="N814" s="177"/>
      <c r="O814" s="182"/>
      <c r="P814" s="179"/>
      <c r="Q814" s="182"/>
      <c r="R814" s="182"/>
      <c r="S814" s="182"/>
      <c r="T814" s="182"/>
      <c r="U814" s="182"/>
      <c r="V814" s="182"/>
      <c r="W814" s="182"/>
      <c r="X814" s="182"/>
      <c r="Y814" s="182"/>
      <c r="Z814" s="182"/>
      <c r="AA814" s="182"/>
      <c r="AB814" s="182"/>
      <c r="AC814" s="182"/>
      <c r="AD814" s="182"/>
      <c r="AE814" s="184"/>
      <c r="AF814" s="183"/>
      <c r="AG814" s="183"/>
      <c r="AH814" s="183"/>
      <c r="AI814" s="183"/>
      <c r="AJ814" s="182"/>
      <c r="AK814" s="184"/>
      <c r="AL814" s="182"/>
      <c r="AM814" s="182"/>
      <c r="AN814" s="182"/>
      <c r="AO814" s="182"/>
      <c r="AP814" s="182"/>
      <c r="AQ814" s="182"/>
      <c r="AR814" s="182"/>
    </row>
    <row r="815" spans="1:44">
      <c r="A815" s="182"/>
      <c r="B815" s="182"/>
      <c r="C815" s="182"/>
      <c r="D815" s="182"/>
      <c r="E815" s="182"/>
      <c r="F815" s="182"/>
      <c r="G815" s="182"/>
      <c r="H815" s="182"/>
      <c r="I815" s="182"/>
      <c r="J815" s="182"/>
      <c r="K815" s="182"/>
      <c r="L815" s="182"/>
      <c r="M815" s="182"/>
      <c r="N815" s="177"/>
      <c r="O815" s="182"/>
      <c r="P815" s="179"/>
      <c r="Q815" s="182"/>
      <c r="R815" s="182"/>
      <c r="S815" s="182"/>
      <c r="T815" s="182"/>
      <c r="U815" s="182"/>
      <c r="V815" s="182"/>
      <c r="W815" s="182"/>
      <c r="X815" s="182"/>
      <c r="Y815" s="182"/>
      <c r="Z815" s="182"/>
      <c r="AA815" s="182"/>
      <c r="AB815" s="182"/>
      <c r="AC815" s="182"/>
      <c r="AD815" s="182"/>
      <c r="AE815" s="184"/>
      <c r="AF815" s="183"/>
      <c r="AG815" s="183"/>
      <c r="AH815" s="183"/>
      <c r="AI815" s="183"/>
      <c r="AJ815" s="182"/>
      <c r="AK815" s="184"/>
      <c r="AL815" s="182"/>
      <c r="AM815" s="182"/>
      <c r="AN815" s="182"/>
      <c r="AO815" s="182"/>
      <c r="AP815" s="182"/>
      <c r="AQ815" s="182"/>
      <c r="AR815" s="182"/>
    </row>
    <row r="816" spans="1:44">
      <c r="A816" s="182"/>
      <c r="B816" s="182"/>
      <c r="C816" s="182"/>
      <c r="D816" s="182"/>
      <c r="E816" s="182"/>
      <c r="F816" s="182"/>
      <c r="G816" s="182"/>
      <c r="H816" s="182"/>
      <c r="I816" s="182"/>
      <c r="J816" s="182"/>
      <c r="K816" s="182"/>
      <c r="L816" s="182"/>
      <c r="M816" s="182"/>
      <c r="N816" s="177"/>
      <c r="O816" s="182"/>
      <c r="P816" s="179"/>
      <c r="Q816" s="182"/>
      <c r="R816" s="182"/>
      <c r="S816" s="182"/>
      <c r="T816" s="182"/>
      <c r="U816" s="182"/>
      <c r="V816" s="182"/>
      <c r="W816" s="182"/>
      <c r="X816" s="182"/>
      <c r="Y816" s="182"/>
      <c r="Z816" s="182"/>
      <c r="AA816" s="182"/>
      <c r="AB816" s="182"/>
      <c r="AC816" s="182"/>
      <c r="AD816" s="182"/>
      <c r="AE816" s="184"/>
      <c r="AF816" s="183"/>
      <c r="AG816" s="183"/>
      <c r="AH816" s="183"/>
      <c r="AI816" s="183"/>
      <c r="AJ816" s="182"/>
      <c r="AK816" s="184"/>
      <c r="AL816" s="182"/>
      <c r="AM816" s="182"/>
      <c r="AN816" s="182"/>
      <c r="AO816" s="182"/>
      <c r="AP816" s="182"/>
      <c r="AQ816" s="182"/>
      <c r="AR816" s="182"/>
    </row>
    <row r="817" spans="1:44">
      <c r="A817" s="182"/>
      <c r="B817" s="182"/>
      <c r="C817" s="182"/>
      <c r="D817" s="182"/>
      <c r="E817" s="182"/>
      <c r="F817" s="182"/>
      <c r="G817" s="182"/>
      <c r="H817" s="182"/>
      <c r="I817" s="182"/>
      <c r="J817" s="182"/>
      <c r="K817" s="182"/>
      <c r="L817" s="182"/>
      <c r="M817" s="182"/>
      <c r="N817" s="177"/>
      <c r="O817" s="182"/>
      <c r="P817" s="179"/>
      <c r="Q817" s="182"/>
      <c r="R817" s="182"/>
      <c r="S817" s="182"/>
      <c r="T817" s="182"/>
      <c r="U817" s="182"/>
      <c r="V817" s="182"/>
      <c r="W817" s="182"/>
      <c r="X817" s="182"/>
      <c r="Y817" s="182"/>
      <c r="Z817" s="182"/>
      <c r="AA817" s="182"/>
      <c r="AB817" s="182"/>
      <c r="AC817" s="182"/>
      <c r="AD817" s="182"/>
      <c r="AE817" s="184"/>
      <c r="AF817" s="183"/>
      <c r="AG817" s="183"/>
      <c r="AH817" s="183"/>
      <c r="AI817" s="183"/>
      <c r="AJ817" s="182"/>
      <c r="AK817" s="184"/>
      <c r="AL817" s="182"/>
      <c r="AM817" s="182"/>
      <c r="AN817" s="182"/>
      <c r="AO817" s="182"/>
      <c r="AP817" s="182"/>
      <c r="AQ817" s="182"/>
      <c r="AR817" s="182"/>
    </row>
    <row r="818" spans="1:44">
      <c r="A818" s="182"/>
      <c r="B818" s="182"/>
      <c r="C818" s="182"/>
      <c r="D818" s="182"/>
      <c r="E818" s="182"/>
      <c r="F818" s="182"/>
      <c r="G818" s="182"/>
      <c r="H818" s="182"/>
      <c r="I818" s="182"/>
      <c r="J818" s="182"/>
      <c r="K818" s="182"/>
      <c r="L818" s="182"/>
      <c r="M818" s="182"/>
      <c r="N818" s="177"/>
      <c r="O818" s="182"/>
      <c r="P818" s="179"/>
      <c r="Q818" s="182"/>
      <c r="R818" s="182"/>
      <c r="S818" s="182"/>
      <c r="T818" s="182"/>
      <c r="U818" s="182"/>
      <c r="V818" s="182"/>
      <c r="W818" s="182"/>
      <c r="X818" s="182"/>
      <c r="Y818" s="182"/>
      <c r="Z818" s="182"/>
      <c r="AA818" s="182"/>
      <c r="AB818" s="182"/>
      <c r="AC818" s="182"/>
      <c r="AD818" s="182"/>
      <c r="AE818" s="184"/>
      <c r="AF818" s="183"/>
      <c r="AG818" s="183"/>
      <c r="AH818" s="183"/>
      <c r="AI818" s="183"/>
      <c r="AJ818" s="182"/>
      <c r="AK818" s="184"/>
      <c r="AL818" s="182"/>
      <c r="AM818" s="182"/>
      <c r="AN818" s="182"/>
      <c r="AO818" s="182"/>
      <c r="AP818" s="182"/>
      <c r="AQ818" s="182"/>
      <c r="AR818" s="182"/>
    </row>
    <row r="819" spans="1:44">
      <c r="A819" s="182"/>
      <c r="B819" s="182"/>
      <c r="C819" s="182"/>
      <c r="D819" s="182"/>
      <c r="E819" s="182"/>
      <c r="F819" s="182"/>
      <c r="G819" s="182"/>
      <c r="H819" s="182"/>
      <c r="I819" s="182"/>
      <c r="J819" s="182"/>
      <c r="K819" s="182"/>
      <c r="L819" s="182"/>
      <c r="M819" s="182"/>
      <c r="N819" s="177"/>
      <c r="O819" s="182"/>
      <c r="P819" s="179"/>
      <c r="Q819" s="182"/>
      <c r="R819" s="182"/>
      <c r="S819" s="182"/>
      <c r="T819" s="182"/>
      <c r="U819" s="182"/>
      <c r="V819" s="182"/>
      <c r="W819" s="182"/>
      <c r="X819" s="182"/>
      <c r="Y819" s="182"/>
      <c r="Z819" s="182"/>
      <c r="AA819" s="182"/>
      <c r="AB819" s="182"/>
      <c r="AC819" s="182"/>
      <c r="AD819" s="182"/>
      <c r="AE819" s="184"/>
      <c r="AF819" s="183"/>
      <c r="AG819" s="183"/>
      <c r="AH819" s="183"/>
      <c r="AI819" s="183"/>
      <c r="AJ819" s="182"/>
      <c r="AK819" s="184"/>
      <c r="AL819" s="182"/>
      <c r="AM819" s="182"/>
      <c r="AN819" s="182"/>
      <c r="AO819" s="182"/>
      <c r="AP819" s="182"/>
      <c r="AQ819" s="182"/>
      <c r="AR819" s="182"/>
    </row>
    <row r="820" spans="1:44">
      <c r="A820" s="182"/>
      <c r="B820" s="182"/>
      <c r="C820" s="182"/>
      <c r="D820" s="182"/>
      <c r="E820" s="182"/>
      <c r="F820" s="182"/>
      <c r="G820" s="182"/>
      <c r="H820" s="182"/>
      <c r="I820" s="182"/>
      <c r="J820" s="182"/>
      <c r="K820" s="182"/>
      <c r="L820" s="182"/>
      <c r="M820" s="182"/>
      <c r="N820" s="177"/>
      <c r="O820" s="182"/>
      <c r="P820" s="179"/>
      <c r="Q820" s="182"/>
      <c r="R820" s="182"/>
      <c r="S820" s="182"/>
      <c r="T820" s="182"/>
      <c r="U820" s="182"/>
      <c r="V820" s="182"/>
      <c r="W820" s="182"/>
      <c r="X820" s="182"/>
      <c r="Y820" s="182"/>
      <c r="Z820" s="182"/>
      <c r="AA820" s="182"/>
      <c r="AB820" s="182"/>
      <c r="AC820" s="182"/>
      <c r="AD820" s="182"/>
      <c r="AE820" s="184"/>
      <c r="AF820" s="183"/>
      <c r="AG820" s="183"/>
      <c r="AH820" s="183"/>
      <c r="AI820" s="183"/>
      <c r="AJ820" s="182"/>
      <c r="AK820" s="184"/>
      <c r="AL820" s="182"/>
      <c r="AM820" s="182"/>
      <c r="AN820" s="182"/>
      <c r="AO820" s="182"/>
      <c r="AP820" s="182"/>
      <c r="AQ820" s="182"/>
      <c r="AR820" s="182"/>
    </row>
    <row r="821" spans="1:44">
      <c r="A821" s="182"/>
      <c r="B821" s="182"/>
      <c r="C821" s="182"/>
      <c r="D821" s="182"/>
      <c r="E821" s="182"/>
      <c r="F821" s="182"/>
      <c r="G821" s="182"/>
      <c r="H821" s="182"/>
      <c r="I821" s="182"/>
      <c r="J821" s="182"/>
      <c r="K821" s="182"/>
      <c r="L821" s="182"/>
      <c r="M821" s="182"/>
      <c r="N821" s="177"/>
      <c r="O821" s="182"/>
      <c r="P821" s="179"/>
      <c r="Q821" s="182"/>
      <c r="R821" s="182"/>
      <c r="S821" s="182"/>
      <c r="T821" s="182"/>
      <c r="U821" s="182"/>
      <c r="V821" s="182"/>
      <c r="W821" s="182"/>
      <c r="X821" s="182"/>
      <c r="Y821" s="182"/>
      <c r="Z821" s="182"/>
      <c r="AA821" s="182"/>
      <c r="AB821" s="182"/>
      <c r="AC821" s="182"/>
      <c r="AD821" s="182"/>
      <c r="AE821" s="184"/>
      <c r="AF821" s="183"/>
      <c r="AG821" s="183"/>
      <c r="AH821" s="183"/>
      <c r="AI821" s="183"/>
      <c r="AJ821" s="182"/>
      <c r="AK821" s="184"/>
      <c r="AL821" s="182"/>
      <c r="AM821" s="182"/>
      <c r="AN821" s="182"/>
      <c r="AO821" s="182"/>
      <c r="AP821" s="182"/>
      <c r="AQ821" s="182"/>
      <c r="AR821" s="182"/>
    </row>
    <row r="822" spans="1:44">
      <c r="A822" s="182"/>
      <c r="B822" s="182"/>
      <c r="C822" s="182"/>
      <c r="D822" s="182"/>
      <c r="E822" s="182"/>
      <c r="F822" s="182"/>
      <c r="G822" s="182"/>
      <c r="H822" s="182"/>
      <c r="I822" s="182"/>
      <c r="J822" s="182"/>
      <c r="K822" s="182"/>
      <c r="L822" s="182"/>
      <c r="M822" s="182"/>
      <c r="N822" s="177"/>
      <c r="O822" s="182"/>
      <c r="P822" s="179"/>
      <c r="Q822" s="182"/>
      <c r="R822" s="182"/>
      <c r="S822" s="182"/>
      <c r="T822" s="182"/>
      <c r="U822" s="182"/>
      <c r="V822" s="182"/>
      <c r="W822" s="182"/>
      <c r="X822" s="182"/>
      <c r="Y822" s="182"/>
      <c r="Z822" s="182"/>
      <c r="AA822" s="182"/>
      <c r="AB822" s="182"/>
      <c r="AC822" s="182"/>
      <c r="AD822" s="182"/>
      <c r="AE822" s="184"/>
      <c r="AF822" s="183"/>
      <c r="AG822" s="183"/>
      <c r="AH822" s="183"/>
      <c r="AI822" s="183"/>
      <c r="AJ822" s="182"/>
      <c r="AK822" s="184"/>
      <c r="AL822" s="182"/>
      <c r="AM822" s="182"/>
      <c r="AN822" s="182"/>
      <c r="AO822" s="182"/>
      <c r="AP822" s="182"/>
      <c r="AQ822" s="182"/>
      <c r="AR822" s="182"/>
    </row>
    <row r="823" spans="1:44">
      <c r="A823" s="182"/>
      <c r="B823" s="182"/>
      <c r="C823" s="182"/>
      <c r="D823" s="182"/>
      <c r="E823" s="182"/>
      <c r="F823" s="182"/>
      <c r="G823" s="182"/>
      <c r="H823" s="182"/>
      <c r="I823" s="182"/>
      <c r="J823" s="182"/>
      <c r="K823" s="182"/>
      <c r="L823" s="182"/>
      <c r="M823" s="182"/>
      <c r="N823" s="177"/>
      <c r="O823" s="182"/>
      <c r="P823" s="179"/>
      <c r="Q823" s="182"/>
      <c r="R823" s="182"/>
      <c r="S823" s="182"/>
      <c r="T823" s="182"/>
      <c r="U823" s="182"/>
      <c r="V823" s="182"/>
      <c r="W823" s="182"/>
      <c r="X823" s="182"/>
      <c r="Y823" s="182"/>
      <c r="Z823" s="182"/>
      <c r="AA823" s="182"/>
      <c r="AB823" s="182"/>
      <c r="AC823" s="182"/>
      <c r="AD823" s="182"/>
      <c r="AE823" s="184"/>
      <c r="AF823" s="183"/>
      <c r="AG823" s="183"/>
      <c r="AH823" s="183"/>
      <c r="AI823" s="183"/>
      <c r="AJ823" s="182"/>
      <c r="AK823" s="184"/>
      <c r="AL823" s="182"/>
      <c r="AM823" s="182"/>
      <c r="AN823" s="182"/>
      <c r="AO823" s="182"/>
      <c r="AP823" s="182"/>
      <c r="AQ823" s="182"/>
      <c r="AR823" s="182"/>
    </row>
    <row r="824" spans="1:44">
      <c r="A824" s="182"/>
      <c r="B824" s="182"/>
      <c r="C824" s="182"/>
      <c r="D824" s="182"/>
      <c r="E824" s="182"/>
      <c r="F824" s="182"/>
      <c r="G824" s="182"/>
      <c r="H824" s="182"/>
      <c r="I824" s="182"/>
      <c r="J824" s="182"/>
      <c r="K824" s="182"/>
      <c r="L824" s="182"/>
      <c r="M824" s="182"/>
      <c r="N824" s="177"/>
      <c r="O824" s="182"/>
      <c r="P824" s="179"/>
      <c r="Q824" s="182"/>
      <c r="R824" s="182"/>
      <c r="S824" s="182"/>
      <c r="T824" s="182"/>
      <c r="U824" s="182"/>
      <c r="V824" s="182"/>
      <c r="W824" s="182"/>
      <c r="X824" s="182"/>
      <c r="Y824" s="182"/>
      <c r="Z824" s="182"/>
      <c r="AA824" s="182"/>
      <c r="AB824" s="182"/>
      <c r="AC824" s="182"/>
      <c r="AD824" s="182"/>
      <c r="AE824" s="184"/>
      <c r="AF824" s="183"/>
      <c r="AG824" s="183"/>
      <c r="AH824" s="183"/>
      <c r="AI824" s="183"/>
      <c r="AJ824" s="182"/>
      <c r="AK824" s="184"/>
      <c r="AL824" s="182"/>
      <c r="AM824" s="182"/>
      <c r="AN824" s="182"/>
      <c r="AO824" s="182"/>
      <c r="AP824" s="182"/>
      <c r="AQ824" s="182"/>
      <c r="AR824" s="182"/>
    </row>
    <row r="825" spans="1:44">
      <c r="A825" s="182"/>
      <c r="B825" s="182"/>
      <c r="C825" s="182"/>
      <c r="D825" s="182"/>
      <c r="E825" s="182"/>
      <c r="F825" s="182"/>
      <c r="G825" s="182"/>
      <c r="H825" s="182"/>
      <c r="I825" s="182"/>
      <c r="J825" s="182"/>
      <c r="K825" s="182"/>
      <c r="L825" s="182"/>
      <c r="M825" s="182"/>
      <c r="N825" s="177"/>
      <c r="O825" s="182"/>
      <c r="P825" s="179"/>
      <c r="Q825" s="182"/>
      <c r="R825" s="182"/>
      <c r="S825" s="182"/>
      <c r="T825" s="182"/>
      <c r="U825" s="182"/>
      <c r="V825" s="182"/>
      <c r="W825" s="182"/>
      <c r="X825" s="182"/>
      <c r="Y825" s="182"/>
      <c r="Z825" s="182"/>
      <c r="AA825" s="182"/>
      <c r="AB825" s="182"/>
      <c r="AC825" s="182"/>
      <c r="AD825" s="182"/>
      <c r="AE825" s="184"/>
      <c r="AF825" s="183"/>
      <c r="AG825" s="183"/>
      <c r="AH825" s="183"/>
      <c r="AI825" s="183"/>
      <c r="AJ825" s="182"/>
      <c r="AK825" s="184"/>
      <c r="AL825" s="182"/>
      <c r="AM825" s="182"/>
      <c r="AN825" s="182"/>
      <c r="AO825" s="182"/>
      <c r="AP825" s="182"/>
      <c r="AQ825" s="182"/>
      <c r="AR825" s="182"/>
    </row>
    <row r="826" spans="1:44">
      <c r="A826" s="182"/>
      <c r="B826" s="182"/>
      <c r="C826" s="182"/>
      <c r="D826" s="182"/>
      <c r="E826" s="182"/>
      <c r="F826" s="182"/>
      <c r="G826" s="182"/>
      <c r="H826" s="182"/>
      <c r="I826" s="182"/>
      <c r="J826" s="182"/>
      <c r="K826" s="182"/>
      <c r="L826" s="182"/>
      <c r="M826" s="182"/>
      <c r="N826" s="177"/>
      <c r="O826" s="182"/>
      <c r="P826" s="179"/>
      <c r="Q826" s="182"/>
      <c r="R826" s="182"/>
      <c r="S826" s="182"/>
      <c r="T826" s="182"/>
      <c r="U826" s="182"/>
      <c r="V826" s="182"/>
      <c r="W826" s="182"/>
      <c r="X826" s="182"/>
      <c r="Y826" s="182"/>
      <c r="Z826" s="182"/>
      <c r="AA826" s="182"/>
      <c r="AB826" s="182"/>
      <c r="AC826" s="182"/>
      <c r="AD826" s="182"/>
      <c r="AE826" s="184"/>
      <c r="AF826" s="183"/>
      <c r="AG826" s="183"/>
      <c r="AH826" s="183"/>
      <c r="AI826" s="183"/>
      <c r="AJ826" s="182"/>
      <c r="AK826" s="184"/>
      <c r="AL826" s="182"/>
      <c r="AM826" s="182"/>
      <c r="AN826" s="182"/>
      <c r="AO826" s="182"/>
      <c r="AP826" s="182"/>
      <c r="AQ826" s="182"/>
      <c r="AR826" s="182"/>
    </row>
    <row r="827" spans="1:44">
      <c r="A827" s="182"/>
      <c r="B827" s="182"/>
      <c r="C827" s="182"/>
      <c r="D827" s="182"/>
      <c r="E827" s="182"/>
      <c r="F827" s="182"/>
      <c r="G827" s="182"/>
      <c r="H827" s="182"/>
      <c r="I827" s="182"/>
      <c r="J827" s="182"/>
      <c r="K827" s="182"/>
      <c r="L827" s="182"/>
      <c r="M827" s="182"/>
      <c r="N827" s="177"/>
      <c r="O827" s="182"/>
      <c r="P827" s="179"/>
      <c r="Q827" s="182"/>
      <c r="R827" s="182"/>
      <c r="S827" s="182"/>
      <c r="T827" s="182"/>
      <c r="U827" s="182"/>
      <c r="V827" s="182"/>
      <c r="W827" s="182"/>
      <c r="X827" s="182"/>
      <c r="Y827" s="182"/>
      <c r="Z827" s="182"/>
      <c r="AA827" s="182"/>
      <c r="AB827" s="182"/>
      <c r="AC827" s="182"/>
      <c r="AD827" s="182"/>
      <c r="AE827" s="184"/>
      <c r="AF827" s="183"/>
      <c r="AG827" s="183"/>
      <c r="AH827" s="183"/>
      <c r="AI827" s="183"/>
      <c r="AJ827" s="182"/>
      <c r="AK827" s="184"/>
      <c r="AL827" s="182"/>
      <c r="AM827" s="182"/>
      <c r="AN827" s="182"/>
      <c r="AO827" s="182"/>
      <c r="AP827" s="182"/>
      <c r="AQ827" s="182"/>
      <c r="AR827" s="182"/>
    </row>
    <row r="828" spans="1:44">
      <c r="A828" s="182"/>
      <c r="B828" s="182"/>
      <c r="C828" s="182"/>
      <c r="D828" s="182"/>
      <c r="E828" s="182"/>
      <c r="F828" s="182"/>
      <c r="G828" s="182"/>
      <c r="H828" s="182"/>
      <c r="I828" s="182"/>
      <c r="J828" s="182"/>
      <c r="K828" s="182"/>
      <c r="L828" s="182"/>
      <c r="M828" s="182"/>
      <c r="N828" s="177"/>
      <c r="O828" s="182"/>
      <c r="P828" s="179"/>
      <c r="Q828" s="182"/>
      <c r="R828" s="182"/>
      <c r="S828" s="182"/>
      <c r="T828" s="182"/>
      <c r="U828" s="182"/>
      <c r="V828" s="182"/>
      <c r="W828" s="182"/>
      <c r="X828" s="182"/>
      <c r="Y828" s="182"/>
      <c r="Z828" s="182"/>
      <c r="AA828" s="182"/>
      <c r="AB828" s="182"/>
      <c r="AC828" s="182"/>
      <c r="AD828" s="182"/>
      <c r="AE828" s="184"/>
      <c r="AF828" s="183"/>
      <c r="AG828" s="183"/>
      <c r="AH828" s="183"/>
      <c r="AI828" s="183"/>
      <c r="AJ828" s="182"/>
      <c r="AK828" s="184"/>
      <c r="AL828" s="182"/>
      <c r="AM828" s="182"/>
      <c r="AN828" s="182"/>
      <c r="AO828" s="182"/>
      <c r="AP828" s="182"/>
      <c r="AQ828" s="182"/>
      <c r="AR828" s="182"/>
    </row>
    <row r="829" spans="1:44">
      <c r="A829" s="182"/>
      <c r="B829" s="182"/>
      <c r="C829" s="182"/>
      <c r="D829" s="182"/>
      <c r="E829" s="182"/>
      <c r="F829" s="182"/>
      <c r="G829" s="182"/>
      <c r="H829" s="182"/>
      <c r="I829" s="182"/>
      <c r="J829" s="182"/>
      <c r="K829" s="182"/>
      <c r="L829" s="182"/>
      <c r="M829" s="182"/>
      <c r="N829" s="177"/>
      <c r="O829" s="182"/>
      <c r="P829" s="179"/>
      <c r="Q829" s="182"/>
      <c r="R829" s="182"/>
      <c r="S829" s="182"/>
      <c r="T829" s="182"/>
      <c r="U829" s="182"/>
      <c r="V829" s="182"/>
      <c r="W829" s="182"/>
      <c r="X829" s="182"/>
      <c r="Y829" s="182"/>
      <c r="Z829" s="182"/>
      <c r="AA829" s="182"/>
      <c r="AB829" s="182"/>
      <c r="AC829" s="182"/>
      <c r="AD829" s="182"/>
      <c r="AE829" s="184"/>
      <c r="AF829" s="183"/>
      <c r="AG829" s="183"/>
      <c r="AH829" s="183"/>
      <c r="AI829" s="183"/>
      <c r="AJ829" s="182"/>
      <c r="AK829" s="184"/>
      <c r="AL829" s="182"/>
      <c r="AM829" s="182"/>
      <c r="AN829" s="182"/>
      <c r="AO829" s="182"/>
      <c r="AP829" s="182"/>
      <c r="AQ829" s="182"/>
      <c r="AR829" s="182"/>
    </row>
    <row r="830" spans="1:44">
      <c r="A830" s="182"/>
      <c r="B830" s="182"/>
      <c r="C830" s="182"/>
      <c r="D830" s="182"/>
      <c r="E830" s="182"/>
      <c r="F830" s="182"/>
      <c r="G830" s="182"/>
      <c r="H830" s="182"/>
      <c r="I830" s="182"/>
      <c r="J830" s="182"/>
      <c r="K830" s="182"/>
      <c r="L830" s="182"/>
      <c r="M830" s="182"/>
      <c r="N830" s="177"/>
      <c r="O830" s="182"/>
      <c r="P830" s="179"/>
      <c r="Q830" s="182"/>
      <c r="R830" s="182"/>
      <c r="S830" s="182"/>
      <c r="T830" s="182"/>
      <c r="U830" s="182"/>
      <c r="V830" s="182"/>
      <c r="W830" s="182"/>
      <c r="X830" s="182"/>
      <c r="Y830" s="182"/>
      <c r="Z830" s="182"/>
      <c r="AA830" s="182"/>
      <c r="AB830" s="182"/>
      <c r="AC830" s="182"/>
      <c r="AD830" s="182"/>
      <c r="AE830" s="184"/>
      <c r="AF830" s="183"/>
      <c r="AG830" s="183"/>
      <c r="AH830" s="183"/>
      <c r="AI830" s="183"/>
      <c r="AJ830" s="182"/>
      <c r="AK830" s="184"/>
      <c r="AL830" s="182"/>
      <c r="AM830" s="182"/>
      <c r="AN830" s="182"/>
      <c r="AO830" s="182"/>
      <c r="AP830" s="182"/>
      <c r="AQ830" s="182"/>
      <c r="AR830" s="182"/>
    </row>
    <row r="831" spans="1:44">
      <c r="A831" s="182"/>
      <c r="B831" s="182"/>
      <c r="C831" s="182"/>
      <c r="D831" s="182"/>
      <c r="E831" s="182"/>
      <c r="F831" s="182"/>
      <c r="G831" s="182"/>
      <c r="H831" s="182"/>
      <c r="I831" s="182"/>
      <c r="J831" s="182"/>
      <c r="K831" s="182"/>
      <c r="L831" s="182"/>
      <c r="M831" s="182"/>
      <c r="N831" s="177"/>
      <c r="O831" s="182"/>
      <c r="P831" s="179"/>
      <c r="Q831" s="182"/>
      <c r="R831" s="182"/>
      <c r="S831" s="182"/>
      <c r="T831" s="182"/>
      <c r="U831" s="182"/>
      <c r="V831" s="182"/>
      <c r="W831" s="182"/>
      <c r="X831" s="182"/>
      <c r="Y831" s="182"/>
      <c r="Z831" s="182"/>
      <c r="AA831" s="182"/>
      <c r="AB831" s="182"/>
      <c r="AC831" s="182"/>
      <c r="AD831" s="182"/>
      <c r="AE831" s="184"/>
      <c r="AF831" s="183"/>
      <c r="AG831" s="183"/>
      <c r="AH831" s="183"/>
      <c r="AI831" s="183"/>
      <c r="AJ831" s="182"/>
      <c r="AK831" s="184"/>
      <c r="AL831" s="182"/>
      <c r="AM831" s="182"/>
      <c r="AN831" s="182"/>
      <c r="AO831" s="182"/>
      <c r="AP831" s="182"/>
      <c r="AQ831" s="182"/>
      <c r="AR831" s="182"/>
    </row>
    <row r="832" spans="1:44">
      <c r="A832" s="182"/>
      <c r="B832" s="182"/>
      <c r="C832" s="182"/>
      <c r="D832" s="182"/>
      <c r="E832" s="182"/>
      <c r="F832" s="182"/>
      <c r="G832" s="182"/>
      <c r="H832" s="182"/>
      <c r="I832" s="182"/>
      <c r="J832" s="182"/>
      <c r="K832" s="182"/>
      <c r="L832" s="182"/>
      <c r="M832" s="182"/>
      <c r="N832" s="177"/>
      <c r="O832" s="182"/>
      <c r="P832" s="179"/>
      <c r="Q832" s="182"/>
      <c r="R832" s="182"/>
      <c r="S832" s="182"/>
      <c r="T832" s="182"/>
      <c r="U832" s="182"/>
      <c r="V832" s="182"/>
      <c r="W832" s="182"/>
      <c r="X832" s="182"/>
      <c r="Y832" s="182"/>
      <c r="Z832" s="182"/>
      <c r="AA832" s="182"/>
      <c r="AB832" s="182"/>
      <c r="AC832" s="182"/>
      <c r="AD832" s="182"/>
      <c r="AE832" s="184"/>
      <c r="AF832" s="183"/>
      <c r="AG832" s="183"/>
      <c r="AH832" s="183"/>
      <c r="AI832" s="183"/>
      <c r="AJ832" s="182"/>
      <c r="AK832" s="184"/>
      <c r="AL832" s="182"/>
      <c r="AM832" s="182"/>
      <c r="AN832" s="182"/>
      <c r="AO832" s="182"/>
      <c r="AP832" s="182"/>
      <c r="AQ832" s="182"/>
      <c r="AR832" s="182"/>
    </row>
    <row r="833" spans="1:44">
      <c r="A833" s="182"/>
      <c r="B833" s="182"/>
      <c r="C833" s="182"/>
      <c r="D833" s="182"/>
      <c r="E833" s="182"/>
      <c r="F833" s="182"/>
      <c r="G833" s="182"/>
      <c r="H833" s="182"/>
      <c r="I833" s="182"/>
      <c r="J833" s="182"/>
      <c r="K833" s="182"/>
      <c r="L833" s="182"/>
      <c r="M833" s="182"/>
      <c r="N833" s="177"/>
      <c r="O833" s="182"/>
      <c r="P833" s="179"/>
      <c r="Q833" s="182"/>
      <c r="R833" s="182"/>
      <c r="S833" s="182"/>
      <c r="T833" s="182"/>
      <c r="U833" s="182"/>
      <c r="V833" s="182"/>
      <c r="W833" s="182"/>
      <c r="X833" s="182"/>
      <c r="Y833" s="182"/>
      <c r="Z833" s="182"/>
      <c r="AA833" s="182"/>
      <c r="AB833" s="182"/>
      <c r="AC833" s="182"/>
      <c r="AD833" s="182"/>
      <c r="AE833" s="184"/>
      <c r="AF833" s="183"/>
      <c r="AG833" s="183"/>
      <c r="AH833" s="183"/>
      <c r="AI833" s="183"/>
      <c r="AJ833" s="182"/>
      <c r="AK833" s="184"/>
      <c r="AL833" s="182"/>
      <c r="AM833" s="182"/>
      <c r="AN833" s="182"/>
      <c r="AO833" s="182"/>
      <c r="AP833" s="182"/>
      <c r="AQ833" s="182"/>
      <c r="AR833" s="182"/>
    </row>
    <row r="834" spans="1:44">
      <c r="A834" s="182"/>
      <c r="B834" s="182"/>
      <c r="C834" s="182"/>
      <c r="D834" s="182"/>
      <c r="E834" s="182"/>
      <c r="F834" s="182"/>
      <c r="G834" s="182"/>
      <c r="H834" s="182"/>
      <c r="I834" s="182"/>
      <c r="J834" s="182"/>
      <c r="K834" s="182"/>
      <c r="L834" s="182"/>
      <c r="M834" s="182"/>
      <c r="N834" s="177"/>
      <c r="O834" s="182"/>
      <c r="P834" s="179"/>
      <c r="Q834" s="182"/>
      <c r="R834" s="182"/>
      <c r="S834" s="182"/>
      <c r="T834" s="182"/>
      <c r="U834" s="182"/>
      <c r="V834" s="182"/>
      <c r="W834" s="182"/>
      <c r="X834" s="182"/>
      <c r="Y834" s="182"/>
      <c r="Z834" s="182"/>
      <c r="AA834" s="182"/>
      <c r="AB834" s="182"/>
      <c r="AC834" s="182"/>
      <c r="AD834" s="182"/>
      <c r="AE834" s="184"/>
      <c r="AF834" s="183"/>
      <c r="AG834" s="183"/>
      <c r="AH834" s="183"/>
      <c r="AI834" s="183"/>
      <c r="AJ834" s="182"/>
      <c r="AK834" s="184"/>
      <c r="AL834" s="182"/>
      <c r="AM834" s="182"/>
      <c r="AN834" s="182"/>
      <c r="AO834" s="182"/>
      <c r="AP834" s="182"/>
      <c r="AQ834" s="182"/>
      <c r="AR834" s="182"/>
    </row>
    <row r="835" spans="1:44">
      <c r="A835" s="182"/>
      <c r="B835" s="182"/>
      <c r="C835" s="182"/>
      <c r="D835" s="182"/>
      <c r="E835" s="182"/>
      <c r="F835" s="182"/>
      <c r="G835" s="182"/>
      <c r="H835" s="182"/>
      <c r="I835" s="182"/>
      <c r="J835" s="182"/>
      <c r="K835" s="182"/>
      <c r="L835" s="182"/>
      <c r="M835" s="182"/>
      <c r="N835" s="177"/>
      <c r="O835" s="182"/>
      <c r="P835" s="179"/>
      <c r="Q835" s="182"/>
      <c r="R835" s="182"/>
      <c r="S835" s="182"/>
      <c r="T835" s="182"/>
      <c r="U835" s="182"/>
      <c r="V835" s="182"/>
      <c r="W835" s="182"/>
      <c r="X835" s="182"/>
      <c r="Y835" s="182"/>
      <c r="Z835" s="182"/>
      <c r="AA835" s="182"/>
      <c r="AB835" s="182"/>
      <c r="AC835" s="182"/>
      <c r="AD835" s="182"/>
      <c r="AE835" s="184"/>
      <c r="AF835" s="183"/>
      <c r="AG835" s="183"/>
      <c r="AH835" s="183"/>
      <c r="AI835" s="183"/>
      <c r="AJ835" s="182"/>
      <c r="AK835" s="184"/>
      <c r="AL835" s="182"/>
      <c r="AM835" s="182"/>
      <c r="AN835" s="182"/>
      <c r="AO835" s="182"/>
      <c r="AP835" s="182"/>
      <c r="AQ835" s="182"/>
      <c r="AR835" s="182"/>
    </row>
    <row r="836" spans="1:44">
      <c r="A836" s="182"/>
      <c r="B836" s="182"/>
      <c r="C836" s="182"/>
      <c r="D836" s="182"/>
      <c r="E836" s="182"/>
      <c r="F836" s="182"/>
      <c r="G836" s="182"/>
      <c r="H836" s="182"/>
      <c r="I836" s="182"/>
      <c r="J836" s="182"/>
      <c r="K836" s="182"/>
      <c r="L836" s="182"/>
      <c r="M836" s="182"/>
      <c r="N836" s="177"/>
      <c r="O836" s="182"/>
      <c r="P836" s="179"/>
      <c r="Q836" s="182"/>
      <c r="R836" s="182"/>
      <c r="S836" s="182"/>
      <c r="T836" s="182"/>
      <c r="U836" s="182"/>
      <c r="V836" s="182"/>
      <c r="W836" s="182"/>
      <c r="X836" s="182"/>
      <c r="Y836" s="182"/>
      <c r="Z836" s="182"/>
      <c r="AA836" s="182"/>
      <c r="AB836" s="182"/>
      <c r="AC836" s="182"/>
      <c r="AD836" s="182"/>
      <c r="AE836" s="184"/>
      <c r="AF836" s="183"/>
      <c r="AG836" s="183"/>
      <c r="AH836" s="183"/>
      <c r="AI836" s="183"/>
      <c r="AJ836" s="182"/>
      <c r="AK836" s="184"/>
      <c r="AL836" s="182"/>
      <c r="AM836" s="182"/>
      <c r="AN836" s="182"/>
      <c r="AO836" s="182"/>
      <c r="AP836" s="182"/>
      <c r="AQ836" s="182"/>
      <c r="AR836" s="182"/>
    </row>
    <row r="837" spans="1:44">
      <c r="A837" s="182"/>
      <c r="B837" s="182"/>
      <c r="C837" s="182"/>
      <c r="D837" s="182"/>
      <c r="E837" s="182"/>
      <c r="F837" s="182"/>
      <c r="G837" s="182"/>
      <c r="H837" s="182"/>
      <c r="I837" s="182"/>
      <c r="J837" s="182"/>
      <c r="K837" s="182"/>
      <c r="L837" s="182"/>
      <c r="M837" s="182"/>
      <c r="N837" s="177"/>
      <c r="O837" s="182"/>
      <c r="P837" s="179"/>
      <c r="Q837" s="182"/>
      <c r="R837" s="182"/>
      <c r="S837" s="182"/>
      <c r="T837" s="182"/>
      <c r="U837" s="182"/>
      <c r="V837" s="182"/>
      <c r="W837" s="182"/>
      <c r="X837" s="182"/>
      <c r="Y837" s="182"/>
      <c r="Z837" s="182"/>
      <c r="AA837" s="182"/>
      <c r="AB837" s="182"/>
      <c r="AC837" s="182"/>
      <c r="AD837" s="182"/>
      <c r="AE837" s="184"/>
      <c r="AF837" s="183"/>
      <c r="AG837" s="183"/>
      <c r="AH837" s="183"/>
      <c r="AI837" s="183"/>
      <c r="AJ837" s="182"/>
      <c r="AK837" s="184"/>
      <c r="AL837" s="182"/>
      <c r="AM837" s="182"/>
      <c r="AN837" s="182"/>
      <c r="AO837" s="182"/>
      <c r="AP837" s="182"/>
      <c r="AQ837" s="182"/>
      <c r="AR837" s="182"/>
    </row>
    <row r="838" spans="1:44">
      <c r="A838" s="182"/>
      <c r="B838" s="182"/>
      <c r="C838" s="182"/>
      <c r="D838" s="182"/>
      <c r="E838" s="182"/>
      <c r="F838" s="182"/>
      <c r="G838" s="182"/>
      <c r="H838" s="182"/>
      <c r="I838" s="182"/>
      <c r="J838" s="182"/>
      <c r="K838" s="182"/>
      <c r="L838" s="182"/>
      <c r="M838" s="182"/>
      <c r="N838" s="177"/>
      <c r="O838" s="182"/>
      <c r="P838" s="179"/>
      <c r="Q838" s="182"/>
      <c r="R838" s="182"/>
      <c r="S838" s="182"/>
      <c r="T838" s="182"/>
      <c r="U838" s="182"/>
      <c r="V838" s="182"/>
      <c r="W838" s="182"/>
      <c r="X838" s="182"/>
      <c r="Y838" s="182"/>
      <c r="Z838" s="182"/>
      <c r="AA838" s="182"/>
      <c r="AB838" s="182"/>
      <c r="AC838" s="182"/>
      <c r="AD838" s="182"/>
      <c r="AE838" s="184"/>
      <c r="AF838" s="183"/>
      <c r="AG838" s="183"/>
      <c r="AH838" s="183"/>
      <c r="AI838" s="183"/>
      <c r="AJ838" s="182"/>
      <c r="AK838" s="184"/>
      <c r="AL838" s="182"/>
      <c r="AM838" s="182"/>
      <c r="AN838" s="182"/>
      <c r="AO838" s="182"/>
      <c r="AP838" s="182"/>
      <c r="AQ838" s="182"/>
      <c r="AR838" s="182"/>
    </row>
    <row r="839" spans="1:44">
      <c r="A839" s="182"/>
      <c r="B839" s="182"/>
      <c r="C839" s="182"/>
      <c r="D839" s="182"/>
      <c r="E839" s="182"/>
      <c r="F839" s="182"/>
      <c r="G839" s="182"/>
      <c r="H839" s="182"/>
      <c r="I839" s="182"/>
      <c r="J839" s="182"/>
      <c r="K839" s="182"/>
      <c r="L839" s="182"/>
      <c r="M839" s="182"/>
      <c r="N839" s="177"/>
      <c r="O839" s="182"/>
      <c r="P839" s="179"/>
      <c r="Q839" s="182"/>
      <c r="R839" s="182"/>
      <c r="S839" s="182"/>
      <c r="T839" s="182"/>
      <c r="U839" s="182"/>
      <c r="V839" s="182"/>
      <c r="W839" s="182"/>
      <c r="X839" s="182"/>
      <c r="Y839" s="182"/>
      <c r="Z839" s="182"/>
      <c r="AA839" s="182"/>
      <c r="AB839" s="182"/>
      <c r="AC839" s="182"/>
      <c r="AD839" s="182"/>
      <c r="AE839" s="184"/>
      <c r="AF839" s="183"/>
      <c r="AG839" s="183"/>
      <c r="AH839" s="183"/>
      <c r="AI839" s="183"/>
      <c r="AJ839" s="182"/>
      <c r="AK839" s="184"/>
      <c r="AL839" s="182"/>
      <c r="AM839" s="182"/>
      <c r="AN839" s="182"/>
      <c r="AO839" s="182"/>
      <c r="AP839" s="182"/>
      <c r="AQ839" s="182"/>
      <c r="AR839" s="182"/>
    </row>
    <row r="840" spans="1:44">
      <c r="A840" s="182"/>
      <c r="B840" s="182"/>
      <c r="C840" s="182"/>
      <c r="D840" s="182"/>
      <c r="E840" s="182"/>
      <c r="F840" s="182"/>
      <c r="G840" s="182"/>
      <c r="H840" s="182"/>
      <c r="I840" s="182"/>
      <c r="J840" s="182"/>
      <c r="K840" s="182"/>
      <c r="L840" s="182"/>
      <c r="M840" s="182"/>
      <c r="N840" s="177"/>
      <c r="O840" s="182"/>
      <c r="P840" s="179"/>
      <c r="Q840" s="182"/>
      <c r="R840" s="182"/>
      <c r="S840" s="182"/>
      <c r="T840" s="182"/>
      <c r="U840" s="182"/>
      <c r="V840" s="182"/>
      <c r="W840" s="182"/>
      <c r="X840" s="182"/>
      <c r="Y840" s="182"/>
      <c r="Z840" s="182"/>
      <c r="AA840" s="182"/>
      <c r="AB840" s="182"/>
      <c r="AC840" s="182"/>
      <c r="AD840" s="182"/>
      <c r="AE840" s="184"/>
      <c r="AF840" s="183"/>
      <c r="AG840" s="183"/>
      <c r="AH840" s="183"/>
      <c r="AI840" s="183"/>
      <c r="AJ840" s="182"/>
      <c r="AK840" s="184"/>
      <c r="AL840" s="182"/>
      <c r="AM840" s="182"/>
      <c r="AN840" s="182"/>
      <c r="AO840" s="182"/>
      <c r="AP840" s="182"/>
      <c r="AQ840" s="182"/>
      <c r="AR840" s="182"/>
    </row>
    <row r="841" spans="1:44">
      <c r="A841" s="182"/>
      <c r="B841" s="182"/>
      <c r="C841" s="182"/>
      <c r="D841" s="182"/>
      <c r="E841" s="182"/>
      <c r="F841" s="182"/>
      <c r="G841" s="182"/>
      <c r="H841" s="182"/>
      <c r="I841" s="182"/>
      <c r="J841" s="182"/>
      <c r="K841" s="182"/>
      <c r="L841" s="182"/>
      <c r="M841" s="182"/>
      <c r="N841" s="177"/>
      <c r="O841" s="182"/>
      <c r="P841" s="179"/>
      <c r="Q841" s="182"/>
      <c r="R841" s="182"/>
      <c r="S841" s="182"/>
      <c r="T841" s="182"/>
      <c r="U841" s="182"/>
      <c r="V841" s="182"/>
      <c r="W841" s="182"/>
      <c r="X841" s="182"/>
      <c r="Y841" s="182"/>
      <c r="Z841" s="182"/>
      <c r="AA841" s="182"/>
      <c r="AB841" s="182"/>
      <c r="AC841" s="182"/>
      <c r="AD841" s="182"/>
      <c r="AE841" s="184"/>
      <c r="AF841" s="183"/>
      <c r="AG841" s="183"/>
      <c r="AH841" s="183"/>
      <c r="AI841" s="183"/>
      <c r="AJ841" s="182"/>
      <c r="AK841" s="184"/>
      <c r="AL841" s="182"/>
      <c r="AM841" s="182"/>
      <c r="AN841" s="182"/>
      <c r="AO841" s="182"/>
      <c r="AP841" s="182"/>
      <c r="AQ841" s="182"/>
      <c r="AR841" s="182"/>
    </row>
    <row r="842" spans="1:44">
      <c r="A842" s="182"/>
      <c r="B842" s="182"/>
      <c r="C842" s="182"/>
      <c r="D842" s="182"/>
      <c r="E842" s="182"/>
      <c r="F842" s="182"/>
      <c r="G842" s="182"/>
      <c r="H842" s="182"/>
      <c r="I842" s="182"/>
      <c r="J842" s="182"/>
      <c r="K842" s="182"/>
      <c r="L842" s="182"/>
      <c r="M842" s="182"/>
      <c r="N842" s="177"/>
      <c r="O842" s="182"/>
      <c r="P842" s="179"/>
      <c r="Q842" s="182"/>
      <c r="R842" s="182"/>
      <c r="S842" s="182"/>
      <c r="T842" s="182"/>
      <c r="U842" s="182"/>
      <c r="V842" s="182"/>
      <c r="W842" s="182"/>
      <c r="X842" s="182"/>
      <c r="Y842" s="182"/>
      <c r="Z842" s="182"/>
      <c r="AA842" s="182"/>
      <c r="AB842" s="182"/>
      <c r="AC842" s="182"/>
      <c r="AD842" s="182"/>
      <c r="AE842" s="184"/>
      <c r="AF842" s="183"/>
      <c r="AG842" s="183"/>
      <c r="AH842" s="183"/>
      <c r="AI842" s="183"/>
      <c r="AJ842" s="182"/>
      <c r="AK842" s="184"/>
      <c r="AL842" s="182"/>
      <c r="AM842" s="182"/>
      <c r="AN842" s="182"/>
      <c r="AO842" s="182"/>
      <c r="AP842" s="182"/>
      <c r="AQ842" s="182"/>
      <c r="AR842" s="182"/>
    </row>
    <row r="843" spans="1:44">
      <c r="A843" s="182"/>
      <c r="B843" s="182"/>
      <c r="C843" s="182"/>
      <c r="D843" s="182"/>
      <c r="E843" s="182"/>
      <c r="F843" s="182"/>
      <c r="G843" s="182"/>
      <c r="H843" s="182"/>
      <c r="I843" s="182"/>
      <c r="J843" s="182"/>
      <c r="K843" s="182"/>
      <c r="L843" s="182"/>
      <c r="M843" s="182"/>
      <c r="N843" s="177"/>
      <c r="O843" s="182"/>
      <c r="P843" s="179"/>
      <c r="Q843" s="182"/>
      <c r="R843" s="182"/>
      <c r="S843" s="182"/>
      <c r="T843" s="182"/>
      <c r="U843" s="182"/>
      <c r="V843" s="182"/>
      <c r="W843" s="182"/>
      <c r="X843" s="182"/>
      <c r="Y843" s="182"/>
      <c r="Z843" s="182"/>
      <c r="AA843" s="182"/>
      <c r="AB843" s="182"/>
      <c r="AC843" s="182"/>
      <c r="AD843" s="182"/>
      <c r="AE843" s="184"/>
      <c r="AF843" s="183"/>
      <c r="AG843" s="183"/>
      <c r="AH843" s="183"/>
      <c r="AI843" s="183"/>
      <c r="AJ843" s="182"/>
      <c r="AK843" s="184"/>
      <c r="AL843" s="182"/>
      <c r="AM843" s="182"/>
      <c r="AN843" s="182"/>
      <c r="AO843" s="182"/>
      <c r="AP843" s="182"/>
      <c r="AQ843" s="182"/>
      <c r="AR843" s="182"/>
    </row>
    <row r="844" spans="1:44">
      <c r="A844" s="182"/>
      <c r="B844" s="182"/>
      <c r="C844" s="182"/>
      <c r="D844" s="182"/>
      <c r="E844" s="182"/>
      <c r="F844" s="182"/>
      <c r="G844" s="182"/>
      <c r="H844" s="182"/>
      <c r="I844" s="182"/>
      <c r="J844" s="182"/>
      <c r="K844" s="182"/>
      <c r="L844" s="182"/>
      <c r="M844" s="182"/>
      <c r="N844" s="177"/>
      <c r="O844" s="182"/>
      <c r="P844" s="179"/>
      <c r="Q844" s="182"/>
      <c r="R844" s="182"/>
      <c r="S844" s="182"/>
      <c r="T844" s="182"/>
      <c r="U844" s="182"/>
      <c r="V844" s="182"/>
      <c r="W844" s="182"/>
      <c r="X844" s="182"/>
      <c r="Y844" s="182"/>
      <c r="Z844" s="182"/>
      <c r="AA844" s="182"/>
      <c r="AB844" s="182"/>
      <c r="AC844" s="182"/>
      <c r="AD844" s="182"/>
      <c r="AE844" s="184"/>
      <c r="AF844" s="183"/>
      <c r="AG844" s="183"/>
      <c r="AH844" s="183"/>
      <c r="AI844" s="183"/>
      <c r="AJ844" s="182"/>
      <c r="AK844" s="184"/>
      <c r="AL844" s="182"/>
      <c r="AM844" s="182"/>
      <c r="AN844" s="182"/>
      <c r="AO844" s="182"/>
      <c r="AP844" s="182"/>
      <c r="AQ844" s="182"/>
      <c r="AR844" s="182"/>
    </row>
    <row r="845" spans="1:44">
      <c r="A845" s="182"/>
      <c r="B845" s="182"/>
      <c r="C845" s="182"/>
      <c r="D845" s="182"/>
      <c r="E845" s="182"/>
      <c r="F845" s="182"/>
      <c r="G845" s="182"/>
      <c r="H845" s="182"/>
      <c r="I845" s="182"/>
      <c r="J845" s="182"/>
      <c r="K845" s="182"/>
      <c r="L845" s="182"/>
      <c r="M845" s="182"/>
      <c r="N845" s="177"/>
      <c r="O845" s="182"/>
      <c r="P845" s="179"/>
      <c r="Q845" s="182"/>
      <c r="R845" s="182"/>
      <c r="S845" s="182"/>
      <c r="T845" s="182"/>
      <c r="U845" s="182"/>
      <c r="V845" s="182"/>
      <c r="W845" s="182"/>
      <c r="X845" s="182"/>
      <c r="Y845" s="182"/>
      <c r="Z845" s="182"/>
      <c r="AA845" s="182"/>
      <c r="AB845" s="182"/>
      <c r="AC845" s="182"/>
      <c r="AD845" s="182"/>
      <c r="AE845" s="184"/>
      <c r="AF845" s="183"/>
      <c r="AG845" s="183"/>
      <c r="AH845" s="183"/>
      <c r="AI845" s="183"/>
      <c r="AJ845" s="182"/>
      <c r="AK845" s="184"/>
      <c r="AL845" s="182"/>
      <c r="AM845" s="182"/>
      <c r="AN845" s="182"/>
      <c r="AO845" s="182"/>
      <c r="AP845" s="182"/>
      <c r="AQ845" s="182"/>
      <c r="AR845" s="182"/>
    </row>
    <row r="846" spans="1:44">
      <c r="A846" s="182"/>
      <c r="B846" s="182"/>
      <c r="C846" s="182"/>
      <c r="D846" s="182"/>
      <c r="E846" s="182"/>
      <c r="F846" s="182"/>
      <c r="G846" s="182"/>
      <c r="H846" s="182"/>
      <c r="I846" s="182"/>
      <c r="J846" s="182"/>
      <c r="K846" s="182"/>
      <c r="L846" s="182"/>
      <c r="M846" s="182"/>
      <c r="N846" s="177"/>
      <c r="O846" s="182"/>
      <c r="P846" s="179"/>
      <c r="Q846" s="182"/>
      <c r="R846" s="182"/>
      <c r="S846" s="182"/>
      <c r="T846" s="182"/>
      <c r="U846" s="182"/>
      <c r="V846" s="182"/>
      <c r="W846" s="182"/>
      <c r="X846" s="182"/>
      <c r="Y846" s="182"/>
      <c r="Z846" s="182"/>
      <c r="AA846" s="182"/>
      <c r="AB846" s="182"/>
      <c r="AC846" s="182"/>
      <c r="AD846" s="182"/>
      <c r="AE846" s="184"/>
      <c r="AF846" s="183"/>
      <c r="AG846" s="183"/>
      <c r="AH846" s="183"/>
      <c r="AI846" s="183"/>
      <c r="AJ846" s="182"/>
      <c r="AK846" s="184"/>
      <c r="AL846" s="182"/>
      <c r="AM846" s="182"/>
      <c r="AN846" s="182"/>
      <c r="AO846" s="182"/>
      <c r="AP846" s="182"/>
      <c r="AQ846" s="182"/>
      <c r="AR846" s="182"/>
    </row>
    <row r="847" spans="1:44">
      <c r="A847" s="182"/>
      <c r="B847" s="182"/>
      <c r="C847" s="182"/>
      <c r="D847" s="182"/>
      <c r="E847" s="182"/>
      <c r="F847" s="182"/>
      <c r="G847" s="182"/>
      <c r="H847" s="182"/>
      <c r="I847" s="182"/>
      <c r="J847" s="182"/>
      <c r="K847" s="182"/>
      <c r="L847" s="182"/>
      <c r="M847" s="182"/>
      <c r="N847" s="177"/>
      <c r="O847" s="182"/>
      <c r="P847" s="179"/>
      <c r="Q847" s="182"/>
      <c r="R847" s="182"/>
      <c r="S847" s="182"/>
      <c r="T847" s="182"/>
      <c r="U847" s="182"/>
      <c r="V847" s="182"/>
      <c r="W847" s="182"/>
      <c r="X847" s="182"/>
      <c r="Y847" s="182"/>
      <c r="Z847" s="182"/>
      <c r="AA847" s="182"/>
      <c r="AB847" s="182"/>
      <c r="AC847" s="182"/>
      <c r="AD847" s="182"/>
      <c r="AE847" s="184"/>
      <c r="AF847" s="183"/>
      <c r="AG847" s="183"/>
      <c r="AH847" s="183"/>
      <c r="AI847" s="183"/>
      <c r="AJ847" s="182"/>
      <c r="AK847" s="184"/>
      <c r="AL847" s="182"/>
      <c r="AM847" s="182"/>
      <c r="AN847" s="182"/>
      <c r="AO847" s="182"/>
      <c r="AP847" s="182"/>
      <c r="AQ847" s="182"/>
      <c r="AR847" s="182"/>
    </row>
    <row r="848" spans="1:44">
      <c r="A848" s="182"/>
      <c r="B848" s="182"/>
      <c r="C848" s="182"/>
      <c r="D848" s="182"/>
      <c r="E848" s="182"/>
      <c r="F848" s="182"/>
      <c r="G848" s="182"/>
      <c r="H848" s="182"/>
      <c r="I848" s="182"/>
      <c r="J848" s="182"/>
      <c r="K848" s="182"/>
      <c r="L848" s="182"/>
      <c r="M848" s="182"/>
      <c r="N848" s="177"/>
      <c r="O848" s="182"/>
      <c r="P848" s="179"/>
      <c r="Q848" s="182"/>
      <c r="R848" s="182"/>
      <c r="S848" s="182"/>
      <c r="T848" s="182"/>
      <c r="U848" s="182"/>
      <c r="V848" s="182"/>
      <c r="W848" s="182"/>
      <c r="X848" s="182"/>
      <c r="Y848" s="182"/>
      <c r="Z848" s="182"/>
      <c r="AA848" s="182"/>
      <c r="AB848" s="182"/>
      <c r="AC848" s="182"/>
      <c r="AD848" s="182"/>
      <c r="AE848" s="184"/>
      <c r="AF848" s="183"/>
      <c r="AG848" s="183"/>
      <c r="AH848" s="183"/>
      <c r="AI848" s="183"/>
      <c r="AJ848" s="182"/>
      <c r="AK848" s="184"/>
      <c r="AL848" s="182"/>
      <c r="AM848" s="182"/>
      <c r="AN848" s="182"/>
      <c r="AO848" s="182"/>
      <c r="AP848" s="182"/>
      <c r="AQ848" s="182"/>
      <c r="AR848" s="182"/>
    </row>
    <row r="849" spans="1:44">
      <c r="A849" s="182"/>
      <c r="B849" s="182"/>
      <c r="C849" s="182"/>
      <c r="D849" s="182"/>
      <c r="E849" s="182"/>
      <c r="F849" s="182"/>
      <c r="G849" s="182"/>
      <c r="H849" s="182"/>
      <c r="I849" s="182"/>
      <c r="J849" s="182"/>
      <c r="K849" s="182"/>
      <c r="L849" s="182"/>
      <c r="M849" s="182"/>
      <c r="N849" s="177"/>
      <c r="O849" s="182"/>
      <c r="P849" s="179"/>
      <c r="Q849" s="182"/>
      <c r="R849" s="182"/>
      <c r="S849" s="182"/>
      <c r="T849" s="182"/>
      <c r="U849" s="182"/>
      <c r="V849" s="182"/>
      <c r="W849" s="182"/>
      <c r="X849" s="182"/>
      <c r="Y849" s="182"/>
      <c r="Z849" s="182"/>
      <c r="AA849" s="182"/>
      <c r="AB849" s="182"/>
      <c r="AC849" s="182"/>
      <c r="AD849" s="182"/>
      <c r="AE849" s="184"/>
      <c r="AF849" s="183"/>
      <c r="AG849" s="183"/>
      <c r="AH849" s="183"/>
      <c r="AI849" s="183"/>
      <c r="AJ849" s="182"/>
      <c r="AK849" s="184"/>
      <c r="AL849" s="182"/>
      <c r="AM849" s="182"/>
      <c r="AN849" s="182"/>
      <c r="AO849" s="182"/>
      <c r="AP849" s="182"/>
      <c r="AQ849" s="182"/>
      <c r="AR849" s="182"/>
    </row>
    <row r="850" spans="1:44">
      <c r="A850" s="182"/>
      <c r="B850" s="182"/>
      <c r="C850" s="182"/>
      <c r="D850" s="182"/>
      <c r="E850" s="182"/>
      <c r="F850" s="182"/>
      <c r="G850" s="182"/>
      <c r="H850" s="182"/>
      <c r="I850" s="182"/>
      <c r="J850" s="182"/>
      <c r="K850" s="182"/>
      <c r="L850" s="182"/>
      <c r="M850" s="182"/>
      <c r="N850" s="177"/>
      <c r="O850" s="182"/>
      <c r="P850" s="179"/>
      <c r="Q850" s="182"/>
      <c r="R850" s="182"/>
      <c r="S850" s="182"/>
      <c r="T850" s="182"/>
      <c r="U850" s="182"/>
      <c r="V850" s="182"/>
      <c r="W850" s="182"/>
      <c r="X850" s="182"/>
      <c r="Y850" s="182"/>
      <c r="Z850" s="182"/>
      <c r="AA850" s="182"/>
      <c r="AB850" s="182"/>
      <c r="AC850" s="182"/>
      <c r="AD850" s="182"/>
      <c r="AE850" s="184"/>
      <c r="AF850" s="183"/>
      <c r="AG850" s="183"/>
      <c r="AH850" s="183"/>
      <c r="AI850" s="183"/>
      <c r="AJ850" s="182"/>
      <c r="AK850" s="184"/>
      <c r="AL850" s="182"/>
      <c r="AM850" s="182"/>
      <c r="AN850" s="182"/>
      <c r="AO850" s="182"/>
      <c r="AP850" s="182"/>
      <c r="AQ850" s="182"/>
      <c r="AR850" s="182"/>
    </row>
    <row r="851" spans="1:44">
      <c r="A851" s="182"/>
      <c r="B851" s="182"/>
      <c r="C851" s="182"/>
      <c r="D851" s="182"/>
      <c r="E851" s="182"/>
      <c r="F851" s="182"/>
      <c r="G851" s="182"/>
      <c r="H851" s="182"/>
      <c r="I851" s="182"/>
      <c r="J851" s="182"/>
      <c r="K851" s="182"/>
      <c r="L851" s="182"/>
      <c r="M851" s="182"/>
      <c r="N851" s="177"/>
      <c r="O851" s="182"/>
      <c r="P851" s="179"/>
      <c r="Q851" s="182"/>
      <c r="R851" s="182"/>
      <c r="S851" s="182"/>
      <c r="T851" s="182"/>
      <c r="U851" s="182"/>
      <c r="V851" s="182"/>
      <c r="W851" s="182"/>
      <c r="X851" s="182"/>
      <c r="Y851" s="182"/>
      <c r="Z851" s="182"/>
      <c r="AA851" s="182"/>
      <c r="AB851" s="182"/>
      <c r="AC851" s="182"/>
      <c r="AD851" s="182"/>
      <c r="AE851" s="184"/>
      <c r="AF851" s="183"/>
      <c r="AG851" s="183"/>
      <c r="AH851" s="183"/>
      <c r="AI851" s="183"/>
      <c r="AJ851" s="182"/>
      <c r="AK851" s="184"/>
      <c r="AL851" s="182"/>
      <c r="AM851" s="182"/>
      <c r="AN851" s="182"/>
      <c r="AO851" s="182"/>
      <c r="AP851" s="182"/>
      <c r="AQ851" s="182"/>
      <c r="AR851" s="182"/>
    </row>
    <row r="852" spans="1:44">
      <c r="A852" s="182"/>
      <c r="B852" s="182"/>
      <c r="C852" s="182"/>
      <c r="D852" s="182"/>
      <c r="E852" s="182"/>
      <c r="F852" s="182"/>
      <c r="G852" s="182"/>
      <c r="H852" s="182"/>
      <c r="I852" s="182"/>
      <c r="J852" s="182"/>
      <c r="K852" s="182"/>
      <c r="L852" s="182"/>
      <c r="M852" s="182"/>
      <c r="N852" s="177"/>
      <c r="O852" s="182"/>
      <c r="P852" s="179"/>
      <c r="Q852" s="182"/>
      <c r="R852" s="182"/>
      <c r="S852" s="182"/>
      <c r="T852" s="182"/>
      <c r="U852" s="182"/>
      <c r="V852" s="182"/>
      <c r="W852" s="182"/>
      <c r="X852" s="182"/>
      <c r="Y852" s="182"/>
      <c r="Z852" s="182"/>
      <c r="AA852" s="182"/>
      <c r="AB852" s="182"/>
      <c r="AC852" s="182"/>
      <c r="AD852" s="182"/>
      <c r="AE852" s="184"/>
      <c r="AF852" s="183"/>
      <c r="AG852" s="183"/>
      <c r="AH852" s="183"/>
      <c r="AI852" s="183"/>
      <c r="AJ852" s="182"/>
      <c r="AK852" s="184"/>
      <c r="AL852" s="182"/>
      <c r="AM852" s="182"/>
      <c r="AN852" s="182"/>
      <c r="AO852" s="182"/>
      <c r="AP852" s="182"/>
      <c r="AQ852" s="182"/>
      <c r="AR852" s="182"/>
    </row>
    <row r="853" spans="1:44">
      <c r="A853" s="182"/>
      <c r="B853" s="182"/>
      <c r="C853" s="182"/>
      <c r="D853" s="182"/>
      <c r="E853" s="182"/>
      <c r="F853" s="182"/>
      <c r="G853" s="182"/>
      <c r="H853" s="182"/>
      <c r="I853" s="182"/>
      <c r="J853" s="182"/>
      <c r="K853" s="182"/>
      <c r="L853" s="182"/>
      <c r="M853" s="182"/>
      <c r="N853" s="177"/>
      <c r="O853" s="182"/>
      <c r="P853" s="179"/>
      <c r="Q853" s="182"/>
      <c r="R853" s="182"/>
      <c r="S853" s="182"/>
      <c r="T853" s="182"/>
      <c r="U853" s="182"/>
      <c r="V853" s="182"/>
      <c r="W853" s="182"/>
      <c r="X853" s="182"/>
      <c r="Y853" s="182"/>
      <c r="Z853" s="182"/>
      <c r="AA853" s="182"/>
      <c r="AB853" s="182"/>
      <c r="AC853" s="182"/>
      <c r="AD853" s="182"/>
      <c r="AE853" s="184"/>
      <c r="AF853" s="183"/>
      <c r="AG853" s="183"/>
      <c r="AH853" s="183"/>
      <c r="AI853" s="183"/>
      <c r="AJ853" s="182"/>
      <c r="AK853" s="184"/>
      <c r="AL853" s="182"/>
      <c r="AM853" s="182"/>
      <c r="AN853" s="182"/>
      <c r="AO853" s="182"/>
      <c r="AP853" s="182"/>
      <c r="AQ853" s="182"/>
      <c r="AR853" s="182"/>
    </row>
    <row r="854" spans="1:44">
      <c r="A854" s="182"/>
      <c r="B854" s="182"/>
      <c r="C854" s="182"/>
      <c r="D854" s="182"/>
      <c r="E854" s="182"/>
      <c r="F854" s="182"/>
      <c r="G854" s="182"/>
      <c r="H854" s="182"/>
      <c r="I854" s="182"/>
      <c r="J854" s="182"/>
      <c r="K854" s="182"/>
      <c r="L854" s="182"/>
      <c r="M854" s="182"/>
      <c r="N854" s="177"/>
      <c r="O854" s="182"/>
      <c r="P854" s="179"/>
      <c r="Q854" s="182"/>
      <c r="R854" s="182"/>
      <c r="S854" s="182"/>
      <c r="T854" s="182"/>
      <c r="U854" s="182"/>
      <c r="V854" s="182"/>
      <c r="W854" s="182"/>
      <c r="X854" s="182"/>
      <c r="Y854" s="182"/>
      <c r="Z854" s="182"/>
      <c r="AA854" s="182"/>
      <c r="AB854" s="182"/>
      <c r="AC854" s="182"/>
      <c r="AD854" s="182"/>
      <c r="AE854" s="184"/>
      <c r="AF854" s="183"/>
      <c r="AG854" s="183"/>
      <c r="AH854" s="183"/>
      <c r="AI854" s="183"/>
      <c r="AJ854" s="182"/>
      <c r="AK854" s="184"/>
      <c r="AL854" s="182"/>
      <c r="AM854" s="182"/>
      <c r="AN854" s="182"/>
      <c r="AO854" s="182"/>
      <c r="AP854" s="182"/>
      <c r="AQ854" s="182"/>
      <c r="AR854" s="182"/>
    </row>
    <row r="855" spans="1:44">
      <c r="A855" s="182"/>
      <c r="B855" s="182"/>
      <c r="C855" s="182"/>
      <c r="D855" s="182"/>
      <c r="E855" s="182"/>
      <c r="F855" s="182"/>
      <c r="G855" s="182"/>
      <c r="H855" s="182"/>
      <c r="I855" s="182"/>
      <c r="J855" s="182"/>
      <c r="K855" s="182"/>
      <c r="L855" s="182"/>
      <c r="M855" s="182"/>
      <c r="N855" s="177"/>
      <c r="O855" s="182"/>
      <c r="P855" s="179"/>
      <c r="Q855" s="182"/>
      <c r="R855" s="182"/>
      <c r="S855" s="182"/>
      <c r="T855" s="182"/>
      <c r="U855" s="182"/>
      <c r="V855" s="182"/>
      <c r="W855" s="182"/>
      <c r="X855" s="182"/>
      <c r="Y855" s="182"/>
      <c r="Z855" s="182"/>
      <c r="AA855" s="182"/>
      <c r="AB855" s="182"/>
      <c r="AC855" s="182"/>
      <c r="AD855" s="182"/>
      <c r="AE855" s="184"/>
      <c r="AF855" s="183"/>
      <c r="AG855" s="183"/>
      <c r="AH855" s="183"/>
      <c r="AI855" s="183"/>
      <c r="AJ855" s="182"/>
      <c r="AK855" s="184"/>
      <c r="AL855" s="182"/>
      <c r="AM855" s="182"/>
      <c r="AN855" s="182"/>
      <c r="AO855" s="182"/>
      <c r="AP855" s="182"/>
      <c r="AQ855" s="182"/>
      <c r="AR855" s="182"/>
    </row>
    <row r="856" spans="1:44">
      <c r="A856" s="182"/>
      <c r="B856" s="182"/>
      <c r="C856" s="182"/>
      <c r="D856" s="182"/>
      <c r="E856" s="182"/>
      <c r="F856" s="182"/>
      <c r="G856" s="182"/>
      <c r="H856" s="182"/>
      <c r="I856" s="182"/>
      <c r="J856" s="182"/>
      <c r="K856" s="182"/>
      <c r="L856" s="182"/>
      <c r="M856" s="182"/>
      <c r="N856" s="177"/>
      <c r="O856" s="182"/>
      <c r="P856" s="179"/>
      <c r="Q856" s="182"/>
      <c r="R856" s="182"/>
      <c r="S856" s="182"/>
      <c r="T856" s="182"/>
      <c r="U856" s="182"/>
      <c r="V856" s="182"/>
      <c r="W856" s="182"/>
      <c r="X856" s="182"/>
      <c r="Y856" s="182"/>
      <c r="Z856" s="182"/>
      <c r="AA856" s="182"/>
      <c r="AB856" s="182"/>
      <c r="AC856" s="182"/>
      <c r="AD856" s="182"/>
      <c r="AE856" s="184"/>
      <c r="AF856" s="183"/>
      <c r="AG856" s="183"/>
      <c r="AH856" s="183"/>
      <c r="AI856" s="183"/>
      <c r="AJ856" s="182"/>
      <c r="AK856" s="184"/>
      <c r="AL856" s="182"/>
      <c r="AM856" s="182"/>
      <c r="AN856" s="182"/>
      <c r="AO856" s="182"/>
      <c r="AP856" s="182"/>
      <c r="AQ856" s="182"/>
      <c r="AR856" s="182"/>
    </row>
    <row r="857" spans="1:44">
      <c r="A857" s="182"/>
      <c r="B857" s="182"/>
      <c r="C857" s="182"/>
      <c r="D857" s="182"/>
      <c r="E857" s="182"/>
      <c r="F857" s="182"/>
      <c r="G857" s="182"/>
      <c r="H857" s="182"/>
      <c r="I857" s="182"/>
      <c r="J857" s="182"/>
      <c r="K857" s="182"/>
      <c r="L857" s="182"/>
      <c r="M857" s="182"/>
      <c r="N857" s="177"/>
      <c r="O857" s="182"/>
      <c r="P857" s="179"/>
      <c r="Q857" s="182"/>
      <c r="R857" s="182"/>
      <c r="S857" s="182"/>
      <c r="T857" s="182"/>
      <c r="U857" s="182"/>
      <c r="V857" s="182"/>
      <c r="W857" s="182"/>
      <c r="X857" s="182"/>
      <c r="Y857" s="182"/>
      <c r="Z857" s="182"/>
      <c r="AA857" s="182"/>
      <c r="AB857" s="182"/>
      <c r="AC857" s="182"/>
      <c r="AD857" s="182"/>
      <c r="AE857" s="184"/>
      <c r="AF857" s="183"/>
      <c r="AG857" s="183"/>
      <c r="AH857" s="183"/>
      <c r="AI857" s="183"/>
      <c r="AJ857" s="182"/>
      <c r="AK857" s="184"/>
      <c r="AL857" s="182"/>
      <c r="AM857" s="182"/>
      <c r="AN857" s="182"/>
      <c r="AO857" s="182"/>
      <c r="AP857" s="182"/>
      <c r="AQ857" s="182"/>
      <c r="AR857" s="182"/>
    </row>
    <row r="858" spans="1:44">
      <c r="A858" s="182"/>
      <c r="B858" s="182"/>
      <c r="C858" s="182"/>
      <c r="D858" s="182"/>
      <c r="E858" s="182"/>
      <c r="F858" s="182"/>
      <c r="G858" s="182"/>
      <c r="H858" s="182"/>
      <c r="I858" s="182"/>
      <c r="J858" s="182"/>
      <c r="K858" s="182"/>
      <c r="L858" s="182"/>
      <c r="M858" s="182"/>
      <c r="N858" s="177"/>
      <c r="O858" s="182"/>
      <c r="P858" s="179"/>
      <c r="Q858" s="182"/>
      <c r="R858" s="182"/>
      <c r="S858" s="182"/>
      <c r="T858" s="182"/>
      <c r="U858" s="182"/>
      <c r="V858" s="182"/>
      <c r="W858" s="182"/>
      <c r="X858" s="182"/>
      <c r="Y858" s="182"/>
      <c r="Z858" s="182"/>
      <c r="AA858" s="182"/>
      <c r="AB858" s="182"/>
      <c r="AC858" s="182"/>
      <c r="AD858" s="182"/>
      <c r="AE858" s="184"/>
      <c r="AF858" s="183"/>
      <c r="AG858" s="183"/>
      <c r="AH858" s="183"/>
      <c r="AI858" s="183"/>
      <c r="AJ858" s="182"/>
      <c r="AK858" s="184"/>
      <c r="AL858" s="182"/>
      <c r="AM858" s="182"/>
      <c r="AN858" s="182"/>
      <c r="AO858" s="182"/>
      <c r="AP858" s="182"/>
      <c r="AQ858" s="182"/>
      <c r="AR858" s="182"/>
    </row>
    <row r="859" spans="1:44">
      <c r="A859" s="182"/>
      <c r="B859" s="182"/>
      <c r="C859" s="182"/>
      <c r="D859" s="182"/>
      <c r="E859" s="182"/>
      <c r="F859" s="182"/>
      <c r="G859" s="182"/>
      <c r="H859" s="182"/>
      <c r="I859" s="182"/>
      <c r="J859" s="182"/>
      <c r="K859" s="182"/>
      <c r="L859" s="182"/>
      <c r="M859" s="182"/>
      <c r="N859" s="177"/>
      <c r="O859" s="182"/>
      <c r="P859" s="179"/>
      <c r="Q859" s="182"/>
      <c r="R859" s="182"/>
      <c r="S859" s="182"/>
      <c r="T859" s="182"/>
      <c r="U859" s="182"/>
      <c r="V859" s="182"/>
      <c r="W859" s="182"/>
      <c r="X859" s="182"/>
      <c r="Y859" s="182"/>
      <c r="Z859" s="182"/>
      <c r="AA859" s="182"/>
      <c r="AB859" s="182"/>
      <c r="AC859" s="182"/>
      <c r="AD859" s="182"/>
      <c r="AE859" s="184"/>
      <c r="AF859" s="183"/>
      <c r="AG859" s="183"/>
      <c r="AH859" s="183"/>
      <c r="AI859" s="183"/>
      <c r="AJ859" s="182"/>
      <c r="AK859" s="184"/>
      <c r="AL859" s="182"/>
      <c r="AM859" s="182"/>
      <c r="AN859" s="182"/>
      <c r="AO859" s="182"/>
      <c r="AP859" s="182"/>
      <c r="AQ859" s="182"/>
      <c r="AR859" s="182"/>
    </row>
    <row r="860" spans="1:44">
      <c r="A860" s="182"/>
      <c r="B860" s="182"/>
      <c r="C860" s="182"/>
      <c r="D860" s="182"/>
      <c r="E860" s="182"/>
      <c r="F860" s="182"/>
      <c r="G860" s="182"/>
      <c r="H860" s="182"/>
      <c r="I860" s="182"/>
      <c r="J860" s="182"/>
      <c r="K860" s="182"/>
      <c r="L860" s="182"/>
      <c r="M860" s="182"/>
      <c r="N860" s="177"/>
      <c r="O860" s="182"/>
      <c r="P860" s="179"/>
      <c r="Q860" s="182"/>
      <c r="R860" s="182"/>
      <c r="S860" s="182"/>
      <c r="T860" s="182"/>
      <c r="U860" s="182"/>
      <c r="V860" s="182"/>
      <c r="W860" s="182"/>
      <c r="X860" s="182"/>
      <c r="Y860" s="182"/>
      <c r="Z860" s="182"/>
      <c r="AA860" s="182"/>
      <c r="AB860" s="182"/>
      <c r="AC860" s="182"/>
      <c r="AD860" s="182"/>
      <c r="AE860" s="184"/>
      <c r="AF860" s="183"/>
      <c r="AG860" s="183"/>
      <c r="AH860" s="183"/>
      <c r="AI860" s="183"/>
      <c r="AJ860" s="182"/>
      <c r="AK860" s="184"/>
      <c r="AL860" s="182"/>
      <c r="AM860" s="182"/>
      <c r="AN860" s="182"/>
      <c r="AO860" s="182"/>
      <c r="AP860" s="182"/>
      <c r="AQ860" s="182"/>
      <c r="AR860" s="182"/>
    </row>
    <row r="861" spans="1:44">
      <c r="A861" s="182"/>
      <c r="B861" s="182"/>
      <c r="C861" s="182"/>
      <c r="D861" s="182"/>
      <c r="E861" s="182"/>
      <c r="F861" s="182"/>
      <c r="G861" s="182"/>
      <c r="H861" s="182"/>
      <c r="I861" s="182"/>
      <c r="J861" s="182"/>
      <c r="K861" s="182"/>
      <c r="L861" s="182"/>
      <c r="M861" s="182"/>
      <c r="N861" s="177"/>
      <c r="O861" s="182"/>
      <c r="P861" s="179"/>
      <c r="Q861" s="182"/>
      <c r="R861" s="182"/>
      <c r="S861" s="182"/>
      <c r="T861" s="182"/>
      <c r="U861" s="182"/>
      <c r="V861" s="182"/>
      <c r="W861" s="182"/>
      <c r="X861" s="182"/>
      <c r="Y861" s="182"/>
      <c r="Z861" s="182"/>
      <c r="AA861" s="182"/>
      <c r="AB861" s="182"/>
      <c r="AC861" s="182"/>
      <c r="AD861" s="182"/>
      <c r="AE861" s="184"/>
      <c r="AF861" s="183"/>
      <c r="AG861" s="183"/>
      <c r="AH861" s="183"/>
      <c r="AI861" s="183"/>
      <c r="AJ861" s="182"/>
      <c r="AK861" s="184"/>
      <c r="AL861" s="182"/>
      <c r="AM861" s="182"/>
      <c r="AN861" s="182"/>
      <c r="AO861" s="182"/>
      <c r="AP861" s="182"/>
      <c r="AQ861" s="182"/>
      <c r="AR861" s="182"/>
    </row>
    <row r="862" spans="1:44">
      <c r="A862" s="182"/>
      <c r="B862" s="182"/>
      <c r="C862" s="182"/>
      <c r="D862" s="182"/>
      <c r="E862" s="182"/>
      <c r="F862" s="182"/>
      <c r="G862" s="182"/>
      <c r="H862" s="182"/>
      <c r="I862" s="182"/>
      <c r="J862" s="182"/>
      <c r="K862" s="182"/>
      <c r="L862" s="182"/>
      <c r="M862" s="182"/>
      <c r="N862" s="177"/>
      <c r="O862" s="182"/>
      <c r="P862" s="179"/>
      <c r="Q862" s="182"/>
      <c r="R862" s="182"/>
      <c r="S862" s="182"/>
      <c r="T862" s="182"/>
      <c r="U862" s="182"/>
      <c r="V862" s="182"/>
      <c r="W862" s="182"/>
      <c r="X862" s="182"/>
      <c r="Y862" s="182"/>
      <c r="Z862" s="182"/>
      <c r="AA862" s="182"/>
      <c r="AB862" s="182"/>
      <c r="AC862" s="182"/>
      <c r="AD862" s="182"/>
      <c r="AE862" s="184"/>
      <c r="AF862" s="183"/>
      <c r="AG862" s="183"/>
      <c r="AH862" s="183"/>
      <c r="AI862" s="183"/>
      <c r="AJ862" s="182"/>
      <c r="AK862" s="184"/>
      <c r="AL862" s="182"/>
      <c r="AM862" s="182"/>
      <c r="AN862" s="182"/>
      <c r="AO862" s="182"/>
      <c r="AP862" s="182"/>
      <c r="AQ862" s="182"/>
      <c r="AR862" s="182"/>
    </row>
    <row r="863" spans="1:44">
      <c r="A863" s="182"/>
      <c r="B863" s="182"/>
      <c r="C863" s="182"/>
      <c r="D863" s="182"/>
      <c r="E863" s="182"/>
      <c r="F863" s="182"/>
      <c r="G863" s="182"/>
      <c r="H863" s="182"/>
      <c r="I863" s="182"/>
      <c r="J863" s="182"/>
      <c r="K863" s="182"/>
      <c r="L863" s="182"/>
      <c r="M863" s="182"/>
      <c r="N863" s="177"/>
      <c r="O863" s="182"/>
      <c r="P863" s="179"/>
      <c r="Q863" s="182"/>
      <c r="R863" s="182"/>
      <c r="S863" s="182"/>
      <c r="T863" s="182"/>
      <c r="U863" s="182"/>
      <c r="V863" s="182"/>
      <c r="W863" s="182"/>
      <c r="X863" s="182"/>
      <c r="Y863" s="182"/>
      <c r="Z863" s="182"/>
      <c r="AA863" s="182"/>
      <c r="AB863" s="182"/>
      <c r="AC863" s="182"/>
      <c r="AD863" s="182"/>
      <c r="AE863" s="184"/>
      <c r="AF863" s="183"/>
      <c r="AG863" s="183"/>
      <c r="AH863" s="183"/>
      <c r="AI863" s="183"/>
      <c r="AJ863" s="182"/>
      <c r="AK863" s="184"/>
      <c r="AL863" s="182"/>
      <c r="AM863" s="182"/>
      <c r="AN863" s="182"/>
      <c r="AO863" s="182"/>
      <c r="AP863" s="182"/>
      <c r="AQ863" s="182"/>
      <c r="AR863" s="182"/>
    </row>
    <row r="864" spans="1:44">
      <c r="A864" s="182"/>
      <c r="B864" s="182"/>
      <c r="C864" s="182"/>
      <c r="D864" s="182"/>
      <c r="E864" s="182"/>
      <c r="F864" s="182"/>
      <c r="G864" s="182"/>
      <c r="H864" s="182"/>
      <c r="I864" s="182"/>
      <c r="J864" s="182"/>
      <c r="K864" s="182"/>
      <c r="L864" s="182"/>
      <c r="M864" s="182"/>
      <c r="N864" s="177"/>
      <c r="O864" s="182"/>
      <c r="P864" s="179"/>
      <c r="Q864" s="182"/>
      <c r="R864" s="182"/>
      <c r="S864" s="182"/>
      <c r="T864" s="182"/>
      <c r="U864" s="182"/>
      <c r="V864" s="182"/>
      <c r="W864" s="182"/>
      <c r="X864" s="182"/>
      <c r="Y864" s="182"/>
      <c r="Z864" s="182"/>
      <c r="AA864" s="182"/>
      <c r="AB864" s="182"/>
      <c r="AC864" s="182"/>
      <c r="AD864" s="182"/>
      <c r="AE864" s="184"/>
      <c r="AF864" s="183"/>
      <c r="AG864" s="183"/>
      <c r="AH864" s="183"/>
      <c r="AI864" s="183"/>
      <c r="AJ864" s="182"/>
      <c r="AK864" s="184"/>
      <c r="AL864" s="182"/>
      <c r="AM864" s="182"/>
      <c r="AN864" s="182"/>
      <c r="AO864" s="182"/>
      <c r="AP864" s="182"/>
      <c r="AQ864" s="182"/>
      <c r="AR864" s="182"/>
    </row>
    <row r="865" spans="1:44">
      <c r="A865" s="182"/>
      <c r="B865" s="182"/>
      <c r="C865" s="182"/>
      <c r="D865" s="182"/>
      <c r="E865" s="182"/>
      <c r="F865" s="182"/>
      <c r="G865" s="182"/>
      <c r="H865" s="182"/>
      <c r="I865" s="182"/>
      <c r="J865" s="182"/>
      <c r="K865" s="182"/>
      <c r="L865" s="182"/>
      <c r="M865" s="182"/>
      <c r="N865" s="177"/>
      <c r="O865" s="182"/>
      <c r="P865" s="179"/>
      <c r="Q865" s="182"/>
      <c r="R865" s="182"/>
      <c r="S865" s="182"/>
      <c r="T865" s="182"/>
      <c r="U865" s="182"/>
      <c r="V865" s="182"/>
      <c r="W865" s="182"/>
      <c r="X865" s="182"/>
      <c r="Y865" s="182"/>
      <c r="Z865" s="182"/>
      <c r="AA865" s="182"/>
      <c r="AB865" s="182"/>
      <c r="AC865" s="182"/>
      <c r="AD865" s="182"/>
      <c r="AE865" s="184"/>
      <c r="AF865" s="183"/>
      <c r="AG865" s="183"/>
      <c r="AH865" s="183"/>
      <c r="AI865" s="183"/>
      <c r="AJ865" s="182"/>
      <c r="AK865" s="184"/>
      <c r="AL865" s="182"/>
      <c r="AM865" s="182"/>
      <c r="AN865" s="182"/>
      <c r="AO865" s="182"/>
      <c r="AP865" s="182"/>
      <c r="AQ865" s="182"/>
      <c r="AR865" s="182"/>
    </row>
    <row r="866" spans="1:44">
      <c r="A866" s="182"/>
      <c r="B866" s="182"/>
      <c r="C866" s="182"/>
      <c r="D866" s="182"/>
      <c r="E866" s="182"/>
      <c r="F866" s="182"/>
      <c r="G866" s="182"/>
      <c r="H866" s="182"/>
      <c r="I866" s="182"/>
      <c r="J866" s="182"/>
      <c r="K866" s="182"/>
      <c r="L866" s="182"/>
      <c r="M866" s="182"/>
      <c r="N866" s="177"/>
      <c r="O866" s="182"/>
      <c r="P866" s="179"/>
      <c r="Q866" s="182"/>
      <c r="R866" s="182"/>
      <c r="S866" s="182"/>
      <c r="T866" s="182"/>
      <c r="U866" s="182"/>
      <c r="V866" s="182"/>
      <c r="W866" s="182"/>
      <c r="X866" s="182"/>
      <c r="Y866" s="182"/>
      <c r="Z866" s="182"/>
      <c r="AA866" s="182"/>
      <c r="AB866" s="182"/>
      <c r="AC866" s="182"/>
      <c r="AD866" s="182"/>
      <c r="AE866" s="184"/>
      <c r="AF866" s="183"/>
      <c r="AG866" s="183"/>
      <c r="AH866" s="183"/>
      <c r="AI866" s="183"/>
      <c r="AJ866" s="182"/>
      <c r="AK866" s="184"/>
      <c r="AL866" s="182"/>
      <c r="AM866" s="182"/>
      <c r="AN866" s="182"/>
      <c r="AO866" s="182"/>
      <c r="AP866" s="182"/>
      <c r="AQ866" s="182"/>
      <c r="AR866" s="182"/>
    </row>
    <row r="867" spans="1:44">
      <c r="A867" s="182"/>
      <c r="B867" s="182"/>
      <c r="C867" s="182"/>
      <c r="D867" s="182"/>
      <c r="E867" s="182"/>
      <c r="F867" s="182"/>
      <c r="G867" s="182"/>
      <c r="H867" s="182"/>
      <c r="I867" s="182"/>
      <c r="J867" s="182"/>
      <c r="K867" s="182"/>
      <c r="L867" s="182"/>
      <c r="M867" s="182"/>
      <c r="N867" s="177"/>
      <c r="O867" s="182"/>
      <c r="P867" s="179"/>
      <c r="Q867" s="182"/>
      <c r="R867" s="182"/>
      <c r="S867" s="182"/>
      <c r="T867" s="182"/>
      <c r="U867" s="182"/>
      <c r="V867" s="182"/>
      <c r="W867" s="182"/>
      <c r="X867" s="182"/>
      <c r="Y867" s="182"/>
      <c r="Z867" s="182"/>
      <c r="AA867" s="182"/>
      <c r="AB867" s="182"/>
      <c r="AC867" s="182"/>
      <c r="AD867" s="182"/>
      <c r="AE867" s="184"/>
      <c r="AF867" s="183"/>
      <c r="AG867" s="183"/>
      <c r="AH867" s="183"/>
      <c r="AI867" s="183"/>
      <c r="AJ867" s="182"/>
      <c r="AK867" s="184"/>
      <c r="AL867" s="182"/>
      <c r="AM867" s="182"/>
      <c r="AN867" s="182"/>
      <c r="AO867" s="182"/>
      <c r="AP867" s="182"/>
      <c r="AQ867" s="182"/>
      <c r="AR867" s="182"/>
    </row>
    <row r="868" spans="1:44">
      <c r="A868" s="182"/>
      <c r="B868" s="182"/>
      <c r="C868" s="182"/>
      <c r="D868" s="182"/>
      <c r="E868" s="182"/>
      <c r="F868" s="182"/>
      <c r="G868" s="182"/>
      <c r="H868" s="182"/>
      <c r="I868" s="182"/>
      <c r="J868" s="182"/>
      <c r="K868" s="182"/>
      <c r="L868" s="182"/>
      <c r="M868" s="182"/>
      <c r="N868" s="177"/>
      <c r="O868" s="182"/>
      <c r="P868" s="179"/>
      <c r="Q868" s="182"/>
      <c r="R868" s="182"/>
      <c r="S868" s="182"/>
      <c r="T868" s="182"/>
      <c r="U868" s="182"/>
      <c r="V868" s="182"/>
      <c r="W868" s="182"/>
      <c r="X868" s="182"/>
      <c r="Y868" s="182"/>
      <c r="Z868" s="182"/>
      <c r="AA868" s="182"/>
      <c r="AB868" s="182"/>
      <c r="AC868" s="182"/>
      <c r="AD868" s="182"/>
      <c r="AE868" s="184"/>
      <c r="AF868" s="183"/>
      <c r="AG868" s="183"/>
      <c r="AH868" s="183"/>
      <c r="AI868" s="183"/>
      <c r="AJ868" s="182"/>
      <c r="AK868" s="184"/>
      <c r="AL868" s="182"/>
      <c r="AM868" s="182"/>
      <c r="AN868" s="182"/>
      <c r="AO868" s="182"/>
      <c r="AP868" s="182"/>
      <c r="AQ868" s="182"/>
      <c r="AR868" s="182"/>
    </row>
    <row r="869" spans="1:44">
      <c r="A869" s="182"/>
      <c r="B869" s="182"/>
      <c r="C869" s="182"/>
      <c r="D869" s="182"/>
      <c r="E869" s="182"/>
      <c r="F869" s="182"/>
      <c r="G869" s="182"/>
      <c r="H869" s="182"/>
      <c r="I869" s="182"/>
      <c r="J869" s="182"/>
      <c r="K869" s="182"/>
      <c r="L869" s="182"/>
      <c r="M869" s="182"/>
      <c r="N869" s="177"/>
      <c r="O869" s="182"/>
      <c r="P869" s="179"/>
      <c r="Q869" s="182"/>
      <c r="R869" s="182"/>
      <c r="S869" s="182"/>
      <c r="T869" s="182"/>
      <c r="U869" s="182"/>
      <c r="V869" s="182"/>
      <c r="W869" s="182"/>
      <c r="X869" s="182"/>
      <c r="Y869" s="182"/>
      <c r="Z869" s="182"/>
      <c r="AA869" s="182"/>
      <c r="AB869" s="182"/>
      <c r="AC869" s="182"/>
      <c r="AD869" s="182"/>
      <c r="AE869" s="184"/>
      <c r="AF869" s="183"/>
      <c r="AG869" s="183"/>
      <c r="AH869" s="183"/>
      <c r="AI869" s="183"/>
      <c r="AJ869" s="182"/>
      <c r="AK869" s="184"/>
      <c r="AL869" s="182"/>
      <c r="AM869" s="182"/>
      <c r="AN869" s="182"/>
      <c r="AO869" s="182"/>
      <c r="AP869" s="182"/>
      <c r="AQ869" s="182"/>
      <c r="AR869" s="182"/>
    </row>
    <row r="870" spans="1:44">
      <c r="A870" s="182"/>
      <c r="B870" s="182"/>
      <c r="C870" s="182"/>
      <c r="D870" s="182"/>
      <c r="E870" s="182"/>
      <c r="F870" s="182"/>
      <c r="G870" s="182"/>
      <c r="H870" s="182"/>
      <c r="I870" s="182"/>
      <c r="J870" s="182"/>
      <c r="K870" s="182"/>
      <c r="L870" s="182"/>
      <c r="M870" s="182"/>
      <c r="N870" s="177"/>
      <c r="O870" s="182"/>
      <c r="P870" s="179"/>
      <c r="Q870" s="182"/>
      <c r="R870" s="182"/>
      <c r="S870" s="182"/>
      <c r="T870" s="182"/>
      <c r="U870" s="182"/>
      <c r="V870" s="182"/>
      <c r="W870" s="182"/>
      <c r="X870" s="182"/>
      <c r="Y870" s="182"/>
      <c r="Z870" s="182"/>
      <c r="AA870" s="182"/>
      <c r="AB870" s="182"/>
      <c r="AC870" s="182"/>
      <c r="AD870" s="182"/>
      <c r="AE870" s="184"/>
      <c r="AF870" s="183"/>
      <c r="AG870" s="183"/>
      <c r="AH870" s="183"/>
      <c r="AI870" s="183"/>
      <c r="AJ870" s="182"/>
      <c r="AK870" s="184"/>
      <c r="AL870" s="182"/>
      <c r="AM870" s="182"/>
      <c r="AN870" s="182"/>
      <c r="AO870" s="182"/>
      <c r="AP870" s="182"/>
      <c r="AQ870" s="182"/>
      <c r="AR870" s="182"/>
    </row>
    <row r="871" spans="1:44">
      <c r="A871" s="182"/>
      <c r="B871" s="182"/>
      <c r="C871" s="182"/>
      <c r="D871" s="182"/>
      <c r="E871" s="182"/>
      <c r="F871" s="182"/>
      <c r="G871" s="182"/>
      <c r="H871" s="182"/>
      <c r="I871" s="182"/>
      <c r="J871" s="182"/>
      <c r="K871" s="182"/>
      <c r="L871" s="182"/>
      <c r="M871" s="182"/>
      <c r="N871" s="177"/>
      <c r="O871" s="182"/>
      <c r="P871" s="179"/>
      <c r="Q871" s="182"/>
      <c r="R871" s="182"/>
      <c r="S871" s="182"/>
      <c r="T871" s="182"/>
      <c r="U871" s="182"/>
      <c r="V871" s="182"/>
      <c r="W871" s="182"/>
      <c r="X871" s="182"/>
      <c r="Y871" s="182"/>
      <c r="Z871" s="182"/>
      <c r="AA871" s="182"/>
      <c r="AB871" s="182"/>
      <c r="AC871" s="182"/>
      <c r="AD871" s="182"/>
      <c r="AE871" s="184"/>
      <c r="AF871" s="183"/>
      <c r="AG871" s="183"/>
      <c r="AH871" s="183"/>
      <c r="AI871" s="183"/>
      <c r="AJ871" s="182"/>
      <c r="AK871" s="184"/>
      <c r="AL871" s="182"/>
      <c r="AM871" s="182"/>
      <c r="AN871" s="182"/>
      <c r="AO871" s="182"/>
      <c r="AP871" s="182"/>
      <c r="AQ871" s="182"/>
      <c r="AR871" s="182"/>
    </row>
    <row r="872" spans="1:44">
      <c r="A872" s="182"/>
      <c r="B872" s="182"/>
      <c r="C872" s="182"/>
      <c r="D872" s="182"/>
      <c r="E872" s="182"/>
      <c r="F872" s="182"/>
      <c r="G872" s="182"/>
      <c r="H872" s="182"/>
      <c r="I872" s="182"/>
      <c r="J872" s="182"/>
      <c r="K872" s="182"/>
      <c r="L872" s="182"/>
      <c r="M872" s="182"/>
      <c r="N872" s="177"/>
      <c r="O872" s="182"/>
      <c r="P872" s="179"/>
      <c r="Q872" s="182"/>
      <c r="R872" s="182"/>
      <c r="S872" s="182"/>
      <c r="T872" s="182"/>
      <c r="U872" s="182"/>
      <c r="V872" s="182"/>
      <c r="W872" s="182"/>
      <c r="X872" s="182"/>
      <c r="Y872" s="182"/>
      <c r="Z872" s="182"/>
      <c r="AA872" s="182"/>
      <c r="AB872" s="182"/>
      <c r="AC872" s="182"/>
      <c r="AD872" s="182"/>
      <c r="AE872" s="184"/>
      <c r="AF872" s="183"/>
      <c r="AG872" s="183"/>
      <c r="AH872" s="183"/>
      <c r="AI872" s="183"/>
      <c r="AJ872" s="182"/>
      <c r="AK872" s="184"/>
      <c r="AL872" s="182"/>
      <c r="AM872" s="182"/>
      <c r="AN872" s="182"/>
      <c r="AO872" s="182"/>
      <c r="AP872" s="182"/>
      <c r="AQ872" s="182"/>
      <c r="AR872" s="182"/>
    </row>
    <row r="873" spans="1:44">
      <c r="A873" s="182"/>
      <c r="B873" s="182"/>
      <c r="C873" s="182"/>
      <c r="D873" s="182"/>
      <c r="E873" s="182"/>
      <c r="F873" s="182"/>
      <c r="G873" s="182"/>
      <c r="H873" s="182"/>
      <c r="I873" s="182"/>
      <c r="J873" s="182"/>
      <c r="K873" s="182"/>
      <c r="L873" s="182"/>
      <c r="M873" s="182"/>
      <c r="N873" s="177"/>
      <c r="O873" s="182"/>
      <c r="P873" s="179"/>
      <c r="Q873" s="182"/>
      <c r="R873" s="182"/>
      <c r="S873" s="182"/>
      <c r="T873" s="182"/>
      <c r="U873" s="182"/>
      <c r="V873" s="182"/>
      <c r="W873" s="182"/>
      <c r="X873" s="182"/>
      <c r="Y873" s="182"/>
      <c r="Z873" s="182"/>
      <c r="AA873" s="182"/>
      <c r="AB873" s="182"/>
      <c r="AC873" s="182"/>
      <c r="AD873" s="182"/>
      <c r="AE873" s="184"/>
      <c r="AF873" s="183"/>
      <c r="AG873" s="183"/>
      <c r="AH873" s="183"/>
      <c r="AI873" s="183"/>
      <c r="AJ873" s="182"/>
      <c r="AK873" s="184"/>
      <c r="AL873" s="182"/>
      <c r="AM873" s="182"/>
      <c r="AN873" s="182"/>
      <c r="AO873" s="182"/>
      <c r="AP873" s="182"/>
      <c r="AQ873" s="182"/>
      <c r="AR873" s="182"/>
    </row>
    <row r="874" spans="1:44">
      <c r="A874" s="182"/>
      <c r="B874" s="182"/>
      <c r="C874" s="182"/>
      <c r="D874" s="182"/>
      <c r="E874" s="182"/>
      <c r="F874" s="182"/>
      <c r="G874" s="182"/>
      <c r="H874" s="182"/>
      <c r="I874" s="182"/>
      <c r="J874" s="182"/>
      <c r="K874" s="182"/>
      <c r="L874" s="182"/>
      <c r="M874" s="182"/>
      <c r="N874" s="177"/>
      <c r="O874" s="182"/>
      <c r="P874" s="179"/>
      <c r="Q874" s="182"/>
      <c r="R874" s="182"/>
      <c r="S874" s="182"/>
      <c r="T874" s="182"/>
      <c r="U874" s="182"/>
      <c r="V874" s="182"/>
      <c r="W874" s="182"/>
      <c r="X874" s="182"/>
      <c r="Y874" s="182"/>
      <c r="Z874" s="182"/>
      <c r="AA874" s="182"/>
      <c r="AB874" s="182"/>
      <c r="AC874" s="182"/>
      <c r="AD874" s="182"/>
      <c r="AE874" s="184"/>
      <c r="AF874" s="183"/>
      <c r="AG874" s="183"/>
      <c r="AH874" s="183"/>
      <c r="AI874" s="183"/>
      <c r="AJ874" s="182"/>
      <c r="AK874" s="184"/>
      <c r="AL874" s="182"/>
      <c r="AM874" s="182"/>
      <c r="AN874" s="182"/>
      <c r="AO874" s="182"/>
      <c r="AP874" s="182"/>
      <c r="AQ874" s="182"/>
      <c r="AR874" s="182"/>
    </row>
    <row r="875" spans="1:44">
      <c r="A875" s="182"/>
      <c r="B875" s="182"/>
      <c r="C875" s="182"/>
      <c r="D875" s="182"/>
      <c r="E875" s="182"/>
      <c r="F875" s="182"/>
      <c r="G875" s="182"/>
      <c r="H875" s="182"/>
      <c r="I875" s="182"/>
      <c r="J875" s="182"/>
      <c r="K875" s="182"/>
      <c r="L875" s="182"/>
      <c r="M875" s="182"/>
      <c r="N875" s="177"/>
      <c r="O875" s="182"/>
      <c r="P875" s="179"/>
      <c r="Q875" s="182"/>
      <c r="R875" s="182"/>
      <c r="S875" s="182"/>
      <c r="T875" s="182"/>
      <c r="U875" s="182"/>
      <c r="V875" s="182"/>
      <c r="W875" s="182"/>
      <c r="X875" s="182"/>
      <c r="Y875" s="182"/>
      <c r="Z875" s="182"/>
      <c r="AA875" s="182"/>
      <c r="AB875" s="182"/>
      <c r="AC875" s="182"/>
      <c r="AD875" s="182"/>
      <c r="AE875" s="184"/>
      <c r="AF875" s="183"/>
      <c r="AG875" s="183"/>
      <c r="AH875" s="183"/>
      <c r="AI875" s="183"/>
      <c r="AJ875" s="182"/>
      <c r="AK875" s="184"/>
      <c r="AL875" s="182"/>
      <c r="AM875" s="182"/>
      <c r="AN875" s="182"/>
      <c r="AO875" s="182"/>
      <c r="AP875" s="182"/>
      <c r="AQ875" s="182"/>
      <c r="AR875" s="182"/>
    </row>
    <row r="876" spans="1:44">
      <c r="A876" s="182"/>
      <c r="B876" s="182"/>
      <c r="C876" s="182"/>
      <c r="D876" s="182"/>
      <c r="E876" s="182"/>
      <c r="F876" s="182"/>
      <c r="G876" s="182"/>
      <c r="H876" s="182"/>
      <c r="I876" s="182"/>
      <c r="J876" s="182"/>
      <c r="K876" s="182"/>
      <c r="L876" s="182"/>
      <c r="M876" s="182"/>
      <c r="N876" s="177"/>
      <c r="O876" s="182"/>
      <c r="P876" s="179"/>
      <c r="Q876" s="182"/>
      <c r="R876" s="182"/>
      <c r="S876" s="182"/>
      <c r="T876" s="182"/>
      <c r="U876" s="182"/>
      <c r="V876" s="182"/>
      <c r="W876" s="182"/>
      <c r="X876" s="182"/>
      <c r="Y876" s="182"/>
      <c r="Z876" s="182"/>
      <c r="AA876" s="182"/>
      <c r="AB876" s="182"/>
      <c r="AC876" s="182"/>
      <c r="AD876" s="182"/>
      <c r="AE876" s="184"/>
      <c r="AF876" s="183"/>
      <c r="AG876" s="183"/>
      <c r="AH876" s="183"/>
      <c r="AI876" s="183"/>
      <c r="AJ876" s="182"/>
      <c r="AK876" s="184"/>
      <c r="AL876" s="182"/>
      <c r="AM876" s="182"/>
      <c r="AN876" s="182"/>
      <c r="AO876" s="182"/>
      <c r="AP876" s="182"/>
      <c r="AQ876" s="182"/>
      <c r="AR876" s="182"/>
    </row>
    <row r="877" spans="1:44">
      <c r="A877" s="182"/>
      <c r="B877" s="182"/>
      <c r="C877" s="182"/>
      <c r="D877" s="182"/>
      <c r="E877" s="182"/>
      <c r="F877" s="182"/>
      <c r="G877" s="182"/>
      <c r="H877" s="182"/>
      <c r="I877" s="182"/>
      <c r="J877" s="182"/>
      <c r="K877" s="182"/>
      <c r="L877" s="182"/>
      <c r="M877" s="182"/>
      <c r="N877" s="177"/>
      <c r="O877" s="182"/>
      <c r="P877" s="179"/>
      <c r="Q877" s="182"/>
      <c r="R877" s="182"/>
      <c r="S877" s="182"/>
      <c r="T877" s="182"/>
      <c r="U877" s="182"/>
      <c r="V877" s="182"/>
      <c r="W877" s="182"/>
      <c r="X877" s="182"/>
      <c r="Y877" s="182"/>
      <c r="Z877" s="182"/>
      <c r="AA877" s="182"/>
      <c r="AB877" s="182"/>
      <c r="AC877" s="182"/>
      <c r="AD877" s="182"/>
      <c r="AE877" s="184"/>
      <c r="AF877" s="183"/>
      <c r="AG877" s="183"/>
      <c r="AH877" s="183"/>
      <c r="AI877" s="183"/>
      <c r="AJ877" s="182"/>
      <c r="AK877" s="184"/>
      <c r="AL877" s="182"/>
      <c r="AM877" s="182"/>
      <c r="AN877" s="182"/>
      <c r="AO877" s="182"/>
      <c r="AP877" s="182"/>
      <c r="AQ877" s="182"/>
      <c r="AR877" s="182"/>
    </row>
    <row r="878" spans="1:44">
      <c r="A878" s="182"/>
      <c r="B878" s="182"/>
      <c r="C878" s="182"/>
      <c r="D878" s="182"/>
      <c r="E878" s="182"/>
      <c r="F878" s="182"/>
      <c r="G878" s="182"/>
      <c r="H878" s="182"/>
      <c r="I878" s="182"/>
      <c r="J878" s="182"/>
      <c r="K878" s="182"/>
      <c r="L878" s="182"/>
      <c r="M878" s="182"/>
      <c r="N878" s="177"/>
      <c r="O878" s="182"/>
      <c r="P878" s="179"/>
      <c r="Q878" s="182"/>
      <c r="R878" s="182"/>
      <c r="S878" s="182"/>
      <c r="T878" s="182"/>
      <c r="U878" s="182"/>
      <c r="V878" s="182"/>
      <c r="W878" s="182"/>
      <c r="X878" s="182"/>
      <c r="Y878" s="182"/>
      <c r="Z878" s="182"/>
      <c r="AA878" s="182"/>
      <c r="AB878" s="182"/>
      <c r="AC878" s="182"/>
      <c r="AD878" s="182"/>
      <c r="AE878" s="184"/>
      <c r="AF878" s="183"/>
      <c r="AG878" s="183"/>
      <c r="AH878" s="183"/>
      <c r="AI878" s="183"/>
      <c r="AJ878" s="182"/>
      <c r="AK878" s="184"/>
      <c r="AL878" s="182"/>
      <c r="AM878" s="182"/>
      <c r="AN878" s="182"/>
      <c r="AO878" s="182"/>
      <c r="AP878" s="182"/>
      <c r="AQ878" s="182"/>
      <c r="AR878" s="182"/>
    </row>
    <row r="879" spans="1:44">
      <c r="A879" s="182"/>
      <c r="B879" s="182"/>
      <c r="C879" s="182"/>
      <c r="D879" s="182"/>
      <c r="E879" s="182"/>
      <c r="F879" s="182"/>
      <c r="G879" s="182"/>
      <c r="H879" s="182"/>
      <c r="I879" s="182"/>
      <c r="J879" s="182"/>
      <c r="K879" s="182"/>
      <c r="L879" s="182"/>
      <c r="M879" s="182"/>
      <c r="N879" s="177"/>
      <c r="O879" s="182"/>
      <c r="P879" s="179"/>
      <c r="Q879" s="182"/>
      <c r="R879" s="182"/>
      <c r="S879" s="182"/>
      <c r="T879" s="182"/>
      <c r="U879" s="182"/>
      <c r="V879" s="182"/>
      <c r="W879" s="182"/>
      <c r="X879" s="182"/>
      <c r="Y879" s="182"/>
      <c r="Z879" s="182"/>
      <c r="AA879" s="182"/>
      <c r="AB879" s="182"/>
      <c r="AC879" s="182"/>
      <c r="AD879" s="182"/>
      <c r="AE879" s="184"/>
      <c r="AF879" s="183"/>
      <c r="AG879" s="183"/>
      <c r="AH879" s="183"/>
      <c r="AI879" s="183"/>
      <c r="AJ879" s="182"/>
      <c r="AK879" s="184"/>
      <c r="AL879" s="182"/>
      <c r="AM879" s="182"/>
      <c r="AN879" s="182"/>
      <c r="AO879" s="182"/>
      <c r="AP879" s="182"/>
      <c r="AQ879" s="182"/>
      <c r="AR879" s="182"/>
    </row>
    <row r="880" spans="1:44">
      <c r="A880" s="182"/>
      <c r="B880" s="182"/>
      <c r="C880" s="182"/>
      <c r="D880" s="182"/>
      <c r="E880" s="182"/>
      <c r="F880" s="182"/>
      <c r="G880" s="182"/>
      <c r="H880" s="182"/>
      <c r="I880" s="182"/>
      <c r="J880" s="182"/>
      <c r="K880" s="182"/>
      <c r="L880" s="182"/>
      <c r="M880" s="182"/>
      <c r="N880" s="177"/>
      <c r="O880" s="182"/>
      <c r="P880" s="179"/>
      <c r="Q880" s="182"/>
      <c r="R880" s="182"/>
      <c r="S880" s="182"/>
      <c r="T880" s="182"/>
      <c r="U880" s="182"/>
      <c r="V880" s="182"/>
      <c r="W880" s="182"/>
      <c r="X880" s="182"/>
      <c r="Y880" s="182"/>
      <c r="Z880" s="182"/>
      <c r="AA880" s="182"/>
      <c r="AB880" s="182"/>
      <c r="AC880" s="182"/>
      <c r="AD880" s="182"/>
      <c r="AE880" s="184"/>
      <c r="AF880" s="183"/>
      <c r="AG880" s="183"/>
      <c r="AH880" s="183"/>
      <c r="AI880" s="183"/>
      <c r="AJ880" s="182"/>
      <c r="AK880" s="184"/>
      <c r="AL880" s="182"/>
      <c r="AM880" s="182"/>
      <c r="AN880" s="182"/>
      <c r="AO880" s="182"/>
      <c r="AP880" s="182"/>
      <c r="AQ880" s="182"/>
      <c r="AR880" s="182"/>
    </row>
    <row r="881" spans="1:44">
      <c r="A881" s="182"/>
      <c r="B881" s="182"/>
      <c r="C881" s="182"/>
      <c r="D881" s="182"/>
      <c r="E881" s="182"/>
      <c r="F881" s="182"/>
      <c r="G881" s="182"/>
      <c r="H881" s="182"/>
      <c r="I881" s="182"/>
      <c r="J881" s="182"/>
      <c r="K881" s="182"/>
      <c r="L881" s="182"/>
      <c r="M881" s="182"/>
      <c r="N881" s="177"/>
      <c r="O881" s="182"/>
      <c r="P881" s="179"/>
      <c r="Q881" s="182"/>
      <c r="R881" s="182"/>
      <c r="S881" s="182"/>
      <c r="T881" s="182"/>
      <c r="U881" s="182"/>
      <c r="V881" s="182"/>
      <c r="W881" s="182"/>
      <c r="X881" s="182"/>
      <c r="Y881" s="182"/>
      <c r="Z881" s="182"/>
      <c r="AA881" s="182"/>
      <c r="AB881" s="182"/>
      <c r="AC881" s="182"/>
      <c r="AD881" s="182"/>
      <c r="AE881" s="184"/>
      <c r="AF881" s="183"/>
      <c r="AG881" s="183"/>
      <c r="AH881" s="183"/>
      <c r="AI881" s="183"/>
      <c r="AJ881" s="182"/>
      <c r="AK881" s="184"/>
      <c r="AL881" s="182"/>
      <c r="AM881" s="182"/>
      <c r="AN881" s="182"/>
      <c r="AO881" s="182"/>
      <c r="AP881" s="182"/>
      <c r="AQ881" s="182"/>
      <c r="AR881" s="182"/>
    </row>
    <row r="882" spans="1:44">
      <c r="A882" s="182"/>
      <c r="B882" s="182"/>
      <c r="C882" s="182"/>
      <c r="D882" s="182"/>
      <c r="E882" s="182"/>
      <c r="F882" s="182"/>
      <c r="G882" s="182"/>
      <c r="H882" s="182"/>
      <c r="I882" s="182"/>
      <c r="J882" s="182"/>
      <c r="K882" s="182"/>
      <c r="L882" s="182"/>
      <c r="M882" s="182"/>
      <c r="N882" s="177"/>
      <c r="O882" s="182"/>
      <c r="P882" s="179"/>
      <c r="Q882" s="182"/>
      <c r="R882" s="182"/>
      <c r="S882" s="182"/>
      <c r="T882" s="182"/>
      <c r="U882" s="182"/>
      <c r="V882" s="182"/>
      <c r="W882" s="182"/>
      <c r="X882" s="182"/>
      <c r="Y882" s="182"/>
      <c r="Z882" s="182"/>
      <c r="AA882" s="182"/>
      <c r="AB882" s="182"/>
      <c r="AC882" s="182"/>
      <c r="AD882" s="182"/>
      <c r="AE882" s="184"/>
      <c r="AF882" s="183"/>
      <c r="AG882" s="183"/>
      <c r="AH882" s="183"/>
      <c r="AI882" s="183"/>
      <c r="AJ882" s="182"/>
      <c r="AK882" s="184"/>
      <c r="AL882" s="182"/>
      <c r="AM882" s="182"/>
      <c r="AN882" s="182"/>
      <c r="AO882" s="182"/>
      <c r="AP882" s="182"/>
      <c r="AQ882" s="182"/>
      <c r="AR882" s="182"/>
    </row>
    <row r="883" spans="1:44">
      <c r="A883" s="182"/>
      <c r="B883" s="182"/>
      <c r="C883" s="182"/>
      <c r="D883" s="182"/>
      <c r="E883" s="182"/>
      <c r="F883" s="182"/>
      <c r="G883" s="182"/>
      <c r="H883" s="182"/>
      <c r="I883" s="182"/>
      <c r="J883" s="182"/>
      <c r="K883" s="182"/>
      <c r="L883" s="182"/>
      <c r="M883" s="182"/>
      <c r="N883" s="177"/>
      <c r="O883" s="182"/>
      <c r="P883" s="179"/>
      <c r="Q883" s="182"/>
      <c r="R883" s="182"/>
      <c r="S883" s="182"/>
      <c r="T883" s="182"/>
      <c r="U883" s="182"/>
      <c r="V883" s="182"/>
      <c r="W883" s="182"/>
      <c r="X883" s="182"/>
      <c r="Y883" s="182"/>
      <c r="Z883" s="182"/>
      <c r="AA883" s="182"/>
      <c r="AB883" s="182"/>
      <c r="AC883" s="182"/>
      <c r="AD883" s="182"/>
      <c r="AE883" s="184"/>
      <c r="AF883" s="183"/>
      <c r="AG883" s="183"/>
      <c r="AH883" s="183"/>
      <c r="AI883" s="183"/>
      <c r="AJ883" s="182"/>
      <c r="AK883" s="184"/>
      <c r="AL883" s="182"/>
      <c r="AM883" s="182"/>
      <c r="AN883" s="182"/>
      <c r="AO883" s="182"/>
      <c r="AP883" s="182"/>
      <c r="AQ883" s="182"/>
      <c r="AR883" s="182"/>
    </row>
    <row r="884" spans="1:44">
      <c r="A884" s="182"/>
      <c r="B884" s="182"/>
      <c r="C884" s="182"/>
      <c r="D884" s="182"/>
      <c r="E884" s="182"/>
      <c r="F884" s="182"/>
      <c r="G884" s="182"/>
      <c r="H884" s="182"/>
      <c r="I884" s="182"/>
      <c r="J884" s="182"/>
      <c r="K884" s="182"/>
      <c r="L884" s="182"/>
      <c r="M884" s="182"/>
      <c r="N884" s="177"/>
      <c r="O884" s="182"/>
      <c r="P884" s="179"/>
      <c r="Q884" s="182"/>
      <c r="R884" s="182"/>
      <c r="S884" s="182"/>
      <c r="T884" s="182"/>
      <c r="U884" s="182"/>
      <c r="V884" s="182"/>
      <c r="W884" s="182"/>
      <c r="X884" s="182"/>
      <c r="Y884" s="182"/>
      <c r="Z884" s="182"/>
      <c r="AA884" s="182"/>
      <c r="AB884" s="182"/>
      <c r="AC884" s="182"/>
      <c r="AD884" s="182"/>
      <c r="AE884" s="184"/>
      <c r="AF884" s="183"/>
      <c r="AG884" s="183"/>
      <c r="AH884" s="183"/>
      <c r="AI884" s="183"/>
      <c r="AJ884" s="182"/>
      <c r="AK884" s="184"/>
      <c r="AL884" s="182"/>
      <c r="AM884" s="182"/>
      <c r="AN884" s="182"/>
      <c r="AO884" s="182"/>
      <c r="AP884" s="182"/>
      <c r="AQ884" s="182"/>
      <c r="AR884" s="182"/>
    </row>
    <row r="885" spans="1:44">
      <c r="A885" s="182"/>
      <c r="B885" s="182"/>
      <c r="C885" s="182"/>
      <c r="D885" s="182"/>
      <c r="E885" s="182"/>
      <c r="F885" s="182"/>
      <c r="G885" s="182"/>
      <c r="H885" s="182"/>
      <c r="I885" s="182"/>
      <c r="J885" s="182"/>
      <c r="K885" s="182"/>
      <c r="L885" s="182"/>
      <c r="M885" s="182"/>
      <c r="N885" s="177"/>
      <c r="O885" s="182"/>
      <c r="P885" s="179"/>
      <c r="Q885" s="182"/>
      <c r="R885" s="182"/>
      <c r="S885" s="182"/>
      <c r="T885" s="182"/>
      <c r="U885" s="182"/>
      <c r="V885" s="182"/>
      <c r="W885" s="182"/>
      <c r="X885" s="182"/>
      <c r="Y885" s="182"/>
      <c r="Z885" s="182"/>
      <c r="AA885" s="182"/>
      <c r="AB885" s="182"/>
      <c r="AC885" s="182"/>
      <c r="AD885" s="182"/>
      <c r="AE885" s="184"/>
      <c r="AF885" s="183"/>
      <c r="AG885" s="183"/>
      <c r="AH885" s="183"/>
      <c r="AI885" s="183"/>
      <c r="AJ885" s="182"/>
      <c r="AK885" s="184"/>
      <c r="AL885" s="182"/>
      <c r="AM885" s="182"/>
      <c r="AN885" s="182"/>
      <c r="AO885" s="182"/>
      <c r="AP885" s="182"/>
      <c r="AQ885" s="182"/>
      <c r="AR885" s="182"/>
    </row>
    <row r="886" spans="1:44">
      <c r="A886" s="182"/>
      <c r="B886" s="182"/>
      <c r="C886" s="182"/>
      <c r="D886" s="182"/>
      <c r="E886" s="182"/>
      <c r="F886" s="182"/>
      <c r="G886" s="182"/>
      <c r="H886" s="182"/>
      <c r="I886" s="182"/>
      <c r="J886" s="182"/>
      <c r="K886" s="182"/>
      <c r="L886" s="182"/>
      <c r="M886" s="182"/>
      <c r="N886" s="177"/>
      <c r="O886" s="182"/>
      <c r="P886" s="179"/>
      <c r="Q886" s="182"/>
      <c r="R886" s="182"/>
      <c r="S886" s="182"/>
      <c r="T886" s="182"/>
      <c r="U886" s="182"/>
      <c r="V886" s="182"/>
      <c r="W886" s="182"/>
      <c r="X886" s="182"/>
      <c r="Y886" s="182"/>
      <c r="Z886" s="182"/>
      <c r="AA886" s="182"/>
      <c r="AB886" s="182"/>
      <c r="AC886" s="182"/>
      <c r="AD886" s="182"/>
      <c r="AE886" s="184"/>
      <c r="AF886" s="183"/>
      <c r="AG886" s="183"/>
      <c r="AH886" s="183"/>
      <c r="AI886" s="183"/>
      <c r="AJ886" s="182"/>
      <c r="AK886" s="184"/>
      <c r="AL886" s="182"/>
      <c r="AM886" s="182"/>
      <c r="AN886" s="182"/>
      <c r="AO886" s="182"/>
      <c r="AP886" s="182"/>
      <c r="AQ886" s="182"/>
      <c r="AR886" s="182"/>
    </row>
    <row r="887" spans="1:44">
      <c r="A887" s="182"/>
      <c r="B887" s="182"/>
      <c r="C887" s="182"/>
      <c r="D887" s="182"/>
      <c r="E887" s="182"/>
      <c r="F887" s="182"/>
      <c r="G887" s="182"/>
      <c r="H887" s="182"/>
      <c r="I887" s="182"/>
      <c r="J887" s="182"/>
      <c r="K887" s="182"/>
      <c r="L887" s="182"/>
      <c r="M887" s="182"/>
      <c r="N887" s="177"/>
      <c r="O887" s="182"/>
      <c r="P887" s="179"/>
      <c r="Q887" s="182"/>
      <c r="R887" s="182"/>
      <c r="S887" s="182"/>
      <c r="T887" s="182"/>
      <c r="U887" s="182"/>
      <c r="V887" s="182"/>
      <c r="W887" s="182"/>
      <c r="X887" s="182"/>
      <c r="Y887" s="182"/>
      <c r="Z887" s="182"/>
      <c r="AA887" s="182"/>
      <c r="AB887" s="182"/>
      <c r="AC887" s="182"/>
      <c r="AD887" s="182"/>
      <c r="AE887" s="184"/>
      <c r="AF887" s="183"/>
      <c r="AG887" s="183"/>
      <c r="AH887" s="183"/>
      <c r="AI887" s="183"/>
      <c r="AJ887" s="182"/>
      <c r="AK887" s="184"/>
      <c r="AL887" s="182"/>
      <c r="AM887" s="182"/>
      <c r="AN887" s="182"/>
      <c r="AO887" s="182"/>
      <c r="AP887" s="182"/>
      <c r="AQ887" s="182"/>
      <c r="AR887" s="182"/>
    </row>
    <row r="888" spans="1:44">
      <c r="A888" s="182"/>
      <c r="B888" s="182"/>
      <c r="C888" s="182"/>
      <c r="D888" s="182"/>
      <c r="E888" s="182"/>
      <c r="F888" s="182"/>
      <c r="G888" s="182"/>
      <c r="H888" s="182"/>
      <c r="I888" s="182"/>
      <c r="J888" s="182"/>
      <c r="K888" s="182"/>
      <c r="L888" s="182"/>
      <c r="M888" s="182"/>
      <c r="N888" s="177"/>
      <c r="O888" s="182"/>
      <c r="P888" s="179"/>
      <c r="Q888" s="182"/>
      <c r="R888" s="182"/>
      <c r="S888" s="182"/>
      <c r="T888" s="182"/>
      <c r="U888" s="182"/>
      <c r="V888" s="182"/>
      <c r="W888" s="182"/>
      <c r="X888" s="182"/>
      <c r="Y888" s="182"/>
      <c r="Z888" s="182"/>
      <c r="AA888" s="182"/>
      <c r="AB888" s="182"/>
      <c r="AC888" s="182"/>
      <c r="AD888" s="182"/>
      <c r="AE888" s="184"/>
      <c r="AF888" s="183"/>
      <c r="AG888" s="183"/>
      <c r="AH888" s="183"/>
      <c r="AI888" s="183"/>
      <c r="AJ888" s="182"/>
      <c r="AK888" s="184"/>
      <c r="AL888" s="182"/>
      <c r="AM888" s="182"/>
      <c r="AN888" s="182"/>
      <c r="AO888" s="182"/>
      <c r="AP888" s="182"/>
      <c r="AQ888" s="182"/>
      <c r="AR888" s="182"/>
    </row>
    <row r="889" spans="1:44">
      <c r="A889" s="182"/>
      <c r="B889" s="182"/>
      <c r="C889" s="182"/>
      <c r="D889" s="182"/>
      <c r="E889" s="182"/>
      <c r="F889" s="182"/>
      <c r="G889" s="182"/>
      <c r="H889" s="182"/>
      <c r="I889" s="182"/>
      <c r="J889" s="182"/>
      <c r="K889" s="182"/>
      <c r="L889" s="182"/>
      <c r="M889" s="182"/>
      <c r="N889" s="177"/>
      <c r="O889" s="182"/>
      <c r="P889" s="179"/>
      <c r="Q889" s="182"/>
      <c r="R889" s="182"/>
      <c r="S889" s="182"/>
      <c r="T889" s="182"/>
      <c r="U889" s="182"/>
      <c r="V889" s="182"/>
      <c r="W889" s="182"/>
      <c r="X889" s="182"/>
      <c r="Y889" s="182"/>
      <c r="Z889" s="182"/>
      <c r="AA889" s="182"/>
      <c r="AB889" s="182"/>
      <c r="AC889" s="182"/>
      <c r="AD889" s="182"/>
      <c r="AE889" s="184"/>
      <c r="AF889" s="183"/>
      <c r="AG889" s="183"/>
      <c r="AH889" s="183"/>
      <c r="AI889" s="183"/>
      <c r="AJ889" s="182"/>
      <c r="AK889" s="184"/>
      <c r="AL889" s="182"/>
      <c r="AM889" s="182"/>
      <c r="AN889" s="182"/>
      <c r="AO889" s="182"/>
      <c r="AP889" s="182"/>
      <c r="AQ889" s="182"/>
      <c r="AR889" s="182"/>
    </row>
    <row r="890" spans="1:44">
      <c r="A890" s="182"/>
      <c r="B890" s="182"/>
      <c r="C890" s="182"/>
      <c r="D890" s="182"/>
      <c r="E890" s="182"/>
      <c r="F890" s="182"/>
      <c r="G890" s="182"/>
      <c r="H890" s="182"/>
      <c r="I890" s="182"/>
      <c r="J890" s="182"/>
      <c r="K890" s="182"/>
      <c r="L890" s="182"/>
      <c r="M890" s="182"/>
      <c r="N890" s="177"/>
      <c r="O890" s="182"/>
      <c r="P890" s="179"/>
      <c r="Q890" s="182"/>
      <c r="R890" s="182"/>
      <c r="S890" s="182"/>
      <c r="T890" s="182"/>
      <c r="U890" s="182"/>
      <c r="V890" s="182"/>
      <c r="W890" s="182"/>
      <c r="X890" s="182"/>
      <c r="Y890" s="182"/>
      <c r="Z890" s="182"/>
      <c r="AA890" s="182"/>
      <c r="AB890" s="182"/>
      <c r="AC890" s="182"/>
      <c r="AD890" s="182"/>
      <c r="AE890" s="184"/>
      <c r="AF890" s="183"/>
      <c r="AG890" s="183"/>
      <c r="AH890" s="183"/>
      <c r="AI890" s="183"/>
      <c r="AJ890" s="182"/>
      <c r="AK890" s="184"/>
      <c r="AL890" s="182"/>
      <c r="AM890" s="182"/>
      <c r="AN890" s="182"/>
      <c r="AO890" s="182"/>
      <c r="AP890" s="182"/>
      <c r="AQ890" s="182"/>
      <c r="AR890" s="182"/>
    </row>
    <row r="891" spans="1:44">
      <c r="A891" s="182"/>
      <c r="B891" s="182"/>
      <c r="C891" s="182"/>
      <c r="D891" s="182"/>
      <c r="E891" s="182"/>
      <c r="F891" s="182"/>
      <c r="G891" s="182"/>
      <c r="H891" s="182"/>
      <c r="I891" s="182"/>
      <c r="J891" s="182"/>
      <c r="K891" s="182"/>
      <c r="L891" s="182"/>
      <c r="M891" s="182"/>
      <c r="N891" s="177"/>
      <c r="O891" s="182"/>
      <c r="P891" s="179"/>
      <c r="Q891" s="182"/>
      <c r="R891" s="182"/>
      <c r="S891" s="182"/>
      <c r="T891" s="182"/>
      <c r="U891" s="182"/>
      <c r="V891" s="182"/>
      <c r="W891" s="182"/>
      <c r="X891" s="182"/>
      <c r="Y891" s="182"/>
      <c r="Z891" s="182"/>
      <c r="AA891" s="182"/>
      <c r="AB891" s="182"/>
      <c r="AC891" s="182"/>
      <c r="AD891" s="182"/>
      <c r="AE891" s="184"/>
      <c r="AF891" s="183"/>
      <c r="AG891" s="183"/>
      <c r="AH891" s="183"/>
      <c r="AI891" s="183"/>
      <c r="AJ891" s="182"/>
      <c r="AK891" s="184"/>
      <c r="AL891" s="182"/>
      <c r="AM891" s="182"/>
      <c r="AN891" s="182"/>
      <c r="AO891" s="182"/>
      <c r="AP891" s="182"/>
      <c r="AQ891" s="182"/>
      <c r="AR891" s="182"/>
    </row>
    <row r="892" spans="1:44">
      <c r="A892" s="182"/>
      <c r="B892" s="182"/>
      <c r="C892" s="182"/>
      <c r="D892" s="182"/>
      <c r="E892" s="182"/>
      <c r="F892" s="182"/>
      <c r="G892" s="182"/>
      <c r="H892" s="182"/>
      <c r="I892" s="182"/>
      <c r="J892" s="182"/>
      <c r="K892" s="182"/>
      <c r="L892" s="182"/>
      <c r="M892" s="182"/>
      <c r="N892" s="177"/>
      <c r="O892" s="182"/>
      <c r="P892" s="179"/>
      <c r="Q892" s="182"/>
      <c r="R892" s="182"/>
      <c r="S892" s="182"/>
      <c r="T892" s="182"/>
      <c r="U892" s="182"/>
      <c r="V892" s="182"/>
      <c r="W892" s="182"/>
      <c r="X892" s="182"/>
      <c r="Y892" s="182"/>
      <c r="Z892" s="182"/>
      <c r="AA892" s="182"/>
      <c r="AB892" s="182"/>
      <c r="AC892" s="182"/>
      <c r="AD892" s="182"/>
      <c r="AE892" s="184"/>
      <c r="AF892" s="183"/>
      <c r="AG892" s="183"/>
      <c r="AH892" s="183"/>
      <c r="AI892" s="183"/>
      <c r="AJ892" s="182"/>
      <c r="AK892" s="184"/>
      <c r="AL892" s="182"/>
      <c r="AM892" s="182"/>
      <c r="AN892" s="182"/>
      <c r="AO892" s="182"/>
      <c r="AP892" s="182"/>
      <c r="AQ892" s="182"/>
      <c r="AR892" s="182"/>
    </row>
    <row r="893" spans="1:44">
      <c r="A893" s="182"/>
      <c r="B893" s="182"/>
      <c r="C893" s="182"/>
      <c r="D893" s="182"/>
      <c r="E893" s="182"/>
      <c r="F893" s="182"/>
      <c r="G893" s="182"/>
      <c r="H893" s="182"/>
      <c r="I893" s="182"/>
      <c r="J893" s="182"/>
      <c r="K893" s="182"/>
      <c r="L893" s="182"/>
      <c r="M893" s="182"/>
      <c r="N893" s="177"/>
      <c r="O893" s="182"/>
      <c r="P893" s="179"/>
      <c r="Q893" s="182"/>
      <c r="R893" s="182"/>
      <c r="S893" s="182"/>
      <c r="T893" s="182"/>
      <c r="U893" s="182"/>
      <c r="V893" s="182"/>
      <c r="W893" s="182"/>
      <c r="X893" s="182"/>
      <c r="Y893" s="182"/>
      <c r="Z893" s="182"/>
      <c r="AA893" s="182"/>
      <c r="AB893" s="182"/>
      <c r="AC893" s="182"/>
      <c r="AD893" s="182"/>
      <c r="AE893" s="184"/>
      <c r="AF893" s="183"/>
      <c r="AG893" s="183"/>
      <c r="AH893" s="183"/>
      <c r="AI893" s="183"/>
      <c r="AJ893" s="182"/>
      <c r="AK893" s="184"/>
      <c r="AL893" s="182"/>
      <c r="AM893" s="182"/>
      <c r="AN893" s="182"/>
      <c r="AO893" s="182"/>
      <c r="AP893" s="182"/>
      <c r="AQ893" s="182"/>
      <c r="AR893" s="182"/>
    </row>
    <row r="894" spans="1:44">
      <c r="A894" s="182"/>
      <c r="B894" s="182"/>
      <c r="C894" s="182"/>
      <c r="D894" s="182"/>
      <c r="E894" s="182"/>
      <c r="F894" s="182"/>
      <c r="G894" s="182"/>
      <c r="H894" s="182"/>
      <c r="I894" s="182"/>
      <c r="J894" s="182"/>
      <c r="K894" s="182"/>
      <c r="L894" s="182"/>
      <c r="M894" s="182"/>
      <c r="N894" s="177"/>
      <c r="O894" s="182"/>
      <c r="P894" s="179"/>
      <c r="Q894" s="182"/>
      <c r="R894" s="182"/>
      <c r="S894" s="182"/>
      <c r="T894" s="182"/>
      <c r="U894" s="182"/>
      <c r="V894" s="182"/>
      <c r="W894" s="182"/>
      <c r="X894" s="182"/>
      <c r="Y894" s="182"/>
      <c r="Z894" s="182"/>
      <c r="AA894" s="182"/>
      <c r="AB894" s="182"/>
      <c r="AC894" s="182"/>
      <c r="AD894" s="182"/>
      <c r="AE894" s="184"/>
      <c r="AF894" s="183"/>
      <c r="AG894" s="183"/>
      <c r="AH894" s="183"/>
      <c r="AI894" s="183"/>
      <c r="AJ894" s="182"/>
      <c r="AK894" s="184"/>
      <c r="AL894" s="182"/>
      <c r="AM894" s="182"/>
      <c r="AN894" s="182"/>
      <c r="AO894" s="182"/>
      <c r="AP894" s="182"/>
      <c r="AQ894" s="182"/>
      <c r="AR894" s="182"/>
    </row>
    <row r="895" spans="1:44">
      <c r="A895" s="182"/>
      <c r="B895" s="182"/>
      <c r="C895" s="182"/>
      <c r="D895" s="182"/>
      <c r="E895" s="182"/>
      <c r="F895" s="182"/>
      <c r="G895" s="182"/>
      <c r="H895" s="182"/>
      <c r="I895" s="182"/>
      <c r="J895" s="182"/>
      <c r="K895" s="182"/>
      <c r="L895" s="182"/>
      <c r="M895" s="182"/>
      <c r="N895" s="177"/>
      <c r="O895" s="182"/>
      <c r="P895" s="179"/>
      <c r="Q895" s="182"/>
      <c r="R895" s="182"/>
      <c r="S895" s="182"/>
      <c r="T895" s="182"/>
      <c r="U895" s="182"/>
      <c r="V895" s="182"/>
      <c r="W895" s="182"/>
      <c r="X895" s="182"/>
      <c r="Y895" s="182"/>
      <c r="Z895" s="182"/>
      <c r="AA895" s="182"/>
      <c r="AB895" s="182"/>
      <c r="AC895" s="182"/>
      <c r="AD895" s="182"/>
      <c r="AE895" s="184"/>
      <c r="AF895" s="183"/>
      <c r="AG895" s="183"/>
      <c r="AH895" s="183"/>
      <c r="AI895" s="183"/>
      <c r="AJ895" s="182"/>
      <c r="AK895" s="184"/>
      <c r="AL895" s="182"/>
      <c r="AM895" s="182"/>
      <c r="AN895" s="182"/>
      <c r="AO895" s="182"/>
      <c r="AP895" s="182"/>
      <c r="AQ895" s="182"/>
      <c r="AR895" s="182"/>
    </row>
    <row r="896" spans="1:44">
      <c r="A896" s="182"/>
      <c r="B896" s="182"/>
      <c r="C896" s="182"/>
      <c r="D896" s="182"/>
      <c r="E896" s="182"/>
      <c r="F896" s="182"/>
      <c r="G896" s="182"/>
      <c r="H896" s="182"/>
      <c r="I896" s="182"/>
      <c r="J896" s="182"/>
      <c r="K896" s="182"/>
      <c r="L896" s="182"/>
      <c r="M896" s="182"/>
      <c r="N896" s="177"/>
      <c r="O896" s="182"/>
      <c r="P896" s="179"/>
      <c r="Q896" s="182"/>
      <c r="R896" s="182"/>
      <c r="S896" s="182"/>
      <c r="T896" s="182"/>
      <c r="U896" s="182"/>
      <c r="V896" s="182"/>
      <c r="W896" s="182"/>
      <c r="X896" s="182"/>
      <c r="Y896" s="182"/>
      <c r="Z896" s="182"/>
      <c r="AA896" s="182"/>
      <c r="AB896" s="182"/>
      <c r="AC896" s="182"/>
      <c r="AD896" s="182"/>
      <c r="AE896" s="184"/>
      <c r="AF896" s="183"/>
      <c r="AG896" s="183"/>
      <c r="AH896" s="183"/>
      <c r="AI896" s="183"/>
      <c r="AJ896" s="182"/>
      <c r="AK896" s="184"/>
      <c r="AL896" s="182"/>
      <c r="AM896" s="182"/>
      <c r="AN896" s="182"/>
      <c r="AO896" s="182"/>
      <c r="AP896" s="182"/>
      <c r="AQ896" s="182"/>
      <c r="AR896" s="182"/>
    </row>
    <row r="897" spans="1:44">
      <c r="A897" s="182"/>
      <c r="B897" s="182"/>
      <c r="C897" s="182"/>
      <c r="D897" s="182"/>
      <c r="E897" s="182"/>
      <c r="F897" s="182"/>
      <c r="G897" s="182"/>
      <c r="H897" s="182"/>
      <c r="I897" s="182"/>
      <c r="J897" s="182"/>
      <c r="K897" s="182"/>
      <c r="L897" s="182"/>
      <c r="M897" s="182"/>
      <c r="N897" s="177"/>
      <c r="O897" s="182"/>
      <c r="P897" s="179"/>
      <c r="Q897" s="182"/>
      <c r="R897" s="182"/>
      <c r="S897" s="182"/>
      <c r="T897" s="182"/>
      <c r="U897" s="182"/>
      <c r="V897" s="182"/>
      <c r="W897" s="182"/>
      <c r="X897" s="182"/>
      <c r="Y897" s="182"/>
      <c r="Z897" s="182"/>
      <c r="AA897" s="182"/>
      <c r="AB897" s="182"/>
      <c r="AC897" s="182"/>
      <c r="AD897" s="182"/>
      <c r="AE897" s="184"/>
      <c r="AF897" s="183"/>
      <c r="AG897" s="183"/>
      <c r="AH897" s="183"/>
      <c r="AI897" s="183"/>
      <c r="AJ897" s="182"/>
      <c r="AK897" s="184"/>
      <c r="AL897" s="182"/>
      <c r="AM897" s="182"/>
      <c r="AN897" s="182"/>
      <c r="AO897" s="182"/>
      <c r="AP897" s="182"/>
      <c r="AQ897" s="182"/>
      <c r="AR897" s="182"/>
    </row>
    <row r="898" spans="1:44">
      <c r="A898" s="182"/>
      <c r="B898" s="182"/>
      <c r="C898" s="182"/>
      <c r="D898" s="182"/>
      <c r="E898" s="182"/>
      <c r="F898" s="182"/>
      <c r="G898" s="182"/>
      <c r="H898" s="182"/>
      <c r="I898" s="182"/>
      <c r="J898" s="182"/>
      <c r="K898" s="182"/>
      <c r="L898" s="182"/>
      <c r="M898" s="182"/>
      <c r="N898" s="177"/>
      <c r="O898" s="182"/>
      <c r="P898" s="179"/>
      <c r="Q898" s="182"/>
      <c r="R898" s="182"/>
      <c r="S898" s="182"/>
      <c r="T898" s="182"/>
      <c r="U898" s="182"/>
      <c r="V898" s="182"/>
      <c r="W898" s="182"/>
      <c r="X898" s="182"/>
      <c r="Y898" s="182"/>
      <c r="Z898" s="182"/>
      <c r="AA898" s="182"/>
      <c r="AB898" s="182"/>
      <c r="AC898" s="182"/>
      <c r="AD898" s="182"/>
      <c r="AE898" s="184"/>
      <c r="AF898" s="183"/>
      <c r="AG898" s="183"/>
      <c r="AH898" s="183"/>
      <c r="AI898" s="183"/>
      <c r="AJ898" s="182"/>
      <c r="AK898" s="184"/>
      <c r="AL898" s="182"/>
      <c r="AM898" s="182"/>
      <c r="AN898" s="182"/>
      <c r="AO898" s="182"/>
      <c r="AP898" s="182"/>
      <c r="AQ898" s="182"/>
      <c r="AR898" s="182"/>
    </row>
    <row r="899" spans="1:44">
      <c r="A899" s="182"/>
      <c r="B899" s="182"/>
      <c r="C899" s="182"/>
      <c r="D899" s="182"/>
      <c r="E899" s="182"/>
      <c r="F899" s="182"/>
      <c r="G899" s="182"/>
      <c r="H899" s="182"/>
      <c r="I899" s="182"/>
      <c r="J899" s="182"/>
      <c r="K899" s="182"/>
      <c r="L899" s="182"/>
      <c r="M899" s="182"/>
      <c r="N899" s="177"/>
      <c r="O899" s="182"/>
      <c r="P899" s="179"/>
      <c r="Q899" s="182"/>
      <c r="R899" s="182"/>
      <c r="S899" s="182"/>
      <c r="T899" s="182"/>
      <c r="U899" s="182"/>
      <c r="V899" s="182"/>
      <c r="W899" s="182"/>
      <c r="X899" s="182"/>
      <c r="Y899" s="182"/>
      <c r="Z899" s="182"/>
      <c r="AA899" s="182"/>
      <c r="AB899" s="182"/>
      <c r="AC899" s="182"/>
      <c r="AD899" s="182"/>
      <c r="AE899" s="184"/>
      <c r="AF899" s="183"/>
      <c r="AG899" s="183"/>
      <c r="AH899" s="183"/>
      <c r="AI899" s="183"/>
      <c r="AJ899" s="182"/>
      <c r="AK899" s="184"/>
      <c r="AL899" s="182"/>
      <c r="AM899" s="182"/>
      <c r="AN899" s="182"/>
      <c r="AO899" s="182"/>
      <c r="AP899" s="182"/>
      <c r="AQ899" s="182"/>
      <c r="AR899" s="182"/>
    </row>
    <row r="900" spans="1:44">
      <c r="A900" s="182"/>
      <c r="B900" s="182"/>
      <c r="C900" s="182"/>
      <c r="D900" s="182"/>
      <c r="E900" s="182"/>
      <c r="F900" s="182"/>
      <c r="G900" s="182"/>
      <c r="H900" s="182"/>
      <c r="I900" s="182"/>
      <c r="J900" s="182"/>
      <c r="K900" s="182"/>
      <c r="L900" s="182"/>
      <c r="M900" s="182"/>
      <c r="N900" s="177"/>
      <c r="O900" s="182"/>
      <c r="P900" s="179"/>
      <c r="Q900" s="182"/>
      <c r="R900" s="182"/>
      <c r="S900" s="182"/>
      <c r="T900" s="182"/>
      <c r="U900" s="182"/>
      <c r="V900" s="182"/>
      <c r="W900" s="182"/>
      <c r="X900" s="182"/>
      <c r="Y900" s="182"/>
      <c r="Z900" s="182"/>
      <c r="AA900" s="182"/>
      <c r="AB900" s="182"/>
      <c r="AC900" s="182"/>
      <c r="AD900" s="182"/>
      <c r="AE900" s="184"/>
      <c r="AF900" s="183"/>
      <c r="AG900" s="183"/>
      <c r="AH900" s="183"/>
      <c r="AI900" s="183"/>
      <c r="AJ900" s="182"/>
      <c r="AK900" s="184"/>
      <c r="AL900" s="182"/>
      <c r="AM900" s="182"/>
      <c r="AN900" s="182"/>
      <c r="AO900" s="182"/>
      <c r="AP900" s="182"/>
      <c r="AQ900" s="182"/>
      <c r="AR900" s="182"/>
    </row>
    <row r="901" spans="1:44">
      <c r="A901" s="182"/>
      <c r="B901" s="182"/>
      <c r="C901" s="182"/>
      <c r="D901" s="182"/>
      <c r="E901" s="182"/>
      <c r="F901" s="182"/>
      <c r="G901" s="182"/>
      <c r="H901" s="182"/>
      <c r="I901" s="182"/>
      <c r="J901" s="182"/>
      <c r="K901" s="182"/>
      <c r="L901" s="182"/>
      <c r="M901" s="182"/>
      <c r="N901" s="177"/>
      <c r="O901" s="182"/>
      <c r="P901" s="179"/>
      <c r="Q901" s="182"/>
      <c r="R901" s="182"/>
      <c r="S901" s="182"/>
      <c r="T901" s="182"/>
      <c r="U901" s="182"/>
      <c r="V901" s="182"/>
      <c r="W901" s="182"/>
      <c r="X901" s="182"/>
      <c r="Y901" s="182"/>
      <c r="Z901" s="182"/>
      <c r="AA901" s="182"/>
      <c r="AB901" s="182"/>
      <c r="AC901" s="182"/>
      <c r="AD901" s="182"/>
      <c r="AE901" s="184"/>
      <c r="AF901" s="183"/>
      <c r="AG901" s="183"/>
      <c r="AH901" s="183"/>
      <c r="AI901" s="183"/>
      <c r="AJ901" s="182"/>
      <c r="AK901" s="184"/>
      <c r="AL901" s="182"/>
      <c r="AM901" s="182"/>
      <c r="AN901" s="182"/>
      <c r="AO901" s="182"/>
      <c r="AP901" s="182"/>
      <c r="AQ901" s="182"/>
      <c r="AR901" s="182"/>
    </row>
    <row r="902" spans="1:44">
      <c r="A902" s="182"/>
      <c r="B902" s="182"/>
      <c r="C902" s="182"/>
      <c r="D902" s="182"/>
      <c r="E902" s="182"/>
      <c r="F902" s="182"/>
      <c r="G902" s="182"/>
      <c r="H902" s="182"/>
      <c r="I902" s="182"/>
      <c r="J902" s="182"/>
      <c r="K902" s="182"/>
      <c r="L902" s="182"/>
      <c r="M902" s="182"/>
      <c r="N902" s="177"/>
      <c r="O902" s="182"/>
      <c r="P902" s="179"/>
      <c r="Q902" s="182"/>
      <c r="R902" s="182"/>
      <c r="S902" s="182"/>
      <c r="T902" s="182"/>
      <c r="U902" s="182"/>
      <c r="V902" s="182"/>
      <c r="W902" s="182"/>
      <c r="X902" s="182"/>
      <c r="Y902" s="182"/>
      <c r="Z902" s="182"/>
      <c r="AA902" s="182"/>
      <c r="AB902" s="182"/>
      <c r="AC902" s="182"/>
      <c r="AD902" s="182"/>
      <c r="AE902" s="184"/>
      <c r="AF902" s="183"/>
      <c r="AG902" s="183"/>
      <c r="AH902" s="183"/>
      <c r="AI902" s="183"/>
      <c r="AJ902" s="182"/>
      <c r="AK902" s="184"/>
      <c r="AL902" s="182"/>
      <c r="AM902" s="182"/>
      <c r="AN902" s="182"/>
      <c r="AO902" s="182"/>
      <c r="AP902" s="182"/>
      <c r="AQ902" s="182"/>
      <c r="AR902" s="182"/>
    </row>
    <row r="903" spans="1:44">
      <c r="A903" s="182"/>
      <c r="B903" s="182"/>
      <c r="C903" s="182"/>
      <c r="D903" s="182"/>
      <c r="E903" s="182"/>
      <c r="F903" s="182"/>
      <c r="G903" s="182"/>
      <c r="H903" s="182"/>
      <c r="I903" s="182"/>
      <c r="J903" s="182"/>
      <c r="K903" s="182"/>
      <c r="L903" s="182"/>
      <c r="M903" s="182"/>
      <c r="N903" s="177"/>
      <c r="O903" s="182"/>
      <c r="P903" s="179"/>
      <c r="Q903" s="182"/>
      <c r="R903" s="182"/>
      <c r="S903" s="182"/>
      <c r="T903" s="182"/>
      <c r="U903" s="182"/>
      <c r="V903" s="182"/>
      <c r="W903" s="182"/>
      <c r="X903" s="182"/>
      <c r="Y903" s="182"/>
      <c r="Z903" s="182"/>
      <c r="AA903" s="182"/>
      <c r="AB903" s="182"/>
      <c r="AC903" s="182"/>
      <c r="AD903" s="182"/>
      <c r="AE903" s="184"/>
      <c r="AF903" s="183"/>
      <c r="AG903" s="183"/>
      <c r="AH903" s="183"/>
      <c r="AI903" s="183"/>
      <c r="AJ903" s="182"/>
      <c r="AK903" s="184"/>
      <c r="AL903" s="182"/>
      <c r="AM903" s="182"/>
      <c r="AN903" s="182"/>
      <c r="AO903" s="182"/>
      <c r="AP903" s="182"/>
      <c r="AQ903" s="182"/>
      <c r="AR903" s="182"/>
    </row>
    <row r="904" spans="1:44">
      <c r="A904" s="182"/>
      <c r="B904" s="182"/>
      <c r="C904" s="182"/>
      <c r="D904" s="182"/>
      <c r="E904" s="182"/>
      <c r="F904" s="182"/>
      <c r="G904" s="182"/>
      <c r="H904" s="182"/>
      <c r="I904" s="182"/>
      <c r="J904" s="182"/>
      <c r="K904" s="182"/>
      <c r="L904" s="182"/>
      <c r="M904" s="182"/>
      <c r="N904" s="177"/>
      <c r="O904" s="182"/>
      <c r="P904" s="179"/>
      <c r="Q904" s="182"/>
      <c r="R904" s="182"/>
      <c r="S904" s="182"/>
      <c r="T904" s="182"/>
      <c r="U904" s="182"/>
      <c r="V904" s="182"/>
      <c r="W904" s="182"/>
      <c r="X904" s="182"/>
      <c r="Y904" s="182"/>
      <c r="Z904" s="182"/>
      <c r="AA904" s="182"/>
      <c r="AB904" s="182"/>
      <c r="AC904" s="182"/>
      <c r="AD904" s="182"/>
      <c r="AE904" s="184"/>
      <c r="AF904" s="183"/>
      <c r="AG904" s="183"/>
      <c r="AH904" s="183"/>
      <c r="AI904" s="183"/>
      <c r="AJ904" s="182"/>
      <c r="AK904" s="184"/>
      <c r="AL904" s="182"/>
      <c r="AM904" s="182"/>
      <c r="AN904" s="182"/>
      <c r="AO904" s="182"/>
      <c r="AP904" s="182"/>
      <c r="AQ904" s="182"/>
      <c r="AR904" s="182"/>
    </row>
    <row r="905" spans="1:44">
      <c r="A905" s="182"/>
      <c r="B905" s="182"/>
      <c r="C905" s="182"/>
      <c r="D905" s="182"/>
      <c r="E905" s="182"/>
      <c r="F905" s="182"/>
      <c r="G905" s="182"/>
      <c r="H905" s="182"/>
      <c r="I905" s="182"/>
      <c r="J905" s="182"/>
      <c r="K905" s="182"/>
      <c r="L905" s="182"/>
      <c r="M905" s="182"/>
      <c r="N905" s="177"/>
      <c r="O905" s="182"/>
      <c r="P905" s="179"/>
      <c r="Q905" s="182"/>
      <c r="R905" s="182"/>
      <c r="S905" s="182"/>
      <c r="T905" s="182"/>
      <c r="U905" s="182"/>
      <c r="V905" s="182"/>
      <c r="W905" s="182"/>
      <c r="X905" s="182"/>
      <c r="Y905" s="182"/>
      <c r="Z905" s="182"/>
      <c r="AA905" s="182"/>
      <c r="AB905" s="182"/>
      <c r="AC905" s="182"/>
      <c r="AD905" s="182"/>
      <c r="AE905" s="184"/>
      <c r="AF905" s="183"/>
      <c r="AG905" s="183"/>
      <c r="AH905" s="183"/>
      <c r="AI905" s="183"/>
      <c r="AJ905" s="182"/>
      <c r="AK905" s="184"/>
      <c r="AL905" s="182"/>
      <c r="AM905" s="182"/>
      <c r="AN905" s="182"/>
      <c r="AO905" s="182"/>
      <c r="AP905" s="182"/>
      <c r="AQ905" s="182"/>
      <c r="AR905" s="182"/>
    </row>
    <row r="906" spans="1:44">
      <c r="A906" s="182"/>
      <c r="B906" s="182"/>
      <c r="C906" s="182"/>
      <c r="D906" s="182"/>
      <c r="E906" s="182"/>
      <c r="F906" s="182"/>
      <c r="G906" s="182"/>
      <c r="H906" s="182"/>
      <c r="I906" s="182"/>
      <c r="J906" s="182"/>
      <c r="K906" s="182"/>
      <c r="L906" s="182"/>
      <c r="M906" s="182"/>
      <c r="N906" s="177"/>
      <c r="O906" s="182"/>
      <c r="P906" s="179"/>
      <c r="Q906" s="182"/>
      <c r="R906" s="182"/>
      <c r="S906" s="182"/>
      <c r="T906" s="182"/>
      <c r="U906" s="182"/>
      <c r="V906" s="182"/>
      <c r="W906" s="182"/>
      <c r="X906" s="182"/>
      <c r="Y906" s="182"/>
      <c r="Z906" s="182"/>
      <c r="AA906" s="182"/>
      <c r="AB906" s="182"/>
      <c r="AC906" s="182"/>
      <c r="AD906" s="182"/>
      <c r="AE906" s="184"/>
      <c r="AF906" s="183"/>
      <c r="AG906" s="183"/>
      <c r="AH906" s="183"/>
      <c r="AI906" s="183"/>
      <c r="AJ906" s="182"/>
      <c r="AK906" s="184"/>
      <c r="AL906" s="182"/>
      <c r="AM906" s="182"/>
      <c r="AN906" s="182"/>
      <c r="AO906" s="182"/>
      <c r="AP906" s="182"/>
      <c r="AQ906" s="182"/>
      <c r="AR906" s="182"/>
    </row>
    <row r="907" spans="1:44">
      <c r="A907" s="182"/>
      <c r="B907" s="182"/>
      <c r="C907" s="182"/>
      <c r="D907" s="182"/>
      <c r="E907" s="182"/>
      <c r="F907" s="182"/>
      <c r="G907" s="182"/>
      <c r="H907" s="182"/>
      <c r="I907" s="182"/>
      <c r="J907" s="182"/>
      <c r="K907" s="182"/>
      <c r="L907" s="182"/>
      <c r="M907" s="182"/>
      <c r="N907" s="177"/>
      <c r="O907" s="182"/>
      <c r="P907" s="179"/>
      <c r="Q907" s="182"/>
      <c r="R907" s="182"/>
      <c r="S907" s="182"/>
      <c r="T907" s="182"/>
      <c r="U907" s="182"/>
      <c r="V907" s="182"/>
      <c r="W907" s="182"/>
      <c r="X907" s="182"/>
      <c r="Y907" s="182"/>
      <c r="Z907" s="182"/>
      <c r="AA907" s="182"/>
      <c r="AB907" s="182"/>
      <c r="AC907" s="182"/>
      <c r="AD907" s="182"/>
      <c r="AE907" s="184"/>
      <c r="AF907" s="183"/>
      <c r="AG907" s="183"/>
      <c r="AH907" s="183"/>
      <c r="AI907" s="183"/>
      <c r="AJ907" s="182"/>
      <c r="AK907" s="184"/>
      <c r="AL907" s="182"/>
      <c r="AM907" s="182"/>
      <c r="AN907" s="182"/>
      <c r="AO907" s="182"/>
      <c r="AP907" s="182"/>
      <c r="AQ907" s="182"/>
      <c r="AR907" s="182"/>
    </row>
    <row r="908" spans="1:44">
      <c r="A908" s="182"/>
      <c r="B908" s="182"/>
      <c r="C908" s="182"/>
      <c r="D908" s="182"/>
      <c r="E908" s="182"/>
      <c r="F908" s="182"/>
      <c r="G908" s="182"/>
      <c r="H908" s="182"/>
      <c r="I908" s="182"/>
      <c r="J908" s="182"/>
      <c r="K908" s="182"/>
      <c r="L908" s="182"/>
      <c r="M908" s="182"/>
      <c r="N908" s="177"/>
      <c r="O908" s="182"/>
      <c r="P908" s="179"/>
      <c r="Q908" s="182"/>
      <c r="R908" s="182"/>
      <c r="S908" s="182"/>
      <c r="T908" s="182"/>
      <c r="U908" s="182"/>
      <c r="V908" s="182"/>
      <c r="W908" s="182"/>
      <c r="X908" s="182"/>
      <c r="Y908" s="182"/>
      <c r="Z908" s="182"/>
      <c r="AA908" s="182"/>
      <c r="AB908" s="182"/>
      <c r="AC908" s="182"/>
      <c r="AD908" s="182"/>
      <c r="AE908" s="184"/>
      <c r="AF908" s="183"/>
      <c r="AG908" s="183"/>
      <c r="AH908" s="183"/>
      <c r="AI908" s="183"/>
      <c r="AJ908" s="182"/>
      <c r="AK908" s="184"/>
      <c r="AL908" s="182"/>
      <c r="AM908" s="182"/>
      <c r="AN908" s="182"/>
      <c r="AO908" s="182"/>
      <c r="AP908" s="182"/>
      <c r="AQ908" s="182"/>
      <c r="AR908" s="182"/>
    </row>
    <row r="909" spans="1:44">
      <c r="A909" s="182"/>
      <c r="B909" s="182"/>
      <c r="C909" s="182"/>
      <c r="D909" s="182"/>
      <c r="E909" s="182"/>
      <c r="F909" s="182"/>
      <c r="G909" s="182"/>
      <c r="H909" s="182"/>
      <c r="I909" s="182"/>
      <c r="J909" s="182"/>
      <c r="K909" s="182"/>
      <c r="L909" s="182"/>
      <c r="M909" s="182"/>
      <c r="N909" s="177"/>
      <c r="O909" s="182"/>
      <c r="P909" s="179"/>
      <c r="Q909" s="182"/>
      <c r="R909" s="182"/>
      <c r="S909" s="182"/>
      <c r="T909" s="182"/>
      <c r="U909" s="182"/>
      <c r="V909" s="182"/>
      <c r="W909" s="182"/>
      <c r="X909" s="182"/>
      <c r="Y909" s="182"/>
      <c r="Z909" s="182"/>
      <c r="AA909" s="182"/>
      <c r="AB909" s="182"/>
      <c r="AC909" s="182"/>
      <c r="AD909" s="182"/>
      <c r="AE909" s="184"/>
      <c r="AF909" s="183"/>
      <c r="AG909" s="183"/>
      <c r="AH909" s="183"/>
      <c r="AI909" s="183"/>
      <c r="AJ909" s="182"/>
      <c r="AK909" s="184"/>
      <c r="AL909" s="182"/>
      <c r="AM909" s="182"/>
      <c r="AN909" s="182"/>
      <c r="AO909" s="182"/>
      <c r="AP909" s="182"/>
      <c r="AQ909" s="182"/>
      <c r="AR909" s="182"/>
    </row>
    <row r="910" spans="1:44">
      <c r="A910" s="182"/>
      <c r="B910" s="182"/>
      <c r="C910" s="182"/>
      <c r="D910" s="182"/>
      <c r="E910" s="182"/>
      <c r="F910" s="182"/>
      <c r="G910" s="182"/>
      <c r="H910" s="182"/>
      <c r="I910" s="182"/>
      <c r="J910" s="182"/>
      <c r="K910" s="182"/>
      <c r="L910" s="182"/>
      <c r="M910" s="182"/>
      <c r="N910" s="177"/>
      <c r="O910" s="182"/>
      <c r="P910" s="179"/>
      <c r="Q910" s="182"/>
      <c r="R910" s="182"/>
      <c r="S910" s="182"/>
      <c r="T910" s="182"/>
      <c r="U910" s="182"/>
      <c r="V910" s="182"/>
      <c r="W910" s="182"/>
      <c r="X910" s="182"/>
      <c r="Y910" s="182"/>
      <c r="Z910" s="182"/>
      <c r="AA910" s="182"/>
      <c r="AB910" s="182"/>
      <c r="AC910" s="182"/>
      <c r="AD910" s="182"/>
      <c r="AE910" s="184"/>
      <c r="AF910" s="183"/>
      <c r="AG910" s="183"/>
      <c r="AH910" s="183"/>
      <c r="AI910" s="183"/>
      <c r="AJ910" s="182"/>
      <c r="AK910" s="184"/>
      <c r="AL910" s="182"/>
      <c r="AM910" s="182"/>
      <c r="AN910" s="182"/>
      <c r="AO910" s="182"/>
      <c r="AP910" s="182"/>
      <c r="AQ910" s="182"/>
      <c r="AR910" s="182"/>
    </row>
    <row r="911" spans="1:44">
      <c r="A911" s="182"/>
      <c r="B911" s="182"/>
      <c r="C911" s="182"/>
      <c r="D911" s="182"/>
      <c r="E911" s="182"/>
      <c r="F911" s="182"/>
      <c r="G911" s="182"/>
      <c r="H911" s="182"/>
      <c r="I911" s="182"/>
      <c r="J911" s="182"/>
      <c r="K911" s="182"/>
      <c r="L911" s="182"/>
      <c r="M911" s="182"/>
      <c r="N911" s="177"/>
      <c r="O911" s="182"/>
      <c r="P911" s="179"/>
      <c r="Q911" s="182"/>
      <c r="R911" s="182"/>
      <c r="S911" s="182"/>
      <c r="T911" s="182"/>
      <c r="U911" s="182"/>
      <c r="V911" s="182"/>
      <c r="W911" s="182"/>
      <c r="X911" s="182"/>
      <c r="Y911" s="182"/>
      <c r="Z911" s="182"/>
      <c r="AA911" s="182"/>
      <c r="AB911" s="182"/>
      <c r="AC911" s="182"/>
      <c r="AD911" s="182"/>
      <c r="AE911" s="184"/>
      <c r="AF911" s="183"/>
      <c r="AG911" s="183"/>
      <c r="AH911" s="183"/>
      <c r="AI911" s="183"/>
      <c r="AJ911" s="182"/>
      <c r="AK911" s="184"/>
      <c r="AL911" s="182"/>
      <c r="AM911" s="182"/>
      <c r="AN911" s="182"/>
      <c r="AO911" s="182"/>
      <c r="AP911" s="182"/>
      <c r="AQ911" s="182"/>
      <c r="AR911" s="182"/>
    </row>
    <row r="912" spans="1:44">
      <c r="A912" s="182"/>
      <c r="B912" s="182"/>
      <c r="C912" s="182"/>
      <c r="D912" s="182"/>
      <c r="E912" s="182"/>
      <c r="F912" s="182"/>
      <c r="G912" s="182"/>
      <c r="H912" s="182"/>
      <c r="I912" s="182"/>
      <c r="J912" s="182"/>
      <c r="K912" s="182"/>
      <c r="L912" s="182"/>
      <c r="M912" s="182"/>
      <c r="N912" s="177"/>
      <c r="O912" s="182"/>
      <c r="P912" s="179"/>
      <c r="Q912" s="182"/>
      <c r="R912" s="182"/>
      <c r="S912" s="182"/>
      <c r="T912" s="182"/>
      <c r="U912" s="182"/>
      <c r="V912" s="182"/>
      <c r="W912" s="182"/>
      <c r="X912" s="182"/>
      <c r="Y912" s="182"/>
      <c r="Z912" s="182"/>
      <c r="AA912" s="182"/>
      <c r="AB912" s="182"/>
      <c r="AC912" s="182"/>
      <c r="AD912" s="182"/>
      <c r="AE912" s="184"/>
      <c r="AF912" s="183"/>
      <c r="AG912" s="183"/>
      <c r="AH912" s="183"/>
      <c r="AI912" s="183"/>
      <c r="AJ912" s="182"/>
      <c r="AK912" s="184"/>
      <c r="AL912" s="182"/>
      <c r="AM912" s="182"/>
      <c r="AN912" s="182"/>
      <c r="AO912" s="182"/>
      <c r="AP912" s="182"/>
      <c r="AQ912" s="182"/>
      <c r="AR912" s="182"/>
    </row>
    <row r="913" spans="1:44">
      <c r="A913" s="182"/>
      <c r="B913" s="182"/>
      <c r="C913" s="182"/>
      <c r="D913" s="182"/>
      <c r="E913" s="182"/>
      <c r="F913" s="182"/>
      <c r="G913" s="182"/>
      <c r="H913" s="182"/>
      <c r="I913" s="182"/>
      <c r="J913" s="182"/>
      <c r="K913" s="182"/>
      <c r="L913" s="182"/>
      <c r="M913" s="182"/>
      <c r="N913" s="177"/>
      <c r="O913" s="182"/>
      <c r="P913" s="179"/>
      <c r="Q913" s="182"/>
      <c r="R913" s="182"/>
      <c r="S913" s="182"/>
      <c r="T913" s="182"/>
      <c r="U913" s="182"/>
      <c r="V913" s="182"/>
      <c r="W913" s="182"/>
      <c r="X913" s="182"/>
      <c r="Y913" s="182"/>
      <c r="Z913" s="182"/>
      <c r="AA913" s="182"/>
      <c r="AB913" s="182"/>
      <c r="AC913" s="182"/>
      <c r="AD913" s="182"/>
      <c r="AE913" s="184"/>
      <c r="AF913" s="183"/>
      <c r="AG913" s="183"/>
      <c r="AH913" s="183"/>
      <c r="AI913" s="183"/>
      <c r="AJ913" s="182"/>
      <c r="AK913" s="184"/>
      <c r="AL913" s="182"/>
      <c r="AM913" s="182"/>
      <c r="AN913" s="182"/>
      <c r="AO913" s="182"/>
      <c r="AP913" s="182"/>
      <c r="AQ913" s="182"/>
      <c r="AR913" s="182"/>
    </row>
    <row r="914" spans="1:44">
      <c r="A914" s="182"/>
      <c r="B914" s="182"/>
      <c r="C914" s="182"/>
      <c r="D914" s="182"/>
      <c r="E914" s="182"/>
      <c r="F914" s="182"/>
      <c r="G914" s="182"/>
      <c r="H914" s="182"/>
      <c r="I914" s="182"/>
      <c r="J914" s="182"/>
      <c r="K914" s="182"/>
      <c r="L914" s="182"/>
      <c r="M914" s="182"/>
      <c r="N914" s="177"/>
      <c r="O914" s="182"/>
      <c r="P914" s="179"/>
      <c r="Q914" s="182"/>
      <c r="R914" s="182"/>
      <c r="S914" s="182"/>
      <c r="T914" s="182"/>
      <c r="U914" s="182"/>
      <c r="V914" s="182"/>
      <c r="W914" s="182"/>
      <c r="X914" s="182"/>
      <c r="Y914" s="182"/>
      <c r="Z914" s="182"/>
      <c r="AA914" s="182"/>
      <c r="AB914" s="182"/>
      <c r="AC914" s="182"/>
      <c r="AD914" s="182"/>
      <c r="AE914" s="184"/>
      <c r="AF914" s="183"/>
      <c r="AG914" s="183"/>
      <c r="AH914" s="183"/>
      <c r="AI914" s="183"/>
      <c r="AJ914" s="182"/>
      <c r="AK914" s="184"/>
      <c r="AL914" s="182"/>
      <c r="AM914" s="182"/>
      <c r="AN914" s="182"/>
      <c r="AO914" s="182"/>
      <c r="AP914" s="182"/>
      <c r="AQ914" s="182"/>
      <c r="AR914" s="182"/>
    </row>
    <row r="915" spans="1:44">
      <c r="A915" s="182"/>
      <c r="B915" s="182"/>
      <c r="C915" s="182"/>
      <c r="D915" s="182"/>
      <c r="E915" s="182"/>
      <c r="F915" s="182"/>
      <c r="G915" s="182"/>
      <c r="H915" s="182"/>
      <c r="I915" s="182"/>
      <c r="J915" s="182"/>
      <c r="K915" s="182"/>
      <c r="L915" s="182"/>
      <c r="M915" s="182"/>
      <c r="N915" s="177"/>
      <c r="O915" s="182"/>
      <c r="P915" s="179"/>
      <c r="Q915" s="182"/>
      <c r="R915" s="182"/>
      <c r="S915" s="182"/>
      <c r="T915" s="182"/>
      <c r="U915" s="182"/>
      <c r="V915" s="182"/>
      <c r="W915" s="182"/>
      <c r="X915" s="182"/>
      <c r="Y915" s="182"/>
      <c r="Z915" s="182"/>
      <c r="AA915" s="182"/>
      <c r="AB915" s="182"/>
      <c r="AC915" s="182"/>
      <c r="AD915" s="182"/>
      <c r="AE915" s="184"/>
      <c r="AF915" s="183"/>
      <c r="AG915" s="183"/>
      <c r="AH915" s="183"/>
      <c r="AI915" s="183"/>
      <c r="AJ915" s="182"/>
      <c r="AK915" s="184"/>
      <c r="AL915" s="182"/>
      <c r="AM915" s="182"/>
      <c r="AN915" s="182"/>
      <c r="AO915" s="182"/>
      <c r="AP915" s="182"/>
      <c r="AQ915" s="182"/>
      <c r="AR915" s="182"/>
    </row>
    <row r="916" spans="1:44">
      <c r="A916" s="182"/>
      <c r="B916" s="182"/>
      <c r="C916" s="182"/>
      <c r="D916" s="182"/>
      <c r="E916" s="182"/>
      <c r="F916" s="182"/>
      <c r="G916" s="182"/>
      <c r="H916" s="182"/>
      <c r="I916" s="182"/>
      <c r="J916" s="182"/>
      <c r="K916" s="182"/>
      <c r="L916" s="182"/>
      <c r="M916" s="182"/>
      <c r="N916" s="177"/>
      <c r="O916" s="182"/>
      <c r="P916" s="179"/>
      <c r="Q916" s="182"/>
      <c r="R916" s="182"/>
      <c r="S916" s="182"/>
      <c r="T916" s="182"/>
      <c r="U916" s="182"/>
      <c r="V916" s="182"/>
      <c r="W916" s="182"/>
      <c r="X916" s="182"/>
      <c r="Y916" s="182"/>
      <c r="Z916" s="182"/>
      <c r="AA916" s="182"/>
      <c r="AB916" s="182"/>
      <c r="AC916" s="182"/>
      <c r="AD916" s="182"/>
      <c r="AE916" s="184"/>
      <c r="AF916" s="183"/>
      <c r="AG916" s="183"/>
      <c r="AH916" s="183"/>
      <c r="AI916" s="183"/>
      <c r="AJ916" s="182"/>
      <c r="AK916" s="184"/>
      <c r="AL916" s="182"/>
      <c r="AM916" s="182"/>
      <c r="AN916" s="182"/>
      <c r="AO916" s="182"/>
      <c r="AP916" s="182"/>
      <c r="AQ916" s="182"/>
      <c r="AR916" s="182"/>
    </row>
    <row r="917" spans="1:44">
      <c r="A917" s="182"/>
      <c r="B917" s="182"/>
      <c r="C917" s="182"/>
      <c r="D917" s="182"/>
      <c r="E917" s="182"/>
      <c r="F917" s="182"/>
      <c r="G917" s="182"/>
      <c r="H917" s="182"/>
      <c r="I917" s="182"/>
      <c r="J917" s="182"/>
      <c r="K917" s="182"/>
      <c r="L917" s="182"/>
      <c r="M917" s="182"/>
      <c r="N917" s="177"/>
      <c r="O917" s="182"/>
      <c r="P917" s="179"/>
      <c r="Q917" s="182"/>
      <c r="R917" s="182"/>
      <c r="S917" s="182"/>
      <c r="T917" s="182"/>
      <c r="U917" s="182"/>
      <c r="V917" s="182"/>
      <c r="W917" s="182"/>
      <c r="X917" s="182"/>
      <c r="Y917" s="182"/>
      <c r="Z917" s="182"/>
      <c r="AA917" s="182"/>
      <c r="AB917" s="182"/>
      <c r="AC917" s="182"/>
      <c r="AD917" s="182"/>
      <c r="AE917" s="184"/>
      <c r="AF917" s="183"/>
      <c r="AG917" s="183"/>
      <c r="AH917" s="183"/>
      <c r="AI917" s="183"/>
      <c r="AJ917" s="182"/>
      <c r="AK917" s="184"/>
      <c r="AL917" s="182"/>
      <c r="AM917" s="182"/>
      <c r="AN917" s="182"/>
      <c r="AO917" s="182"/>
      <c r="AP917" s="182"/>
      <c r="AQ917" s="182"/>
      <c r="AR917" s="182"/>
    </row>
    <row r="918" spans="1:44">
      <c r="A918" s="182"/>
      <c r="B918" s="182"/>
      <c r="C918" s="182"/>
      <c r="D918" s="182"/>
      <c r="E918" s="182"/>
      <c r="F918" s="182"/>
      <c r="G918" s="182"/>
      <c r="H918" s="182"/>
      <c r="I918" s="182"/>
      <c r="J918" s="182"/>
      <c r="K918" s="182"/>
      <c r="L918" s="182"/>
      <c r="M918" s="182"/>
      <c r="N918" s="177"/>
      <c r="O918" s="182"/>
      <c r="P918" s="179"/>
      <c r="Q918" s="182"/>
      <c r="R918" s="182"/>
      <c r="S918" s="182"/>
      <c r="T918" s="182"/>
      <c r="U918" s="182"/>
      <c r="V918" s="182"/>
      <c r="W918" s="182"/>
      <c r="X918" s="182"/>
      <c r="Y918" s="182"/>
      <c r="Z918" s="182"/>
      <c r="AA918" s="182"/>
      <c r="AB918" s="182"/>
      <c r="AC918" s="182"/>
      <c r="AD918" s="182"/>
      <c r="AE918" s="184"/>
      <c r="AF918" s="183"/>
      <c r="AG918" s="183"/>
      <c r="AH918" s="183"/>
      <c r="AI918" s="183"/>
      <c r="AJ918" s="182"/>
      <c r="AK918" s="184"/>
      <c r="AL918" s="182"/>
      <c r="AM918" s="182"/>
      <c r="AN918" s="182"/>
      <c r="AO918" s="182"/>
      <c r="AP918" s="182"/>
      <c r="AQ918" s="182"/>
      <c r="AR918" s="182"/>
    </row>
    <row r="919" spans="1:44">
      <c r="A919" s="182"/>
      <c r="B919" s="182"/>
      <c r="C919" s="182"/>
      <c r="D919" s="182"/>
      <c r="E919" s="182"/>
      <c r="F919" s="182"/>
      <c r="G919" s="182"/>
      <c r="H919" s="182"/>
      <c r="I919" s="182"/>
      <c r="J919" s="182"/>
      <c r="K919" s="182"/>
      <c r="L919" s="182"/>
      <c r="M919" s="182"/>
      <c r="N919" s="177"/>
      <c r="O919" s="182"/>
      <c r="P919" s="179"/>
      <c r="Q919" s="182"/>
      <c r="R919" s="182"/>
      <c r="S919" s="182"/>
      <c r="T919" s="182"/>
      <c r="U919" s="182"/>
      <c r="V919" s="182"/>
      <c r="W919" s="182"/>
      <c r="X919" s="182"/>
      <c r="Y919" s="182"/>
      <c r="Z919" s="182"/>
      <c r="AA919" s="182"/>
      <c r="AB919" s="182"/>
      <c r="AC919" s="182"/>
      <c r="AD919" s="182"/>
      <c r="AE919" s="184"/>
      <c r="AF919" s="183"/>
      <c r="AG919" s="183"/>
      <c r="AH919" s="183"/>
      <c r="AI919" s="183"/>
      <c r="AJ919" s="182"/>
      <c r="AK919" s="184"/>
      <c r="AL919" s="182"/>
      <c r="AM919" s="182"/>
      <c r="AN919" s="182"/>
      <c r="AO919" s="182"/>
      <c r="AP919" s="182"/>
      <c r="AQ919" s="182"/>
      <c r="AR919" s="182"/>
    </row>
    <row r="920" spans="1:44">
      <c r="A920" s="182"/>
      <c r="B920" s="182"/>
      <c r="C920" s="182"/>
      <c r="D920" s="182"/>
      <c r="E920" s="182"/>
      <c r="F920" s="182"/>
      <c r="G920" s="182"/>
      <c r="H920" s="182"/>
      <c r="I920" s="182"/>
      <c r="J920" s="182"/>
      <c r="K920" s="182"/>
      <c r="L920" s="182"/>
      <c r="M920" s="182"/>
      <c r="N920" s="177"/>
      <c r="O920" s="182"/>
      <c r="P920" s="179"/>
      <c r="Q920" s="182"/>
      <c r="R920" s="182"/>
      <c r="S920" s="182"/>
      <c r="T920" s="182"/>
      <c r="U920" s="182"/>
      <c r="V920" s="182"/>
      <c r="W920" s="182"/>
      <c r="X920" s="182"/>
      <c r="Y920" s="182"/>
      <c r="Z920" s="182"/>
      <c r="AA920" s="182"/>
      <c r="AB920" s="182"/>
      <c r="AC920" s="182"/>
      <c r="AD920" s="182"/>
      <c r="AE920" s="184"/>
      <c r="AF920" s="183"/>
      <c r="AG920" s="183"/>
      <c r="AH920" s="183"/>
      <c r="AI920" s="183"/>
      <c r="AJ920" s="182"/>
      <c r="AK920" s="184"/>
      <c r="AL920" s="182"/>
      <c r="AM920" s="182"/>
      <c r="AN920" s="182"/>
      <c r="AO920" s="182"/>
      <c r="AP920" s="182"/>
      <c r="AQ920" s="182"/>
      <c r="AR920" s="182"/>
    </row>
    <row r="921" spans="1:44">
      <c r="A921" s="182"/>
      <c r="B921" s="182"/>
      <c r="C921" s="182"/>
      <c r="D921" s="182"/>
      <c r="E921" s="182"/>
      <c r="F921" s="182"/>
      <c r="G921" s="182"/>
      <c r="H921" s="182"/>
      <c r="I921" s="182"/>
      <c r="J921" s="182"/>
      <c r="K921" s="182"/>
      <c r="L921" s="182"/>
      <c r="M921" s="182"/>
      <c r="N921" s="177"/>
      <c r="O921" s="182"/>
      <c r="P921" s="179"/>
      <c r="Q921" s="182"/>
      <c r="R921" s="182"/>
      <c r="S921" s="182"/>
      <c r="T921" s="182"/>
      <c r="U921" s="182"/>
      <c r="V921" s="182"/>
      <c r="W921" s="182"/>
      <c r="X921" s="182"/>
      <c r="Y921" s="182"/>
      <c r="Z921" s="182"/>
      <c r="AA921" s="182"/>
      <c r="AB921" s="182"/>
      <c r="AC921" s="182"/>
      <c r="AD921" s="182"/>
      <c r="AE921" s="184"/>
      <c r="AF921" s="183"/>
      <c r="AG921" s="183"/>
      <c r="AH921" s="183"/>
      <c r="AI921" s="183"/>
      <c r="AJ921" s="182"/>
      <c r="AK921" s="184"/>
      <c r="AL921" s="182"/>
      <c r="AM921" s="182"/>
      <c r="AN921" s="182"/>
      <c r="AO921" s="182"/>
      <c r="AP921" s="182"/>
      <c r="AQ921" s="182"/>
      <c r="AR921" s="182"/>
    </row>
    <row r="922" spans="1:44">
      <c r="A922" s="182"/>
      <c r="B922" s="182"/>
      <c r="C922" s="182"/>
      <c r="D922" s="182"/>
      <c r="E922" s="182"/>
      <c r="F922" s="182"/>
      <c r="G922" s="182"/>
      <c r="H922" s="182"/>
      <c r="I922" s="182"/>
      <c r="J922" s="182"/>
      <c r="K922" s="182"/>
      <c r="L922" s="182"/>
      <c r="M922" s="182"/>
      <c r="N922" s="177"/>
      <c r="O922" s="182"/>
      <c r="P922" s="179"/>
      <c r="Q922" s="182"/>
      <c r="R922" s="182"/>
      <c r="S922" s="182"/>
      <c r="T922" s="182"/>
      <c r="U922" s="182"/>
      <c r="V922" s="182"/>
      <c r="W922" s="182"/>
      <c r="X922" s="182"/>
      <c r="Y922" s="182"/>
      <c r="Z922" s="182"/>
      <c r="AA922" s="182"/>
      <c r="AB922" s="182"/>
      <c r="AC922" s="182"/>
      <c r="AD922" s="182"/>
      <c r="AE922" s="184"/>
      <c r="AF922" s="183"/>
      <c r="AG922" s="183"/>
      <c r="AH922" s="183"/>
      <c r="AI922" s="183"/>
      <c r="AJ922" s="182"/>
      <c r="AK922" s="184"/>
      <c r="AL922" s="182"/>
      <c r="AM922" s="182"/>
      <c r="AN922" s="182"/>
      <c r="AO922" s="182"/>
      <c r="AP922" s="182"/>
      <c r="AQ922" s="182"/>
      <c r="AR922" s="182"/>
    </row>
    <row r="923" spans="1:44">
      <c r="A923" s="182"/>
      <c r="B923" s="182"/>
      <c r="C923" s="182"/>
      <c r="D923" s="182"/>
      <c r="E923" s="182"/>
      <c r="F923" s="182"/>
      <c r="G923" s="182"/>
      <c r="H923" s="182"/>
      <c r="I923" s="182"/>
      <c r="J923" s="182"/>
      <c r="K923" s="182"/>
      <c r="L923" s="182"/>
      <c r="M923" s="182"/>
      <c r="N923" s="177"/>
      <c r="O923" s="182"/>
      <c r="P923" s="179"/>
      <c r="Q923" s="182"/>
      <c r="R923" s="182"/>
      <c r="S923" s="182"/>
      <c r="T923" s="182"/>
      <c r="U923" s="182"/>
      <c r="V923" s="182"/>
      <c r="W923" s="182"/>
      <c r="X923" s="182"/>
      <c r="Y923" s="182"/>
      <c r="Z923" s="182"/>
      <c r="AA923" s="182"/>
      <c r="AB923" s="182"/>
      <c r="AC923" s="182"/>
      <c r="AD923" s="182"/>
      <c r="AE923" s="184"/>
      <c r="AF923" s="183"/>
      <c r="AG923" s="183"/>
      <c r="AH923" s="183"/>
      <c r="AI923" s="183"/>
      <c r="AJ923" s="182"/>
      <c r="AK923" s="184"/>
      <c r="AL923" s="182"/>
      <c r="AM923" s="182"/>
      <c r="AN923" s="182"/>
      <c r="AO923" s="182"/>
      <c r="AP923" s="182"/>
      <c r="AQ923" s="182"/>
      <c r="AR923" s="182"/>
    </row>
    <row r="924" spans="1:44">
      <c r="A924" s="182"/>
      <c r="B924" s="182"/>
      <c r="C924" s="182"/>
      <c r="D924" s="182"/>
      <c r="E924" s="182"/>
      <c r="F924" s="182"/>
      <c r="G924" s="182"/>
      <c r="H924" s="182"/>
      <c r="I924" s="182"/>
      <c r="J924" s="182"/>
      <c r="K924" s="182"/>
      <c r="L924" s="182"/>
      <c r="M924" s="182"/>
      <c r="N924" s="177"/>
      <c r="O924" s="182"/>
      <c r="P924" s="179"/>
      <c r="Q924" s="182"/>
      <c r="R924" s="182"/>
      <c r="S924" s="182"/>
      <c r="T924" s="182"/>
      <c r="U924" s="182"/>
      <c r="V924" s="182"/>
      <c r="W924" s="182"/>
      <c r="X924" s="182"/>
      <c r="Y924" s="182"/>
      <c r="Z924" s="182"/>
      <c r="AA924" s="182"/>
      <c r="AB924" s="182"/>
      <c r="AC924" s="182"/>
      <c r="AD924" s="182"/>
      <c r="AE924" s="184"/>
      <c r="AF924" s="183"/>
      <c r="AG924" s="183"/>
      <c r="AH924" s="183"/>
      <c r="AI924" s="183"/>
      <c r="AJ924" s="182"/>
      <c r="AK924" s="184"/>
      <c r="AL924" s="182"/>
      <c r="AM924" s="182"/>
      <c r="AN924" s="182"/>
      <c r="AO924" s="182"/>
      <c r="AP924" s="182"/>
      <c r="AQ924" s="182"/>
      <c r="AR924" s="182"/>
    </row>
    <row r="925" spans="1:44">
      <c r="A925" s="182"/>
      <c r="B925" s="182"/>
      <c r="C925" s="182"/>
      <c r="D925" s="182"/>
      <c r="E925" s="182"/>
      <c r="F925" s="182"/>
      <c r="G925" s="182"/>
      <c r="H925" s="182"/>
      <c r="I925" s="182"/>
      <c r="J925" s="182"/>
      <c r="K925" s="182"/>
      <c r="L925" s="182"/>
      <c r="M925" s="182"/>
      <c r="N925" s="177"/>
      <c r="O925" s="182"/>
      <c r="P925" s="179"/>
      <c r="Q925" s="182"/>
      <c r="R925" s="182"/>
      <c r="S925" s="182"/>
      <c r="T925" s="182"/>
      <c r="U925" s="182"/>
      <c r="V925" s="182"/>
      <c r="W925" s="182"/>
      <c r="X925" s="182"/>
      <c r="Y925" s="182"/>
      <c r="Z925" s="182"/>
      <c r="AA925" s="182"/>
      <c r="AB925" s="182"/>
      <c r="AC925" s="182"/>
      <c r="AD925" s="182"/>
      <c r="AE925" s="184"/>
      <c r="AF925" s="183"/>
      <c r="AG925" s="183"/>
      <c r="AH925" s="183"/>
      <c r="AI925" s="183"/>
      <c r="AJ925" s="182"/>
      <c r="AK925" s="184"/>
      <c r="AL925" s="182"/>
      <c r="AM925" s="182"/>
      <c r="AN925" s="182"/>
      <c r="AO925" s="182"/>
      <c r="AP925" s="182"/>
      <c r="AQ925" s="182"/>
      <c r="AR925" s="182"/>
    </row>
    <row r="926" spans="1:44">
      <c r="A926" s="182"/>
      <c r="B926" s="182"/>
      <c r="C926" s="182"/>
      <c r="D926" s="182"/>
      <c r="E926" s="182"/>
      <c r="F926" s="182"/>
      <c r="G926" s="182"/>
      <c r="H926" s="182"/>
      <c r="I926" s="182"/>
      <c r="J926" s="182"/>
      <c r="K926" s="182"/>
      <c r="L926" s="182"/>
      <c r="M926" s="182"/>
      <c r="N926" s="177"/>
      <c r="O926" s="182"/>
      <c r="P926" s="179"/>
      <c r="Q926" s="182"/>
      <c r="R926" s="182"/>
      <c r="S926" s="182"/>
      <c r="T926" s="182"/>
      <c r="U926" s="182"/>
      <c r="V926" s="182"/>
      <c r="W926" s="182"/>
      <c r="X926" s="182"/>
      <c r="Y926" s="182"/>
      <c r="Z926" s="182"/>
      <c r="AA926" s="182"/>
      <c r="AB926" s="182"/>
      <c r="AC926" s="182"/>
      <c r="AD926" s="182"/>
      <c r="AE926" s="184"/>
      <c r="AF926" s="183"/>
      <c r="AG926" s="183"/>
      <c r="AH926" s="183"/>
      <c r="AI926" s="183"/>
      <c r="AJ926" s="182"/>
      <c r="AK926" s="184"/>
      <c r="AL926" s="182"/>
      <c r="AM926" s="182"/>
      <c r="AN926" s="182"/>
      <c r="AO926" s="182"/>
      <c r="AP926" s="182"/>
      <c r="AQ926" s="182"/>
      <c r="AR926" s="182"/>
    </row>
    <row r="927" spans="1:44">
      <c r="A927" s="182"/>
      <c r="B927" s="182"/>
      <c r="C927" s="182"/>
      <c r="D927" s="182"/>
      <c r="E927" s="182"/>
      <c r="F927" s="182"/>
      <c r="G927" s="182"/>
      <c r="H927" s="182"/>
      <c r="I927" s="182"/>
      <c r="J927" s="182"/>
      <c r="K927" s="182"/>
      <c r="L927" s="182"/>
      <c r="M927" s="182"/>
      <c r="N927" s="177"/>
      <c r="O927" s="182"/>
      <c r="P927" s="179"/>
      <c r="Q927" s="182"/>
      <c r="R927" s="182"/>
      <c r="S927" s="182"/>
      <c r="T927" s="182"/>
      <c r="U927" s="182"/>
      <c r="V927" s="182"/>
      <c r="W927" s="182"/>
      <c r="X927" s="182"/>
      <c r="Y927" s="182"/>
      <c r="Z927" s="182"/>
      <c r="AA927" s="182"/>
      <c r="AB927" s="182"/>
      <c r="AC927" s="182"/>
      <c r="AD927" s="182"/>
      <c r="AE927" s="184"/>
      <c r="AF927" s="183"/>
      <c r="AG927" s="183"/>
      <c r="AH927" s="183"/>
      <c r="AI927" s="183"/>
      <c r="AJ927" s="182"/>
      <c r="AK927" s="184"/>
      <c r="AL927" s="182"/>
      <c r="AM927" s="182"/>
      <c r="AN927" s="182"/>
      <c r="AO927" s="182"/>
      <c r="AP927" s="182"/>
      <c r="AQ927" s="182"/>
      <c r="AR927" s="182"/>
    </row>
    <row r="928" spans="1:44">
      <c r="A928" s="182"/>
      <c r="B928" s="182"/>
      <c r="C928" s="182"/>
      <c r="D928" s="182"/>
      <c r="E928" s="182"/>
      <c r="F928" s="182"/>
      <c r="G928" s="182"/>
      <c r="H928" s="182"/>
      <c r="I928" s="182"/>
      <c r="J928" s="182"/>
      <c r="K928" s="182"/>
      <c r="L928" s="182"/>
      <c r="M928" s="182"/>
      <c r="N928" s="177"/>
      <c r="O928" s="182"/>
      <c r="P928" s="179"/>
      <c r="Q928" s="182"/>
      <c r="R928" s="182"/>
      <c r="S928" s="182"/>
      <c r="T928" s="182"/>
      <c r="U928" s="182"/>
      <c r="V928" s="182"/>
      <c r="W928" s="182"/>
      <c r="X928" s="182"/>
      <c r="Y928" s="182"/>
      <c r="Z928" s="182"/>
      <c r="AA928" s="182"/>
      <c r="AB928" s="182"/>
      <c r="AC928" s="182"/>
      <c r="AD928" s="182"/>
      <c r="AE928" s="184"/>
      <c r="AF928" s="183"/>
      <c r="AG928" s="183"/>
      <c r="AH928" s="183"/>
      <c r="AI928" s="183"/>
      <c r="AJ928" s="182"/>
      <c r="AK928" s="184"/>
      <c r="AL928" s="182"/>
      <c r="AM928" s="182"/>
      <c r="AN928" s="182"/>
      <c r="AO928" s="182"/>
      <c r="AP928" s="182"/>
      <c r="AQ928" s="182"/>
      <c r="AR928" s="182"/>
    </row>
    <row r="929" spans="1:44">
      <c r="A929" s="182"/>
      <c r="B929" s="182"/>
      <c r="C929" s="182"/>
      <c r="D929" s="182"/>
      <c r="E929" s="182"/>
      <c r="F929" s="182"/>
      <c r="G929" s="182"/>
      <c r="H929" s="182"/>
      <c r="I929" s="182"/>
      <c r="J929" s="182"/>
      <c r="K929" s="182"/>
      <c r="L929" s="182"/>
      <c r="M929" s="182"/>
      <c r="N929" s="177"/>
      <c r="O929" s="182"/>
      <c r="P929" s="179"/>
      <c r="Q929" s="182"/>
      <c r="R929" s="182"/>
      <c r="S929" s="182"/>
      <c r="T929" s="182"/>
      <c r="U929" s="182"/>
      <c r="V929" s="182"/>
      <c r="W929" s="182"/>
      <c r="X929" s="182"/>
      <c r="Y929" s="182"/>
      <c r="Z929" s="182"/>
      <c r="AA929" s="182"/>
      <c r="AB929" s="182"/>
      <c r="AC929" s="182"/>
      <c r="AD929" s="182"/>
      <c r="AE929" s="184"/>
      <c r="AF929" s="183"/>
      <c r="AG929" s="183"/>
      <c r="AH929" s="183"/>
      <c r="AI929" s="183"/>
      <c r="AJ929" s="182"/>
      <c r="AK929" s="184"/>
      <c r="AL929" s="182"/>
      <c r="AM929" s="182"/>
      <c r="AN929" s="182"/>
      <c r="AO929" s="182"/>
      <c r="AP929" s="182"/>
      <c r="AQ929" s="182"/>
      <c r="AR929" s="182"/>
    </row>
    <row r="930" spans="1:44">
      <c r="A930" s="182"/>
      <c r="B930" s="182"/>
      <c r="C930" s="182"/>
      <c r="D930" s="182"/>
      <c r="E930" s="182"/>
      <c r="F930" s="182"/>
      <c r="G930" s="182"/>
      <c r="H930" s="182"/>
      <c r="I930" s="182"/>
      <c r="J930" s="182"/>
      <c r="K930" s="182"/>
      <c r="L930" s="182"/>
      <c r="M930" s="182"/>
      <c r="N930" s="177"/>
      <c r="O930" s="182"/>
      <c r="P930" s="179"/>
      <c r="Q930" s="182"/>
      <c r="R930" s="182"/>
      <c r="S930" s="182"/>
      <c r="T930" s="182"/>
      <c r="U930" s="182"/>
      <c r="V930" s="182"/>
      <c r="W930" s="182"/>
      <c r="X930" s="182"/>
      <c r="Y930" s="182"/>
      <c r="Z930" s="182"/>
      <c r="AA930" s="182"/>
      <c r="AB930" s="182"/>
      <c r="AC930" s="182"/>
      <c r="AD930" s="182"/>
      <c r="AE930" s="184"/>
      <c r="AF930" s="183"/>
      <c r="AG930" s="183"/>
      <c r="AH930" s="183"/>
      <c r="AI930" s="183"/>
      <c r="AJ930" s="182"/>
      <c r="AK930" s="184"/>
      <c r="AL930" s="182"/>
      <c r="AM930" s="182"/>
      <c r="AN930" s="182"/>
      <c r="AO930" s="182"/>
      <c r="AP930" s="182"/>
      <c r="AQ930" s="182"/>
      <c r="AR930" s="182"/>
    </row>
    <row r="931" spans="1:44">
      <c r="A931" s="182"/>
      <c r="B931" s="182"/>
      <c r="C931" s="182"/>
      <c r="D931" s="182"/>
      <c r="E931" s="182"/>
      <c r="F931" s="182"/>
      <c r="G931" s="182"/>
      <c r="H931" s="182"/>
      <c r="I931" s="182"/>
      <c r="J931" s="182"/>
      <c r="K931" s="182"/>
      <c r="L931" s="182"/>
      <c r="M931" s="182"/>
      <c r="N931" s="177"/>
      <c r="O931" s="182"/>
      <c r="P931" s="179"/>
      <c r="Q931" s="182"/>
      <c r="R931" s="182"/>
      <c r="S931" s="182"/>
      <c r="T931" s="182"/>
      <c r="U931" s="182"/>
      <c r="V931" s="182"/>
      <c r="W931" s="182"/>
      <c r="X931" s="182"/>
      <c r="Y931" s="182"/>
      <c r="Z931" s="182"/>
      <c r="AA931" s="182"/>
      <c r="AB931" s="182"/>
      <c r="AC931" s="182"/>
      <c r="AD931" s="182"/>
      <c r="AE931" s="184"/>
      <c r="AF931" s="183"/>
      <c r="AG931" s="183"/>
      <c r="AH931" s="183"/>
      <c r="AI931" s="183"/>
      <c r="AJ931" s="182"/>
      <c r="AK931" s="184"/>
      <c r="AL931" s="182"/>
      <c r="AM931" s="182"/>
      <c r="AN931" s="182"/>
      <c r="AO931" s="182"/>
      <c r="AP931" s="182"/>
      <c r="AQ931" s="182"/>
      <c r="AR931" s="182"/>
    </row>
    <row r="932" spans="1:44">
      <c r="A932" s="182"/>
      <c r="B932" s="182"/>
      <c r="C932" s="182"/>
      <c r="D932" s="182"/>
      <c r="E932" s="182"/>
      <c r="F932" s="182"/>
      <c r="G932" s="182"/>
      <c r="H932" s="182"/>
      <c r="I932" s="182"/>
      <c r="J932" s="182"/>
      <c r="K932" s="182"/>
      <c r="L932" s="182"/>
      <c r="M932" s="182"/>
      <c r="N932" s="177"/>
      <c r="O932" s="182"/>
      <c r="P932" s="179"/>
      <c r="Q932" s="182"/>
      <c r="R932" s="182"/>
      <c r="S932" s="182"/>
      <c r="T932" s="182"/>
      <c r="U932" s="182"/>
      <c r="V932" s="182"/>
      <c r="W932" s="182"/>
      <c r="X932" s="182"/>
      <c r="Y932" s="182"/>
      <c r="Z932" s="182"/>
      <c r="AA932" s="182"/>
      <c r="AB932" s="182"/>
      <c r="AC932" s="182"/>
      <c r="AD932" s="182"/>
      <c r="AE932" s="184"/>
      <c r="AF932" s="183"/>
      <c r="AG932" s="183"/>
      <c r="AH932" s="183"/>
      <c r="AI932" s="183"/>
      <c r="AJ932" s="182"/>
      <c r="AK932" s="184"/>
      <c r="AL932" s="182"/>
      <c r="AM932" s="182"/>
      <c r="AN932" s="182"/>
      <c r="AO932" s="182"/>
      <c r="AP932" s="182"/>
      <c r="AQ932" s="182"/>
      <c r="AR932" s="182"/>
    </row>
    <row r="933" spans="1:44">
      <c r="A933" s="182"/>
      <c r="B933" s="182"/>
      <c r="C933" s="182"/>
      <c r="D933" s="182"/>
      <c r="E933" s="182"/>
      <c r="F933" s="182"/>
      <c r="G933" s="182"/>
      <c r="H933" s="182"/>
      <c r="I933" s="182"/>
      <c r="J933" s="182"/>
      <c r="K933" s="182"/>
      <c r="L933" s="182"/>
      <c r="M933" s="182"/>
      <c r="N933" s="177"/>
      <c r="O933" s="182"/>
      <c r="P933" s="179"/>
      <c r="Q933" s="182"/>
      <c r="R933" s="182"/>
      <c r="S933" s="182"/>
      <c r="T933" s="182"/>
      <c r="U933" s="182"/>
      <c r="V933" s="182"/>
      <c r="W933" s="182"/>
      <c r="X933" s="182"/>
      <c r="Y933" s="182"/>
      <c r="Z933" s="182"/>
      <c r="AA933" s="182"/>
      <c r="AB933" s="182"/>
      <c r="AC933" s="182"/>
      <c r="AD933" s="182"/>
      <c r="AE933" s="184"/>
      <c r="AF933" s="183"/>
      <c r="AG933" s="183"/>
      <c r="AH933" s="183"/>
      <c r="AI933" s="183"/>
      <c r="AJ933" s="182"/>
      <c r="AK933" s="184"/>
      <c r="AL933" s="182"/>
      <c r="AM933" s="182"/>
      <c r="AN933" s="182"/>
      <c r="AO933" s="182"/>
      <c r="AP933" s="182"/>
      <c r="AQ933" s="182"/>
      <c r="AR933" s="182"/>
    </row>
    <row r="934" spans="1:44">
      <c r="A934" s="182"/>
      <c r="B934" s="182"/>
      <c r="C934" s="182"/>
      <c r="D934" s="182"/>
      <c r="E934" s="182"/>
      <c r="F934" s="182"/>
      <c r="G934" s="182"/>
      <c r="H934" s="182"/>
      <c r="I934" s="182"/>
      <c r="J934" s="182"/>
      <c r="K934" s="182"/>
      <c r="L934" s="182"/>
      <c r="M934" s="182"/>
      <c r="N934" s="177"/>
      <c r="O934" s="182"/>
      <c r="P934" s="179"/>
      <c r="Q934" s="182"/>
      <c r="R934" s="182"/>
      <c r="S934" s="182"/>
      <c r="T934" s="182"/>
      <c r="U934" s="182"/>
      <c r="V934" s="182"/>
      <c r="W934" s="182"/>
      <c r="X934" s="182"/>
      <c r="Y934" s="182"/>
      <c r="Z934" s="182"/>
      <c r="AA934" s="182"/>
      <c r="AB934" s="182"/>
      <c r="AC934" s="182"/>
      <c r="AD934" s="182"/>
      <c r="AE934" s="184"/>
      <c r="AF934" s="183"/>
      <c r="AG934" s="183"/>
      <c r="AH934" s="183"/>
      <c r="AI934" s="183"/>
      <c r="AJ934" s="182"/>
      <c r="AK934" s="184"/>
      <c r="AL934" s="182"/>
      <c r="AM934" s="182"/>
      <c r="AN934" s="182"/>
      <c r="AO934" s="182"/>
      <c r="AP934" s="182"/>
      <c r="AQ934" s="182"/>
      <c r="AR934" s="182"/>
    </row>
    <row r="935" spans="1:44">
      <c r="A935" s="182"/>
      <c r="B935" s="182"/>
      <c r="C935" s="182"/>
      <c r="D935" s="182"/>
      <c r="E935" s="182"/>
      <c r="F935" s="182"/>
      <c r="G935" s="182"/>
      <c r="H935" s="182"/>
      <c r="I935" s="182"/>
      <c r="J935" s="182"/>
      <c r="K935" s="182"/>
      <c r="L935" s="182"/>
      <c r="M935" s="182"/>
      <c r="N935" s="177"/>
      <c r="O935" s="182"/>
      <c r="P935" s="179"/>
      <c r="Q935" s="182"/>
      <c r="R935" s="182"/>
      <c r="S935" s="182"/>
      <c r="T935" s="182"/>
      <c r="U935" s="182"/>
      <c r="V935" s="182"/>
      <c r="W935" s="182"/>
      <c r="X935" s="182"/>
      <c r="Y935" s="182"/>
      <c r="Z935" s="182"/>
      <c r="AA935" s="182"/>
      <c r="AB935" s="182"/>
      <c r="AC935" s="182"/>
      <c r="AD935" s="182"/>
      <c r="AE935" s="184"/>
      <c r="AF935" s="183"/>
      <c r="AG935" s="183"/>
      <c r="AH935" s="183"/>
      <c r="AI935" s="183"/>
      <c r="AJ935" s="182"/>
      <c r="AK935" s="184"/>
      <c r="AL935" s="182"/>
      <c r="AM935" s="182"/>
      <c r="AN935" s="182"/>
      <c r="AO935" s="182"/>
      <c r="AP935" s="182"/>
      <c r="AQ935" s="182"/>
      <c r="AR935" s="182"/>
    </row>
    <row r="936" spans="1:44">
      <c r="A936" s="182"/>
      <c r="B936" s="182"/>
      <c r="C936" s="182"/>
      <c r="D936" s="182"/>
      <c r="E936" s="182"/>
      <c r="F936" s="182"/>
      <c r="G936" s="182"/>
      <c r="H936" s="182"/>
      <c r="I936" s="182"/>
      <c r="J936" s="182"/>
      <c r="K936" s="182"/>
      <c r="L936" s="182"/>
      <c r="M936" s="182"/>
      <c r="N936" s="177"/>
      <c r="O936" s="182"/>
      <c r="P936" s="179"/>
      <c r="Q936" s="182"/>
      <c r="R936" s="182"/>
      <c r="S936" s="182"/>
      <c r="T936" s="182"/>
      <c r="U936" s="182"/>
      <c r="V936" s="182"/>
      <c r="W936" s="182"/>
      <c r="X936" s="182"/>
      <c r="Y936" s="182"/>
      <c r="Z936" s="182"/>
      <c r="AA936" s="182"/>
      <c r="AB936" s="182"/>
      <c r="AC936" s="182"/>
      <c r="AD936" s="182"/>
      <c r="AE936" s="184"/>
      <c r="AF936" s="183"/>
      <c r="AG936" s="183"/>
      <c r="AH936" s="183"/>
      <c r="AI936" s="183"/>
      <c r="AJ936" s="182"/>
      <c r="AK936" s="184"/>
      <c r="AL936" s="182"/>
      <c r="AM936" s="182"/>
      <c r="AN936" s="182"/>
      <c r="AO936" s="182"/>
      <c r="AP936" s="182"/>
      <c r="AQ936" s="182"/>
      <c r="AR936" s="182"/>
    </row>
    <row r="937" spans="1:44">
      <c r="A937" s="182"/>
      <c r="B937" s="182"/>
      <c r="C937" s="182"/>
      <c r="D937" s="182"/>
      <c r="E937" s="182"/>
      <c r="F937" s="182"/>
      <c r="G937" s="182"/>
      <c r="H937" s="182"/>
      <c r="I937" s="182"/>
      <c r="J937" s="182"/>
      <c r="K937" s="182"/>
      <c r="L937" s="182"/>
      <c r="M937" s="182"/>
      <c r="N937" s="177"/>
      <c r="O937" s="182"/>
      <c r="P937" s="179"/>
      <c r="Q937" s="182"/>
      <c r="R937" s="182"/>
      <c r="S937" s="182"/>
      <c r="T937" s="182"/>
      <c r="U937" s="182"/>
      <c r="V937" s="182"/>
      <c r="W937" s="182"/>
      <c r="X937" s="182"/>
      <c r="Y937" s="182"/>
      <c r="Z937" s="182"/>
      <c r="AA937" s="182"/>
      <c r="AB937" s="182"/>
      <c r="AC937" s="182"/>
      <c r="AD937" s="182"/>
      <c r="AE937" s="184"/>
      <c r="AF937" s="183"/>
      <c r="AG937" s="183"/>
      <c r="AH937" s="183"/>
      <c r="AI937" s="183"/>
      <c r="AJ937" s="182"/>
      <c r="AK937" s="184"/>
      <c r="AL937" s="182"/>
      <c r="AM937" s="182"/>
      <c r="AN937" s="182"/>
      <c r="AO937" s="182"/>
      <c r="AP937" s="182"/>
      <c r="AQ937" s="182"/>
      <c r="AR937" s="182"/>
    </row>
    <row r="938" spans="1:44">
      <c r="A938" s="182"/>
      <c r="B938" s="182"/>
      <c r="C938" s="182"/>
      <c r="D938" s="182"/>
      <c r="E938" s="182"/>
      <c r="F938" s="182"/>
      <c r="G938" s="182"/>
      <c r="H938" s="182"/>
      <c r="I938" s="182"/>
      <c r="J938" s="182"/>
      <c r="K938" s="182"/>
      <c r="L938" s="182"/>
      <c r="M938" s="182"/>
      <c r="N938" s="177"/>
      <c r="O938" s="182"/>
      <c r="P938" s="179"/>
      <c r="Q938" s="182"/>
      <c r="R938" s="182"/>
      <c r="S938" s="182"/>
      <c r="T938" s="182"/>
      <c r="U938" s="182"/>
      <c r="V938" s="182"/>
      <c r="W938" s="182"/>
      <c r="X938" s="182"/>
      <c r="Y938" s="182"/>
      <c r="Z938" s="182"/>
      <c r="AA938" s="182"/>
      <c r="AB938" s="182"/>
      <c r="AC938" s="182"/>
      <c r="AD938" s="182"/>
      <c r="AE938" s="184"/>
      <c r="AF938" s="183"/>
      <c r="AG938" s="183"/>
      <c r="AH938" s="183"/>
      <c r="AI938" s="183"/>
      <c r="AJ938" s="182"/>
      <c r="AK938" s="184"/>
      <c r="AL938" s="182"/>
      <c r="AM938" s="182"/>
      <c r="AN938" s="182"/>
      <c r="AO938" s="182"/>
      <c r="AP938" s="182"/>
      <c r="AQ938" s="182"/>
      <c r="AR938" s="182"/>
    </row>
    <row r="939" spans="1:44">
      <c r="A939" s="182"/>
      <c r="B939" s="182"/>
      <c r="C939" s="182"/>
      <c r="D939" s="182"/>
      <c r="E939" s="182"/>
      <c r="F939" s="182"/>
      <c r="G939" s="182"/>
      <c r="H939" s="182"/>
      <c r="I939" s="182"/>
      <c r="J939" s="182"/>
      <c r="K939" s="182"/>
      <c r="L939" s="182"/>
      <c r="M939" s="182"/>
      <c r="N939" s="177"/>
      <c r="O939" s="182"/>
      <c r="P939" s="179"/>
      <c r="Q939" s="182"/>
      <c r="R939" s="182"/>
      <c r="S939" s="182"/>
      <c r="T939" s="182"/>
      <c r="U939" s="182"/>
      <c r="V939" s="182"/>
      <c r="W939" s="182"/>
      <c r="X939" s="182"/>
      <c r="Y939" s="182"/>
      <c r="Z939" s="182"/>
      <c r="AA939" s="182"/>
      <c r="AB939" s="182"/>
      <c r="AC939" s="182"/>
      <c r="AD939" s="182"/>
      <c r="AE939" s="184"/>
      <c r="AF939" s="183"/>
      <c r="AG939" s="183"/>
      <c r="AH939" s="183"/>
      <c r="AI939" s="183"/>
      <c r="AJ939" s="182"/>
      <c r="AK939" s="184"/>
      <c r="AL939" s="182"/>
      <c r="AM939" s="182"/>
      <c r="AN939" s="182"/>
      <c r="AO939" s="182"/>
      <c r="AP939" s="182"/>
      <c r="AQ939" s="182"/>
      <c r="AR939" s="182"/>
    </row>
    <row r="940" spans="1:44">
      <c r="A940" s="182"/>
      <c r="B940" s="182"/>
      <c r="C940" s="182"/>
      <c r="D940" s="182"/>
      <c r="E940" s="182"/>
      <c r="F940" s="182"/>
      <c r="G940" s="182"/>
      <c r="H940" s="182"/>
      <c r="I940" s="182"/>
      <c r="J940" s="182"/>
      <c r="K940" s="182"/>
      <c r="L940" s="182"/>
      <c r="M940" s="182"/>
      <c r="N940" s="177"/>
      <c r="O940" s="182"/>
      <c r="P940" s="179"/>
      <c r="Q940" s="182"/>
      <c r="R940" s="182"/>
      <c r="S940" s="182"/>
      <c r="T940" s="182"/>
      <c r="U940" s="182"/>
      <c r="V940" s="182"/>
      <c r="W940" s="182"/>
      <c r="X940" s="182"/>
      <c r="Y940" s="182"/>
      <c r="Z940" s="182"/>
      <c r="AA940" s="182"/>
      <c r="AB940" s="182"/>
      <c r="AC940" s="182"/>
      <c r="AD940" s="182"/>
      <c r="AE940" s="184"/>
      <c r="AF940" s="183"/>
      <c r="AG940" s="183"/>
      <c r="AH940" s="183"/>
      <c r="AI940" s="183"/>
      <c r="AJ940" s="182"/>
      <c r="AK940" s="184"/>
      <c r="AL940" s="182"/>
      <c r="AM940" s="182"/>
      <c r="AN940" s="182"/>
      <c r="AO940" s="182"/>
      <c r="AP940" s="182"/>
      <c r="AQ940" s="182"/>
      <c r="AR940" s="182"/>
    </row>
    <row r="941" spans="1:44">
      <c r="A941" s="182"/>
      <c r="B941" s="182"/>
      <c r="C941" s="182"/>
      <c r="D941" s="182"/>
      <c r="E941" s="182"/>
      <c r="F941" s="182"/>
      <c r="G941" s="182"/>
      <c r="H941" s="182"/>
      <c r="I941" s="182"/>
      <c r="J941" s="182"/>
      <c r="K941" s="182"/>
      <c r="L941" s="182"/>
      <c r="M941" s="182"/>
      <c r="N941" s="177"/>
      <c r="O941" s="182"/>
      <c r="P941" s="179"/>
      <c r="Q941" s="182"/>
      <c r="R941" s="182"/>
      <c r="S941" s="182"/>
      <c r="T941" s="182"/>
      <c r="U941" s="182"/>
      <c r="V941" s="182"/>
      <c r="W941" s="182"/>
      <c r="X941" s="182"/>
      <c r="Y941" s="182"/>
      <c r="Z941" s="182"/>
      <c r="AA941" s="182"/>
      <c r="AB941" s="182"/>
      <c r="AC941" s="182"/>
      <c r="AD941" s="182"/>
      <c r="AE941" s="184"/>
      <c r="AF941" s="183"/>
      <c r="AG941" s="183"/>
      <c r="AH941" s="183"/>
      <c r="AI941" s="183"/>
      <c r="AJ941" s="182"/>
      <c r="AK941" s="184"/>
      <c r="AL941" s="182"/>
      <c r="AM941" s="182"/>
      <c r="AN941" s="182"/>
      <c r="AO941" s="182"/>
      <c r="AP941" s="182"/>
      <c r="AQ941" s="182"/>
      <c r="AR941" s="182"/>
    </row>
    <row r="942" spans="1:44">
      <c r="A942" s="182"/>
      <c r="B942" s="182"/>
      <c r="C942" s="182"/>
      <c r="D942" s="182"/>
      <c r="E942" s="182"/>
      <c r="F942" s="182"/>
      <c r="G942" s="182"/>
      <c r="H942" s="182"/>
      <c r="I942" s="182"/>
      <c r="J942" s="182"/>
      <c r="K942" s="182"/>
      <c r="L942" s="182"/>
      <c r="M942" s="182"/>
      <c r="N942" s="177"/>
      <c r="O942" s="182"/>
      <c r="P942" s="179"/>
      <c r="Q942" s="182"/>
      <c r="R942" s="182"/>
      <c r="S942" s="182"/>
      <c r="T942" s="182"/>
      <c r="U942" s="182"/>
      <c r="V942" s="182"/>
      <c r="W942" s="182"/>
      <c r="X942" s="182"/>
      <c r="Y942" s="182"/>
      <c r="Z942" s="182"/>
      <c r="AA942" s="182"/>
      <c r="AB942" s="182"/>
      <c r="AC942" s="182"/>
      <c r="AD942" s="182"/>
      <c r="AE942" s="184"/>
      <c r="AF942" s="183"/>
      <c r="AG942" s="183"/>
      <c r="AH942" s="183"/>
      <c r="AI942" s="183"/>
      <c r="AJ942" s="182"/>
      <c r="AK942" s="184"/>
      <c r="AL942" s="182"/>
      <c r="AM942" s="182"/>
      <c r="AN942" s="182"/>
      <c r="AO942" s="182"/>
      <c r="AP942" s="182"/>
      <c r="AQ942" s="182"/>
      <c r="AR942" s="182"/>
    </row>
    <row r="943" spans="1:44">
      <c r="A943" s="182"/>
      <c r="B943" s="182"/>
      <c r="C943" s="182"/>
      <c r="D943" s="182"/>
      <c r="E943" s="182"/>
      <c r="F943" s="182"/>
      <c r="G943" s="182"/>
      <c r="H943" s="182"/>
      <c r="I943" s="182"/>
      <c r="J943" s="182"/>
      <c r="K943" s="182"/>
      <c r="L943" s="182"/>
      <c r="M943" s="182"/>
      <c r="N943" s="177"/>
      <c r="O943" s="182"/>
      <c r="P943" s="179"/>
      <c r="Q943" s="182"/>
      <c r="R943" s="182"/>
      <c r="S943" s="182"/>
      <c r="T943" s="182"/>
      <c r="U943" s="182"/>
      <c r="V943" s="182"/>
      <c r="W943" s="182"/>
      <c r="X943" s="182"/>
      <c r="Y943" s="182"/>
      <c r="Z943" s="182"/>
      <c r="AA943" s="182"/>
      <c r="AB943" s="182"/>
      <c r="AC943" s="182"/>
      <c r="AD943" s="182"/>
      <c r="AE943" s="184"/>
      <c r="AF943" s="183"/>
      <c r="AG943" s="183"/>
      <c r="AH943" s="183"/>
      <c r="AI943" s="183"/>
      <c r="AJ943" s="182"/>
      <c r="AK943" s="184"/>
      <c r="AL943" s="182"/>
      <c r="AM943" s="182"/>
      <c r="AN943" s="182"/>
      <c r="AO943" s="182"/>
      <c r="AP943" s="182"/>
      <c r="AQ943" s="182"/>
      <c r="AR943" s="182"/>
    </row>
    <row r="944" spans="1:44">
      <c r="A944" s="182"/>
      <c r="B944" s="182"/>
      <c r="C944" s="182"/>
      <c r="D944" s="182"/>
      <c r="E944" s="182"/>
      <c r="F944" s="182"/>
      <c r="G944" s="182"/>
      <c r="H944" s="182"/>
      <c r="I944" s="182"/>
      <c r="J944" s="182"/>
      <c r="K944" s="182"/>
      <c r="L944" s="182"/>
      <c r="M944" s="182"/>
      <c r="N944" s="177"/>
      <c r="O944" s="182"/>
      <c r="P944" s="179"/>
      <c r="Q944" s="182"/>
      <c r="R944" s="182"/>
      <c r="S944" s="182"/>
      <c r="T944" s="182"/>
      <c r="U944" s="182"/>
      <c r="V944" s="182"/>
      <c r="W944" s="182"/>
      <c r="X944" s="182"/>
      <c r="Y944" s="182"/>
      <c r="Z944" s="182"/>
      <c r="AA944" s="182"/>
      <c r="AB944" s="182"/>
      <c r="AC944" s="182"/>
      <c r="AD944" s="182"/>
      <c r="AE944" s="184"/>
      <c r="AF944" s="183"/>
      <c r="AG944" s="183"/>
      <c r="AH944" s="183"/>
      <c r="AI944" s="183"/>
      <c r="AJ944" s="182"/>
      <c r="AK944" s="184"/>
      <c r="AL944" s="182"/>
      <c r="AM944" s="182"/>
      <c r="AN944" s="182"/>
      <c r="AO944" s="182"/>
      <c r="AP944" s="182"/>
      <c r="AQ944" s="182"/>
      <c r="AR944" s="182"/>
    </row>
    <row r="945" spans="1:44">
      <c r="A945" s="182"/>
      <c r="B945" s="182"/>
      <c r="C945" s="182"/>
      <c r="D945" s="182"/>
      <c r="E945" s="182"/>
      <c r="F945" s="182"/>
      <c r="G945" s="182"/>
      <c r="H945" s="182"/>
      <c r="I945" s="182"/>
      <c r="J945" s="182"/>
      <c r="K945" s="182"/>
      <c r="L945" s="182"/>
      <c r="M945" s="182"/>
      <c r="N945" s="177"/>
      <c r="O945" s="182"/>
      <c r="P945" s="179"/>
      <c r="Q945" s="182"/>
      <c r="R945" s="182"/>
      <c r="S945" s="182"/>
      <c r="T945" s="182"/>
      <c r="U945" s="182"/>
      <c r="V945" s="182"/>
      <c r="W945" s="182"/>
      <c r="X945" s="182"/>
      <c r="Y945" s="182"/>
      <c r="Z945" s="182"/>
      <c r="AA945" s="182"/>
      <c r="AB945" s="182"/>
      <c r="AC945" s="182"/>
      <c r="AD945" s="182"/>
      <c r="AE945" s="184"/>
      <c r="AF945" s="183"/>
      <c r="AG945" s="183"/>
      <c r="AH945" s="183"/>
      <c r="AI945" s="183"/>
      <c r="AJ945" s="182"/>
      <c r="AK945" s="184"/>
      <c r="AL945" s="182"/>
      <c r="AM945" s="182"/>
      <c r="AN945" s="182"/>
      <c r="AO945" s="182"/>
      <c r="AP945" s="182"/>
      <c r="AQ945" s="182"/>
      <c r="AR945" s="182"/>
    </row>
    <row r="946" spans="1:44">
      <c r="A946" s="182"/>
      <c r="B946" s="182"/>
      <c r="C946" s="182"/>
      <c r="D946" s="182"/>
      <c r="E946" s="182"/>
      <c r="F946" s="182"/>
      <c r="G946" s="182"/>
      <c r="H946" s="182"/>
      <c r="I946" s="182"/>
      <c r="J946" s="182"/>
      <c r="K946" s="182"/>
      <c r="L946" s="182"/>
      <c r="M946" s="182"/>
      <c r="N946" s="177"/>
      <c r="O946" s="182"/>
      <c r="P946" s="179"/>
      <c r="Q946" s="182"/>
      <c r="R946" s="182"/>
      <c r="S946" s="182"/>
      <c r="T946" s="182"/>
      <c r="U946" s="182"/>
      <c r="V946" s="182"/>
      <c r="W946" s="182"/>
      <c r="X946" s="182"/>
      <c r="Y946" s="182"/>
      <c r="Z946" s="182"/>
      <c r="AA946" s="182"/>
      <c r="AB946" s="182"/>
      <c r="AC946" s="182"/>
      <c r="AD946" s="182"/>
      <c r="AE946" s="184"/>
      <c r="AF946" s="183"/>
      <c r="AG946" s="183"/>
      <c r="AH946" s="183"/>
      <c r="AI946" s="183"/>
      <c r="AJ946" s="182"/>
      <c r="AK946" s="184"/>
      <c r="AL946" s="182"/>
      <c r="AM946" s="182"/>
      <c r="AN946" s="182"/>
      <c r="AO946" s="182"/>
      <c r="AP946" s="182"/>
      <c r="AQ946" s="182"/>
      <c r="AR946" s="182"/>
    </row>
    <row r="947" spans="1:44">
      <c r="A947" s="182"/>
      <c r="B947" s="182"/>
      <c r="C947" s="182"/>
      <c r="D947" s="182"/>
      <c r="E947" s="182"/>
      <c r="F947" s="182"/>
      <c r="G947" s="182"/>
      <c r="H947" s="182"/>
      <c r="I947" s="182"/>
      <c r="J947" s="182"/>
      <c r="K947" s="182"/>
      <c r="L947" s="182"/>
      <c r="M947" s="182"/>
      <c r="N947" s="177"/>
      <c r="O947" s="182"/>
      <c r="P947" s="179"/>
      <c r="Q947" s="182"/>
      <c r="R947" s="182"/>
      <c r="S947" s="182"/>
      <c r="T947" s="182"/>
      <c r="U947" s="182"/>
      <c r="V947" s="182"/>
      <c r="W947" s="182"/>
      <c r="X947" s="182"/>
      <c r="Y947" s="182"/>
      <c r="Z947" s="182"/>
      <c r="AA947" s="182"/>
      <c r="AB947" s="182"/>
      <c r="AC947" s="182"/>
      <c r="AD947" s="182"/>
      <c r="AE947" s="184"/>
      <c r="AF947" s="183"/>
      <c r="AG947" s="183"/>
      <c r="AH947" s="183"/>
      <c r="AI947" s="183"/>
      <c r="AJ947" s="182"/>
      <c r="AK947" s="184"/>
      <c r="AL947" s="182"/>
      <c r="AM947" s="182"/>
      <c r="AN947" s="182"/>
      <c r="AO947" s="182"/>
      <c r="AP947" s="182"/>
      <c r="AQ947" s="182"/>
      <c r="AR947" s="182"/>
    </row>
    <row r="948" spans="1:44">
      <c r="A948" s="182"/>
      <c r="B948" s="182"/>
      <c r="C948" s="182"/>
      <c r="D948" s="182"/>
      <c r="E948" s="182"/>
      <c r="F948" s="182"/>
      <c r="G948" s="182"/>
      <c r="H948" s="182"/>
      <c r="I948" s="182"/>
      <c r="J948" s="182"/>
      <c r="K948" s="182"/>
      <c r="L948" s="182"/>
      <c r="M948" s="182"/>
      <c r="N948" s="177"/>
      <c r="O948" s="182"/>
      <c r="P948" s="179"/>
      <c r="Q948" s="182"/>
      <c r="R948" s="182"/>
      <c r="S948" s="182"/>
      <c r="T948" s="182"/>
      <c r="U948" s="182"/>
      <c r="V948" s="182"/>
      <c r="W948" s="182"/>
      <c r="X948" s="182"/>
      <c r="Y948" s="182"/>
      <c r="Z948" s="182"/>
      <c r="AA948" s="182"/>
      <c r="AB948" s="182"/>
      <c r="AC948" s="182"/>
      <c r="AD948" s="182"/>
      <c r="AE948" s="184"/>
      <c r="AF948" s="183"/>
      <c r="AG948" s="183"/>
      <c r="AH948" s="183"/>
      <c r="AI948" s="183"/>
      <c r="AJ948" s="182"/>
      <c r="AK948" s="184"/>
      <c r="AL948" s="182"/>
      <c r="AM948" s="182"/>
      <c r="AN948" s="182"/>
      <c r="AO948" s="182"/>
      <c r="AP948" s="182"/>
      <c r="AQ948" s="182"/>
      <c r="AR948" s="182"/>
    </row>
    <row r="949" spans="1:44">
      <c r="A949" s="182"/>
      <c r="B949" s="182"/>
      <c r="C949" s="182"/>
      <c r="D949" s="182"/>
      <c r="E949" s="182"/>
      <c r="F949" s="182"/>
      <c r="G949" s="182"/>
      <c r="H949" s="182"/>
      <c r="I949" s="182"/>
      <c r="J949" s="182"/>
      <c r="K949" s="182"/>
      <c r="L949" s="182"/>
      <c r="M949" s="182"/>
      <c r="N949" s="177"/>
      <c r="O949" s="182"/>
      <c r="P949" s="179"/>
      <c r="Q949" s="182"/>
      <c r="R949" s="182"/>
      <c r="S949" s="182"/>
      <c r="T949" s="182"/>
      <c r="U949" s="182"/>
      <c r="V949" s="182"/>
      <c r="W949" s="182"/>
      <c r="X949" s="182"/>
      <c r="Y949" s="182"/>
      <c r="Z949" s="182"/>
      <c r="AA949" s="182"/>
      <c r="AB949" s="182"/>
      <c r="AC949" s="182"/>
      <c r="AD949" s="182"/>
      <c r="AE949" s="184"/>
      <c r="AF949" s="183"/>
      <c r="AG949" s="183"/>
      <c r="AH949" s="183"/>
      <c r="AI949" s="183"/>
      <c r="AJ949" s="182"/>
      <c r="AK949" s="184"/>
      <c r="AL949" s="182"/>
      <c r="AM949" s="182"/>
      <c r="AN949" s="182"/>
      <c r="AO949" s="182"/>
      <c r="AP949" s="182"/>
      <c r="AQ949" s="182"/>
      <c r="AR949" s="182"/>
    </row>
    <row r="950" spans="1:44">
      <c r="A950" s="182"/>
      <c r="B950" s="182"/>
      <c r="C950" s="182"/>
      <c r="D950" s="182"/>
      <c r="E950" s="182"/>
      <c r="F950" s="182"/>
      <c r="G950" s="182"/>
      <c r="H950" s="182"/>
      <c r="I950" s="182"/>
      <c r="J950" s="182"/>
      <c r="K950" s="182"/>
      <c r="L950" s="182"/>
      <c r="M950" s="182"/>
      <c r="N950" s="177"/>
      <c r="O950" s="182"/>
      <c r="P950" s="179"/>
      <c r="Q950" s="182"/>
      <c r="R950" s="182"/>
      <c r="S950" s="182"/>
      <c r="T950" s="182"/>
      <c r="U950" s="182"/>
      <c r="V950" s="182"/>
      <c r="W950" s="182"/>
      <c r="X950" s="182"/>
      <c r="Y950" s="182"/>
      <c r="Z950" s="182"/>
      <c r="AA950" s="182"/>
      <c r="AB950" s="182"/>
      <c r="AC950" s="182"/>
      <c r="AD950" s="182"/>
      <c r="AE950" s="184"/>
      <c r="AF950" s="183"/>
      <c r="AG950" s="183"/>
      <c r="AH950" s="183"/>
      <c r="AI950" s="183"/>
      <c r="AJ950" s="182"/>
      <c r="AK950" s="184"/>
      <c r="AL950" s="182"/>
      <c r="AM950" s="182"/>
      <c r="AN950" s="182"/>
      <c r="AO950" s="182"/>
      <c r="AP950" s="182"/>
      <c r="AQ950" s="182"/>
      <c r="AR950" s="182"/>
    </row>
    <row r="951" spans="1:44">
      <c r="A951" s="182"/>
      <c r="B951" s="182"/>
      <c r="C951" s="182"/>
      <c r="D951" s="182"/>
      <c r="E951" s="182"/>
      <c r="F951" s="182"/>
      <c r="G951" s="182"/>
      <c r="H951" s="182"/>
      <c r="I951" s="182"/>
      <c r="J951" s="182"/>
      <c r="K951" s="182"/>
      <c r="L951" s="182"/>
      <c r="M951" s="182"/>
      <c r="N951" s="177"/>
      <c r="O951" s="182"/>
      <c r="P951" s="179"/>
      <c r="Q951" s="182"/>
      <c r="R951" s="182"/>
      <c r="S951" s="182"/>
      <c r="T951" s="182"/>
      <c r="U951" s="182"/>
      <c r="V951" s="182"/>
      <c r="W951" s="182"/>
      <c r="X951" s="182"/>
      <c r="Y951" s="182"/>
      <c r="Z951" s="182"/>
      <c r="AA951" s="182"/>
      <c r="AB951" s="182"/>
      <c r="AC951" s="182"/>
      <c r="AD951" s="182"/>
      <c r="AE951" s="184"/>
      <c r="AF951" s="183"/>
      <c r="AG951" s="183"/>
      <c r="AH951" s="183"/>
      <c r="AI951" s="183"/>
      <c r="AJ951" s="182"/>
      <c r="AK951" s="184"/>
      <c r="AL951" s="182"/>
      <c r="AM951" s="182"/>
      <c r="AN951" s="182"/>
      <c r="AO951" s="182"/>
      <c r="AP951" s="182"/>
      <c r="AQ951" s="182"/>
      <c r="AR951" s="182"/>
    </row>
    <row r="952" spans="1:44">
      <c r="A952" s="182"/>
      <c r="B952" s="182"/>
      <c r="C952" s="182"/>
      <c r="D952" s="182"/>
      <c r="E952" s="182"/>
      <c r="F952" s="182"/>
      <c r="G952" s="182"/>
      <c r="H952" s="182"/>
      <c r="I952" s="182"/>
      <c r="J952" s="182"/>
      <c r="K952" s="182"/>
      <c r="L952" s="182"/>
      <c r="M952" s="182"/>
      <c r="N952" s="177"/>
      <c r="O952" s="182"/>
      <c r="P952" s="179"/>
      <c r="Q952" s="182"/>
      <c r="R952" s="182"/>
      <c r="S952" s="182"/>
      <c r="T952" s="182"/>
      <c r="U952" s="182"/>
      <c r="V952" s="182"/>
      <c r="W952" s="182"/>
      <c r="X952" s="182"/>
      <c r="Y952" s="182"/>
      <c r="Z952" s="182"/>
      <c r="AA952" s="182"/>
      <c r="AB952" s="182"/>
      <c r="AC952" s="182"/>
      <c r="AD952" s="182"/>
      <c r="AE952" s="184"/>
      <c r="AF952" s="183"/>
      <c r="AG952" s="183"/>
      <c r="AH952" s="183"/>
      <c r="AI952" s="183"/>
      <c r="AJ952" s="182"/>
      <c r="AK952" s="184"/>
      <c r="AL952" s="182"/>
      <c r="AM952" s="182"/>
      <c r="AN952" s="182"/>
      <c r="AO952" s="182"/>
      <c r="AP952" s="182"/>
      <c r="AQ952" s="182"/>
      <c r="AR952" s="182"/>
    </row>
    <row r="953" spans="1:44">
      <c r="A953" s="182"/>
      <c r="B953" s="182"/>
      <c r="C953" s="182"/>
      <c r="D953" s="182"/>
      <c r="E953" s="182"/>
      <c r="F953" s="182"/>
      <c r="G953" s="182"/>
      <c r="H953" s="182"/>
      <c r="I953" s="182"/>
      <c r="J953" s="182"/>
      <c r="K953" s="182"/>
      <c r="L953" s="182"/>
      <c r="M953" s="182"/>
      <c r="N953" s="177"/>
      <c r="O953" s="182"/>
      <c r="P953" s="179"/>
      <c r="Q953" s="182"/>
      <c r="R953" s="182"/>
      <c r="S953" s="182"/>
      <c r="T953" s="182"/>
      <c r="U953" s="182"/>
      <c r="V953" s="182"/>
      <c r="W953" s="182"/>
      <c r="X953" s="182"/>
      <c r="Y953" s="182"/>
      <c r="Z953" s="182"/>
      <c r="AA953" s="182"/>
      <c r="AB953" s="182"/>
      <c r="AC953" s="182"/>
      <c r="AD953" s="182"/>
      <c r="AE953" s="184"/>
      <c r="AF953" s="183"/>
      <c r="AG953" s="183"/>
      <c r="AH953" s="183"/>
      <c r="AI953" s="183"/>
      <c r="AJ953" s="182"/>
      <c r="AK953" s="184"/>
      <c r="AL953" s="182"/>
      <c r="AM953" s="182"/>
      <c r="AN953" s="182"/>
      <c r="AO953" s="182"/>
      <c r="AP953" s="182"/>
      <c r="AQ953" s="182"/>
      <c r="AR953" s="182"/>
    </row>
    <row r="954" spans="1:44">
      <c r="A954" s="182"/>
      <c r="B954" s="182"/>
      <c r="C954" s="182"/>
      <c r="D954" s="182"/>
      <c r="E954" s="182"/>
      <c r="F954" s="182"/>
      <c r="G954" s="182"/>
      <c r="H954" s="182"/>
      <c r="I954" s="182"/>
      <c r="J954" s="182"/>
      <c r="K954" s="182"/>
      <c r="L954" s="182"/>
      <c r="M954" s="182"/>
      <c r="N954" s="177"/>
      <c r="O954" s="182"/>
      <c r="P954" s="179"/>
      <c r="Q954" s="182"/>
      <c r="R954" s="182"/>
      <c r="S954" s="182"/>
      <c r="T954" s="182"/>
      <c r="U954" s="182"/>
      <c r="V954" s="182"/>
      <c r="W954" s="182"/>
      <c r="X954" s="182"/>
      <c r="Y954" s="182"/>
      <c r="Z954" s="182"/>
      <c r="AA954" s="182"/>
      <c r="AB954" s="182"/>
      <c r="AC954" s="182"/>
      <c r="AD954" s="182"/>
      <c r="AE954" s="184"/>
      <c r="AF954" s="183"/>
      <c r="AG954" s="183"/>
      <c r="AH954" s="183"/>
      <c r="AI954" s="183"/>
      <c r="AJ954" s="182"/>
      <c r="AK954" s="184"/>
      <c r="AL954" s="182"/>
      <c r="AM954" s="182"/>
      <c r="AN954" s="182"/>
      <c r="AO954" s="182"/>
      <c r="AP954" s="182"/>
      <c r="AQ954" s="182"/>
      <c r="AR954" s="182"/>
    </row>
    <row r="955" spans="1:44">
      <c r="A955" s="182"/>
      <c r="B955" s="182"/>
      <c r="C955" s="182"/>
      <c r="D955" s="182"/>
      <c r="E955" s="182"/>
      <c r="F955" s="182"/>
      <c r="G955" s="182"/>
      <c r="H955" s="182"/>
      <c r="I955" s="182"/>
      <c r="J955" s="182"/>
      <c r="K955" s="182"/>
      <c r="L955" s="182"/>
      <c r="M955" s="182"/>
      <c r="N955" s="177"/>
      <c r="O955" s="182"/>
      <c r="P955" s="179"/>
      <c r="Q955" s="182"/>
      <c r="R955" s="182"/>
      <c r="S955" s="182"/>
      <c r="T955" s="182"/>
      <c r="U955" s="182"/>
      <c r="V955" s="182"/>
      <c r="W955" s="182"/>
      <c r="X955" s="182"/>
      <c r="Y955" s="182"/>
      <c r="Z955" s="182"/>
      <c r="AA955" s="182"/>
      <c r="AB955" s="182"/>
      <c r="AC955" s="182"/>
      <c r="AD955" s="182"/>
      <c r="AE955" s="184"/>
      <c r="AF955" s="183"/>
      <c r="AG955" s="183"/>
      <c r="AH955" s="183"/>
      <c r="AI955" s="183"/>
      <c r="AJ955" s="182"/>
      <c r="AK955" s="184"/>
      <c r="AL955" s="182"/>
      <c r="AM955" s="182"/>
      <c r="AN955" s="182"/>
      <c r="AO955" s="182"/>
      <c r="AP955" s="182"/>
      <c r="AQ955" s="182"/>
      <c r="AR955" s="182"/>
    </row>
    <row r="956" spans="1:44">
      <c r="A956" s="182"/>
      <c r="B956" s="182"/>
      <c r="C956" s="182"/>
      <c r="D956" s="182"/>
      <c r="E956" s="182"/>
      <c r="F956" s="182"/>
      <c r="G956" s="182"/>
      <c r="H956" s="182"/>
      <c r="I956" s="182"/>
      <c r="J956" s="182"/>
      <c r="K956" s="182"/>
      <c r="L956" s="182"/>
      <c r="M956" s="182"/>
      <c r="N956" s="177"/>
      <c r="O956" s="182"/>
      <c r="P956" s="179"/>
      <c r="Q956" s="182"/>
      <c r="R956" s="182"/>
      <c r="S956" s="182"/>
      <c r="T956" s="182"/>
      <c r="U956" s="182"/>
      <c r="V956" s="182"/>
      <c r="W956" s="182"/>
      <c r="X956" s="182"/>
      <c r="Y956" s="182"/>
      <c r="Z956" s="182"/>
      <c r="AA956" s="182"/>
      <c r="AB956" s="182"/>
      <c r="AC956" s="182"/>
      <c r="AD956" s="182"/>
      <c r="AE956" s="184"/>
      <c r="AF956" s="183"/>
      <c r="AG956" s="183"/>
      <c r="AH956" s="183"/>
      <c r="AI956" s="183"/>
      <c r="AJ956" s="182"/>
      <c r="AK956" s="184"/>
      <c r="AL956" s="182"/>
      <c r="AM956" s="182"/>
      <c r="AN956" s="182"/>
      <c r="AO956" s="182"/>
      <c r="AP956" s="182"/>
      <c r="AQ956" s="182"/>
      <c r="AR956" s="182"/>
    </row>
    <row r="957" spans="1:44">
      <c r="A957" s="182"/>
      <c r="B957" s="182"/>
      <c r="C957" s="182"/>
      <c r="D957" s="182"/>
      <c r="E957" s="182"/>
      <c r="F957" s="182"/>
      <c r="G957" s="182"/>
      <c r="H957" s="182"/>
      <c r="I957" s="182"/>
      <c r="J957" s="182"/>
      <c r="K957" s="182"/>
      <c r="L957" s="182"/>
      <c r="M957" s="182"/>
      <c r="N957" s="177"/>
      <c r="O957" s="182"/>
      <c r="P957" s="179"/>
      <c r="Q957" s="182"/>
      <c r="R957" s="182"/>
      <c r="S957" s="182"/>
      <c r="T957" s="182"/>
      <c r="U957" s="182"/>
      <c r="V957" s="182"/>
      <c r="W957" s="182"/>
      <c r="X957" s="182"/>
      <c r="Y957" s="182"/>
      <c r="Z957" s="182"/>
      <c r="AA957" s="182"/>
      <c r="AB957" s="182"/>
      <c r="AC957" s="182"/>
      <c r="AD957" s="182"/>
      <c r="AE957" s="184"/>
      <c r="AF957" s="183"/>
      <c r="AG957" s="183"/>
      <c r="AH957" s="183"/>
      <c r="AI957" s="183"/>
      <c r="AJ957" s="182"/>
      <c r="AK957" s="184"/>
      <c r="AL957" s="182"/>
      <c r="AM957" s="182"/>
      <c r="AN957" s="182"/>
      <c r="AO957" s="182"/>
      <c r="AP957" s="182"/>
      <c r="AQ957" s="182"/>
      <c r="AR957" s="182"/>
    </row>
    <row r="958" spans="1:44">
      <c r="A958" s="182"/>
      <c r="B958" s="182"/>
      <c r="C958" s="182"/>
      <c r="D958" s="182"/>
      <c r="E958" s="182"/>
      <c r="F958" s="182"/>
      <c r="G958" s="182"/>
      <c r="H958" s="182"/>
      <c r="I958" s="182"/>
      <c r="J958" s="182"/>
      <c r="K958" s="182"/>
      <c r="L958" s="182"/>
      <c r="M958" s="182"/>
      <c r="N958" s="177"/>
      <c r="O958" s="182"/>
      <c r="P958" s="179"/>
      <c r="Q958" s="182"/>
      <c r="R958" s="182"/>
      <c r="S958" s="182"/>
      <c r="T958" s="182"/>
      <c r="U958" s="182"/>
      <c r="V958" s="182"/>
      <c r="W958" s="182"/>
      <c r="X958" s="182"/>
      <c r="Y958" s="182"/>
      <c r="Z958" s="182"/>
      <c r="AA958" s="182"/>
      <c r="AB958" s="182"/>
      <c r="AC958" s="182"/>
      <c r="AD958" s="182"/>
      <c r="AE958" s="184"/>
      <c r="AF958" s="183"/>
      <c r="AG958" s="183"/>
      <c r="AH958" s="183"/>
      <c r="AI958" s="183"/>
      <c r="AJ958" s="182"/>
      <c r="AK958" s="184"/>
      <c r="AL958" s="182"/>
      <c r="AM958" s="182"/>
      <c r="AN958" s="182"/>
      <c r="AO958" s="182"/>
      <c r="AP958" s="182"/>
      <c r="AQ958" s="182"/>
      <c r="AR958" s="182"/>
    </row>
    <row r="959" spans="1:44">
      <c r="A959" s="182"/>
      <c r="B959" s="182"/>
      <c r="C959" s="182"/>
      <c r="D959" s="182"/>
      <c r="E959" s="182"/>
      <c r="F959" s="182"/>
      <c r="G959" s="182"/>
      <c r="H959" s="182"/>
      <c r="I959" s="182"/>
      <c r="J959" s="182"/>
      <c r="K959" s="182"/>
      <c r="L959" s="182"/>
      <c r="M959" s="182"/>
      <c r="N959" s="177"/>
      <c r="O959" s="182"/>
      <c r="P959" s="179"/>
      <c r="Q959" s="182"/>
      <c r="R959" s="182"/>
      <c r="S959" s="182"/>
      <c r="T959" s="182"/>
      <c r="U959" s="182"/>
      <c r="V959" s="182"/>
      <c r="W959" s="182"/>
      <c r="X959" s="182"/>
      <c r="Y959" s="182"/>
      <c r="Z959" s="182"/>
      <c r="AA959" s="182"/>
      <c r="AB959" s="182"/>
      <c r="AC959" s="182"/>
      <c r="AD959" s="182"/>
      <c r="AE959" s="184"/>
      <c r="AF959" s="183"/>
      <c r="AG959" s="183"/>
      <c r="AH959" s="183"/>
      <c r="AI959" s="183"/>
      <c r="AJ959" s="182"/>
      <c r="AK959" s="184"/>
      <c r="AL959" s="182"/>
      <c r="AM959" s="182"/>
      <c r="AN959" s="182"/>
      <c r="AO959" s="182"/>
      <c r="AP959" s="182"/>
      <c r="AQ959" s="182"/>
      <c r="AR959" s="182"/>
    </row>
    <row r="960" spans="1:44">
      <c r="A960" s="182"/>
      <c r="B960" s="182"/>
      <c r="C960" s="182"/>
      <c r="D960" s="182"/>
      <c r="E960" s="182"/>
      <c r="F960" s="182"/>
      <c r="G960" s="182"/>
      <c r="H960" s="182"/>
      <c r="I960" s="182"/>
      <c r="J960" s="182"/>
      <c r="K960" s="182"/>
      <c r="L960" s="182"/>
      <c r="M960" s="182"/>
      <c r="N960" s="177"/>
      <c r="O960" s="182"/>
      <c r="P960" s="179"/>
      <c r="Q960" s="182"/>
      <c r="R960" s="182"/>
      <c r="S960" s="182"/>
      <c r="T960" s="182"/>
      <c r="U960" s="182"/>
      <c r="V960" s="182"/>
      <c r="W960" s="182"/>
      <c r="X960" s="182"/>
      <c r="Y960" s="182"/>
      <c r="Z960" s="182"/>
      <c r="AA960" s="182"/>
      <c r="AB960" s="182"/>
      <c r="AC960" s="182"/>
      <c r="AD960" s="182"/>
      <c r="AE960" s="184"/>
      <c r="AF960" s="183"/>
      <c r="AG960" s="183"/>
      <c r="AH960" s="183"/>
      <c r="AI960" s="183"/>
      <c r="AJ960" s="182"/>
      <c r="AK960" s="184"/>
      <c r="AL960" s="182"/>
      <c r="AM960" s="182"/>
      <c r="AN960" s="182"/>
      <c r="AO960" s="182"/>
      <c r="AP960" s="182"/>
      <c r="AQ960" s="182"/>
      <c r="AR960" s="182"/>
    </row>
    <row r="961" spans="1:44">
      <c r="A961" s="182"/>
      <c r="B961" s="182"/>
      <c r="C961" s="182"/>
      <c r="D961" s="182"/>
      <c r="E961" s="182"/>
      <c r="F961" s="182"/>
      <c r="G961" s="182"/>
      <c r="H961" s="182"/>
      <c r="I961" s="182"/>
      <c r="J961" s="182"/>
      <c r="K961" s="182"/>
      <c r="L961" s="182"/>
      <c r="M961" s="182"/>
      <c r="N961" s="177"/>
      <c r="O961" s="182"/>
      <c r="P961" s="179"/>
      <c r="Q961" s="182"/>
      <c r="R961" s="182"/>
      <c r="S961" s="182"/>
      <c r="T961" s="182"/>
      <c r="U961" s="182"/>
      <c r="V961" s="182"/>
      <c r="W961" s="182"/>
      <c r="X961" s="182"/>
      <c r="Y961" s="182"/>
      <c r="Z961" s="182"/>
      <c r="AA961" s="182"/>
      <c r="AB961" s="182"/>
      <c r="AC961" s="182"/>
      <c r="AD961" s="182"/>
      <c r="AE961" s="184"/>
      <c r="AF961" s="183"/>
      <c r="AG961" s="183"/>
      <c r="AH961" s="183"/>
      <c r="AI961" s="183"/>
      <c r="AJ961" s="182"/>
      <c r="AK961" s="184"/>
      <c r="AL961" s="182"/>
      <c r="AM961" s="182"/>
      <c r="AN961" s="182"/>
      <c r="AO961" s="182"/>
      <c r="AP961" s="182"/>
      <c r="AQ961" s="182"/>
      <c r="AR961" s="182"/>
    </row>
    <row r="962" spans="1:44">
      <c r="A962" s="182"/>
      <c r="B962" s="182"/>
      <c r="C962" s="182"/>
      <c r="D962" s="182"/>
      <c r="E962" s="182"/>
      <c r="F962" s="182"/>
      <c r="G962" s="182"/>
      <c r="H962" s="182"/>
      <c r="I962" s="182"/>
      <c r="J962" s="182"/>
      <c r="K962" s="182"/>
      <c r="L962" s="182"/>
      <c r="M962" s="182"/>
      <c r="N962" s="177"/>
      <c r="O962" s="182"/>
      <c r="P962" s="179"/>
      <c r="Q962" s="182"/>
      <c r="R962" s="182"/>
      <c r="S962" s="182"/>
      <c r="T962" s="182"/>
      <c r="U962" s="182"/>
      <c r="V962" s="182"/>
      <c r="W962" s="182"/>
      <c r="X962" s="182"/>
      <c r="Y962" s="182"/>
      <c r="Z962" s="182"/>
      <c r="AA962" s="182"/>
      <c r="AB962" s="182"/>
      <c r="AC962" s="182"/>
      <c r="AD962" s="182"/>
      <c r="AE962" s="184"/>
      <c r="AF962" s="183"/>
      <c r="AG962" s="183"/>
      <c r="AH962" s="183"/>
      <c r="AI962" s="183"/>
      <c r="AJ962" s="182"/>
      <c r="AK962" s="184"/>
      <c r="AL962" s="182"/>
      <c r="AM962" s="182"/>
      <c r="AN962" s="182"/>
      <c r="AO962" s="182"/>
      <c r="AP962" s="182"/>
      <c r="AQ962" s="182"/>
      <c r="AR962" s="182"/>
    </row>
    <row r="963" spans="1:44">
      <c r="A963" s="182"/>
      <c r="B963" s="182"/>
      <c r="C963" s="182"/>
      <c r="D963" s="182"/>
      <c r="E963" s="182"/>
      <c r="F963" s="182"/>
      <c r="G963" s="182"/>
      <c r="H963" s="182"/>
      <c r="I963" s="182"/>
      <c r="J963" s="182"/>
      <c r="K963" s="182"/>
      <c r="L963" s="182"/>
      <c r="M963" s="182"/>
      <c r="N963" s="177"/>
      <c r="O963" s="182"/>
      <c r="P963" s="179"/>
      <c r="Q963" s="182"/>
      <c r="R963" s="182"/>
      <c r="S963" s="182"/>
      <c r="T963" s="182"/>
      <c r="U963" s="182"/>
      <c r="V963" s="182"/>
      <c r="W963" s="182"/>
      <c r="X963" s="182"/>
      <c r="Y963" s="182"/>
      <c r="Z963" s="182"/>
      <c r="AA963" s="182"/>
      <c r="AB963" s="182"/>
      <c r="AC963" s="182"/>
      <c r="AD963" s="182"/>
      <c r="AE963" s="184"/>
      <c r="AF963" s="183"/>
      <c r="AG963" s="183"/>
      <c r="AH963" s="183"/>
      <c r="AI963" s="183"/>
      <c r="AJ963" s="182"/>
      <c r="AK963" s="184"/>
      <c r="AL963" s="182"/>
      <c r="AM963" s="182"/>
      <c r="AN963" s="182"/>
      <c r="AO963" s="182"/>
      <c r="AP963" s="182"/>
      <c r="AQ963" s="182"/>
      <c r="AR963" s="182"/>
    </row>
    <row r="964" spans="1:44">
      <c r="A964" s="182"/>
      <c r="B964" s="182"/>
      <c r="C964" s="182"/>
      <c r="D964" s="182"/>
      <c r="E964" s="182"/>
      <c r="F964" s="182"/>
      <c r="G964" s="182"/>
      <c r="H964" s="182"/>
      <c r="I964" s="182"/>
      <c r="J964" s="182"/>
      <c r="K964" s="182"/>
      <c r="L964" s="182"/>
      <c r="M964" s="182"/>
      <c r="N964" s="177"/>
      <c r="O964" s="182"/>
      <c r="P964" s="179"/>
      <c r="Q964" s="182"/>
      <c r="R964" s="182"/>
      <c r="S964" s="182"/>
      <c r="T964" s="182"/>
      <c r="U964" s="182"/>
      <c r="V964" s="182"/>
      <c r="W964" s="182"/>
      <c r="X964" s="182"/>
      <c r="Y964" s="182"/>
      <c r="Z964" s="182"/>
      <c r="AA964" s="182"/>
      <c r="AB964" s="182"/>
      <c r="AC964" s="182"/>
      <c r="AD964" s="182"/>
      <c r="AE964" s="184"/>
      <c r="AF964" s="183"/>
      <c r="AG964" s="183"/>
      <c r="AH964" s="183"/>
      <c r="AI964" s="183"/>
      <c r="AJ964" s="182"/>
      <c r="AK964" s="184"/>
      <c r="AL964" s="182"/>
      <c r="AM964" s="182"/>
      <c r="AN964" s="182"/>
      <c r="AO964" s="182"/>
      <c r="AP964" s="182"/>
      <c r="AQ964" s="182"/>
      <c r="AR964" s="182"/>
    </row>
    <row r="965" spans="1:44">
      <c r="A965" s="182"/>
      <c r="B965" s="182"/>
      <c r="C965" s="182"/>
      <c r="D965" s="182"/>
      <c r="E965" s="182"/>
      <c r="F965" s="182"/>
      <c r="G965" s="182"/>
      <c r="H965" s="182"/>
      <c r="I965" s="182"/>
      <c r="J965" s="182"/>
      <c r="K965" s="182"/>
      <c r="L965" s="182"/>
      <c r="M965" s="182"/>
      <c r="N965" s="177"/>
      <c r="O965" s="182"/>
      <c r="P965" s="179"/>
      <c r="Q965" s="182"/>
      <c r="R965" s="182"/>
      <c r="S965" s="182"/>
      <c r="T965" s="182"/>
      <c r="U965" s="182"/>
      <c r="V965" s="182"/>
      <c r="W965" s="182"/>
      <c r="X965" s="182"/>
      <c r="Y965" s="182"/>
      <c r="Z965" s="182"/>
      <c r="AA965" s="182"/>
      <c r="AB965" s="182"/>
      <c r="AC965" s="182"/>
      <c r="AD965" s="182"/>
      <c r="AE965" s="184"/>
      <c r="AF965" s="183"/>
      <c r="AG965" s="183"/>
      <c r="AH965" s="183"/>
      <c r="AI965" s="183"/>
      <c r="AJ965" s="182"/>
      <c r="AK965" s="184"/>
      <c r="AL965" s="182"/>
      <c r="AM965" s="182"/>
      <c r="AN965" s="182"/>
      <c r="AO965" s="182"/>
      <c r="AP965" s="182"/>
      <c r="AQ965" s="182"/>
      <c r="AR965" s="182"/>
    </row>
    <row r="966" spans="1:44">
      <c r="A966" s="182"/>
      <c r="B966" s="182"/>
      <c r="C966" s="182"/>
      <c r="D966" s="182"/>
      <c r="E966" s="182"/>
      <c r="F966" s="182"/>
      <c r="G966" s="182"/>
      <c r="H966" s="182"/>
      <c r="I966" s="182"/>
      <c r="J966" s="182"/>
      <c r="K966" s="182"/>
      <c r="L966" s="182"/>
      <c r="M966" s="182"/>
      <c r="N966" s="177"/>
      <c r="O966" s="182"/>
      <c r="P966" s="179"/>
      <c r="Q966" s="182"/>
      <c r="R966" s="182"/>
      <c r="S966" s="182"/>
      <c r="T966" s="182"/>
      <c r="U966" s="182"/>
      <c r="V966" s="182"/>
      <c r="W966" s="182"/>
      <c r="X966" s="182"/>
      <c r="Y966" s="182"/>
      <c r="Z966" s="182"/>
      <c r="AA966" s="182"/>
      <c r="AB966" s="182"/>
      <c r="AC966" s="182"/>
      <c r="AD966" s="182"/>
      <c r="AE966" s="184"/>
      <c r="AF966" s="183"/>
      <c r="AG966" s="183"/>
      <c r="AH966" s="183"/>
      <c r="AI966" s="183"/>
      <c r="AJ966" s="182"/>
      <c r="AK966" s="184"/>
      <c r="AL966" s="182"/>
      <c r="AM966" s="182"/>
      <c r="AN966" s="182"/>
      <c r="AO966" s="182"/>
      <c r="AP966" s="182"/>
      <c r="AQ966" s="182"/>
      <c r="AR966" s="182"/>
    </row>
    <row r="967" spans="1:44">
      <c r="A967" s="182"/>
      <c r="B967" s="182"/>
      <c r="C967" s="182"/>
      <c r="D967" s="182"/>
      <c r="E967" s="182"/>
      <c r="F967" s="182"/>
      <c r="G967" s="182"/>
      <c r="H967" s="182"/>
      <c r="I967" s="182"/>
      <c r="J967" s="182"/>
      <c r="K967" s="182"/>
      <c r="L967" s="182"/>
      <c r="M967" s="182"/>
      <c r="N967" s="177"/>
      <c r="O967" s="182"/>
      <c r="P967" s="179"/>
      <c r="Q967" s="182"/>
      <c r="R967" s="182"/>
      <c r="S967" s="182"/>
      <c r="T967" s="182"/>
      <c r="U967" s="182"/>
      <c r="V967" s="182"/>
      <c r="W967" s="182"/>
      <c r="X967" s="182"/>
      <c r="Y967" s="182"/>
      <c r="Z967" s="182"/>
      <c r="AA967" s="182"/>
      <c r="AB967" s="182"/>
      <c r="AC967" s="182"/>
      <c r="AD967" s="182"/>
      <c r="AE967" s="184"/>
      <c r="AF967" s="183"/>
      <c r="AG967" s="183"/>
      <c r="AH967" s="183"/>
      <c r="AI967" s="183"/>
      <c r="AJ967" s="182"/>
      <c r="AK967" s="184"/>
      <c r="AL967" s="182"/>
      <c r="AM967" s="182"/>
      <c r="AN967" s="182"/>
      <c r="AO967" s="182"/>
      <c r="AP967" s="182"/>
      <c r="AQ967" s="182"/>
      <c r="AR967" s="182"/>
    </row>
    <row r="968" spans="1:44">
      <c r="A968" s="182"/>
      <c r="B968" s="182"/>
      <c r="C968" s="182"/>
      <c r="D968" s="182"/>
      <c r="E968" s="182"/>
      <c r="F968" s="182"/>
      <c r="G968" s="182"/>
      <c r="H968" s="182"/>
      <c r="I968" s="182"/>
      <c r="J968" s="182"/>
      <c r="K968" s="182"/>
      <c r="L968" s="182"/>
      <c r="M968" s="182"/>
      <c r="N968" s="177"/>
      <c r="O968" s="182"/>
      <c r="P968" s="179"/>
      <c r="Q968" s="182"/>
      <c r="R968" s="182"/>
      <c r="S968" s="182"/>
      <c r="T968" s="182"/>
      <c r="U968" s="182"/>
      <c r="V968" s="182"/>
      <c r="W968" s="182"/>
      <c r="X968" s="182"/>
      <c r="Y968" s="182"/>
      <c r="Z968" s="182"/>
      <c r="AA968" s="182"/>
      <c r="AB968" s="182"/>
      <c r="AC968" s="182"/>
      <c r="AD968" s="182"/>
      <c r="AE968" s="184"/>
      <c r="AF968" s="183"/>
      <c r="AG968" s="183"/>
      <c r="AH968" s="183"/>
      <c r="AI968" s="183"/>
      <c r="AJ968" s="182"/>
      <c r="AK968" s="184"/>
      <c r="AL968" s="182"/>
      <c r="AM968" s="182"/>
      <c r="AN968" s="182"/>
      <c r="AO968" s="182"/>
      <c r="AP968" s="182"/>
      <c r="AQ968" s="182"/>
      <c r="AR968" s="182"/>
    </row>
    <row r="969" spans="1:44">
      <c r="A969" s="182"/>
      <c r="B969" s="182"/>
      <c r="C969" s="182"/>
      <c r="D969" s="182"/>
      <c r="E969" s="182"/>
      <c r="F969" s="182"/>
      <c r="G969" s="182"/>
      <c r="H969" s="182"/>
      <c r="I969" s="182"/>
      <c r="J969" s="182"/>
      <c r="K969" s="182"/>
      <c r="L969" s="182"/>
      <c r="M969" s="182"/>
      <c r="N969" s="177"/>
      <c r="O969" s="182"/>
      <c r="P969" s="179"/>
      <c r="Q969" s="182"/>
      <c r="R969" s="182"/>
      <c r="S969" s="182"/>
      <c r="T969" s="182"/>
      <c r="U969" s="182"/>
      <c r="V969" s="182"/>
      <c r="W969" s="182"/>
      <c r="X969" s="182"/>
      <c r="Y969" s="182"/>
      <c r="Z969" s="182"/>
      <c r="AA969" s="182"/>
      <c r="AB969" s="182"/>
      <c r="AC969" s="182"/>
      <c r="AD969" s="182"/>
      <c r="AE969" s="184"/>
      <c r="AF969" s="183"/>
      <c r="AG969" s="183"/>
      <c r="AH969" s="183"/>
      <c r="AI969" s="183"/>
      <c r="AJ969" s="182"/>
      <c r="AK969" s="184"/>
      <c r="AL969" s="182"/>
      <c r="AM969" s="182"/>
      <c r="AN969" s="182"/>
      <c r="AO969" s="182"/>
      <c r="AP969" s="182"/>
      <c r="AQ969" s="182"/>
      <c r="AR969" s="182"/>
    </row>
    <row r="970" spans="1:44">
      <c r="A970" s="182"/>
      <c r="B970" s="182"/>
      <c r="C970" s="182"/>
      <c r="D970" s="182"/>
      <c r="E970" s="182"/>
      <c r="F970" s="182"/>
      <c r="G970" s="182"/>
      <c r="H970" s="182"/>
      <c r="I970" s="182"/>
      <c r="J970" s="182"/>
      <c r="K970" s="182"/>
      <c r="L970" s="182"/>
      <c r="M970" s="182"/>
      <c r="N970" s="177"/>
      <c r="O970" s="182"/>
      <c r="P970" s="179"/>
      <c r="Q970" s="182"/>
      <c r="R970" s="182"/>
      <c r="S970" s="182"/>
      <c r="T970" s="182"/>
      <c r="U970" s="182"/>
      <c r="V970" s="182"/>
      <c r="W970" s="182"/>
      <c r="X970" s="182"/>
      <c r="Y970" s="182"/>
      <c r="Z970" s="182"/>
      <c r="AA970" s="182"/>
      <c r="AB970" s="182"/>
      <c r="AC970" s="182"/>
      <c r="AD970" s="182"/>
      <c r="AE970" s="184"/>
      <c r="AF970" s="183"/>
      <c r="AG970" s="183"/>
      <c r="AH970" s="183"/>
      <c r="AI970" s="183"/>
      <c r="AJ970" s="182"/>
      <c r="AK970" s="184"/>
      <c r="AL970" s="182"/>
      <c r="AM970" s="182"/>
      <c r="AN970" s="182"/>
      <c r="AO970" s="182"/>
      <c r="AP970" s="182"/>
      <c r="AQ970" s="182"/>
      <c r="AR970" s="182"/>
    </row>
    <row r="971" spans="1:44">
      <c r="A971" s="182"/>
      <c r="B971" s="182"/>
      <c r="C971" s="182"/>
      <c r="D971" s="182"/>
      <c r="E971" s="182"/>
      <c r="F971" s="182"/>
      <c r="G971" s="182"/>
      <c r="H971" s="182"/>
      <c r="I971" s="182"/>
      <c r="J971" s="182"/>
      <c r="K971" s="182"/>
      <c r="L971" s="182"/>
      <c r="M971" s="182"/>
      <c r="N971" s="177"/>
      <c r="O971" s="182"/>
      <c r="P971" s="179"/>
      <c r="Q971" s="182"/>
      <c r="R971" s="182"/>
      <c r="S971" s="182"/>
      <c r="T971" s="182"/>
      <c r="U971" s="182"/>
      <c r="V971" s="182"/>
      <c r="W971" s="182"/>
      <c r="X971" s="182"/>
      <c r="Y971" s="182"/>
      <c r="Z971" s="182"/>
      <c r="AA971" s="182"/>
      <c r="AB971" s="182"/>
      <c r="AC971" s="182"/>
      <c r="AD971" s="182"/>
      <c r="AE971" s="184"/>
      <c r="AF971" s="183"/>
      <c r="AG971" s="183"/>
      <c r="AH971" s="183"/>
      <c r="AI971" s="183"/>
      <c r="AJ971" s="182"/>
      <c r="AK971" s="184"/>
      <c r="AL971" s="182"/>
      <c r="AM971" s="182"/>
      <c r="AN971" s="182"/>
      <c r="AO971" s="182"/>
      <c r="AP971" s="182"/>
      <c r="AQ971" s="182"/>
      <c r="AR971" s="182"/>
    </row>
    <row r="972" spans="1:44">
      <c r="A972" s="182"/>
      <c r="B972" s="182"/>
      <c r="C972" s="182"/>
      <c r="D972" s="182"/>
      <c r="E972" s="182"/>
      <c r="F972" s="182"/>
      <c r="G972" s="182"/>
      <c r="H972" s="182"/>
      <c r="I972" s="182"/>
      <c r="J972" s="182"/>
      <c r="K972" s="182"/>
      <c r="L972" s="182"/>
      <c r="M972" s="182"/>
      <c r="N972" s="177"/>
      <c r="O972" s="182"/>
      <c r="P972" s="179"/>
      <c r="Q972" s="182"/>
      <c r="R972" s="182"/>
      <c r="S972" s="182"/>
      <c r="T972" s="182"/>
      <c r="U972" s="182"/>
      <c r="V972" s="182"/>
      <c r="W972" s="182"/>
      <c r="X972" s="182"/>
      <c r="Y972" s="182"/>
      <c r="Z972" s="182"/>
      <c r="AA972" s="182"/>
      <c r="AB972" s="182"/>
      <c r="AC972" s="182"/>
      <c r="AD972" s="182"/>
      <c r="AE972" s="184"/>
      <c r="AF972" s="183"/>
      <c r="AG972" s="183"/>
      <c r="AH972" s="183"/>
      <c r="AI972" s="183"/>
      <c r="AJ972" s="182"/>
      <c r="AK972" s="184"/>
      <c r="AL972" s="182"/>
      <c r="AM972" s="182"/>
      <c r="AN972" s="182"/>
      <c r="AO972" s="182"/>
      <c r="AP972" s="182"/>
      <c r="AQ972" s="182"/>
      <c r="AR972" s="182"/>
    </row>
    <row r="973" spans="1:44">
      <c r="A973" s="182"/>
      <c r="B973" s="182"/>
      <c r="C973" s="182"/>
      <c r="D973" s="182"/>
      <c r="E973" s="182"/>
      <c r="F973" s="182"/>
      <c r="G973" s="182"/>
      <c r="H973" s="182"/>
      <c r="I973" s="182"/>
      <c r="J973" s="182"/>
      <c r="K973" s="182"/>
      <c r="L973" s="182"/>
      <c r="M973" s="182"/>
      <c r="N973" s="177"/>
      <c r="O973" s="182"/>
      <c r="P973" s="179"/>
      <c r="Q973" s="182"/>
      <c r="R973" s="182"/>
      <c r="S973" s="182"/>
      <c r="T973" s="182"/>
      <c r="U973" s="182"/>
      <c r="V973" s="182"/>
      <c r="W973" s="182"/>
      <c r="X973" s="182"/>
      <c r="Y973" s="182"/>
      <c r="Z973" s="182"/>
      <c r="AA973" s="182"/>
      <c r="AB973" s="182"/>
      <c r="AC973" s="182"/>
      <c r="AD973" s="182"/>
      <c r="AE973" s="184"/>
      <c r="AF973" s="183"/>
      <c r="AG973" s="183"/>
      <c r="AH973" s="183"/>
      <c r="AI973" s="183"/>
      <c r="AJ973" s="182"/>
      <c r="AK973" s="184"/>
      <c r="AL973" s="182"/>
      <c r="AM973" s="182"/>
      <c r="AN973" s="182"/>
      <c r="AO973" s="182"/>
      <c r="AP973" s="182"/>
      <c r="AQ973" s="182"/>
      <c r="AR973" s="182"/>
    </row>
    <row r="974" spans="1:44">
      <c r="A974" s="182"/>
      <c r="B974" s="182"/>
      <c r="C974" s="182"/>
      <c r="D974" s="182"/>
      <c r="E974" s="182"/>
      <c r="F974" s="182"/>
      <c r="G974" s="182"/>
      <c r="H974" s="182"/>
      <c r="I974" s="182"/>
      <c r="J974" s="182"/>
      <c r="K974" s="182"/>
      <c r="L974" s="182"/>
      <c r="M974" s="182"/>
      <c r="N974" s="177"/>
      <c r="O974" s="182"/>
      <c r="P974" s="179"/>
      <c r="Q974" s="182"/>
      <c r="R974" s="182"/>
      <c r="S974" s="182"/>
      <c r="T974" s="182"/>
      <c r="U974" s="182"/>
      <c r="V974" s="182"/>
      <c r="W974" s="182"/>
      <c r="X974" s="182"/>
      <c r="Y974" s="182"/>
      <c r="Z974" s="182"/>
      <c r="AA974" s="182"/>
      <c r="AB974" s="182"/>
      <c r="AC974" s="182"/>
      <c r="AD974" s="182"/>
      <c r="AE974" s="184"/>
      <c r="AF974" s="183"/>
      <c r="AG974" s="183"/>
      <c r="AH974" s="183"/>
      <c r="AI974" s="183"/>
      <c r="AJ974" s="182"/>
      <c r="AK974" s="184"/>
      <c r="AL974" s="182"/>
      <c r="AM974" s="182"/>
      <c r="AN974" s="182"/>
      <c r="AO974" s="182"/>
      <c r="AP974" s="182"/>
      <c r="AQ974" s="182"/>
      <c r="AR974" s="182"/>
    </row>
    <row r="975" spans="1:44">
      <c r="A975" s="182"/>
      <c r="B975" s="182"/>
      <c r="C975" s="182"/>
      <c r="D975" s="182"/>
      <c r="E975" s="182"/>
      <c r="F975" s="182"/>
      <c r="G975" s="182"/>
      <c r="H975" s="182"/>
      <c r="I975" s="182"/>
      <c r="J975" s="182"/>
      <c r="K975" s="182"/>
      <c r="L975" s="182"/>
      <c r="M975" s="182"/>
      <c r="N975" s="177"/>
      <c r="O975" s="182"/>
      <c r="P975" s="179"/>
      <c r="Q975" s="182"/>
      <c r="R975" s="182"/>
      <c r="S975" s="182"/>
      <c r="T975" s="182"/>
      <c r="U975" s="182"/>
      <c r="V975" s="182"/>
      <c r="W975" s="182"/>
      <c r="X975" s="182"/>
      <c r="Y975" s="182"/>
      <c r="Z975" s="182"/>
      <c r="AA975" s="182"/>
      <c r="AB975" s="182"/>
      <c r="AC975" s="182"/>
      <c r="AD975" s="182"/>
      <c r="AE975" s="184"/>
      <c r="AF975" s="183"/>
      <c r="AG975" s="183"/>
      <c r="AH975" s="183"/>
      <c r="AI975" s="183"/>
      <c r="AJ975" s="182"/>
      <c r="AK975" s="184"/>
      <c r="AL975" s="182"/>
      <c r="AM975" s="182"/>
      <c r="AN975" s="182"/>
      <c r="AO975" s="182"/>
      <c r="AP975" s="182"/>
      <c r="AQ975" s="182"/>
      <c r="AR975" s="182"/>
    </row>
    <row r="976" spans="1:44">
      <c r="A976" s="182"/>
      <c r="B976" s="182"/>
      <c r="C976" s="182"/>
      <c r="D976" s="182"/>
      <c r="E976" s="182"/>
      <c r="F976" s="182"/>
      <c r="G976" s="182"/>
      <c r="H976" s="182"/>
      <c r="I976" s="182"/>
      <c r="J976" s="182"/>
      <c r="K976" s="182"/>
      <c r="L976" s="182"/>
      <c r="M976" s="182"/>
      <c r="N976" s="177"/>
      <c r="O976" s="182"/>
      <c r="P976" s="179"/>
      <c r="Q976" s="182"/>
      <c r="R976" s="182"/>
      <c r="S976" s="182"/>
      <c r="T976" s="182"/>
      <c r="U976" s="182"/>
      <c r="V976" s="182"/>
      <c r="W976" s="182"/>
      <c r="X976" s="182"/>
      <c r="Y976" s="182"/>
      <c r="Z976" s="182"/>
      <c r="AA976" s="182"/>
      <c r="AB976" s="182"/>
      <c r="AC976" s="182"/>
      <c r="AD976" s="182"/>
      <c r="AE976" s="184"/>
      <c r="AF976" s="183"/>
      <c r="AG976" s="183"/>
      <c r="AH976" s="183"/>
      <c r="AI976" s="183"/>
      <c r="AJ976" s="182"/>
      <c r="AK976" s="184"/>
      <c r="AL976" s="182"/>
      <c r="AM976" s="182"/>
      <c r="AN976" s="182"/>
      <c r="AO976" s="182"/>
      <c r="AP976" s="182"/>
      <c r="AQ976" s="182"/>
      <c r="AR976" s="182"/>
    </row>
    <row r="977" spans="1:44">
      <c r="A977" s="182"/>
      <c r="B977" s="182"/>
      <c r="C977" s="182"/>
      <c r="D977" s="182"/>
      <c r="E977" s="182"/>
      <c r="F977" s="182"/>
      <c r="G977" s="182"/>
      <c r="H977" s="182"/>
      <c r="I977" s="182"/>
      <c r="J977" s="182"/>
      <c r="K977" s="182"/>
      <c r="L977" s="182"/>
      <c r="M977" s="182"/>
      <c r="N977" s="177"/>
      <c r="O977" s="182"/>
      <c r="P977" s="179"/>
      <c r="Q977" s="182"/>
      <c r="R977" s="182"/>
      <c r="S977" s="182"/>
      <c r="T977" s="182"/>
      <c r="U977" s="182"/>
      <c r="V977" s="182"/>
      <c r="W977" s="182"/>
      <c r="X977" s="182"/>
      <c r="Y977" s="182"/>
      <c r="Z977" s="182"/>
      <c r="AA977" s="182"/>
      <c r="AB977" s="182"/>
      <c r="AC977" s="182"/>
      <c r="AD977" s="182"/>
      <c r="AE977" s="184"/>
      <c r="AF977" s="183"/>
      <c r="AG977" s="183"/>
      <c r="AH977" s="183"/>
      <c r="AI977" s="183"/>
      <c r="AJ977" s="182"/>
      <c r="AK977" s="184"/>
      <c r="AL977" s="182"/>
      <c r="AM977" s="182"/>
      <c r="AN977" s="182"/>
      <c r="AO977" s="182"/>
      <c r="AP977" s="182"/>
      <c r="AQ977" s="182"/>
      <c r="AR977" s="182"/>
    </row>
    <row r="978" spans="1:44">
      <c r="A978" s="182"/>
      <c r="B978" s="182"/>
      <c r="C978" s="182"/>
      <c r="D978" s="182"/>
      <c r="E978" s="182"/>
      <c r="F978" s="182"/>
      <c r="G978" s="182"/>
      <c r="H978" s="182"/>
      <c r="I978" s="182"/>
      <c r="J978" s="182"/>
      <c r="K978" s="182"/>
      <c r="L978" s="182"/>
      <c r="M978" s="182"/>
      <c r="N978" s="177"/>
      <c r="O978" s="182"/>
      <c r="P978" s="179"/>
      <c r="Q978" s="182"/>
      <c r="R978" s="182"/>
      <c r="S978" s="182"/>
      <c r="T978" s="182"/>
      <c r="U978" s="182"/>
      <c r="V978" s="182"/>
      <c r="W978" s="182"/>
      <c r="X978" s="182"/>
      <c r="Y978" s="182"/>
      <c r="Z978" s="182"/>
      <c r="AA978" s="182"/>
      <c r="AB978" s="182"/>
      <c r="AC978" s="182"/>
      <c r="AD978" s="182"/>
      <c r="AE978" s="184"/>
      <c r="AF978" s="183"/>
      <c r="AG978" s="183"/>
      <c r="AH978" s="183"/>
      <c r="AI978" s="183"/>
      <c r="AJ978" s="182"/>
      <c r="AK978" s="184"/>
      <c r="AL978" s="182"/>
      <c r="AM978" s="182"/>
      <c r="AN978" s="182"/>
      <c r="AO978" s="182"/>
      <c r="AP978" s="182"/>
      <c r="AQ978" s="182"/>
      <c r="AR978" s="182"/>
    </row>
    <row r="979" spans="1:44">
      <c r="A979" s="182"/>
      <c r="B979" s="182"/>
      <c r="C979" s="182"/>
      <c r="D979" s="182"/>
      <c r="E979" s="182"/>
      <c r="F979" s="182"/>
      <c r="G979" s="182"/>
      <c r="H979" s="182"/>
      <c r="I979" s="182"/>
      <c r="J979" s="182"/>
      <c r="K979" s="182"/>
      <c r="L979" s="182"/>
      <c r="M979" s="182"/>
      <c r="N979" s="177"/>
      <c r="O979" s="182"/>
      <c r="P979" s="179"/>
      <c r="Q979" s="182"/>
      <c r="R979" s="182"/>
      <c r="S979" s="182"/>
      <c r="T979" s="182"/>
      <c r="U979" s="182"/>
      <c r="V979" s="182"/>
      <c r="W979" s="182"/>
      <c r="X979" s="182"/>
      <c r="Y979" s="182"/>
      <c r="Z979" s="182"/>
      <c r="AA979" s="182"/>
      <c r="AB979" s="182"/>
      <c r="AC979" s="182"/>
      <c r="AD979" s="182"/>
      <c r="AE979" s="184"/>
      <c r="AF979" s="183"/>
      <c r="AG979" s="183"/>
      <c r="AH979" s="183"/>
      <c r="AI979" s="183"/>
      <c r="AJ979" s="182"/>
      <c r="AK979" s="184"/>
      <c r="AL979" s="182"/>
      <c r="AM979" s="182"/>
      <c r="AN979" s="182"/>
      <c r="AO979" s="182"/>
      <c r="AP979" s="182"/>
      <c r="AQ979" s="182"/>
      <c r="AR979" s="182"/>
    </row>
    <row r="980" spans="1:44">
      <c r="A980" s="182"/>
      <c r="B980" s="182"/>
      <c r="C980" s="182"/>
      <c r="D980" s="182"/>
      <c r="E980" s="182"/>
      <c r="F980" s="182"/>
      <c r="G980" s="182"/>
      <c r="H980" s="182"/>
      <c r="I980" s="182"/>
      <c r="J980" s="182"/>
      <c r="K980" s="182"/>
      <c r="L980" s="182"/>
      <c r="M980" s="182"/>
      <c r="N980" s="177"/>
      <c r="O980" s="182"/>
      <c r="P980" s="179"/>
      <c r="Q980" s="182"/>
      <c r="R980" s="182"/>
      <c r="S980" s="182"/>
      <c r="T980" s="182"/>
      <c r="U980" s="182"/>
      <c r="V980" s="182"/>
      <c r="W980" s="182"/>
      <c r="X980" s="182"/>
      <c r="Y980" s="182"/>
      <c r="Z980" s="182"/>
      <c r="AA980" s="182"/>
      <c r="AB980" s="182"/>
      <c r="AC980" s="182"/>
      <c r="AD980" s="182"/>
      <c r="AE980" s="184"/>
      <c r="AF980" s="183"/>
      <c r="AG980" s="183"/>
      <c r="AH980" s="183"/>
      <c r="AI980" s="183"/>
      <c r="AJ980" s="182"/>
      <c r="AK980" s="184"/>
      <c r="AL980" s="182"/>
      <c r="AM980" s="182"/>
      <c r="AN980" s="182"/>
      <c r="AO980" s="182"/>
      <c r="AP980" s="182"/>
      <c r="AQ980" s="182"/>
      <c r="AR980" s="182"/>
    </row>
    <row r="981" spans="1:44">
      <c r="A981" s="182"/>
      <c r="B981" s="182"/>
      <c r="C981" s="182"/>
      <c r="D981" s="182"/>
      <c r="E981" s="182"/>
      <c r="F981" s="182"/>
      <c r="G981" s="182"/>
      <c r="H981" s="182"/>
      <c r="I981" s="182"/>
      <c r="J981" s="182"/>
      <c r="K981" s="182"/>
      <c r="L981" s="182"/>
      <c r="M981" s="182"/>
      <c r="N981" s="177"/>
      <c r="O981" s="182"/>
      <c r="P981" s="179"/>
      <c r="Q981" s="182"/>
      <c r="R981" s="182"/>
      <c r="S981" s="182"/>
      <c r="T981" s="182"/>
      <c r="U981" s="182"/>
      <c r="V981" s="182"/>
      <c r="W981" s="182"/>
      <c r="X981" s="182"/>
      <c r="Y981" s="182"/>
      <c r="Z981" s="182"/>
      <c r="AA981" s="182"/>
      <c r="AB981" s="182"/>
      <c r="AC981" s="182"/>
      <c r="AD981" s="182"/>
      <c r="AE981" s="184"/>
      <c r="AF981" s="183"/>
      <c r="AG981" s="183"/>
      <c r="AH981" s="183"/>
      <c r="AI981" s="183"/>
      <c r="AJ981" s="182"/>
      <c r="AK981" s="184"/>
      <c r="AL981" s="182"/>
      <c r="AM981" s="182"/>
      <c r="AN981" s="182"/>
      <c r="AO981" s="182"/>
      <c r="AP981" s="182"/>
      <c r="AQ981" s="182"/>
      <c r="AR981" s="182"/>
    </row>
    <row r="982" spans="1:44">
      <c r="A982" s="182"/>
      <c r="B982" s="182"/>
      <c r="C982" s="182"/>
      <c r="D982" s="182"/>
      <c r="E982" s="182"/>
      <c r="F982" s="182"/>
      <c r="G982" s="182"/>
      <c r="H982" s="182"/>
      <c r="I982" s="182"/>
      <c r="J982" s="182"/>
      <c r="K982" s="182"/>
      <c r="L982" s="182"/>
      <c r="M982" s="182"/>
      <c r="N982" s="177"/>
      <c r="O982" s="182"/>
      <c r="P982" s="179"/>
      <c r="Q982" s="182"/>
      <c r="R982" s="182"/>
      <c r="S982" s="182"/>
      <c r="T982" s="182"/>
      <c r="U982" s="182"/>
      <c r="V982" s="182"/>
      <c r="W982" s="182"/>
      <c r="X982" s="182"/>
      <c r="Y982" s="182"/>
      <c r="Z982" s="182"/>
      <c r="AA982" s="182"/>
      <c r="AB982" s="182"/>
      <c r="AC982" s="182"/>
      <c r="AD982" s="182"/>
      <c r="AE982" s="184"/>
      <c r="AF982" s="183"/>
      <c r="AG982" s="183"/>
      <c r="AH982" s="183"/>
      <c r="AI982" s="183"/>
      <c r="AJ982" s="182"/>
      <c r="AK982" s="184"/>
      <c r="AL982" s="182"/>
      <c r="AM982" s="182"/>
      <c r="AN982" s="182"/>
      <c r="AO982" s="182"/>
      <c r="AP982" s="182"/>
      <c r="AQ982" s="182"/>
      <c r="AR982" s="182"/>
    </row>
    <row r="983" spans="1:44">
      <c r="A983" s="182"/>
      <c r="B983" s="182"/>
      <c r="C983" s="182"/>
      <c r="D983" s="182"/>
      <c r="E983" s="182"/>
      <c r="F983" s="182"/>
      <c r="G983" s="182"/>
      <c r="H983" s="182"/>
      <c r="I983" s="182"/>
      <c r="J983" s="182"/>
      <c r="K983" s="182"/>
      <c r="L983" s="182"/>
      <c r="M983" s="182"/>
      <c r="N983" s="177"/>
      <c r="O983" s="182"/>
      <c r="P983" s="179"/>
      <c r="Q983" s="182"/>
      <c r="R983" s="182"/>
      <c r="S983" s="182"/>
      <c r="T983" s="182"/>
      <c r="U983" s="182"/>
      <c r="V983" s="182"/>
      <c r="W983" s="182"/>
      <c r="X983" s="182"/>
      <c r="Y983" s="182"/>
      <c r="Z983" s="182"/>
      <c r="AA983" s="182"/>
      <c r="AB983" s="182"/>
      <c r="AC983" s="182"/>
      <c r="AD983" s="182"/>
      <c r="AE983" s="184"/>
      <c r="AF983" s="183"/>
      <c r="AG983" s="183"/>
      <c r="AH983" s="183"/>
      <c r="AI983" s="183"/>
      <c r="AJ983" s="182"/>
      <c r="AK983" s="184"/>
      <c r="AL983" s="182"/>
      <c r="AM983" s="182"/>
      <c r="AN983" s="182"/>
      <c r="AO983" s="182"/>
      <c r="AP983" s="182"/>
      <c r="AQ983" s="182"/>
      <c r="AR983" s="182"/>
    </row>
    <row r="984" spans="1:44">
      <c r="A984" s="182"/>
      <c r="B984" s="182"/>
      <c r="C984" s="182"/>
      <c r="D984" s="182"/>
      <c r="E984" s="182"/>
      <c r="F984" s="182"/>
      <c r="G984" s="182"/>
      <c r="H984" s="182"/>
      <c r="I984" s="182"/>
      <c r="J984" s="182"/>
      <c r="K984" s="182"/>
      <c r="L984" s="182"/>
      <c r="M984" s="182"/>
      <c r="N984" s="177"/>
      <c r="O984" s="182"/>
      <c r="P984" s="179"/>
      <c r="Q984" s="182"/>
      <c r="R984" s="182"/>
      <c r="S984" s="182"/>
      <c r="T984" s="182"/>
      <c r="U984" s="182"/>
      <c r="V984" s="182"/>
      <c r="W984" s="182"/>
      <c r="X984" s="182"/>
      <c r="Y984" s="182"/>
      <c r="Z984" s="182"/>
      <c r="AA984" s="182"/>
      <c r="AB984" s="182"/>
      <c r="AC984" s="182"/>
      <c r="AD984" s="182"/>
      <c r="AE984" s="184"/>
      <c r="AF984" s="183"/>
      <c r="AG984" s="183"/>
      <c r="AH984" s="183"/>
      <c r="AI984" s="183"/>
      <c r="AJ984" s="182"/>
      <c r="AK984" s="184"/>
      <c r="AL984" s="182"/>
      <c r="AM984" s="182"/>
      <c r="AN984" s="182"/>
      <c r="AO984" s="182"/>
      <c r="AP984" s="182"/>
      <c r="AQ984" s="182"/>
      <c r="AR984" s="182"/>
    </row>
    <row r="985" spans="1:44">
      <c r="A985" s="182"/>
      <c r="B985" s="182"/>
      <c r="C985" s="182"/>
      <c r="D985" s="182"/>
      <c r="E985" s="182"/>
      <c r="F985" s="182"/>
      <c r="G985" s="182"/>
      <c r="H985" s="182"/>
      <c r="I985" s="182"/>
      <c r="J985" s="182"/>
      <c r="K985" s="182"/>
      <c r="L985" s="182"/>
      <c r="M985" s="182"/>
      <c r="N985" s="177"/>
      <c r="O985" s="182"/>
      <c r="P985" s="179"/>
      <c r="Q985" s="182"/>
      <c r="R985" s="182"/>
      <c r="S985" s="182"/>
      <c r="T985" s="182"/>
      <c r="U985" s="182"/>
      <c r="V985" s="182"/>
      <c r="W985" s="182"/>
      <c r="X985" s="182"/>
      <c r="Y985" s="182"/>
      <c r="Z985" s="182"/>
      <c r="AA985" s="182"/>
      <c r="AB985" s="182"/>
      <c r="AC985" s="182"/>
      <c r="AD985" s="182"/>
      <c r="AE985" s="184"/>
      <c r="AF985" s="183"/>
      <c r="AG985" s="183"/>
      <c r="AH985" s="183"/>
      <c r="AI985" s="183"/>
      <c r="AJ985" s="182"/>
      <c r="AK985" s="184"/>
      <c r="AL985" s="182"/>
      <c r="AM985" s="182"/>
      <c r="AN985" s="182"/>
      <c r="AO985" s="182"/>
      <c r="AP985" s="182"/>
      <c r="AQ985" s="182"/>
      <c r="AR985" s="182"/>
    </row>
    <row r="986" spans="1:44">
      <c r="A986" s="182"/>
      <c r="B986" s="182"/>
      <c r="C986" s="182"/>
      <c r="D986" s="182"/>
      <c r="E986" s="182"/>
      <c r="F986" s="182"/>
      <c r="G986" s="182"/>
      <c r="H986" s="182"/>
      <c r="I986" s="182"/>
      <c r="J986" s="182"/>
      <c r="K986" s="182"/>
      <c r="L986" s="182"/>
      <c r="M986" s="182"/>
      <c r="N986" s="177"/>
      <c r="O986" s="182"/>
      <c r="P986" s="179"/>
      <c r="Q986" s="182"/>
      <c r="R986" s="182"/>
      <c r="S986" s="182"/>
      <c r="T986" s="182"/>
      <c r="U986" s="182"/>
      <c r="V986" s="182"/>
      <c r="W986" s="182"/>
      <c r="X986" s="182"/>
      <c r="Y986" s="182"/>
      <c r="Z986" s="182"/>
      <c r="AA986" s="182"/>
      <c r="AB986" s="182"/>
      <c r="AC986" s="182"/>
      <c r="AD986" s="182"/>
      <c r="AE986" s="184"/>
      <c r="AF986" s="183"/>
      <c r="AG986" s="183"/>
      <c r="AH986" s="183"/>
      <c r="AI986" s="183"/>
      <c r="AJ986" s="182"/>
      <c r="AK986" s="184"/>
      <c r="AL986" s="182"/>
      <c r="AM986" s="182"/>
      <c r="AN986" s="182"/>
      <c r="AO986" s="182"/>
      <c r="AP986" s="182"/>
      <c r="AQ986" s="182"/>
      <c r="AR986" s="182"/>
    </row>
    <row r="987" spans="1:44">
      <c r="A987" s="182"/>
      <c r="B987" s="182"/>
      <c r="C987" s="182"/>
      <c r="D987" s="182"/>
      <c r="E987" s="182"/>
      <c r="F987" s="182"/>
      <c r="G987" s="182"/>
      <c r="H987" s="182"/>
      <c r="I987" s="182"/>
      <c r="J987" s="182"/>
      <c r="K987" s="182"/>
      <c r="L987" s="182"/>
      <c r="M987" s="182"/>
      <c r="N987" s="177"/>
      <c r="O987" s="182"/>
      <c r="P987" s="179"/>
      <c r="Q987" s="182"/>
      <c r="R987" s="182"/>
      <c r="S987" s="182"/>
      <c r="T987" s="182"/>
      <c r="U987" s="182"/>
      <c r="V987" s="182"/>
      <c r="W987" s="182"/>
      <c r="X987" s="182"/>
      <c r="Y987" s="182"/>
      <c r="Z987" s="182"/>
      <c r="AA987" s="182"/>
      <c r="AB987" s="182"/>
      <c r="AC987" s="182"/>
      <c r="AD987" s="182"/>
      <c r="AE987" s="184"/>
      <c r="AF987" s="183"/>
      <c r="AG987" s="183"/>
      <c r="AH987" s="183"/>
      <c r="AI987" s="183"/>
      <c r="AJ987" s="182"/>
      <c r="AK987" s="184"/>
      <c r="AL987" s="182"/>
      <c r="AM987" s="182"/>
      <c r="AN987" s="182"/>
      <c r="AO987" s="182"/>
      <c r="AP987" s="182"/>
      <c r="AQ987" s="182"/>
      <c r="AR987" s="182"/>
    </row>
    <row r="988" spans="1:44">
      <c r="A988" s="182"/>
      <c r="B988" s="182"/>
      <c r="C988" s="182"/>
      <c r="D988" s="182"/>
      <c r="E988" s="182"/>
      <c r="F988" s="182"/>
      <c r="G988" s="182"/>
      <c r="H988" s="182"/>
      <c r="I988" s="182"/>
      <c r="J988" s="182"/>
      <c r="K988" s="182"/>
      <c r="L988" s="182"/>
      <c r="M988" s="182"/>
      <c r="N988" s="177"/>
      <c r="O988" s="182"/>
      <c r="P988" s="179"/>
      <c r="Q988" s="182"/>
      <c r="R988" s="182"/>
      <c r="S988" s="182"/>
      <c r="T988" s="182"/>
      <c r="U988" s="182"/>
      <c r="V988" s="182"/>
      <c r="W988" s="182"/>
      <c r="X988" s="182"/>
      <c r="Y988" s="182"/>
      <c r="Z988" s="182"/>
      <c r="AA988" s="182"/>
      <c r="AB988" s="182"/>
      <c r="AC988" s="182"/>
      <c r="AD988" s="182"/>
      <c r="AE988" s="184"/>
      <c r="AF988" s="183"/>
      <c r="AG988" s="183"/>
      <c r="AH988" s="183"/>
      <c r="AI988" s="183"/>
      <c r="AJ988" s="182"/>
      <c r="AK988" s="184"/>
      <c r="AL988" s="182"/>
      <c r="AM988" s="182"/>
      <c r="AN988" s="182"/>
      <c r="AO988" s="182"/>
      <c r="AP988" s="182"/>
      <c r="AQ988" s="182"/>
      <c r="AR988" s="182"/>
    </row>
    <row r="989" spans="1:44">
      <c r="A989" s="182"/>
      <c r="B989" s="182"/>
      <c r="C989" s="182"/>
      <c r="D989" s="182"/>
      <c r="E989" s="182"/>
      <c r="F989" s="182"/>
      <c r="G989" s="182"/>
      <c r="H989" s="182"/>
      <c r="I989" s="182"/>
      <c r="J989" s="182"/>
      <c r="K989" s="182"/>
      <c r="L989" s="182"/>
      <c r="M989" s="182"/>
      <c r="N989" s="177"/>
      <c r="O989" s="182"/>
      <c r="P989" s="179"/>
      <c r="Q989" s="182"/>
      <c r="R989" s="182"/>
      <c r="S989" s="182"/>
      <c r="T989" s="182"/>
      <c r="U989" s="182"/>
      <c r="V989" s="182"/>
      <c r="W989" s="182"/>
      <c r="X989" s="182"/>
      <c r="Y989" s="182"/>
      <c r="Z989" s="182"/>
      <c r="AA989" s="182"/>
      <c r="AB989" s="182"/>
      <c r="AC989" s="182"/>
      <c r="AD989" s="182"/>
      <c r="AE989" s="184"/>
      <c r="AF989" s="183"/>
      <c r="AG989" s="183"/>
      <c r="AH989" s="183"/>
      <c r="AI989" s="183"/>
      <c r="AJ989" s="182"/>
      <c r="AK989" s="184"/>
      <c r="AL989" s="182"/>
      <c r="AM989" s="182"/>
      <c r="AN989" s="182"/>
      <c r="AO989" s="182"/>
      <c r="AP989" s="182"/>
      <c r="AQ989" s="182"/>
      <c r="AR989" s="182"/>
    </row>
    <row r="990" spans="1:44">
      <c r="A990" s="182"/>
      <c r="B990" s="182"/>
      <c r="C990" s="182"/>
      <c r="D990" s="182"/>
      <c r="E990" s="182"/>
      <c r="F990" s="182"/>
      <c r="G990" s="182"/>
      <c r="H990" s="182"/>
      <c r="I990" s="182"/>
      <c r="J990" s="182"/>
      <c r="K990" s="182"/>
      <c r="L990" s="182"/>
      <c r="M990" s="182"/>
      <c r="N990" s="177"/>
      <c r="O990" s="182"/>
      <c r="P990" s="179"/>
      <c r="Q990" s="182"/>
      <c r="R990" s="182"/>
      <c r="S990" s="182"/>
      <c r="T990" s="182"/>
      <c r="U990" s="182"/>
      <c r="V990" s="182"/>
      <c r="W990" s="182"/>
      <c r="X990" s="182"/>
      <c r="Y990" s="182"/>
      <c r="Z990" s="182"/>
      <c r="AA990" s="182"/>
      <c r="AB990" s="182"/>
      <c r="AC990" s="182"/>
      <c r="AD990" s="182"/>
      <c r="AE990" s="184"/>
      <c r="AF990" s="183"/>
      <c r="AG990" s="183"/>
      <c r="AH990" s="183"/>
      <c r="AI990" s="183"/>
      <c r="AJ990" s="182"/>
      <c r="AK990" s="184"/>
      <c r="AL990" s="182"/>
      <c r="AM990" s="182"/>
      <c r="AN990" s="182"/>
      <c r="AO990" s="182"/>
      <c r="AP990" s="182"/>
      <c r="AQ990" s="182"/>
      <c r="AR990" s="182"/>
    </row>
    <row r="991" spans="1:44">
      <c r="A991" s="182"/>
      <c r="B991" s="182"/>
      <c r="C991" s="182"/>
      <c r="D991" s="182"/>
      <c r="E991" s="182"/>
      <c r="F991" s="182"/>
      <c r="G991" s="182"/>
      <c r="H991" s="182"/>
      <c r="I991" s="182"/>
      <c r="J991" s="182"/>
      <c r="K991" s="182"/>
      <c r="L991" s="182"/>
      <c r="M991" s="182"/>
      <c r="N991" s="177"/>
      <c r="O991" s="182"/>
      <c r="P991" s="179"/>
      <c r="Q991" s="182"/>
      <c r="R991" s="182"/>
      <c r="S991" s="182"/>
      <c r="T991" s="182"/>
      <c r="U991" s="182"/>
      <c r="V991" s="182"/>
      <c r="W991" s="182"/>
      <c r="X991" s="182"/>
      <c r="Y991" s="182"/>
      <c r="Z991" s="182"/>
      <c r="AA991" s="182"/>
      <c r="AB991" s="182"/>
      <c r="AC991" s="182"/>
      <c r="AD991" s="182"/>
      <c r="AE991" s="184"/>
      <c r="AF991" s="183"/>
      <c r="AG991" s="183"/>
      <c r="AH991" s="183"/>
      <c r="AI991" s="183"/>
      <c r="AJ991" s="182"/>
      <c r="AK991" s="184"/>
      <c r="AL991" s="182"/>
      <c r="AM991" s="182"/>
      <c r="AN991" s="182"/>
      <c r="AO991" s="182"/>
      <c r="AP991" s="182"/>
      <c r="AQ991" s="182"/>
      <c r="AR991" s="182"/>
    </row>
    <row r="992" spans="1:44">
      <c r="A992" s="182"/>
      <c r="B992" s="182"/>
      <c r="C992" s="182"/>
      <c r="D992" s="182"/>
      <c r="E992" s="182"/>
      <c r="F992" s="182"/>
      <c r="G992" s="182"/>
      <c r="H992" s="182"/>
      <c r="I992" s="182"/>
      <c r="J992" s="182"/>
      <c r="K992" s="182"/>
      <c r="L992" s="182"/>
      <c r="M992" s="182"/>
      <c r="N992" s="177"/>
      <c r="O992" s="182"/>
      <c r="P992" s="179"/>
      <c r="Q992" s="182"/>
      <c r="R992" s="182"/>
      <c r="S992" s="182"/>
      <c r="T992" s="182"/>
      <c r="U992" s="182"/>
      <c r="V992" s="182"/>
      <c r="W992" s="182"/>
      <c r="X992" s="182"/>
      <c r="Y992" s="182"/>
      <c r="Z992" s="182"/>
      <c r="AA992" s="182"/>
      <c r="AB992" s="182"/>
      <c r="AC992" s="182"/>
      <c r="AD992" s="182"/>
      <c r="AE992" s="184"/>
      <c r="AF992" s="183"/>
      <c r="AG992" s="183"/>
      <c r="AH992" s="183"/>
      <c r="AI992" s="183"/>
      <c r="AJ992" s="182"/>
      <c r="AK992" s="184"/>
      <c r="AL992" s="182"/>
      <c r="AM992" s="182"/>
      <c r="AN992" s="182"/>
      <c r="AO992" s="182"/>
      <c r="AP992" s="182"/>
      <c r="AQ992" s="182"/>
      <c r="AR992" s="182"/>
    </row>
    <row r="993" spans="1:44">
      <c r="A993" s="182"/>
      <c r="B993" s="182"/>
      <c r="C993" s="182"/>
      <c r="D993" s="182"/>
      <c r="E993" s="182"/>
      <c r="F993" s="182"/>
      <c r="G993" s="182"/>
      <c r="H993" s="182"/>
      <c r="I993" s="182"/>
      <c r="J993" s="182"/>
      <c r="K993" s="182"/>
      <c r="L993" s="182"/>
      <c r="M993" s="182"/>
      <c r="N993" s="177"/>
      <c r="O993" s="182"/>
      <c r="P993" s="179"/>
      <c r="Q993" s="182"/>
      <c r="R993" s="182"/>
      <c r="S993" s="182"/>
      <c r="T993" s="182"/>
      <c r="U993" s="182"/>
      <c r="V993" s="182"/>
      <c r="W993" s="182"/>
      <c r="X993" s="182"/>
      <c r="Y993" s="182"/>
      <c r="Z993" s="182"/>
      <c r="AA993" s="182"/>
      <c r="AB993" s="182"/>
      <c r="AC993" s="182"/>
      <c r="AD993" s="182"/>
      <c r="AE993" s="184"/>
      <c r="AF993" s="183"/>
      <c r="AG993" s="183"/>
      <c r="AH993" s="183"/>
      <c r="AI993" s="183"/>
      <c r="AJ993" s="182"/>
      <c r="AK993" s="184"/>
      <c r="AL993" s="182"/>
      <c r="AM993" s="182"/>
      <c r="AN993" s="182"/>
      <c r="AO993" s="182"/>
      <c r="AP993" s="182"/>
      <c r="AQ993" s="182"/>
      <c r="AR993" s="182"/>
    </row>
    <row r="994" spans="1:44">
      <c r="A994" s="182"/>
      <c r="B994" s="182"/>
      <c r="C994" s="182"/>
      <c r="D994" s="182"/>
      <c r="E994" s="182"/>
      <c r="F994" s="182"/>
      <c r="G994" s="182"/>
      <c r="H994" s="182"/>
      <c r="I994" s="182"/>
      <c r="J994" s="182"/>
      <c r="K994" s="182"/>
      <c r="L994" s="182"/>
      <c r="M994" s="182"/>
      <c r="N994" s="177"/>
      <c r="O994" s="182"/>
      <c r="P994" s="179"/>
      <c r="Q994" s="182"/>
      <c r="R994" s="182"/>
      <c r="S994" s="182"/>
      <c r="T994" s="182"/>
      <c r="U994" s="182"/>
      <c r="V994" s="182"/>
      <c r="W994" s="182"/>
      <c r="X994" s="182"/>
      <c r="Y994" s="182"/>
      <c r="Z994" s="182"/>
      <c r="AA994" s="182"/>
      <c r="AB994" s="182"/>
      <c r="AC994" s="182"/>
      <c r="AD994" s="182"/>
      <c r="AE994" s="184"/>
      <c r="AF994" s="183"/>
      <c r="AG994" s="183"/>
      <c r="AH994" s="183"/>
      <c r="AI994" s="183"/>
      <c r="AJ994" s="182"/>
      <c r="AK994" s="184"/>
      <c r="AL994" s="182"/>
      <c r="AM994" s="182"/>
      <c r="AN994" s="182"/>
      <c r="AO994" s="182"/>
      <c r="AP994" s="182"/>
      <c r="AQ994" s="182"/>
      <c r="AR994" s="182"/>
    </row>
    <row r="995" spans="1:44">
      <c r="A995" s="182"/>
      <c r="B995" s="182"/>
      <c r="C995" s="182"/>
      <c r="D995" s="182"/>
      <c r="E995" s="182"/>
      <c r="F995" s="182"/>
      <c r="G995" s="182"/>
      <c r="H995" s="182"/>
      <c r="I995" s="182"/>
      <c r="J995" s="182"/>
      <c r="K995" s="182"/>
      <c r="L995" s="182"/>
      <c r="M995" s="182"/>
      <c r="N995" s="177"/>
      <c r="O995" s="182"/>
      <c r="P995" s="179"/>
      <c r="Q995" s="182"/>
      <c r="R995" s="182"/>
      <c r="S995" s="182"/>
      <c r="T995" s="182"/>
      <c r="U995" s="182"/>
      <c r="V995" s="182"/>
      <c r="W995" s="182"/>
      <c r="X995" s="182"/>
      <c r="Y995" s="182"/>
      <c r="Z995" s="182"/>
      <c r="AA995" s="182"/>
      <c r="AB995" s="182"/>
      <c r="AC995" s="182"/>
      <c r="AD995" s="182"/>
      <c r="AE995" s="184"/>
      <c r="AF995" s="183"/>
      <c r="AG995" s="183"/>
      <c r="AH995" s="183"/>
      <c r="AI995" s="183"/>
      <c r="AJ995" s="182"/>
      <c r="AK995" s="184"/>
      <c r="AL995" s="182"/>
      <c r="AM995" s="182"/>
      <c r="AN995" s="182"/>
      <c r="AO995" s="182"/>
      <c r="AP995" s="182"/>
      <c r="AQ995" s="182"/>
      <c r="AR995" s="182"/>
    </row>
    <row r="996" spans="1:44">
      <c r="A996" s="182"/>
      <c r="B996" s="182"/>
      <c r="C996" s="182"/>
      <c r="D996" s="182"/>
      <c r="E996" s="182"/>
      <c r="F996" s="182"/>
      <c r="G996" s="182"/>
      <c r="H996" s="182"/>
      <c r="I996" s="182"/>
      <c r="J996" s="182"/>
      <c r="K996" s="182"/>
      <c r="L996" s="182"/>
      <c r="M996" s="182"/>
      <c r="N996" s="177"/>
      <c r="O996" s="182"/>
      <c r="P996" s="179"/>
      <c r="Q996" s="182"/>
      <c r="R996" s="182"/>
      <c r="S996" s="182"/>
      <c r="T996" s="182"/>
      <c r="U996" s="182"/>
      <c r="V996" s="182"/>
      <c r="W996" s="182"/>
      <c r="X996" s="182"/>
      <c r="Y996" s="182"/>
      <c r="Z996" s="182"/>
      <c r="AA996" s="182"/>
      <c r="AB996" s="182"/>
      <c r="AC996" s="182"/>
      <c r="AD996" s="182"/>
      <c r="AE996" s="184"/>
      <c r="AF996" s="183"/>
      <c r="AG996" s="183"/>
      <c r="AH996" s="183"/>
      <c r="AI996" s="183"/>
      <c r="AJ996" s="182"/>
      <c r="AK996" s="184"/>
      <c r="AL996" s="182"/>
      <c r="AM996" s="182"/>
      <c r="AN996" s="182"/>
      <c r="AO996" s="182"/>
      <c r="AP996" s="182"/>
      <c r="AQ996" s="182"/>
      <c r="AR996" s="182"/>
    </row>
    <row r="997" spans="1:44">
      <c r="A997" s="182"/>
      <c r="B997" s="182"/>
      <c r="C997" s="182"/>
      <c r="D997" s="182"/>
      <c r="E997" s="182"/>
      <c r="F997" s="182"/>
      <c r="G997" s="182"/>
      <c r="H997" s="182"/>
      <c r="I997" s="182"/>
      <c r="J997" s="182"/>
      <c r="K997" s="182"/>
      <c r="L997" s="182"/>
      <c r="M997" s="182"/>
      <c r="N997" s="177"/>
      <c r="O997" s="182"/>
      <c r="P997" s="179"/>
      <c r="Q997" s="182"/>
      <c r="R997" s="182"/>
      <c r="S997" s="182"/>
      <c r="T997" s="182"/>
      <c r="U997" s="182"/>
      <c r="V997" s="182"/>
      <c r="W997" s="182"/>
      <c r="X997" s="182"/>
      <c r="Y997" s="182"/>
      <c r="Z997" s="182"/>
      <c r="AA997" s="182"/>
      <c r="AB997" s="182"/>
      <c r="AC997" s="182"/>
      <c r="AD997" s="182"/>
      <c r="AE997" s="184"/>
      <c r="AF997" s="183"/>
      <c r="AG997" s="183"/>
      <c r="AH997" s="183"/>
      <c r="AI997" s="183"/>
      <c r="AJ997" s="182"/>
      <c r="AK997" s="184"/>
      <c r="AL997" s="182"/>
      <c r="AM997" s="182"/>
      <c r="AN997" s="182"/>
      <c r="AO997" s="182"/>
      <c r="AP997" s="182"/>
      <c r="AQ997" s="182"/>
      <c r="AR997" s="182"/>
    </row>
    <row r="998" spans="1:44">
      <c r="A998" s="182"/>
      <c r="B998" s="182"/>
      <c r="C998" s="182"/>
      <c r="D998" s="182"/>
      <c r="E998" s="182"/>
      <c r="F998" s="182"/>
      <c r="G998" s="182"/>
      <c r="H998" s="182"/>
      <c r="I998" s="182"/>
      <c r="J998" s="182"/>
      <c r="K998" s="182"/>
      <c r="L998" s="182"/>
      <c r="M998" s="182"/>
      <c r="N998" s="177"/>
      <c r="O998" s="182"/>
      <c r="P998" s="179"/>
      <c r="Q998" s="182"/>
      <c r="R998" s="182"/>
      <c r="S998" s="182"/>
      <c r="T998" s="182"/>
      <c r="U998" s="182"/>
      <c r="V998" s="182"/>
      <c r="W998" s="182"/>
      <c r="X998" s="182"/>
      <c r="Y998" s="182"/>
      <c r="Z998" s="182"/>
      <c r="AA998" s="182"/>
      <c r="AB998" s="182"/>
      <c r="AC998" s="182"/>
      <c r="AD998" s="182"/>
      <c r="AE998" s="184"/>
      <c r="AF998" s="183"/>
      <c r="AG998" s="183"/>
      <c r="AH998" s="183"/>
      <c r="AI998" s="183"/>
      <c r="AJ998" s="182"/>
      <c r="AK998" s="184"/>
      <c r="AL998" s="182"/>
      <c r="AM998" s="182"/>
      <c r="AN998" s="182"/>
      <c r="AO998" s="182"/>
      <c r="AP998" s="182"/>
      <c r="AQ998" s="182"/>
      <c r="AR998" s="182"/>
    </row>
    <row r="999" spans="1:44">
      <c r="A999" s="182"/>
      <c r="B999" s="182"/>
      <c r="C999" s="182"/>
      <c r="D999" s="182"/>
      <c r="E999" s="182"/>
      <c r="F999" s="182"/>
      <c r="G999" s="182"/>
      <c r="H999" s="182"/>
      <c r="I999" s="182"/>
      <c r="J999" s="182"/>
      <c r="K999" s="182"/>
      <c r="L999" s="182"/>
      <c r="M999" s="182"/>
      <c r="N999" s="177"/>
      <c r="O999" s="182"/>
      <c r="P999" s="179"/>
      <c r="Q999" s="182"/>
      <c r="R999" s="182"/>
      <c r="S999" s="182"/>
      <c r="T999" s="182"/>
      <c r="U999" s="182"/>
      <c r="V999" s="182"/>
      <c r="W999" s="182"/>
      <c r="X999" s="182"/>
      <c r="Y999" s="182"/>
      <c r="Z999" s="182"/>
      <c r="AA999" s="182"/>
      <c r="AB999" s="182"/>
      <c r="AC999" s="182"/>
      <c r="AD999" s="182"/>
      <c r="AE999" s="184"/>
      <c r="AF999" s="183"/>
      <c r="AG999" s="183"/>
      <c r="AH999" s="183"/>
      <c r="AI999" s="183"/>
      <c r="AJ999" s="182"/>
      <c r="AK999" s="184"/>
      <c r="AL999" s="182"/>
      <c r="AM999" s="182"/>
      <c r="AN999" s="182"/>
      <c r="AO999" s="182"/>
      <c r="AP999" s="182"/>
      <c r="AQ999" s="182"/>
      <c r="AR999" s="18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32"/>
  <sheetViews>
    <sheetView workbookViewId="0"/>
  </sheetViews>
  <sheetFormatPr defaultColWidth="14.44140625" defaultRowHeight="15" customHeight="1"/>
  <cols>
    <col min="1" max="1" width="9.6640625" customWidth="1"/>
    <col min="2" max="2" width="14.44140625" customWidth="1"/>
    <col min="3" max="3" width="14" customWidth="1"/>
    <col min="4" max="4" width="23.88671875" customWidth="1"/>
    <col min="5" max="5" width="24.6640625" customWidth="1"/>
    <col min="6" max="6" width="14.44140625" customWidth="1"/>
    <col min="7" max="7" width="54.88671875" customWidth="1"/>
    <col min="8" max="8" width="59.33203125" customWidth="1"/>
    <col min="20" max="20" width="15.88671875" customWidth="1"/>
  </cols>
  <sheetData>
    <row r="1" spans="1:26">
      <c r="A1" s="202" t="s">
        <v>1</v>
      </c>
      <c r="B1" s="202" t="s">
        <v>4</v>
      </c>
      <c r="C1" s="202" t="s">
        <v>161</v>
      </c>
      <c r="D1" s="202" t="s">
        <v>162</v>
      </c>
      <c r="E1" s="202" t="s">
        <v>163</v>
      </c>
      <c r="F1" s="202" t="s">
        <v>164</v>
      </c>
      <c r="G1" s="202" t="s">
        <v>165</v>
      </c>
      <c r="H1" s="202" t="s">
        <v>6</v>
      </c>
      <c r="I1" s="203" t="s">
        <v>15</v>
      </c>
      <c r="J1" s="203" t="s">
        <v>174</v>
      </c>
      <c r="K1" s="203" t="s">
        <v>958</v>
      </c>
      <c r="L1" s="203" t="s">
        <v>959</v>
      </c>
      <c r="M1" s="203" t="s">
        <v>960</v>
      </c>
      <c r="N1" s="203" t="s">
        <v>447</v>
      </c>
      <c r="O1" s="203" t="s">
        <v>931</v>
      </c>
      <c r="P1" s="203" t="s">
        <v>11</v>
      </c>
      <c r="Q1" s="203" t="s">
        <v>186</v>
      </c>
      <c r="R1" s="204" t="s">
        <v>961</v>
      </c>
      <c r="S1" s="203" t="s">
        <v>962</v>
      </c>
      <c r="T1" s="203" t="s">
        <v>963</v>
      </c>
      <c r="U1" s="203"/>
      <c r="V1" s="203"/>
      <c r="W1" s="203"/>
      <c r="X1" s="203"/>
      <c r="Y1" s="203"/>
      <c r="Z1" s="203"/>
    </row>
    <row r="2" spans="1:26">
      <c r="A2" s="69" t="s">
        <v>240</v>
      </c>
      <c r="B2" s="187" t="s">
        <v>241</v>
      </c>
      <c r="C2" s="69" t="s">
        <v>242</v>
      </c>
      <c r="D2" s="69" t="s">
        <v>234</v>
      </c>
      <c r="E2" s="69" t="s">
        <v>235</v>
      </c>
      <c r="F2" s="69" t="s">
        <v>243</v>
      </c>
      <c r="G2" s="69" t="s">
        <v>237</v>
      </c>
      <c r="H2" s="69" t="s">
        <v>244</v>
      </c>
      <c r="I2" s="205">
        <f>VLOOKUP(A2,'Margin Calculation'!F:Y,20,0)</f>
        <v>1066.3371935999999</v>
      </c>
      <c r="J2" s="205">
        <f>VLOOKUP(A2,'Margin Calculation'!F:Z,21,0)</f>
        <v>1258.2778884479999</v>
      </c>
      <c r="K2" s="182">
        <v>100</v>
      </c>
      <c r="L2" s="182">
        <f t="shared" ref="L2:L113" si="0">S2*10%</f>
        <v>217.3</v>
      </c>
      <c r="M2" s="182">
        <f t="shared" ref="M2:M113" si="1">S2*5%</f>
        <v>108.65</v>
      </c>
      <c r="N2" s="182">
        <f t="shared" ref="N2:N113" si="2">S2*3%</f>
        <v>65.19</v>
      </c>
      <c r="O2" s="205">
        <f t="shared" ref="O2:O113" si="3">I2+K2+L2+M2+N2</f>
        <v>1557.4771936</v>
      </c>
      <c r="P2" s="182">
        <f t="shared" ref="P2:P113" si="4">S2-(S2/1.18)</f>
        <v>331.47457627118638</v>
      </c>
      <c r="Q2" s="205">
        <f t="shared" ref="Q2:Q113" si="5">S2-O2-P2</f>
        <v>284.04823012881366</v>
      </c>
      <c r="R2" s="184">
        <f t="shared" ref="R2:R113" si="6">Q2/S2</f>
        <v>0.13071708703580931</v>
      </c>
      <c r="S2" s="182">
        <f t="shared" ref="S2:S16" si="7">T2*106%</f>
        <v>2173</v>
      </c>
      <c r="T2" s="182">
        <f>VLOOKUP(A2,'Margin Calculation'!F:AN,35,0)</f>
        <v>2050</v>
      </c>
      <c r="U2" s="182"/>
      <c r="V2" s="182"/>
      <c r="W2" s="182"/>
      <c r="X2" s="182"/>
      <c r="Y2" s="182"/>
      <c r="Z2" s="182"/>
    </row>
    <row r="3" spans="1:26">
      <c r="A3" s="69" t="s">
        <v>246</v>
      </c>
      <c r="B3" s="187" t="s">
        <v>247</v>
      </c>
      <c r="C3" s="69" t="s">
        <v>248</v>
      </c>
      <c r="D3" s="69" t="s">
        <v>234</v>
      </c>
      <c r="E3" s="69" t="s">
        <v>249</v>
      </c>
      <c r="F3" s="69" t="s">
        <v>250</v>
      </c>
      <c r="G3" s="69" t="s">
        <v>237</v>
      </c>
      <c r="H3" s="69" t="s">
        <v>251</v>
      </c>
      <c r="I3" s="205">
        <f>VLOOKUP(A3,'Margin Calculation'!F:Y,20,0)</f>
        <v>1521.9733235294116</v>
      </c>
      <c r="J3" s="205">
        <f>VLOOKUP(A3,'Margin Calculation'!F:Z,21,0)</f>
        <v>1795.9285217647055</v>
      </c>
      <c r="K3" s="182">
        <v>100</v>
      </c>
      <c r="L3" s="182">
        <f t="shared" si="0"/>
        <v>381.49400000000003</v>
      </c>
      <c r="M3" s="182">
        <f t="shared" si="1"/>
        <v>190.74700000000001</v>
      </c>
      <c r="N3" s="182">
        <f t="shared" si="2"/>
        <v>114.4482</v>
      </c>
      <c r="O3" s="205">
        <f t="shared" si="3"/>
        <v>2308.6625235294114</v>
      </c>
      <c r="P3" s="182">
        <f t="shared" si="4"/>
        <v>581.94000000000005</v>
      </c>
      <c r="Q3" s="205">
        <f t="shared" si="5"/>
        <v>924.33747647058863</v>
      </c>
      <c r="R3" s="184">
        <f t="shared" si="6"/>
        <v>0.24229410592842576</v>
      </c>
      <c r="S3" s="182">
        <f t="shared" si="7"/>
        <v>3814.94</v>
      </c>
      <c r="T3" s="182">
        <f>VLOOKUP(A3,'Margin Calculation'!F:AN,35,0)</f>
        <v>3599</v>
      </c>
      <c r="U3" s="182"/>
      <c r="V3" s="182"/>
      <c r="W3" s="182"/>
      <c r="X3" s="182"/>
      <c r="Y3" s="182"/>
      <c r="Z3" s="182"/>
    </row>
    <row r="4" spans="1:26">
      <c r="A4" s="69" t="s">
        <v>253</v>
      </c>
      <c r="B4" s="187" t="s">
        <v>254</v>
      </c>
      <c r="C4" s="69" t="s">
        <v>255</v>
      </c>
      <c r="D4" s="69" t="s">
        <v>256</v>
      </c>
      <c r="E4" s="69" t="s">
        <v>257</v>
      </c>
      <c r="F4" s="69"/>
      <c r="G4" s="69" t="s">
        <v>258</v>
      </c>
      <c r="H4" s="69" t="s">
        <v>259</v>
      </c>
      <c r="I4" s="205">
        <f>VLOOKUP(A4,'Margin Calculation'!F:Y,20,0)</f>
        <v>355.33344600000004</v>
      </c>
      <c r="J4" s="205">
        <f>VLOOKUP(A4,'Margin Calculation'!F:Z,21,0)</f>
        <v>397.97345952000006</v>
      </c>
      <c r="K4" s="182">
        <v>100</v>
      </c>
      <c r="L4" s="182">
        <f t="shared" si="0"/>
        <v>74.094000000000008</v>
      </c>
      <c r="M4" s="182">
        <f t="shared" si="1"/>
        <v>37.047000000000004</v>
      </c>
      <c r="N4" s="182">
        <f t="shared" si="2"/>
        <v>22.228200000000001</v>
      </c>
      <c r="O4" s="205">
        <f t="shared" si="3"/>
        <v>588.70264600000007</v>
      </c>
      <c r="P4" s="182">
        <f t="shared" si="4"/>
        <v>113.02474576271186</v>
      </c>
      <c r="Q4" s="205">
        <f t="shared" si="5"/>
        <v>39.212608237288123</v>
      </c>
      <c r="R4" s="184">
        <f t="shared" si="6"/>
        <v>5.292278489120323E-2</v>
      </c>
      <c r="S4" s="182">
        <f t="shared" si="7"/>
        <v>740.94</v>
      </c>
      <c r="T4" s="182">
        <f>VLOOKUP(A4,'Margin Calculation'!F:AN,35,0)</f>
        <v>699</v>
      </c>
      <c r="U4" s="182"/>
      <c r="V4" s="182"/>
      <c r="W4" s="182"/>
      <c r="X4" s="182"/>
      <c r="Y4" s="182"/>
      <c r="Z4" s="182"/>
    </row>
    <row r="5" spans="1:26">
      <c r="A5" s="69" t="s">
        <v>262</v>
      </c>
      <c r="B5" s="187" t="s">
        <v>263</v>
      </c>
      <c r="C5" s="69" t="s">
        <v>264</v>
      </c>
      <c r="D5" s="69" t="s">
        <v>256</v>
      </c>
      <c r="E5" s="69" t="s">
        <v>257</v>
      </c>
      <c r="F5" s="69"/>
      <c r="G5" s="69" t="s">
        <v>258</v>
      </c>
      <c r="H5" s="69" t="s">
        <v>265</v>
      </c>
      <c r="I5" s="205">
        <f>VLOOKUP(A5,'Margin Calculation'!F:Y,20,0)</f>
        <v>355.33344600000004</v>
      </c>
      <c r="J5" s="205">
        <f>VLOOKUP(A5,'Margin Calculation'!F:Z,21,0)</f>
        <v>397.97345952000006</v>
      </c>
      <c r="K5" s="182">
        <v>100</v>
      </c>
      <c r="L5" s="182">
        <f t="shared" si="0"/>
        <v>74.094000000000008</v>
      </c>
      <c r="M5" s="182">
        <f t="shared" si="1"/>
        <v>37.047000000000004</v>
      </c>
      <c r="N5" s="182">
        <f t="shared" si="2"/>
        <v>22.228200000000001</v>
      </c>
      <c r="O5" s="205">
        <f t="shared" si="3"/>
        <v>588.70264600000007</v>
      </c>
      <c r="P5" s="182">
        <f t="shared" si="4"/>
        <v>113.02474576271186</v>
      </c>
      <c r="Q5" s="205">
        <f t="shared" si="5"/>
        <v>39.212608237288123</v>
      </c>
      <c r="R5" s="184">
        <f t="shared" si="6"/>
        <v>5.292278489120323E-2</v>
      </c>
      <c r="S5" s="182">
        <f t="shared" si="7"/>
        <v>740.94</v>
      </c>
      <c r="T5" s="182">
        <f>VLOOKUP(A5,'Margin Calculation'!F:AN,35,0)</f>
        <v>699</v>
      </c>
      <c r="U5" s="182"/>
      <c r="V5" s="182"/>
      <c r="W5" s="182"/>
      <c r="X5" s="182"/>
      <c r="Y5" s="182"/>
      <c r="Z5" s="182"/>
    </row>
    <row r="6" spans="1:26">
      <c r="A6" s="69" t="s">
        <v>267</v>
      </c>
      <c r="B6" s="187" t="s">
        <v>268</v>
      </c>
      <c r="C6" s="69" t="s">
        <v>269</v>
      </c>
      <c r="D6" s="69" t="s">
        <v>256</v>
      </c>
      <c r="E6" s="69" t="s">
        <v>257</v>
      </c>
      <c r="F6" s="69" t="s">
        <v>18</v>
      </c>
      <c r="G6" s="69" t="s">
        <v>258</v>
      </c>
      <c r="H6" s="69" t="s">
        <v>270</v>
      </c>
      <c r="I6" s="205">
        <f>VLOOKUP(A6,'Margin Calculation'!F:Y,20,0)</f>
        <v>355.33344600000004</v>
      </c>
      <c r="J6" s="205">
        <f>VLOOKUP(A6,'Margin Calculation'!F:Z,21,0)</f>
        <v>397.97345952000006</v>
      </c>
      <c r="K6" s="182">
        <v>100</v>
      </c>
      <c r="L6" s="182">
        <f t="shared" si="0"/>
        <v>74.094000000000008</v>
      </c>
      <c r="M6" s="182">
        <f t="shared" si="1"/>
        <v>37.047000000000004</v>
      </c>
      <c r="N6" s="182">
        <f t="shared" si="2"/>
        <v>22.228200000000001</v>
      </c>
      <c r="O6" s="205">
        <f t="shared" si="3"/>
        <v>588.70264600000007</v>
      </c>
      <c r="P6" s="182">
        <f t="shared" si="4"/>
        <v>113.02474576271186</v>
      </c>
      <c r="Q6" s="205">
        <f t="shared" si="5"/>
        <v>39.212608237288123</v>
      </c>
      <c r="R6" s="184">
        <f t="shared" si="6"/>
        <v>5.292278489120323E-2</v>
      </c>
      <c r="S6" s="182">
        <f t="shared" si="7"/>
        <v>740.94</v>
      </c>
      <c r="T6" s="182">
        <f>VLOOKUP(A6,'Margin Calculation'!F:AN,35,0)</f>
        <v>699</v>
      </c>
      <c r="U6" s="182"/>
      <c r="V6" s="182"/>
      <c r="W6" s="182"/>
      <c r="X6" s="182"/>
      <c r="Y6" s="182"/>
      <c r="Z6" s="182"/>
    </row>
    <row r="7" spans="1:26">
      <c r="A7" s="117" t="s">
        <v>311</v>
      </c>
      <c r="B7" s="102" t="s">
        <v>312</v>
      </c>
      <c r="C7" s="117" t="s">
        <v>313</v>
      </c>
      <c r="D7" s="69" t="s">
        <v>314</v>
      </c>
      <c r="E7" s="69" t="s">
        <v>315</v>
      </c>
      <c r="F7" s="117" t="s">
        <v>316</v>
      </c>
      <c r="G7" s="117" t="s">
        <v>317</v>
      </c>
      <c r="H7" s="117" t="s">
        <v>318</v>
      </c>
      <c r="I7" s="205">
        <f>VLOOKUP(A7,'Margin Calculation'!F:Y,20,0)</f>
        <v>911.25499500000001</v>
      </c>
      <c r="J7" s="205">
        <f>VLOOKUP(A7,'Margin Calculation'!F:Z,21,0)</f>
        <v>1075.2808940999998</v>
      </c>
      <c r="K7" s="182">
        <v>100</v>
      </c>
      <c r="L7" s="182">
        <f t="shared" si="0"/>
        <v>139.81400000000002</v>
      </c>
      <c r="M7" s="182">
        <f t="shared" si="1"/>
        <v>69.907000000000011</v>
      </c>
      <c r="N7" s="182">
        <f t="shared" si="2"/>
        <v>41.944200000000002</v>
      </c>
      <c r="O7" s="205">
        <f t="shared" si="3"/>
        <v>1262.9201949999999</v>
      </c>
      <c r="P7" s="182">
        <f t="shared" si="4"/>
        <v>213.27559322033903</v>
      </c>
      <c r="Q7" s="205">
        <f t="shared" si="5"/>
        <v>-78.055788220338854</v>
      </c>
      <c r="R7" s="184">
        <f t="shared" si="6"/>
        <v>-5.5828306335802456E-2</v>
      </c>
      <c r="S7" s="182">
        <f t="shared" si="7"/>
        <v>1398.14</v>
      </c>
      <c r="T7" s="182">
        <f>VLOOKUP(A7,'Margin Calculation'!F:AN,35,0)</f>
        <v>1319</v>
      </c>
      <c r="U7" s="182"/>
      <c r="V7" s="182"/>
      <c r="W7" s="182"/>
      <c r="X7" s="182"/>
      <c r="Y7" s="182"/>
      <c r="Z7" s="182"/>
    </row>
    <row r="8" spans="1:26">
      <c r="A8" s="117" t="s">
        <v>324</v>
      </c>
      <c r="B8" s="102" t="s">
        <v>325</v>
      </c>
      <c r="C8" s="117" t="s">
        <v>326</v>
      </c>
      <c r="D8" s="69" t="s">
        <v>234</v>
      </c>
      <c r="E8" s="69" t="s">
        <v>235</v>
      </c>
      <c r="F8" s="117"/>
      <c r="G8" s="69" t="s">
        <v>237</v>
      </c>
      <c r="H8" s="117" t="s">
        <v>327</v>
      </c>
      <c r="I8" s="205">
        <f>VLOOKUP(A8,'Margin Calculation'!F:Y,20,0)</f>
        <v>1278.2511936000001</v>
      </c>
      <c r="J8" s="205">
        <f>VLOOKUP(A8,'Margin Calculation'!F:Z,21,0)</f>
        <v>1508.3364084479999</v>
      </c>
      <c r="K8" s="182">
        <v>100</v>
      </c>
      <c r="L8" s="182">
        <f t="shared" si="0"/>
        <v>233.09400000000002</v>
      </c>
      <c r="M8" s="182">
        <f t="shared" si="1"/>
        <v>116.54700000000001</v>
      </c>
      <c r="N8" s="182">
        <f t="shared" si="2"/>
        <v>69.928200000000004</v>
      </c>
      <c r="O8" s="205">
        <f t="shared" si="3"/>
        <v>1797.8203936000002</v>
      </c>
      <c r="P8" s="182">
        <f t="shared" si="4"/>
        <v>355.5671186440677</v>
      </c>
      <c r="Q8" s="205">
        <f t="shared" si="5"/>
        <v>177.55248775593213</v>
      </c>
      <c r="R8" s="184">
        <f t="shared" si="6"/>
        <v>7.617205408802119E-2</v>
      </c>
      <c r="S8" s="182">
        <f t="shared" si="7"/>
        <v>2330.94</v>
      </c>
      <c r="T8" s="182">
        <f>VLOOKUP(A8,'Margin Calculation'!F:AN,35,0)</f>
        <v>2199</v>
      </c>
      <c r="U8" s="182"/>
      <c r="V8" s="182"/>
      <c r="W8" s="182"/>
      <c r="X8" s="182"/>
      <c r="Y8" s="182"/>
      <c r="Z8" s="182"/>
    </row>
    <row r="9" spans="1:26">
      <c r="A9" s="69" t="s">
        <v>329</v>
      </c>
      <c r="B9" s="102" t="s">
        <v>330</v>
      </c>
      <c r="C9" s="117" t="s">
        <v>331</v>
      </c>
      <c r="D9" s="69" t="s">
        <v>314</v>
      </c>
      <c r="E9" s="69" t="s">
        <v>315</v>
      </c>
      <c r="F9" s="117"/>
      <c r="G9" s="117" t="s">
        <v>332</v>
      </c>
      <c r="H9" s="117" t="s">
        <v>333</v>
      </c>
      <c r="I9" s="205">
        <f>VLOOKUP(A9,'Margin Calculation'!F:Y,20,0)</f>
        <v>240.79140000000001</v>
      </c>
      <c r="J9" s="205">
        <f>VLOOKUP(A9,'Margin Calculation'!F:Z,21,0)</f>
        <v>284.13385199999999</v>
      </c>
      <c r="K9" s="182">
        <v>100</v>
      </c>
      <c r="L9" s="182">
        <f t="shared" si="0"/>
        <v>42.294000000000004</v>
      </c>
      <c r="M9" s="182">
        <f t="shared" si="1"/>
        <v>21.147000000000002</v>
      </c>
      <c r="N9" s="182">
        <f t="shared" si="2"/>
        <v>12.6882</v>
      </c>
      <c r="O9" s="205">
        <f t="shared" si="3"/>
        <v>416.92059999999998</v>
      </c>
      <c r="P9" s="182">
        <f t="shared" si="4"/>
        <v>64.516271186440633</v>
      </c>
      <c r="Q9" s="205">
        <f t="shared" si="5"/>
        <v>-58.496871186440615</v>
      </c>
      <c r="R9" s="184">
        <f t="shared" si="6"/>
        <v>-0.13831009407112266</v>
      </c>
      <c r="S9" s="182">
        <f t="shared" si="7"/>
        <v>422.94</v>
      </c>
      <c r="T9" s="182">
        <f>VLOOKUP(A9,'Margin Calculation'!F:AN,35,0)</f>
        <v>399</v>
      </c>
      <c r="U9" s="43"/>
      <c r="V9" s="43"/>
      <c r="W9" s="43"/>
      <c r="X9" s="43"/>
      <c r="Y9" s="43"/>
      <c r="Z9" s="43"/>
    </row>
    <row r="10" spans="1:26">
      <c r="A10" s="69" t="s">
        <v>335</v>
      </c>
      <c r="B10" s="102" t="s">
        <v>336</v>
      </c>
      <c r="C10" s="117" t="s">
        <v>337</v>
      </c>
      <c r="D10" s="69" t="s">
        <v>314</v>
      </c>
      <c r="E10" s="69" t="s">
        <v>315</v>
      </c>
      <c r="F10" s="117"/>
      <c r="G10" s="117" t="s">
        <v>332</v>
      </c>
      <c r="H10" s="117" t="s">
        <v>338</v>
      </c>
      <c r="I10" s="205">
        <f>VLOOKUP(A10,'Margin Calculation'!F:Y,20,0)</f>
        <v>240.79140000000001</v>
      </c>
      <c r="J10" s="205">
        <f>VLOOKUP(A10,'Margin Calculation'!F:Z,21,0)</f>
        <v>284.13385199999999</v>
      </c>
      <c r="K10" s="182">
        <v>100</v>
      </c>
      <c r="L10" s="182">
        <f t="shared" si="0"/>
        <v>36.994</v>
      </c>
      <c r="M10" s="182">
        <f t="shared" si="1"/>
        <v>18.497</v>
      </c>
      <c r="N10" s="182">
        <f t="shared" si="2"/>
        <v>11.0982</v>
      </c>
      <c r="O10" s="205">
        <f t="shared" si="3"/>
        <v>407.38060000000002</v>
      </c>
      <c r="P10" s="182">
        <f t="shared" si="4"/>
        <v>56.431525423728772</v>
      </c>
      <c r="Q10" s="205">
        <f t="shared" si="5"/>
        <v>-93.872125423728789</v>
      </c>
      <c r="R10" s="184">
        <f t="shared" si="6"/>
        <v>-0.25374959567424121</v>
      </c>
      <c r="S10" s="182">
        <f t="shared" si="7"/>
        <v>369.94</v>
      </c>
      <c r="T10" s="182">
        <f>VLOOKUP(A10,'Margin Calculation'!F:AN,35,0)</f>
        <v>349</v>
      </c>
      <c r="U10" s="43"/>
      <c r="V10" s="43"/>
      <c r="W10" s="43"/>
      <c r="X10" s="43"/>
      <c r="Y10" s="43"/>
      <c r="Z10" s="43"/>
    </row>
    <row r="11" spans="1:26">
      <c r="A11" s="69" t="s">
        <v>340</v>
      </c>
      <c r="B11" s="102" t="s">
        <v>341</v>
      </c>
      <c r="C11" s="117" t="s">
        <v>342</v>
      </c>
      <c r="D11" s="69" t="s">
        <v>314</v>
      </c>
      <c r="E11" s="69" t="s">
        <v>315</v>
      </c>
      <c r="F11" s="117"/>
      <c r="G11" s="117" t="s">
        <v>332</v>
      </c>
      <c r="H11" s="117" t="s">
        <v>343</v>
      </c>
      <c r="I11" s="205">
        <f>VLOOKUP(A11,'Margin Calculation'!F:Y,20,0)</f>
        <v>165.75408000000002</v>
      </c>
      <c r="J11" s="205">
        <f>VLOOKUP(A11,'Margin Calculation'!F:Z,21,0)</f>
        <v>195.58981439999999</v>
      </c>
      <c r="K11" s="182">
        <v>100</v>
      </c>
      <c r="L11" s="182">
        <f t="shared" si="0"/>
        <v>42.294000000000004</v>
      </c>
      <c r="M11" s="182">
        <f t="shared" si="1"/>
        <v>21.147000000000002</v>
      </c>
      <c r="N11" s="182">
        <f t="shared" si="2"/>
        <v>12.6882</v>
      </c>
      <c r="O11" s="205">
        <f t="shared" si="3"/>
        <v>341.88328000000001</v>
      </c>
      <c r="P11" s="182">
        <f t="shared" si="4"/>
        <v>64.516271186440633</v>
      </c>
      <c r="Q11" s="205">
        <f t="shared" si="5"/>
        <v>16.540448813559351</v>
      </c>
      <c r="R11" s="184">
        <f t="shared" si="6"/>
        <v>3.9108263142666459E-2</v>
      </c>
      <c r="S11" s="182">
        <f t="shared" si="7"/>
        <v>422.94</v>
      </c>
      <c r="T11" s="182">
        <f>VLOOKUP(A11,'Margin Calculation'!F:AN,35,0)</f>
        <v>399</v>
      </c>
      <c r="U11" s="43"/>
      <c r="V11" s="43"/>
      <c r="W11" s="43"/>
      <c r="X11" s="43"/>
      <c r="Y11" s="43"/>
      <c r="Z11" s="43"/>
    </row>
    <row r="12" spans="1:26">
      <c r="A12" s="69" t="s">
        <v>418</v>
      </c>
      <c r="B12" s="102" t="s">
        <v>419</v>
      </c>
      <c r="C12" s="69" t="s">
        <v>420</v>
      </c>
      <c r="D12" s="69" t="s">
        <v>234</v>
      </c>
      <c r="E12" s="69" t="s">
        <v>249</v>
      </c>
      <c r="F12" s="69"/>
      <c r="G12" s="69" t="s">
        <v>421</v>
      </c>
      <c r="H12" s="69" t="s">
        <v>422</v>
      </c>
      <c r="I12" s="205">
        <f>VLOOKUP(A12,'Margin Calculation'!F:Y,20,0)</f>
        <v>1159.1586</v>
      </c>
      <c r="J12" s="205">
        <f>VLOOKUP(A12,'Margin Calculation'!F:Z,21,0)</f>
        <v>1367.8071479999999</v>
      </c>
      <c r="K12" s="182">
        <v>100</v>
      </c>
      <c r="L12" s="182">
        <f t="shared" si="0"/>
        <v>259.59399999999999</v>
      </c>
      <c r="M12" s="182">
        <f t="shared" si="1"/>
        <v>129.797</v>
      </c>
      <c r="N12" s="182">
        <f t="shared" si="2"/>
        <v>77.878199999999993</v>
      </c>
      <c r="O12" s="205">
        <f t="shared" si="3"/>
        <v>1726.4277999999999</v>
      </c>
      <c r="P12" s="182">
        <f t="shared" si="4"/>
        <v>395.99084745762684</v>
      </c>
      <c r="Q12" s="205">
        <f t="shared" si="5"/>
        <v>473.52135254237328</v>
      </c>
      <c r="R12" s="184">
        <f t="shared" si="6"/>
        <v>0.18240843491851633</v>
      </c>
      <c r="S12" s="182">
        <f t="shared" si="7"/>
        <v>2595.94</v>
      </c>
      <c r="T12" s="182">
        <f>VLOOKUP(A12,'Margin Calculation'!F:AN,35,0)</f>
        <v>2449</v>
      </c>
      <c r="U12" s="182"/>
      <c r="V12" s="182"/>
      <c r="W12" s="182"/>
      <c r="X12" s="182"/>
      <c r="Y12" s="182"/>
      <c r="Z12" s="182"/>
    </row>
    <row r="13" spans="1:26">
      <c r="A13" s="69" t="s">
        <v>424</v>
      </c>
      <c r="B13" s="102" t="s">
        <v>425</v>
      </c>
      <c r="C13" s="69" t="s">
        <v>426</v>
      </c>
      <c r="D13" s="69" t="s">
        <v>234</v>
      </c>
      <c r="E13" s="69" t="s">
        <v>249</v>
      </c>
      <c r="F13" s="69"/>
      <c r="G13" s="69" t="s">
        <v>421</v>
      </c>
      <c r="H13" s="69" t="s">
        <v>427</v>
      </c>
      <c r="I13" s="205">
        <f>VLOOKUP(A13,'Margin Calculation'!F:Y,20,0)</f>
        <v>957.84120000000019</v>
      </c>
      <c r="J13" s="205">
        <f>VLOOKUP(A13,'Margin Calculation'!F:Z,21,0)</f>
        <v>1130.2526160000002</v>
      </c>
      <c r="K13" s="182">
        <v>100</v>
      </c>
      <c r="L13" s="182">
        <f t="shared" si="0"/>
        <v>312.59400000000005</v>
      </c>
      <c r="M13" s="182">
        <f t="shared" si="1"/>
        <v>156.29700000000003</v>
      </c>
      <c r="N13" s="182">
        <f t="shared" si="2"/>
        <v>93.778199999999998</v>
      </c>
      <c r="O13" s="205">
        <f t="shared" si="3"/>
        <v>1620.5104000000003</v>
      </c>
      <c r="P13" s="182">
        <f t="shared" si="4"/>
        <v>476.83830508474557</v>
      </c>
      <c r="Q13" s="205">
        <f t="shared" si="5"/>
        <v>1028.5912949152541</v>
      </c>
      <c r="R13" s="184">
        <f t="shared" si="6"/>
        <v>0.32905023606187389</v>
      </c>
      <c r="S13" s="182">
        <f t="shared" si="7"/>
        <v>3125.94</v>
      </c>
      <c r="T13" s="182">
        <f>VLOOKUP(A13,'Margin Calculation'!F:AN,35,0)</f>
        <v>2949</v>
      </c>
      <c r="U13" s="182"/>
      <c r="V13" s="182"/>
      <c r="W13" s="182"/>
      <c r="X13" s="182"/>
      <c r="Y13" s="182"/>
      <c r="Z13" s="182"/>
    </row>
    <row r="14" spans="1:26">
      <c r="A14" s="69" t="s">
        <v>434</v>
      </c>
      <c r="B14" s="102" t="s">
        <v>435</v>
      </c>
      <c r="C14" s="69" t="s">
        <v>436</v>
      </c>
      <c r="D14" s="69" t="s">
        <v>314</v>
      </c>
      <c r="E14" s="69" t="s">
        <v>437</v>
      </c>
      <c r="F14" s="69"/>
      <c r="G14" s="69" t="s">
        <v>438</v>
      </c>
      <c r="H14" s="69" t="s">
        <v>439</v>
      </c>
      <c r="I14" s="205">
        <f>VLOOKUP(A14,'Margin Calculation'!F:Y,20,0)</f>
        <v>456.50304000000006</v>
      </c>
      <c r="J14" s="205">
        <f>VLOOKUP(A14,'Margin Calculation'!F:Z,21,0)</f>
        <v>538.67358720000004</v>
      </c>
      <c r="K14" s="182">
        <v>100</v>
      </c>
      <c r="L14" s="182">
        <f t="shared" si="0"/>
        <v>95.294000000000011</v>
      </c>
      <c r="M14" s="182">
        <f t="shared" si="1"/>
        <v>47.647000000000006</v>
      </c>
      <c r="N14" s="182">
        <f t="shared" si="2"/>
        <v>28.588200000000001</v>
      </c>
      <c r="O14" s="205">
        <f t="shared" si="3"/>
        <v>728.03224000000012</v>
      </c>
      <c r="P14" s="182">
        <f t="shared" si="4"/>
        <v>145.36372881355931</v>
      </c>
      <c r="Q14" s="205">
        <f t="shared" si="5"/>
        <v>79.544031186440634</v>
      </c>
      <c r="R14" s="184">
        <f t="shared" si="6"/>
        <v>8.3472234544085283E-2</v>
      </c>
      <c r="S14" s="182">
        <f t="shared" si="7"/>
        <v>952.94</v>
      </c>
      <c r="T14" s="182">
        <f>VLOOKUP(A14,'Margin Calculation'!F:AN,35,0)</f>
        <v>899</v>
      </c>
      <c r="U14" s="182"/>
      <c r="V14" s="182"/>
      <c r="W14" s="182"/>
      <c r="X14" s="182"/>
      <c r="Y14" s="182"/>
      <c r="Z14" s="182"/>
    </row>
    <row r="15" spans="1:26">
      <c r="A15" s="69" t="s">
        <v>441</v>
      </c>
      <c r="B15" s="102" t="s">
        <v>442</v>
      </c>
      <c r="C15" s="69" t="s">
        <v>443</v>
      </c>
      <c r="D15" s="69" t="s">
        <v>314</v>
      </c>
      <c r="E15" s="69" t="s">
        <v>444</v>
      </c>
      <c r="F15" s="69"/>
      <c r="G15" s="69" t="s">
        <v>438</v>
      </c>
      <c r="H15" s="69" t="s">
        <v>445</v>
      </c>
      <c r="I15" s="205">
        <f>VLOOKUP(A15,'Margin Calculation'!F:Y,20,0)</f>
        <v>443.50416000000001</v>
      </c>
      <c r="J15" s="205">
        <f>VLOOKUP(A15,'Margin Calculation'!F:Z,21,0)</f>
        <v>523.33490879999999</v>
      </c>
      <c r="K15" s="182">
        <v>100</v>
      </c>
      <c r="L15" s="182">
        <f t="shared" si="0"/>
        <v>105.89400000000001</v>
      </c>
      <c r="M15" s="182">
        <f t="shared" si="1"/>
        <v>52.947000000000003</v>
      </c>
      <c r="N15" s="182">
        <f t="shared" si="2"/>
        <v>31.7682</v>
      </c>
      <c r="O15" s="205">
        <f t="shared" si="3"/>
        <v>734.11335999999994</v>
      </c>
      <c r="P15" s="182">
        <f t="shared" si="4"/>
        <v>161.53322033898303</v>
      </c>
      <c r="Q15" s="205">
        <f t="shared" si="5"/>
        <v>163.29341966101708</v>
      </c>
      <c r="R15" s="184">
        <f t="shared" si="6"/>
        <v>0.154204600507127</v>
      </c>
      <c r="S15" s="182">
        <f t="shared" si="7"/>
        <v>1058.94</v>
      </c>
      <c r="T15" s="182">
        <f>VLOOKUP(A15,'Margin Calculation'!F:AN,35,0)</f>
        <v>999</v>
      </c>
      <c r="U15" s="182"/>
      <c r="V15" s="182"/>
      <c r="W15" s="182"/>
      <c r="X15" s="182"/>
      <c r="Y15" s="182"/>
      <c r="Z15" s="182"/>
    </row>
    <row r="16" spans="1:26">
      <c r="A16" s="69" t="s">
        <v>448</v>
      </c>
      <c r="B16" s="102" t="s">
        <v>449</v>
      </c>
      <c r="C16" s="69" t="s">
        <v>450</v>
      </c>
      <c r="D16" s="69" t="s">
        <v>314</v>
      </c>
      <c r="E16" s="69" t="s">
        <v>444</v>
      </c>
      <c r="F16" s="69"/>
      <c r="G16" s="69" t="s">
        <v>438</v>
      </c>
      <c r="H16" s="69" t="s">
        <v>451</v>
      </c>
      <c r="I16" s="205">
        <f>VLOOKUP(A16,'Margin Calculation'!F:Y,20,0)</f>
        <v>520.78140000000008</v>
      </c>
      <c r="J16" s="205">
        <f>VLOOKUP(A16,'Margin Calculation'!F:Z,21,0)</f>
        <v>614.52205200000003</v>
      </c>
      <c r="K16" s="182">
        <v>100</v>
      </c>
      <c r="L16" s="182">
        <f t="shared" si="0"/>
        <v>127.09400000000001</v>
      </c>
      <c r="M16" s="182">
        <f t="shared" si="1"/>
        <v>63.547000000000004</v>
      </c>
      <c r="N16" s="182">
        <f t="shared" si="2"/>
        <v>38.1282</v>
      </c>
      <c r="O16" s="205">
        <f t="shared" si="3"/>
        <v>849.55060000000014</v>
      </c>
      <c r="P16" s="182">
        <f t="shared" si="4"/>
        <v>193.87220338983047</v>
      </c>
      <c r="Q16" s="205">
        <f t="shared" si="5"/>
        <v>227.51719661016944</v>
      </c>
      <c r="R16" s="184">
        <f t="shared" si="6"/>
        <v>0.17901489968855291</v>
      </c>
      <c r="S16" s="182">
        <f t="shared" si="7"/>
        <v>1270.94</v>
      </c>
      <c r="T16" s="182">
        <f>VLOOKUP(A16,'Margin Calculation'!F:AN,35,0)</f>
        <v>1199</v>
      </c>
      <c r="U16" s="182"/>
      <c r="V16" s="182"/>
      <c r="W16" s="182"/>
      <c r="X16" s="182"/>
      <c r="Y16" s="182"/>
      <c r="Z16" s="182"/>
    </row>
    <row r="17" spans="1:26">
      <c r="A17" s="206" t="s">
        <v>454</v>
      </c>
      <c r="B17" s="206" t="s">
        <v>455</v>
      </c>
      <c r="C17" s="207" t="s">
        <v>456</v>
      </c>
      <c r="D17" s="207" t="s">
        <v>234</v>
      </c>
      <c r="E17" s="207" t="s">
        <v>235</v>
      </c>
      <c r="F17" s="207"/>
      <c r="G17" s="207" t="s">
        <v>237</v>
      </c>
      <c r="H17" s="207" t="s">
        <v>457</v>
      </c>
      <c r="I17" s="208">
        <f>VLOOKUP(A17,'Margin Calculation'!F:Y,20,0)</f>
        <v>839.97</v>
      </c>
      <c r="J17" s="208">
        <f>VLOOKUP(A17,'Margin Calculation'!F:Z,21,0)</f>
        <v>991.16459999999995</v>
      </c>
      <c r="K17" s="209">
        <v>100</v>
      </c>
      <c r="L17" s="209">
        <f t="shared" si="0"/>
        <v>179.9</v>
      </c>
      <c r="M17" s="209">
        <f t="shared" si="1"/>
        <v>89.95</v>
      </c>
      <c r="N17" s="209">
        <f t="shared" si="2"/>
        <v>53.97</v>
      </c>
      <c r="O17" s="208">
        <f t="shared" si="3"/>
        <v>1263.7900000000002</v>
      </c>
      <c r="P17" s="209">
        <f t="shared" si="4"/>
        <v>274.42372881355914</v>
      </c>
      <c r="Q17" s="208">
        <f t="shared" si="5"/>
        <v>260.78627118644067</v>
      </c>
      <c r="R17" s="210">
        <f t="shared" si="6"/>
        <v>0.14496179610141227</v>
      </c>
      <c r="S17" s="209">
        <v>1799</v>
      </c>
      <c r="T17" s="209">
        <f>VLOOKUP(A17,'Margin Calculation'!F:AN,35,0)</f>
        <v>1799</v>
      </c>
      <c r="U17" s="209"/>
      <c r="V17" s="209"/>
      <c r="W17" s="209"/>
      <c r="X17" s="209"/>
      <c r="Y17" s="209"/>
      <c r="Z17" s="209"/>
    </row>
    <row r="18" spans="1:26">
      <c r="A18" s="69" t="s">
        <v>458</v>
      </c>
      <c r="B18" s="187"/>
      <c r="C18" s="69" t="s">
        <v>459</v>
      </c>
      <c r="D18" s="69" t="s">
        <v>234</v>
      </c>
      <c r="E18" s="69" t="s">
        <v>235</v>
      </c>
      <c r="F18" s="69"/>
      <c r="G18" s="69"/>
      <c r="H18" s="69" t="s">
        <v>460</v>
      </c>
      <c r="I18" s="205">
        <f>VLOOKUP(A18,'Margin Calculation'!F:Y,20,0)</f>
        <v>414.3852</v>
      </c>
      <c r="J18" s="205">
        <f>VLOOKUP(A18,'Margin Calculation'!F:Z,21,0)</f>
        <v>488.97453599999994</v>
      </c>
      <c r="K18" s="182">
        <v>100</v>
      </c>
      <c r="L18" s="182">
        <f t="shared" si="0"/>
        <v>105.89400000000001</v>
      </c>
      <c r="M18" s="182">
        <f t="shared" si="1"/>
        <v>52.947000000000003</v>
      </c>
      <c r="N18" s="182">
        <f t="shared" si="2"/>
        <v>31.7682</v>
      </c>
      <c r="O18" s="205">
        <f t="shared" si="3"/>
        <v>704.99439999999993</v>
      </c>
      <c r="P18" s="182">
        <f t="shared" si="4"/>
        <v>161.53322033898303</v>
      </c>
      <c r="Q18" s="205">
        <f t="shared" si="5"/>
        <v>192.4123796610171</v>
      </c>
      <c r="R18" s="184">
        <f t="shared" si="6"/>
        <v>0.18170281570345542</v>
      </c>
      <c r="S18" s="182">
        <f t="shared" ref="S18:S113" si="8">T18*106%</f>
        <v>1058.94</v>
      </c>
      <c r="T18" s="182">
        <f>VLOOKUP(A18,'Margin Calculation'!F:AN,35,0)</f>
        <v>999</v>
      </c>
      <c r="U18" s="182"/>
      <c r="V18" s="182"/>
      <c r="W18" s="182"/>
      <c r="X18" s="182"/>
      <c r="Y18" s="182"/>
      <c r="Z18" s="182"/>
    </row>
    <row r="19" spans="1:26">
      <c r="A19" s="69" t="s">
        <v>462</v>
      </c>
      <c r="B19" s="211" t="s">
        <v>463</v>
      </c>
      <c r="C19" s="69" t="s">
        <v>464</v>
      </c>
      <c r="D19" s="69" t="s">
        <v>314</v>
      </c>
      <c r="E19" s="69" t="s">
        <v>465</v>
      </c>
      <c r="F19" s="69"/>
      <c r="G19" s="69" t="s">
        <v>438</v>
      </c>
      <c r="H19" s="69" t="s">
        <v>466</v>
      </c>
      <c r="I19" s="205">
        <f>VLOOKUP(A19,'Margin Calculation'!F:Y,20,0)</f>
        <v>615.97800000000007</v>
      </c>
      <c r="J19" s="205">
        <f>VLOOKUP(A19,'Margin Calculation'!F:Z,21,0)</f>
        <v>726.85404000000005</v>
      </c>
      <c r="K19" s="182">
        <v>100</v>
      </c>
      <c r="L19" s="182">
        <f t="shared" si="0"/>
        <v>158.89400000000001</v>
      </c>
      <c r="M19" s="182">
        <f t="shared" si="1"/>
        <v>79.447000000000003</v>
      </c>
      <c r="N19" s="182">
        <f t="shared" si="2"/>
        <v>47.668199999999999</v>
      </c>
      <c r="O19" s="205">
        <f t="shared" si="3"/>
        <v>1001.9872</v>
      </c>
      <c r="P19" s="182">
        <f t="shared" si="4"/>
        <v>242.38067796610153</v>
      </c>
      <c r="Q19" s="205">
        <f t="shared" si="5"/>
        <v>344.57212203389849</v>
      </c>
      <c r="R19" s="184">
        <f t="shared" si="6"/>
        <v>0.21685659750141509</v>
      </c>
      <c r="S19" s="182">
        <f t="shared" si="8"/>
        <v>1588.94</v>
      </c>
      <c r="T19" s="182">
        <f>VLOOKUP(A19,'Margin Calculation'!F:AN,35,0)</f>
        <v>1499</v>
      </c>
      <c r="U19" s="182"/>
      <c r="V19" s="182"/>
      <c r="W19" s="182"/>
      <c r="X19" s="182"/>
      <c r="Y19" s="182"/>
      <c r="Z19" s="182"/>
    </row>
    <row r="20" spans="1:26">
      <c r="A20" s="69" t="s">
        <v>468</v>
      </c>
      <c r="B20" s="211" t="s">
        <v>469</v>
      </c>
      <c r="C20" s="69" t="s">
        <v>470</v>
      </c>
      <c r="D20" s="69" t="s">
        <v>314</v>
      </c>
      <c r="E20" s="69" t="s">
        <v>465</v>
      </c>
      <c r="F20" s="69"/>
      <c r="G20" s="69" t="s">
        <v>438</v>
      </c>
      <c r="H20" s="69" t="s">
        <v>466</v>
      </c>
      <c r="I20" s="205">
        <f>VLOOKUP(A20,'Margin Calculation'!F:Y,20,0)</f>
        <v>559.9799999999999</v>
      </c>
      <c r="J20" s="205">
        <f>VLOOKUP(A20,'Margin Calculation'!F:Z,21,0)</f>
        <v>660.77639999999985</v>
      </c>
      <c r="K20" s="182">
        <v>100</v>
      </c>
      <c r="L20" s="182">
        <f t="shared" si="0"/>
        <v>158.89400000000001</v>
      </c>
      <c r="M20" s="182">
        <f t="shared" si="1"/>
        <v>79.447000000000003</v>
      </c>
      <c r="N20" s="182">
        <f t="shared" si="2"/>
        <v>47.668199999999999</v>
      </c>
      <c r="O20" s="205">
        <f t="shared" si="3"/>
        <v>945.98919999999987</v>
      </c>
      <c r="P20" s="182">
        <f t="shared" si="4"/>
        <v>242.38067796610153</v>
      </c>
      <c r="Q20" s="205">
        <f t="shared" si="5"/>
        <v>400.57012203389866</v>
      </c>
      <c r="R20" s="184">
        <f t="shared" si="6"/>
        <v>0.25209896033449886</v>
      </c>
      <c r="S20" s="182">
        <f t="shared" si="8"/>
        <v>1588.94</v>
      </c>
      <c r="T20" s="182">
        <f>VLOOKUP(A20,'Margin Calculation'!F:AN,35,0)</f>
        <v>1499</v>
      </c>
      <c r="U20" s="182"/>
      <c r="V20" s="182"/>
      <c r="W20" s="182"/>
      <c r="X20" s="182"/>
      <c r="Y20" s="182"/>
      <c r="Z20" s="182"/>
    </row>
    <row r="21" spans="1:26">
      <c r="A21" s="69" t="s">
        <v>480</v>
      </c>
      <c r="B21" s="187"/>
      <c r="C21" s="69" t="s">
        <v>481</v>
      </c>
      <c r="D21" s="69" t="s">
        <v>465</v>
      </c>
      <c r="E21" s="69"/>
      <c r="F21" s="69"/>
      <c r="G21" s="69"/>
      <c r="H21" s="69" t="s">
        <v>482</v>
      </c>
      <c r="I21" s="205">
        <f>VLOOKUP(A21,'Margin Calculation'!F:Y,20,0)</f>
        <v>455.82372000000009</v>
      </c>
      <c r="J21" s="205">
        <f>VLOOKUP(A21,'Margin Calculation'!F:Z,21,0)</f>
        <v>537.87198960000012</v>
      </c>
      <c r="K21" s="182">
        <v>100</v>
      </c>
      <c r="L21" s="182">
        <f t="shared" si="0"/>
        <v>201.29400000000001</v>
      </c>
      <c r="M21" s="182">
        <f t="shared" si="1"/>
        <v>100.64700000000001</v>
      </c>
      <c r="N21" s="182">
        <f t="shared" si="2"/>
        <v>60.388199999999998</v>
      </c>
      <c r="O21" s="205">
        <f t="shared" si="3"/>
        <v>918.15292000000011</v>
      </c>
      <c r="P21" s="182">
        <f t="shared" si="4"/>
        <v>307.05864406779642</v>
      </c>
      <c r="Q21" s="205">
        <f t="shared" si="5"/>
        <v>787.72843593220364</v>
      </c>
      <c r="R21" s="184">
        <f t="shared" si="6"/>
        <v>0.39133229799805441</v>
      </c>
      <c r="S21" s="182">
        <f t="shared" si="8"/>
        <v>2012.94</v>
      </c>
      <c r="T21" s="182">
        <f>VLOOKUP(A21,'Margin Calculation'!F:AN,35,0)</f>
        <v>1899</v>
      </c>
      <c r="U21" s="182"/>
      <c r="V21" s="182"/>
      <c r="W21" s="182"/>
      <c r="X21" s="182"/>
      <c r="Y21" s="182"/>
      <c r="Z21" s="182"/>
    </row>
    <row r="22" spans="1:26">
      <c r="A22" s="69" t="s">
        <v>538</v>
      </c>
      <c r="B22" s="187" t="s">
        <v>539</v>
      </c>
      <c r="C22" s="69" t="s">
        <v>483</v>
      </c>
      <c r="D22" s="69" t="s">
        <v>465</v>
      </c>
      <c r="E22" s="69"/>
      <c r="F22" s="69"/>
      <c r="G22" s="69"/>
      <c r="H22" s="69" t="s">
        <v>484</v>
      </c>
      <c r="I22" s="205">
        <f>VLOOKUP(A22,'Margin Calculation'!F:Y,20,0)</f>
        <v>379.66644000000002</v>
      </c>
      <c r="J22" s="205">
        <f>VLOOKUP(A22,'Margin Calculation'!F:Z,21,0)</f>
        <v>448.00639919999998</v>
      </c>
      <c r="K22" s="182">
        <v>100</v>
      </c>
      <c r="L22" s="182">
        <f t="shared" si="0"/>
        <v>105.89400000000001</v>
      </c>
      <c r="M22" s="182">
        <f t="shared" si="1"/>
        <v>52.947000000000003</v>
      </c>
      <c r="N22" s="182">
        <f t="shared" si="2"/>
        <v>31.7682</v>
      </c>
      <c r="O22" s="205">
        <f t="shared" si="3"/>
        <v>670.27563999999995</v>
      </c>
      <c r="P22" s="182">
        <f t="shared" si="4"/>
        <v>161.53322033898303</v>
      </c>
      <c r="Q22" s="205">
        <f t="shared" si="5"/>
        <v>227.13113966101707</v>
      </c>
      <c r="R22" s="184">
        <f t="shared" si="6"/>
        <v>0.21448914920677004</v>
      </c>
      <c r="S22" s="182">
        <f t="shared" si="8"/>
        <v>1058.94</v>
      </c>
      <c r="T22" s="182">
        <f>VLOOKUP(A22,'Margin Calculation'!F:AN,35,0)</f>
        <v>999</v>
      </c>
      <c r="U22" s="182"/>
      <c r="V22" s="182"/>
      <c r="W22" s="182"/>
      <c r="X22" s="182"/>
      <c r="Y22" s="182"/>
      <c r="Z22" s="182"/>
    </row>
    <row r="23" spans="1:26">
      <c r="A23" s="69" t="s">
        <v>485</v>
      </c>
      <c r="B23" s="187" t="s">
        <v>472</v>
      </c>
      <c r="C23" s="69" t="s">
        <v>486</v>
      </c>
      <c r="D23" s="69" t="s">
        <v>234</v>
      </c>
      <c r="E23" s="69" t="s">
        <v>235</v>
      </c>
      <c r="F23" s="69"/>
      <c r="G23" s="69" t="s">
        <v>438</v>
      </c>
      <c r="H23" s="69" t="s">
        <v>487</v>
      </c>
      <c r="I23" s="205">
        <f>VLOOKUP(A23,'Margin Calculation'!F:Y,20,0)</f>
        <v>321.42851999999999</v>
      </c>
      <c r="J23" s="205">
        <f>VLOOKUP(A23,'Margin Calculation'!F:Z,21,0)</f>
        <v>379.28565359999999</v>
      </c>
      <c r="K23" s="182">
        <v>100</v>
      </c>
      <c r="L23" s="182">
        <f t="shared" si="0"/>
        <v>84.694000000000017</v>
      </c>
      <c r="M23" s="182">
        <f t="shared" si="1"/>
        <v>42.347000000000008</v>
      </c>
      <c r="N23" s="182">
        <f t="shared" si="2"/>
        <v>25.408200000000001</v>
      </c>
      <c r="O23" s="205">
        <f t="shared" si="3"/>
        <v>573.87771999999995</v>
      </c>
      <c r="P23" s="182">
        <f t="shared" si="4"/>
        <v>129.19423728813558</v>
      </c>
      <c r="Q23" s="205">
        <f t="shared" si="5"/>
        <v>143.86804271186452</v>
      </c>
      <c r="R23" s="184">
        <f t="shared" si="6"/>
        <v>0.16986804580237622</v>
      </c>
      <c r="S23" s="182">
        <f t="shared" si="8"/>
        <v>846.94</v>
      </c>
      <c r="T23" s="182">
        <f>VLOOKUP(A23,'Margin Calculation'!F:AN,35,0)</f>
        <v>799</v>
      </c>
      <c r="U23" s="182"/>
      <c r="V23" s="182"/>
      <c r="W23" s="182"/>
      <c r="X23" s="182"/>
      <c r="Y23" s="182"/>
      <c r="Z23" s="182"/>
    </row>
    <row r="24" spans="1:26">
      <c r="A24" s="69" t="s">
        <v>488</v>
      </c>
      <c r="B24" s="187" t="s">
        <v>476</v>
      </c>
      <c r="C24" s="69" t="s">
        <v>489</v>
      </c>
      <c r="D24" s="69" t="s">
        <v>234</v>
      </c>
      <c r="E24" s="69" t="s">
        <v>235</v>
      </c>
      <c r="F24" s="69"/>
      <c r="G24" s="69" t="s">
        <v>438</v>
      </c>
      <c r="H24" s="69" t="s">
        <v>490</v>
      </c>
      <c r="I24" s="205">
        <f>VLOOKUP(A24,'Margin Calculation'!F:Y,20,0)</f>
        <v>331.50816000000003</v>
      </c>
      <c r="J24" s="205">
        <f>VLOOKUP(A24,'Margin Calculation'!F:Z,21,0)</f>
        <v>391.17962879999999</v>
      </c>
      <c r="K24" s="182">
        <v>100</v>
      </c>
      <c r="L24" s="182">
        <f t="shared" si="0"/>
        <v>89.994000000000014</v>
      </c>
      <c r="M24" s="182">
        <f t="shared" si="1"/>
        <v>44.997000000000007</v>
      </c>
      <c r="N24" s="182">
        <f t="shared" si="2"/>
        <v>26.998200000000001</v>
      </c>
      <c r="O24" s="205">
        <f t="shared" si="3"/>
        <v>593.49735999999996</v>
      </c>
      <c r="P24" s="182">
        <f t="shared" si="4"/>
        <v>137.27898305084739</v>
      </c>
      <c r="Q24" s="205">
        <f t="shared" si="5"/>
        <v>169.16365694915271</v>
      </c>
      <c r="R24" s="184">
        <f t="shared" si="6"/>
        <v>0.18797215030907916</v>
      </c>
      <c r="S24" s="182">
        <f t="shared" si="8"/>
        <v>899.94</v>
      </c>
      <c r="T24" s="182">
        <f>VLOOKUP(A24,'Margin Calculation'!F:AN,35,0)</f>
        <v>849</v>
      </c>
      <c r="U24" s="182"/>
      <c r="V24" s="182"/>
      <c r="W24" s="182"/>
      <c r="X24" s="182"/>
      <c r="Y24" s="182"/>
      <c r="Z24" s="182"/>
    </row>
    <row r="25" spans="1:26">
      <c r="A25" s="102" t="s">
        <v>491</v>
      </c>
      <c r="B25" s="187" t="s">
        <v>492</v>
      </c>
      <c r="C25" s="69" t="s">
        <v>493</v>
      </c>
      <c r="D25" s="69" t="s">
        <v>234</v>
      </c>
      <c r="E25" s="69" t="s">
        <v>249</v>
      </c>
      <c r="F25" s="69"/>
      <c r="G25" s="69" t="s">
        <v>237</v>
      </c>
      <c r="H25" s="69" t="s">
        <v>494</v>
      </c>
      <c r="I25" s="205">
        <f>VLOOKUP(A25,'Margin Calculation'!F:Y,20,0)</f>
        <v>1959.93</v>
      </c>
      <c r="J25" s="205">
        <f>VLOOKUP(A25,'Margin Calculation'!F:Z,21,0)</f>
        <v>2312.7174</v>
      </c>
      <c r="K25" s="182">
        <v>100</v>
      </c>
      <c r="L25" s="182">
        <f t="shared" si="0"/>
        <v>402.69400000000002</v>
      </c>
      <c r="M25" s="182">
        <f t="shared" si="1"/>
        <v>201.34700000000001</v>
      </c>
      <c r="N25" s="182">
        <f t="shared" si="2"/>
        <v>120.8082</v>
      </c>
      <c r="O25" s="205">
        <f t="shared" si="3"/>
        <v>2784.7792000000004</v>
      </c>
      <c r="P25" s="182">
        <f t="shared" si="4"/>
        <v>614.27898305084727</v>
      </c>
      <c r="Q25" s="205">
        <f t="shared" si="5"/>
        <v>627.88181694915238</v>
      </c>
      <c r="R25" s="184">
        <f t="shared" si="6"/>
        <v>0.15592033080928755</v>
      </c>
      <c r="S25" s="182">
        <f t="shared" si="8"/>
        <v>4026.94</v>
      </c>
      <c r="T25" s="182">
        <f>VLOOKUP(A25,'Margin Calculation'!F:AN,35,0)</f>
        <v>3799</v>
      </c>
      <c r="U25" s="182"/>
      <c r="V25" s="182"/>
      <c r="W25" s="182"/>
      <c r="X25" s="182"/>
      <c r="Y25" s="182"/>
      <c r="Z25" s="182"/>
    </row>
    <row r="26" spans="1:26">
      <c r="A26" s="102" t="s">
        <v>496</v>
      </c>
      <c r="B26" s="187" t="s">
        <v>497</v>
      </c>
      <c r="C26" s="69" t="s">
        <v>498</v>
      </c>
      <c r="D26" s="69" t="s">
        <v>234</v>
      </c>
      <c r="E26" s="69" t="s">
        <v>249</v>
      </c>
      <c r="F26" s="69"/>
      <c r="G26" s="69" t="s">
        <v>237</v>
      </c>
      <c r="H26" s="69" t="s">
        <v>499</v>
      </c>
      <c r="I26" s="205">
        <f>VLOOKUP(A26,'Margin Calculation'!F:Y,20,0)</f>
        <v>3303.8820000000001</v>
      </c>
      <c r="J26" s="205">
        <f>VLOOKUP(A26,'Margin Calculation'!F:Z,21,0)</f>
        <v>3898.5807599999998</v>
      </c>
      <c r="K26" s="182">
        <v>100</v>
      </c>
      <c r="L26" s="182">
        <f t="shared" si="0"/>
        <v>741.89400000000012</v>
      </c>
      <c r="M26" s="182">
        <f t="shared" si="1"/>
        <v>370.94700000000006</v>
      </c>
      <c r="N26" s="182">
        <f t="shared" si="2"/>
        <v>222.56820000000002</v>
      </c>
      <c r="O26" s="205">
        <f t="shared" si="3"/>
        <v>4739.2911999999997</v>
      </c>
      <c r="P26" s="182">
        <f t="shared" si="4"/>
        <v>1131.7027118644064</v>
      </c>
      <c r="Q26" s="205">
        <f t="shared" si="5"/>
        <v>1547.9460881355944</v>
      </c>
      <c r="R26" s="184">
        <f t="shared" si="6"/>
        <v>0.20864787801702053</v>
      </c>
      <c r="S26" s="182">
        <f t="shared" si="8"/>
        <v>7418.9400000000005</v>
      </c>
      <c r="T26" s="182">
        <f>VLOOKUP(A26,'Margin Calculation'!F:AN,35,0)</f>
        <v>6999</v>
      </c>
      <c r="U26" s="182"/>
      <c r="V26" s="182"/>
      <c r="W26" s="182"/>
      <c r="X26" s="182"/>
      <c r="Y26" s="182"/>
      <c r="Z26" s="182"/>
    </row>
    <row r="27" spans="1:26">
      <c r="A27" s="69" t="s">
        <v>500</v>
      </c>
      <c r="B27" s="187" t="s">
        <v>501</v>
      </c>
      <c r="C27" s="69" t="s">
        <v>459</v>
      </c>
      <c r="D27" s="69" t="s">
        <v>234</v>
      </c>
      <c r="E27" s="69" t="s">
        <v>235</v>
      </c>
      <c r="F27" s="69"/>
      <c r="G27" s="69" t="s">
        <v>502</v>
      </c>
      <c r="H27" s="69" t="s">
        <v>503</v>
      </c>
      <c r="I27" s="205">
        <f>VLOOKUP(A27,'Margin Calculation'!F:Y,20,0)</f>
        <v>380.78639999999996</v>
      </c>
      <c r="J27" s="205">
        <f>VLOOKUP(A27,'Margin Calculation'!F:Z,21,0)</f>
        <v>449.32795199999993</v>
      </c>
      <c r="K27" s="182">
        <v>100</v>
      </c>
      <c r="L27" s="182">
        <f t="shared" si="0"/>
        <v>74.094000000000008</v>
      </c>
      <c r="M27" s="182">
        <f t="shared" si="1"/>
        <v>37.047000000000004</v>
      </c>
      <c r="N27" s="182">
        <f t="shared" si="2"/>
        <v>22.228200000000001</v>
      </c>
      <c r="O27" s="205">
        <f t="shared" si="3"/>
        <v>614.15560000000005</v>
      </c>
      <c r="P27" s="182">
        <f t="shared" si="4"/>
        <v>113.02474576271186</v>
      </c>
      <c r="Q27" s="205">
        <f t="shared" si="5"/>
        <v>13.759654237288146</v>
      </c>
      <c r="R27" s="184">
        <f t="shared" si="6"/>
        <v>1.8570537745685407E-2</v>
      </c>
      <c r="S27" s="182">
        <f t="shared" si="8"/>
        <v>740.94</v>
      </c>
      <c r="T27" s="182">
        <f>VLOOKUP(A27,'Margin Calculation'!F:AN,35,0)</f>
        <v>699</v>
      </c>
      <c r="U27" s="182"/>
      <c r="V27" s="182"/>
      <c r="W27" s="182"/>
      <c r="X27" s="182"/>
      <c r="Y27" s="182"/>
      <c r="Z27" s="182"/>
    </row>
    <row r="28" spans="1:26">
      <c r="A28" s="102" t="s">
        <v>504</v>
      </c>
      <c r="B28" s="211" t="s">
        <v>505</v>
      </c>
      <c r="C28" s="69" t="s">
        <v>506</v>
      </c>
      <c r="D28" s="69" t="s">
        <v>234</v>
      </c>
      <c r="E28" s="69" t="s">
        <v>235</v>
      </c>
      <c r="F28" s="69"/>
      <c r="G28" s="69" t="s">
        <v>502</v>
      </c>
      <c r="H28" s="69" t="s">
        <v>507</v>
      </c>
      <c r="I28" s="205">
        <f>VLOOKUP(A28,'Margin Calculation'!F:Y,20,0)</f>
        <v>761.57279999999992</v>
      </c>
      <c r="J28" s="205">
        <f>VLOOKUP(A28,'Margin Calculation'!F:Z,21,0)</f>
        <v>898.65590399999985</v>
      </c>
      <c r="K28" s="182">
        <v>100</v>
      </c>
      <c r="L28" s="182">
        <f t="shared" si="0"/>
        <v>153.59400000000002</v>
      </c>
      <c r="M28" s="182">
        <f t="shared" si="1"/>
        <v>76.797000000000011</v>
      </c>
      <c r="N28" s="182">
        <f t="shared" si="2"/>
        <v>46.078200000000002</v>
      </c>
      <c r="O28" s="205">
        <f t="shared" si="3"/>
        <v>1138.0419999999999</v>
      </c>
      <c r="P28" s="182">
        <f t="shared" si="4"/>
        <v>234.29593220338984</v>
      </c>
      <c r="Q28" s="205">
        <f t="shared" si="5"/>
        <v>163.6020677966103</v>
      </c>
      <c r="R28" s="184">
        <f t="shared" si="6"/>
        <v>0.10651592366668639</v>
      </c>
      <c r="S28" s="182">
        <f t="shared" si="8"/>
        <v>1535.94</v>
      </c>
      <c r="T28" s="182">
        <f>VLOOKUP(A28,'Margin Calculation'!F:AN,35,0)</f>
        <v>1449</v>
      </c>
      <c r="U28" s="182"/>
      <c r="V28" s="182"/>
      <c r="W28" s="182"/>
      <c r="X28" s="182"/>
      <c r="Y28" s="182"/>
      <c r="Z28" s="182"/>
    </row>
    <row r="29" spans="1:26">
      <c r="A29" s="69" t="s">
        <v>508</v>
      </c>
      <c r="B29" s="211" t="s">
        <v>509</v>
      </c>
      <c r="C29" s="69" t="s">
        <v>481</v>
      </c>
      <c r="D29" s="69" t="s">
        <v>314</v>
      </c>
      <c r="E29" s="69" t="s">
        <v>465</v>
      </c>
      <c r="F29" s="69"/>
      <c r="G29" s="69" t="s">
        <v>510</v>
      </c>
      <c r="H29" s="69" t="s">
        <v>511</v>
      </c>
      <c r="I29" s="205">
        <f>VLOOKUP(A29,'Margin Calculation'!F:Y,20,0)</f>
        <v>655.17660000000001</v>
      </c>
      <c r="J29" s="205">
        <f>VLOOKUP(A29,'Margin Calculation'!F:Z,21,0)</f>
        <v>773.10838799999999</v>
      </c>
      <c r="K29" s="182">
        <v>100</v>
      </c>
      <c r="L29" s="182">
        <f t="shared" si="0"/>
        <v>158.89400000000001</v>
      </c>
      <c r="M29" s="182">
        <f t="shared" si="1"/>
        <v>79.447000000000003</v>
      </c>
      <c r="N29" s="182">
        <f t="shared" si="2"/>
        <v>47.668199999999999</v>
      </c>
      <c r="O29" s="205">
        <f t="shared" si="3"/>
        <v>1041.1858</v>
      </c>
      <c r="P29" s="182">
        <f t="shared" si="4"/>
        <v>242.38067796610153</v>
      </c>
      <c r="Q29" s="205">
        <f t="shared" si="5"/>
        <v>305.37352203389855</v>
      </c>
      <c r="R29" s="184">
        <f t="shared" si="6"/>
        <v>0.19218694351825655</v>
      </c>
      <c r="S29" s="182">
        <f t="shared" si="8"/>
        <v>1588.94</v>
      </c>
      <c r="T29" s="182">
        <f>VLOOKUP(A29,'Margin Calculation'!F:AN,35,0)</f>
        <v>1499</v>
      </c>
      <c r="U29" s="182"/>
      <c r="V29" s="182"/>
      <c r="W29" s="182"/>
      <c r="X29" s="182"/>
      <c r="Y29" s="182"/>
      <c r="Z29" s="182"/>
    </row>
    <row r="30" spans="1:26">
      <c r="A30" s="102" t="s">
        <v>512</v>
      </c>
      <c r="B30" s="187" t="s">
        <v>513</v>
      </c>
      <c r="C30" s="69" t="s">
        <v>514</v>
      </c>
      <c r="D30" s="69" t="s">
        <v>314</v>
      </c>
      <c r="E30" s="69" t="s">
        <v>465</v>
      </c>
      <c r="F30" s="69"/>
      <c r="G30" s="69" t="s">
        <v>515</v>
      </c>
      <c r="H30" s="69" t="s">
        <v>516</v>
      </c>
      <c r="I30" s="205">
        <f>VLOOKUP(A30,'Margin Calculation'!F:Y,20,0)</f>
        <v>458.541</v>
      </c>
      <c r="J30" s="205">
        <f>VLOOKUP(A30,'Margin Calculation'!F:Z,21,0)</f>
        <v>513.56592000000001</v>
      </c>
      <c r="K30" s="182">
        <v>100</v>
      </c>
      <c r="L30" s="182">
        <f t="shared" si="0"/>
        <v>101.65400000000001</v>
      </c>
      <c r="M30" s="182">
        <f t="shared" si="1"/>
        <v>50.827000000000005</v>
      </c>
      <c r="N30" s="182">
        <f t="shared" si="2"/>
        <v>30.496200000000002</v>
      </c>
      <c r="O30" s="205">
        <f t="shared" si="3"/>
        <v>741.51819999999998</v>
      </c>
      <c r="P30" s="182">
        <f t="shared" si="4"/>
        <v>155.06542372881347</v>
      </c>
      <c r="Q30" s="205">
        <f t="shared" si="5"/>
        <v>119.95637627118663</v>
      </c>
      <c r="R30" s="184">
        <f t="shared" si="6"/>
        <v>0.11800458050955852</v>
      </c>
      <c r="S30" s="182">
        <f t="shared" si="8"/>
        <v>1016.5400000000001</v>
      </c>
      <c r="T30" s="182">
        <f>VLOOKUP(A30,'Margin Calculation'!F:AN,35,0)</f>
        <v>959</v>
      </c>
      <c r="U30" s="182"/>
      <c r="V30" s="182"/>
      <c r="W30" s="182"/>
      <c r="X30" s="182"/>
      <c r="Y30" s="182"/>
      <c r="Z30" s="182"/>
    </row>
    <row r="31" spans="1:26">
      <c r="A31" s="69" t="s">
        <v>520</v>
      </c>
      <c r="B31" s="187" t="s">
        <v>521</v>
      </c>
      <c r="C31" s="69" t="s">
        <v>522</v>
      </c>
      <c r="D31" s="69" t="s">
        <v>314</v>
      </c>
      <c r="E31" s="69" t="s">
        <v>465</v>
      </c>
      <c r="F31" s="69"/>
      <c r="G31" s="69" t="s">
        <v>523</v>
      </c>
      <c r="H31" s="69" t="s">
        <v>524</v>
      </c>
      <c r="I31" s="205">
        <f>VLOOKUP(A31,'Margin Calculation'!F:Y,20,0)</f>
        <v>611.38800000000003</v>
      </c>
      <c r="J31" s="205">
        <f>VLOOKUP(A31,'Margin Calculation'!F:Z,21,0)</f>
        <v>684.75456000000008</v>
      </c>
      <c r="K31" s="182">
        <v>100</v>
      </c>
      <c r="L31" s="182">
        <f t="shared" si="0"/>
        <v>137.69400000000002</v>
      </c>
      <c r="M31" s="182">
        <f t="shared" si="1"/>
        <v>68.847000000000008</v>
      </c>
      <c r="N31" s="182">
        <f t="shared" si="2"/>
        <v>41.308199999999999</v>
      </c>
      <c r="O31" s="205">
        <f t="shared" si="3"/>
        <v>959.23720000000003</v>
      </c>
      <c r="P31" s="182">
        <f t="shared" si="4"/>
        <v>210.04169491525408</v>
      </c>
      <c r="Q31" s="205">
        <f t="shared" si="5"/>
        <v>207.66110508474594</v>
      </c>
      <c r="R31" s="184">
        <f t="shared" si="6"/>
        <v>0.15081347414175342</v>
      </c>
      <c r="S31" s="182">
        <f t="shared" si="8"/>
        <v>1376.94</v>
      </c>
      <c r="T31" s="182">
        <f>VLOOKUP(A31,'Margin Calculation'!F:AN,35,0)</f>
        <v>1299</v>
      </c>
      <c r="U31" s="182"/>
      <c r="V31" s="182"/>
      <c r="W31" s="182"/>
      <c r="X31" s="182"/>
      <c r="Y31" s="182"/>
      <c r="Z31" s="182"/>
    </row>
    <row r="32" spans="1:26">
      <c r="A32" s="69" t="s">
        <v>525</v>
      </c>
      <c r="B32" s="187" t="s">
        <v>526</v>
      </c>
      <c r="C32" s="69" t="s">
        <v>527</v>
      </c>
      <c r="D32" s="69" t="s">
        <v>314</v>
      </c>
      <c r="E32" s="69" t="s">
        <v>315</v>
      </c>
      <c r="F32" s="69"/>
      <c r="G32" s="117" t="s">
        <v>332</v>
      </c>
      <c r="H32" s="69" t="s">
        <v>528</v>
      </c>
      <c r="I32" s="205">
        <f>VLOOKUP(A32,'Margin Calculation'!F:Y,20,0)</f>
        <v>346.06763999999998</v>
      </c>
      <c r="J32" s="205">
        <f>VLOOKUP(A32,'Margin Calculation'!F:Z,21,0)</f>
        <v>408.35981519999996</v>
      </c>
      <c r="K32" s="182">
        <v>100</v>
      </c>
      <c r="L32" s="182">
        <f t="shared" si="0"/>
        <v>84.694000000000017</v>
      </c>
      <c r="M32" s="182">
        <f t="shared" si="1"/>
        <v>42.347000000000008</v>
      </c>
      <c r="N32" s="182">
        <f t="shared" si="2"/>
        <v>25.408200000000001</v>
      </c>
      <c r="O32" s="205">
        <f t="shared" si="3"/>
        <v>598.51683999999989</v>
      </c>
      <c r="P32" s="182">
        <f t="shared" si="4"/>
        <v>129.19423728813558</v>
      </c>
      <c r="Q32" s="205">
        <f t="shared" si="5"/>
        <v>119.22892271186458</v>
      </c>
      <c r="R32" s="184">
        <f t="shared" si="6"/>
        <v>0.14077611485095115</v>
      </c>
      <c r="S32" s="182">
        <f t="shared" si="8"/>
        <v>846.94</v>
      </c>
      <c r="T32" s="182">
        <f>VLOOKUP(A32,'Margin Calculation'!F:AN,35,0)</f>
        <v>799</v>
      </c>
      <c r="U32" s="182"/>
      <c r="V32" s="182"/>
      <c r="W32" s="182"/>
      <c r="X32" s="182"/>
      <c r="Y32" s="182"/>
      <c r="Z32" s="182"/>
    </row>
    <row r="33" spans="1:26">
      <c r="A33" s="69" t="s">
        <v>529</v>
      </c>
      <c r="B33" s="187" t="s">
        <v>530</v>
      </c>
      <c r="C33" s="69" t="s">
        <v>531</v>
      </c>
      <c r="D33" s="69" t="s">
        <v>314</v>
      </c>
      <c r="E33" s="69" t="s">
        <v>315</v>
      </c>
      <c r="F33" s="69"/>
      <c r="G33" s="117" t="s">
        <v>332</v>
      </c>
      <c r="H33" s="69" t="s">
        <v>532</v>
      </c>
      <c r="I33" s="205">
        <f>VLOOKUP(A33,'Margin Calculation'!F:Y,20,0)</f>
        <v>352.78740000000005</v>
      </c>
      <c r="J33" s="205">
        <f>VLOOKUP(A33,'Margin Calculation'!F:Z,21,0)</f>
        <v>416.28913200000005</v>
      </c>
      <c r="K33" s="182">
        <v>100</v>
      </c>
      <c r="L33" s="182">
        <f t="shared" si="0"/>
        <v>84.694000000000017</v>
      </c>
      <c r="M33" s="182">
        <f t="shared" si="1"/>
        <v>42.347000000000008</v>
      </c>
      <c r="N33" s="182">
        <f t="shared" si="2"/>
        <v>25.408200000000001</v>
      </c>
      <c r="O33" s="205">
        <f t="shared" si="3"/>
        <v>605.23660000000007</v>
      </c>
      <c r="P33" s="182">
        <f t="shared" si="4"/>
        <v>129.19423728813558</v>
      </c>
      <c r="Q33" s="205">
        <f t="shared" si="5"/>
        <v>112.50916271186441</v>
      </c>
      <c r="R33" s="184">
        <f t="shared" si="6"/>
        <v>0.13284195186419864</v>
      </c>
      <c r="S33" s="182">
        <f t="shared" si="8"/>
        <v>846.94</v>
      </c>
      <c r="T33" s="182">
        <f>VLOOKUP(A33,'Margin Calculation'!F:AN,35,0)</f>
        <v>799</v>
      </c>
      <c r="U33" s="182"/>
      <c r="V33" s="182"/>
      <c r="W33" s="182"/>
      <c r="X33" s="182"/>
      <c r="Y33" s="182"/>
      <c r="Z33" s="182"/>
    </row>
    <row r="34" spans="1:26">
      <c r="A34" s="69" t="s">
        <v>533</v>
      </c>
      <c r="B34" s="187" t="s">
        <v>534</v>
      </c>
      <c r="C34" s="69" t="s">
        <v>535</v>
      </c>
      <c r="D34" s="69" t="s">
        <v>234</v>
      </c>
      <c r="E34" s="69" t="s">
        <v>235</v>
      </c>
      <c r="F34" s="69" t="s">
        <v>536</v>
      </c>
      <c r="G34" s="69" t="s">
        <v>502</v>
      </c>
      <c r="H34" s="69" t="s">
        <v>537</v>
      </c>
      <c r="I34" s="205">
        <f>VLOOKUP(A34,'Margin Calculation'!F:Y,20,0)</f>
        <v>352.56708000000003</v>
      </c>
      <c r="J34" s="205">
        <f>VLOOKUP(A34,'Margin Calculation'!F:Z,21,0)</f>
        <v>394.87512960000009</v>
      </c>
      <c r="K34" s="182">
        <v>100</v>
      </c>
      <c r="L34" s="182">
        <f t="shared" si="0"/>
        <v>127.09400000000001</v>
      </c>
      <c r="M34" s="182">
        <f t="shared" si="1"/>
        <v>63.547000000000004</v>
      </c>
      <c r="N34" s="182">
        <f t="shared" si="2"/>
        <v>38.1282</v>
      </c>
      <c r="O34" s="205">
        <f t="shared" si="3"/>
        <v>681.3362800000001</v>
      </c>
      <c r="P34" s="182">
        <f t="shared" si="4"/>
        <v>193.87220338983047</v>
      </c>
      <c r="Q34" s="205">
        <f t="shared" si="5"/>
        <v>395.73151661016948</v>
      </c>
      <c r="R34" s="184">
        <f t="shared" si="6"/>
        <v>0.31136915716726948</v>
      </c>
      <c r="S34" s="182">
        <f t="shared" si="8"/>
        <v>1270.94</v>
      </c>
      <c r="T34" s="182">
        <f>VLOOKUP(A34,'Margin Calculation'!F:AN,35,0)</f>
        <v>1199</v>
      </c>
      <c r="U34" s="182"/>
      <c r="V34" s="182"/>
      <c r="W34" s="182"/>
      <c r="X34" s="182"/>
      <c r="Y34" s="182"/>
      <c r="Z34" s="182"/>
    </row>
    <row r="35" spans="1:26">
      <c r="A35" s="102" t="s">
        <v>538</v>
      </c>
      <c r="B35" s="211" t="s">
        <v>539</v>
      </c>
      <c r="C35" s="69" t="s">
        <v>483</v>
      </c>
      <c r="D35" s="69" t="s">
        <v>314</v>
      </c>
      <c r="E35" s="69" t="s">
        <v>465</v>
      </c>
      <c r="F35" s="69"/>
      <c r="G35" s="69" t="s">
        <v>510</v>
      </c>
      <c r="H35" s="69" t="s">
        <v>540</v>
      </c>
      <c r="I35" s="205">
        <f>VLOOKUP(A35,'Margin Calculation'!F:Y,20,0)</f>
        <v>379.66644000000002</v>
      </c>
      <c r="J35" s="205">
        <f>VLOOKUP(A35,'Margin Calculation'!F:Z,21,0)</f>
        <v>448.00639919999998</v>
      </c>
      <c r="K35" s="182">
        <v>100</v>
      </c>
      <c r="L35" s="182">
        <f t="shared" si="0"/>
        <v>105.89400000000001</v>
      </c>
      <c r="M35" s="182">
        <f t="shared" si="1"/>
        <v>52.947000000000003</v>
      </c>
      <c r="N35" s="182">
        <f t="shared" si="2"/>
        <v>31.7682</v>
      </c>
      <c r="O35" s="205">
        <f t="shared" si="3"/>
        <v>670.27563999999995</v>
      </c>
      <c r="P35" s="182">
        <f t="shared" si="4"/>
        <v>161.53322033898303</v>
      </c>
      <c r="Q35" s="205">
        <f t="shared" si="5"/>
        <v>227.13113966101707</v>
      </c>
      <c r="R35" s="184">
        <f t="shared" si="6"/>
        <v>0.21448914920677004</v>
      </c>
      <c r="S35" s="182">
        <f t="shared" si="8"/>
        <v>1058.94</v>
      </c>
      <c r="T35" s="182">
        <f>VLOOKUP(A35,'Margin Calculation'!F:AN,35,0)</f>
        <v>999</v>
      </c>
      <c r="U35" s="182"/>
      <c r="V35" s="182"/>
      <c r="W35" s="182"/>
      <c r="X35" s="182"/>
      <c r="Y35" s="182"/>
      <c r="Z35" s="182"/>
    </row>
    <row r="36" spans="1:26">
      <c r="A36" s="102" t="s">
        <v>543</v>
      </c>
      <c r="B36" s="187" t="s">
        <v>544</v>
      </c>
      <c r="C36" s="69" t="s">
        <v>545</v>
      </c>
      <c r="D36" s="69" t="s">
        <v>314</v>
      </c>
      <c r="E36" s="69" t="s">
        <v>465</v>
      </c>
      <c r="F36" s="69"/>
      <c r="G36" s="69" t="s">
        <v>546</v>
      </c>
      <c r="H36" s="69" t="s">
        <v>547</v>
      </c>
      <c r="I36" s="205">
        <f>VLOOKUP(A36,'Margin Calculation'!F:Y,20,0)</f>
        <v>611.38800000000003</v>
      </c>
      <c r="J36" s="205">
        <f>VLOOKUP(A36,'Margin Calculation'!F:Z,21,0)</f>
        <v>721.43784000000005</v>
      </c>
      <c r="K36" s="182">
        <v>100</v>
      </c>
      <c r="L36" s="182">
        <f t="shared" si="0"/>
        <v>127.09400000000001</v>
      </c>
      <c r="M36" s="182">
        <f t="shared" si="1"/>
        <v>63.547000000000004</v>
      </c>
      <c r="N36" s="182">
        <f t="shared" si="2"/>
        <v>38.1282</v>
      </c>
      <c r="O36" s="205">
        <f t="shared" si="3"/>
        <v>940.1572000000001</v>
      </c>
      <c r="P36" s="182">
        <f t="shared" si="4"/>
        <v>193.87220338983047</v>
      </c>
      <c r="Q36" s="205">
        <f t="shared" si="5"/>
        <v>136.91059661016948</v>
      </c>
      <c r="R36" s="184">
        <f t="shared" si="6"/>
        <v>0.10772388673750882</v>
      </c>
      <c r="S36" s="182">
        <f t="shared" si="8"/>
        <v>1270.94</v>
      </c>
      <c r="T36" s="182">
        <f>VLOOKUP(A36,'Margin Calculation'!F:AN,35,0)</f>
        <v>1199</v>
      </c>
      <c r="U36" s="182"/>
      <c r="V36" s="182"/>
      <c r="W36" s="182"/>
      <c r="X36" s="182"/>
      <c r="Y36" s="182"/>
      <c r="Z36" s="182"/>
    </row>
    <row r="37" spans="1:26">
      <c r="A37" s="69" t="s">
        <v>552</v>
      </c>
      <c r="B37" s="187" t="s">
        <v>553</v>
      </c>
      <c r="C37" s="69" t="s">
        <v>554</v>
      </c>
      <c r="D37" s="69" t="s">
        <v>314</v>
      </c>
      <c r="E37" s="69" t="s">
        <v>437</v>
      </c>
      <c r="F37" s="69"/>
      <c r="G37" s="69" t="s">
        <v>555</v>
      </c>
      <c r="H37" s="69" t="s">
        <v>556</v>
      </c>
      <c r="I37" s="205">
        <f>VLOOKUP(A37,'Margin Calculation'!F:Y,20,0)</f>
        <v>320.9787</v>
      </c>
      <c r="J37" s="205">
        <f>VLOOKUP(A37,'Margin Calculation'!F:Z,21,0)</f>
        <v>378.75486599999999</v>
      </c>
      <c r="K37" s="182">
        <v>100</v>
      </c>
      <c r="L37" s="182">
        <f t="shared" si="0"/>
        <v>63.494000000000007</v>
      </c>
      <c r="M37" s="182">
        <f t="shared" si="1"/>
        <v>31.747000000000003</v>
      </c>
      <c r="N37" s="182">
        <f t="shared" si="2"/>
        <v>19.048200000000001</v>
      </c>
      <c r="O37" s="205">
        <f t="shared" si="3"/>
        <v>535.26789999999994</v>
      </c>
      <c r="P37" s="182">
        <f t="shared" si="4"/>
        <v>96.855254237288136</v>
      </c>
      <c r="Q37" s="205">
        <f t="shared" si="5"/>
        <v>2.8168457627119778</v>
      </c>
      <c r="R37" s="184">
        <f t="shared" si="6"/>
        <v>4.4363967661699968E-3</v>
      </c>
      <c r="S37" s="182">
        <f t="shared" si="8"/>
        <v>634.94000000000005</v>
      </c>
      <c r="T37" s="182">
        <f>VLOOKUP(A37,'Margin Calculation'!F:AN,35,0)</f>
        <v>599</v>
      </c>
      <c r="U37" s="182"/>
      <c r="V37" s="182"/>
      <c r="W37" s="182"/>
      <c r="X37" s="182"/>
      <c r="Y37" s="182"/>
      <c r="Z37" s="182"/>
    </row>
    <row r="38" spans="1:26">
      <c r="A38" s="69" t="s">
        <v>557</v>
      </c>
      <c r="B38" s="69" t="s">
        <v>558</v>
      </c>
      <c r="C38" s="117" t="s">
        <v>559</v>
      </c>
      <c r="D38" s="69" t="s">
        <v>304</v>
      </c>
      <c r="E38" s="69" t="s">
        <v>304</v>
      </c>
      <c r="F38" s="117"/>
      <c r="G38" s="117" t="s">
        <v>560</v>
      </c>
      <c r="H38" s="117" t="s">
        <v>561</v>
      </c>
      <c r="I38" s="205">
        <f>VLOOKUP(A38,'Margin Calculation'!F:Y,20,0)</f>
        <v>447.18074999999999</v>
      </c>
      <c r="J38" s="205">
        <f>VLOOKUP(A38,'Margin Calculation'!F:Z,21,0)</f>
        <v>527.67328499999996</v>
      </c>
      <c r="K38" s="182">
        <v>100</v>
      </c>
      <c r="L38" s="182">
        <f t="shared" si="0"/>
        <v>132.39400000000001</v>
      </c>
      <c r="M38" s="182">
        <f t="shared" si="1"/>
        <v>66.197000000000003</v>
      </c>
      <c r="N38" s="182">
        <f t="shared" si="2"/>
        <v>39.718200000000003</v>
      </c>
      <c r="O38" s="205">
        <f t="shared" si="3"/>
        <v>785.48995000000002</v>
      </c>
      <c r="P38" s="182">
        <f t="shared" si="4"/>
        <v>201.95694915254239</v>
      </c>
      <c r="Q38" s="205">
        <f t="shared" si="5"/>
        <v>336.49310084745764</v>
      </c>
      <c r="R38" s="184">
        <f t="shared" si="6"/>
        <v>0.2541603855518057</v>
      </c>
      <c r="S38" s="182">
        <f t="shared" si="8"/>
        <v>1323.94</v>
      </c>
      <c r="T38" s="182">
        <f>VLOOKUP(A38,'Margin Calculation'!F:AN,35,0)</f>
        <v>1249</v>
      </c>
      <c r="U38" s="182"/>
      <c r="V38" s="182"/>
      <c r="W38" s="182"/>
      <c r="X38" s="182"/>
      <c r="Y38" s="182"/>
      <c r="Z38" s="182"/>
    </row>
    <row r="39" spans="1:26">
      <c r="A39" s="69" t="s">
        <v>562</v>
      </c>
      <c r="B39" s="102" t="s">
        <v>563</v>
      </c>
      <c r="C39" s="117" t="s">
        <v>564</v>
      </c>
      <c r="D39" s="69" t="s">
        <v>314</v>
      </c>
      <c r="E39" s="69" t="s">
        <v>315</v>
      </c>
      <c r="F39" s="117"/>
      <c r="G39" s="117" t="s">
        <v>332</v>
      </c>
      <c r="H39" s="117" t="s">
        <v>565</v>
      </c>
      <c r="I39" s="205">
        <f>VLOOKUP(A39,'Margin Calculation'!F:Y,20,0)</f>
        <v>577.89936</v>
      </c>
      <c r="J39" s="205">
        <f>VLOOKUP(A39,'Margin Calculation'!F:Z,21,0)</f>
        <v>681.92124479999995</v>
      </c>
      <c r="K39" s="182">
        <v>100</v>
      </c>
      <c r="L39" s="182">
        <f t="shared" si="0"/>
        <v>127.09400000000001</v>
      </c>
      <c r="M39" s="182">
        <f t="shared" si="1"/>
        <v>63.547000000000004</v>
      </c>
      <c r="N39" s="182">
        <f t="shared" si="2"/>
        <v>38.1282</v>
      </c>
      <c r="O39" s="205">
        <f t="shared" si="3"/>
        <v>906.66856000000007</v>
      </c>
      <c r="P39" s="182">
        <f t="shared" si="4"/>
        <v>193.87220338983047</v>
      </c>
      <c r="Q39" s="205">
        <f t="shared" si="5"/>
        <v>170.39923661016951</v>
      </c>
      <c r="R39" s="184">
        <f t="shared" si="6"/>
        <v>0.13407339182822911</v>
      </c>
      <c r="S39" s="182">
        <f t="shared" si="8"/>
        <v>1270.94</v>
      </c>
      <c r="T39" s="182">
        <f>VLOOKUP(A39,'Margin Calculation'!F:AN,35,0)</f>
        <v>1199</v>
      </c>
      <c r="U39" s="182"/>
      <c r="V39" s="182"/>
      <c r="W39" s="182"/>
      <c r="X39" s="182"/>
      <c r="Y39" s="182"/>
      <c r="Z39" s="182"/>
    </row>
    <row r="40" spans="1:26">
      <c r="A40" s="69" t="s">
        <v>570</v>
      </c>
      <c r="B40" s="102" t="s">
        <v>571</v>
      </c>
      <c r="C40" s="117" t="s">
        <v>572</v>
      </c>
      <c r="D40" s="69" t="s">
        <v>314</v>
      </c>
      <c r="E40" s="69" t="s">
        <v>437</v>
      </c>
      <c r="F40" s="117"/>
      <c r="G40" s="117" t="s">
        <v>573</v>
      </c>
      <c r="H40" s="117" t="s">
        <v>574</v>
      </c>
      <c r="I40" s="205">
        <f>VLOOKUP(A40,'Margin Calculation'!F:Y,20,0)</f>
        <v>744.77340000000015</v>
      </c>
      <c r="J40" s="205">
        <f>VLOOKUP(A40,'Margin Calculation'!F:Z,21,0)</f>
        <v>878.83261200000015</v>
      </c>
      <c r="K40" s="182">
        <v>100</v>
      </c>
      <c r="L40" s="182">
        <f t="shared" si="0"/>
        <v>185.39400000000001</v>
      </c>
      <c r="M40" s="182">
        <f t="shared" si="1"/>
        <v>92.697000000000003</v>
      </c>
      <c r="N40" s="182">
        <f t="shared" si="2"/>
        <v>55.618200000000002</v>
      </c>
      <c r="O40" s="205">
        <f t="shared" si="3"/>
        <v>1178.4826000000003</v>
      </c>
      <c r="P40" s="182">
        <f t="shared" si="4"/>
        <v>282.80440677966089</v>
      </c>
      <c r="Q40" s="205">
        <f t="shared" si="5"/>
        <v>392.65299322033889</v>
      </c>
      <c r="R40" s="184">
        <f t="shared" si="6"/>
        <v>0.21179379765274975</v>
      </c>
      <c r="S40" s="182">
        <f t="shared" si="8"/>
        <v>1853.94</v>
      </c>
      <c r="T40" s="182">
        <f>VLOOKUP(A40,'Margin Calculation'!F:AN,35,0)</f>
        <v>1749</v>
      </c>
      <c r="U40" s="182"/>
      <c r="V40" s="182"/>
      <c r="W40" s="182"/>
      <c r="X40" s="182"/>
      <c r="Y40" s="182"/>
      <c r="Z40" s="182"/>
    </row>
    <row r="41" spans="1:26">
      <c r="A41" s="69" t="s">
        <v>575</v>
      </c>
      <c r="B41" s="102" t="s">
        <v>576</v>
      </c>
      <c r="C41" s="117" t="s">
        <v>577</v>
      </c>
      <c r="D41" s="69" t="s">
        <v>314</v>
      </c>
      <c r="E41" s="69" t="s">
        <v>465</v>
      </c>
      <c r="F41" s="117"/>
      <c r="G41" s="117" t="s">
        <v>578</v>
      </c>
      <c r="H41" s="117" t="s">
        <v>579</v>
      </c>
      <c r="I41" s="205">
        <f>VLOOKUP(A41,'Margin Calculation'!F:Y,20,0)</f>
        <v>710.05464000000006</v>
      </c>
      <c r="J41" s="205">
        <f>VLOOKUP(A41,'Margin Calculation'!F:Z,21,0)</f>
        <v>837.86447520000002</v>
      </c>
      <c r="K41" s="182">
        <v>100</v>
      </c>
      <c r="L41" s="182">
        <f t="shared" si="0"/>
        <v>201.29400000000001</v>
      </c>
      <c r="M41" s="182">
        <f t="shared" si="1"/>
        <v>100.64700000000001</v>
      </c>
      <c r="N41" s="182">
        <f t="shared" si="2"/>
        <v>60.388199999999998</v>
      </c>
      <c r="O41" s="205">
        <f t="shared" si="3"/>
        <v>1172.3838400000002</v>
      </c>
      <c r="P41" s="182">
        <f t="shared" si="4"/>
        <v>307.05864406779642</v>
      </c>
      <c r="Q41" s="205">
        <f t="shared" si="5"/>
        <v>533.49751593220344</v>
      </c>
      <c r="R41" s="184">
        <f t="shared" si="6"/>
        <v>0.26503398806333195</v>
      </c>
      <c r="S41" s="182">
        <f t="shared" si="8"/>
        <v>2012.94</v>
      </c>
      <c r="T41" s="182">
        <f>VLOOKUP(A41,'Margin Calculation'!F:AN,35,0)</f>
        <v>1899</v>
      </c>
      <c r="U41" s="182"/>
      <c r="V41" s="182"/>
      <c r="W41" s="182"/>
      <c r="X41" s="182"/>
      <c r="Y41" s="182"/>
      <c r="Z41" s="182"/>
    </row>
    <row r="42" spans="1:26">
      <c r="A42" s="69" t="s">
        <v>580</v>
      </c>
      <c r="B42" s="102" t="s">
        <v>581</v>
      </c>
      <c r="C42" s="117" t="s">
        <v>582</v>
      </c>
      <c r="D42" s="69" t="s">
        <v>314</v>
      </c>
      <c r="E42" s="69" t="s">
        <v>465</v>
      </c>
      <c r="F42" s="117"/>
      <c r="G42" s="69" t="s">
        <v>438</v>
      </c>
      <c r="H42" s="117" t="s">
        <v>583</v>
      </c>
      <c r="I42" s="205">
        <f>VLOOKUP(A42,'Margin Calculation'!F:Y,20,0)</f>
        <v>827.65044</v>
      </c>
      <c r="J42" s="205">
        <f>VLOOKUP(A42,'Margin Calculation'!F:Z,21,0)</f>
        <v>976.62751919999994</v>
      </c>
      <c r="K42" s="182">
        <v>100</v>
      </c>
      <c r="L42" s="182">
        <f t="shared" si="0"/>
        <v>251.64400000000001</v>
      </c>
      <c r="M42" s="182">
        <f t="shared" si="1"/>
        <v>125.822</v>
      </c>
      <c r="N42" s="182">
        <f t="shared" si="2"/>
        <v>75.493200000000002</v>
      </c>
      <c r="O42" s="205">
        <f t="shared" si="3"/>
        <v>1380.6096400000001</v>
      </c>
      <c r="P42" s="182">
        <f t="shared" si="4"/>
        <v>383.86372881355919</v>
      </c>
      <c r="Q42" s="205">
        <f t="shared" si="5"/>
        <v>751.96663118644074</v>
      </c>
      <c r="R42" s="184">
        <f t="shared" si="6"/>
        <v>0.29882160162230798</v>
      </c>
      <c r="S42" s="182">
        <f t="shared" si="8"/>
        <v>2516.44</v>
      </c>
      <c r="T42" s="182">
        <f>VLOOKUP(A42,'Margin Calculation'!F:AN,35,0)</f>
        <v>2374</v>
      </c>
      <c r="U42" s="182"/>
      <c r="V42" s="182"/>
      <c r="W42" s="182"/>
      <c r="X42" s="182"/>
      <c r="Y42" s="182"/>
      <c r="Z42" s="182"/>
    </row>
    <row r="43" spans="1:26">
      <c r="A43" s="69" t="s">
        <v>584</v>
      </c>
      <c r="B43" s="102" t="s">
        <v>585</v>
      </c>
      <c r="C43" s="117" t="s">
        <v>586</v>
      </c>
      <c r="D43" s="69" t="s">
        <v>234</v>
      </c>
      <c r="E43" s="69" t="s">
        <v>249</v>
      </c>
      <c r="F43" s="117"/>
      <c r="G43" s="117" t="s">
        <v>587</v>
      </c>
      <c r="H43" s="117" t="s">
        <v>588</v>
      </c>
      <c r="I43" s="205">
        <f>VLOOKUP(A43,'Margin Calculation'!F:Y,20,0)</f>
        <v>1151.4474000000002</v>
      </c>
      <c r="J43" s="205">
        <f>VLOOKUP(A43,'Margin Calculation'!F:Z,21,0)</f>
        <v>1358.7079320000003</v>
      </c>
      <c r="K43" s="182">
        <v>100</v>
      </c>
      <c r="L43" s="182">
        <f t="shared" si="0"/>
        <v>349.69400000000002</v>
      </c>
      <c r="M43" s="182">
        <f t="shared" si="1"/>
        <v>174.84700000000001</v>
      </c>
      <c r="N43" s="182">
        <f t="shared" si="2"/>
        <v>104.90819999999999</v>
      </c>
      <c r="O43" s="205">
        <f t="shared" si="3"/>
        <v>1880.8966000000003</v>
      </c>
      <c r="P43" s="182">
        <f t="shared" si="4"/>
        <v>533.43152542372854</v>
      </c>
      <c r="Q43" s="205">
        <f t="shared" si="5"/>
        <v>1082.6118745762712</v>
      </c>
      <c r="R43" s="184">
        <f t="shared" si="6"/>
        <v>0.30958834711955918</v>
      </c>
      <c r="S43" s="182">
        <f t="shared" si="8"/>
        <v>3496.94</v>
      </c>
      <c r="T43" s="182">
        <f>VLOOKUP(A43,'Margin Calculation'!F:AN,35,0)</f>
        <v>3299</v>
      </c>
      <c r="U43" s="182"/>
      <c r="V43" s="182"/>
      <c r="W43" s="182"/>
      <c r="X43" s="182"/>
      <c r="Y43" s="182"/>
      <c r="Z43" s="182"/>
    </row>
    <row r="44" spans="1:26">
      <c r="A44" s="69" t="s">
        <v>589</v>
      </c>
      <c r="B44" s="102" t="s">
        <v>590</v>
      </c>
      <c r="C44" s="117" t="s">
        <v>591</v>
      </c>
      <c r="D44" s="69" t="s">
        <v>314</v>
      </c>
      <c r="E44" s="69" t="s">
        <v>437</v>
      </c>
      <c r="F44" s="117"/>
      <c r="G44" s="117" t="s">
        <v>592</v>
      </c>
      <c r="H44" s="117" t="s">
        <v>593</v>
      </c>
      <c r="I44" s="205">
        <f>VLOOKUP(A44,'Margin Calculation'!F:Y,20,0)</f>
        <v>540.05939999999998</v>
      </c>
      <c r="J44" s="205">
        <f>VLOOKUP(A44,'Margin Calculation'!F:Z,21,0)</f>
        <v>637.27009199999998</v>
      </c>
      <c r="K44" s="182">
        <v>100</v>
      </c>
      <c r="L44" s="182">
        <f t="shared" si="0"/>
        <v>211.89400000000001</v>
      </c>
      <c r="M44" s="182">
        <f t="shared" si="1"/>
        <v>105.947</v>
      </c>
      <c r="N44" s="182">
        <f t="shared" si="2"/>
        <v>63.568199999999997</v>
      </c>
      <c r="O44" s="205">
        <f t="shared" si="3"/>
        <v>1021.4686</v>
      </c>
      <c r="P44" s="182">
        <f t="shared" si="4"/>
        <v>323.22813559322026</v>
      </c>
      <c r="Q44" s="205">
        <f t="shared" si="5"/>
        <v>774.24326440677964</v>
      </c>
      <c r="R44" s="184">
        <f t="shared" si="6"/>
        <v>0.3653917828757679</v>
      </c>
      <c r="S44" s="182">
        <f t="shared" si="8"/>
        <v>2118.94</v>
      </c>
      <c r="T44" s="182">
        <f>VLOOKUP(A44,'Margin Calculation'!F:AN,35,0)</f>
        <v>1999</v>
      </c>
      <c r="U44" s="182"/>
      <c r="V44" s="182"/>
      <c r="W44" s="182"/>
      <c r="X44" s="182"/>
      <c r="Y44" s="182"/>
      <c r="Z44" s="182"/>
    </row>
    <row r="45" spans="1:26">
      <c r="A45" s="69" t="s">
        <v>594</v>
      </c>
      <c r="B45" s="102" t="s">
        <v>595</v>
      </c>
      <c r="C45" s="117" t="s">
        <v>596</v>
      </c>
      <c r="D45" s="69" t="s">
        <v>314</v>
      </c>
      <c r="E45" s="69" t="s">
        <v>437</v>
      </c>
      <c r="F45" s="117"/>
      <c r="G45" s="117" t="s">
        <v>597</v>
      </c>
      <c r="H45" s="117" t="s">
        <v>598</v>
      </c>
      <c r="I45" s="205">
        <f>VLOOKUP(A45,'Margin Calculation'!F:Y,20,0)</f>
        <v>864.54944999999998</v>
      </c>
      <c r="J45" s="205">
        <f>VLOOKUP(A45,'Margin Calculation'!F:Z,21,0)</f>
        <v>1020.1683509999999</v>
      </c>
      <c r="K45" s="182">
        <v>100</v>
      </c>
      <c r="L45" s="182">
        <f t="shared" si="0"/>
        <v>180.09400000000002</v>
      </c>
      <c r="M45" s="182">
        <f t="shared" si="1"/>
        <v>90.047000000000011</v>
      </c>
      <c r="N45" s="182">
        <f t="shared" si="2"/>
        <v>54.028199999999998</v>
      </c>
      <c r="O45" s="205">
        <f t="shared" si="3"/>
        <v>1288.71865</v>
      </c>
      <c r="P45" s="182">
        <f t="shared" si="4"/>
        <v>274.71966101694898</v>
      </c>
      <c r="Q45" s="205">
        <f t="shared" si="5"/>
        <v>237.50168898305105</v>
      </c>
      <c r="R45" s="184">
        <f t="shared" si="6"/>
        <v>0.13187651392220232</v>
      </c>
      <c r="S45" s="182">
        <f t="shared" si="8"/>
        <v>1800.94</v>
      </c>
      <c r="T45" s="182">
        <f>VLOOKUP(A45,'Margin Calculation'!F:AN,35,0)</f>
        <v>1699</v>
      </c>
      <c r="U45" s="182"/>
      <c r="V45" s="182"/>
      <c r="W45" s="182"/>
      <c r="X45" s="182"/>
      <c r="Y45" s="182"/>
      <c r="Z45" s="182"/>
    </row>
    <row r="46" spans="1:26">
      <c r="A46" s="69" t="s">
        <v>599</v>
      </c>
      <c r="B46" s="102" t="s">
        <v>600</v>
      </c>
      <c r="C46" s="117" t="s">
        <v>601</v>
      </c>
      <c r="D46" s="69" t="s">
        <v>234</v>
      </c>
      <c r="E46" s="69" t="s">
        <v>249</v>
      </c>
      <c r="F46" s="117"/>
      <c r="G46" s="117" t="s">
        <v>587</v>
      </c>
      <c r="H46" s="117" t="s">
        <v>602</v>
      </c>
      <c r="I46" s="205">
        <f>VLOOKUP(A46,'Margin Calculation'!F:Y,20,0)</f>
        <v>845.75340000000006</v>
      </c>
      <c r="J46" s="205">
        <f>VLOOKUP(A46,'Margin Calculation'!F:Z,21,0)</f>
        <v>997.989012</v>
      </c>
      <c r="K46" s="182">
        <v>100</v>
      </c>
      <c r="L46" s="182">
        <f t="shared" si="0"/>
        <v>222.49400000000003</v>
      </c>
      <c r="M46" s="182">
        <f t="shared" si="1"/>
        <v>111.24700000000001</v>
      </c>
      <c r="N46" s="182">
        <f t="shared" si="2"/>
        <v>66.748199999999997</v>
      </c>
      <c r="O46" s="205">
        <f t="shared" si="3"/>
        <v>1346.2426000000003</v>
      </c>
      <c r="P46" s="182">
        <f t="shared" si="4"/>
        <v>339.39762711864387</v>
      </c>
      <c r="Q46" s="205">
        <f t="shared" si="5"/>
        <v>539.29977288135592</v>
      </c>
      <c r="R46" s="184">
        <f t="shared" si="6"/>
        <v>0.24238845671404888</v>
      </c>
      <c r="S46" s="182">
        <f t="shared" si="8"/>
        <v>2224.94</v>
      </c>
      <c r="T46" s="182">
        <f>VLOOKUP(A46,'Margin Calculation'!F:AN,35,0)</f>
        <v>2099</v>
      </c>
      <c r="U46" s="182"/>
      <c r="V46" s="182"/>
      <c r="W46" s="182"/>
      <c r="X46" s="182"/>
      <c r="Y46" s="182"/>
      <c r="Z46" s="182"/>
    </row>
    <row r="47" spans="1:26">
      <c r="A47" s="69" t="s">
        <v>603</v>
      </c>
      <c r="B47" s="102" t="s">
        <v>604</v>
      </c>
      <c r="C47" s="117" t="s">
        <v>605</v>
      </c>
      <c r="D47" s="69" t="s">
        <v>234</v>
      </c>
      <c r="E47" s="69" t="s">
        <v>249</v>
      </c>
      <c r="F47" s="117"/>
      <c r="G47" s="117" t="s">
        <v>606</v>
      </c>
      <c r="H47" s="117" t="s">
        <v>607</v>
      </c>
      <c r="I47" s="205">
        <f>VLOOKUP(A47,'Margin Calculation'!F:Y,20,0)</f>
        <v>1040.4428399999999</v>
      </c>
      <c r="J47" s="205">
        <f>VLOOKUP(A47,'Margin Calculation'!F:Z,21,0)</f>
        <v>1227.7225511999998</v>
      </c>
      <c r="K47" s="182">
        <v>100</v>
      </c>
      <c r="L47" s="182">
        <f t="shared" si="0"/>
        <v>264.89400000000001</v>
      </c>
      <c r="M47" s="182">
        <f t="shared" si="1"/>
        <v>132.447</v>
      </c>
      <c r="N47" s="182">
        <f t="shared" si="2"/>
        <v>79.468199999999996</v>
      </c>
      <c r="O47" s="205">
        <f t="shared" si="3"/>
        <v>1617.2520400000001</v>
      </c>
      <c r="P47" s="182">
        <f t="shared" si="4"/>
        <v>404.07559322033876</v>
      </c>
      <c r="Q47" s="205">
        <f t="shared" si="5"/>
        <v>627.61236677966122</v>
      </c>
      <c r="R47" s="184">
        <f t="shared" si="6"/>
        <v>0.23692962723944719</v>
      </c>
      <c r="S47" s="182">
        <f t="shared" si="8"/>
        <v>2648.94</v>
      </c>
      <c r="T47" s="182">
        <f>VLOOKUP(A47,'Margin Calculation'!F:AN,35,0)</f>
        <v>2499</v>
      </c>
      <c r="U47" s="182"/>
      <c r="V47" s="182"/>
      <c r="W47" s="182"/>
      <c r="X47" s="182"/>
      <c r="Y47" s="182"/>
      <c r="Z47" s="182"/>
    </row>
    <row r="48" spans="1:26">
      <c r="A48" s="69" t="s">
        <v>608</v>
      </c>
      <c r="B48" s="69" t="s">
        <v>609</v>
      </c>
      <c r="C48" s="117" t="s">
        <v>610</v>
      </c>
      <c r="D48" s="69" t="s">
        <v>234</v>
      </c>
      <c r="E48" s="69" t="s">
        <v>249</v>
      </c>
      <c r="F48" s="117"/>
      <c r="G48" s="117" t="s">
        <v>611</v>
      </c>
      <c r="H48" s="117" t="s">
        <v>612</v>
      </c>
      <c r="I48" s="205">
        <f>VLOOKUP(A48,'Margin Calculation'!F:Y,20,0)</f>
        <v>1205.0769600000001</v>
      </c>
      <c r="J48" s="205">
        <f>VLOOKUP(A48,'Margin Calculation'!F:Z,21,0)</f>
        <v>1421.9908128</v>
      </c>
      <c r="K48" s="182">
        <v>100</v>
      </c>
      <c r="L48" s="182">
        <f t="shared" si="0"/>
        <v>264.89400000000001</v>
      </c>
      <c r="M48" s="182">
        <f t="shared" si="1"/>
        <v>132.447</v>
      </c>
      <c r="N48" s="182">
        <f t="shared" si="2"/>
        <v>79.468199999999996</v>
      </c>
      <c r="O48" s="205">
        <f t="shared" si="3"/>
        <v>1781.8861600000002</v>
      </c>
      <c r="P48" s="182">
        <f t="shared" si="4"/>
        <v>404.07559322033876</v>
      </c>
      <c r="Q48" s="205">
        <f t="shared" si="5"/>
        <v>462.97824677966105</v>
      </c>
      <c r="R48" s="184">
        <f t="shared" si="6"/>
        <v>0.17477868384322071</v>
      </c>
      <c r="S48" s="182">
        <f t="shared" si="8"/>
        <v>2648.94</v>
      </c>
      <c r="T48" s="182">
        <f>VLOOKUP(A48,'Margin Calculation'!F:AN,35,0)</f>
        <v>2499</v>
      </c>
      <c r="U48" s="182"/>
      <c r="V48" s="182"/>
      <c r="W48" s="182"/>
      <c r="X48" s="182"/>
      <c r="Y48" s="182"/>
      <c r="Z48" s="182"/>
    </row>
    <row r="49" spans="1:26">
      <c r="A49" s="69" t="s">
        <v>615</v>
      </c>
      <c r="B49" s="69" t="s">
        <v>616</v>
      </c>
      <c r="C49" s="117" t="s">
        <v>617</v>
      </c>
      <c r="D49" s="69" t="s">
        <v>314</v>
      </c>
      <c r="E49" s="69" t="s">
        <v>618</v>
      </c>
      <c r="F49" s="117"/>
      <c r="G49" s="117" t="s">
        <v>619</v>
      </c>
      <c r="H49" s="117" t="s">
        <v>620</v>
      </c>
      <c r="I49" s="205">
        <f>VLOOKUP(A49,'Margin Calculation'!F:Y,20,0)</f>
        <v>478.92060000000009</v>
      </c>
      <c r="J49" s="205">
        <f>VLOOKUP(A49,'Margin Calculation'!F:Z,21,0)</f>
        <v>536.39107200000012</v>
      </c>
      <c r="K49" s="182">
        <v>100</v>
      </c>
      <c r="L49" s="182">
        <f t="shared" si="0"/>
        <v>122.854</v>
      </c>
      <c r="M49" s="182">
        <f t="shared" si="1"/>
        <v>61.427</v>
      </c>
      <c r="N49" s="182">
        <f t="shared" si="2"/>
        <v>36.856199999999994</v>
      </c>
      <c r="O49" s="205">
        <f t="shared" si="3"/>
        <v>800.05780000000016</v>
      </c>
      <c r="P49" s="182">
        <f t="shared" si="4"/>
        <v>187.40440677966103</v>
      </c>
      <c r="Q49" s="205">
        <f t="shared" si="5"/>
        <v>241.07779322033878</v>
      </c>
      <c r="R49" s="184">
        <f t="shared" si="6"/>
        <v>0.1962311306268732</v>
      </c>
      <c r="S49" s="182">
        <f t="shared" si="8"/>
        <v>1228.54</v>
      </c>
      <c r="T49" s="182">
        <f>VLOOKUP(A49,'Margin Calculation'!F:AN,35,0)</f>
        <v>1159</v>
      </c>
      <c r="U49" s="182"/>
      <c r="V49" s="182"/>
      <c r="W49" s="182"/>
      <c r="X49" s="182"/>
      <c r="Y49" s="182"/>
      <c r="Z49" s="182"/>
    </row>
    <row r="50" spans="1:26">
      <c r="A50" s="69" t="s">
        <v>621</v>
      </c>
      <c r="B50" s="69" t="s">
        <v>622</v>
      </c>
      <c r="C50" s="117" t="s">
        <v>623</v>
      </c>
      <c r="D50" s="69" t="s">
        <v>314</v>
      </c>
      <c r="E50" s="69" t="s">
        <v>618</v>
      </c>
      <c r="F50" s="117"/>
      <c r="G50" s="117" t="s">
        <v>619</v>
      </c>
      <c r="H50" s="117" t="s">
        <v>624</v>
      </c>
      <c r="I50" s="205">
        <f>VLOOKUP(A50,'Margin Calculation'!F:Y,20,0)</f>
        <v>478.92060000000009</v>
      </c>
      <c r="J50" s="205">
        <f>VLOOKUP(A50,'Margin Calculation'!F:Z,21,0)</f>
        <v>536.39107200000012</v>
      </c>
      <c r="K50" s="182">
        <v>100</v>
      </c>
      <c r="L50" s="182">
        <f t="shared" si="0"/>
        <v>137.69400000000002</v>
      </c>
      <c r="M50" s="182">
        <f t="shared" si="1"/>
        <v>68.847000000000008</v>
      </c>
      <c r="N50" s="182">
        <f t="shared" si="2"/>
        <v>41.308199999999999</v>
      </c>
      <c r="O50" s="205">
        <f t="shared" si="3"/>
        <v>826.76980000000003</v>
      </c>
      <c r="P50" s="182">
        <f t="shared" si="4"/>
        <v>210.04169491525408</v>
      </c>
      <c r="Q50" s="205">
        <f t="shared" si="5"/>
        <v>340.12850508474594</v>
      </c>
      <c r="R50" s="184">
        <f t="shared" si="6"/>
        <v>0.24701766604554007</v>
      </c>
      <c r="S50" s="182">
        <f t="shared" si="8"/>
        <v>1376.94</v>
      </c>
      <c r="T50" s="182">
        <f>VLOOKUP(A50,'Margin Calculation'!F:AN,35,0)</f>
        <v>1299</v>
      </c>
      <c r="U50" s="182"/>
      <c r="V50" s="182"/>
      <c r="W50" s="182"/>
      <c r="X50" s="182"/>
      <c r="Y50" s="182"/>
      <c r="Z50" s="182"/>
    </row>
    <row r="51" spans="1:26">
      <c r="A51" s="69" t="s">
        <v>625</v>
      </c>
      <c r="B51" s="102" t="s">
        <v>626</v>
      </c>
      <c r="C51" s="117" t="s">
        <v>627</v>
      </c>
      <c r="D51" s="69" t="s">
        <v>628</v>
      </c>
      <c r="E51" s="69" t="s">
        <v>629</v>
      </c>
      <c r="F51" s="117"/>
      <c r="G51" s="117" t="s">
        <v>630</v>
      </c>
      <c r="H51" s="117" t="s">
        <v>631</v>
      </c>
      <c r="I51" s="205">
        <f>VLOOKUP(A51,'Margin Calculation'!F:Y,20,0)</f>
        <v>1063.2964499999998</v>
      </c>
      <c r="J51" s="205">
        <f>VLOOKUP(A51,'Margin Calculation'!F:Z,21,0)</f>
        <v>1254.6898109999997</v>
      </c>
      <c r="K51" s="182">
        <v>100</v>
      </c>
      <c r="L51" s="182">
        <f t="shared" si="0"/>
        <v>243.69400000000002</v>
      </c>
      <c r="M51" s="182">
        <f t="shared" si="1"/>
        <v>121.84700000000001</v>
      </c>
      <c r="N51" s="182">
        <f t="shared" si="2"/>
        <v>73.108199999999997</v>
      </c>
      <c r="O51" s="205">
        <f t="shared" si="3"/>
        <v>1601.9456499999997</v>
      </c>
      <c r="P51" s="182">
        <f t="shared" si="4"/>
        <v>371.73661016949154</v>
      </c>
      <c r="Q51" s="205">
        <f t="shared" si="5"/>
        <v>463.25773983050885</v>
      </c>
      <c r="R51" s="184">
        <f t="shared" si="6"/>
        <v>0.19009813119342653</v>
      </c>
      <c r="S51" s="182">
        <f t="shared" si="8"/>
        <v>2436.94</v>
      </c>
      <c r="T51" s="182">
        <f>VLOOKUP(A51,'Margin Calculation'!F:AN,35,0)</f>
        <v>2299</v>
      </c>
      <c r="U51" s="182"/>
      <c r="V51" s="182"/>
      <c r="W51" s="182"/>
      <c r="X51" s="182"/>
      <c r="Y51" s="182"/>
      <c r="Z51" s="182"/>
    </row>
    <row r="52" spans="1:26">
      <c r="A52" s="69" t="s">
        <v>632</v>
      </c>
      <c r="B52" s="102" t="s">
        <v>633</v>
      </c>
      <c r="C52" s="117" t="s">
        <v>634</v>
      </c>
      <c r="D52" s="69" t="s">
        <v>314</v>
      </c>
      <c r="E52" s="69" t="s">
        <v>444</v>
      </c>
      <c r="F52" s="117"/>
      <c r="G52" s="117" t="s">
        <v>635</v>
      </c>
      <c r="H52" s="117" t="s">
        <v>636</v>
      </c>
      <c r="I52" s="205">
        <f>VLOOKUP(A52,'Margin Calculation'!F:Y,20,0)</f>
        <v>414.3852</v>
      </c>
      <c r="J52" s="205">
        <f>VLOOKUP(A52,'Margin Calculation'!F:Z,21,0)</f>
        <v>488.97453599999994</v>
      </c>
      <c r="K52" s="182">
        <v>100</v>
      </c>
      <c r="L52" s="182">
        <f t="shared" si="0"/>
        <v>95.294000000000011</v>
      </c>
      <c r="M52" s="182">
        <f t="shared" si="1"/>
        <v>47.647000000000006</v>
      </c>
      <c r="N52" s="182">
        <f t="shared" si="2"/>
        <v>28.588200000000001</v>
      </c>
      <c r="O52" s="205">
        <f t="shared" si="3"/>
        <v>685.9144</v>
      </c>
      <c r="P52" s="182">
        <f t="shared" si="4"/>
        <v>145.36372881355931</v>
      </c>
      <c r="Q52" s="205">
        <f t="shared" si="5"/>
        <v>121.66187118644075</v>
      </c>
      <c r="R52" s="184">
        <f t="shared" si="6"/>
        <v>0.12767002244258899</v>
      </c>
      <c r="S52" s="182">
        <f t="shared" si="8"/>
        <v>952.94</v>
      </c>
      <c r="T52" s="182">
        <f>VLOOKUP(A52,'Margin Calculation'!F:AN,35,0)</f>
        <v>899</v>
      </c>
      <c r="U52" s="182"/>
      <c r="V52" s="182"/>
      <c r="W52" s="182"/>
      <c r="X52" s="182"/>
      <c r="Y52" s="182"/>
      <c r="Z52" s="182"/>
    </row>
    <row r="53" spans="1:26">
      <c r="A53" s="69" t="s">
        <v>637</v>
      </c>
      <c r="B53" s="102" t="s">
        <v>638</v>
      </c>
      <c r="C53" s="117" t="s">
        <v>639</v>
      </c>
      <c r="D53" s="117" t="s">
        <v>249</v>
      </c>
      <c r="E53" s="117"/>
      <c r="F53" s="117"/>
      <c r="G53" s="117" t="s">
        <v>640</v>
      </c>
      <c r="H53" s="117" t="s">
        <v>641</v>
      </c>
      <c r="I53" s="205">
        <f>VLOOKUP(A53,'Margin Calculation'!F:Y,20,0)</f>
        <v>2351.9160000000002</v>
      </c>
      <c r="J53" s="205">
        <f>VLOOKUP(A53,'Margin Calculation'!F:Z,21,0)</f>
        <v>2775.2608800000003</v>
      </c>
      <c r="K53" s="182">
        <v>100</v>
      </c>
      <c r="L53" s="182">
        <f t="shared" si="0"/>
        <v>423.89400000000006</v>
      </c>
      <c r="M53" s="182">
        <f t="shared" si="1"/>
        <v>211.94700000000003</v>
      </c>
      <c r="N53" s="182">
        <f t="shared" si="2"/>
        <v>127.16820000000001</v>
      </c>
      <c r="O53" s="205">
        <f t="shared" si="3"/>
        <v>3214.9252000000006</v>
      </c>
      <c r="P53" s="182">
        <f t="shared" si="4"/>
        <v>646.61796610169495</v>
      </c>
      <c r="Q53" s="205">
        <f t="shared" si="5"/>
        <v>377.39683389830498</v>
      </c>
      <c r="R53" s="184">
        <f t="shared" si="6"/>
        <v>8.9030944976410356E-2</v>
      </c>
      <c r="S53" s="182">
        <f t="shared" si="8"/>
        <v>4238.9400000000005</v>
      </c>
      <c r="T53" s="182">
        <f>VLOOKUP(A53,'Margin Calculation'!F:AN,35,0)</f>
        <v>3999</v>
      </c>
      <c r="U53" s="182"/>
      <c r="V53" s="182"/>
      <c r="W53" s="182"/>
      <c r="X53" s="182"/>
      <c r="Y53" s="182"/>
      <c r="Z53" s="182"/>
    </row>
    <row r="54" spans="1:26">
      <c r="A54" s="69" t="s">
        <v>642</v>
      </c>
      <c r="B54" s="102" t="s">
        <v>643</v>
      </c>
      <c r="C54" s="117" t="s">
        <v>644</v>
      </c>
      <c r="D54" s="69" t="s">
        <v>314</v>
      </c>
      <c r="E54" s="69" t="s">
        <v>437</v>
      </c>
      <c r="F54" s="117"/>
      <c r="G54" s="117"/>
      <c r="H54" s="117" t="s">
        <v>645</v>
      </c>
      <c r="I54" s="205">
        <f>VLOOKUP(A54,'Margin Calculation'!F:Y,20,0)</f>
        <v>509.48999999999995</v>
      </c>
      <c r="J54" s="205">
        <f>VLOOKUP(A54,'Margin Calculation'!F:Z,21,0)</f>
        <v>601.19819999999993</v>
      </c>
      <c r="K54" s="182">
        <v>100</v>
      </c>
      <c r="L54" s="182">
        <f t="shared" si="0"/>
        <v>158.89400000000001</v>
      </c>
      <c r="M54" s="182">
        <f t="shared" si="1"/>
        <v>79.447000000000003</v>
      </c>
      <c r="N54" s="182">
        <f t="shared" si="2"/>
        <v>47.668199999999999</v>
      </c>
      <c r="O54" s="205">
        <f t="shared" si="3"/>
        <v>895.49919999999997</v>
      </c>
      <c r="P54" s="182">
        <f t="shared" si="4"/>
        <v>242.38067796610153</v>
      </c>
      <c r="Q54" s="205">
        <f t="shared" si="5"/>
        <v>451.06012203389855</v>
      </c>
      <c r="R54" s="184">
        <f t="shared" si="6"/>
        <v>0.28387486124957428</v>
      </c>
      <c r="S54" s="182">
        <f t="shared" si="8"/>
        <v>1588.94</v>
      </c>
      <c r="T54" s="182">
        <f>VLOOKUP(A54,'Margin Calculation'!F:AN,35,0)</f>
        <v>1499</v>
      </c>
      <c r="U54" s="182"/>
      <c r="V54" s="182"/>
      <c r="W54" s="182"/>
      <c r="X54" s="182"/>
      <c r="Y54" s="182"/>
      <c r="Z54" s="182"/>
    </row>
    <row r="55" spans="1:26">
      <c r="A55" s="69" t="s">
        <v>646</v>
      </c>
      <c r="B55" s="102" t="s">
        <v>647</v>
      </c>
      <c r="C55" s="117" t="s">
        <v>648</v>
      </c>
      <c r="D55" s="69" t="s">
        <v>628</v>
      </c>
      <c r="E55" s="69" t="s">
        <v>629</v>
      </c>
      <c r="F55" s="117"/>
      <c r="G55" s="117" t="s">
        <v>649</v>
      </c>
      <c r="H55" s="117" t="s">
        <v>650</v>
      </c>
      <c r="I55" s="205">
        <f>VLOOKUP(A55,'Margin Calculation'!F:Y,20,0)</f>
        <v>695.61449999999991</v>
      </c>
      <c r="J55" s="205">
        <f>VLOOKUP(A55,'Margin Calculation'!F:Z,21,0)</f>
        <v>820.82510999999988</v>
      </c>
      <c r="K55" s="182">
        <v>100</v>
      </c>
      <c r="L55" s="182">
        <f t="shared" si="0"/>
        <v>148.29400000000001</v>
      </c>
      <c r="M55" s="182">
        <f t="shared" si="1"/>
        <v>74.147000000000006</v>
      </c>
      <c r="N55" s="182">
        <f t="shared" si="2"/>
        <v>44.488199999999999</v>
      </c>
      <c r="O55" s="205">
        <f t="shared" si="3"/>
        <v>1062.5436999999999</v>
      </c>
      <c r="P55" s="182">
        <f t="shared" si="4"/>
        <v>226.21118644067792</v>
      </c>
      <c r="Q55" s="205">
        <f t="shared" si="5"/>
        <v>194.18511355932219</v>
      </c>
      <c r="R55" s="184">
        <f t="shared" si="6"/>
        <v>0.1309460352808085</v>
      </c>
      <c r="S55" s="182">
        <f t="shared" si="8"/>
        <v>1482.94</v>
      </c>
      <c r="T55" s="182">
        <f>VLOOKUP(A55,'Margin Calculation'!F:AN,35,0)</f>
        <v>1399</v>
      </c>
      <c r="U55" s="182"/>
      <c r="V55" s="182"/>
      <c r="W55" s="182"/>
      <c r="X55" s="182"/>
      <c r="Y55" s="182"/>
      <c r="Z55" s="182"/>
    </row>
    <row r="56" spans="1:26">
      <c r="A56" s="69" t="s">
        <v>651</v>
      </c>
      <c r="B56" s="102" t="s">
        <v>652</v>
      </c>
      <c r="C56" s="117" t="s">
        <v>653</v>
      </c>
      <c r="D56" s="69" t="s">
        <v>628</v>
      </c>
      <c r="E56" s="69" t="s">
        <v>629</v>
      </c>
      <c r="F56" s="117"/>
      <c r="G56" s="117" t="s">
        <v>649</v>
      </c>
      <c r="H56" s="117" t="s">
        <v>654</v>
      </c>
      <c r="I56" s="205">
        <f>VLOOKUP(A56,'Margin Calculation'!F:Y,20,0)</f>
        <v>695.61449999999991</v>
      </c>
      <c r="J56" s="205">
        <f>VLOOKUP(A56,'Margin Calculation'!F:Z,21,0)</f>
        <v>820.82510999999988</v>
      </c>
      <c r="K56" s="182">
        <v>100</v>
      </c>
      <c r="L56" s="182">
        <f t="shared" si="0"/>
        <v>206.59400000000002</v>
      </c>
      <c r="M56" s="182">
        <f t="shared" si="1"/>
        <v>103.29700000000001</v>
      </c>
      <c r="N56" s="182">
        <f t="shared" si="2"/>
        <v>61.978200000000001</v>
      </c>
      <c r="O56" s="205">
        <f t="shared" si="3"/>
        <v>1167.4837</v>
      </c>
      <c r="P56" s="182">
        <f t="shared" si="4"/>
        <v>315.14338983050834</v>
      </c>
      <c r="Q56" s="205">
        <f t="shared" si="5"/>
        <v>583.31291016949172</v>
      </c>
      <c r="R56" s="184">
        <f t="shared" si="6"/>
        <v>0.28234745934997713</v>
      </c>
      <c r="S56" s="182">
        <f t="shared" si="8"/>
        <v>2065.94</v>
      </c>
      <c r="T56" s="182">
        <f>VLOOKUP(A56,'Margin Calculation'!F:AN,35,0)</f>
        <v>1949</v>
      </c>
      <c r="U56" s="182"/>
      <c r="V56" s="182"/>
      <c r="W56" s="182"/>
      <c r="X56" s="182"/>
      <c r="Y56" s="182"/>
      <c r="Z56" s="182"/>
    </row>
    <row r="57" spans="1:26">
      <c r="A57" s="69" t="s">
        <v>655</v>
      </c>
      <c r="B57" s="102" t="s">
        <v>656</v>
      </c>
      <c r="C57" s="117" t="s">
        <v>657</v>
      </c>
      <c r="D57" s="69" t="s">
        <v>628</v>
      </c>
      <c r="E57" s="69" t="s">
        <v>629</v>
      </c>
      <c r="F57" s="117"/>
      <c r="G57" s="117" t="s">
        <v>649</v>
      </c>
      <c r="H57" s="117" t="s">
        <v>658</v>
      </c>
      <c r="I57" s="205">
        <f>VLOOKUP(A57,'Margin Calculation'!F:Y,20,0)</f>
        <v>936.09836999999993</v>
      </c>
      <c r="J57" s="205">
        <f>VLOOKUP(A57,'Margin Calculation'!F:Z,21,0)</f>
        <v>1104.5960765999998</v>
      </c>
      <c r="K57" s="182">
        <v>100</v>
      </c>
      <c r="L57" s="182">
        <f t="shared" si="0"/>
        <v>243.69400000000002</v>
      </c>
      <c r="M57" s="182">
        <f t="shared" si="1"/>
        <v>121.84700000000001</v>
      </c>
      <c r="N57" s="182">
        <f t="shared" si="2"/>
        <v>73.108199999999997</v>
      </c>
      <c r="O57" s="205">
        <f t="shared" si="3"/>
        <v>1474.7475699999998</v>
      </c>
      <c r="P57" s="182">
        <f t="shared" si="4"/>
        <v>371.73661016949154</v>
      </c>
      <c r="Q57" s="205">
        <f t="shared" si="5"/>
        <v>590.45581983050874</v>
      </c>
      <c r="R57" s="184">
        <f t="shared" si="6"/>
        <v>0.24229395054064062</v>
      </c>
      <c r="S57" s="182">
        <f t="shared" si="8"/>
        <v>2436.94</v>
      </c>
      <c r="T57" s="182">
        <f>VLOOKUP(A57,'Margin Calculation'!F:AN,35,0)</f>
        <v>2299</v>
      </c>
      <c r="U57" s="182"/>
      <c r="V57" s="182"/>
      <c r="W57" s="182"/>
      <c r="X57" s="182"/>
      <c r="Y57" s="182"/>
      <c r="Z57" s="182"/>
    </row>
    <row r="58" spans="1:26">
      <c r="A58" s="69" t="s">
        <v>659</v>
      </c>
      <c r="B58" s="102" t="s">
        <v>660</v>
      </c>
      <c r="C58" s="117" t="s">
        <v>661</v>
      </c>
      <c r="D58" s="69" t="s">
        <v>234</v>
      </c>
      <c r="E58" s="69" t="s">
        <v>249</v>
      </c>
      <c r="F58" s="117"/>
      <c r="G58" s="117" t="s">
        <v>611</v>
      </c>
      <c r="H58" s="117" t="s">
        <v>662</v>
      </c>
      <c r="I58" s="205">
        <f>VLOOKUP(A58,'Margin Calculation'!F:Y,20,0)</f>
        <v>753.73308000000009</v>
      </c>
      <c r="J58" s="205">
        <f>VLOOKUP(A58,'Margin Calculation'!F:Z,21,0)</f>
        <v>889.40503440000009</v>
      </c>
      <c r="K58" s="182">
        <v>100</v>
      </c>
      <c r="L58" s="182">
        <f t="shared" si="0"/>
        <v>211.89400000000001</v>
      </c>
      <c r="M58" s="182">
        <f t="shared" si="1"/>
        <v>105.947</v>
      </c>
      <c r="N58" s="182">
        <f t="shared" si="2"/>
        <v>63.568199999999997</v>
      </c>
      <c r="O58" s="205">
        <f t="shared" si="3"/>
        <v>1235.1422800000003</v>
      </c>
      <c r="P58" s="182">
        <f t="shared" si="4"/>
        <v>323.22813559322026</v>
      </c>
      <c r="Q58" s="205">
        <f t="shared" si="5"/>
        <v>560.56958440677954</v>
      </c>
      <c r="R58" s="184">
        <f t="shared" si="6"/>
        <v>0.26455189123183265</v>
      </c>
      <c r="S58" s="182">
        <f t="shared" si="8"/>
        <v>2118.94</v>
      </c>
      <c r="T58" s="182">
        <f>VLOOKUP(A58,'Margin Calculation'!F:AN,35,0)</f>
        <v>1999</v>
      </c>
      <c r="U58" s="182"/>
      <c r="V58" s="182"/>
      <c r="W58" s="182"/>
      <c r="X58" s="182"/>
      <c r="Y58" s="182"/>
      <c r="Z58" s="182"/>
    </row>
    <row r="59" spans="1:26">
      <c r="A59" s="69" t="s">
        <v>663</v>
      </c>
      <c r="B59" s="102" t="s">
        <v>664</v>
      </c>
      <c r="C59" s="117" t="s">
        <v>665</v>
      </c>
      <c r="D59" s="69" t="s">
        <v>314</v>
      </c>
      <c r="E59" s="69" t="s">
        <v>444</v>
      </c>
      <c r="F59" s="117"/>
      <c r="G59" s="117" t="s">
        <v>666</v>
      </c>
      <c r="H59" s="117" t="s">
        <v>667</v>
      </c>
      <c r="I59" s="205">
        <f>VLOOKUP(A59,'Margin Calculation'!F:Y,20,0)</f>
        <v>1119.9599999999998</v>
      </c>
      <c r="J59" s="205">
        <f>VLOOKUP(A59,'Margin Calculation'!F:Z,21,0)</f>
        <v>1321.5527999999997</v>
      </c>
      <c r="K59" s="182">
        <v>100</v>
      </c>
      <c r="L59" s="182">
        <f t="shared" si="0"/>
        <v>299.87400000000002</v>
      </c>
      <c r="M59" s="182">
        <f t="shared" si="1"/>
        <v>149.93700000000001</v>
      </c>
      <c r="N59" s="182">
        <f t="shared" si="2"/>
        <v>89.96220000000001</v>
      </c>
      <c r="O59" s="205">
        <f t="shared" si="3"/>
        <v>1759.7331999999997</v>
      </c>
      <c r="P59" s="182">
        <f t="shared" si="4"/>
        <v>457.43491525423724</v>
      </c>
      <c r="Q59" s="205">
        <f t="shared" si="5"/>
        <v>781.57188474576333</v>
      </c>
      <c r="R59" s="184">
        <f t="shared" si="6"/>
        <v>0.26063342762152214</v>
      </c>
      <c r="S59" s="182">
        <f t="shared" si="8"/>
        <v>2998.7400000000002</v>
      </c>
      <c r="T59" s="182">
        <f>VLOOKUP(A59,'Margin Calculation'!F:AN,35,0)</f>
        <v>2829</v>
      </c>
      <c r="U59" s="182"/>
      <c r="V59" s="182"/>
      <c r="W59" s="182"/>
      <c r="X59" s="182"/>
      <c r="Y59" s="182"/>
      <c r="Z59" s="182"/>
    </row>
    <row r="60" spans="1:26">
      <c r="A60" s="69" t="s">
        <v>668</v>
      </c>
      <c r="B60" s="102" t="s">
        <v>669</v>
      </c>
      <c r="C60" s="117" t="s">
        <v>670</v>
      </c>
      <c r="D60" s="117" t="s">
        <v>671</v>
      </c>
      <c r="E60" s="117"/>
      <c r="F60" s="117"/>
      <c r="G60" s="117" t="s">
        <v>672</v>
      </c>
      <c r="H60" s="117" t="s">
        <v>673</v>
      </c>
      <c r="I60" s="205">
        <f>VLOOKUP(A60,'Margin Calculation'!F:Y,20,0)</f>
        <v>582.37919999999997</v>
      </c>
      <c r="J60" s="205">
        <f>VLOOKUP(A60,'Margin Calculation'!F:Z,21,0)</f>
        <v>687.20745599999998</v>
      </c>
      <c r="K60" s="182">
        <v>100</v>
      </c>
      <c r="L60" s="182">
        <f t="shared" si="0"/>
        <v>158.89400000000001</v>
      </c>
      <c r="M60" s="182">
        <f t="shared" si="1"/>
        <v>79.447000000000003</v>
      </c>
      <c r="N60" s="182">
        <f t="shared" si="2"/>
        <v>47.668199999999999</v>
      </c>
      <c r="O60" s="205">
        <f t="shared" si="3"/>
        <v>968.38839999999993</v>
      </c>
      <c r="P60" s="182">
        <f t="shared" si="4"/>
        <v>242.38067796610153</v>
      </c>
      <c r="Q60" s="205">
        <f t="shared" si="5"/>
        <v>378.17092203389859</v>
      </c>
      <c r="R60" s="184">
        <f t="shared" si="6"/>
        <v>0.23800201520126535</v>
      </c>
      <c r="S60" s="182">
        <f t="shared" si="8"/>
        <v>1588.94</v>
      </c>
      <c r="T60" s="182">
        <f>VLOOKUP(A60,'Margin Calculation'!F:AN,35,0)</f>
        <v>1499</v>
      </c>
      <c r="U60" s="182"/>
      <c r="V60" s="182"/>
      <c r="W60" s="182"/>
      <c r="X60" s="182"/>
      <c r="Y60" s="182"/>
      <c r="Z60" s="182"/>
    </row>
    <row r="61" spans="1:26">
      <c r="A61" s="69" t="s">
        <v>675</v>
      </c>
      <c r="B61" s="102" t="s">
        <v>676</v>
      </c>
      <c r="C61" s="117" t="s">
        <v>677</v>
      </c>
      <c r="D61" s="117" t="s">
        <v>314</v>
      </c>
      <c r="E61" s="117"/>
      <c r="F61" s="117"/>
      <c r="G61" s="117" t="s">
        <v>635</v>
      </c>
      <c r="H61" s="117" t="s">
        <v>678</v>
      </c>
      <c r="I61" s="205">
        <f>VLOOKUP(A61,'Margin Calculation'!F:Y,20,0)</f>
        <v>509.58179999999999</v>
      </c>
      <c r="J61" s="205">
        <f>VLOOKUP(A61,'Margin Calculation'!F:Z,21,0)</f>
        <v>601.30652399999997</v>
      </c>
      <c r="K61" s="182">
        <v>100</v>
      </c>
      <c r="L61" s="182">
        <f t="shared" si="0"/>
        <v>115.43400000000003</v>
      </c>
      <c r="M61" s="182">
        <f t="shared" si="1"/>
        <v>57.717000000000013</v>
      </c>
      <c r="N61" s="182">
        <f t="shared" si="2"/>
        <v>34.630200000000002</v>
      </c>
      <c r="O61" s="205">
        <f t="shared" si="3"/>
        <v>817.36299999999983</v>
      </c>
      <c r="P61" s="182">
        <f t="shared" si="4"/>
        <v>176.08576271186439</v>
      </c>
      <c r="Q61" s="205">
        <f t="shared" si="5"/>
        <v>160.89123728813593</v>
      </c>
      <c r="R61" s="184">
        <f t="shared" si="6"/>
        <v>0.13937941792551234</v>
      </c>
      <c r="S61" s="182">
        <f t="shared" si="8"/>
        <v>1154.3400000000001</v>
      </c>
      <c r="T61" s="182">
        <f>VLOOKUP(A61,'Margin Calculation'!F:AN,35,0)</f>
        <v>1089</v>
      </c>
      <c r="U61" s="182"/>
      <c r="V61" s="182"/>
      <c r="W61" s="182"/>
      <c r="X61" s="182"/>
      <c r="Y61" s="182"/>
      <c r="Z61" s="182"/>
    </row>
    <row r="62" spans="1:26">
      <c r="A62" s="69" t="s">
        <v>679</v>
      </c>
      <c r="B62" s="102" t="s">
        <v>680</v>
      </c>
      <c r="C62" s="117" t="s">
        <v>681</v>
      </c>
      <c r="D62" s="117" t="s">
        <v>314</v>
      </c>
      <c r="E62" s="117"/>
      <c r="F62" s="117"/>
      <c r="G62" s="117" t="s">
        <v>438</v>
      </c>
      <c r="H62" s="117" t="s">
        <v>682</v>
      </c>
      <c r="I62" s="205">
        <f>VLOOKUP(A62,'Margin Calculation'!F:Y,20,0)</f>
        <v>394.22592000000003</v>
      </c>
      <c r="J62" s="205">
        <f>VLOOKUP(A62,'Margin Calculation'!F:Z,21,0)</f>
        <v>465.1865856</v>
      </c>
      <c r="K62" s="182">
        <v>100</v>
      </c>
      <c r="L62" s="182">
        <f t="shared" si="0"/>
        <v>127.09400000000001</v>
      </c>
      <c r="M62" s="182">
        <f t="shared" si="1"/>
        <v>63.547000000000004</v>
      </c>
      <c r="N62" s="182">
        <f t="shared" si="2"/>
        <v>38.1282</v>
      </c>
      <c r="O62" s="205">
        <f t="shared" si="3"/>
        <v>722.99512000000004</v>
      </c>
      <c r="P62" s="182">
        <f t="shared" si="4"/>
        <v>193.87220338983047</v>
      </c>
      <c r="Q62" s="205">
        <f t="shared" si="5"/>
        <v>354.07267661016954</v>
      </c>
      <c r="R62" s="184">
        <f t="shared" si="6"/>
        <v>0.27859118181044701</v>
      </c>
      <c r="S62" s="182">
        <f t="shared" si="8"/>
        <v>1270.94</v>
      </c>
      <c r="T62" s="182">
        <f>VLOOKUP(A62,'Margin Calculation'!F:AN,35,0)</f>
        <v>1199</v>
      </c>
      <c r="U62" s="182"/>
      <c r="V62" s="182"/>
      <c r="W62" s="182"/>
      <c r="X62" s="182"/>
      <c r="Y62" s="182"/>
      <c r="Z62" s="182"/>
    </row>
    <row r="63" spans="1:26">
      <c r="A63" s="69" t="s">
        <v>683</v>
      </c>
      <c r="B63" s="102" t="s">
        <v>684</v>
      </c>
      <c r="C63" s="117" t="s">
        <v>685</v>
      </c>
      <c r="D63" s="69" t="s">
        <v>234</v>
      </c>
      <c r="E63" s="69" t="s">
        <v>671</v>
      </c>
      <c r="F63" s="117"/>
      <c r="G63" s="117" t="s">
        <v>686</v>
      </c>
      <c r="H63" s="117" t="s">
        <v>687</v>
      </c>
      <c r="I63" s="205">
        <f>VLOOKUP(A63,'Margin Calculation'!F:Y,20,0)</f>
        <v>811.97099999999989</v>
      </c>
      <c r="J63" s="205">
        <f>VLOOKUP(A63,'Margin Calculation'!F:Z,21,0)</f>
        <v>958.12577999999985</v>
      </c>
      <c r="K63" s="182">
        <v>100</v>
      </c>
      <c r="L63" s="182">
        <f t="shared" si="0"/>
        <v>180.09400000000002</v>
      </c>
      <c r="M63" s="182">
        <f t="shared" si="1"/>
        <v>90.047000000000011</v>
      </c>
      <c r="N63" s="182">
        <f t="shared" si="2"/>
        <v>54.028199999999998</v>
      </c>
      <c r="O63" s="205">
        <f t="shared" si="3"/>
        <v>1236.1401999999998</v>
      </c>
      <c r="P63" s="182">
        <f t="shared" si="4"/>
        <v>274.71966101694898</v>
      </c>
      <c r="Q63" s="205">
        <f t="shared" si="5"/>
        <v>290.08013898305126</v>
      </c>
      <c r="R63" s="184">
        <f t="shared" si="6"/>
        <v>0.16107151764248184</v>
      </c>
      <c r="S63" s="182">
        <f t="shared" si="8"/>
        <v>1800.94</v>
      </c>
      <c r="T63" s="182">
        <f>VLOOKUP(A63,'Margin Calculation'!F:AN,35,0)</f>
        <v>1699</v>
      </c>
      <c r="U63" s="182"/>
      <c r="V63" s="182"/>
      <c r="W63" s="182"/>
      <c r="X63" s="182"/>
      <c r="Y63" s="182"/>
      <c r="Z63" s="182"/>
    </row>
    <row r="64" spans="1:26">
      <c r="A64" s="69" t="s">
        <v>688</v>
      </c>
      <c r="B64" s="102" t="s">
        <v>689</v>
      </c>
      <c r="C64" s="117" t="s">
        <v>690</v>
      </c>
      <c r="D64" s="69" t="s">
        <v>234</v>
      </c>
      <c r="E64" s="69" t="s">
        <v>671</v>
      </c>
      <c r="F64" s="117"/>
      <c r="G64" s="117" t="s">
        <v>686</v>
      </c>
      <c r="H64" s="117" t="s">
        <v>691</v>
      </c>
      <c r="I64" s="205">
        <f>VLOOKUP(A64,'Margin Calculation'!F:Y,20,0)</f>
        <v>811.97099999999989</v>
      </c>
      <c r="J64" s="205">
        <f>VLOOKUP(A64,'Margin Calculation'!F:Z,21,0)</f>
        <v>958.12577999999985</v>
      </c>
      <c r="K64" s="182">
        <v>100</v>
      </c>
      <c r="L64" s="182">
        <f t="shared" si="0"/>
        <v>169.49400000000003</v>
      </c>
      <c r="M64" s="182">
        <f t="shared" si="1"/>
        <v>84.747000000000014</v>
      </c>
      <c r="N64" s="182">
        <f t="shared" si="2"/>
        <v>50.848199999999999</v>
      </c>
      <c r="O64" s="205">
        <f t="shared" si="3"/>
        <v>1217.0601999999999</v>
      </c>
      <c r="P64" s="182">
        <f t="shared" si="4"/>
        <v>258.55016949152537</v>
      </c>
      <c r="Q64" s="205">
        <f t="shared" si="5"/>
        <v>219.32963050847479</v>
      </c>
      <c r="R64" s="184">
        <f t="shared" si="6"/>
        <v>0.12940259272214638</v>
      </c>
      <c r="S64" s="182">
        <f t="shared" si="8"/>
        <v>1694.94</v>
      </c>
      <c r="T64" s="182">
        <f>VLOOKUP(A64,'Margin Calculation'!F:AN,35,0)</f>
        <v>1599</v>
      </c>
      <c r="U64" s="182"/>
      <c r="V64" s="182"/>
      <c r="W64" s="182"/>
      <c r="X64" s="182"/>
      <c r="Y64" s="182"/>
      <c r="Z64" s="182"/>
    </row>
    <row r="65" spans="1:26">
      <c r="A65" s="69" t="s">
        <v>695</v>
      </c>
      <c r="B65" s="69" t="s">
        <v>696</v>
      </c>
      <c r="C65" s="117" t="s">
        <v>697</v>
      </c>
      <c r="D65" s="69" t="s">
        <v>314</v>
      </c>
      <c r="E65" s="69" t="s">
        <v>465</v>
      </c>
      <c r="F65" s="117"/>
      <c r="G65" s="117" t="s">
        <v>698</v>
      </c>
      <c r="H65" s="117" t="s">
        <v>699</v>
      </c>
      <c r="I65" s="205">
        <f>VLOOKUP(A65,'Margin Calculation'!F:Y,20,0)</f>
        <v>931.80672000000004</v>
      </c>
      <c r="J65" s="205">
        <f>VLOOKUP(A65,'Margin Calculation'!F:Z,21,0)</f>
        <v>1099.5319296</v>
      </c>
      <c r="K65" s="182">
        <v>100</v>
      </c>
      <c r="L65" s="182">
        <f t="shared" si="0"/>
        <v>233.09400000000002</v>
      </c>
      <c r="M65" s="182">
        <f t="shared" si="1"/>
        <v>116.54700000000001</v>
      </c>
      <c r="N65" s="182">
        <f t="shared" si="2"/>
        <v>69.928200000000004</v>
      </c>
      <c r="O65" s="205">
        <f t="shared" si="3"/>
        <v>1451.3759200000002</v>
      </c>
      <c r="P65" s="182">
        <f t="shared" si="4"/>
        <v>355.5671186440677</v>
      </c>
      <c r="Q65" s="205">
        <f t="shared" si="5"/>
        <v>523.99696135593217</v>
      </c>
      <c r="R65" s="184">
        <f t="shared" si="6"/>
        <v>0.22480070759261592</v>
      </c>
      <c r="S65" s="182">
        <f t="shared" si="8"/>
        <v>2330.94</v>
      </c>
      <c r="T65" s="182">
        <f>VLOOKUP(A65,'Margin Calculation'!F:AN,35,0)</f>
        <v>2199</v>
      </c>
      <c r="U65" s="182"/>
      <c r="V65" s="182"/>
      <c r="W65" s="182"/>
      <c r="X65" s="182"/>
      <c r="Y65" s="182"/>
      <c r="Z65" s="182"/>
    </row>
    <row r="66" spans="1:26">
      <c r="A66" s="69" t="s">
        <v>700</v>
      </c>
      <c r="B66" s="102" t="s">
        <v>701</v>
      </c>
      <c r="C66" s="117" t="s">
        <v>702</v>
      </c>
      <c r="D66" s="69" t="s">
        <v>314</v>
      </c>
      <c r="E66" s="69" t="s">
        <v>465</v>
      </c>
      <c r="F66" s="117"/>
      <c r="G66" s="117" t="s">
        <v>698</v>
      </c>
      <c r="H66" s="117" t="s">
        <v>703</v>
      </c>
      <c r="I66" s="205">
        <f>VLOOKUP(A66,'Margin Calculation'!F:Y,20,0)</f>
        <v>724.61412000000007</v>
      </c>
      <c r="J66" s="205">
        <f>VLOOKUP(A66,'Margin Calculation'!F:Z,21,0)</f>
        <v>855.04466160000004</v>
      </c>
      <c r="K66" s="182">
        <v>100</v>
      </c>
      <c r="L66" s="182">
        <f t="shared" si="0"/>
        <v>215.07400000000004</v>
      </c>
      <c r="M66" s="182">
        <f t="shared" si="1"/>
        <v>107.53700000000002</v>
      </c>
      <c r="N66" s="182">
        <f t="shared" si="2"/>
        <v>64.522199999999998</v>
      </c>
      <c r="O66" s="205">
        <f t="shared" si="3"/>
        <v>1211.7473199999999</v>
      </c>
      <c r="P66" s="182">
        <f t="shared" si="4"/>
        <v>328.07898305084746</v>
      </c>
      <c r="Q66" s="205">
        <f t="shared" si="5"/>
        <v>610.91369694915284</v>
      </c>
      <c r="R66" s="184">
        <f t="shared" si="6"/>
        <v>0.28404814015136781</v>
      </c>
      <c r="S66" s="182">
        <f t="shared" si="8"/>
        <v>2150.7400000000002</v>
      </c>
      <c r="T66" s="182">
        <f>VLOOKUP(A66,'Margin Calculation'!F:AN,35,0)</f>
        <v>2029</v>
      </c>
      <c r="U66" s="182"/>
      <c r="V66" s="182"/>
      <c r="W66" s="182"/>
      <c r="X66" s="182"/>
      <c r="Y66" s="182"/>
      <c r="Z66" s="182"/>
    </row>
    <row r="67" spans="1:26">
      <c r="A67" s="69" t="s">
        <v>704</v>
      </c>
      <c r="B67" s="102" t="s">
        <v>705</v>
      </c>
      <c r="C67" s="117" t="s">
        <v>706</v>
      </c>
      <c r="D67" s="69" t="s">
        <v>234</v>
      </c>
      <c r="E67" s="69" t="s">
        <v>249</v>
      </c>
      <c r="F67" s="117"/>
      <c r="G67" s="117" t="s">
        <v>707</v>
      </c>
      <c r="H67" s="117" t="s">
        <v>708</v>
      </c>
      <c r="I67" s="205">
        <f>VLOOKUP(A67,'Margin Calculation'!F:Y,20,0)</f>
        <v>2239.9199999999996</v>
      </c>
      <c r="J67" s="205">
        <f>VLOOKUP(A67,'Margin Calculation'!F:Z,21,0)</f>
        <v>2643.1055999999994</v>
      </c>
      <c r="K67" s="182">
        <v>100</v>
      </c>
      <c r="L67" s="182">
        <f t="shared" si="0"/>
        <v>635.89400000000012</v>
      </c>
      <c r="M67" s="182">
        <f t="shared" si="1"/>
        <v>317.94700000000006</v>
      </c>
      <c r="N67" s="182">
        <f t="shared" si="2"/>
        <v>190.76820000000001</v>
      </c>
      <c r="O67" s="205">
        <f t="shared" si="3"/>
        <v>3484.5291999999999</v>
      </c>
      <c r="P67" s="182">
        <f t="shared" si="4"/>
        <v>970.00779661016895</v>
      </c>
      <c r="Q67" s="205">
        <f t="shared" si="5"/>
        <v>1904.4030033898316</v>
      </c>
      <c r="R67" s="184">
        <f t="shared" si="6"/>
        <v>0.29948434855334877</v>
      </c>
      <c r="S67" s="182">
        <f t="shared" si="8"/>
        <v>6358.9400000000005</v>
      </c>
      <c r="T67" s="182">
        <f>VLOOKUP(A67,'Margin Calculation'!F:AN,35,0)</f>
        <v>5999</v>
      </c>
      <c r="U67" s="182"/>
      <c r="V67" s="182"/>
      <c r="W67" s="182"/>
      <c r="X67" s="182"/>
      <c r="Y67" s="182"/>
      <c r="Z67" s="182"/>
    </row>
    <row r="68" spans="1:26">
      <c r="A68" s="69" t="s">
        <v>712</v>
      </c>
      <c r="B68" s="102" t="s">
        <v>713</v>
      </c>
      <c r="C68" s="117" t="s">
        <v>714</v>
      </c>
      <c r="D68" s="69" t="s">
        <v>234</v>
      </c>
      <c r="E68" s="69" t="s">
        <v>249</v>
      </c>
      <c r="F68" s="117"/>
      <c r="G68" s="117" t="s">
        <v>715</v>
      </c>
      <c r="H68" s="117" t="s">
        <v>716</v>
      </c>
      <c r="I68" s="205">
        <f>VLOOKUP(A68,'Margin Calculation'!F:Y,20,0)</f>
        <v>988.92468000000008</v>
      </c>
      <c r="J68" s="205">
        <f>VLOOKUP(A68,'Margin Calculation'!F:Z,21,0)</f>
        <v>1166.9311224</v>
      </c>
      <c r="K68" s="182">
        <v>100</v>
      </c>
      <c r="L68" s="182">
        <f t="shared" si="0"/>
        <v>243.69400000000002</v>
      </c>
      <c r="M68" s="182">
        <f t="shared" si="1"/>
        <v>121.84700000000001</v>
      </c>
      <c r="N68" s="182">
        <f t="shared" si="2"/>
        <v>73.108199999999997</v>
      </c>
      <c r="O68" s="205">
        <f t="shared" si="3"/>
        <v>1527.5738799999999</v>
      </c>
      <c r="P68" s="182">
        <f t="shared" si="4"/>
        <v>371.73661016949154</v>
      </c>
      <c r="Q68" s="205">
        <f t="shared" si="5"/>
        <v>537.6295098305086</v>
      </c>
      <c r="R68" s="184">
        <f t="shared" si="6"/>
        <v>0.2206166380093513</v>
      </c>
      <c r="S68" s="182">
        <f t="shared" si="8"/>
        <v>2436.94</v>
      </c>
      <c r="T68" s="182">
        <f>VLOOKUP(A68,'Margin Calculation'!F:AN,35,0)</f>
        <v>2299</v>
      </c>
      <c r="U68" s="182"/>
      <c r="V68" s="182"/>
      <c r="W68" s="182"/>
      <c r="X68" s="182"/>
      <c r="Y68" s="182"/>
      <c r="Z68" s="182"/>
    </row>
    <row r="69" spans="1:26">
      <c r="A69" s="69" t="s">
        <v>717</v>
      </c>
      <c r="B69" s="102" t="s">
        <v>718</v>
      </c>
      <c r="C69" s="117" t="s">
        <v>719</v>
      </c>
      <c r="D69" s="69" t="s">
        <v>234</v>
      </c>
      <c r="E69" s="69" t="s">
        <v>249</v>
      </c>
      <c r="F69" s="117"/>
      <c r="G69" s="117" t="s">
        <v>715</v>
      </c>
      <c r="H69" s="117" t="s">
        <v>716</v>
      </c>
      <c r="I69" s="205">
        <f>VLOOKUP(A69,'Margin Calculation'!F:Y,20,0)</f>
        <v>1047.1625999999999</v>
      </c>
      <c r="J69" s="205">
        <f>VLOOKUP(A69,'Margin Calculation'!F:Z,21,0)</f>
        <v>1235.6518679999997</v>
      </c>
      <c r="K69" s="182">
        <v>100</v>
      </c>
      <c r="L69" s="182">
        <f t="shared" si="0"/>
        <v>264.89400000000001</v>
      </c>
      <c r="M69" s="182">
        <f t="shared" si="1"/>
        <v>132.447</v>
      </c>
      <c r="N69" s="182">
        <f t="shared" si="2"/>
        <v>79.468199999999996</v>
      </c>
      <c r="O69" s="205">
        <f t="shared" si="3"/>
        <v>1623.9718</v>
      </c>
      <c r="P69" s="182">
        <f t="shared" si="4"/>
        <v>404.07559322033876</v>
      </c>
      <c r="Q69" s="205">
        <f t="shared" si="5"/>
        <v>620.89260677966126</v>
      </c>
      <c r="R69" s="184">
        <f t="shared" si="6"/>
        <v>0.23439285403960122</v>
      </c>
      <c r="S69" s="182">
        <f t="shared" si="8"/>
        <v>2648.94</v>
      </c>
      <c r="T69" s="182">
        <f>VLOOKUP(A69,'Margin Calculation'!F:AN,35,0)</f>
        <v>2499</v>
      </c>
      <c r="U69" s="182"/>
      <c r="V69" s="182"/>
      <c r="W69" s="182"/>
      <c r="X69" s="182"/>
      <c r="Y69" s="182"/>
      <c r="Z69" s="182"/>
    </row>
    <row r="70" spans="1:26">
      <c r="A70" s="69" t="s">
        <v>720</v>
      </c>
      <c r="B70" s="102" t="s">
        <v>721</v>
      </c>
      <c r="C70" s="117" t="s">
        <v>722</v>
      </c>
      <c r="D70" s="117" t="s">
        <v>314</v>
      </c>
      <c r="E70" s="117"/>
      <c r="F70" s="117"/>
      <c r="G70" s="117" t="s">
        <v>546</v>
      </c>
      <c r="H70" s="117" t="s">
        <v>723</v>
      </c>
      <c r="I70" s="205">
        <f>VLOOKUP(A70,'Margin Calculation'!F:Y,20,0)</f>
        <v>611.38800000000003</v>
      </c>
      <c r="J70" s="205">
        <f>VLOOKUP(A70,'Margin Calculation'!F:Z,21,0)</f>
        <v>721.43784000000005</v>
      </c>
      <c r="K70" s="182">
        <v>100</v>
      </c>
      <c r="L70" s="182">
        <f t="shared" si="0"/>
        <v>180.09400000000002</v>
      </c>
      <c r="M70" s="182">
        <f t="shared" si="1"/>
        <v>90.047000000000011</v>
      </c>
      <c r="N70" s="182">
        <f t="shared" si="2"/>
        <v>54.028199999999998</v>
      </c>
      <c r="O70" s="205">
        <f t="shared" si="3"/>
        <v>1035.5572000000002</v>
      </c>
      <c r="P70" s="182">
        <f t="shared" si="4"/>
        <v>274.71966101694898</v>
      </c>
      <c r="Q70" s="205">
        <f t="shared" si="5"/>
        <v>490.66313898305089</v>
      </c>
      <c r="R70" s="184">
        <f t="shared" si="6"/>
        <v>0.27244835418339913</v>
      </c>
      <c r="S70" s="182">
        <f t="shared" si="8"/>
        <v>1800.94</v>
      </c>
      <c r="T70" s="182">
        <f>VLOOKUP(A70,'Margin Calculation'!F:AN,35,0)</f>
        <v>1699</v>
      </c>
      <c r="U70" s="182"/>
      <c r="V70" s="182"/>
      <c r="W70" s="182"/>
      <c r="X70" s="182"/>
      <c r="Y70" s="182"/>
      <c r="Z70" s="182"/>
    </row>
    <row r="71" spans="1:26">
      <c r="A71" s="69" t="s">
        <v>724</v>
      </c>
      <c r="B71" s="69" t="s">
        <v>725</v>
      </c>
      <c r="C71" s="117" t="s">
        <v>726</v>
      </c>
      <c r="D71" s="117" t="s">
        <v>314</v>
      </c>
      <c r="E71" s="117"/>
      <c r="F71" s="117"/>
      <c r="G71" s="117" t="s">
        <v>546</v>
      </c>
      <c r="H71" s="117" t="s">
        <v>727</v>
      </c>
      <c r="I71" s="205">
        <f>VLOOKUP(A71,'Margin Calculation'!F:Y,20,0)</f>
        <v>458.541</v>
      </c>
      <c r="J71" s="205">
        <f>VLOOKUP(A71,'Margin Calculation'!F:Z,21,0)</f>
        <v>541.07837999999992</v>
      </c>
      <c r="K71" s="182">
        <v>100</v>
      </c>
      <c r="L71" s="182">
        <f t="shared" si="0"/>
        <v>164.19400000000002</v>
      </c>
      <c r="M71" s="182">
        <f t="shared" si="1"/>
        <v>82.097000000000008</v>
      </c>
      <c r="N71" s="182">
        <f t="shared" si="2"/>
        <v>49.258200000000002</v>
      </c>
      <c r="O71" s="205">
        <f t="shared" si="3"/>
        <v>854.09019999999987</v>
      </c>
      <c r="P71" s="182">
        <f t="shared" si="4"/>
        <v>250.46542372881345</v>
      </c>
      <c r="Q71" s="205">
        <f t="shared" si="5"/>
        <v>537.38437627118674</v>
      </c>
      <c r="R71" s="184">
        <f t="shared" si="6"/>
        <v>0.32728624448590493</v>
      </c>
      <c r="S71" s="182">
        <f t="shared" si="8"/>
        <v>1641.94</v>
      </c>
      <c r="T71" s="182">
        <f>VLOOKUP(A71,'Margin Calculation'!F:AN,35,0)</f>
        <v>1549</v>
      </c>
      <c r="U71" s="182"/>
      <c r="V71" s="182"/>
      <c r="W71" s="182"/>
      <c r="X71" s="182"/>
      <c r="Y71" s="182"/>
      <c r="Z71" s="182"/>
    </row>
    <row r="72" spans="1:26">
      <c r="A72" s="69" t="s">
        <v>728</v>
      </c>
      <c r="B72" s="102" t="s">
        <v>729</v>
      </c>
      <c r="C72" s="117" t="s">
        <v>730</v>
      </c>
      <c r="D72" s="69" t="s">
        <v>314</v>
      </c>
      <c r="E72" s="69" t="s">
        <v>465</v>
      </c>
      <c r="F72" s="117"/>
      <c r="G72" s="117" t="s">
        <v>546</v>
      </c>
      <c r="H72" s="117" t="s">
        <v>731</v>
      </c>
      <c r="I72" s="205">
        <f>VLOOKUP(A72,'Margin Calculation'!F:Y,20,0)</f>
        <v>1120.8779999999999</v>
      </c>
      <c r="J72" s="205">
        <f>VLOOKUP(A72,'Margin Calculation'!F:Z,21,0)</f>
        <v>1322.6360399999999</v>
      </c>
      <c r="K72" s="182">
        <v>100</v>
      </c>
      <c r="L72" s="182">
        <f t="shared" si="0"/>
        <v>317.89400000000001</v>
      </c>
      <c r="M72" s="182">
        <f t="shared" si="1"/>
        <v>158.947</v>
      </c>
      <c r="N72" s="182">
        <f t="shared" si="2"/>
        <v>95.368200000000002</v>
      </c>
      <c r="O72" s="205">
        <f t="shared" si="3"/>
        <v>1793.0871999999999</v>
      </c>
      <c r="P72" s="182">
        <f t="shared" si="4"/>
        <v>484.92305084745749</v>
      </c>
      <c r="Q72" s="205">
        <f t="shared" si="5"/>
        <v>900.92974915254263</v>
      </c>
      <c r="R72" s="184">
        <f t="shared" si="6"/>
        <v>0.28340571044201607</v>
      </c>
      <c r="S72" s="182">
        <f t="shared" si="8"/>
        <v>3178.94</v>
      </c>
      <c r="T72" s="182">
        <f>VLOOKUP(A72,'Margin Calculation'!F:AN,35,0)</f>
        <v>2999</v>
      </c>
      <c r="U72" s="182"/>
      <c r="V72" s="182"/>
      <c r="W72" s="182"/>
      <c r="X72" s="182"/>
      <c r="Y72" s="182"/>
      <c r="Z72" s="182"/>
    </row>
    <row r="73" spans="1:26">
      <c r="A73" s="69" t="s">
        <v>732</v>
      </c>
      <c r="B73" s="69" t="s">
        <v>733</v>
      </c>
      <c r="C73" s="117" t="s">
        <v>734</v>
      </c>
      <c r="D73" s="69" t="s">
        <v>314</v>
      </c>
      <c r="E73" s="69" t="s">
        <v>437</v>
      </c>
      <c r="F73" s="117"/>
      <c r="G73" s="117" t="s">
        <v>546</v>
      </c>
      <c r="H73" s="117" t="s">
        <v>735</v>
      </c>
      <c r="I73" s="205">
        <f>VLOOKUP(A73,'Margin Calculation'!F:Y,20,0)</f>
        <v>601.19820000000004</v>
      </c>
      <c r="J73" s="205">
        <f>VLOOKUP(A73,'Margin Calculation'!F:Z,21,0)</f>
        <v>709.41387599999996</v>
      </c>
      <c r="K73" s="182">
        <v>100</v>
      </c>
      <c r="L73" s="182">
        <f t="shared" si="0"/>
        <v>169.49400000000003</v>
      </c>
      <c r="M73" s="182">
        <f t="shared" si="1"/>
        <v>84.747000000000014</v>
      </c>
      <c r="N73" s="182">
        <f t="shared" si="2"/>
        <v>50.848199999999999</v>
      </c>
      <c r="O73" s="205">
        <f t="shared" si="3"/>
        <v>1006.2874</v>
      </c>
      <c r="P73" s="182">
        <f t="shared" si="4"/>
        <v>258.55016949152537</v>
      </c>
      <c r="Q73" s="205">
        <f t="shared" si="5"/>
        <v>430.10243050847464</v>
      </c>
      <c r="R73" s="184">
        <f t="shared" si="6"/>
        <v>0.2537567291517544</v>
      </c>
      <c r="S73" s="182">
        <f t="shared" si="8"/>
        <v>1694.94</v>
      </c>
      <c r="T73" s="182">
        <f>VLOOKUP(A73,'Margin Calculation'!F:AN,35,0)</f>
        <v>1599</v>
      </c>
      <c r="U73" s="182"/>
      <c r="V73" s="182"/>
      <c r="W73" s="182"/>
      <c r="X73" s="182"/>
      <c r="Y73" s="182"/>
      <c r="Z73" s="182"/>
    </row>
    <row r="74" spans="1:26">
      <c r="A74" s="69" t="s">
        <v>736</v>
      </c>
      <c r="B74" s="102" t="s">
        <v>737</v>
      </c>
      <c r="C74" s="117" t="s">
        <v>738</v>
      </c>
      <c r="D74" s="69" t="s">
        <v>314</v>
      </c>
      <c r="E74" s="69" t="s">
        <v>465</v>
      </c>
      <c r="F74" s="117"/>
      <c r="G74" s="117" t="s">
        <v>546</v>
      </c>
      <c r="H74" s="117" t="s">
        <v>739</v>
      </c>
      <c r="I74" s="205">
        <f>VLOOKUP(A74,'Margin Calculation'!F:Y,20,0)</f>
        <v>1034.2646999999999</v>
      </c>
      <c r="J74" s="205">
        <f>VLOOKUP(A74,'Margin Calculation'!F:Z,21,0)</f>
        <v>1220.4323459999998</v>
      </c>
      <c r="K74" s="182">
        <v>100</v>
      </c>
      <c r="L74" s="182">
        <f t="shared" si="0"/>
        <v>275.49400000000003</v>
      </c>
      <c r="M74" s="182">
        <f t="shared" si="1"/>
        <v>137.74700000000001</v>
      </c>
      <c r="N74" s="182">
        <f t="shared" si="2"/>
        <v>82.648200000000003</v>
      </c>
      <c r="O74" s="205">
        <f t="shared" si="3"/>
        <v>1630.1539</v>
      </c>
      <c r="P74" s="182">
        <f t="shared" si="4"/>
        <v>420.2450847457626</v>
      </c>
      <c r="Q74" s="205">
        <f t="shared" si="5"/>
        <v>704.54101525423744</v>
      </c>
      <c r="R74" s="184">
        <f t="shared" si="6"/>
        <v>0.25573733556964484</v>
      </c>
      <c r="S74" s="182">
        <f t="shared" si="8"/>
        <v>2754.94</v>
      </c>
      <c r="T74" s="182">
        <f>VLOOKUP(A74,'Margin Calculation'!F:AN,35,0)</f>
        <v>2599</v>
      </c>
      <c r="U74" s="182"/>
      <c r="V74" s="182"/>
      <c r="W74" s="182"/>
      <c r="X74" s="182"/>
      <c r="Y74" s="182"/>
      <c r="Z74" s="182"/>
    </row>
    <row r="75" spans="1:26">
      <c r="A75" s="69" t="s">
        <v>740</v>
      </c>
      <c r="B75" s="102" t="s">
        <v>741</v>
      </c>
      <c r="C75" s="117" t="s">
        <v>742</v>
      </c>
      <c r="D75" s="117" t="s">
        <v>249</v>
      </c>
      <c r="E75" s="117"/>
      <c r="F75" s="117"/>
      <c r="G75" s="117" t="s">
        <v>606</v>
      </c>
      <c r="H75" s="117" t="s">
        <v>743</v>
      </c>
      <c r="I75" s="205">
        <f>VLOOKUP(A75,'Margin Calculation'!F:Y,20,0)</f>
        <v>917.08199999999999</v>
      </c>
      <c r="J75" s="205">
        <f>VLOOKUP(A75,'Margin Calculation'!F:Z,21,0)</f>
        <v>1082.1567599999998</v>
      </c>
      <c r="K75" s="182">
        <v>100</v>
      </c>
      <c r="L75" s="182">
        <f t="shared" si="0"/>
        <v>217.19400000000002</v>
      </c>
      <c r="M75" s="182">
        <f t="shared" si="1"/>
        <v>108.59700000000001</v>
      </c>
      <c r="N75" s="182">
        <f t="shared" si="2"/>
        <v>65.158199999999994</v>
      </c>
      <c r="O75" s="205">
        <f t="shared" si="3"/>
        <v>1408.0312000000001</v>
      </c>
      <c r="P75" s="182">
        <f t="shared" si="4"/>
        <v>331.31288135593218</v>
      </c>
      <c r="Q75" s="205">
        <f t="shared" si="5"/>
        <v>432.59591864406775</v>
      </c>
      <c r="R75" s="184">
        <f t="shared" si="6"/>
        <v>0.19917489370980218</v>
      </c>
      <c r="S75" s="182">
        <f t="shared" si="8"/>
        <v>2171.94</v>
      </c>
      <c r="T75" s="182">
        <f>VLOOKUP(A75,'Margin Calculation'!F:AN,35,0)</f>
        <v>2049</v>
      </c>
      <c r="U75" s="182"/>
      <c r="V75" s="182"/>
      <c r="W75" s="182"/>
      <c r="X75" s="182"/>
      <c r="Y75" s="182"/>
      <c r="Z75" s="182"/>
    </row>
    <row r="76" spans="1:26">
      <c r="A76" s="69" t="s">
        <v>744</v>
      </c>
      <c r="B76" s="102" t="s">
        <v>745</v>
      </c>
      <c r="C76" s="117" t="s">
        <v>746</v>
      </c>
      <c r="D76" s="69" t="s">
        <v>314</v>
      </c>
      <c r="E76" s="69" t="s">
        <v>618</v>
      </c>
      <c r="F76" s="117"/>
      <c r="G76" s="117" t="s">
        <v>747</v>
      </c>
      <c r="H76" s="117" t="s">
        <v>748</v>
      </c>
      <c r="I76" s="205">
        <f>VLOOKUP(A76,'Margin Calculation'!F:Y,20,0)</f>
        <v>855.94319999999993</v>
      </c>
      <c r="J76" s="205">
        <f>VLOOKUP(A76,'Margin Calculation'!F:Z,21,0)</f>
        <v>1010.0129759999999</v>
      </c>
      <c r="K76" s="182">
        <v>100</v>
      </c>
      <c r="L76" s="182">
        <f t="shared" si="0"/>
        <v>286.09399999999999</v>
      </c>
      <c r="M76" s="182">
        <f t="shared" si="1"/>
        <v>143.047</v>
      </c>
      <c r="N76" s="182">
        <f t="shared" si="2"/>
        <v>85.828199999999995</v>
      </c>
      <c r="O76" s="205">
        <f t="shared" si="3"/>
        <v>1470.9123999999999</v>
      </c>
      <c r="P76" s="182">
        <f t="shared" si="4"/>
        <v>436.41457627118643</v>
      </c>
      <c r="Q76" s="205">
        <f t="shared" si="5"/>
        <v>953.61302372881369</v>
      </c>
      <c r="R76" s="184">
        <f t="shared" si="6"/>
        <v>0.3333215739333274</v>
      </c>
      <c r="S76" s="182">
        <f t="shared" si="8"/>
        <v>2860.94</v>
      </c>
      <c r="T76" s="182">
        <f>VLOOKUP(A76,'Margin Calculation'!F:AN,35,0)</f>
        <v>2699</v>
      </c>
      <c r="U76" s="182"/>
      <c r="V76" s="182"/>
      <c r="W76" s="182"/>
      <c r="X76" s="182"/>
      <c r="Y76" s="182"/>
      <c r="Z76" s="182"/>
    </row>
    <row r="77" spans="1:26">
      <c r="A77" s="69" t="s">
        <v>749</v>
      </c>
      <c r="B77" s="102" t="s">
        <v>750</v>
      </c>
      <c r="C77" s="117" t="s">
        <v>751</v>
      </c>
      <c r="D77" s="69" t="s">
        <v>314</v>
      </c>
      <c r="E77" s="69" t="s">
        <v>618</v>
      </c>
      <c r="F77" s="117"/>
      <c r="G77" s="117" t="s">
        <v>747</v>
      </c>
      <c r="H77" s="117" t="s">
        <v>752</v>
      </c>
      <c r="I77" s="205">
        <f>VLOOKUP(A77,'Margin Calculation'!F:Y,20,0)</f>
        <v>881.41770000000008</v>
      </c>
      <c r="J77" s="205">
        <f>VLOOKUP(A77,'Margin Calculation'!F:Z,21,0)</f>
        <v>1040.0728860000002</v>
      </c>
      <c r="K77" s="182">
        <v>100</v>
      </c>
      <c r="L77" s="182">
        <f t="shared" si="0"/>
        <v>153.59400000000002</v>
      </c>
      <c r="M77" s="182">
        <f t="shared" si="1"/>
        <v>76.797000000000011</v>
      </c>
      <c r="N77" s="182">
        <f t="shared" si="2"/>
        <v>46.078200000000002</v>
      </c>
      <c r="O77" s="205">
        <f t="shared" si="3"/>
        <v>1257.8869</v>
      </c>
      <c r="P77" s="182">
        <f t="shared" si="4"/>
        <v>234.29593220338984</v>
      </c>
      <c r="Q77" s="205">
        <f t="shared" si="5"/>
        <v>43.757167796610247</v>
      </c>
      <c r="R77" s="184">
        <f t="shared" si="6"/>
        <v>2.848885229671097E-2</v>
      </c>
      <c r="S77" s="182">
        <f t="shared" si="8"/>
        <v>1535.94</v>
      </c>
      <c r="T77" s="182">
        <f>VLOOKUP(A77,'Margin Calculation'!F:AN,35,0)</f>
        <v>1449</v>
      </c>
      <c r="U77" s="182"/>
      <c r="V77" s="182"/>
      <c r="W77" s="182"/>
      <c r="X77" s="182"/>
      <c r="Y77" s="182"/>
      <c r="Z77" s="182"/>
    </row>
    <row r="78" spans="1:26">
      <c r="A78" s="69" t="s">
        <v>753</v>
      </c>
      <c r="B78" s="102" t="s">
        <v>754</v>
      </c>
      <c r="C78" s="117" t="s">
        <v>138</v>
      </c>
      <c r="D78" s="69" t="s">
        <v>314</v>
      </c>
      <c r="E78" s="69" t="s">
        <v>618</v>
      </c>
      <c r="F78" s="117"/>
      <c r="G78" s="117" t="s">
        <v>747</v>
      </c>
      <c r="H78" s="117" t="s">
        <v>755</v>
      </c>
      <c r="I78" s="205">
        <f>VLOOKUP(A78,'Margin Calculation'!F:Y,20,0)</f>
        <v>1528.47</v>
      </c>
      <c r="J78" s="205">
        <f>VLOOKUP(A78,'Margin Calculation'!F:Z,21,0)</f>
        <v>1803.5945999999999</v>
      </c>
      <c r="K78" s="182">
        <v>100</v>
      </c>
      <c r="L78" s="182">
        <f t="shared" si="0"/>
        <v>317.89400000000001</v>
      </c>
      <c r="M78" s="182">
        <f t="shared" si="1"/>
        <v>158.947</v>
      </c>
      <c r="N78" s="182">
        <f t="shared" si="2"/>
        <v>95.368200000000002</v>
      </c>
      <c r="O78" s="205">
        <f t="shared" si="3"/>
        <v>2200.6792</v>
      </c>
      <c r="P78" s="182">
        <f t="shared" si="4"/>
        <v>484.92305084745749</v>
      </c>
      <c r="Q78" s="205">
        <f t="shared" si="5"/>
        <v>493.33774915254253</v>
      </c>
      <c r="R78" s="184">
        <f t="shared" si="6"/>
        <v>0.15518938676179561</v>
      </c>
      <c r="S78" s="182">
        <f t="shared" si="8"/>
        <v>3178.94</v>
      </c>
      <c r="T78" s="182">
        <f>VLOOKUP(A78,'Margin Calculation'!F:AN,35,0)</f>
        <v>2999</v>
      </c>
      <c r="U78" s="182"/>
      <c r="V78" s="182"/>
      <c r="W78" s="182"/>
      <c r="X78" s="182"/>
      <c r="Y78" s="182"/>
      <c r="Z78" s="182"/>
    </row>
    <row r="79" spans="1:26">
      <c r="A79" s="69" t="s">
        <v>756</v>
      </c>
      <c r="B79" s="102" t="s">
        <v>757</v>
      </c>
      <c r="C79" s="117" t="s">
        <v>758</v>
      </c>
      <c r="D79" s="69" t="s">
        <v>314</v>
      </c>
      <c r="E79" s="69" t="s">
        <v>618</v>
      </c>
      <c r="F79" s="117"/>
      <c r="G79" s="117" t="s">
        <v>747</v>
      </c>
      <c r="H79" s="117" t="s">
        <v>759</v>
      </c>
      <c r="I79" s="205">
        <f>VLOOKUP(A79,'Margin Calculation'!F:Y,20,0)</f>
        <v>733.66560000000004</v>
      </c>
      <c r="J79" s="205">
        <f>VLOOKUP(A79,'Margin Calculation'!F:Z,21,0)</f>
        <v>865.72540800000002</v>
      </c>
      <c r="K79" s="182">
        <v>100</v>
      </c>
      <c r="L79" s="182">
        <f t="shared" si="0"/>
        <v>180.09400000000002</v>
      </c>
      <c r="M79" s="182">
        <f t="shared" si="1"/>
        <v>90.047000000000011</v>
      </c>
      <c r="N79" s="182">
        <f t="shared" si="2"/>
        <v>54.028199999999998</v>
      </c>
      <c r="O79" s="205">
        <f t="shared" si="3"/>
        <v>1157.8348000000001</v>
      </c>
      <c r="P79" s="182">
        <f t="shared" si="4"/>
        <v>274.71966101694898</v>
      </c>
      <c r="Q79" s="205">
        <f t="shared" si="5"/>
        <v>368.38553898305099</v>
      </c>
      <c r="R79" s="184">
        <f t="shared" si="6"/>
        <v>0.20455181126692226</v>
      </c>
      <c r="S79" s="182">
        <f t="shared" si="8"/>
        <v>1800.94</v>
      </c>
      <c r="T79" s="182">
        <f>VLOOKUP(A79,'Margin Calculation'!F:AN,35,0)</f>
        <v>1699</v>
      </c>
      <c r="U79" s="182"/>
      <c r="V79" s="182"/>
      <c r="W79" s="182"/>
      <c r="X79" s="182"/>
      <c r="Y79" s="182"/>
      <c r="Z79" s="182"/>
    </row>
    <row r="80" spans="1:26">
      <c r="A80" s="69" t="s">
        <v>760</v>
      </c>
      <c r="B80" s="102" t="s">
        <v>761</v>
      </c>
      <c r="C80" s="117" t="s">
        <v>762</v>
      </c>
      <c r="D80" s="69" t="s">
        <v>314</v>
      </c>
      <c r="E80" s="69" t="s">
        <v>618</v>
      </c>
      <c r="F80" s="117"/>
      <c r="G80" s="117" t="s">
        <v>747</v>
      </c>
      <c r="H80" s="117" t="s">
        <v>763</v>
      </c>
      <c r="I80" s="205">
        <f>VLOOKUP(A80,'Margin Calculation'!F:Y,20,0)</f>
        <v>611.38800000000003</v>
      </c>
      <c r="J80" s="205">
        <f>VLOOKUP(A80,'Margin Calculation'!F:Z,21,0)</f>
        <v>721.43784000000005</v>
      </c>
      <c r="K80" s="182">
        <v>100</v>
      </c>
      <c r="L80" s="182">
        <f t="shared" si="0"/>
        <v>158.89400000000001</v>
      </c>
      <c r="M80" s="182">
        <f t="shared" si="1"/>
        <v>79.447000000000003</v>
      </c>
      <c r="N80" s="182">
        <f t="shared" si="2"/>
        <v>47.668199999999999</v>
      </c>
      <c r="O80" s="205">
        <f t="shared" si="3"/>
        <v>997.3972</v>
      </c>
      <c r="P80" s="182">
        <f t="shared" si="4"/>
        <v>242.38067796610153</v>
      </c>
      <c r="Q80" s="205">
        <f t="shared" si="5"/>
        <v>349.16212203389853</v>
      </c>
      <c r="R80" s="184">
        <f t="shared" si="6"/>
        <v>0.21974531576642195</v>
      </c>
      <c r="S80" s="182">
        <f t="shared" si="8"/>
        <v>1588.94</v>
      </c>
      <c r="T80" s="182">
        <f>VLOOKUP(A80,'Margin Calculation'!F:AN,35,0)</f>
        <v>1499</v>
      </c>
      <c r="U80" s="182"/>
      <c r="V80" s="182"/>
      <c r="W80" s="182"/>
      <c r="X80" s="182"/>
      <c r="Y80" s="182"/>
      <c r="Z80" s="182"/>
    </row>
    <row r="81" spans="1:26">
      <c r="A81" s="69" t="s">
        <v>764</v>
      </c>
      <c r="B81" s="102" t="s">
        <v>765</v>
      </c>
      <c r="C81" s="117" t="s">
        <v>766</v>
      </c>
      <c r="D81" s="69" t="s">
        <v>314</v>
      </c>
      <c r="E81" s="69" t="s">
        <v>618</v>
      </c>
      <c r="F81" s="117"/>
      <c r="G81" s="117" t="s">
        <v>747</v>
      </c>
      <c r="H81" s="117" t="s">
        <v>767</v>
      </c>
      <c r="I81" s="205">
        <f>VLOOKUP(A81,'Margin Calculation'!F:Y,20,0)</f>
        <v>1222.7760000000001</v>
      </c>
      <c r="J81" s="205">
        <f>VLOOKUP(A81,'Margin Calculation'!F:Z,21,0)</f>
        <v>1442.8756800000001</v>
      </c>
      <c r="K81" s="182">
        <v>100</v>
      </c>
      <c r="L81" s="182">
        <f t="shared" si="0"/>
        <v>186.87800000000004</v>
      </c>
      <c r="M81" s="182">
        <f t="shared" si="1"/>
        <v>93.439000000000021</v>
      </c>
      <c r="N81" s="182">
        <f t="shared" si="2"/>
        <v>56.063400000000001</v>
      </c>
      <c r="O81" s="205">
        <f t="shared" si="3"/>
        <v>1659.1564000000001</v>
      </c>
      <c r="P81" s="182">
        <f t="shared" si="4"/>
        <v>285.06813559322018</v>
      </c>
      <c r="Q81" s="205">
        <f t="shared" si="5"/>
        <v>-75.444535593220053</v>
      </c>
      <c r="R81" s="184">
        <f t="shared" si="6"/>
        <v>-4.037100974604825E-2</v>
      </c>
      <c r="S81" s="182">
        <f t="shared" si="8"/>
        <v>1868.7800000000002</v>
      </c>
      <c r="T81" s="182">
        <f>VLOOKUP(A81,'Margin Calculation'!F:AN,35,0)</f>
        <v>1763</v>
      </c>
      <c r="U81" s="182"/>
      <c r="V81" s="182"/>
      <c r="W81" s="182"/>
      <c r="X81" s="182"/>
      <c r="Y81" s="182"/>
      <c r="Z81" s="182"/>
    </row>
    <row r="82" spans="1:26">
      <c r="A82" s="69" t="s">
        <v>768</v>
      </c>
      <c r="B82" s="102" t="s">
        <v>769</v>
      </c>
      <c r="C82" s="117" t="s">
        <v>770</v>
      </c>
      <c r="D82" s="69" t="s">
        <v>314</v>
      </c>
      <c r="E82" s="69" t="s">
        <v>618</v>
      </c>
      <c r="F82" s="117"/>
      <c r="G82" s="117" t="s">
        <v>747</v>
      </c>
      <c r="H82" s="117" t="s">
        <v>771</v>
      </c>
      <c r="I82" s="205">
        <f>VLOOKUP(A82,'Margin Calculation'!F:Y,20,0)</f>
        <v>781.55766000000006</v>
      </c>
      <c r="J82" s="205">
        <f>VLOOKUP(A82,'Margin Calculation'!F:Z,21,0)</f>
        <v>922.23803880000003</v>
      </c>
      <c r="K82" s="182">
        <v>100</v>
      </c>
      <c r="L82" s="182">
        <f t="shared" si="0"/>
        <v>152.64000000000001</v>
      </c>
      <c r="M82" s="182">
        <f t="shared" si="1"/>
        <v>76.320000000000007</v>
      </c>
      <c r="N82" s="182">
        <f t="shared" si="2"/>
        <v>45.792000000000002</v>
      </c>
      <c r="O82" s="205">
        <f t="shared" si="3"/>
        <v>1156.3096599999999</v>
      </c>
      <c r="P82" s="182">
        <f t="shared" si="4"/>
        <v>232.84067796610157</v>
      </c>
      <c r="Q82" s="205">
        <f t="shared" si="5"/>
        <v>137.24966203389863</v>
      </c>
      <c r="R82" s="184">
        <f t="shared" si="6"/>
        <v>8.99172314163382E-2</v>
      </c>
      <c r="S82" s="182">
        <f t="shared" si="8"/>
        <v>1526.4</v>
      </c>
      <c r="T82" s="182">
        <f>VLOOKUP(A82,'Margin Calculation'!F:AN,35,0)</f>
        <v>1440</v>
      </c>
      <c r="U82" s="182"/>
      <c r="V82" s="182"/>
      <c r="W82" s="182"/>
      <c r="X82" s="182"/>
      <c r="Y82" s="182"/>
      <c r="Z82" s="182"/>
    </row>
    <row r="83" spans="1:26">
      <c r="A83" s="69" t="s">
        <v>772</v>
      </c>
      <c r="B83" s="102" t="s">
        <v>773</v>
      </c>
      <c r="C83" s="117" t="s">
        <v>133</v>
      </c>
      <c r="D83" s="69" t="s">
        <v>314</v>
      </c>
      <c r="E83" s="69" t="s">
        <v>618</v>
      </c>
      <c r="F83" s="117"/>
      <c r="G83" s="117" t="s">
        <v>747</v>
      </c>
      <c r="H83" s="117" t="s">
        <v>774</v>
      </c>
      <c r="I83" s="205">
        <f>VLOOKUP(A83,'Margin Calculation'!F:Y,20,0)</f>
        <v>628.71066000000008</v>
      </c>
      <c r="J83" s="205">
        <f>VLOOKUP(A83,'Margin Calculation'!F:Z,21,0)</f>
        <v>741.87857880000001</v>
      </c>
      <c r="K83" s="182">
        <v>100</v>
      </c>
      <c r="L83" s="182">
        <f t="shared" si="0"/>
        <v>169.49400000000003</v>
      </c>
      <c r="M83" s="182">
        <f t="shared" si="1"/>
        <v>84.747000000000014</v>
      </c>
      <c r="N83" s="182">
        <f t="shared" si="2"/>
        <v>50.848199999999999</v>
      </c>
      <c r="O83" s="205">
        <f t="shared" si="3"/>
        <v>1033.7998600000001</v>
      </c>
      <c r="P83" s="182">
        <f t="shared" si="4"/>
        <v>258.55016949152537</v>
      </c>
      <c r="Q83" s="205">
        <f t="shared" si="5"/>
        <v>402.58997050847461</v>
      </c>
      <c r="R83" s="184">
        <f t="shared" si="6"/>
        <v>0.23752461474062481</v>
      </c>
      <c r="S83" s="182">
        <f t="shared" si="8"/>
        <v>1694.94</v>
      </c>
      <c r="T83" s="182">
        <f>VLOOKUP(A83,'Margin Calculation'!F:AN,35,0)</f>
        <v>1599</v>
      </c>
      <c r="U83" s="182"/>
      <c r="V83" s="182"/>
      <c r="W83" s="182"/>
      <c r="X83" s="182"/>
      <c r="Y83" s="182"/>
      <c r="Z83" s="182"/>
    </row>
    <row r="84" spans="1:26">
      <c r="A84" s="69" t="s">
        <v>775</v>
      </c>
      <c r="B84" s="102" t="s">
        <v>776</v>
      </c>
      <c r="C84" s="117" t="s">
        <v>777</v>
      </c>
      <c r="D84" s="69" t="s">
        <v>314</v>
      </c>
      <c r="E84" s="69" t="s">
        <v>618</v>
      </c>
      <c r="F84" s="117"/>
      <c r="G84" s="117" t="s">
        <v>747</v>
      </c>
      <c r="H84" s="117" t="s">
        <v>778</v>
      </c>
      <c r="I84" s="205">
        <f>VLOOKUP(A84,'Margin Calculation'!F:Y,20,0)</f>
        <v>946.84235999999999</v>
      </c>
      <c r="J84" s="205">
        <f>VLOOKUP(A84,'Margin Calculation'!F:Z,21,0)</f>
        <v>1117.2739847999999</v>
      </c>
      <c r="K84" s="182">
        <v>100</v>
      </c>
      <c r="L84" s="182">
        <f t="shared" si="0"/>
        <v>197.05400000000003</v>
      </c>
      <c r="M84" s="182">
        <f t="shared" si="1"/>
        <v>98.527000000000015</v>
      </c>
      <c r="N84" s="182">
        <f t="shared" si="2"/>
        <v>59.116200000000006</v>
      </c>
      <c r="O84" s="205">
        <f t="shared" si="3"/>
        <v>1401.5395600000002</v>
      </c>
      <c r="P84" s="182">
        <f t="shared" si="4"/>
        <v>300.59084745762698</v>
      </c>
      <c r="Q84" s="205">
        <f t="shared" si="5"/>
        <v>268.40959254237305</v>
      </c>
      <c r="R84" s="184">
        <f t="shared" si="6"/>
        <v>0.13621118705652918</v>
      </c>
      <c r="S84" s="182">
        <f t="shared" si="8"/>
        <v>1970.5400000000002</v>
      </c>
      <c r="T84" s="182">
        <f>VLOOKUP(A84,'Margin Calculation'!F:AN,35,0)</f>
        <v>1859</v>
      </c>
      <c r="U84" s="182"/>
      <c r="V84" s="182"/>
      <c r="W84" s="182"/>
      <c r="X84" s="182"/>
      <c r="Y84" s="182"/>
      <c r="Z84" s="182"/>
    </row>
    <row r="85" spans="1:26">
      <c r="A85" s="69" t="s">
        <v>779</v>
      </c>
      <c r="B85" s="102" t="s">
        <v>780</v>
      </c>
      <c r="C85" s="117" t="s">
        <v>781</v>
      </c>
      <c r="D85" s="69" t="s">
        <v>234</v>
      </c>
      <c r="E85" s="69" t="s">
        <v>249</v>
      </c>
      <c r="F85" s="117"/>
      <c r="G85" s="117" t="s">
        <v>587</v>
      </c>
      <c r="H85" s="117" t="s">
        <v>782</v>
      </c>
      <c r="I85" s="205">
        <f>VLOOKUP(A85,'Margin Calculation'!F:Y,20,0)</f>
        <v>754.04520000000002</v>
      </c>
      <c r="J85" s="205">
        <f>VLOOKUP(A85,'Margin Calculation'!F:Z,21,0)</f>
        <v>889.77333599999997</v>
      </c>
      <c r="K85" s="182">
        <v>100</v>
      </c>
      <c r="L85" s="182">
        <f t="shared" si="0"/>
        <v>158.89400000000001</v>
      </c>
      <c r="M85" s="182">
        <f t="shared" si="1"/>
        <v>79.447000000000003</v>
      </c>
      <c r="N85" s="182">
        <f t="shared" si="2"/>
        <v>47.668199999999999</v>
      </c>
      <c r="O85" s="205">
        <f t="shared" si="3"/>
        <v>1140.0544</v>
      </c>
      <c r="P85" s="182">
        <f t="shared" si="4"/>
        <v>242.38067796610153</v>
      </c>
      <c r="Q85" s="205">
        <f t="shared" si="5"/>
        <v>206.50492203389854</v>
      </c>
      <c r="R85" s="184">
        <f t="shared" si="6"/>
        <v>0.12996395209000877</v>
      </c>
      <c r="S85" s="182">
        <f t="shared" si="8"/>
        <v>1588.94</v>
      </c>
      <c r="T85" s="182">
        <f>VLOOKUP(A85,'Margin Calculation'!F:AN,35,0)</f>
        <v>1499</v>
      </c>
      <c r="U85" s="182"/>
      <c r="V85" s="182"/>
      <c r="W85" s="182"/>
      <c r="X85" s="182"/>
      <c r="Y85" s="182"/>
      <c r="Z85" s="182"/>
    </row>
    <row r="86" spans="1:26">
      <c r="A86" s="69" t="s">
        <v>783</v>
      </c>
      <c r="B86" s="102" t="s">
        <v>784</v>
      </c>
      <c r="C86" s="69" t="s">
        <v>785</v>
      </c>
      <c r="D86" s="69" t="s">
        <v>786</v>
      </c>
      <c r="E86" s="69"/>
      <c r="F86" s="69"/>
      <c r="G86" s="69" t="s">
        <v>421</v>
      </c>
      <c r="H86" s="69" t="s">
        <v>787</v>
      </c>
      <c r="I86" s="205">
        <f>VLOOKUP(A86,'Margin Calculation'!F:Y,20,0)</f>
        <v>1209.5568000000001</v>
      </c>
      <c r="J86" s="205">
        <f>VLOOKUP(A86,'Margin Calculation'!F:Z,21,0)</f>
        <v>1427.277024</v>
      </c>
      <c r="K86" s="182">
        <v>100</v>
      </c>
      <c r="L86" s="182">
        <f t="shared" si="0"/>
        <v>254.4</v>
      </c>
      <c r="M86" s="182">
        <f t="shared" si="1"/>
        <v>127.2</v>
      </c>
      <c r="N86" s="182">
        <f t="shared" si="2"/>
        <v>76.319999999999993</v>
      </c>
      <c r="O86" s="205">
        <f t="shared" si="3"/>
        <v>1767.4768000000001</v>
      </c>
      <c r="P86" s="182">
        <f t="shared" si="4"/>
        <v>388.06779661016935</v>
      </c>
      <c r="Q86" s="205">
        <f t="shared" si="5"/>
        <v>388.45540338983051</v>
      </c>
      <c r="R86" s="184">
        <f t="shared" si="6"/>
        <v>0.15269473403688305</v>
      </c>
      <c r="S86" s="182">
        <f t="shared" si="8"/>
        <v>2544</v>
      </c>
      <c r="T86" s="182">
        <f>VLOOKUP(A86,'Margin Calculation'!F:AN,35,0)</f>
        <v>2400</v>
      </c>
      <c r="U86" s="182"/>
      <c r="V86" s="182"/>
      <c r="W86" s="182"/>
      <c r="X86" s="182"/>
      <c r="Y86" s="182"/>
      <c r="Z86" s="182"/>
    </row>
    <row r="87" spans="1:26">
      <c r="A87" s="69" t="s">
        <v>788</v>
      </c>
      <c r="B87" s="102" t="s">
        <v>789</v>
      </c>
      <c r="C87" s="69" t="s">
        <v>790</v>
      </c>
      <c r="D87" s="69" t="s">
        <v>671</v>
      </c>
      <c r="E87" s="69"/>
      <c r="F87" s="69"/>
      <c r="G87" s="69"/>
      <c r="H87" s="69" t="s">
        <v>791</v>
      </c>
      <c r="I87" s="205">
        <f>VLOOKUP(A87,'Margin Calculation'!F:Y,20,0)</f>
        <v>2855.8980000000001</v>
      </c>
      <c r="J87" s="205">
        <f>VLOOKUP(A87,'Margin Calculation'!F:Z,21,0)</f>
        <v>3369.95964</v>
      </c>
      <c r="K87" s="182">
        <v>100</v>
      </c>
      <c r="L87" s="182">
        <f t="shared" si="0"/>
        <v>635.89400000000012</v>
      </c>
      <c r="M87" s="182">
        <f t="shared" si="1"/>
        <v>317.94700000000006</v>
      </c>
      <c r="N87" s="182">
        <f t="shared" si="2"/>
        <v>190.76820000000001</v>
      </c>
      <c r="O87" s="205">
        <f t="shared" si="3"/>
        <v>4100.5072000000009</v>
      </c>
      <c r="P87" s="182">
        <f t="shared" si="4"/>
        <v>970.00779661016895</v>
      </c>
      <c r="Q87" s="205">
        <f t="shared" si="5"/>
        <v>1288.4250033898306</v>
      </c>
      <c r="R87" s="184">
        <f t="shared" si="6"/>
        <v>0.20261631708898503</v>
      </c>
      <c r="S87" s="182">
        <f t="shared" si="8"/>
        <v>6358.9400000000005</v>
      </c>
      <c r="T87" s="182">
        <f>VLOOKUP(A87,'Margin Calculation'!F:AN,35,0)</f>
        <v>5999</v>
      </c>
      <c r="U87" s="182"/>
      <c r="V87" s="182"/>
      <c r="W87" s="182"/>
      <c r="X87" s="182"/>
      <c r="Y87" s="182"/>
      <c r="Z87" s="182"/>
    </row>
    <row r="88" spans="1:26">
      <c r="A88" s="69" t="s">
        <v>792</v>
      </c>
      <c r="B88" s="102" t="s">
        <v>793</v>
      </c>
      <c r="C88" s="117" t="s">
        <v>794</v>
      </c>
      <c r="D88" s="117" t="s">
        <v>795</v>
      </c>
      <c r="E88" s="117"/>
      <c r="F88" s="117"/>
      <c r="G88" s="117" t="s">
        <v>332</v>
      </c>
      <c r="H88" s="117" t="s">
        <v>796</v>
      </c>
      <c r="I88" s="205">
        <f>VLOOKUP(A88,'Margin Calculation'!F:Y,20,0)</f>
        <v>318.06864000000002</v>
      </c>
      <c r="J88" s="205">
        <f>VLOOKUP(A88,'Margin Calculation'!F:Z,21,0)</f>
        <v>375.32099520000003</v>
      </c>
      <c r="K88" s="182">
        <v>100</v>
      </c>
      <c r="L88" s="182">
        <f t="shared" si="0"/>
        <v>79.394000000000005</v>
      </c>
      <c r="M88" s="182">
        <f t="shared" si="1"/>
        <v>39.697000000000003</v>
      </c>
      <c r="N88" s="182">
        <f t="shared" si="2"/>
        <v>23.818200000000001</v>
      </c>
      <c r="O88" s="205">
        <f t="shared" si="3"/>
        <v>560.97784000000013</v>
      </c>
      <c r="P88" s="182">
        <f t="shared" si="4"/>
        <v>121.10949152542366</v>
      </c>
      <c r="Q88" s="205">
        <f t="shared" si="5"/>
        <v>111.85266847457626</v>
      </c>
      <c r="R88" s="184">
        <f t="shared" si="6"/>
        <v>0.14088302450383688</v>
      </c>
      <c r="S88" s="182">
        <f t="shared" si="8"/>
        <v>793.94</v>
      </c>
      <c r="T88" s="182">
        <f>VLOOKUP(A88,'Margin Calculation'!F:AN,35,0)</f>
        <v>749</v>
      </c>
      <c r="U88" s="182"/>
      <c r="V88" s="182"/>
      <c r="W88" s="182"/>
      <c r="X88" s="182"/>
      <c r="Y88" s="182"/>
      <c r="Z88" s="182"/>
    </row>
    <row r="89" spans="1:26">
      <c r="A89" s="69" t="s">
        <v>797</v>
      </c>
      <c r="B89" s="102" t="s">
        <v>798</v>
      </c>
      <c r="C89" s="117" t="s">
        <v>799</v>
      </c>
      <c r="D89" s="117" t="s">
        <v>800</v>
      </c>
      <c r="E89" s="117"/>
      <c r="F89" s="117"/>
      <c r="G89" s="117" t="s">
        <v>747</v>
      </c>
      <c r="H89" s="117" t="s">
        <v>801</v>
      </c>
      <c r="I89" s="205">
        <f>VLOOKUP(A89,'Margin Calculation'!F:Y,20,0)</f>
        <v>815.18400000000008</v>
      </c>
      <c r="J89" s="205">
        <f>VLOOKUP(A89,'Margin Calculation'!F:Z,21,0)</f>
        <v>961.91712000000007</v>
      </c>
      <c r="K89" s="182">
        <v>100</v>
      </c>
      <c r="L89" s="182">
        <f t="shared" si="0"/>
        <v>197.05400000000003</v>
      </c>
      <c r="M89" s="182">
        <f t="shared" si="1"/>
        <v>98.527000000000015</v>
      </c>
      <c r="N89" s="182">
        <f t="shared" si="2"/>
        <v>59.116200000000006</v>
      </c>
      <c r="O89" s="205">
        <f t="shared" si="3"/>
        <v>1269.8812</v>
      </c>
      <c r="P89" s="182">
        <f t="shared" si="4"/>
        <v>300.59084745762698</v>
      </c>
      <c r="Q89" s="205">
        <f t="shared" si="5"/>
        <v>400.06795254237318</v>
      </c>
      <c r="R89" s="184">
        <f t="shared" si="6"/>
        <v>0.20302452756217745</v>
      </c>
      <c r="S89" s="182">
        <f t="shared" si="8"/>
        <v>1970.5400000000002</v>
      </c>
      <c r="T89" s="182">
        <f>VLOOKUP(A89,'Margin Calculation'!F:AN,35,0)</f>
        <v>1859</v>
      </c>
      <c r="U89" s="182"/>
      <c r="V89" s="182"/>
      <c r="W89" s="182"/>
      <c r="X89" s="182"/>
      <c r="Y89" s="182"/>
      <c r="Z89" s="182"/>
    </row>
    <row r="90" spans="1:26">
      <c r="A90" s="69" t="s">
        <v>802</v>
      </c>
      <c r="B90" s="102" t="s">
        <v>803</v>
      </c>
      <c r="C90" s="117" t="s">
        <v>804</v>
      </c>
      <c r="D90" s="117" t="s">
        <v>800</v>
      </c>
      <c r="E90" s="117"/>
      <c r="F90" s="117"/>
      <c r="G90" s="117" t="s">
        <v>747</v>
      </c>
      <c r="H90" s="117" t="s">
        <v>805</v>
      </c>
      <c r="I90" s="205">
        <f>VLOOKUP(A90,'Margin Calculation'!F:Y,20,0)</f>
        <v>804.99420000000009</v>
      </c>
      <c r="J90" s="205">
        <f>VLOOKUP(A90,'Margin Calculation'!F:Z,21,0)</f>
        <v>949.89315600000009</v>
      </c>
      <c r="K90" s="182">
        <v>100</v>
      </c>
      <c r="L90" s="182">
        <f t="shared" si="0"/>
        <v>218.25400000000002</v>
      </c>
      <c r="M90" s="182">
        <f t="shared" si="1"/>
        <v>109.12700000000001</v>
      </c>
      <c r="N90" s="182">
        <f t="shared" si="2"/>
        <v>65.476199999999992</v>
      </c>
      <c r="O90" s="205">
        <f t="shared" si="3"/>
        <v>1297.8514</v>
      </c>
      <c r="P90" s="182">
        <f t="shared" si="4"/>
        <v>332.92983050847442</v>
      </c>
      <c r="Q90" s="205">
        <f t="shared" si="5"/>
        <v>551.75876949152553</v>
      </c>
      <c r="R90" s="184">
        <f t="shared" si="6"/>
        <v>0.25280579943163722</v>
      </c>
      <c r="S90" s="182">
        <f t="shared" si="8"/>
        <v>2182.54</v>
      </c>
      <c r="T90" s="182">
        <f>VLOOKUP(A90,'Margin Calculation'!F:AN,35,0)</f>
        <v>2059</v>
      </c>
      <c r="U90" s="182"/>
      <c r="V90" s="182"/>
      <c r="W90" s="182"/>
      <c r="X90" s="182"/>
      <c r="Y90" s="182"/>
      <c r="Z90" s="182"/>
    </row>
    <row r="91" spans="1:26">
      <c r="A91" s="69" t="s">
        <v>806</v>
      </c>
      <c r="B91" s="102" t="s">
        <v>807</v>
      </c>
      <c r="C91" s="117" t="s">
        <v>808</v>
      </c>
      <c r="D91" s="117" t="s">
        <v>800</v>
      </c>
      <c r="E91" s="117"/>
      <c r="F91" s="117"/>
      <c r="G91" s="117" t="s">
        <v>747</v>
      </c>
      <c r="H91" s="117" t="s">
        <v>809</v>
      </c>
      <c r="I91" s="205">
        <f>VLOOKUP(A91,'Margin Calculation'!F:Y,20,0)</f>
        <v>983.31569999999999</v>
      </c>
      <c r="J91" s="205">
        <f>VLOOKUP(A91,'Margin Calculation'!F:Z,21,0)</f>
        <v>1160.3125259999999</v>
      </c>
      <c r="K91" s="182">
        <v>100</v>
      </c>
      <c r="L91" s="182">
        <f t="shared" si="0"/>
        <v>222.49400000000003</v>
      </c>
      <c r="M91" s="182">
        <f t="shared" si="1"/>
        <v>111.24700000000001</v>
      </c>
      <c r="N91" s="182">
        <f t="shared" si="2"/>
        <v>66.748199999999997</v>
      </c>
      <c r="O91" s="205">
        <f t="shared" si="3"/>
        <v>1483.8049000000003</v>
      </c>
      <c r="P91" s="182">
        <f t="shared" si="4"/>
        <v>339.39762711864387</v>
      </c>
      <c r="Q91" s="205">
        <f t="shared" si="5"/>
        <v>401.73747288135587</v>
      </c>
      <c r="R91" s="184">
        <f t="shared" si="6"/>
        <v>0.18056103664878867</v>
      </c>
      <c r="S91" s="182">
        <f t="shared" si="8"/>
        <v>2224.94</v>
      </c>
      <c r="T91" s="182">
        <f>VLOOKUP(A91,'Margin Calculation'!F:AN,35,0)</f>
        <v>2099</v>
      </c>
      <c r="U91" s="182"/>
      <c r="V91" s="182"/>
      <c r="W91" s="182"/>
      <c r="X91" s="182"/>
      <c r="Y91" s="182"/>
      <c r="Z91" s="182"/>
    </row>
    <row r="92" spans="1:26">
      <c r="A92" s="69" t="s">
        <v>810</v>
      </c>
      <c r="B92" s="187" t="s">
        <v>811</v>
      </c>
      <c r="C92" s="69" t="s">
        <v>812</v>
      </c>
      <c r="D92" s="69" t="s">
        <v>813</v>
      </c>
      <c r="E92" s="69"/>
      <c r="F92" s="69"/>
      <c r="G92" s="69" t="s">
        <v>258</v>
      </c>
      <c r="H92" s="69" t="s">
        <v>814</v>
      </c>
      <c r="I92" s="205">
        <f>VLOOKUP(A92,'Margin Calculation'!F:Y,20,0)</f>
        <v>429.92094600000001</v>
      </c>
      <c r="J92" s="205">
        <f>VLOOKUP(A92,'Margin Calculation'!F:Z,21,0)</f>
        <v>481.51145952000007</v>
      </c>
      <c r="K92" s="182">
        <v>100</v>
      </c>
      <c r="L92" s="182">
        <f t="shared" si="0"/>
        <v>116.49400000000001</v>
      </c>
      <c r="M92" s="182">
        <f t="shared" si="1"/>
        <v>58.247000000000007</v>
      </c>
      <c r="N92" s="182">
        <f t="shared" si="2"/>
        <v>34.9482</v>
      </c>
      <c r="O92" s="205">
        <f t="shared" si="3"/>
        <v>739.61014599999999</v>
      </c>
      <c r="P92" s="182">
        <f t="shared" si="4"/>
        <v>177.70271186440675</v>
      </c>
      <c r="Q92" s="205">
        <f t="shared" si="5"/>
        <v>247.62714213559332</v>
      </c>
      <c r="R92" s="184">
        <f t="shared" si="6"/>
        <v>0.21256643443919285</v>
      </c>
      <c r="S92" s="182">
        <f t="shared" si="8"/>
        <v>1164.94</v>
      </c>
      <c r="T92" s="182">
        <f>VLOOKUP(A92,'Margin Calculation'!F:AN,35,0)</f>
        <v>1099</v>
      </c>
      <c r="U92" s="182"/>
      <c r="V92" s="182"/>
      <c r="W92" s="182"/>
      <c r="X92" s="182"/>
      <c r="Y92" s="182"/>
      <c r="Z92" s="182"/>
    </row>
    <row r="93" spans="1:26">
      <c r="A93" s="69" t="s">
        <v>815</v>
      </c>
      <c r="B93" s="187" t="s">
        <v>816</v>
      </c>
      <c r="C93" s="69" t="s">
        <v>817</v>
      </c>
      <c r="D93" s="69" t="s">
        <v>813</v>
      </c>
      <c r="E93" s="69"/>
      <c r="F93" s="69"/>
      <c r="G93" s="69" t="s">
        <v>258</v>
      </c>
      <c r="H93" s="69" t="s">
        <v>818</v>
      </c>
      <c r="I93" s="205">
        <f>VLOOKUP(A93,'Margin Calculation'!F:Y,20,0)</f>
        <v>429.92094600000001</v>
      </c>
      <c r="J93" s="205">
        <f>VLOOKUP(A93,'Margin Calculation'!F:Z,21,0)</f>
        <v>481.51145952000007</v>
      </c>
      <c r="K93" s="182">
        <v>100</v>
      </c>
      <c r="L93" s="182">
        <f t="shared" si="0"/>
        <v>116.49400000000001</v>
      </c>
      <c r="M93" s="182">
        <f t="shared" si="1"/>
        <v>58.247000000000007</v>
      </c>
      <c r="N93" s="182">
        <f t="shared" si="2"/>
        <v>34.9482</v>
      </c>
      <c r="O93" s="205">
        <f t="shared" si="3"/>
        <v>739.61014599999999</v>
      </c>
      <c r="P93" s="182">
        <f t="shared" si="4"/>
        <v>177.70271186440675</v>
      </c>
      <c r="Q93" s="205">
        <f t="shared" si="5"/>
        <v>247.62714213559332</v>
      </c>
      <c r="R93" s="184">
        <f t="shared" si="6"/>
        <v>0.21256643443919285</v>
      </c>
      <c r="S93" s="182">
        <f t="shared" si="8"/>
        <v>1164.94</v>
      </c>
      <c r="T93" s="182">
        <f>VLOOKUP(A93,'Margin Calculation'!F:AN,35,0)</f>
        <v>1099</v>
      </c>
      <c r="U93" s="182"/>
      <c r="V93" s="182"/>
      <c r="W93" s="182"/>
      <c r="X93" s="182"/>
      <c r="Y93" s="182"/>
      <c r="Z93" s="182"/>
    </row>
    <row r="94" spans="1:26">
      <c r="A94" s="69" t="s">
        <v>819</v>
      </c>
      <c r="B94" s="187" t="s">
        <v>820</v>
      </c>
      <c r="C94" s="69" t="s">
        <v>821</v>
      </c>
      <c r="D94" s="69" t="s">
        <v>234</v>
      </c>
      <c r="E94" s="69"/>
      <c r="F94" s="69"/>
      <c r="G94" s="69"/>
      <c r="H94" s="69" t="s">
        <v>822</v>
      </c>
      <c r="I94" s="205">
        <f>VLOOKUP(A94,'Margin Calculation'!F:Y,20,0)</f>
        <v>8295.4063129764709</v>
      </c>
      <c r="J94" s="205">
        <f>VLOOKUP(A94,'Margin Calculation'!F:Z,21,0)</f>
        <v>9290.8550705336474</v>
      </c>
      <c r="K94" s="182">
        <v>100</v>
      </c>
      <c r="L94" s="182">
        <f t="shared" si="0"/>
        <v>1514.7400000000002</v>
      </c>
      <c r="M94" s="182">
        <f t="shared" si="1"/>
        <v>757.37000000000012</v>
      </c>
      <c r="N94" s="182">
        <f t="shared" si="2"/>
        <v>454.42200000000003</v>
      </c>
      <c r="O94" s="205">
        <f t="shared" si="3"/>
        <v>11121.938312976472</v>
      </c>
      <c r="P94" s="182">
        <f t="shared" si="4"/>
        <v>2310.6203389830498</v>
      </c>
      <c r="Q94" s="205">
        <f t="shared" si="5"/>
        <v>1714.8413480404797</v>
      </c>
      <c r="R94" s="184">
        <f t="shared" si="6"/>
        <v>0.11321027688187277</v>
      </c>
      <c r="S94" s="182">
        <f t="shared" si="8"/>
        <v>15147.400000000001</v>
      </c>
      <c r="T94" s="182">
        <f>VLOOKUP(A94,'Margin Calculation'!F:AN,35,0)</f>
        <v>14290</v>
      </c>
      <c r="U94" s="182"/>
      <c r="V94" s="182"/>
      <c r="W94" s="182"/>
      <c r="X94" s="182"/>
      <c r="Y94" s="182"/>
      <c r="Z94" s="182"/>
    </row>
    <row r="95" spans="1:26">
      <c r="A95" s="69" t="s">
        <v>823</v>
      </c>
      <c r="B95" s="187" t="s">
        <v>824</v>
      </c>
      <c r="C95" s="69" t="s">
        <v>825</v>
      </c>
      <c r="D95" s="69" t="s">
        <v>234</v>
      </c>
      <c r="E95" s="69"/>
      <c r="F95" s="69"/>
      <c r="G95" s="69"/>
      <c r="H95" s="69" t="s">
        <v>826</v>
      </c>
      <c r="I95" s="205">
        <f>VLOOKUP(A95,'Margin Calculation'!F:Y,20,0)</f>
        <v>5177.8063129764714</v>
      </c>
      <c r="J95" s="205">
        <f>VLOOKUP(A95,'Margin Calculation'!F:Z,21,0)</f>
        <v>5799.1430705336488</v>
      </c>
      <c r="K95" s="182">
        <v>100</v>
      </c>
      <c r="L95" s="182">
        <f t="shared" si="0"/>
        <v>1059.894</v>
      </c>
      <c r="M95" s="182">
        <f t="shared" si="1"/>
        <v>529.947</v>
      </c>
      <c r="N95" s="182">
        <f t="shared" si="2"/>
        <v>317.96820000000002</v>
      </c>
      <c r="O95" s="205">
        <f t="shared" si="3"/>
        <v>7185.615512976472</v>
      </c>
      <c r="P95" s="182">
        <f t="shared" si="4"/>
        <v>1616.7874576271188</v>
      </c>
      <c r="Q95" s="205">
        <f t="shared" si="5"/>
        <v>1796.5370293964097</v>
      </c>
      <c r="R95" s="184">
        <f t="shared" si="6"/>
        <v>0.16950157557231285</v>
      </c>
      <c r="S95" s="182">
        <f t="shared" si="8"/>
        <v>10598.94</v>
      </c>
      <c r="T95" s="182">
        <f>VLOOKUP(A95,'Margin Calculation'!F:AN,35,0)</f>
        <v>9999</v>
      </c>
      <c r="U95" s="182"/>
      <c r="V95" s="182"/>
      <c r="W95" s="182"/>
      <c r="X95" s="182"/>
      <c r="Y95" s="182"/>
      <c r="Z95" s="182"/>
    </row>
    <row r="96" spans="1:26">
      <c r="A96" s="69" t="s">
        <v>827</v>
      </c>
      <c r="B96" s="187" t="s">
        <v>828</v>
      </c>
      <c r="C96" s="69" t="s">
        <v>829</v>
      </c>
      <c r="D96" s="69" t="s">
        <v>234</v>
      </c>
      <c r="E96" s="69"/>
      <c r="F96" s="69"/>
      <c r="G96" s="69"/>
      <c r="H96" s="69" t="s">
        <v>830</v>
      </c>
      <c r="I96" s="205">
        <f>VLOOKUP(A96,'Margin Calculation'!F:Y,20,0)</f>
        <v>674.89533656470587</v>
      </c>
      <c r="J96" s="205">
        <f>VLOOKUP(A96,'Margin Calculation'!F:Z,21,0)</f>
        <v>755.88277695247064</v>
      </c>
      <c r="K96" s="182">
        <v>100</v>
      </c>
      <c r="L96" s="182">
        <f t="shared" si="0"/>
        <v>195.99400000000003</v>
      </c>
      <c r="M96" s="182">
        <f t="shared" si="1"/>
        <v>97.997000000000014</v>
      </c>
      <c r="N96" s="182">
        <f t="shared" si="2"/>
        <v>58.798200000000001</v>
      </c>
      <c r="O96" s="205">
        <f t="shared" si="3"/>
        <v>1127.6845365647059</v>
      </c>
      <c r="P96" s="182">
        <f t="shared" si="4"/>
        <v>298.97389830508473</v>
      </c>
      <c r="Q96" s="205">
        <f t="shared" si="5"/>
        <v>533.2815651302094</v>
      </c>
      <c r="R96" s="184">
        <f t="shared" si="6"/>
        <v>0.27209076049787717</v>
      </c>
      <c r="S96" s="182">
        <f t="shared" si="8"/>
        <v>1959.94</v>
      </c>
      <c r="T96" s="182">
        <f>VLOOKUP(A96,'Margin Calculation'!F:AN,35,0)</f>
        <v>1849</v>
      </c>
      <c r="U96" s="182"/>
      <c r="V96" s="182"/>
      <c r="W96" s="182"/>
      <c r="X96" s="182"/>
      <c r="Y96" s="182"/>
      <c r="Z96" s="182"/>
    </row>
    <row r="97" spans="1:26">
      <c r="A97" s="69" t="s">
        <v>831</v>
      </c>
      <c r="B97" s="187" t="s">
        <v>832</v>
      </c>
      <c r="C97" s="69" t="s">
        <v>833</v>
      </c>
      <c r="D97" s="69" t="s">
        <v>234</v>
      </c>
      <c r="E97" s="69"/>
      <c r="F97" s="69"/>
      <c r="G97" s="69"/>
      <c r="H97" s="69" t="s">
        <v>834</v>
      </c>
      <c r="I97" s="205">
        <f>VLOOKUP(A97,'Margin Calculation'!F:Y,20,0)</f>
        <v>674.89533656470587</v>
      </c>
      <c r="J97" s="205">
        <f>VLOOKUP(A97,'Margin Calculation'!F:Z,21,0)</f>
        <v>755.88277695247064</v>
      </c>
      <c r="K97" s="182">
        <v>100</v>
      </c>
      <c r="L97" s="182">
        <f t="shared" si="0"/>
        <v>206.59400000000002</v>
      </c>
      <c r="M97" s="182">
        <f t="shared" si="1"/>
        <v>103.29700000000001</v>
      </c>
      <c r="N97" s="182">
        <f t="shared" si="2"/>
        <v>61.978200000000001</v>
      </c>
      <c r="O97" s="205">
        <f t="shared" si="3"/>
        <v>1146.7645365647058</v>
      </c>
      <c r="P97" s="182">
        <f t="shared" si="4"/>
        <v>315.14338983050834</v>
      </c>
      <c r="Q97" s="205">
        <f t="shared" si="5"/>
        <v>604.03207360478586</v>
      </c>
      <c r="R97" s="184">
        <f t="shared" si="6"/>
        <v>0.29237638731269344</v>
      </c>
      <c r="S97" s="182">
        <f t="shared" si="8"/>
        <v>2065.94</v>
      </c>
      <c r="T97" s="182">
        <f>VLOOKUP(A97,'Margin Calculation'!F:AN,35,0)</f>
        <v>1949</v>
      </c>
      <c r="U97" s="182"/>
      <c r="V97" s="182"/>
      <c r="W97" s="182"/>
      <c r="X97" s="182"/>
      <c r="Y97" s="182"/>
      <c r="Z97" s="182"/>
    </row>
    <row r="98" spans="1:26">
      <c r="A98" s="69" t="s">
        <v>835</v>
      </c>
      <c r="B98" s="102" t="s">
        <v>836</v>
      </c>
      <c r="C98" s="117" t="s">
        <v>837</v>
      </c>
      <c r="D98" s="117" t="s">
        <v>800</v>
      </c>
      <c r="E98" s="117"/>
      <c r="F98" s="117"/>
      <c r="G98" s="117" t="s">
        <v>747</v>
      </c>
      <c r="H98" s="69" t="s">
        <v>838</v>
      </c>
      <c r="I98" s="205">
        <f>VLOOKUP(A98,'Margin Calculation'!F:Y,20,0)</f>
        <v>662.33699999999999</v>
      </c>
      <c r="J98" s="205">
        <f>VLOOKUP(A98,'Margin Calculation'!F:Z,21,0)</f>
        <v>781.55765999999994</v>
      </c>
      <c r="K98" s="182">
        <v>100</v>
      </c>
      <c r="L98" s="182">
        <f t="shared" si="0"/>
        <v>158.89400000000001</v>
      </c>
      <c r="M98" s="182">
        <f t="shared" si="1"/>
        <v>79.447000000000003</v>
      </c>
      <c r="N98" s="182">
        <f t="shared" si="2"/>
        <v>47.668199999999999</v>
      </c>
      <c r="O98" s="205">
        <f t="shared" si="3"/>
        <v>1048.3462</v>
      </c>
      <c r="P98" s="182">
        <f t="shared" si="4"/>
        <v>242.38067796610153</v>
      </c>
      <c r="Q98" s="205">
        <f t="shared" si="5"/>
        <v>298.21312203389857</v>
      </c>
      <c r="R98" s="184">
        <f t="shared" si="6"/>
        <v>0.18768054302484585</v>
      </c>
      <c r="S98" s="182">
        <f t="shared" si="8"/>
        <v>1588.94</v>
      </c>
      <c r="T98" s="182">
        <f>VLOOKUP(A98,'Margin Calculation'!F:AN,35,0)</f>
        <v>1499</v>
      </c>
      <c r="U98" s="182"/>
      <c r="V98" s="182"/>
      <c r="W98" s="182"/>
      <c r="X98" s="182"/>
      <c r="Y98" s="182"/>
      <c r="Z98" s="182"/>
    </row>
    <row r="99" spans="1:26">
      <c r="A99" s="69" t="s">
        <v>839</v>
      </c>
      <c r="B99" s="102" t="s">
        <v>840</v>
      </c>
      <c r="C99" s="117" t="s">
        <v>841</v>
      </c>
      <c r="D99" s="117" t="s">
        <v>800</v>
      </c>
      <c r="E99" s="117"/>
      <c r="F99" s="117"/>
      <c r="G99" s="117" t="s">
        <v>747</v>
      </c>
      <c r="H99" s="69" t="s">
        <v>842</v>
      </c>
      <c r="I99" s="205">
        <f>VLOOKUP(A99,'Margin Calculation'!F:Y,20,0)</f>
        <v>367.85177999999996</v>
      </c>
      <c r="J99" s="205">
        <f>VLOOKUP(A99,'Margin Calculation'!F:Z,21,0)</f>
        <v>434.06510039999995</v>
      </c>
      <c r="K99" s="182">
        <v>100</v>
      </c>
      <c r="L99" s="182">
        <f t="shared" si="0"/>
        <v>98.474000000000004</v>
      </c>
      <c r="M99" s="182">
        <f t="shared" si="1"/>
        <v>49.237000000000002</v>
      </c>
      <c r="N99" s="182">
        <f t="shared" si="2"/>
        <v>29.542199999999998</v>
      </c>
      <c r="O99" s="205">
        <f t="shared" si="3"/>
        <v>645.10497999999995</v>
      </c>
      <c r="P99" s="182">
        <f t="shared" si="4"/>
        <v>150.21457627118639</v>
      </c>
      <c r="Q99" s="205">
        <f t="shared" si="5"/>
        <v>189.42044372881367</v>
      </c>
      <c r="R99" s="184">
        <f t="shared" si="6"/>
        <v>0.1923557931320081</v>
      </c>
      <c r="S99" s="182">
        <f t="shared" si="8"/>
        <v>984.74</v>
      </c>
      <c r="T99" s="182">
        <f>VLOOKUP(A99,'Margin Calculation'!F:AN,35,0)</f>
        <v>929</v>
      </c>
      <c r="U99" s="182"/>
      <c r="V99" s="182"/>
      <c r="W99" s="182"/>
      <c r="X99" s="182"/>
      <c r="Y99" s="182"/>
      <c r="Z99" s="182"/>
    </row>
    <row r="100" spans="1:26">
      <c r="A100" s="69" t="s">
        <v>843</v>
      </c>
      <c r="B100" s="102" t="s">
        <v>844</v>
      </c>
      <c r="C100" s="117" t="s">
        <v>845</v>
      </c>
      <c r="D100" s="117" t="s">
        <v>800</v>
      </c>
      <c r="E100" s="117"/>
      <c r="F100" s="117"/>
      <c r="G100" s="117" t="s">
        <v>747</v>
      </c>
      <c r="H100" s="69" t="s">
        <v>846</v>
      </c>
      <c r="I100" s="205">
        <f>VLOOKUP(A100,'Margin Calculation'!F:Y,20,0)</f>
        <v>830.46870000000001</v>
      </c>
      <c r="J100" s="205">
        <f>VLOOKUP(A100,'Margin Calculation'!F:Z,21,0)</f>
        <v>979.95306599999992</v>
      </c>
      <c r="K100" s="182">
        <v>100</v>
      </c>
      <c r="L100" s="182">
        <f t="shared" si="0"/>
        <v>208.71400000000006</v>
      </c>
      <c r="M100" s="182">
        <f t="shared" si="1"/>
        <v>104.35700000000003</v>
      </c>
      <c r="N100" s="182">
        <f t="shared" si="2"/>
        <v>62.614200000000011</v>
      </c>
      <c r="O100" s="205">
        <f t="shared" si="3"/>
        <v>1306.1539</v>
      </c>
      <c r="P100" s="182">
        <f t="shared" si="4"/>
        <v>318.37728813559329</v>
      </c>
      <c r="Q100" s="205">
        <f t="shared" si="5"/>
        <v>462.60881186440702</v>
      </c>
      <c r="R100" s="184">
        <f t="shared" si="6"/>
        <v>0.2216472358655418</v>
      </c>
      <c r="S100" s="182">
        <f t="shared" si="8"/>
        <v>2087.1400000000003</v>
      </c>
      <c r="T100" s="182">
        <f>VLOOKUP(A100,'Margin Calculation'!F:AN,35,0)</f>
        <v>1969</v>
      </c>
      <c r="U100" s="182"/>
      <c r="V100" s="182"/>
      <c r="W100" s="182"/>
      <c r="X100" s="182"/>
      <c r="Y100" s="182"/>
      <c r="Z100" s="182"/>
    </row>
    <row r="101" spans="1:26">
      <c r="A101" s="69" t="s">
        <v>847</v>
      </c>
      <c r="B101" s="102" t="s">
        <v>848</v>
      </c>
      <c r="C101" s="117" t="s">
        <v>849</v>
      </c>
      <c r="D101" s="117" t="s">
        <v>800</v>
      </c>
      <c r="E101" s="117"/>
      <c r="F101" s="117"/>
      <c r="G101" s="117" t="s">
        <v>747</v>
      </c>
      <c r="H101" s="69" t="s">
        <v>850</v>
      </c>
      <c r="I101" s="205">
        <f>VLOOKUP(A101,'Margin Calculation'!F:Y,20,0)</f>
        <v>5278.3163999999997</v>
      </c>
      <c r="J101" s="205">
        <f>VLOOKUP(A101,'Margin Calculation'!F:Z,21,0)</f>
        <v>6228.4133519999996</v>
      </c>
      <c r="K101" s="182">
        <v>100</v>
      </c>
      <c r="L101" s="182">
        <f t="shared" si="0"/>
        <v>1059.894</v>
      </c>
      <c r="M101" s="182">
        <f t="shared" si="1"/>
        <v>529.947</v>
      </c>
      <c r="N101" s="182">
        <f t="shared" si="2"/>
        <v>317.96820000000002</v>
      </c>
      <c r="O101" s="205">
        <f t="shared" si="3"/>
        <v>7286.1256000000003</v>
      </c>
      <c r="P101" s="182">
        <f t="shared" si="4"/>
        <v>1616.7874576271188</v>
      </c>
      <c r="Q101" s="205">
        <f t="shared" si="5"/>
        <v>1696.0269423728814</v>
      </c>
      <c r="R101" s="184">
        <f t="shared" si="6"/>
        <v>0.16001854358764947</v>
      </c>
      <c r="S101" s="182">
        <f t="shared" si="8"/>
        <v>10598.94</v>
      </c>
      <c r="T101" s="182">
        <f>VLOOKUP(A101,'Margin Calculation'!F:AN,35,0)</f>
        <v>9999</v>
      </c>
      <c r="U101" s="182"/>
      <c r="V101" s="182"/>
      <c r="W101" s="182"/>
      <c r="X101" s="182"/>
      <c r="Y101" s="182"/>
      <c r="Z101" s="182"/>
    </row>
    <row r="102" spans="1:26">
      <c r="A102" s="69" t="s">
        <v>851</v>
      </c>
      <c r="B102" s="102" t="s">
        <v>852</v>
      </c>
      <c r="C102" s="117" t="s">
        <v>853</v>
      </c>
      <c r="D102" s="117" t="s">
        <v>800</v>
      </c>
      <c r="E102" s="117"/>
      <c r="F102" s="117"/>
      <c r="G102" s="117" t="s">
        <v>747</v>
      </c>
      <c r="H102" s="69" t="s">
        <v>854</v>
      </c>
      <c r="I102" s="205">
        <f>VLOOKUP(A102,'Margin Calculation'!F:Y,20,0)</f>
        <v>2751.2459999999996</v>
      </c>
      <c r="J102" s="205">
        <f>VLOOKUP(A102,'Margin Calculation'!F:Z,21,0)</f>
        <v>3246.4702799999995</v>
      </c>
      <c r="K102" s="182">
        <v>100</v>
      </c>
      <c r="L102" s="182">
        <f t="shared" si="0"/>
        <v>635.89400000000012</v>
      </c>
      <c r="M102" s="182">
        <f t="shared" si="1"/>
        <v>317.94700000000006</v>
      </c>
      <c r="N102" s="182">
        <f t="shared" si="2"/>
        <v>190.76820000000001</v>
      </c>
      <c r="O102" s="205">
        <f t="shared" si="3"/>
        <v>3995.8552</v>
      </c>
      <c r="P102" s="182">
        <f t="shared" si="4"/>
        <v>970.00779661016895</v>
      </c>
      <c r="Q102" s="205">
        <f t="shared" si="5"/>
        <v>1393.0770033898316</v>
      </c>
      <c r="R102" s="184">
        <f t="shared" si="6"/>
        <v>0.21907377698009911</v>
      </c>
      <c r="S102" s="182">
        <f t="shared" si="8"/>
        <v>6358.9400000000005</v>
      </c>
      <c r="T102" s="182">
        <f>VLOOKUP(A102,'Margin Calculation'!F:AN,35,0)</f>
        <v>5999</v>
      </c>
      <c r="U102" s="182"/>
      <c r="V102" s="182"/>
      <c r="W102" s="182"/>
      <c r="X102" s="182"/>
      <c r="Y102" s="182"/>
      <c r="Z102" s="182"/>
    </row>
    <row r="103" spans="1:26">
      <c r="A103" s="69" t="s">
        <v>855</v>
      </c>
      <c r="B103" s="102" t="s">
        <v>856</v>
      </c>
      <c r="C103" s="117" t="s">
        <v>857</v>
      </c>
      <c r="D103" s="117" t="s">
        <v>800</v>
      </c>
      <c r="E103" s="117"/>
      <c r="F103" s="117"/>
      <c r="G103" s="117" t="s">
        <v>747</v>
      </c>
      <c r="H103" s="69" t="s">
        <v>858</v>
      </c>
      <c r="I103" s="205">
        <f>VLOOKUP(A103,'Margin Calculation'!F:Y,20,0)</f>
        <v>815.18400000000008</v>
      </c>
      <c r="J103" s="205">
        <f>VLOOKUP(A103,'Margin Calculation'!F:Z,21,0)</f>
        <v>961.91712000000007</v>
      </c>
      <c r="K103" s="182">
        <v>100</v>
      </c>
      <c r="L103" s="182">
        <f t="shared" si="0"/>
        <v>183.16800000000001</v>
      </c>
      <c r="M103" s="182">
        <f t="shared" si="1"/>
        <v>91.584000000000003</v>
      </c>
      <c r="N103" s="182">
        <f t="shared" si="2"/>
        <v>54.950400000000002</v>
      </c>
      <c r="O103" s="205">
        <f t="shared" si="3"/>
        <v>1244.8864000000001</v>
      </c>
      <c r="P103" s="182">
        <f t="shared" si="4"/>
        <v>279.40881355932197</v>
      </c>
      <c r="Q103" s="205">
        <f t="shared" si="5"/>
        <v>307.384786440678</v>
      </c>
      <c r="R103" s="184">
        <f t="shared" si="6"/>
        <v>0.16781576827867203</v>
      </c>
      <c r="S103" s="182">
        <f t="shared" si="8"/>
        <v>1831.68</v>
      </c>
      <c r="T103" s="182">
        <f>VLOOKUP(A103,'Margin Calculation'!F:AN,35,0)</f>
        <v>1728</v>
      </c>
      <c r="U103" s="182"/>
      <c r="V103" s="182"/>
      <c r="W103" s="182"/>
      <c r="X103" s="182"/>
      <c r="Y103" s="182"/>
      <c r="Z103" s="182"/>
    </row>
    <row r="104" spans="1:26">
      <c r="A104" s="69" t="s">
        <v>859</v>
      </c>
      <c r="B104" s="187" t="s">
        <v>860</v>
      </c>
      <c r="C104" s="69" t="s">
        <v>861</v>
      </c>
      <c r="D104" s="69" t="s">
        <v>234</v>
      </c>
      <c r="E104" s="69"/>
      <c r="F104" s="69" t="s">
        <v>243</v>
      </c>
      <c r="G104" s="69" t="s">
        <v>237</v>
      </c>
      <c r="H104" s="69" t="s">
        <v>862</v>
      </c>
      <c r="I104" s="205">
        <f>VLOOKUP(A104,'Margin Calculation'!F:Y,20,0)</f>
        <v>1783.2150000000001</v>
      </c>
      <c r="J104" s="205">
        <f>VLOOKUP(A104,'Margin Calculation'!F:Z,21,0)</f>
        <v>2104.1937000000003</v>
      </c>
      <c r="K104" s="182">
        <v>100</v>
      </c>
      <c r="L104" s="182">
        <f t="shared" si="0"/>
        <v>423.89400000000006</v>
      </c>
      <c r="M104" s="182">
        <f t="shared" si="1"/>
        <v>211.94700000000003</v>
      </c>
      <c r="N104" s="182">
        <f t="shared" si="2"/>
        <v>127.16820000000001</v>
      </c>
      <c r="O104" s="205">
        <f t="shared" si="3"/>
        <v>2646.2242000000006</v>
      </c>
      <c r="P104" s="182">
        <f t="shared" si="4"/>
        <v>646.61796610169495</v>
      </c>
      <c r="Q104" s="205">
        <f t="shared" si="5"/>
        <v>946.097833898305</v>
      </c>
      <c r="R104" s="184">
        <f t="shared" si="6"/>
        <v>0.22319207959968881</v>
      </c>
      <c r="S104" s="182">
        <f t="shared" si="8"/>
        <v>4238.9400000000005</v>
      </c>
      <c r="T104" s="182">
        <f>VLOOKUP(A104,'Margin Calculation'!F:AN,35,0)</f>
        <v>3999</v>
      </c>
      <c r="U104" s="182"/>
      <c r="V104" s="182"/>
      <c r="W104" s="182"/>
      <c r="X104" s="182"/>
      <c r="Y104" s="182"/>
      <c r="Z104" s="182"/>
    </row>
    <row r="105" spans="1:26">
      <c r="A105" s="69" t="s">
        <v>863</v>
      </c>
      <c r="B105" s="69" t="s">
        <v>864</v>
      </c>
      <c r="C105" s="69" t="s">
        <v>865</v>
      </c>
      <c r="D105" s="69" t="s">
        <v>314</v>
      </c>
      <c r="E105" s="69"/>
      <c r="F105" s="69"/>
      <c r="G105" s="69" t="s">
        <v>635</v>
      </c>
      <c r="H105" s="69" t="s">
        <v>866</v>
      </c>
      <c r="I105" s="205">
        <f>VLOOKUP(A105,'Margin Calculation'!F:Y,20,0)</f>
        <v>1007.9640000000001</v>
      </c>
      <c r="J105" s="205">
        <f>VLOOKUP(A105,'Margin Calculation'!F:Z,21,0)</f>
        <v>1189.39752</v>
      </c>
      <c r="K105" s="182">
        <v>100</v>
      </c>
      <c r="L105" s="182">
        <f t="shared" si="0"/>
        <v>275.49400000000003</v>
      </c>
      <c r="M105" s="182">
        <f t="shared" si="1"/>
        <v>137.74700000000001</v>
      </c>
      <c r="N105" s="182">
        <f t="shared" si="2"/>
        <v>82.648200000000003</v>
      </c>
      <c r="O105" s="205">
        <f t="shared" si="3"/>
        <v>1603.8532000000002</v>
      </c>
      <c r="P105" s="182">
        <f t="shared" si="4"/>
        <v>420.2450847457626</v>
      </c>
      <c r="Q105" s="205">
        <f t="shared" si="5"/>
        <v>730.84171525423722</v>
      </c>
      <c r="R105" s="184">
        <f t="shared" si="6"/>
        <v>0.2652840770594776</v>
      </c>
      <c r="S105" s="182">
        <f t="shared" si="8"/>
        <v>2754.94</v>
      </c>
      <c r="T105" s="182">
        <f>VLOOKUP(A105,'Margin Calculation'!F:AN,35,0)</f>
        <v>2599</v>
      </c>
      <c r="U105" s="182"/>
      <c r="V105" s="182"/>
      <c r="W105" s="182"/>
      <c r="X105" s="182"/>
      <c r="Y105" s="182"/>
      <c r="Z105" s="182"/>
    </row>
    <row r="106" spans="1:26">
      <c r="A106" s="212" t="s">
        <v>867</v>
      </c>
      <c r="B106" s="212"/>
      <c r="C106" s="212" t="s">
        <v>868</v>
      </c>
      <c r="D106" s="212" t="s">
        <v>234</v>
      </c>
      <c r="E106" s="212" t="s">
        <v>249</v>
      </c>
      <c r="F106" s="212"/>
      <c r="G106" s="212"/>
      <c r="H106" s="212" t="s">
        <v>869</v>
      </c>
      <c r="I106" s="205">
        <f>VLOOKUP(A106,'Margin Calculation'!F:Y,20,0)</f>
        <v>1406.1924000000001</v>
      </c>
      <c r="J106" s="205">
        <f>VLOOKUP(A106,'Margin Calculation'!F:Z,21,0)</f>
        <v>1659.3070320000002</v>
      </c>
      <c r="K106" s="182">
        <v>100</v>
      </c>
      <c r="L106" s="182">
        <f t="shared" si="0"/>
        <v>423.89400000000006</v>
      </c>
      <c r="M106" s="182">
        <f t="shared" si="1"/>
        <v>211.94700000000003</v>
      </c>
      <c r="N106" s="182">
        <f t="shared" si="2"/>
        <v>127.16820000000001</v>
      </c>
      <c r="O106" s="205">
        <f t="shared" si="3"/>
        <v>2269.2016000000003</v>
      </c>
      <c r="P106" s="182">
        <f t="shared" si="4"/>
        <v>646.61796610169495</v>
      </c>
      <c r="Q106" s="205">
        <f t="shared" si="5"/>
        <v>1323.1204338983052</v>
      </c>
      <c r="R106" s="184">
        <f t="shared" si="6"/>
        <v>0.31213473979303907</v>
      </c>
      <c r="S106" s="182">
        <f t="shared" si="8"/>
        <v>4238.9400000000005</v>
      </c>
      <c r="T106" s="182">
        <f>VLOOKUP(A106,'Margin Calculation'!F:AN,35,0)</f>
        <v>3999</v>
      </c>
      <c r="U106" s="182"/>
      <c r="V106" s="182"/>
      <c r="W106" s="182"/>
      <c r="X106" s="182"/>
      <c r="Y106" s="182"/>
      <c r="Z106" s="182"/>
    </row>
    <row r="107" spans="1:26">
      <c r="A107" s="69" t="s">
        <v>870</v>
      </c>
      <c r="B107" s="102" t="s">
        <v>871</v>
      </c>
      <c r="C107" s="117" t="s">
        <v>872</v>
      </c>
      <c r="D107" s="117" t="s">
        <v>795</v>
      </c>
      <c r="E107" s="117"/>
      <c r="F107" s="117"/>
      <c r="G107" s="117" t="s">
        <v>332</v>
      </c>
      <c r="H107" s="117" t="s">
        <v>873</v>
      </c>
      <c r="I107" s="205">
        <f>VLOOKUP(A107,'Margin Calculation'!F:Y,20,0)</f>
        <v>346.06763999999998</v>
      </c>
      <c r="J107" s="205">
        <f>VLOOKUP(A107,'Margin Calculation'!F:Z,21,0)</f>
        <v>408.35981519999996</v>
      </c>
      <c r="K107" s="182">
        <v>100</v>
      </c>
      <c r="L107" s="182">
        <f t="shared" si="0"/>
        <v>78.334000000000003</v>
      </c>
      <c r="M107" s="182">
        <f t="shared" si="1"/>
        <v>39.167000000000002</v>
      </c>
      <c r="N107" s="182">
        <f t="shared" si="2"/>
        <v>23.5002</v>
      </c>
      <c r="O107" s="205">
        <f t="shared" si="3"/>
        <v>587.06884000000002</v>
      </c>
      <c r="P107" s="182">
        <f t="shared" si="4"/>
        <v>119.4925423728813</v>
      </c>
      <c r="Q107" s="205">
        <f t="shared" si="5"/>
        <v>76.778617627118706</v>
      </c>
      <c r="R107" s="184">
        <f t="shared" si="6"/>
        <v>9.8014422379961066E-2</v>
      </c>
      <c r="S107" s="182">
        <f t="shared" si="8"/>
        <v>783.34</v>
      </c>
      <c r="T107" s="182">
        <f>VLOOKUP(A107,'Margin Calculation'!F:AN,35,0)</f>
        <v>739</v>
      </c>
      <c r="U107" s="182"/>
      <c r="V107" s="182"/>
      <c r="W107" s="182"/>
      <c r="X107" s="182"/>
      <c r="Y107" s="182"/>
      <c r="Z107" s="182"/>
    </row>
    <row r="108" spans="1:26">
      <c r="A108" s="69" t="s">
        <v>874</v>
      </c>
      <c r="B108" s="102" t="s">
        <v>875</v>
      </c>
      <c r="C108" s="117" t="s">
        <v>876</v>
      </c>
      <c r="D108" s="212" t="s">
        <v>234</v>
      </c>
      <c r="E108" s="117" t="s">
        <v>671</v>
      </c>
      <c r="F108" s="117"/>
      <c r="G108" s="117" t="s">
        <v>877</v>
      </c>
      <c r="H108" s="117" t="s">
        <v>878</v>
      </c>
      <c r="I108" s="205">
        <f>VLOOKUP(A108,'Margin Calculation'!F:Y,20,0)</f>
        <v>275</v>
      </c>
      <c r="J108" s="205">
        <f>VLOOKUP(A108,'Margin Calculation'!F:Z,21,0)</f>
        <v>324.5</v>
      </c>
      <c r="K108" s="182">
        <v>100</v>
      </c>
      <c r="L108" s="182">
        <f t="shared" si="0"/>
        <v>74.094000000000008</v>
      </c>
      <c r="M108" s="182">
        <f t="shared" si="1"/>
        <v>37.047000000000004</v>
      </c>
      <c r="N108" s="182">
        <f t="shared" si="2"/>
        <v>22.228200000000001</v>
      </c>
      <c r="O108" s="205">
        <f t="shared" si="3"/>
        <v>508.36920000000003</v>
      </c>
      <c r="P108" s="182">
        <f t="shared" si="4"/>
        <v>113.02474576271186</v>
      </c>
      <c r="Q108" s="205">
        <f t="shared" si="5"/>
        <v>119.54605423728816</v>
      </c>
      <c r="R108" s="184">
        <f t="shared" si="6"/>
        <v>0.16134377174573941</v>
      </c>
      <c r="S108" s="182">
        <f t="shared" si="8"/>
        <v>740.94</v>
      </c>
      <c r="T108" s="182">
        <f>VLOOKUP(A108,'Margin Calculation'!F:AN,35,0)</f>
        <v>699</v>
      </c>
      <c r="U108" s="182"/>
      <c r="V108" s="182"/>
      <c r="W108" s="182"/>
      <c r="X108" s="182"/>
      <c r="Y108" s="182"/>
      <c r="Z108" s="182"/>
    </row>
    <row r="109" spans="1:26">
      <c r="A109" s="213" t="s">
        <v>879</v>
      </c>
      <c r="B109" s="214" t="s">
        <v>880</v>
      </c>
      <c r="C109" s="213" t="s">
        <v>881</v>
      </c>
      <c r="D109" s="212" t="s">
        <v>234</v>
      </c>
      <c r="E109" s="117" t="s">
        <v>671</v>
      </c>
      <c r="F109" s="213"/>
      <c r="G109" s="213" t="s">
        <v>882</v>
      </c>
      <c r="H109" s="213" t="s">
        <v>883</v>
      </c>
      <c r="I109" s="205">
        <f>VLOOKUP(A109,'Margin Calculation'!F:Y,20,0)</f>
        <v>221.75208000000001</v>
      </c>
      <c r="J109" s="205">
        <f>VLOOKUP(A109,'Margin Calculation'!F:Z,21,0)</f>
        <v>261.6674544</v>
      </c>
      <c r="K109" s="182">
        <v>100</v>
      </c>
      <c r="L109" s="182">
        <f t="shared" si="0"/>
        <v>50.774000000000001</v>
      </c>
      <c r="M109" s="182">
        <f t="shared" si="1"/>
        <v>25.387</v>
      </c>
      <c r="N109" s="182">
        <f t="shared" si="2"/>
        <v>15.232199999999999</v>
      </c>
      <c r="O109" s="205">
        <f t="shared" si="3"/>
        <v>413.14527999999996</v>
      </c>
      <c r="P109" s="182">
        <f t="shared" si="4"/>
        <v>77.451864406779634</v>
      </c>
      <c r="Q109" s="205">
        <f t="shared" si="5"/>
        <v>17.142855593220418</v>
      </c>
      <c r="R109" s="184">
        <f t="shared" si="6"/>
        <v>3.3763059032615943E-2</v>
      </c>
      <c r="S109" s="182">
        <f t="shared" si="8"/>
        <v>507.74</v>
      </c>
      <c r="T109" s="182">
        <f>VLOOKUP(A109,'Margin Calculation'!F:AN,35,0)</f>
        <v>479</v>
      </c>
      <c r="U109" s="182"/>
      <c r="V109" s="182"/>
      <c r="W109" s="182"/>
      <c r="X109" s="182"/>
      <c r="Y109" s="182"/>
      <c r="Z109" s="182"/>
    </row>
    <row r="110" spans="1:26">
      <c r="A110" s="213" t="s">
        <v>884</v>
      </c>
      <c r="B110" s="214" t="s">
        <v>885</v>
      </c>
      <c r="C110" s="213" t="s">
        <v>886</v>
      </c>
      <c r="D110" s="212" t="s">
        <v>234</v>
      </c>
      <c r="E110" s="117" t="s">
        <v>671</v>
      </c>
      <c r="F110" s="213"/>
      <c r="G110" s="213" t="s">
        <v>887</v>
      </c>
      <c r="H110" s="213" t="s">
        <v>888</v>
      </c>
      <c r="I110" s="205">
        <f>VLOOKUP(A110,'Margin Calculation'!F:Y,20,0)</f>
        <v>251.99100000000001</v>
      </c>
      <c r="J110" s="205">
        <f>VLOOKUP(A110,'Margin Calculation'!F:Z,21,0)</f>
        <v>297.34938</v>
      </c>
      <c r="K110" s="182">
        <v>100</v>
      </c>
      <c r="L110" s="182">
        <f t="shared" si="0"/>
        <v>56.074000000000005</v>
      </c>
      <c r="M110" s="182">
        <f t="shared" si="1"/>
        <v>28.037000000000003</v>
      </c>
      <c r="N110" s="182">
        <f t="shared" si="2"/>
        <v>16.822199999999999</v>
      </c>
      <c r="O110" s="205">
        <f t="shared" si="3"/>
        <v>452.92419999999998</v>
      </c>
      <c r="P110" s="182">
        <f t="shared" si="4"/>
        <v>85.536610169491496</v>
      </c>
      <c r="Q110" s="205">
        <f t="shared" si="5"/>
        <v>22.279189830508528</v>
      </c>
      <c r="R110" s="184">
        <f t="shared" si="6"/>
        <v>3.9731764865193364E-2</v>
      </c>
      <c r="S110" s="182">
        <f t="shared" si="8"/>
        <v>560.74</v>
      </c>
      <c r="T110" s="182">
        <f>VLOOKUP(A110,'Margin Calculation'!F:AN,35,0)</f>
        <v>529</v>
      </c>
      <c r="U110" s="182"/>
      <c r="V110" s="182"/>
      <c r="W110" s="182"/>
      <c r="X110" s="182"/>
      <c r="Y110" s="182"/>
      <c r="Z110" s="182"/>
    </row>
    <row r="111" spans="1:26">
      <c r="A111" s="213" t="s">
        <v>889</v>
      </c>
      <c r="B111" s="214" t="s">
        <v>890</v>
      </c>
      <c r="C111" s="213" t="s">
        <v>891</v>
      </c>
      <c r="D111" s="212" t="s">
        <v>234</v>
      </c>
      <c r="E111" s="117" t="s">
        <v>671</v>
      </c>
      <c r="F111" s="213"/>
      <c r="G111" s="213" t="s">
        <v>892</v>
      </c>
      <c r="H111" s="213" t="s">
        <v>893</v>
      </c>
      <c r="I111" s="205">
        <f>VLOOKUP(A111,'Margin Calculation'!F:Y,20,0)</f>
        <v>1114.3602000000001</v>
      </c>
      <c r="J111" s="205">
        <f>VLOOKUP(A111,'Margin Calculation'!F:Z,21,0)</f>
        <v>1314.9450360000001</v>
      </c>
      <c r="K111" s="182">
        <v>100</v>
      </c>
      <c r="L111" s="182">
        <f t="shared" si="0"/>
        <v>243.69400000000002</v>
      </c>
      <c r="M111" s="182">
        <f t="shared" si="1"/>
        <v>121.84700000000001</v>
      </c>
      <c r="N111" s="182">
        <f t="shared" si="2"/>
        <v>73.108199999999997</v>
      </c>
      <c r="O111" s="205">
        <f t="shared" si="3"/>
        <v>1653.0093999999999</v>
      </c>
      <c r="P111" s="182">
        <f t="shared" si="4"/>
        <v>371.73661016949154</v>
      </c>
      <c r="Q111" s="205">
        <f t="shared" si="5"/>
        <v>412.1939898305086</v>
      </c>
      <c r="R111" s="184">
        <f t="shared" si="6"/>
        <v>0.16914408636671752</v>
      </c>
      <c r="S111" s="182">
        <f t="shared" si="8"/>
        <v>2436.94</v>
      </c>
      <c r="T111" s="182">
        <f>VLOOKUP(A111,'Margin Calculation'!F:AN,35,0)</f>
        <v>2299</v>
      </c>
      <c r="U111" s="182"/>
      <c r="V111" s="182"/>
      <c r="W111" s="182"/>
      <c r="X111" s="182"/>
      <c r="Y111" s="182"/>
      <c r="Z111" s="182"/>
    </row>
    <row r="112" spans="1:26">
      <c r="A112" s="209" t="s">
        <v>895</v>
      </c>
      <c r="B112" s="215" t="s">
        <v>896</v>
      </c>
      <c r="C112" s="209" t="s">
        <v>897</v>
      </c>
      <c r="D112" s="207" t="s">
        <v>234</v>
      </c>
      <c r="E112" s="207" t="s">
        <v>235</v>
      </c>
      <c r="F112" s="209"/>
      <c r="G112" s="209" t="s">
        <v>898</v>
      </c>
      <c r="H112" s="209" t="s">
        <v>899</v>
      </c>
      <c r="I112" s="208">
        <f>VLOOKUP(A112,'Margin Calculation'!F:Y,20,0)</f>
        <v>123.1956</v>
      </c>
      <c r="J112" s="208">
        <f>VLOOKUP(A112,'Margin Calculation'!F:Z,21,0)</f>
        <v>145.37080799999998</v>
      </c>
      <c r="K112" s="209">
        <v>100</v>
      </c>
      <c r="L112" s="209">
        <f t="shared" si="0"/>
        <v>41.76400000000001</v>
      </c>
      <c r="M112" s="209">
        <f t="shared" si="1"/>
        <v>20.882000000000005</v>
      </c>
      <c r="N112" s="209">
        <f t="shared" si="2"/>
        <v>12.529200000000001</v>
      </c>
      <c r="O112" s="208">
        <f t="shared" si="3"/>
        <v>298.37080000000003</v>
      </c>
      <c r="P112" s="209">
        <f t="shared" si="4"/>
        <v>63.707796610169453</v>
      </c>
      <c r="Q112" s="208">
        <f t="shared" si="5"/>
        <v>55.561403389830559</v>
      </c>
      <c r="R112" s="210">
        <f t="shared" si="6"/>
        <v>0.13303659465048978</v>
      </c>
      <c r="S112" s="209">
        <f t="shared" si="8"/>
        <v>417.64000000000004</v>
      </c>
      <c r="T112" s="209">
        <f>VLOOKUP(A112,'Margin Calculation'!F:AN,35,0)</f>
        <v>394</v>
      </c>
      <c r="U112" s="209"/>
      <c r="V112" s="209"/>
      <c r="W112" s="209"/>
      <c r="X112" s="209"/>
      <c r="Y112" s="209"/>
      <c r="Z112" s="209"/>
    </row>
    <row r="113" spans="1:26">
      <c r="A113" s="69" t="s">
        <v>900</v>
      </c>
      <c r="B113" s="102" t="s">
        <v>901</v>
      </c>
      <c r="C113" s="117" t="s">
        <v>902</v>
      </c>
      <c r="D113" s="69" t="s">
        <v>314</v>
      </c>
      <c r="E113" s="69" t="s">
        <v>618</v>
      </c>
      <c r="F113" s="117"/>
      <c r="G113" s="117" t="s">
        <v>747</v>
      </c>
      <c r="H113" s="117" t="s">
        <v>748</v>
      </c>
      <c r="I113" s="205">
        <f>VLOOKUP(A113,'Margin Calculation'!F:Y,20,0)</f>
        <v>1711.8863999999999</v>
      </c>
      <c r="J113" s="205">
        <f>VLOOKUP(A113,'Margin Calculation'!F:Z,21,0)</f>
        <v>2020.0259519999997</v>
      </c>
      <c r="K113" s="182">
        <v>100</v>
      </c>
      <c r="L113" s="182">
        <f t="shared" si="0"/>
        <v>487.49400000000009</v>
      </c>
      <c r="M113" s="182">
        <f t="shared" si="1"/>
        <v>243.74700000000004</v>
      </c>
      <c r="N113" s="182">
        <f t="shared" si="2"/>
        <v>146.2482</v>
      </c>
      <c r="O113" s="205">
        <f t="shared" si="3"/>
        <v>2689.3755999999998</v>
      </c>
      <c r="P113" s="182">
        <f t="shared" si="4"/>
        <v>743.63491525423706</v>
      </c>
      <c r="Q113" s="205">
        <f t="shared" si="5"/>
        <v>1441.9294847457636</v>
      </c>
      <c r="R113" s="184">
        <f t="shared" si="6"/>
        <v>0.29578404754638282</v>
      </c>
      <c r="S113" s="182">
        <f t="shared" si="8"/>
        <v>4874.9400000000005</v>
      </c>
      <c r="T113" s="182">
        <f>VLOOKUP(A113,'Margin Calculation'!F:AN,35,0)</f>
        <v>4599</v>
      </c>
      <c r="U113" s="182"/>
      <c r="V113" s="182"/>
      <c r="W113" s="182"/>
      <c r="X113" s="182"/>
      <c r="Y113" s="182"/>
      <c r="Z113" s="182"/>
    </row>
    <row r="114" spans="1:26">
      <c r="A114" s="182"/>
      <c r="B114" s="182"/>
      <c r="C114" s="182"/>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c r="Z114" s="182"/>
    </row>
    <row r="115" spans="1:26">
      <c r="A115" s="182"/>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row>
    <row r="116" spans="1:26">
      <c r="A116" s="182"/>
      <c r="B116" s="182"/>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row>
    <row r="117" spans="1:26">
      <c r="A117" s="182"/>
      <c r="B117" s="182"/>
      <c r="C117" s="182"/>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row>
    <row r="118" spans="1:26">
      <c r="A118" s="182"/>
      <c r="B118" s="182"/>
      <c r="C118" s="182"/>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row>
    <row r="119" spans="1:26">
      <c r="A119" s="182"/>
      <c r="B119" s="182"/>
      <c r="C119" s="182"/>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c r="Z119" s="182"/>
    </row>
    <row r="120" spans="1:26">
      <c r="A120" s="182"/>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row>
    <row r="121" spans="1:26">
      <c r="A121" s="182"/>
      <c r="B121" s="182"/>
      <c r="C121" s="182"/>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c r="Z121" s="182"/>
    </row>
    <row r="122" spans="1:26">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c r="Z122" s="182"/>
    </row>
    <row r="123" spans="1:26">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c r="Z123" s="182"/>
    </row>
    <row r="124" spans="1:26">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c r="Z124" s="182"/>
    </row>
    <row r="125" spans="1:26">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row>
    <row r="126" spans="1:26">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c r="Z126" s="182"/>
    </row>
    <row r="127" spans="1:26">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c r="Z127" s="182"/>
    </row>
    <row r="128" spans="1:26">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c r="Z128" s="182"/>
    </row>
    <row r="129" spans="1:26">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c r="Z129" s="182"/>
    </row>
    <row r="130" spans="1:26">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c r="Z130" s="182"/>
    </row>
    <row r="131" spans="1:26">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c r="Z131" s="182"/>
    </row>
    <row r="132" spans="1:26">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c r="Z132" s="182"/>
    </row>
    <row r="133" spans="1:26">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c r="Z133" s="182"/>
    </row>
    <row r="134" spans="1:26">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c r="Z134" s="182"/>
    </row>
    <row r="135" spans="1:26">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c r="Z135" s="182"/>
    </row>
    <row r="136" spans="1:26">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c r="Z136" s="182"/>
    </row>
    <row r="137" spans="1:26">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c r="Z137" s="182"/>
    </row>
    <row r="138" spans="1:26">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row>
    <row r="139" spans="1:26">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c r="Z139" s="182"/>
    </row>
    <row r="140" spans="1:26">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c r="Z140" s="182"/>
    </row>
    <row r="141" spans="1:26">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c r="Z141" s="182"/>
    </row>
    <row r="142" spans="1:26">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c r="Z142" s="182"/>
    </row>
    <row r="143" spans="1:26">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row>
    <row r="144" spans="1:26">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c r="Z144" s="182"/>
    </row>
    <row r="145" spans="1:26">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c r="Z145" s="182"/>
    </row>
    <row r="146" spans="1:26">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c r="Z146" s="182"/>
    </row>
    <row r="147" spans="1:26">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c r="Z147" s="182"/>
    </row>
    <row r="148" spans="1:26">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c r="Z148" s="182"/>
    </row>
    <row r="149" spans="1:26">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c r="Z149" s="182"/>
    </row>
    <row r="150" spans="1:26">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c r="Z150" s="182"/>
    </row>
    <row r="151" spans="1:26">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c r="Z151" s="182"/>
    </row>
    <row r="152" spans="1:26">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c r="Z152" s="182"/>
    </row>
    <row r="153" spans="1:26">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c r="Z153" s="182"/>
    </row>
    <row r="154" spans="1:26">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row>
    <row r="155" spans="1:26">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row>
    <row r="156" spans="1:26">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row>
    <row r="157" spans="1:26">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c r="Z157" s="182"/>
    </row>
    <row r="158" spans="1:26">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c r="Z158" s="182"/>
    </row>
    <row r="159" spans="1:26">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row>
    <row r="160" spans="1:26">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row>
    <row r="161" spans="1:26">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c r="Z161" s="182"/>
    </row>
    <row r="162" spans="1:26">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c r="Z162" s="182"/>
    </row>
    <row r="163" spans="1:26">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row>
    <row r="164" spans="1:26">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c r="Z164" s="182"/>
    </row>
    <row r="165" spans="1:26">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c r="Z165" s="182"/>
    </row>
    <row r="166" spans="1:26">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c r="Z166" s="182"/>
    </row>
    <row r="167" spans="1:26">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c r="Z167" s="182"/>
    </row>
    <row r="168" spans="1:26">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c r="Z168" s="182"/>
    </row>
    <row r="169" spans="1:26">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row>
    <row r="170" spans="1:26">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row>
    <row r="171" spans="1:26">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row>
    <row r="172" spans="1:26">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row>
    <row r="173" spans="1:26">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c r="Z173" s="182"/>
    </row>
    <row r="174" spans="1:26">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row>
    <row r="175" spans="1:26">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row>
    <row r="176" spans="1:26">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c r="Z176" s="182"/>
    </row>
    <row r="177" spans="1:26">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row>
    <row r="178" spans="1:26">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row>
    <row r="179" spans="1:26">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c r="Z179" s="182"/>
    </row>
    <row r="180" spans="1:26">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row>
    <row r="181" spans="1:26">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row>
    <row r="182" spans="1:26">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c r="Z182" s="182"/>
    </row>
    <row r="183" spans="1:26">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c r="Z183" s="182"/>
    </row>
    <row r="184" spans="1:26">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row>
    <row r="185" spans="1:26">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row>
    <row r="186" spans="1:26">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row>
    <row r="187" spans="1:26">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row>
    <row r="188" spans="1:26">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c r="Z188" s="182"/>
    </row>
    <row r="189" spans="1:26">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row>
    <row r="190" spans="1:26">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c r="Z190" s="182"/>
    </row>
    <row r="191" spans="1:26">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c r="Z191" s="182"/>
    </row>
    <row r="192" spans="1:26">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c r="Z192" s="182"/>
    </row>
    <row r="193" spans="1:26">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c r="Z193" s="182"/>
    </row>
    <row r="194" spans="1:26">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c r="Z194" s="182"/>
    </row>
    <row r="195" spans="1:26">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row>
    <row r="196" spans="1:26">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row>
    <row r="197" spans="1:26">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row>
    <row r="198" spans="1:26">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c r="Z198" s="182"/>
    </row>
    <row r="199" spans="1:26">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row>
    <row r="200" spans="1:26">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c r="Z200" s="182"/>
    </row>
    <row r="201" spans="1:26">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row>
    <row r="202" spans="1:26">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row>
    <row r="203" spans="1:26">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row>
    <row r="204" spans="1:26">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row>
    <row r="205" spans="1:26">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row>
    <row r="206" spans="1:26">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row>
    <row r="207" spans="1:26">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row>
    <row r="208" spans="1:26">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row>
    <row r="209" spans="1:26">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row>
    <row r="210" spans="1:26">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row>
    <row r="211" spans="1:26">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row>
    <row r="212" spans="1:26">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row>
    <row r="213" spans="1:26">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row>
    <row r="214" spans="1:26">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row>
    <row r="215" spans="1:26">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row>
    <row r="216" spans="1:26">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row>
    <row r="217" spans="1:26">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row>
    <row r="218" spans="1:26">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row>
    <row r="219" spans="1:26">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row>
    <row r="220" spans="1:26">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row>
    <row r="221" spans="1:26">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row>
    <row r="222" spans="1:26">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row>
    <row r="223" spans="1:26">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row>
    <row r="224" spans="1:26">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c r="Z224" s="182"/>
    </row>
    <row r="225" spans="1:26">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row>
    <row r="226" spans="1:26">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row>
    <row r="227" spans="1:26">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row>
    <row r="228" spans="1:26">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c r="Z228" s="182"/>
    </row>
    <row r="229" spans="1:26">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row>
    <row r="230" spans="1:26">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row>
    <row r="231" spans="1:26">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row>
    <row r="232" spans="1:26">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row>
    <row r="233" spans="1:26">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row>
    <row r="234" spans="1:26">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row>
    <row r="235" spans="1:26">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row>
    <row r="236" spans="1:26">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row>
    <row r="237" spans="1:26">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row>
    <row r="238" spans="1:26">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c r="Z238" s="182"/>
    </row>
    <row r="239" spans="1:26">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row>
    <row r="240" spans="1:26">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row>
    <row r="241" spans="1:26">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row>
    <row r="242" spans="1:26">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row>
    <row r="243" spans="1:26">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row>
    <row r="244" spans="1:26">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c r="Z244" s="182"/>
    </row>
    <row r="245" spans="1:26">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row>
    <row r="246" spans="1:26">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c r="Z246" s="182"/>
    </row>
    <row r="247" spans="1:26">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row>
    <row r="248" spans="1:26">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c r="Z248" s="182"/>
    </row>
    <row r="249" spans="1:26">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c r="Z249" s="182"/>
    </row>
    <row r="250" spans="1:26">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c r="Z250" s="182"/>
    </row>
    <row r="251" spans="1:26">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row>
    <row r="252" spans="1:26">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c r="Z252" s="182"/>
    </row>
    <row r="253" spans="1:26">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c r="Z253" s="182"/>
    </row>
    <row r="254" spans="1:26">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c r="Z254" s="182"/>
    </row>
    <row r="255" spans="1:26">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c r="Z255" s="182"/>
    </row>
    <row r="256" spans="1:26">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c r="Z256" s="182"/>
    </row>
    <row r="257" spans="1:26">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c r="Z257" s="182"/>
    </row>
    <row r="258" spans="1:26">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c r="Z258" s="182"/>
    </row>
    <row r="259" spans="1:26">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c r="Z259" s="182"/>
    </row>
    <row r="260" spans="1:26">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c r="Z260" s="182"/>
    </row>
    <row r="261" spans="1:26">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c r="Z261" s="182"/>
    </row>
    <row r="262" spans="1:26">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c r="Z262" s="182"/>
    </row>
    <row r="263" spans="1:26">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c r="Z263" s="182"/>
    </row>
    <row r="264" spans="1:26">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c r="Z264" s="182"/>
    </row>
    <row r="265" spans="1:26">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c r="Z265" s="182"/>
    </row>
    <row r="266" spans="1:26">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c r="Z266" s="182"/>
    </row>
    <row r="267" spans="1:26">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row>
    <row r="268" spans="1:26">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row>
    <row r="269" spans="1:26">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c r="Z269" s="182"/>
    </row>
    <row r="270" spans="1:26">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c r="Z270" s="182"/>
    </row>
    <row r="271" spans="1:26">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row>
    <row r="272" spans="1:26">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c r="Z272" s="182"/>
    </row>
    <row r="273" spans="1:26">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c r="Z273" s="182"/>
    </row>
    <row r="274" spans="1:26">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c r="Z274" s="182"/>
    </row>
    <row r="275" spans="1:26">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c r="Z275" s="182"/>
    </row>
    <row r="276" spans="1:26">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c r="Z276" s="182"/>
    </row>
    <row r="277" spans="1:26">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c r="Z277" s="182"/>
    </row>
    <row r="278" spans="1:26">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row>
    <row r="279" spans="1:26">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c r="Z279" s="182"/>
    </row>
    <row r="280" spans="1:26">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c r="Z280" s="182"/>
    </row>
    <row r="281" spans="1:26">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c r="Z281" s="182"/>
    </row>
    <row r="282" spans="1:26">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c r="Z282" s="182"/>
    </row>
    <row r="283" spans="1:26">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row>
    <row r="284" spans="1:26">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c r="Z284" s="182"/>
    </row>
    <row r="285" spans="1:26">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c r="Z285" s="182"/>
    </row>
    <row r="286" spans="1:26">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c r="Z286" s="182"/>
    </row>
    <row r="287" spans="1:26">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c r="Z287" s="182"/>
    </row>
    <row r="288" spans="1:26">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c r="Z288" s="182"/>
    </row>
    <row r="289" spans="1:26">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c r="Z289" s="182"/>
    </row>
    <row r="290" spans="1:26">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c r="Z290" s="182"/>
    </row>
    <row r="291" spans="1:26">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c r="Z291" s="182"/>
    </row>
    <row r="292" spans="1:26">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c r="Z292" s="182"/>
    </row>
    <row r="293" spans="1:26">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c r="Z293" s="182"/>
    </row>
    <row r="294" spans="1:26">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c r="Z294" s="182"/>
    </row>
    <row r="295" spans="1:26">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c r="Z295" s="182"/>
    </row>
    <row r="296" spans="1:26">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c r="Z296" s="182"/>
    </row>
    <row r="297" spans="1:26">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c r="Z297" s="182"/>
    </row>
    <row r="298" spans="1:26">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c r="Z298" s="182"/>
    </row>
    <row r="299" spans="1:26">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row>
    <row r="300" spans="1:26">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c r="Z300" s="182"/>
    </row>
    <row r="301" spans="1:26">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row>
    <row r="302" spans="1:26">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c r="Z302" s="182"/>
    </row>
    <row r="303" spans="1:26">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c r="Z303" s="182"/>
    </row>
    <row r="304" spans="1:26">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c r="Z304" s="182"/>
    </row>
    <row r="305" spans="1:26">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c r="Z305" s="182"/>
    </row>
    <row r="306" spans="1:26">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c r="Z306" s="182"/>
    </row>
    <row r="307" spans="1:26">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c r="Z307" s="182"/>
    </row>
    <row r="308" spans="1:26">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c r="Z308" s="182"/>
    </row>
    <row r="309" spans="1:26">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row>
    <row r="310" spans="1:26">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row>
    <row r="311" spans="1:26">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row>
    <row r="312" spans="1:26">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row>
    <row r="313" spans="1:26">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row>
    <row r="314" spans="1:26">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c r="Z314" s="182"/>
    </row>
    <row r="315" spans="1:26">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c r="Z315" s="182"/>
    </row>
    <row r="316" spans="1:26">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c r="Z316" s="182"/>
    </row>
    <row r="317" spans="1:26">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row>
    <row r="318" spans="1:26">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c r="Z318" s="182"/>
    </row>
    <row r="319" spans="1:26">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c r="Z319" s="182"/>
    </row>
    <row r="320" spans="1:26">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c r="Z320" s="182"/>
    </row>
    <row r="321" spans="1:26">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c r="Z321" s="182"/>
    </row>
    <row r="322" spans="1:26">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c r="Z322" s="182"/>
    </row>
    <row r="323" spans="1:26">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row>
    <row r="324" spans="1:26">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c r="Z324" s="182"/>
    </row>
    <row r="325" spans="1:26">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c r="Z325" s="182"/>
    </row>
    <row r="326" spans="1:26">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c r="Z326" s="182"/>
    </row>
    <row r="327" spans="1:26">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c r="Z327" s="182"/>
    </row>
    <row r="328" spans="1:26">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c r="Z328" s="182"/>
    </row>
    <row r="329" spans="1:26">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c r="Z329" s="182"/>
    </row>
    <row r="330" spans="1:26">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c r="Z330" s="182"/>
    </row>
    <row r="331" spans="1:26">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c r="Z331" s="182"/>
    </row>
    <row r="332" spans="1:26">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c r="Z332" s="182"/>
    </row>
    <row r="333" spans="1:26">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row>
    <row r="334" spans="1:26">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row>
    <row r="335" spans="1:26">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row>
    <row r="336" spans="1:26">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c r="Z336" s="182"/>
    </row>
    <row r="337" spans="1:26">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c r="Z337" s="182"/>
    </row>
    <row r="338" spans="1:26">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c r="Z338" s="182"/>
    </row>
    <row r="339" spans="1:26">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row>
    <row r="340" spans="1:26">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c r="Z340" s="182"/>
    </row>
    <row r="341" spans="1:26">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row>
    <row r="342" spans="1:26">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c r="Z342" s="182"/>
    </row>
    <row r="343" spans="1:26">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row>
    <row r="344" spans="1:26">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c r="Z344" s="182"/>
    </row>
    <row r="345" spans="1:26">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row>
    <row r="346" spans="1:26">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c r="Z346" s="182"/>
    </row>
    <row r="347" spans="1:26">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c r="Z347" s="182"/>
    </row>
    <row r="348" spans="1:26">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c r="Z348" s="182"/>
    </row>
    <row r="349" spans="1:26">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c r="Z349" s="182"/>
    </row>
    <row r="350" spans="1:26">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c r="Z350" s="182"/>
    </row>
    <row r="351" spans="1:26">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c r="Z351" s="182"/>
    </row>
    <row r="352" spans="1:26">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c r="Z352" s="182"/>
    </row>
    <row r="353" spans="1:26">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c r="Z353" s="182"/>
    </row>
    <row r="354" spans="1:26">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c r="Z354" s="182"/>
    </row>
    <row r="355" spans="1:26">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row>
    <row r="356" spans="1:26">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c r="Z356" s="182"/>
    </row>
    <row r="357" spans="1:26">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row>
    <row r="358" spans="1:26">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c r="Z358" s="182"/>
    </row>
    <row r="359" spans="1:26">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row>
    <row r="360" spans="1:26">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row>
    <row r="361" spans="1:26">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row>
    <row r="362" spans="1:26">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c r="Z362" s="182"/>
    </row>
    <row r="363" spans="1:26">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row>
    <row r="364" spans="1:26">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row>
    <row r="365" spans="1:26">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row>
    <row r="366" spans="1:26">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c r="Z366" s="182"/>
    </row>
    <row r="367" spans="1:26">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row>
    <row r="368" spans="1:26">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c r="Z368" s="182"/>
    </row>
    <row r="369" spans="1:26">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row>
    <row r="370" spans="1:26">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c r="Z370" s="182"/>
    </row>
    <row r="371" spans="1:26">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c r="Z371" s="182"/>
    </row>
    <row r="372" spans="1:26">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c r="Z372" s="182"/>
    </row>
    <row r="373" spans="1:26">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c r="Z373" s="182"/>
    </row>
    <row r="374" spans="1:26">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c r="Z374" s="182"/>
    </row>
    <row r="375" spans="1:26">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row>
    <row r="376" spans="1:26">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c r="Z376" s="182"/>
    </row>
    <row r="377" spans="1:26">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c r="Z377" s="182"/>
    </row>
    <row r="378" spans="1:26">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c r="Z378" s="182"/>
    </row>
    <row r="379" spans="1:26">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c r="Z379" s="182"/>
    </row>
    <row r="380" spans="1:26">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c r="Z380" s="182"/>
    </row>
    <row r="381" spans="1:26">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row>
    <row r="382" spans="1:26">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c r="Z382" s="182"/>
    </row>
    <row r="383" spans="1:26">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c r="Z383" s="182"/>
    </row>
    <row r="384" spans="1:26">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c r="Z384" s="182"/>
    </row>
    <row r="385" spans="1:26">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c r="Z385" s="182"/>
    </row>
    <row r="386" spans="1:26">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c r="Z386" s="182"/>
    </row>
    <row r="387" spans="1:26">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c r="Z387" s="182"/>
    </row>
    <row r="388" spans="1:26">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c r="Z388" s="182"/>
    </row>
    <row r="389" spans="1:26">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c r="Z389" s="182"/>
    </row>
    <row r="390" spans="1:26">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c r="Z390" s="182"/>
    </row>
    <row r="391" spans="1:26">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c r="Z391" s="182"/>
    </row>
    <row r="392" spans="1:26">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c r="Z392" s="182"/>
    </row>
    <row r="393" spans="1:26">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c r="Z393" s="182"/>
    </row>
    <row r="394" spans="1:26">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c r="Z394" s="182"/>
    </row>
    <row r="395" spans="1:26">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c r="Z395" s="182"/>
    </row>
    <row r="396" spans="1:26">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c r="Z396" s="182"/>
    </row>
    <row r="397" spans="1:26">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row>
    <row r="398" spans="1:26">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c r="Z398" s="182"/>
    </row>
    <row r="399" spans="1:26">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row>
    <row r="400" spans="1:26">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c r="Z400" s="182"/>
    </row>
    <row r="401" spans="1:26">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82"/>
      <c r="Z401" s="182"/>
    </row>
    <row r="402" spans="1:26">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c r="Z402" s="182"/>
    </row>
    <row r="403" spans="1:26">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c r="Z403" s="182"/>
    </row>
    <row r="404" spans="1:26">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c r="Z404" s="182"/>
    </row>
    <row r="405" spans="1:26">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c r="Z405" s="182"/>
    </row>
    <row r="406" spans="1:26">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c r="Z406" s="182"/>
    </row>
    <row r="407" spans="1:26">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c r="Z407" s="182"/>
    </row>
    <row r="408" spans="1:26">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c r="Z408" s="182"/>
    </row>
    <row r="409" spans="1:26">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c r="Z409" s="182"/>
    </row>
    <row r="410" spans="1:26">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c r="Z410" s="182"/>
    </row>
    <row r="411" spans="1:26">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c r="Z411" s="182"/>
    </row>
    <row r="412" spans="1:26">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c r="Z412" s="182"/>
    </row>
    <row r="413" spans="1:26">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c r="Z413" s="182"/>
    </row>
    <row r="414" spans="1:26">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c r="Z414" s="182"/>
    </row>
    <row r="415" spans="1:26">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row>
    <row r="416" spans="1:26">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c r="Z416" s="182"/>
    </row>
    <row r="417" spans="1:26">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c r="Z417" s="182"/>
    </row>
    <row r="418" spans="1:26">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c r="Z418" s="182"/>
    </row>
    <row r="419" spans="1:26">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row>
    <row r="420" spans="1:26">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row>
    <row r="421" spans="1:26">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row>
    <row r="422" spans="1:26">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row>
    <row r="423" spans="1:26">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row>
    <row r="424" spans="1:26">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c r="Z424" s="182"/>
    </row>
    <row r="425" spans="1:26">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row>
    <row r="426" spans="1:26">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c r="Z426" s="182"/>
    </row>
    <row r="427" spans="1:26">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row>
    <row r="428" spans="1:26">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row>
    <row r="429" spans="1:26">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row>
    <row r="430" spans="1:26">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c r="Z430" s="182"/>
    </row>
    <row r="431" spans="1:26">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row>
    <row r="432" spans="1:26">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row>
    <row r="433" spans="1:26">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row>
    <row r="434" spans="1:26">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c r="Z434" s="182"/>
    </row>
    <row r="435" spans="1:26">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row>
    <row r="436" spans="1:26">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row>
    <row r="437" spans="1:26">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row>
    <row r="438" spans="1:26">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row>
    <row r="439" spans="1:26">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c r="Z439" s="182"/>
    </row>
    <row r="440" spans="1:26">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c r="Z440" s="182"/>
    </row>
    <row r="441" spans="1:26">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c r="Z441" s="182"/>
    </row>
    <row r="442" spans="1:26">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c r="Z442" s="182"/>
    </row>
    <row r="443" spans="1:26">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row>
    <row r="444" spans="1:26">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c r="Z444" s="182"/>
    </row>
    <row r="445" spans="1:26">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c r="Z445" s="182"/>
    </row>
    <row r="446" spans="1:26">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c r="Z446" s="182"/>
    </row>
    <row r="447" spans="1:26">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c r="Z447" s="182"/>
    </row>
    <row r="448" spans="1:26">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c r="Z448" s="182"/>
    </row>
    <row r="449" spans="1:26">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c r="Z449" s="182"/>
    </row>
    <row r="450" spans="1:26">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c r="Z450" s="182"/>
    </row>
    <row r="451" spans="1:26">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row>
    <row r="452" spans="1:26">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c r="Z452" s="182"/>
    </row>
    <row r="453" spans="1:26">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row>
    <row r="454" spans="1:26">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row>
    <row r="455" spans="1:26">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row>
    <row r="456" spans="1:26">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row>
    <row r="457" spans="1:26">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row>
    <row r="458" spans="1:26">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row>
    <row r="459" spans="1:26">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row>
    <row r="460" spans="1:26">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row>
    <row r="461" spans="1:26">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row>
    <row r="462" spans="1:26">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row>
    <row r="463" spans="1:26">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row>
    <row r="464" spans="1:26">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row>
    <row r="465" spans="1:26">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c r="Z465" s="182"/>
    </row>
    <row r="466" spans="1:26">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row>
    <row r="467" spans="1:26">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row>
    <row r="468" spans="1:26">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row>
    <row r="469" spans="1:26">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row>
    <row r="470" spans="1:26">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row>
    <row r="471" spans="1:26">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row>
    <row r="472" spans="1:26">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row>
    <row r="473" spans="1:26">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row>
    <row r="474" spans="1:26">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row>
    <row r="475" spans="1:26">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row>
    <row r="476" spans="1:26">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row>
    <row r="477" spans="1:26">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row>
    <row r="478" spans="1:26">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row>
    <row r="479" spans="1:26">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row>
    <row r="480" spans="1:26">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c r="Z480" s="182"/>
    </row>
    <row r="481" spans="1:26">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row>
    <row r="482" spans="1:26">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c r="Z482" s="182"/>
    </row>
    <row r="483" spans="1:26">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c r="Z483" s="182"/>
    </row>
    <row r="484" spans="1:26">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c r="Z484" s="182"/>
    </row>
    <row r="485" spans="1:26">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row>
    <row r="486" spans="1:26">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c r="Z486" s="182"/>
    </row>
    <row r="487" spans="1:26">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row>
    <row r="488" spans="1:26">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c r="Z488" s="182"/>
    </row>
    <row r="489" spans="1:26">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row>
    <row r="490" spans="1:26">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row>
    <row r="491" spans="1:26">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row>
    <row r="492" spans="1:26">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c r="Z492" s="182"/>
    </row>
    <row r="493" spans="1:26">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c r="Z493" s="182"/>
    </row>
    <row r="494" spans="1:26">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c r="Z494" s="182"/>
    </row>
    <row r="495" spans="1:26">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c r="Z495" s="182"/>
    </row>
    <row r="496" spans="1:26">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c r="Z496" s="182"/>
    </row>
    <row r="497" spans="1:26">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c r="Z497" s="182"/>
    </row>
    <row r="498" spans="1:26">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c r="Z498" s="182"/>
    </row>
    <row r="499" spans="1:26">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c r="Z499" s="182"/>
    </row>
    <row r="500" spans="1:26">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c r="Z500" s="182"/>
    </row>
    <row r="501" spans="1:26">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row>
    <row r="502" spans="1:26">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c r="Z502" s="182"/>
    </row>
    <row r="503" spans="1:26">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row>
    <row r="504" spans="1:26">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row>
    <row r="505" spans="1:26">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row>
    <row r="506" spans="1:26">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c r="Z506" s="182"/>
    </row>
    <row r="507" spans="1:26">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row>
    <row r="508" spans="1:26">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c r="Z508" s="182"/>
    </row>
    <row r="509" spans="1:26">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row>
    <row r="510" spans="1:26">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row>
    <row r="511" spans="1:26">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row>
    <row r="512" spans="1:26">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c r="Z512" s="182"/>
    </row>
    <row r="513" spans="1:26">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row>
    <row r="514" spans="1:26">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c r="Z514" s="182"/>
    </row>
    <row r="515" spans="1:26">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c r="Z515" s="182"/>
    </row>
    <row r="516" spans="1:26">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c r="Z516" s="182"/>
    </row>
    <row r="517" spans="1:26">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row>
    <row r="518" spans="1:26">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c r="Z518" s="182"/>
    </row>
    <row r="519" spans="1:26">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c r="Z519" s="182"/>
    </row>
    <row r="520" spans="1:26">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c r="Z520" s="182"/>
    </row>
    <row r="521" spans="1:26">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c r="Z521" s="182"/>
    </row>
    <row r="522" spans="1:26">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c r="Z522" s="182"/>
    </row>
    <row r="523" spans="1:26">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row>
    <row r="524" spans="1:26">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c r="Z524" s="182"/>
    </row>
    <row r="525" spans="1:26">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row>
    <row r="526" spans="1:26">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c r="Z526" s="182"/>
    </row>
    <row r="527" spans="1:26">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row>
    <row r="528" spans="1:26">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c r="Z528" s="182"/>
    </row>
    <row r="529" spans="1:26">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row>
    <row r="530" spans="1:26">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c r="Z530" s="182"/>
    </row>
    <row r="531" spans="1:26">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row>
    <row r="532" spans="1:26">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c r="Z532" s="182"/>
    </row>
    <row r="533" spans="1:26">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c r="Z533" s="182"/>
    </row>
    <row r="534" spans="1:26">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c r="Z534" s="182"/>
    </row>
    <row r="535" spans="1:26">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c r="Z535" s="182"/>
    </row>
    <row r="536" spans="1:26">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c r="Z536" s="182"/>
    </row>
    <row r="537" spans="1:26">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row>
    <row r="538" spans="1:26">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c r="Z538" s="182"/>
    </row>
    <row r="539" spans="1:26">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c r="Z539" s="182"/>
    </row>
    <row r="540" spans="1:26">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c r="Z540" s="182"/>
    </row>
    <row r="541" spans="1:26">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row>
    <row r="542" spans="1:26">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c r="Z542" s="182"/>
    </row>
    <row r="543" spans="1:26">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row>
    <row r="544" spans="1:26">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c r="Z544" s="182"/>
    </row>
    <row r="545" spans="1:26">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row>
    <row r="546" spans="1:26">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c r="Z546" s="182"/>
    </row>
    <row r="547" spans="1:26">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row>
    <row r="548" spans="1:26">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c r="Z548" s="182"/>
    </row>
    <row r="549" spans="1:26">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c r="Z549" s="182"/>
    </row>
    <row r="550" spans="1:26">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c r="Z550" s="182"/>
    </row>
    <row r="551" spans="1:26">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c r="Z551" s="182"/>
    </row>
    <row r="552" spans="1:26">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row>
    <row r="553" spans="1:26">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row>
    <row r="554" spans="1:26">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c r="Z554" s="182"/>
    </row>
    <row r="555" spans="1:26">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row>
    <row r="556" spans="1:26">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c r="Z556" s="182"/>
    </row>
    <row r="557" spans="1:26">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c r="Z557" s="182"/>
    </row>
    <row r="558" spans="1:26">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c r="Z558" s="182"/>
    </row>
    <row r="559" spans="1:26">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c r="Z559" s="182"/>
    </row>
    <row r="560" spans="1:26">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c r="Z560" s="182"/>
    </row>
    <row r="561" spans="1:26">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c r="Z561" s="182"/>
    </row>
    <row r="562" spans="1:26">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c r="Z562" s="182"/>
    </row>
    <row r="563" spans="1:26">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c r="Z563" s="182"/>
    </row>
    <row r="564" spans="1:26">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c r="Z564" s="182"/>
    </row>
    <row r="565" spans="1:26">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c r="Z565" s="182"/>
    </row>
    <row r="566" spans="1:26">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c r="Z566" s="182"/>
    </row>
    <row r="567" spans="1:26">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c r="Z567" s="182"/>
    </row>
    <row r="568" spans="1:26">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c r="Z568" s="182"/>
    </row>
    <row r="569" spans="1:26">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c r="Z569" s="182"/>
    </row>
    <row r="570" spans="1:26">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c r="Z570" s="182"/>
    </row>
    <row r="571" spans="1:26">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c r="Z571" s="182"/>
    </row>
    <row r="572" spans="1:26">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c r="Z572" s="182"/>
    </row>
    <row r="573" spans="1:26">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c r="Z573" s="182"/>
    </row>
    <row r="574" spans="1:26">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c r="Z574" s="182"/>
    </row>
    <row r="575" spans="1:26">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82"/>
      <c r="Z575" s="182"/>
    </row>
    <row r="576" spans="1:26">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c r="Z576" s="182"/>
    </row>
    <row r="577" spans="1:26">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c r="Z577" s="182"/>
    </row>
    <row r="578" spans="1:26">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c r="Z578" s="182"/>
    </row>
    <row r="579" spans="1:26">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c r="Z579" s="182"/>
    </row>
    <row r="580" spans="1:26">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c r="Z580" s="182"/>
    </row>
    <row r="581" spans="1:26">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c r="Z581" s="182"/>
    </row>
    <row r="582" spans="1:26">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c r="Z582" s="182"/>
    </row>
    <row r="583" spans="1:26">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c r="Z583" s="182"/>
    </row>
    <row r="584" spans="1:26">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c r="Z584" s="182"/>
    </row>
    <row r="585" spans="1:26">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c r="Z585" s="182"/>
    </row>
    <row r="586" spans="1:26">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c r="Z586" s="182"/>
    </row>
    <row r="587" spans="1:26">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c r="Z587" s="182"/>
    </row>
    <row r="588" spans="1:26">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c r="Z588" s="182"/>
    </row>
    <row r="589" spans="1:26">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c r="Z589" s="182"/>
    </row>
    <row r="590" spans="1:26">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c r="Z590" s="182"/>
    </row>
    <row r="591" spans="1:26">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82"/>
      <c r="Z591" s="182"/>
    </row>
    <row r="592" spans="1:26">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c r="Z592" s="182"/>
    </row>
    <row r="593" spans="1:26">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c r="Z593" s="182"/>
    </row>
    <row r="594" spans="1:26">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c r="Z594" s="182"/>
    </row>
    <row r="595" spans="1:26">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c r="Z595" s="182"/>
    </row>
    <row r="596" spans="1:26">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c r="Z596" s="182"/>
    </row>
    <row r="597" spans="1:26">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c r="Z597" s="182"/>
    </row>
    <row r="598" spans="1:26">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c r="Z598" s="182"/>
    </row>
    <row r="599" spans="1:26">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c r="Z599" s="182"/>
    </row>
    <row r="600" spans="1:26">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c r="Z600" s="182"/>
    </row>
    <row r="601" spans="1:26">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c r="Z601" s="182"/>
    </row>
    <row r="602" spans="1:26">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c r="Z602" s="182"/>
    </row>
    <row r="603" spans="1:26">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c r="Z603" s="182"/>
    </row>
    <row r="604" spans="1:26">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c r="Z604" s="182"/>
    </row>
    <row r="605" spans="1:26">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c r="Z605" s="182"/>
    </row>
    <row r="606" spans="1:26">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c r="Z606" s="182"/>
    </row>
    <row r="607" spans="1:26">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c r="Z607" s="182"/>
    </row>
    <row r="608" spans="1:26">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c r="Z608" s="182"/>
    </row>
    <row r="609" spans="1:26">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c r="Z609" s="182"/>
    </row>
    <row r="610" spans="1:26">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c r="Z610" s="182"/>
    </row>
    <row r="611" spans="1:26">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c r="Z611" s="182"/>
    </row>
    <row r="612" spans="1:26">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c r="Z612" s="182"/>
    </row>
    <row r="613" spans="1:26">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c r="Z613" s="182"/>
    </row>
    <row r="614" spans="1:26">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c r="Z614" s="182"/>
    </row>
    <row r="615" spans="1:26">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c r="Z615" s="182"/>
    </row>
    <row r="616" spans="1:26">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c r="Z616" s="182"/>
    </row>
    <row r="617" spans="1:26">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c r="Z617" s="182"/>
    </row>
    <row r="618" spans="1:26">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c r="Z618" s="182"/>
    </row>
    <row r="619" spans="1:26">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c r="Z619" s="182"/>
    </row>
    <row r="620" spans="1:26">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c r="Z620" s="182"/>
    </row>
    <row r="621" spans="1:26">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c r="Z621" s="182"/>
    </row>
    <row r="622" spans="1:26">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c r="Z622" s="182"/>
    </row>
    <row r="623" spans="1:26">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c r="Z623" s="182"/>
    </row>
    <row r="624" spans="1:26">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c r="Z624" s="182"/>
    </row>
    <row r="625" spans="1:26">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c r="Z625" s="182"/>
    </row>
    <row r="626" spans="1:26">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c r="Z626" s="182"/>
    </row>
    <row r="627" spans="1:26">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c r="Z627" s="182"/>
    </row>
    <row r="628" spans="1:26">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c r="Z628" s="182"/>
    </row>
    <row r="629" spans="1:26">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c r="Z629" s="182"/>
    </row>
    <row r="630" spans="1:26">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c r="Z630" s="182"/>
    </row>
    <row r="631" spans="1:26">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c r="Z631" s="182"/>
    </row>
    <row r="632" spans="1:26">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c r="Z632" s="182"/>
    </row>
    <row r="633" spans="1:26">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c r="Z633" s="182"/>
    </row>
    <row r="634" spans="1:26">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c r="Z634" s="182"/>
    </row>
    <row r="635" spans="1:26">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c r="Z635" s="182"/>
    </row>
    <row r="636" spans="1:26">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c r="Z636" s="182"/>
    </row>
    <row r="637" spans="1:26">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c r="Z637" s="182"/>
    </row>
    <row r="638" spans="1:26">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c r="Z638" s="182"/>
    </row>
    <row r="639" spans="1:26">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c r="Z639" s="182"/>
    </row>
    <row r="640" spans="1:26">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c r="Z640" s="182"/>
    </row>
    <row r="641" spans="1:26">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c r="Z641" s="182"/>
    </row>
    <row r="642" spans="1:26">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c r="Z642" s="182"/>
    </row>
    <row r="643" spans="1:26">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c r="Z643" s="182"/>
    </row>
    <row r="644" spans="1:26">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c r="Z644" s="182"/>
    </row>
    <row r="645" spans="1:26">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c r="Z645" s="182"/>
    </row>
    <row r="646" spans="1:26">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c r="Z646" s="182"/>
    </row>
    <row r="647" spans="1:26">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c r="Z647" s="182"/>
    </row>
    <row r="648" spans="1:26">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c r="Z648" s="182"/>
    </row>
    <row r="649" spans="1:26">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c r="Z649" s="182"/>
    </row>
    <row r="650" spans="1:26">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82"/>
      <c r="Z650" s="182"/>
    </row>
    <row r="651" spans="1:26">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c r="Z651" s="182"/>
    </row>
    <row r="652" spans="1:26">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c r="Z652" s="182"/>
    </row>
    <row r="653" spans="1:26">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c r="Z653" s="182"/>
    </row>
    <row r="654" spans="1:26">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c r="Z654" s="182"/>
    </row>
    <row r="655" spans="1:26">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c r="Z655" s="182"/>
    </row>
    <row r="656" spans="1:26">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c r="Z656" s="182"/>
    </row>
    <row r="657" spans="1:26">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c r="Z657" s="182"/>
    </row>
    <row r="658" spans="1:26">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c r="Z658" s="182"/>
    </row>
    <row r="659" spans="1:26">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c r="Z659" s="182"/>
    </row>
    <row r="660" spans="1:26">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c r="Z660" s="182"/>
    </row>
    <row r="661" spans="1:26">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c r="Z661" s="182"/>
    </row>
    <row r="662" spans="1:26">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c r="Z662" s="182"/>
    </row>
    <row r="663" spans="1:26">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c r="Z663" s="182"/>
    </row>
    <row r="664" spans="1:26">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c r="Z664" s="182"/>
    </row>
    <row r="665" spans="1:26">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c r="Z665" s="182"/>
    </row>
    <row r="666" spans="1:26">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c r="Z666" s="182"/>
    </row>
    <row r="667" spans="1:26">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c r="Z667" s="182"/>
    </row>
    <row r="668" spans="1:26">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c r="Z668" s="182"/>
    </row>
    <row r="669" spans="1:26">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c r="Z669" s="182"/>
    </row>
    <row r="670" spans="1:26">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c r="Z670" s="182"/>
    </row>
    <row r="671" spans="1:26">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c r="Z671" s="182"/>
    </row>
    <row r="672" spans="1:26">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c r="Z672" s="182"/>
    </row>
    <row r="673" spans="1:26">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c r="Z673" s="182"/>
    </row>
    <row r="674" spans="1:26">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c r="Z674" s="182"/>
    </row>
    <row r="675" spans="1:26">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c r="Z675" s="182"/>
    </row>
    <row r="676" spans="1:26">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c r="Z676" s="182"/>
    </row>
    <row r="677" spans="1:26">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c r="Z677" s="182"/>
    </row>
    <row r="678" spans="1:26">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c r="Z678" s="182"/>
    </row>
    <row r="679" spans="1:26">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c r="Z679" s="182"/>
    </row>
    <row r="680" spans="1:26">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c r="Z680" s="182"/>
    </row>
    <row r="681" spans="1:26">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c r="Z681" s="182"/>
    </row>
    <row r="682" spans="1:26">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c r="Z682" s="182"/>
    </row>
    <row r="683" spans="1:26">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c r="Z683" s="182"/>
    </row>
    <row r="684" spans="1:26">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c r="Z684" s="182"/>
    </row>
    <row r="685" spans="1:26">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c r="Z685" s="182"/>
    </row>
    <row r="686" spans="1:26">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c r="Z686" s="182"/>
    </row>
    <row r="687" spans="1:26">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c r="Z687" s="182"/>
    </row>
    <row r="688" spans="1:26">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c r="Z688" s="182"/>
    </row>
    <row r="689" spans="1:26">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c r="Z689" s="182"/>
    </row>
    <row r="690" spans="1:26">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c r="Z690" s="182"/>
    </row>
    <row r="691" spans="1:26">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c r="Z691" s="182"/>
    </row>
    <row r="692" spans="1:26">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c r="Z692" s="182"/>
    </row>
    <row r="693" spans="1:26">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c r="Z693" s="182"/>
    </row>
    <row r="694" spans="1:26">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c r="Z694" s="182"/>
    </row>
    <row r="695" spans="1:26">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c r="Z695" s="182"/>
    </row>
    <row r="696" spans="1:26">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c r="Z696" s="182"/>
    </row>
    <row r="697" spans="1:26">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c r="Z697" s="182"/>
    </row>
    <row r="698" spans="1:26">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c r="Z698" s="182"/>
    </row>
    <row r="699" spans="1:26">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c r="Z699" s="182"/>
    </row>
    <row r="700" spans="1:26">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c r="Z700" s="182"/>
    </row>
    <row r="701" spans="1:26">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c r="Z701" s="182"/>
    </row>
    <row r="702" spans="1:26">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c r="Z702" s="182"/>
    </row>
    <row r="703" spans="1:26">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c r="Z703" s="182"/>
    </row>
    <row r="704" spans="1:26">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c r="Z704" s="182"/>
    </row>
    <row r="705" spans="1:26">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c r="Z705" s="182"/>
    </row>
    <row r="706" spans="1:26">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c r="Z706" s="182"/>
    </row>
    <row r="707" spans="1:26">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c r="Z707" s="182"/>
    </row>
    <row r="708" spans="1:26">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c r="Z708" s="182"/>
    </row>
    <row r="709" spans="1:26">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c r="Z709" s="182"/>
    </row>
    <row r="710" spans="1:26">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82"/>
      <c r="Z710" s="182"/>
    </row>
    <row r="711" spans="1:26">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c r="Z711" s="182"/>
    </row>
    <row r="712" spans="1:26">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c r="Z712" s="182"/>
    </row>
    <row r="713" spans="1:26">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c r="Z713" s="182"/>
    </row>
    <row r="714" spans="1:26">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c r="Z714" s="182"/>
    </row>
    <row r="715" spans="1:26">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c r="Z715" s="182"/>
    </row>
    <row r="716" spans="1:26">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c r="Z716" s="182"/>
    </row>
    <row r="717" spans="1:26">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c r="Z717" s="182"/>
    </row>
    <row r="718" spans="1:26">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c r="Z718" s="182"/>
    </row>
    <row r="719" spans="1:26">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c r="Z719" s="182"/>
    </row>
    <row r="720" spans="1:26">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c r="Z720" s="182"/>
    </row>
    <row r="721" spans="1:26">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c r="Z721" s="182"/>
    </row>
    <row r="722" spans="1:26">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c r="Z722" s="182"/>
    </row>
    <row r="723" spans="1:26">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c r="Z723" s="182"/>
    </row>
    <row r="724" spans="1:26">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c r="Z724" s="182"/>
    </row>
    <row r="725" spans="1:26">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c r="Z725" s="182"/>
    </row>
    <row r="726" spans="1:26">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c r="Z726" s="182"/>
    </row>
    <row r="727" spans="1:26">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c r="Z727" s="182"/>
    </row>
    <row r="728" spans="1:26">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c r="Z728" s="182"/>
    </row>
    <row r="729" spans="1:26">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c r="Z729" s="182"/>
    </row>
    <row r="730" spans="1:26">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c r="Z730" s="182"/>
    </row>
    <row r="731" spans="1:26">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c r="Z731" s="182"/>
    </row>
    <row r="732" spans="1:26">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c r="Z732" s="182"/>
    </row>
    <row r="733" spans="1:26">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row>
    <row r="734" spans="1:26">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c r="Z734" s="182"/>
    </row>
    <row r="735" spans="1:26">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c r="Z735" s="182"/>
    </row>
    <row r="736" spans="1:26">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c r="Z736" s="182"/>
    </row>
    <row r="737" spans="1:26">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c r="Z737" s="182"/>
    </row>
    <row r="738" spans="1:26">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c r="Z738" s="182"/>
    </row>
    <row r="739" spans="1:26">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c r="Z739" s="182"/>
    </row>
    <row r="740" spans="1:26">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c r="Z740" s="182"/>
    </row>
    <row r="741" spans="1:26">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c r="Z741" s="182"/>
    </row>
    <row r="742" spans="1:26">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c r="Z742" s="182"/>
    </row>
    <row r="743" spans="1:26">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c r="Z743" s="182"/>
    </row>
    <row r="744" spans="1:26">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c r="Z744" s="182"/>
    </row>
    <row r="745" spans="1:26">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c r="Z745" s="182"/>
    </row>
    <row r="746" spans="1:26">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c r="Z746" s="182"/>
    </row>
    <row r="747" spans="1:26">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c r="Z747" s="182"/>
    </row>
    <row r="748" spans="1:26">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c r="Z748" s="182"/>
    </row>
    <row r="749" spans="1:26">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c r="Z749" s="182"/>
    </row>
    <row r="750" spans="1:26">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c r="Z750" s="182"/>
    </row>
    <row r="751" spans="1:26">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c r="Z751" s="182"/>
    </row>
    <row r="752" spans="1:26">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c r="Z752" s="182"/>
    </row>
    <row r="753" spans="1:26">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c r="Z753" s="182"/>
    </row>
    <row r="754" spans="1:26">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c r="Z754" s="182"/>
    </row>
    <row r="755" spans="1:26">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c r="Z755" s="182"/>
    </row>
    <row r="756" spans="1:26">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c r="Z756" s="182"/>
    </row>
    <row r="757" spans="1:26">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c r="Z757" s="182"/>
    </row>
    <row r="758" spans="1:26">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c r="Z758" s="182"/>
    </row>
    <row r="759" spans="1:26">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c r="Z759" s="182"/>
    </row>
    <row r="760" spans="1:26">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c r="Z760" s="182"/>
    </row>
    <row r="761" spans="1:26">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c r="Z761" s="182"/>
    </row>
    <row r="762" spans="1:26">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c r="Z762" s="182"/>
    </row>
    <row r="763" spans="1:26">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c r="Z763" s="182"/>
    </row>
    <row r="764" spans="1:26">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c r="Z764" s="182"/>
    </row>
    <row r="765" spans="1:26">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c r="Z765" s="182"/>
    </row>
    <row r="766" spans="1:26">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c r="Z766" s="182"/>
    </row>
    <row r="767" spans="1:26">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c r="Z767" s="182"/>
    </row>
    <row r="768" spans="1:26">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c r="Z768" s="182"/>
    </row>
    <row r="769" spans="1:26">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c r="Z769" s="182"/>
    </row>
    <row r="770" spans="1:26">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c r="Z770" s="182"/>
    </row>
    <row r="771" spans="1:26">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c r="Z771" s="182"/>
    </row>
    <row r="772" spans="1:26">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c r="Z772" s="182"/>
    </row>
    <row r="773" spans="1:26">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c r="Z773" s="182"/>
    </row>
    <row r="774" spans="1:26">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82"/>
      <c r="Z774" s="182"/>
    </row>
    <row r="775" spans="1:26">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c r="Z775" s="182"/>
    </row>
    <row r="776" spans="1:26">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c r="Z776" s="182"/>
    </row>
    <row r="777" spans="1:26">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c r="Z777" s="182"/>
    </row>
    <row r="778" spans="1:26">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c r="Z778" s="182"/>
    </row>
    <row r="779" spans="1:26">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c r="Z779" s="182"/>
    </row>
    <row r="780" spans="1:26">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c r="Z780" s="182"/>
    </row>
    <row r="781" spans="1:26">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c r="Z781" s="182"/>
    </row>
    <row r="782" spans="1:26">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c r="Z782" s="182"/>
    </row>
    <row r="783" spans="1:26">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c r="Z783" s="182"/>
    </row>
    <row r="784" spans="1:26">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c r="Z784" s="182"/>
    </row>
    <row r="785" spans="1:26">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c r="Z785" s="182"/>
    </row>
    <row r="786" spans="1:26">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c r="Z786" s="182"/>
    </row>
    <row r="787" spans="1:26">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c r="Z787" s="182"/>
    </row>
    <row r="788" spans="1:26">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c r="Z788" s="182"/>
    </row>
    <row r="789" spans="1:26">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c r="Z789" s="182"/>
    </row>
    <row r="790" spans="1:26">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c r="Z790" s="182"/>
    </row>
    <row r="791" spans="1:26">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c r="Z791" s="182"/>
    </row>
    <row r="792" spans="1:26">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c r="Z792" s="182"/>
    </row>
    <row r="793" spans="1:26">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c r="Z793" s="182"/>
    </row>
    <row r="794" spans="1:26">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c r="Z794" s="182"/>
    </row>
    <row r="795" spans="1:26">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c r="Z795" s="182"/>
    </row>
    <row r="796" spans="1:26">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c r="Z796" s="182"/>
    </row>
    <row r="797" spans="1:26">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c r="Z797" s="182"/>
    </row>
    <row r="798" spans="1:26">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c r="Z798" s="182"/>
    </row>
    <row r="799" spans="1:26">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c r="Z799" s="182"/>
    </row>
    <row r="800" spans="1:26">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c r="Z800" s="182"/>
    </row>
    <row r="801" spans="1:26">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c r="Z801" s="182"/>
    </row>
    <row r="802" spans="1:26">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c r="Z802" s="182"/>
    </row>
    <row r="803" spans="1:26">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c r="Z803" s="182"/>
    </row>
    <row r="804" spans="1:26">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c r="Z804" s="182"/>
    </row>
    <row r="805" spans="1:26">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c r="Z805" s="182"/>
    </row>
    <row r="806" spans="1:26">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c r="Z806" s="182"/>
    </row>
    <row r="807" spans="1:26">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c r="Z807" s="182"/>
    </row>
    <row r="808" spans="1:26">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c r="Z808" s="182"/>
    </row>
    <row r="809" spans="1:26">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c r="Z809" s="182"/>
    </row>
    <row r="810" spans="1:26">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c r="Z810" s="182"/>
    </row>
    <row r="811" spans="1:26">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row>
    <row r="812" spans="1:26">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c r="Z812" s="182"/>
    </row>
    <row r="813" spans="1:26">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c r="Z813" s="182"/>
    </row>
    <row r="814" spans="1:26">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c r="Z814" s="182"/>
    </row>
    <row r="815" spans="1:26">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c r="Z815" s="182"/>
    </row>
    <row r="816" spans="1:26">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c r="Z816" s="182"/>
    </row>
    <row r="817" spans="1:26">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c r="Z817" s="182"/>
    </row>
    <row r="818" spans="1:26">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c r="Z818" s="182"/>
    </row>
    <row r="819" spans="1:26">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c r="Z819" s="182"/>
    </row>
    <row r="820" spans="1:26">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c r="Z820" s="182"/>
    </row>
    <row r="821" spans="1:26">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c r="Z821" s="182"/>
    </row>
    <row r="822" spans="1:26">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c r="Z822" s="182"/>
    </row>
    <row r="823" spans="1:26">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c r="Z823" s="182"/>
    </row>
    <row r="824" spans="1:26">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c r="Z824" s="182"/>
    </row>
    <row r="825" spans="1:26">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c r="Z825" s="182"/>
    </row>
    <row r="826" spans="1:26">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c r="Z826" s="182"/>
    </row>
    <row r="827" spans="1:26">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c r="Z827" s="182"/>
    </row>
    <row r="828" spans="1:26">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c r="Z828" s="182"/>
    </row>
    <row r="829" spans="1:26">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c r="Z829" s="182"/>
    </row>
    <row r="830" spans="1:26">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c r="Z830" s="182"/>
    </row>
    <row r="831" spans="1:26">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c r="Z831" s="182"/>
    </row>
    <row r="832" spans="1:26">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c r="Z832" s="182"/>
    </row>
    <row r="833" spans="1:26">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c r="Z833" s="182"/>
    </row>
    <row r="834" spans="1:26">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c r="Z834" s="182"/>
    </row>
    <row r="835" spans="1:26">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c r="Z835" s="182"/>
    </row>
    <row r="836" spans="1:26">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82"/>
      <c r="Z836" s="182"/>
    </row>
    <row r="837" spans="1:26">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82"/>
      <c r="Z837" s="182"/>
    </row>
    <row r="838" spans="1:26">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c r="Z838" s="182"/>
    </row>
    <row r="839" spans="1:26">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c r="Z839" s="182"/>
    </row>
    <row r="840" spans="1:26">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c r="Z840" s="182"/>
    </row>
    <row r="841" spans="1:26">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c r="Z841" s="182"/>
    </row>
    <row r="842" spans="1:26">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c r="Z842" s="182"/>
    </row>
    <row r="843" spans="1:26">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c r="Z843" s="182"/>
    </row>
    <row r="844" spans="1:26">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c r="Z844" s="182"/>
    </row>
    <row r="845" spans="1:26">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c r="Z845" s="182"/>
    </row>
    <row r="846" spans="1:26">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c r="Z846" s="182"/>
    </row>
    <row r="847" spans="1:26">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c r="Z847" s="182"/>
    </row>
    <row r="848" spans="1:26">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c r="Z848" s="182"/>
    </row>
    <row r="849" spans="1:26">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c r="Z849" s="182"/>
    </row>
    <row r="850" spans="1:26">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c r="Z850" s="182"/>
    </row>
    <row r="851" spans="1:26">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c r="Z851" s="182"/>
    </row>
    <row r="852" spans="1:26">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c r="Z852" s="182"/>
    </row>
    <row r="853" spans="1:26">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c r="Z853" s="182"/>
    </row>
    <row r="854" spans="1:26">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c r="Z854" s="182"/>
    </row>
    <row r="855" spans="1:26">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c r="Z855" s="182"/>
    </row>
    <row r="856" spans="1:26">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c r="Z856" s="182"/>
    </row>
    <row r="857" spans="1:26">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c r="Z857" s="182"/>
    </row>
    <row r="858" spans="1:26">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c r="Z858" s="182"/>
    </row>
    <row r="859" spans="1:26">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c r="Z859" s="182"/>
    </row>
    <row r="860" spans="1:26">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c r="Z860" s="182"/>
    </row>
    <row r="861" spans="1:26">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c r="Z861" s="182"/>
    </row>
    <row r="862" spans="1:26">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c r="Z862" s="182"/>
    </row>
    <row r="863" spans="1:26">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c r="Z863" s="182"/>
    </row>
    <row r="864" spans="1:26">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c r="Z864" s="182"/>
    </row>
    <row r="865" spans="1:26">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c r="Z865" s="182"/>
    </row>
    <row r="866" spans="1:26">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c r="Z866" s="182"/>
    </row>
    <row r="867" spans="1:26">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c r="Z867" s="182"/>
    </row>
    <row r="868" spans="1:26">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c r="Z868" s="182"/>
    </row>
    <row r="869" spans="1:26">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c r="Z869" s="182"/>
    </row>
    <row r="870" spans="1:26">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c r="Z870" s="182"/>
    </row>
    <row r="871" spans="1:26">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c r="Z871" s="182"/>
    </row>
    <row r="872" spans="1:26">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c r="Z872" s="182"/>
    </row>
    <row r="873" spans="1:26">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c r="Z873" s="182"/>
    </row>
    <row r="874" spans="1:26">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c r="Z874" s="182"/>
    </row>
    <row r="875" spans="1:26">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c r="Z875" s="182"/>
    </row>
    <row r="876" spans="1:26">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c r="Z876" s="182"/>
    </row>
    <row r="877" spans="1:26">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c r="Z877" s="182"/>
    </row>
    <row r="878" spans="1:26">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c r="Z878" s="182"/>
    </row>
    <row r="879" spans="1:26">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c r="Z879" s="182"/>
    </row>
    <row r="880" spans="1:26">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c r="Z880" s="182"/>
    </row>
    <row r="881" spans="1:26">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c r="Z881" s="182"/>
    </row>
    <row r="882" spans="1:26">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c r="Z882" s="182"/>
    </row>
    <row r="883" spans="1:26">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c r="Z883" s="182"/>
    </row>
    <row r="884" spans="1:26">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c r="Z884" s="182"/>
    </row>
    <row r="885" spans="1:26">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c r="Z885" s="182"/>
    </row>
    <row r="886" spans="1:26">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c r="Z886" s="182"/>
    </row>
    <row r="887" spans="1:26">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c r="Z887" s="182"/>
    </row>
    <row r="888" spans="1:26">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c r="Z888" s="182"/>
    </row>
    <row r="889" spans="1:26">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c r="Z889" s="182"/>
    </row>
    <row r="890" spans="1:26">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c r="Z890" s="182"/>
    </row>
    <row r="891" spans="1:26">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c r="Z891" s="182"/>
    </row>
    <row r="892" spans="1:26">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c r="Z892" s="182"/>
    </row>
    <row r="893" spans="1:26">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c r="Z893" s="182"/>
    </row>
    <row r="894" spans="1:26">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c r="Z894" s="182"/>
    </row>
    <row r="895" spans="1:26">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c r="Z895" s="182"/>
    </row>
    <row r="896" spans="1:26">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c r="Z896" s="182"/>
    </row>
    <row r="897" spans="1:26">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c r="Z897" s="182"/>
    </row>
    <row r="898" spans="1:26">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c r="Z898" s="182"/>
    </row>
    <row r="899" spans="1:26">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82"/>
      <c r="Z899" s="182"/>
    </row>
    <row r="900" spans="1:26">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c r="Z900" s="182"/>
    </row>
    <row r="901" spans="1:26">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c r="Z901" s="182"/>
    </row>
    <row r="902" spans="1:26">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c r="Z902" s="182"/>
    </row>
    <row r="903" spans="1:26">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c r="Z903" s="182"/>
    </row>
    <row r="904" spans="1:26">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c r="Z904" s="182"/>
    </row>
    <row r="905" spans="1:26">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c r="Z905" s="182"/>
    </row>
    <row r="906" spans="1:26">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c r="Z906" s="182"/>
    </row>
    <row r="907" spans="1:26">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c r="Z907" s="182"/>
    </row>
    <row r="908" spans="1:26">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c r="Z908" s="182"/>
    </row>
    <row r="909" spans="1:26">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c r="Z909" s="182"/>
    </row>
    <row r="910" spans="1:26">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c r="Z910" s="182"/>
    </row>
    <row r="911" spans="1:26">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c r="Z911" s="182"/>
    </row>
    <row r="912" spans="1:26">
      <c r="A912" s="182"/>
      <c r="B912" s="182"/>
      <c r="C912" s="182"/>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82"/>
      <c r="Z912" s="182"/>
    </row>
    <row r="913" spans="1:26">
      <c r="A913" s="182"/>
      <c r="B913" s="182"/>
      <c r="C913" s="182"/>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82"/>
      <c r="Z913" s="182"/>
    </row>
    <row r="914" spans="1:26">
      <c r="A914" s="182"/>
      <c r="B914" s="182"/>
      <c r="C914" s="182"/>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82"/>
      <c r="Z914" s="182"/>
    </row>
    <row r="915" spans="1:26">
      <c r="A915" s="182"/>
      <c r="B915" s="182"/>
      <c r="C915" s="182"/>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82"/>
      <c r="Z915" s="182"/>
    </row>
    <row r="916" spans="1:26">
      <c r="A916" s="182"/>
      <c r="B916" s="182"/>
      <c r="C916" s="182"/>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82"/>
      <c r="Z916" s="182"/>
    </row>
    <row r="917" spans="1:26">
      <c r="A917" s="182"/>
      <c r="B917" s="182"/>
      <c r="C917" s="182"/>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82"/>
      <c r="Z917" s="182"/>
    </row>
    <row r="918" spans="1:26">
      <c r="A918" s="182"/>
      <c r="B918" s="182"/>
      <c r="C918" s="182"/>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82"/>
      <c r="Z918" s="182"/>
    </row>
    <row r="919" spans="1:26">
      <c r="A919" s="182"/>
      <c r="B919" s="182"/>
      <c r="C919" s="182"/>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82"/>
      <c r="Z919" s="182"/>
    </row>
    <row r="920" spans="1:26">
      <c r="A920" s="182"/>
      <c r="B920" s="182"/>
      <c r="C920" s="182"/>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82"/>
      <c r="Z920" s="182"/>
    </row>
    <row r="921" spans="1:26">
      <c r="A921" s="182"/>
      <c r="B921" s="182"/>
      <c r="C921" s="182"/>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82"/>
      <c r="Z921" s="182"/>
    </row>
    <row r="922" spans="1:26">
      <c r="A922" s="182"/>
      <c r="B922" s="182"/>
      <c r="C922" s="182"/>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82"/>
      <c r="Z922" s="182"/>
    </row>
    <row r="923" spans="1:26">
      <c r="A923" s="182"/>
      <c r="B923" s="182"/>
      <c r="C923" s="182"/>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82"/>
      <c r="Z923" s="182"/>
    </row>
    <row r="924" spans="1:26">
      <c r="A924" s="182"/>
      <c r="B924" s="182"/>
      <c r="C924" s="182"/>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82"/>
      <c r="Z924" s="182"/>
    </row>
    <row r="925" spans="1:26">
      <c r="A925" s="182"/>
      <c r="B925" s="182"/>
      <c r="C925" s="182"/>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82"/>
      <c r="Z925" s="182"/>
    </row>
    <row r="926" spans="1:26">
      <c r="A926" s="182"/>
      <c r="B926" s="182"/>
      <c r="C926" s="182"/>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82"/>
      <c r="Z926" s="182"/>
    </row>
    <row r="927" spans="1:26">
      <c r="A927" s="182"/>
      <c r="B927" s="182"/>
      <c r="C927" s="182"/>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82"/>
      <c r="Z927" s="182"/>
    </row>
    <row r="928" spans="1:26">
      <c r="A928" s="182"/>
      <c r="B928" s="182"/>
      <c r="C928" s="182"/>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82"/>
      <c r="Z928" s="182"/>
    </row>
    <row r="929" spans="1:26">
      <c r="A929" s="182"/>
      <c r="B929" s="182"/>
      <c r="C929" s="182"/>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82"/>
      <c r="Z929" s="182"/>
    </row>
    <row r="930" spans="1:26">
      <c r="A930" s="182"/>
      <c r="B930" s="182"/>
      <c r="C930" s="182"/>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82"/>
      <c r="Z930" s="182"/>
    </row>
    <row r="931" spans="1:26">
      <c r="A931" s="182"/>
      <c r="B931" s="182"/>
      <c r="C931" s="182"/>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82"/>
      <c r="Z931" s="182"/>
    </row>
    <row r="932" spans="1:26">
      <c r="A932" s="182"/>
      <c r="B932" s="182"/>
      <c r="C932" s="182"/>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82"/>
      <c r="Z932" s="182"/>
    </row>
  </sheetData>
  <autoFilter ref="A1:T11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4.44140625" defaultRowHeight="1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956"/>
  <sheetViews>
    <sheetView workbookViewId="0"/>
  </sheetViews>
  <sheetFormatPr defaultColWidth="14.44140625" defaultRowHeight="15" customHeight="1"/>
  <cols>
    <col min="1" max="1" width="16.44140625" customWidth="1"/>
    <col min="2" max="2" width="38.33203125" customWidth="1"/>
    <col min="3" max="3" width="9.6640625" customWidth="1"/>
    <col min="4" max="4" width="14" customWidth="1"/>
    <col min="5" max="5" width="10.88671875" customWidth="1"/>
    <col min="6" max="6" width="59.33203125" customWidth="1"/>
    <col min="7" max="7" width="8.5546875" customWidth="1"/>
    <col min="8" max="8" width="9.109375" customWidth="1"/>
    <col min="9" max="9" width="13" customWidth="1"/>
    <col min="10" max="10" width="11.33203125" customWidth="1"/>
    <col min="11" max="11" width="11.6640625" customWidth="1"/>
    <col min="12" max="12" width="10.6640625" customWidth="1"/>
    <col min="13" max="14" width="11.44140625" customWidth="1"/>
    <col min="15" max="15" width="10.44140625" customWidth="1"/>
    <col min="16" max="16" width="9" customWidth="1"/>
    <col min="17" max="17" width="9.6640625" customWidth="1"/>
    <col min="18" max="18" width="8.5546875" customWidth="1"/>
    <col min="19" max="19" width="8" customWidth="1"/>
    <col min="20" max="20" width="8.5546875" customWidth="1"/>
    <col min="21" max="21" width="11.109375" customWidth="1"/>
    <col min="22" max="22" width="7.33203125" customWidth="1"/>
    <col min="23" max="23" width="8.109375" customWidth="1"/>
    <col min="24" max="26" width="8.6640625" customWidth="1"/>
    <col min="27" max="27" width="11.33203125" customWidth="1"/>
    <col min="28" max="30" width="8.6640625" customWidth="1"/>
  </cols>
  <sheetData>
    <row r="1" spans="1:30" ht="28.8">
      <c r="A1" s="216" t="s">
        <v>160</v>
      </c>
      <c r="B1" s="216" t="s">
        <v>964</v>
      </c>
      <c r="C1" s="216" t="s">
        <v>1</v>
      </c>
      <c r="D1" s="216" t="s">
        <v>4</v>
      </c>
      <c r="E1" s="216" t="s">
        <v>161</v>
      </c>
      <c r="F1" s="216" t="s">
        <v>965</v>
      </c>
      <c r="G1" s="217" t="s">
        <v>15</v>
      </c>
      <c r="H1" s="218" t="s">
        <v>174</v>
      </c>
      <c r="I1" s="218" t="s">
        <v>959</v>
      </c>
      <c r="J1" s="218" t="s">
        <v>966</v>
      </c>
      <c r="K1" s="218" t="s">
        <v>967</v>
      </c>
      <c r="L1" s="218" t="s">
        <v>181</v>
      </c>
      <c r="M1" s="218" t="s">
        <v>183</v>
      </c>
      <c r="N1" s="218" t="s">
        <v>930</v>
      </c>
      <c r="O1" s="218" t="s">
        <v>185</v>
      </c>
      <c r="P1" s="218" t="s">
        <v>931</v>
      </c>
      <c r="Q1" s="218" t="s">
        <v>186</v>
      </c>
      <c r="R1" s="219" t="s">
        <v>187</v>
      </c>
      <c r="S1" s="220" t="s">
        <v>188</v>
      </c>
      <c r="T1" s="220" t="s">
        <v>968</v>
      </c>
      <c r="U1" s="221" t="s">
        <v>969</v>
      </c>
      <c r="V1" s="222" t="s">
        <v>970</v>
      </c>
      <c r="W1" s="218" t="s">
        <v>9</v>
      </c>
      <c r="X1" s="223" t="s">
        <v>971</v>
      </c>
      <c r="Y1" s="223" t="s">
        <v>972</v>
      </c>
      <c r="Z1" s="117"/>
      <c r="AA1" s="224" t="s">
        <v>973</v>
      </c>
      <c r="AB1" s="117"/>
      <c r="AC1" s="216"/>
      <c r="AD1" s="117"/>
    </row>
    <row r="2" spans="1:30" ht="14.25" customHeight="1">
      <c r="A2" s="189" t="s">
        <v>974</v>
      </c>
      <c r="B2" s="189" t="s">
        <v>975</v>
      </c>
      <c r="C2" s="44" t="s">
        <v>240</v>
      </c>
      <c r="D2" s="187" t="str">
        <f>VLOOKUP(C2,'Amazon Live Products'!E:F,2,0)</f>
        <v>B0CDPMX152</v>
      </c>
      <c r="E2" s="44" t="s">
        <v>242</v>
      </c>
      <c r="F2" s="44" t="s">
        <v>244</v>
      </c>
      <c r="G2" s="225">
        <f>VLOOKUP(C2,'Amazon Live Products'!E:P,12,0)</f>
        <v>1046.0171955200001</v>
      </c>
      <c r="H2" s="226">
        <f>VLOOKUP(D2,'Amazon Live Products'!F:Q,12,0)</f>
        <v>1234.3002907136001</v>
      </c>
      <c r="I2" s="227"/>
      <c r="J2" s="227">
        <f t="shared" ref="J2:J92" si="0">U2*15%</f>
        <v>276.61500000000001</v>
      </c>
      <c r="K2" s="227">
        <f t="shared" ref="K2:K92" si="1">U2*2%</f>
        <v>36.882000000000005</v>
      </c>
      <c r="L2" s="227">
        <f>U2*8%</f>
        <v>147.52800000000002</v>
      </c>
      <c r="M2" s="227">
        <f t="shared" ref="M2:M92" si="2">U2-(U2/1.18)</f>
        <v>281.30338983050842</v>
      </c>
      <c r="N2" s="227">
        <f t="shared" ref="N2:N92" si="3">U2*3%</f>
        <v>55.323</v>
      </c>
      <c r="O2" s="227">
        <f t="shared" ref="O2:O92" si="4">U2*3%</f>
        <v>55.323</v>
      </c>
      <c r="P2" s="227">
        <f t="shared" ref="P2:P92" si="5">G2+I2+J2+K2+L2+M2+N2+O2</f>
        <v>1898.9915853505088</v>
      </c>
      <c r="Q2" s="227">
        <f t="shared" ref="Q2:Q92" si="6">U2-P2</f>
        <v>-54.891585350508649</v>
      </c>
      <c r="R2" s="228">
        <f t="shared" ref="R2:R92" si="7">Q2/U2</f>
        <v>-2.9766056803052245E-2</v>
      </c>
      <c r="S2" s="229">
        <f>VLOOKUP(C2,'Amazon Live Products'!E:AF,28,0)</f>
        <v>2049</v>
      </c>
      <c r="T2" s="229">
        <f t="shared" ref="T2:T92" si="8">S2*(1-0.1)</f>
        <v>1844.1000000000001</v>
      </c>
      <c r="U2" s="230">
        <f t="shared" ref="U2:U8" si="9">T2</f>
        <v>1844.1000000000001</v>
      </c>
      <c r="V2" s="231">
        <f t="shared" ref="V2:V92" si="10">S2*(1-0.15)</f>
        <v>1741.6499999999999</v>
      </c>
      <c r="W2" s="69">
        <v>4999</v>
      </c>
      <c r="X2" s="232">
        <f t="shared" ref="X2:X92" si="11">$S2*(1-0.13)</f>
        <v>1782.6299999999999</v>
      </c>
      <c r="Y2" s="232">
        <f t="shared" ref="Y2:Y92" si="12">$S2*(1-0.15)</f>
        <v>1741.6499999999999</v>
      </c>
      <c r="Z2" s="117"/>
      <c r="AA2" s="233"/>
      <c r="AB2" s="117"/>
      <c r="AC2" s="233"/>
      <c r="AD2" s="117"/>
    </row>
    <row r="3" spans="1:30" ht="14.25" customHeight="1">
      <c r="A3" s="189" t="s">
        <v>976</v>
      </c>
      <c r="B3" s="189" t="s">
        <v>977</v>
      </c>
      <c r="C3" s="44" t="s">
        <v>246</v>
      </c>
      <c r="D3" s="187" t="str">
        <f>VLOOKUP(C3,'Amazon Live Products'!E:F,2,0)</f>
        <v>B0CDPP45BM</v>
      </c>
      <c r="E3" s="44" t="s">
        <v>248</v>
      </c>
      <c r="F3" s="44" t="s">
        <v>251</v>
      </c>
      <c r="G3" s="225">
        <f>VLOOKUP(C3,'Amazon Live Products'!E:P,12,0)</f>
        <v>1491.5552235294117</v>
      </c>
      <c r="H3" s="226">
        <f>VLOOKUP(D3,'Amazon Live Products'!F:Q,12,0)</f>
        <v>1760.0351637647057</v>
      </c>
      <c r="I3" s="227"/>
      <c r="J3" s="227">
        <f t="shared" si="0"/>
        <v>458.86499999999995</v>
      </c>
      <c r="K3" s="227">
        <f t="shared" si="1"/>
        <v>61.182000000000002</v>
      </c>
      <c r="L3" s="227">
        <f t="shared" ref="L3:L92" si="13">U3*6%</f>
        <v>183.54599999999999</v>
      </c>
      <c r="M3" s="227">
        <f t="shared" si="2"/>
        <v>466.64237288135564</v>
      </c>
      <c r="N3" s="227">
        <f t="shared" si="3"/>
        <v>91.772999999999996</v>
      </c>
      <c r="O3" s="227">
        <f t="shared" si="4"/>
        <v>91.772999999999996</v>
      </c>
      <c r="P3" s="227">
        <f t="shared" si="5"/>
        <v>2845.3365964107675</v>
      </c>
      <c r="Q3" s="227">
        <f t="shared" si="6"/>
        <v>213.76340358923244</v>
      </c>
      <c r="R3" s="228">
        <f t="shared" si="7"/>
        <v>6.9877873750198563E-2</v>
      </c>
      <c r="S3" s="229">
        <f>VLOOKUP(C3,'Amazon Live Products'!E:AF,28,0)</f>
        <v>3399</v>
      </c>
      <c r="T3" s="229">
        <f t="shared" si="8"/>
        <v>3059.1</v>
      </c>
      <c r="U3" s="230">
        <f t="shared" si="9"/>
        <v>3059.1</v>
      </c>
      <c r="V3" s="231">
        <f t="shared" si="10"/>
        <v>2889.15</v>
      </c>
      <c r="W3" s="69">
        <v>9999</v>
      </c>
      <c r="X3" s="232">
        <f t="shared" si="11"/>
        <v>2957.13</v>
      </c>
      <c r="Y3" s="232">
        <f t="shared" si="12"/>
        <v>2889.15</v>
      </c>
      <c r="Z3" s="117"/>
      <c r="AA3" s="233"/>
      <c r="AB3" s="117"/>
      <c r="AC3" s="233"/>
      <c r="AD3" s="117"/>
    </row>
    <row r="4" spans="1:30" ht="14.25" customHeight="1">
      <c r="A4" s="189" t="s">
        <v>934</v>
      </c>
      <c r="B4" s="189" t="s">
        <v>978</v>
      </c>
      <c r="C4" s="44" t="s">
        <v>253</v>
      </c>
      <c r="D4" s="187" t="str">
        <f>VLOOKUP(C4,'Amazon Live Products'!E:F,2,0)</f>
        <v>B0CDQ98FDM</v>
      </c>
      <c r="E4" s="44" t="s">
        <v>255</v>
      </c>
      <c r="F4" s="44" t="s">
        <v>259</v>
      </c>
      <c r="G4" s="225">
        <f>VLOOKUP(C4,'Amazon Live Products'!E:P,12,0)</f>
        <v>343.33742390588236</v>
      </c>
      <c r="H4" s="226">
        <f>VLOOKUP(D4,'Amazon Live Products'!F:Q,12,0)</f>
        <v>405.13816020894114</v>
      </c>
      <c r="I4" s="227"/>
      <c r="J4" s="227">
        <f t="shared" si="0"/>
        <v>94.364999999999995</v>
      </c>
      <c r="K4" s="227">
        <f t="shared" si="1"/>
        <v>12.582000000000001</v>
      </c>
      <c r="L4" s="227">
        <f t="shared" si="13"/>
        <v>37.746000000000002</v>
      </c>
      <c r="M4" s="227">
        <f t="shared" si="2"/>
        <v>95.964406779660976</v>
      </c>
      <c r="N4" s="227">
        <f t="shared" si="3"/>
        <v>18.873000000000001</v>
      </c>
      <c r="O4" s="227">
        <f t="shared" si="4"/>
        <v>18.873000000000001</v>
      </c>
      <c r="P4" s="227">
        <f t="shared" si="5"/>
        <v>621.74083068554341</v>
      </c>
      <c r="Q4" s="227">
        <f t="shared" si="6"/>
        <v>7.3591693144566079</v>
      </c>
      <c r="R4" s="228">
        <f t="shared" si="7"/>
        <v>1.1697932466152611E-2</v>
      </c>
      <c r="S4" s="229">
        <f>VLOOKUP(C4,'Amazon Live Products'!E:AF,28,0)</f>
        <v>699</v>
      </c>
      <c r="T4" s="229">
        <f t="shared" si="8"/>
        <v>629.1</v>
      </c>
      <c r="U4" s="230">
        <f t="shared" si="9"/>
        <v>629.1</v>
      </c>
      <c r="V4" s="231">
        <f t="shared" si="10"/>
        <v>594.15</v>
      </c>
      <c r="W4" s="69">
        <v>1999</v>
      </c>
      <c r="X4" s="232">
        <f t="shared" si="11"/>
        <v>608.13</v>
      </c>
      <c r="Y4" s="232">
        <f t="shared" si="12"/>
        <v>594.15</v>
      </c>
      <c r="Z4" s="234"/>
      <c r="AA4" s="233">
        <v>849</v>
      </c>
      <c r="AB4" s="234"/>
      <c r="AC4" s="233"/>
      <c r="AD4" s="117"/>
    </row>
    <row r="5" spans="1:30" ht="14.25" customHeight="1">
      <c r="A5" s="189" t="s">
        <v>934</v>
      </c>
      <c r="B5" s="189" t="s">
        <v>979</v>
      </c>
      <c r="C5" s="44" t="s">
        <v>262</v>
      </c>
      <c r="D5" s="187" t="str">
        <f>VLOOKUP(C5,'Amazon Live Products'!E:F,2,0)</f>
        <v>B0CDQ55W2M</v>
      </c>
      <c r="E5" s="44" t="s">
        <v>264</v>
      </c>
      <c r="F5" s="44" t="s">
        <v>265</v>
      </c>
      <c r="G5" s="225">
        <f>VLOOKUP(C5,'Amazon Live Products'!E:P,12,0)</f>
        <v>343.33742390588236</v>
      </c>
      <c r="H5" s="226">
        <f>VLOOKUP(D5,'Amazon Live Products'!F:Q,12,0)</f>
        <v>405.13816020894114</v>
      </c>
      <c r="I5" s="227"/>
      <c r="J5" s="227">
        <f t="shared" si="0"/>
        <v>94.364999999999995</v>
      </c>
      <c r="K5" s="227">
        <f t="shared" si="1"/>
        <v>12.582000000000001</v>
      </c>
      <c r="L5" s="227">
        <f t="shared" si="13"/>
        <v>37.746000000000002</v>
      </c>
      <c r="M5" s="227">
        <f t="shared" si="2"/>
        <v>95.964406779660976</v>
      </c>
      <c r="N5" s="227">
        <f t="shared" si="3"/>
        <v>18.873000000000001</v>
      </c>
      <c r="O5" s="227">
        <f t="shared" si="4"/>
        <v>18.873000000000001</v>
      </c>
      <c r="P5" s="227">
        <f t="shared" si="5"/>
        <v>621.74083068554341</v>
      </c>
      <c r="Q5" s="227">
        <f t="shared" si="6"/>
        <v>7.3591693144566079</v>
      </c>
      <c r="R5" s="228">
        <f t="shared" si="7"/>
        <v>1.1697932466152611E-2</v>
      </c>
      <c r="S5" s="229">
        <f>VLOOKUP(C5,'Amazon Live Products'!E:AF,28,0)</f>
        <v>699</v>
      </c>
      <c r="T5" s="229">
        <f t="shared" si="8"/>
        <v>629.1</v>
      </c>
      <c r="U5" s="230">
        <f t="shared" si="9"/>
        <v>629.1</v>
      </c>
      <c r="V5" s="231">
        <f t="shared" si="10"/>
        <v>594.15</v>
      </c>
      <c r="W5" s="69">
        <v>1999</v>
      </c>
      <c r="X5" s="232">
        <f t="shared" si="11"/>
        <v>608.13</v>
      </c>
      <c r="Y5" s="232">
        <f t="shared" si="12"/>
        <v>594.15</v>
      </c>
      <c r="Z5" s="117"/>
      <c r="AA5" s="233">
        <v>849</v>
      </c>
      <c r="AB5" s="117"/>
      <c r="AC5" s="44"/>
      <c r="AD5" s="117"/>
    </row>
    <row r="6" spans="1:30" ht="14.25" customHeight="1">
      <c r="A6" s="189" t="s">
        <v>934</v>
      </c>
      <c r="B6" s="189" t="s">
        <v>980</v>
      </c>
      <c r="C6" s="44" t="s">
        <v>267</v>
      </c>
      <c r="D6" s="187" t="str">
        <f>VLOOKUP(C6,'Amazon Live Products'!E:F,2,0)</f>
        <v>B0CDQ6G4TC</v>
      </c>
      <c r="E6" s="44" t="s">
        <v>269</v>
      </c>
      <c r="F6" s="44" t="s">
        <v>936</v>
      </c>
      <c r="G6" s="225">
        <f>VLOOKUP(C6,'Amazon Live Products'!E:P,12,0)</f>
        <v>343.33742390588236</v>
      </c>
      <c r="H6" s="226">
        <f>VLOOKUP(D6,'Amazon Live Products'!F:Q,12,0)</f>
        <v>405.13816020894114</v>
      </c>
      <c r="I6" s="227"/>
      <c r="J6" s="227">
        <f t="shared" si="0"/>
        <v>94.364999999999995</v>
      </c>
      <c r="K6" s="227">
        <f t="shared" si="1"/>
        <v>12.582000000000001</v>
      </c>
      <c r="L6" s="227">
        <f t="shared" si="13"/>
        <v>37.746000000000002</v>
      </c>
      <c r="M6" s="227">
        <f t="shared" si="2"/>
        <v>95.964406779660976</v>
      </c>
      <c r="N6" s="227">
        <f t="shared" si="3"/>
        <v>18.873000000000001</v>
      </c>
      <c r="O6" s="227">
        <f t="shared" si="4"/>
        <v>18.873000000000001</v>
      </c>
      <c r="P6" s="227">
        <f t="shared" si="5"/>
        <v>621.74083068554341</v>
      </c>
      <c r="Q6" s="227">
        <f t="shared" si="6"/>
        <v>7.3591693144566079</v>
      </c>
      <c r="R6" s="228">
        <f t="shared" si="7"/>
        <v>1.1697932466152611E-2</v>
      </c>
      <c r="S6" s="229">
        <f>VLOOKUP(C6,'Amazon Live Products'!E:AF,28,0)</f>
        <v>699</v>
      </c>
      <c r="T6" s="229">
        <f t="shared" si="8"/>
        <v>629.1</v>
      </c>
      <c r="U6" s="230">
        <f t="shared" si="9"/>
        <v>629.1</v>
      </c>
      <c r="V6" s="231">
        <f t="shared" si="10"/>
        <v>594.15</v>
      </c>
      <c r="W6" s="69">
        <v>1999</v>
      </c>
      <c r="X6" s="232">
        <f t="shared" si="11"/>
        <v>608.13</v>
      </c>
      <c r="Y6" s="232">
        <f t="shared" si="12"/>
        <v>594.15</v>
      </c>
      <c r="Z6" s="117"/>
      <c r="AA6" s="233">
        <v>849</v>
      </c>
      <c r="AB6" s="117"/>
      <c r="AC6" s="44"/>
      <c r="AD6" s="117"/>
    </row>
    <row r="7" spans="1:30" ht="14.25" customHeight="1">
      <c r="A7" s="189" t="s">
        <v>974</v>
      </c>
      <c r="B7" s="189" t="s">
        <v>981</v>
      </c>
      <c r="C7" s="44" t="s">
        <v>311</v>
      </c>
      <c r="D7" s="187" t="str">
        <f>VLOOKUP(C7,'Amazon Live Products'!E:F,2,0)</f>
        <v>B0CW1JJP9S</v>
      </c>
      <c r="E7" s="44" t="s">
        <v>313</v>
      </c>
      <c r="F7" s="44" t="s">
        <v>318</v>
      </c>
      <c r="G7" s="225">
        <f>VLOOKUP(C7,'Amazon Live Products'!E:P,12,0)</f>
        <v>891.00488400000006</v>
      </c>
      <c r="H7" s="226">
        <f>VLOOKUP(D7,'Amazon Live Products'!F:Q,12,0)</f>
        <v>1051.3857631200001</v>
      </c>
      <c r="I7" s="227"/>
      <c r="J7" s="227">
        <f t="shared" si="0"/>
        <v>206.41500000000002</v>
      </c>
      <c r="K7" s="227">
        <f t="shared" si="1"/>
        <v>27.522000000000002</v>
      </c>
      <c r="L7" s="227">
        <f t="shared" si="13"/>
        <v>82.566000000000003</v>
      </c>
      <c r="M7" s="227">
        <f t="shared" si="2"/>
        <v>209.91355932203396</v>
      </c>
      <c r="N7" s="227">
        <f t="shared" si="3"/>
        <v>41.283000000000001</v>
      </c>
      <c r="O7" s="227">
        <f t="shared" si="4"/>
        <v>41.283000000000001</v>
      </c>
      <c r="P7" s="227">
        <f t="shared" si="5"/>
        <v>1499.9874433220339</v>
      </c>
      <c r="Q7" s="227">
        <f t="shared" si="6"/>
        <v>-123.88744332203373</v>
      </c>
      <c r="R7" s="228">
        <f t="shared" si="7"/>
        <v>-9.0027936430516473E-2</v>
      </c>
      <c r="S7" s="229">
        <f>VLOOKUP(C7,'Amazon Live Products'!E:AF,28,0)</f>
        <v>1529</v>
      </c>
      <c r="T7" s="229">
        <f t="shared" si="8"/>
        <v>1376.1000000000001</v>
      </c>
      <c r="U7" s="230">
        <f t="shared" si="9"/>
        <v>1376.1000000000001</v>
      </c>
      <c r="V7" s="231">
        <f t="shared" si="10"/>
        <v>1299.6499999999999</v>
      </c>
      <c r="W7" s="117">
        <v>3599</v>
      </c>
      <c r="X7" s="232">
        <f t="shared" si="11"/>
        <v>1330.23</v>
      </c>
      <c r="Y7" s="232">
        <f t="shared" si="12"/>
        <v>1299.6499999999999</v>
      </c>
      <c r="Z7" s="117"/>
      <c r="AA7" s="233"/>
      <c r="AB7" s="117"/>
      <c r="AC7" s="233"/>
      <c r="AD7" s="117"/>
    </row>
    <row r="8" spans="1:30" ht="14.25" customHeight="1">
      <c r="A8" s="189" t="s">
        <v>974</v>
      </c>
      <c r="B8" s="189" t="s">
        <v>982</v>
      </c>
      <c r="C8" s="44" t="s">
        <v>324</v>
      </c>
      <c r="D8" s="187" t="str">
        <f>VLOOKUP(C8,'Amazon Live Products'!E:F,2,0)</f>
        <v>B0CQX9ZZMH</v>
      </c>
      <c r="E8" s="44" t="s">
        <v>326</v>
      </c>
      <c r="F8" s="44" t="s">
        <v>327</v>
      </c>
      <c r="G8" s="225">
        <f>VLOOKUP(C8,'Amazon Live Products'!E:P,12,0)</f>
        <v>1246.85079552</v>
      </c>
      <c r="H8" s="226">
        <f>VLOOKUP(D8,'Amazon Live Products'!F:Q,12,0)</f>
        <v>1471.2839387136</v>
      </c>
      <c r="I8" s="227"/>
      <c r="J8" s="227">
        <f t="shared" si="0"/>
        <v>296.86500000000001</v>
      </c>
      <c r="K8" s="227">
        <f t="shared" si="1"/>
        <v>39.582000000000001</v>
      </c>
      <c r="L8" s="227">
        <f t="shared" si="13"/>
        <v>118.74600000000001</v>
      </c>
      <c r="M8" s="227">
        <f t="shared" si="2"/>
        <v>301.8966101694914</v>
      </c>
      <c r="N8" s="227">
        <f t="shared" si="3"/>
        <v>59.373000000000005</v>
      </c>
      <c r="O8" s="227">
        <f t="shared" si="4"/>
        <v>59.373000000000005</v>
      </c>
      <c r="P8" s="227">
        <f t="shared" si="5"/>
        <v>2122.6864056894915</v>
      </c>
      <c r="Q8" s="227">
        <f t="shared" si="6"/>
        <v>-143.58640568949136</v>
      </c>
      <c r="R8" s="228">
        <f t="shared" si="7"/>
        <v>-7.2551364604866525E-2</v>
      </c>
      <c r="S8" s="229">
        <f>VLOOKUP(C8,'Amazon Live Products'!E:AF,28,0)</f>
        <v>2199</v>
      </c>
      <c r="T8" s="229">
        <f t="shared" si="8"/>
        <v>1979.1000000000001</v>
      </c>
      <c r="U8" s="230">
        <f t="shared" si="9"/>
        <v>1979.1000000000001</v>
      </c>
      <c r="V8" s="231">
        <f t="shared" si="10"/>
        <v>1869.1499999999999</v>
      </c>
      <c r="W8" s="117">
        <v>5999</v>
      </c>
      <c r="X8" s="232">
        <f t="shared" si="11"/>
        <v>1913.1299999999999</v>
      </c>
      <c r="Y8" s="232">
        <f t="shared" si="12"/>
        <v>1869.1499999999999</v>
      </c>
      <c r="Z8" s="117"/>
      <c r="AA8" s="233"/>
      <c r="AB8" s="117"/>
      <c r="AC8" s="233"/>
      <c r="AD8" s="117"/>
    </row>
    <row r="9" spans="1:30" ht="14.25" customHeight="1">
      <c r="A9" s="189" t="s">
        <v>974</v>
      </c>
      <c r="B9" s="189" t="s">
        <v>983</v>
      </c>
      <c r="C9" s="44" t="s">
        <v>329</v>
      </c>
      <c r="D9" s="187" t="str">
        <f>VLOOKUP(C9,'Amazon Live Products'!E:F,2,0)</f>
        <v>B0CS69T7HF</v>
      </c>
      <c r="E9" s="44" t="s">
        <v>331</v>
      </c>
      <c r="F9" s="44" t="s">
        <v>333</v>
      </c>
      <c r="G9" s="225">
        <f>VLOOKUP(C9,'Amazon Live Products'!E:P,12,0)</f>
        <v>235.44048000000001</v>
      </c>
      <c r="H9" s="226">
        <f>VLOOKUP(D9,'Amazon Live Products'!F:Q,12,0)</f>
        <v>277.81976639999999</v>
      </c>
      <c r="I9" s="227"/>
      <c r="J9" s="227">
        <f t="shared" si="0"/>
        <v>44.85</v>
      </c>
      <c r="K9" s="227">
        <f t="shared" si="1"/>
        <v>5.98</v>
      </c>
      <c r="L9" s="227">
        <f t="shared" si="13"/>
        <v>17.939999999999998</v>
      </c>
      <c r="M9" s="227">
        <f t="shared" si="2"/>
        <v>45.610169491525397</v>
      </c>
      <c r="N9" s="227">
        <f t="shared" si="3"/>
        <v>8.9699999999999989</v>
      </c>
      <c r="O9" s="227">
        <f t="shared" si="4"/>
        <v>8.9699999999999989</v>
      </c>
      <c r="P9" s="227">
        <f t="shared" si="5"/>
        <v>367.76064949152544</v>
      </c>
      <c r="Q9" s="227">
        <f t="shared" si="6"/>
        <v>-68.760649491525442</v>
      </c>
      <c r="R9" s="228">
        <f t="shared" si="7"/>
        <v>-0.22996872739640617</v>
      </c>
      <c r="S9" s="229">
        <f>VLOOKUP(C9,'Amazon Live Products'!E:AF,28,0)</f>
        <v>299</v>
      </c>
      <c r="T9" s="229">
        <f t="shared" si="8"/>
        <v>269.10000000000002</v>
      </c>
      <c r="U9" s="230">
        <v>299</v>
      </c>
      <c r="V9" s="231">
        <f t="shared" si="10"/>
        <v>254.15</v>
      </c>
      <c r="W9" s="117">
        <v>1199</v>
      </c>
      <c r="X9" s="232">
        <f t="shared" si="11"/>
        <v>260.13</v>
      </c>
      <c r="Y9" s="232">
        <f t="shared" si="12"/>
        <v>254.15</v>
      </c>
      <c r="Z9" s="117"/>
      <c r="AA9" s="233"/>
      <c r="AB9" s="117"/>
      <c r="AC9" s="44"/>
      <c r="AD9" s="117"/>
    </row>
    <row r="10" spans="1:30" ht="14.25" customHeight="1">
      <c r="A10" s="189" t="s">
        <v>934</v>
      </c>
      <c r="B10" s="189" t="s">
        <v>984</v>
      </c>
      <c r="C10" s="44" t="s">
        <v>335</v>
      </c>
      <c r="D10" s="187" t="str">
        <f>VLOOKUP(C10,'Amazon Live Products'!E:F,2,0)</f>
        <v>B0CSG2JZ19</v>
      </c>
      <c r="E10" s="44" t="s">
        <v>337</v>
      </c>
      <c r="F10" s="44" t="s">
        <v>338</v>
      </c>
      <c r="G10" s="225">
        <f>VLOOKUP(C10,'Amazon Live Products'!E:P,12,0)</f>
        <v>235.44048000000001</v>
      </c>
      <c r="H10" s="226">
        <f>VLOOKUP(D10,'Amazon Live Products'!F:Q,12,0)</f>
        <v>277.81976639999999</v>
      </c>
      <c r="I10" s="227"/>
      <c r="J10" s="227">
        <f t="shared" si="0"/>
        <v>44.85</v>
      </c>
      <c r="K10" s="227">
        <f t="shared" si="1"/>
        <v>5.98</v>
      </c>
      <c r="L10" s="227">
        <f t="shared" si="13"/>
        <v>17.939999999999998</v>
      </c>
      <c r="M10" s="227">
        <f t="shared" si="2"/>
        <v>45.610169491525397</v>
      </c>
      <c r="N10" s="227">
        <f t="shared" si="3"/>
        <v>8.9699999999999989</v>
      </c>
      <c r="O10" s="227">
        <f t="shared" si="4"/>
        <v>8.9699999999999989</v>
      </c>
      <c r="P10" s="227">
        <f t="shared" si="5"/>
        <v>367.76064949152544</v>
      </c>
      <c r="Q10" s="227">
        <f t="shared" si="6"/>
        <v>-68.760649491525442</v>
      </c>
      <c r="R10" s="228">
        <f t="shared" si="7"/>
        <v>-0.22996872739640617</v>
      </c>
      <c r="S10" s="229">
        <f>VLOOKUP(C10,'Amazon Live Products'!E:AF,28,0)</f>
        <v>299</v>
      </c>
      <c r="T10" s="229">
        <f t="shared" si="8"/>
        <v>269.10000000000002</v>
      </c>
      <c r="U10" s="230">
        <v>299</v>
      </c>
      <c r="V10" s="231">
        <f t="shared" si="10"/>
        <v>254.15</v>
      </c>
      <c r="W10" s="117">
        <v>1199</v>
      </c>
      <c r="X10" s="232">
        <f t="shared" si="11"/>
        <v>260.13</v>
      </c>
      <c r="Y10" s="232">
        <f t="shared" si="12"/>
        <v>254.15</v>
      </c>
      <c r="Z10" s="117"/>
      <c r="AA10" s="233">
        <v>299</v>
      </c>
      <c r="AB10" s="117"/>
      <c r="AC10" s="44"/>
      <c r="AD10" s="117"/>
    </row>
    <row r="11" spans="1:30" ht="14.25" customHeight="1">
      <c r="A11" s="189" t="s">
        <v>974</v>
      </c>
      <c r="B11" s="189" t="s">
        <v>985</v>
      </c>
      <c r="C11" s="44" t="s">
        <v>418</v>
      </c>
      <c r="D11" s="187" t="str">
        <f>VLOOKUP(C11,'Amazon Live Products'!E:F,2,0)</f>
        <v>B0CYSMBCB8</v>
      </c>
      <c r="E11" s="44" t="s">
        <v>420</v>
      </c>
      <c r="F11" s="44" t="s">
        <v>422</v>
      </c>
      <c r="G11" s="225">
        <f>VLOOKUP(C11,'Amazon Live Products'!E:P,12,0)</f>
        <v>1133.3995199999999</v>
      </c>
      <c r="H11" s="226">
        <f>VLOOKUP(D11,'Amazon Live Products'!F:Q,12,0)</f>
        <v>1337.4114335999998</v>
      </c>
      <c r="I11" s="227"/>
      <c r="J11" s="227">
        <f t="shared" si="0"/>
        <v>330.61499999999995</v>
      </c>
      <c r="K11" s="227">
        <f t="shared" si="1"/>
        <v>44.082000000000001</v>
      </c>
      <c r="L11" s="227">
        <f t="shared" si="13"/>
        <v>132.24599999999998</v>
      </c>
      <c r="M11" s="227">
        <f t="shared" si="2"/>
        <v>336.2186440677965</v>
      </c>
      <c r="N11" s="227">
        <f t="shared" si="3"/>
        <v>66.12299999999999</v>
      </c>
      <c r="O11" s="227">
        <f t="shared" si="4"/>
        <v>66.12299999999999</v>
      </c>
      <c r="P11" s="227">
        <f t="shared" si="5"/>
        <v>2108.8071640677967</v>
      </c>
      <c r="Q11" s="227">
        <f t="shared" si="6"/>
        <v>95.292835932203161</v>
      </c>
      <c r="R11" s="228">
        <f t="shared" si="7"/>
        <v>4.3234352312600685E-2</v>
      </c>
      <c r="S11" s="229">
        <f>VLOOKUP(C11,'Amazon Live Products'!E:AF,28,0)</f>
        <v>2449</v>
      </c>
      <c r="T11" s="229">
        <f t="shared" si="8"/>
        <v>2204.1</v>
      </c>
      <c r="U11" s="230">
        <f>T11</f>
        <v>2204.1</v>
      </c>
      <c r="V11" s="231">
        <f t="shared" si="10"/>
        <v>2081.65</v>
      </c>
      <c r="W11" s="117">
        <v>699</v>
      </c>
      <c r="X11" s="232">
        <f t="shared" si="11"/>
        <v>2130.63</v>
      </c>
      <c r="Y11" s="232">
        <f t="shared" si="12"/>
        <v>2081.65</v>
      </c>
      <c r="Z11" s="117"/>
      <c r="AA11" s="233"/>
      <c r="AB11" s="117"/>
      <c r="AC11" s="233"/>
      <c r="AD11" s="117"/>
    </row>
    <row r="12" spans="1:30" ht="14.25" customHeight="1">
      <c r="A12" s="189" t="s">
        <v>934</v>
      </c>
      <c r="B12" s="189" t="s">
        <v>986</v>
      </c>
      <c r="C12" s="44" t="s">
        <v>424</v>
      </c>
      <c r="D12" s="187" t="str">
        <f>VLOOKUP(C12,'Amazon Live Products'!E:F,2,0)</f>
        <v>B0CYSLCRQS</v>
      </c>
      <c r="E12" s="44" t="s">
        <v>426</v>
      </c>
      <c r="F12" s="44" t="s">
        <v>427</v>
      </c>
      <c r="G12" s="225">
        <f>VLOOKUP(C12,'Amazon Live Products'!E:P,12,0)</f>
        <v>936.55584000000022</v>
      </c>
      <c r="H12" s="226">
        <f>VLOOKUP(D12,'Amazon Live Products'!F:Q,12,0)</f>
        <v>1105.1358912000003</v>
      </c>
      <c r="I12" s="227"/>
      <c r="J12" s="227">
        <f t="shared" si="0"/>
        <v>389.84999999999997</v>
      </c>
      <c r="K12" s="227">
        <f t="shared" si="1"/>
        <v>51.980000000000004</v>
      </c>
      <c r="L12" s="227">
        <f t="shared" si="13"/>
        <v>155.94</v>
      </c>
      <c r="M12" s="227">
        <f t="shared" si="2"/>
        <v>396.45762711864381</v>
      </c>
      <c r="N12" s="227">
        <f t="shared" si="3"/>
        <v>77.97</v>
      </c>
      <c r="O12" s="227">
        <f t="shared" si="4"/>
        <v>77.97</v>
      </c>
      <c r="P12" s="227">
        <f t="shared" si="5"/>
        <v>2086.7234671186438</v>
      </c>
      <c r="Q12" s="227">
        <f t="shared" si="6"/>
        <v>512.27653288135616</v>
      </c>
      <c r="R12" s="228">
        <f t="shared" si="7"/>
        <v>0.19710524543338059</v>
      </c>
      <c r="S12" s="229">
        <f>VLOOKUP(C12,'Amazon Live Products'!E:AF,28,0)</f>
        <v>2899</v>
      </c>
      <c r="T12" s="229">
        <f t="shared" si="8"/>
        <v>2609.1</v>
      </c>
      <c r="U12" s="230">
        <v>2599</v>
      </c>
      <c r="V12" s="231">
        <f t="shared" si="10"/>
        <v>2464.15</v>
      </c>
      <c r="W12" s="69">
        <v>6999</v>
      </c>
      <c r="X12" s="232">
        <f t="shared" si="11"/>
        <v>2522.13</v>
      </c>
      <c r="Y12" s="232">
        <f t="shared" si="12"/>
        <v>2464.15</v>
      </c>
      <c r="Z12" s="117"/>
      <c r="AA12" s="233">
        <v>2549</v>
      </c>
      <c r="AB12" s="117"/>
      <c r="AC12" s="233"/>
      <c r="AD12" s="117"/>
    </row>
    <row r="13" spans="1:30" ht="14.25" customHeight="1">
      <c r="A13" s="189" t="s">
        <v>974</v>
      </c>
      <c r="B13" s="189" t="s">
        <v>987</v>
      </c>
      <c r="C13" s="44" t="s">
        <v>434</v>
      </c>
      <c r="D13" s="187" t="str">
        <f>VLOOKUP(C13,'Amazon Live Products'!E:F,2,0)</f>
        <v>B0D2LHNS9B</v>
      </c>
      <c r="E13" s="44" t="s">
        <v>436</v>
      </c>
      <c r="F13" s="44" t="s">
        <v>439</v>
      </c>
      <c r="G13" s="225">
        <f>VLOOKUP(C13,'Amazon Live Products'!E:P,12,0)</f>
        <v>446.35852800000004</v>
      </c>
      <c r="H13" s="226">
        <f>VLOOKUP(D13,'Amazon Live Products'!F:Q,12,0)</f>
        <v>526.70306303999996</v>
      </c>
      <c r="I13" s="227"/>
      <c r="J13" s="227">
        <f t="shared" si="0"/>
        <v>105.16500000000001</v>
      </c>
      <c r="K13" s="227">
        <f t="shared" si="1"/>
        <v>14.022</v>
      </c>
      <c r="L13" s="227">
        <f t="shared" si="13"/>
        <v>42.066000000000003</v>
      </c>
      <c r="M13" s="227">
        <f t="shared" si="2"/>
        <v>106.94745762711864</v>
      </c>
      <c r="N13" s="227">
        <f t="shared" si="3"/>
        <v>21.033000000000001</v>
      </c>
      <c r="O13" s="227">
        <f t="shared" si="4"/>
        <v>21.033000000000001</v>
      </c>
      <c r="P13" s="227">
        <f t="shared" si="5"/>
        <v>756.6249856271188</v>
      </c>
      <c r="Q13" s="227">
        <f t="shared" si="6"/>
        <v>-55.524985627118781</v>
      </c>
      <c r="R13" s="228">
        <f t="shared" si="7"/>
        <v>-7.9196955679815689E-2</v>
      </c>
      <c r="S13" s="229">
        <f>VLOOKUP(C13,'Amazon Live Products'!E:AF,28,0)</f>
        <v>779</v>
      </c>
      <c r="T13" s="229">
        <f t="shared" si="8"/>
        <v>701.1</v>
      </c>
      <c r="U13" s="230">
        <f t="shared" ref="U13:U27" si="14">T13</f>
        <v>701.1</v>
      </c>
      <c r="V13" s="231">
        <f t="shared" si="10"/>
        <v>662.15</v>
      </c>
      <c r="W13" s="69">
        <v>5499</v>
      </c>
      <c r="X13" s="232">
        <f t="shared" si="11"/>
        <v>677.73</v>
      </c>
      <c r="Y13" s="232">
        <f t="shared" si="12"/>
        <v>662.15</v>
      </c>
      <c r="Z13" s="117"/>
      <c r="AA13" s="233"/>
      <c r="AB13" s="117"/>
      <c r="AC13" s="44"/>
      <c r="AD13" s="117"/>
    </row>
    <row r="14" spans="1:30" ht="14.25" customHeight="1">
      <c r="A14" s="189" t="s">
        <v>953</v>
      </c>
      <c r="B14" s="189" t="s">
        <v>988</v>
      </c>
      <c r="C14" s="44" t="s">
        <v>441</v>
      </c>
      <c r="D14" s="187" t="str">
        <f>VLOOKUP(C14,'Amazon Live Products'!E:F,2,0)</f>
        <v>B0D2LGR3GG</v>
      </c>
      <c r="E14" s="44" t="s">
        <v>443</v>
      </c>
      <c r="F14" s="44" t="s">
        <v>445</v>
      </c>
      <c r="G14" s="225">
        <f>VLOOKUP(C14,'Amazon Live Products'!E:P,12,0)</f>
        <v>433.64851200000004</v>
      </c>
      <c r="H14" s="226">
        <f>VLOOKUP(D14,'Amazon Live Products'!F:Q,12,0)</f>
        <v>511.70524416000001</v>
      </c>
      <c r="I14" s="227"/>
      <c r="J14" s="227">
        <f t="shared" si="0"/>
        <v>134.86500000000001</v>
      </c>
      <c r="K14" s="227">
        <f t="shared" si="1"/>
        <v>17.981999999999999</v>
      </c>
      <c r="L14" s="227">
        <f t="shared" si="13"/>
        <v>53.945999999999998</v>
      </c>
      <c r="M14" s="227">
        <f t="shared" si="2"/>
        <v>137.15084745762704</v>
      </c>
      <c r="N14" s="227">
        <f t="shared" si="3"/>
        <v>26.972999999999999</v>
      </c>
      <c r="O14" s="227">
        <f t="shared" si="4"/>
        <v>26.972999999999999</v>
      </c>
      <c r="P14" s="227">
        <f t="shared" si="5"/>
        <v>831.53835945762694</v>
      </c>
      <c r="Q14" s="227">
        <f t="shared" si="6"/>
        <v>67.561640542373084</v>
      </c>
      <c r="R14" s="228">
        <f t="shared" si="7"/>
        <v>7.5143633124650291E-2</v>
      </c>
      <c r="S14" s="229">
        <f>VLOOKUP(C14,'Amazon Live Products'!E:AF,28,0)</f>
        <v>999</v>
      </c>
      <c r="T14" s="229">
        <f t="shared" si="8"/>
        <v>899.1</v>
      </c>
      <c r="U14" s="230">
        <f t="shared" si="14"/>
        <v>899.1</v>
      </c>
      <c r="V14" s="231">
        <f t="shared" si="10"/>
        <v>849.15</v>
      </c>
      <c r="W14" s="69">
        <v>1999</v>
      </c>
      <c r="X14" s="232">
        <f t="shared" si="11"/>
        <v>869.13</v>
      </c>
      <c r="Y14" s="232">
        <f t="shared" si="12"/>
        <v>849.15</v>
      </c>
      <c r="Z14" s="117"/>
      <c r="AA14" s="233"/>
      <c r="AB14" s="117"/>
      <c r="AC14" s="44"/>
      <c r="AD14" s="117"/>
    </row>
    <row r="15" spans="1:30" ht="14.25" customHeight="1">
      <c r="A15" s="189" t="s">
        <v>934</v>
      </c>
      <c r="B15" s="189" t="s">
        <v>989</v>
      </c>
      <c r="C15" s="44" t="s">
        <v>448</v>
      </c>
      <c r="D15" s="187" t="str">
        <f>VLOOKUP(C15,'Amazon Live Products'!E:F,2,0)</f>
        <v>B0D2LD6BYJ</v>
      </c>
      <c r="E15" s="44" t="s">
        <v>450</v>
      </c>
      <c r="F15" s="44" t="s">
        <v>451</v>
      </c>
      <c r="G15" s="225">
        <f>VLOOKUP(C15,'Amazon Live Products'!E:P,12,0)</f>
        <v>509.20848000000007</v>
      </c>
      <c r="H15" s="226">
        <f>VLOOKUP(D15,'Amazon Live Products'!F:Q,12,0)</f>
        <v>600.86600640000006</v>
      </c>
      <c r="I15" s="227"/>
      <c r="J15" s="227">
        <f t="shared" si="0"/>
        <v>148.36500000000001</v>
      </c>
      <c r="K15" s="227">
        <f t="shared" si="1"/>
        <v>19.782</v>
      </c>
      <c r="L15" s="227">
        <f t="shared" si="13"/>
        <v>59.345999999999997</v>
      </c>
      <c r="M15" s="227">
        <f t="shared" si="2"/>
        <v>150.87966101694906</v>
      </c>
      <c r="N15" s="227">
        <f t="shared" si="3"/>
        <v>29.672999999999998</v>
      </c>
      <c r="O15" s="227">
        <f t="shared" si="4"/>
        <v>29.672999999999998</v>
      </c>
      <c r="P15" s="227">
        <f t="shared" si="5"/>
        <v>946.92714101694912</v>
      </c>
      <c r="Q15" s="227">
        <f t="shared" si="6"/>
        <v>42.172858983050901</v>
      </c>
      <c r="R15" s="228">
        <f t="shared" si="7"/>
        <v>4.2637608920281976E-2</v>
      </c>
      <c r="S15" s="229">
        <f>VLOOKUP(C15,'Amazon Live Products'!E:AF,28,0)</f>
        <v>1099</v>
      </c>
      <c r="T15" s="229">
        <f t="shared" si="8"/>
        <v>989.1</v>
      </c>
      <c r="U15" s="230">
        <f t="shared" si="14"/>
        <v>989.1</v>
      </c>
      <c r="V15" s="231">
        <f t="shared" si="10"/>
        <v>934.15</v>
      </c>
      <c r="W15" s="69">
        <v>1499</v>
      </c>
      <c r="X15" s="232">
        <f t="shared" si="11"/>
        <v>956.13</v>
      </c>
      <c r="Y15" s="232">
        <f t="shared" si="12"/>
        <v>934.15</v>
      </c>
      <c r="Z15" s="117"/>
      <c r="AA15" s="233">
        <v>934</v>
      </c>
      <c r="AB15" s="117"/>
      <c r="AC15" s="44"/>
      <c r="AD15" s="117"/>
    </row>
    <row r="16" spans="1:30" ht="14.25" customHeight="1">
      <c r="A16" s="189" t="s">
        <v>976</v>
      </c>
      <c r="B16" s="189" t="s">
        <v>990</v>
      </c>
      <c r="C16" s="44" t="s">
        <v>454</v>
      </c>
      <c r="D16" s="187" t="str">
        <f>VLOOKUP(C16,'Amazon Live Products'!E:F,2,0)</f>
        <v>B0D383WQPB</v>
      </c>
      <c r="E16" s="44" t="s">
        <v>456</v>
      </c>
      <c r="F16" s="44" t="s">
        <v>457</v>
      </c>
      <c r="G16" s="225">
        <f>VLOOKUP(C16,'Amazon Live Products'!E:P,12,0)</f>
        <v>821.30399999999997</v>
      </c>
      <c r="H16" s="226">
        <f>VLOOKUP(D16,'Amazon Live Products'!F:Q,12,0)</f>
        <v>969.13871999999992</v>
      </c>
      <c r="I16" s="227"/>
      <c r="J16" s="227">
        <f t="shared" si="0"/>
        <v>269.86500000000001</v>
      </c>
      <c r="K16" s="227">
        <f t="shared" si="1"/>
        <v>35.982000000000006</v>
      </c>
      <c r="L16" s="227">
        <f t="shared" si="13"/>
        <v>107.946</v>
      </c>
      <c r="M16" s="227">
        <f t="shared" si="2"/>
        <v>274.43898305084736</v>
      </c>
      <c r="N16" s="227">
        <f t="shared" si="3"/>
        <v>53.972999999999999</v>
      </c>
      <c r="O16" s="227">
        <f t="shared" si="4"/>
        <v>53.972999999999999</v>
      </c>
      <c r="P16" s="227">
        <f t="shared" si="5"/>
        <v>1617.481983050847</v>
      </c>
      <c r="Q16" s="227">
        <f t="shared" si="6"/>
        <v>181.61801694915312</v>
      </c>
      <c r="R16" s="228">
        <f t="shared" si="7"/>
        <v>0.10094937299158084</v>
      </c>
      <c r="S16" s="229">
        <f>VLOOKUP(C16,'Amazon Live Products'!E:AF,28,0)</f>
        <v>1999</v>
      </c>
      <c r="T16" s="229">
        <f t="shared" si="8"/>
        <v>1799.1000000000001</v>
      </c>
      <c r="U16" s="230">
        <f t="shared" si="14"/>
        <v>1799.1000000000001</v>
      </c>
      <c r="V16" s="231">
        <f t="shared" si="10"/>
        <v>1699.1499999999999</v>
      </c>
      <c r="W16" s="69">
        <v>1899</v>
      </c>
      <c r="X16" s="232">
        <f t="shared" si="11"/>
        <v>1739.1299999999999</v>
      </c>
      <c r="Y16" s="232">
        <f t="shared" si="12"/>
        <v>1699.1499999999999</v>
      </c>
      <c r="Z16" s="117"/>
      <c r="AA16" s="233"/>
      <c r="AB16" s="117"/>
      <c r="AC16" s="233"/>
      <c r="AD16" s="117"/>
    </row>
    <row r="17" spans="1:30" ht="14.25" customHeight="1">
      <c r="A17" s="189" t="s">
        <v>976</v>
      </c>
      <c r="B17" s="189" t="s">
        <v>991</v>
      </c>
      <c r="C17" s="44" t="s">
        <v>462</v>
      </c>
      <c r="D17" s="187" t="str">
        <f>VLOOKUP(C17,'Amazon Live Products'!E:F,2,0)</f>
        <v>B0D83Q7L8W</v>
      </c>
      <c r="E17" s="44" t="s">
        <v>464</v>
      </c>
      <c r="F17" s="44" t="s">
        <v>466</v>
      </c>
      <c r="G17" s="225">
        <f>VLOOKUP(C17,'Amazon Live Products'!E:P,12,0)</f>
        <v>602.28960000000006</v>
      </c>
      <c r="H17" s="226">
        <f>VLOOKUP(D17,'Amazon Live Products'!F:Q,12,0)</f>
        <v>710.701728</v>
      </c>
      <c r="I17" s="227"/>
      <c r="J17" s="227">
        <f t="shared" si="0"/>
        <v>168.61500000000001</v>
      </c>
      <c r="K17" s="227">
        <f t="shared" si="1"/>
        <v>22.482000000000003</v>
      </c>
      <c r="L17" s="227">
        <f t="shared" si="13"/>
        <v>67.446000000000012</v>
      </c>
      <c r="M17" s="227">
        <f t="shared" si="2"/>
        <v>171.47288135593215</v>
      </c>
      <c r="N17" s="227">
        <f t="shared" si="3"/>
        <v>33.723000000000006</v>
      </c>
      <c r="O17" s="227">
        <f t="shared" si="4"/>
        <v>33.723000000000006</v>
      </c>
      <c r="P17" s="227">
        <f t="shared" si="5"/>
        <v>1099.7514813559321</v>
      </c>
      <c r="Q17" s="227">
        <f t="shared" si="6"/>
        <v>24.348518644068008</v>
      </c>
      <c r="R17" s="228">
        <f t="shared" si="7"/>
        <v>2.166045604845477E-2</v>
      </c>
      <c r="S17" s="229">
        <f>VLOOKUP(C17,'Amazon Live Products'!E:AF,28,0)</f>
        <v>1249</v>
      </c>
      <c r="T17" s="229">
        <f t="shared" si="8"/>
        <v>1124.1000000000001</v>
      </c>
      <c r="U17" s="230">
        <f t="shared" si="14"/>
        <v>1124.1000000000001</v>
      </c>
      <c r="V17" s="231">
        <f t="shared" si="10"/>
        <v>1061.6499999999999</v>
      </c>
      <c r="W17" s="69">
        <v>3999</v>
      </c>
      <c r="X17" s="232">
        <f t="shared" si="11"/>
        <v>1086.6299999999999</v>
      </c>
      <c r="Y17" s="232">
        <f t="shared" si="12"/>
        <v>1061.6499999999999</v>
      </c>
      <c r="Z17" s="117"/>
      <c r="AA17" s="233"/>
      <c r="AB17" s="117"/>
      <c r="AC17" s="233"/>
      <c r="AD17" s="117"/>
    </row>
    <row r="18" spans="1:30" ht="14.25" customHeight="1">
      <c r="A18" s="189" t="s">
        <v>934</v>
      </c>
      <c r="B18" s="189" t="s">
        <v>992</v>
      </c>
      <c r="C18" s="44" t="s">
        <v>468</v>
      </c>
      <c r="D18" s="187" t="str">
        <f>VLOOKUP(C18,'Amazon Live Products'!E:F,2,0)</f>
        <v>B0DQ8W1RBV</v>
      </c>
      <c r="E18" s="44" t="s">
        <v>993</v>
      </c>
      <c r="F18" s="44" t="s">
        <v>466</v>
      </c>
      <c r="G18" s="225">
        <f>VLOOKUP(C18,'Amazon Live Products'!E:P,12,0)</f>
        <v>547.53599999999994</v>
      </c>
      <c r="H18" s="226">
        <f>VLOOKUP(D18,'Amazon Live Products'!F:Q,12,0)</f>
        <v>646.09247999999991</v>
      </c>
      <c r="I18" s="227"/>
      <c r="J18" s="227">
        <f t="shared" si="0"/>
        <v>202.36500000000001</v>
      </c>
      <c r="K18" s="227">
        <f t="shared" si="1"/>
        <v>26.982000000000003</v>
      </c>
      <c r="L18" s="227">
        <f t="shared" si="13"/>
        <v>80.946000000000012</v>
      </c>
      <c r="M18" s="227">
        <f t="shared" si="2"/>
        <v>205.79491525423714</v>
      </c>
      <c r="N18" s="227">
        <f t="shared" si="3"/>
        <v>40.473000000000006</v>
      </c>
      <c r="O18" s="227">
        <f t="shared" si="4"/>
        <v>40.473000000000006</v>
      </c>
      <c r="P18" s="227">
        <f t="shared" si="5"/>
        <v>1144.569915254237</v>
      </c>
      <c r="Q18" s="227">
        <f t="shared" si="6"/>
        <v>204.53008474576313</v>
      </c>
      <c r="R18" s="228">
        <f t="shared" si="7"/>
        <v>0.1516048363692559</v>
      </c>
      <c r="S18" s="229">
        <f>VLOOKUP(C18,'Amazon Live Products'!E:AF,28,0)</f>
        <v>1499</v>
      </c>
      <c r="T18" s="229">
        <f t="shared" si="8"/>
        <v>1349.1000000000001</v>
      </c>
      <c r="U18" s="230">
        <f t="shared" si="14"/>
        <v>1349.1000000000001</v>
      </c>
      <c r="V18" s="231">
        <f t="shared" si="10"/>
        <v>1274.1499999999999</v>
      </c>
      <c r="W18" s="69">
        <v>3499</v>
      </c>
      <c r="X18" s="232">
        <f t="shared" si="11"/>
        <v>1304.1299999999999</v>
      </c>
      <c r="Y18" s="232">
        <f t="shared" si="12"/>
        <v>1274.1499999999999</v>
      </c>
      <c r="Z18" s="117"/>
      <c r="AA18" s="233">
        <v>1359</v>
      </c>
      <c r="AB18" s="117"/>
      <c r="AC18" s="233"/>
      <c r="AD18" s="117"/>
    </row>
    <row r="19" spans="1:30" ht="14.25" customHeight="1">
      <c r="A19" s="189" t="s">
        <v>934</v>
      </c>
      <c r="B19" s="189" t="s">
        <v>994</v>
      </c>
      <c r="C19" s="44" t="s">
        <v>485</v>
      </c>
      <c r="D19" s="187" t="str">
        <f>VLOOKUP(C19,'Amazon Live Products'!E:F,2,0)</f>
        <v>B0D2LFMY48</v>
      </c>
      <c r="E19" s="44" t="s">
        <v>473</v>
      </c>
      <c r="F19" s="44" t="s">
        <v>474</v>
      </c>
      <c r="G19" s="225">
        <f>VLOOKUP(C19,'Amazon Live Products'!E:P,12,0)</f>
        <v>314.285664</v>
      </c>
      <c r="H19" s="226">
        <f>VLOOKUP(D19,'Amazon Live Products'!F:Q,12,0)</f>
        <v>370.85708352</v>
      </c>
      <c r="I19" s="227"/>
      <c r="J19" s="227">
        <f t="shared" si="0"/>
        <v>107.86499999999999</v>
      </c>
      <c r="K19" s="227">
        <f t="shared" si="1"/>
        <v>14.382000000000001</v>
      </c>
      <c r="L19" s="227">
        <f t="shared" si="13"/>
        <v>43.146000000000001</v>
      </c>
      <c r="M19" s="227">
        <f t="shared" si="2"/>
        <v>109.693220338983</v>
      </c>
      <c r="N19" s="227">
        <f t="shared" si="3"/>
        <v>21.573</v>
      </c>
      <c r="O19" s="227">
        <f t="shared" si="4"/>
        <v>21.573</v>
      </c>
      <c r="P19" s="227">
        <f t="shared" si="5"/>
        <v>632.51788433898298</v>
      </c>
      <c r="Q19" s="227">
        <f t="shared" si="6"/>
        <v>86.582115661017042</v>
      </c>
      <c r="R19" s="228">
        <f t="shared" si="7"/>
        <v>0.12040344272148107</v>
      </c>
      <c r="S19" s="229">
        <f>VLOOKUP(C19,'Amazon Live Products'!E:AF,28,0)</f>
        <v>799</v>
      </c>
      <c r="T19" s="229">
        <f t="shared" si="8"/>
        <v>719.1</v>
      </c>
      <c r="U19" s="230">
        <f t="shared" si="14"/>
        <v>719.1</v>
      </c>
      <c r="V19" s="231">
        <f t="shared" si="10"/>
        <v>679.15</v>
      </c>
      <c r="W19" s="69">
        <v>3499</v>
      </c>
      <c r="X19" s="232">
        <f t="shared" si="11"/>
        <v>695.13</v>
      </c>
      <c r="Y19" s="232">
        <f t="shared" si="12"/>
        <v>679.15</v>
      </c>
      <c r="Z19" s="117"/>
      <c r="AA19" s="233">
        <v>594</v>
      </c>
      <c r="AB19" s="117"/>
      <c r="AC19" s="44"/>
      <c r="AD19" s="117"/>
    </row>
    <row r="20" spans="1:30" ht="14.25" customHeight="1">
      <c r="A20" s="189" t="s">
        <v>934</v>
      </c>
      <c r="B20" s="189" t="s">
        <v>995</v>
      </c>
      <c r="C20" s="44" t="s">
        <v>488</v>
      </c>
      <c r="D20" s="187" t="str">
        <f>VLOOKUP(C20,'Amazon Live Products'!E:F,2,0)</f>
        <v>B0D2LKB4BJ</v>
      </c>
      <c r="E20" s="44" t="s">
        <v>477</v>
      </c>
      <c r="F20" s="44" t="s">
        <v>478</v>
      </c>
      <c r="G20" s="225">
        <f>VLOOKUP(C20,'Amazon Live Products'!E:P,12,0)</f>
        <v>324.14131200000003</v>
      </c>
      <c r="H20" s="226">
        <f>VLOOKUP(D20,'Amazon Live Products'!F:Q,12,0)</f>
        <v>382.48674815999999</v>
      </c>
      <c r="I20" s="227"/>
      <c r="J20" s="227">
        <f t="shared" si="0"/>
        <v>114.61499999999999</v>
      </c>
      <c r="K20" s="227">
        <f t="shared" si="1"/>
        <v>15.282</v>
      </c>
      <c r="L20" s="227">
        <f t="shared" si="13"/>
        <v>45.845999999999997</v>
      </c>
      <c r="M20" s="227">
        <f t="shared" si="2"/>
        <v>116.55762711864406</v>
      </c>
      <c r="N20" s="227">
        <f t="shared" si="3"/>
        <v>22.922999999999998</v>
      </c>
      <c r="O20" s="227">
        <f t="shared" si="4"/>
        <v>22.922999999999998</v>
      </c>
      <c r="P20" s="227">
        <f t="shared" si="5"/>
        <v>662.28793911864409</v>
      </c>
      <c r="Q20" s="227">
        <f t="shared" si="6"/>
        <v>101.81206088135593</v>
      </c>
      <c r="R20" s="228">
        <f t="shared" si="7"/>
        <v>0.13324441942331622</v>
      </c>
      <c r="S20" s="229">
        <f>VLOOKUP(C20,'Amazon Live Products'!E:AF,28,0)</f>
        <v>849</v>
      </c>
      <c r="T20" s="229">
        <f t="shared" si="8"/>
        <v>764.1</v>
      </c>
      <c r="U20" s="230">
        <f t="shared" si="14"/>
        <v>764.1</v>
      </c>
      <c r="V20" s="231">
        <f t="shared" si="10"/>
        <v>721.65</v>
      </c>
      <c r="W20" s="69">
        <v>1299</v>
      </c>
      <c r="X20" s="232">
        <f t="shared" si="11"/>
        <v>738.63</v>
      </c>
      <c r="Y20" s="232">
        <f t="shared" si="12"/>
        <v>721.65</v>
      </c>
      <c r="Z20" s="117"/>
      <c r="AA20" s="233">
        <v>552</v>
      </c>
      <c r="AB20" s="117"/>
      <c r="AC20" s="44"/>
      <c r="AD20" s="117"/>
    </row>
    <row r="21" spans="1:30" ht="14.25" customHeight="1">
      <c r="A21" s="189" t="s">
        <v>974</v>
      </c>
      <c r="B21" s="189" t="s">
        <v>996</v>
      </c>
      <c r="C21" s="44" t="s">
        <v>491</v>
      </c>
      <c r="D21" s="187" t="str">
        <f>VLOOKUP(C21,'Amazon Live Products'!E:F,2,0)</f>
        <v>B0D2LJSQXZ</v>
      </c>
      <c r="E21" s="44" t="s">
        <v>493</v>
      </c>
      <c r="F21" s="44" t="s">
        <v>494</v>
      </c>
      <c r="G21" s="225">
        <f>VLOOKUP(C21,'Amazon Live Products'!E:P,12,0)</f>
        <v>1916.3760000000002</v>
      </c>
      <c r="H21" s="226">
        <f>VLOOKUP(D21,'Amazon Live Products'!F:Q,12,0)</f>
        <v>2261.32368</v>
      </c>
      <c r="I21" s="227"/>
      <c r="J21" s="227">
        <f t="shared" si="0"/>
        <v>512.86500000000001</v>
      </c>
      <c r="K21" s="227">
        <f t="shared" si="1"/>
        <v>68.382000000000005</v>
      </c>
      <c r="L21" s="227">
        <f t="shared" si="13"/>
        <v>205.14599999999999</v>
      </c>
      <c r="M21" s="227">
        <f t="shared" si="2"/>
        <v>521.55762711864372</v>
      </c>
      <c r="N21" s="227">
        <f t="shared" si="3"/>
        <v>102.57299999999999</v>
      </c>
      <c r="O21" s="227">
        <f t="shared" si="4"/>
        <v>102.57299999999999</v>
      </c>
      <c r="P21" s="227">
        <f t="shared" si="5"/>
        <v>3429.4726271186437</v>
      </c>
      <c r="Q21" s="227">
        <f t="shared" si="6"/>
        <v>-10.372627118643777</v>
      </c>
      <c r="R21" s="228">
        <f t="shared" si="7"/>
        <v>-3.0337302561035881E-3</v>
      </c>
      <c r="S21" s="229">
        <f>VLOOKUP(C21,'Amazon Live Products'!E:AF,28,0)</f>
        <v>3799</v>
      </c>
      <c r="T21" s="229">
        <f t="shared" si="8"/>
        <v>3419.1</v>
      </c>
      <c r="U21" s="230">
        <f t="shared" si="14"/>
        <v>3419.1</v>
      </c>
      <c r="V21" s="231">
        <f t="shared" si="10"/>
        <v>3229.15</v>
      </c>
      <c r="W21" s="69">
        <v>1499</v>
      </c>
      <c r="X21" s="232">
        <f t="shared" si="11"/>
        <v>3305.13</v>
      </c>
      <c r="Y21" s="232">
        <f t="shared" si="12"/>
        <v>3229.15</v>
      </c>
      <c r="Z21" s="117"/>
      <c r="AA21" s="233"/>
      <c r="AB21" s="117"/>
      <c r="AC21" s="233"/>
      <c r="AD21" s="117"/>
    </row>
    <row r="22" spans="1:30" ht="14.25" customHeight="1">
      <c r="A22" s="189" t="s">
        <v>974</v>
      </c>
      <c r="B22" s="189" t="s">
        <v>997</v>
      </c>
      <c r="C22" s="44" t="s">
        <v>496</v>
      </c>
      <c r="D22" s="187" t="str">
        <f>VLOOKUP(C22,'Amazon Live Products'!E:F,2,0)</f>
        <v>B0D672NXC8</v>
      </c>
      <c r="E22" s="44" t="s">
        <v>498</v>
      </c>
      <c r="F22" s="44" t="s">
        <v>499</v>
      </c>
      <c r="G22" s="225">
        <f>VLOOKUP(C22,'Amazon Live Products'!E:P,12,0)</f>
        <v>3230.4624000000003</v>
      </c>
      <c r="H22" s="226">
        <f>VLOOKUP(D22,'Amazon Live Products'!F:Q,12,0)</f>
        <v>3811.9456320000004</v>
      </c>
      <c r="I22" s="227"/>
      <c r="J22" s="227">
        <f t="shared" si="0"/>
        <v>944.86500000000001</v>
      </c>
      <c r="K22" s="227">
        <f t="shared" si="1"/>
        <v>125.98200000000001</v>
      </c>
      <c r="L22" s="227">
        <f t="shared" si="13"/>
        <v>377.94600000000003</v>
      </c>
      <c r="M22" s="227">
        <f t="shared" si="2"/>
        <v>960.87966101694929</v>
      </c>
      <c r="N22" s="227">
        <f t="shared" si="3"/>
        <v>188.97300000000001</v>
      </c>
      <c r="O22" s="227">
        <f t="shared" si="4"/>
        <v>188.97300000000001</v>
      </c>
      <c r="P22" s="227">
        <f t="shared" si="5"/>
        <v>6018.0810610169492</v>
      </c>
      <c r="Q22" s="227">
        <f t="shared" si="6"/>
        <v>281.01893898305116</v>
      </c>
      <c r="R22" s="228">
        <f t="shared" si="7"/>
        <v>4.4612554012962352E-2</v>
      </c>
      <c r="S22" s="229">
        <f>VLOOKUP(C22,'Amazon Live Products'!E:AF,28,0)</f>
        <v>6999</v>
      </c>
      <c r="T22" s="229">
        <f t="shared" si="8"/>
        <v>6299.1</v>
      </c>
      <c r="U22" s="230">
        <f t="shared" si="14"/>
        <v>6299.1</v>
      </c>
      <c r="V22" s="231">
        <f t="shared" si="10"/>
        <v>5949.15</v>
      </c>
      <c r="W22" s="69">
        <v>8999</v>
      </c>
      <c r="X22" s="232">
        <f t="shared" si="11"/>
        <v>6089.13</v>
      </c>
      <c r="Y22" s="232">
        <f t="shared" si="12"/>
        <v>5949.15</v>
      </c>
      <c r="Z22" s="117"/>
      <c r="AA22" s="233"/>
      <c r="AB22" s="117"/>
      <c r="AC22" s="233"/>
      <c r="AD22" s="117"/>
    </row>
    <row r="23" spans="1:30" ht="14.25" customHeight="1">
      <c r="A23" s="189" t="s">
        <v>934</v>
      </c>
      <c r="B23" s="189" t="s">
        <v>998</v>
      </c>
      <c r="C23" s="44" t="s">
        <v>500</v>
      </c>
      <c r="D23" s="187" t="str">
        <f>VLOOKUP(C23,'Amazon Live Products'!E:F,2,0)</f>
        <v>B0D8445KJN</v>
      </c>
      <c r="E23" s="44" t="s">
        <v>459</v>
      </c>
      <c r="F23" s="44" t="s">
        <v>503</v>
      </c>
      <c r="G23" s="225">
        <f>VLOOKUP(C23,'Amazon Live Products'!E:P,12,0)</f>
        <v>372.32447999999999</v>
      </c>
      <c r="H23" s="226">
        <f>VLOOKUP(D23,'Amazon Live Products'!F:Q,12,0)</f>
        <v>439.3428864</v>
      </c>
      <c r="I23" s="227"/>
      <c r="J23" s="227">
        <f t="shared" si="0"/>
        <v>134.86500000000001</v>
      </c>
      <c r="K23" s="227">
        <f t="shared" si="1"/>
        <v>17.981999999999999</v>
      </c>
      <c r="L23" s="227">
        <f t="shared" si="13"/>
        <v>53.945999999999998</v>
      </c>
      <c r="M23" s="227">
        <f t="shared" si="2"/>
        <v>137.15084745762704</v>
      </c>
      <c r="N23" s="227">
        <f t="shared" si="3"/>
        <v>26.972999999999999</v>
      </c>
      <c r="O23" s="227">
        <f t="shared" si="4"/>
        <v>26.972999999999999</v>
      </c>
      <c r="P23" s="227">
        <f t="shared" si="5"/>
        <v>770.21432745762695</v>
      </c>
      <c r="Q23" s="227">
        <f t="shared" si="6"/>
        <v>128.88567254237307</v>
      </c>
      <c r="R23" s="228">
        <f t="shared" si="7"/>
        <v>0.1433496524773363</v>
      </c>
      <c r="S23" s="229">
        <f>VLOOKUP(C23,'Amazon Live Products'!E:AF,28,0)</f>
        <v>999</v>
      </c>
      <c r="T23" s="229">
        <f t="shared" si="8"/>
        <v>899.1</v>
      </c>
      <c r="U23" s="230">
        <f t="shared" si="14"/>
        <v>899.1</v>
      </c>
      <c r="V23" s="231">
        <f t="shared" si="10"/>
        <v>849.15</v>
      </c>
      <c r="W23" s="69">
        <v>11999</v>
      </c>
      <c r="X23" s="232">
        <f t="shared" si="11"/>
        <v>869.13</v>
      </c>
      <c r="Y23" s="232">
        <f t="shared" si="12"/>
        <v>849.15</v>
      </c>
      <c r="Z23" s="117"/>
      <c r="AA23" s="233">
        <v>849</v>
      </c>
      <c r="AB23" s="117"/>
      <c r="AC23" s="44"/>
      <c r="AD23" s="117"/>
    </row>
    <row r="24" spans="1:30" ht="14.25" customHeight="1">
      <c r="A24" s="189" t="s">
        <v>976</v>
      </c>
      <c r="B24" s="189" t="s">
        <v>999</v>
      </c>
      <c r="C24" s="44" t="s">
        <v>504</v>
      </c>
      <c r="D24" s="187" t="str">
        <f>VLOOKUP(C24,'Amazon Live Products'!E:F,2,0)</f>
        <v>B0D845B2DG</v>
      </c>
      <c r="E24" s="44" t="s">
        <v>506</v>
      </c>
      <c r="F24" s="44" t="s">
        <v>939</v>
      </c>
      <c r="G24" s="225">
        <f>VLOOKUP(C24,'Amazon Live Products'!E:P,12,0)</f>
        <v>744.64895999999999</v>
      </c>
      <c r="H24" s="226">
        <f>VLOOKUP(D24,'Amazon Live Products'!F:Q,12,0)</f>
        <v>878.6857728</v>
      </c>
      <c r="I24" s="227"/>
      <c r="J24" s="227">
        <f t="shared" si="0"/>
        <v>202.36500000000001</v>
      </c>
      <c r="K24" s="227">
        <f t="shared" si="1"/>
        <v>26.982000000000003</v>
      </c>
      <c r="L24" s="227">
        <f t="shared" si="13"/>
        <v>80.946000000000012</v>
      </c>
      <c r="M24" s="227">
        <f t="shared" si="2"/>
        <v>205.79491525423714</v>
      </c>
      <c r="N24" s="227">
        <f t="shared" si="3"/>
        <v>40.473000000000006</v>
      </c>
      <c r="O24" s="227">
        <f t="shared" si="4"/>
        <v>40.473000000000006</v>
      </c>
      <c r="P24" s="227">
        <f t="shared" si="5"/>
        <v>1341.6828752542369</v>
      </c>
      <c r="Q24" s="227">
        <f t="shared" si="6"/>
        <v>7.4171247457632035</v>
      </c>
      <c r="R24" s="228">
        <f t="shared" si="7"/>
        <v>5.4978316994760976E-3</v>
      </c>
      <c r="S24" s="229">
        <f>VLOOKUP(C24,'Amazon Live Products'!E:AF,28,0)</f>
        <v>1499</v>
      </c>
      <c r="T24" s="229">
        <f t="shared" si="8"/>
        <v>1349.1000000000001</v>
      </c>
      <c r="U24" s="230">
        <f t="shared" si="14"/>
        <v>1349.1000000000001</v>
      </c>
      <c r="V24" s="231">
        <f t="shared" si="10"/>
        <v>1274.1499999999999</v>
      </c>
      <c r="W24" s="69">
        <v>1499</v>
      </c>
      <c r="X24" s="232">
        <f t="shared" si="11"/>
        <v>1304.1299999999999</v>
      </c>
      <c r="Y24" s="232">
        <f t="shared" si="12"/>
        <v>1274.1499999999999</v>
      </c>
      <c r="Z24" s="117"/>
      <c r="AA24" s="233"/>
      <c r="AB24" s="117"/>
      <c r="AC24" s="233"/>
      <c r="AD24" s="117"/>
    </row>
    <row r="25" spans="1:30" ht="14.25" customHeight="1">
      <c r="A25" s="189" t="s">
        <v>934</v>
      </c>
      <c r="B25" s="189" t="s">
        <v>1000</v>
      </c>
      <c r="C25" s="44" t="s">
        <v>508</v>
      </c>
      <c r="D25" s="187" t="str">
        <f>VLOOKUP(C25,'Amazon Live Products'!E:F,2,0)</f>
        <v>B0D86ZC9YT</v>
      </c>
      <c r="E25" s="44" t="s">
        <v>481</v>
      </c>
      <c r="F25" s="44" t="s">
        <v>482</v>
      </c>
      <c r="G25" s="225">
        <f>VLOOKUP(C25,'Amazon Live Products'!E:P,12,0)</f>
        <v>640.61712</v>
      </c>
      <c r="H25" s="226">
        <f>VLOOKUP(D25,'Amazon Live Products'!F:Q,12,0)</f>
        <v>755.92820159999997</v>
      </c>
      <c r="I25" s="227"/>
      <c r="J25" s="227">
        <f t="shared" si="0"/>
        <v>167.80500000000001</v>
      </c>
      <c r="K25" s="227">
        <f t="shared" si="1"/>
        <v>22.374000000000002</v>
      </c>
      <c r="L25" s="227">
        <f t="shared" si="13"/>
        <v>67.122</v>
      </c>
      <c r="M25" s="227">
        <f t="shared" si="2"/>
        <v>170.6491525423728</v>
      </c>
      <c r="N25" s="227">
        <f t="shared" si="3"/>
        <v>33.561</v>
      </c>
      <c r="O25" s="227">
        <f t="shared" si="4"/>
        <v>33.561</v>
      </c>
      <c r="P25" s="227">
        <f t="shared" si="5"/>
        <v>1135.6892725423727</v>
      </c>
      <c r="Q25" s="227">
        <f t="shared" si="6"/>
        <v>-16.989272542372646</v>
      </c>
      <c r="R25" s="228">
        <f t="shared" si="7"/>
        <v>-1.518662066896634E-2</v>
      </c>
      <c r="S25" s="229">
        <f>VLOOKUP(C25,'Amazon Live Products'!E:AF,28,0)</f>
        <v>1243</v>
      </c>
      <c r="T25" s="229">
        <f t="shared" si="8"/>
        <v>1118.7</v>
      </c>
      <c r="U25" s="230">
        <f t="shared" si="14"/>
        <v>1118.7</v>
      </c>
      <c r="V25" s="231">
        <f t="shared" si="10"/>
        <v>1056.55</v>
      </c>
      <c r="W25" s="69">
        <v>2999</v>
      </c>
      <c r="X25" s="232">
        <f t="shared" si="11"/>
        <v>1081.4100000000001</v>
      </c>
      <c r="Y25" s="232">
        <f t="shared" si="12"/>
        <v>1056.55</v>
      </c>
      <c r="Z25" s="117"/>
      <c r="AA25" s="233">
        <v>849</v>
      </c>
      <c r="AB25" s="117"/>
      <c r="AC25" s="233"/>
      <c r="AD25" s="117"/>
    </row>
    <row r="26" spans="1:30" ht="14.25" customHeight="1">
      <c r="A26" s="189" t="s">
        <v>1001</v>
      </c>
      <c r="B26" s="189" t="s">
        <v>1002</v>
      </c>
      <c r="C26" s="44" t="s">
        <v>512</v>
      </c>
      <c r="D26" s="187" t="str">
        <f>VLOOKUP(C26,'Amazon Live Products'!E:F,2,0)</f>
        <v>B0D63FKYZ5</v>
      </c>
      <c r="E26" s="44" t="s">
        <v>514</v>
      </c>
      <c r="F26" s="44" t="s">
        <v>516</v>
      </c>
      <c r="G26" s="225">
        <f>VLOOKUP(C26,'Amazon Live Products'!E:P,12,0)</f>
        <v>448.35120000000001</v>
      </c>
      <c r="H26" s="226">
        <f>VLOOKUP(D26,'Amazon Live Products'!F:Q,12,0)</f>
        <v>529.05441599999995</v>
      </c>
      <c r="I26" s="227"/>
      <c r="J26" s="227">
        <f t="shared" si="0"/>
        <v>126.765</v>
      </c>
      <c r="K26" s="227">
        <f t="shared" si="1"/>
        <v>16.902000000000001</v>
      </c>
      <c r="L26" s="227">
        <f t="shared" si="13"/>
        <v>50.705999999999996</v>
      </c>
      <c r="M26" s="227">
        <f t="shared" si="2"/>
        <v>128.91355932203385</v>
      </c>
      <c r="N26" s="227">
        <f t="shared" si="3"/>
        <v>25.352999999999998</v>
      </c>
      <c r="O26" s="227">
        <f t="shared" si="4"/>
        <v>25.352999999999998</v>
      </c>
      <c r="P26" s="227">
        <f t="shared" si="5"/>
        <v>822.34375932203386</v>
      </c>
      <c r="Q26" s="227">
        <f t="shared" si="6"/>
        <v>22.756240677966161</v>
      </c>
      <c r="R26" s="228">
        <f t="shared" si="7"/>
        <v>2.6927275680944458E-2</v>
      </c>
      <c r="S26" s="229">
        <f>VLOOKUP(C26,'Amazon Live Products'!E:AF,28,0)</f>
        <v>939</v>
      </c>
      <c r="T26" s="229">
        <f t="shared" si="8"/>
        <v>845.1</v>
      </c>
      <c r="U26" s="230">
        <f t="shared" si="14"/>
        <v>845.1</v>
      </c>
      <c r="V26" s="231">
        <f t="shared" si="10"/>
        <v>798.15</v>
      </c>
      <c r="W26" s="69">
        <v>2499</v>
      </c>
      <c r="X26" s="232">
        <f t="shared" si="11"/>
        <v>816.93</v>
      </c>
      <c r="Y26" s="232">
        <f t="shared" si="12"/>
        <v>798.15</v>
      </c>
      <c r="Z26" s="117"/>
      <c r="AA26" s="233"/>
      <c r="AB26" s="117"/>
      <c r="AC26" s="44"/>
      <c r="AD26" s="117"/>
    </row>
    <row r="27" spans="1:30" ht="14.25" customHeight="1">
      <c r="A27" s="189" t="s">
        <v>934</v>
      </c>
      <c r="B27" s="189" t="s">
        <v>1003</v>
      </c>
      <c r="C27" s="44" t="s">
        <v>520</v>
      </c>
      <c r="D27" s="187" t="str">
        <f>VLOOKUP(C27,'Amazon Live Products'!E:F,2,0)</f>
        <v>B0D63DTKQB</v>
      </c>
      <c r="E27" s="44" t="s">
        <v>522</v>
      </c>
      <c r="F27" s="44" t="s">
        <v>524</v>
      </c>
      <c r="G27" s="225">
        <f>VLOOKUP(C27,'Amazon Live Products'!E:P,12,0)</f>
        <v>597.80160000000001</v>
      </c>
      <c r="H27" s="226">
        <f>VLOOKUP(D27,'Amazon Live Products'!F:Q,12,0)</f>
        <v>705.405888</v>
      </c>
      <c r="I27" s="227"/>
      <c r="J27" s="227">
        <f t="shared" si="0"/>
        <v>188.86500000000001</v>
      </c>
      <c r="K27" s="227">
        <f t="shared" si="1"/>
        <v>25.182000000000002</v>
      </c>
      <c r="L27" s="227">
        <f t="shared" si="13"/>
        <v>75.546000000000006</v>
      </c>
      <c r="M27" s="227">
        <f t="shared" si="2"/>
        <v>192.06610169491523</v>
      </c>
      <c r="N27" s="227">
        <f t="shared" si="3"/>
        <v>37.773000000000003</v>
      </c>
      <c r="O27" s="227">
        <f t="shared" si="4"/>
        <v>37.773000000000003</v>
      </c>
      <c r="P27" s="227">
        <f t="shared" si="5"/>
        <v>1155.0067016949151</v>
      </c>
      <c r="Q27" s="227">
        <f t="shared" si="6"/>
        <v>104.093298305085</v>
      </c>
      <c r="R27" s="228">
        <f t="shared" si="7"/>
        <v>8.2672780799845122E-2</v>
      </c>
      <c r="S27" s="229">
        <f>VLOOKUP(C27,'Amazon Live Products'!E:AF,28,0)</f>
        <v>1399</v>
      </c>
      <c r="T27" s="229">
        <f t="shared" si="8"/>
        <v>1259.1000000000001</v>
      </c>
      <c r="U27" s="230">
        <f t="shared" si="14"/>
        <v>1259.1000000000001</v>
      </c>
      <c r="V27" s="231">
        <f t="shared" si="10"/>
        <v>1189.1499999999999</v>
      </c>
      <c r="W27" s="69">
        <v>2099</v>
      </c>
      <c r="X27" s="232">
        <f t="shared" si="11"/>
        <v>1217.1299999999999</v>
      </c>
      <c r="Y27" s="232">
        <f t="shared" si="12"/>
        <v>1189.1499999999999</v>
      </c>
      <c r="Z27" s="117"/>
      <c r="AA27" s="233">
        <v>1189</v>
      </c>
      <c r="AB27" s="117"/>
      <c r="AC27" s="233"/>
      <c r="AD27" s="117"/>
    </row>
    <row r="28" spans="1:30" ht="14.25" customHeight="1">
      <c r="A28" s="189" t="s">
        <v>934</v>
      </c>
      <c r="B28" s="189" t="s">
        <v>1004</v>
      </c>
      <c r="C28" s="44" t="s">
        <v>525</v>
      </c>
      <c r="D28" s="187" t="str">
        <f>VLOOKUP(C28,'Amazon Live Products'!E:F,2,0)</f>
        <v>B0D25LNDSY</v>
      </c>
      <c r="E28" s="44" t="s">
        <v>527</v>
      </c>
      <c r="F28" s="44" t="s">
        <v>528</v>
      </c>
      <c r="G28" s="225">
        <f>VLOOKUP(C28,'Amazon Live Products'!E:P,12,0)</f>
        <v>338.37724799999995</v>
      </c>
      <c r="H28" s="226">
        <f>VLOOKUP(D28,'Amazon Live Products'!F:Q,12,0)</f>
        <v>399.28515263999992</v>
      </c>
      <c r="I28" s="227"/>
      <c r="J28" s="227">
        <f t="shared" si="0"/>
        <v>104.85</v>
      </c>
      <c r="K28" s="227">
        <f t="shared" si="1"/>
        <v>13.98</v>
      </c>
      <c r="L28" s="227">
        <f t="shared" si="13"/>
        <v>41.94</v>
      </c>
      <c r="M28" s="227">
        <f t="shared" si="2"/>
        <v>106.62711864406776</v>
      </c>
      <c r="N28" s="227">
        <f t="shared" si="3"/>
        <v>20.97</v>
      </c>
      <c r="O28" s="227">
        <f t="shared" si="4"/>
        <v>20.97</v>
      </c>
      <c r="P28" s="227">
        <f t="shared" si="5"/>
        <v>647.7143666440677</v>
      </c>
      <c r="Q28" s="227">
        <f t="shared" si="6"/>
        <v>51.285633355932305</v>
      </c>
      <c r="R28" s="228">
        <f t="shared" si="7"/>
        <v>7.3370004801047647E-2</v>
      </c>
      <c r="S28" s="229">
        <f>VLOOKUP(C28,'Amazon Live Products'!E:AF,28,0)</f>
        <v>799</v>
      </c>
      <c r="T28" s="229">
        <f t="shared" si="8"/>
        <v>719.1</v>
      </c>
      <c r="U28" s="230">
        <v>699</v>
      </c>
      <c r="V28" s="231">
        <f t="shared" si="10"/>
        <v>679.15</v>
      </c>
      <c r="W28" s="69">
        <v>2699</v>
      </c>
      <c r="X28" s="232">
        <f t="shared" si="11"/>
        <v>695.13</v>
      </c>
      <c r="Y28" s="232">
        <f t="shared" si="12"/>
        <v>679.15</v>
      </c>
      <c r="Z28" s="117"/>
      <c r="AA28" s="233">
        <v>584</v>
      </c>
      <c r="AB28" s="117"/>
      <c r="AC28" s="44"/>
      <c r="AD28" s="117"/>
    </row>
    <row r="29" spans="1:30" ht="14.25" customHeight="1">
      <c r="A29" s="189" t="s">
        <v>934</v>
      </c>
      <c r="B29" s="189" t="s">
        <v>997</v>
      </c>
      <c r="C29" s="44" t="s">
        <v>529</v>
      </c>
      <c r="D29" s="187" t="str">
        <f>VLOOKUP(C29,'Amazon Live Products'!E:F,2,0)</f>
        <v>B0D842173P</v>
      </c>
      <c r="E29" s="44" t="s">
        <v>531</v>
      </c>
      <c r="F29" s="44" t="s">
        <v>532</v>
      </c>
      <c r="G29" s="225">
        <f>VLOOKUP(C29,'Amazon Live Products'!E:P,12,0)</f>
        <v>344.94768000000005</v>
      </c>
      <c r="H29" s="226">
        <f>VLOOKUP(D29,'Amazon Live Products'!F:Q,12,0)</f>
        <v>407.03826240000001</v>
      </c>
      <c r="I29" s="227"/>
      <c r="J29" s="227">
        <f t="shared" si="0"/>
        <v>95.04</v>
      </c>
      <c r="K29" s="227">
        <f t="shared" si="1"/>
        <v>12.672000000000001</v>
      </c>
      <c r="L29" s="227">
        <f t="shared" si="13"/>
        <v>38.015999999999998</v>
      </c>
      <c r="M29" s="227">
        <f t="shared" si="2"/>
        <v>96.650847457627037</v>
      </c>
      <c r="N29" s="227">
        <f t="shared" si="3"/>
        <v>19.007999999999999</v>
      </c>
      <c r="O29" s="227">
        <f t="shared" si="4"/>
        <v>19.007999999999999</v>
      </c>
      <c r="P29" s="227">
        <f t="shared" si="5"/>
        <v>625.34252745762728</v>
      </c>
      <c r="Q29" s="227">
        <f t="shared" si="6"/>
        <v>8.2574725423727386</v>
      </c>
      <c r="R29" s="228">
        <f t="shared" si="7"/>
        <v>1.3032627118643843E-2</v>
      </c>
      <c r="S29" s="229">
        <f>VLOOKUP(C29,'Amazon Live Products'!E:AF,28,0)</f>
        <v>704</v>
      </c>
      <c r="T29" s="229">
        <f t="shared" si="8"/>
        <v>633.6</v>
      </c>
      <c r="U29" s="230">
        <f t="shared" ref="U29:U89" si="15">T29</f>
        <v>633.6</v>
      </c>
      <c r="V29" s="231">
        <f t="shared" si="10"/>
        <v>598.4</v>
      </c>
      <c r="W29" s="117">
        <v>1499</v>
      </c>
      <c r="X29" s="232">
        <f t="shared" si="11"/>
        <v>612.48</v>
      </c>
      <c r="Y29" s="232">
        <f t="shared" si="12"/>
        <v>598.4</v>
      </c>
      <c r="Z29" s="117"/>
      <c r="AA29" s="233">
        <v>584</v>
      </c>
      <c r="AB29" s="117"/>
      <c r="AC29" s="44"/>
      <c r="AD29" s="117"/>
    </row>
    <row r="30" spans="1:30" ht="14.25" customHeight="1">
      <c r="A30" s="189" t="s">
        <v>974</v>
      </c>
      <c r="B30" s="189" t="s">
        <v>1005</v>
      </c>
      <c r="C30" s="44" t="s">
        <v>533</v>
      </c>
      <c r="D30" s="187" t="str">
        <f>VLOOKUP(C30,'Amazon Live Products'!E:F,2,0)</f>
        <v>B0D9KDQCCM</v>
      </c>
      <c r="E30" s="44" t="s">
        <v>535</v>
      </c>
      <c r="F30" s="44" t="s">
        <v>537</v>
      </c>
      <c r="G30" s="225">
        <f>VLOOKUP(C30,'Amazon Live Products'!E:P,12,0)</f>
        <v>344.73225600000001</v>
      </c>
      <c r="H30" s="226">
        <f>VLOOKUP(D30,'Amazon Live Products'!F:Q,12,0)</f>
        <v>406.78406208000001</v>
      </c>
      <c r="I30" s="227"/>
      <c r="J30" s="227">
        <f t="shared" si="0"/>
        <v>148.36500000000001</v>
      </c>
      <c r="K30" s="227">
        <f t="shared" si="1"/>
        <v>19.782</v>
      </c>
      <c r="L30" s="227">
        <f t="shared" si="13"/>
        <v>59.345999999999997</v>
      </c>
      <c r="M30" s="227">
        <f t="shared" si="2"/>
        <v>150.87966101694906</v>
      </c>
      <c r="N30" s="227">
        <f t="shared" si="3"/>
        <v>29.672999999999998</v>
      </c>
      <c r="O30" s="227">
        <f t="shared" si="4"/>
        <v>29.672999999999998</v>
      </c>
      <c r="P30" s="227">
        <f t="shared" si="5"/>
        <v>782.45091701694912</v>
      </c>
      <c r="Q30" s="227">
        <f t="shared" si="6"/>
        <v>206.6490829830509</v>
      </c>
      <c r="R30" s="228">
        <f t="shared" si="7"/>
        <v>0.20892638053083701</v>
      </c>
      <c r="S30" s="229">
        <f>VLOOKUP(C30,'Amazon Live Products'!E:AF,28,0)</f>
        <v>1099</v>
      </c>
      <c r="T30" s="229">
        <f t="shared" si="8"/>
        <v>989.1</v>
      </c>
      <c r="U30" s="230">
        <f t="shared" si="15"/>
        <v>989.1</v>
      </c>
      <c r="V30" s="231">
        <f t="shared" si="10"/>
        <v>934.15</v>
      </c>
      <c r="W30" s="117">
        <v>1499</v>
      </c>
      <c r="X30" s="232">
        <f t="shared" si="11"/>
        <v>956.13</v>
      </c>
      <c r="Y30" s="232">
        <f t="shared" si="12"/>
        <v>934.15</v>
      </c>
      <c r="Z30" s="117"/>
      <c r="AA30" s="233"/>
      <c r="AB30" s="117"/>
      <c r="AC30" s="44"/>
      <c r="AD30" s="117"/>
    </row>
    <row r="31" spans="1:30" ht="14.25" customHeight="1">
      <c r="A31" s="189" t="s">
        <v>934</v>
      </c>
      <c r="B31" s="189" t="s">
        <v>1006</v>
      </c>
      <c r="C31" s="44" t="s">
        <v>538</v>
      </c>
      <c r="D31" s="187" t="str">
        <f>VLOOKUP(C31,'Amazon Live Products'!E:F,2,0)</f>
        <v>B0D81DLSFT</v>
      </c>
      <c r="E31" s="44" t="s">
        <v>483</v>
      </c>
      <c r="F31" s="44" t="s">
        <v>484</v>
      </c>
      <c r="G31" s="225">
        <f>VLOOKUP(C31,'Amazon Live Products'!E:P,12,0)</f>
        <v>371.22940800000003</v>
      </c>
      <c r="H31" s="226">
        <f>VLOOKUP(D31,'Amazon Live Products'!F:Q,12,0)</f>
        <v>438.05070144000001</v>
      </c>
      <c r="I31" s="227"/>
      <c r="J31" s="227">
        <f t="shared" si="0"/>
        <v>111.24</v>
      </c>
      <c r="K31" s="227">
        <f t="shared" si="1"/>
        <v>14.832000000000001</v>
      </c>
      <c r="L31" s="227">
        <f t="shared" si="13"/>
        <v>44.496000000000002</v>
      </c>
      <c r="M31" s="227">
        <f t="shared" si="2"/>
        <v>113.12542372881353</v>
      </c>
      <c r="N31" s="227">
        <f t="shared" si="3"/>
        <v>22.248000000000001</v>
      </c>
      <c r="O31" s="227">
        <f t="shared" si="4"/>
        <v>22.248000000000001</v>
      </c>
      <c r="P31" s="227">
        <f t="shared" si="5"/>
        <v>699.41883172881364</v>
      </c>
      <c r="Q31" s="227">
        <f t="shared" si="6"/>
        <v>42.18116827118638</v>
      </c>
      <c r="R31" s="228">
        <f t="shared" si="7"/>
        <v>5.6878597992430391E-2</v>
      </c>
      <c r="S31" s="229">
        <f>VLOOKUP(C31,'Amazon Live Products'!E:AF,28,0)</f>
        <v>824</v>
      </c>
      <c r="T31" s="229">
        <f t="shared" si="8"/>
        <v>741.6</v>
      </c>
      <c r="U31" s="230">
        <f t="shared" si="15"/>
        <v>741.6</v>
      </c>
      <c r="V31" s="231">
        <f t="shared" si="10"/>
        <v>700.4</v>
      </c>
      <c r="W31" s="117">
        <v>1299</v>
      </c>
      <c r="X31" s="232">
        <f t="shared" si="11"/>
        <v>716.88</v>
      </c>
      <c r="Y31" s="232">
        <f t="shared" si="12"/>
        <v>700.4</v>
      </c>
      <c r="Z31" s="117"/>
      <c r="AA31" s="233">
        <v>764</v>
      </c>
      <c r="AB31" s="117"/>
      <c r="AC31" s="44"/>
      <c r="AD31" s="117"/>
    </row>
    <row r="32" spans="1:30" ht="14.25" customHeight="1">
      <c r="A32" s="189" t="s">
        <v>934</v>
      </c>
      <c r="B32" s="189" t="s">
        <v>1007</v>
      </c>
      <c r="C32" s="44" t="s">
        <v>543</v>
      </c>
      <c r="D32" s="187" t="str">
        <f>VLOOKUP(C32,'Amazon Live Products'!E:F,2,0)</f>
        <v>B0D67727VG</v>
      </c>
      <c r="E32" s="44" t="s">
        <v>545</v>
      </c>
      <c r="F32" s="44" t="s">
        <v>547</v>
      </c>
      <c r="G32" s="225">
        <f>VLOOKUP(C32,'Amazon Live Products'!E:P,12,0)</f>
        <v>597.80160000000001</v>
      </c>
      <c r="H32" s="226">
        <f>VLOOKUP(D32,'Amazon Live Products'!F:Q,12,0)</f>
        <v>705.405888</v>
      </c>
      <c r="I32" s="227"/>
      <c r="J32" s="227">
        <f t="shared" si="0"/>
        <v>148.36500000000001</v>
      </c>
      <c r="K32" s="227">
        <f t="shared" si="1"/>
        <v>19.782</v>
      </c>
      <c r="L32" s="227">
        <f t="shared" si="13"/>
        <v>59.345999999999997</v>
      </c>
      <c r="M32" s="227">
        <f t="shared" si="2"/>
        <v>150.87966101694906</v>
      </c>
      <c r="N32" s="227">
        <f t="shared" si="3"/>
        <v>29.672999999999998</v>
      </c>
      <c r="O32" s="227">
        <f t="shared" si="4"/>
        <v>29.672999999999998</v>
      </c>
      <c r="P32" s="227">
        <f t="shared" si="5"/>
        <v>1035.520261016949</v>
      </c>
      <c r="Q32" s="227">
        <f t="shared" si="6"/>
        <v>-46.420261016948984</v>
      </c>
      <c r="R32" s="228">
        <f t="shared" si="7"/>
        <v>-4.6931817831310264E-2</v>
      </c>
      <c r="S32" s="229">
        <f>VLOOKUP(C32,'Amazon Live Products'!E:AF,28,0)</f>
        <v>1099</v>
      </c>
      <c r="T32" s="229">
        <f t="shared" si="8"/>
        <v>989.1</v>
      </c>
      <c r="U32" s="230">
        <f t="shared" si="15"/>
        <v>989.1</v>
      </c>
      <c r="V32" s="231">
        <f t="shared" si="10"/>
        <v>934.15</v>
      </c>
      <c r="W32" s="117">
        <v>1999</v>
      </c>
      <c r="X32" s="232">
        <f t="shared" si="11"/>
        <v>956.13</v>
      </c>
      <c r="Y32" s="232">
        <f t="shared" si="12"/>
        <v>934.15</v>
      </c>
      <c r="Z32" s="117"/>
      <c r="AA32" s="233">
        <v>934</v>
      </c>
      <c r="AB32" s="117"/>
      <c r="AC32" s="44"/>
      <c r="AD32" s="117"/>
    </row>
    <row r="33" spans="1:30" ht="14.25" customHeight="1">
      <c r="A33" s="189" t="s">
        <v>974</v>
      </c>
      <c r="B33" s="189" t="s">
        <v>1008</v>
      </c>
      <c r="C33" s="44" t="s">
        <v>552</v>
      </c>
      <c r="D33" s="187" t="e">
        <f>VLOOKUP(C33,'Amazon Live Products'!E:F,2,0)</f>
        <v>#N/A</v>
      </c>
      <c r="E33" s="44" t="s">
        <v>554</v>
      </c>
      <c r="F33" s="44" t="e">
        <v>#N/A</v>
      </c>
      <c r="G33" s="225" t="e">
        <f>VLOOKUP(C33,'Amazon Live Products'!E:P,12,0)</f>
        <v>#N/A</v>
      </c>
      <c r="H33" s="226" t="e">
        <f>VLOOKUP(D33,'Amazon Live Products'!F:Q,12,0)</f>
        <v>#N/A</v>
      </c>
      <c r="I33" s="227"/>
      <c r="J33" s="227" t="e">
        <f t="shared" si="0"/>
        <v>#N/A</v>
      </c>
      <c r="K33" s="227" t="e">
        <f t="shared" si="1"/>
        <v>#N/A</v>
      </c>
      <c r="L33" s="227" t="e">
        <f t="shared" si="13"/>
        <v>#N/A</v>
      </c>
      <c r="M33" s="227" t="e">
        <f t="shared" si="2"/>
        <v>#N/A</v>
      </c>
      <c r="N33" s="227" t="e">
        <f t="shared" si="3"/>
        <v>#N/A</v>
      </c>
      <c r="O33" s="227" t="e">
        <f t="shared" si="4"/>
        <v>#N/A</v>
      </c>
      <c r="P33" s="227" t="e">
        <f t="shared" si="5"/>
        <v>#N/A</v>
      </c>
      <c r="Q33" s="227" t="e">
        <f t="shared" si="6"/>
        <v>#N/A</v>
      </c>
      <c r="R33" s="228" t="e">
        <f t="shared" si="7"/>
        <v>#N/A</v>
      </c>
      <c r="S33" s="229" t="e">
        <f>VLOOKUP(C33,'Amazon Live Products'!E:AF,28,0)</f>
        <v>#N/A</v>
      </c>
      <c r="T33" s="229" t="e">
        <f t="shared" si="8"/>
        <v>#N/A</v>
      </c>
      <c r="U33" s="230" t="e">
        <f t="shared" si="15"/>
        <v>#N/A</v>
      </c>
      <c r="V33" s="231" t="e">
        <f t="shared" si="10"/>
        <v>#N/A</v>
      </c>
      <c r="W33" s="117">
        <v>2999</v>
      </c>
      <c r="X33" s="232" t="e">
        <f t="shared" si="11"/>
        <v>#N/A</v>
      </c>
      <c r="Y33" s="232" t="e">
        <f t="shared" si="12"/>
        <v>#N/A</v>
      </c>
      <c r="Z33" s="117"/>
      <c r="AA33" s="233"/>
      <c r="AB33" s="117"/>
      <c r="AC33" s="44"/>
      <c r="AD33" s="117"/>
    </row>
    <row r="34" spans="1:30" ht="14.25" customHeight="1">
      <c r="A34" s="189" t="s">
        <v>934</v>
      </c>
      <c r="B34" s="189" t="s">
        <v>1009</v>
      </c>
      <c r="C34" s="44" t="s">
        <v>557</v>
      </c>
      <c r="D34" s="187" t="str">
        <f>VLOOKUP(C34,'Amazon Live Products'!E:F,2,0)</f>
        <v>B0D637B562</v>
      </c>
      <c r="E34" s="44" t="s">
        <v>559</v>
      </c>
      <c r="F34" s="44" t="s">
        <v>561</v>
      </c>
      <c r="G34" s="225">
        <f>VLOOKUP(C34,'Amazon Live Products'!E:P,12,0)</f>
        <v>437.24340000000001</v>
      </c>
      <c r="H34" s="226">
        <f>VLOOKUP(D34,'Amazon Live Products'!F:Q,12,0)</f>
        <v>515.94721200000004</v>
      </c>
      <c r="I34" s="227"/>
      <c r="J34" s="227">
        <f t="shared" si="0"/>
        <v>168.61500000000001</v>
      </c>
      <c r="K34" s="227">
        <f t="shared" si="1"/>
        <v>22.482000000000003</v>
      </c>
      <c r="L34" s="227">
        <f t="shared" si="13"/>
        <v>67.446000000000012</v>
      </c>
      <c r="M34" s="227">
        <f t="shared" si="2"/>
        <v>171.47288135593215</v>
      </c>
      <c r="N34" s="227">
        <f t="shared" si="3"/>
        <v>33.723000000000006</v>
      </c>
      <c r="O34" s="227">
        <f t="shared" si="4"/>
        <v>33.723000000000006</v>
      </c>
      <c r="P34" s="227">
        <f t="shared" si="5"/>
        <v>934.70528135593213</v>
      </c>
      <c r="Q34" s="227">
        <f t="shared" si="6"/>
        <v>189.39471864406801</v>
      </c>
      <c r="R34" s="228">
        <f t="shared" si="7"/>
        <v>0.16848564953657857</v>
      </c>
      <c r="S34" s="229">
        <f>VLOOKUP(C34,'Amazon Live Products'!E:AF,28,0)</f>
        <v>1249</v>
      </c>
      <c r="T34" s="229">
        <f t="shared" si="8"/>
        <v>1124.1000000000001</v>
      </c>
      <c r="U34" s="230">
        <f t="shared" si="15"/>
        <v>1124.1000000000001</v>
      </c>
      <c r="V34" s="231">
        <f t="shared" si="10"/>
        <v>1061.6499999999999</v>
      </c>
      <c r="W34" s="117">
        <v>1499</v>
      </c>
      <c r="X34" s="232">
        <f t="shared" si="11"/>
        <v>1086.6299999999999</v>
      </c>
      <c r="Y34" s="232">
        <f t="shared" si="12"/>
        <v>1061.6499999999999</v>
      </c>
      <c r="Z34" s="117"/>
      <c r="AA34" s="233">
        <v>1062</v>
      </c>
      <c r="AB34" s="117"/>
      <c r="AC34" s="233"/>
      <c r="AD34" s="117"/>
    </row>
    <row r="35" spans="1:30" ht="14.25" customHeight="1">
      <c r="A35" s="189" t="s">
        <v>934</v>
      </c>
      <c r="B35" s="189" t="s">
        <v>1010</v>
      </c>
      <c r="C35" s="44" t="s">
        <v>562</v>
      </c>
      <c r="D35" s="187" t="str">
        <f>VLOOKUP(C35,'Amazon Live Products'!E:F,2,0)</f>
        <v>B0D9KCNVNM</v>
      </c>
      <c r="E35" s="44" t="s">
        <v>564</v>
      </c>
      <c r="F35" s="44" t="s">
        <v>565</v>
      </c>
      <c r="G35" s="225">
        <f>VLOOKUP(C35,'Amazon Live Products'!E:P,12,0)</f>
        <v>565.05715200000009</v>
      </c>
      <c r="H35" s="226">
        <f>VLOOKUP(D35,'Amazon Live Products'!F:Q,12,0)</f>
        <v>666.76743936000003</v>
      </c>
      <c r="I35" s="227"/>
      <c r="J35" s="227">
        <f t="shared" si="0"/>
        <v>161.86500000000001</v>
      </c>
      <c r="K35" s="227">
        <f t="shared" si="1"/>
        <v>21.582000000000004</v>
      </c>
      <c r="L35" s="227">
        <f t="shared" si="13"/>
        <v>64.746000000000009</v>
      </c>
      <c r="M35" s="227">
        <f t="shared" si="2"/>
        <v>164.60847457627119</v>
      </c>
      <c r="N35" s="227">
        <f t="shared" si="3"/>
        <v>32.373000000000005</v>
      </c>
      <c r="O35" s="227">
        <f t="shared" si="4"/>
        <v>32.373000000000005</v>
      </c>
      <c r="P35" s="227">
        <f t="shared" si="5"/>
        <v>1042.6046265762714</v>
      </c>
      <c r="Q35" s="227">
        <f t="shared" si="6"/>
        <v>36.495373423728779</v>
      </c>
      <c r="R35" s="228">
        <f t="shared" si="7"/>
        <v>3.3820195925983482E-2</v>
      </c>
      <c r="S35" s="229">
        <f>VLOOKUP(C35,'Amazon Live Products'!E:AF,28,0)</f>
        <v>1199</v>
      </c>
      <c r="T35" s="229">
        <f t="shared" si="8"/>
        <v>1079.1000000000001</v>
      </c>
      <c r="U35" s="230">
        <f t="shared" si="15"/>
        <v>1079.1000000000001</v>
      </c>
      <c r="V35" s="231">
        <f t="shared" si="10"/>
        <v>1019.15</v>
      </c>
      <c r="W35" s="117">
        <v>2999</v>
      </c>
      <c r="X35" s="232">
        <f t="shared" si="11"/>
        <v>1043.1299999999999</v>
      </c>
      <c r="Y35" s="232">
        <f t="shared" si="12"/>
        <v>1019.15</v>
      </c>
      <c r="Z35" s="117"/>
      <c r="AA35" s="233">
        <v>934</v>
      </c>
      <c r="AB35" s="117"/>
      <c r="AC35" s="233"/>
      <c r="AD35" s="117"/>
    </row>
    <row r="36" spans="1:30" ht="14.25" customHeight="1">
      <c r="A36" s="189" t="s">
        <v>934</v>
      </c>
      <c r="B36" s="189" t="s">
        <v>1011</v>
      </c>
      <c r="C36" s="44" t="s">
        <v>570</v>
      </c>
      <c r="D36" s="187" t="str">
        <f>VLOOKUP(C36,'Amazon Live Products'!E:F,2,0)</f>
        <v>B0D9KFZYG8</v>
      </c>
      <c r="E36" s="44" t="s">
        <v>572</v>
      </c>
      <c r="F36" s="44" t="s">
        <v>574</v>
      </c>
      <c r="G36" s="225">
        <f>VLOOKUP(C36,'Amazon Live Products'!E:P,12,0)</f>
        <v>728.22288000000015</v>
      </c>
      <c r="H36" s="226">
        <f>VLOOKUP(D36,'Amazon Live Products'!F:Q,12,0)</f>
        <v>859.30299840000009</v>
      </c>
      <c r="I36" s="227"/>
      <c r="J36" s="227">
        <f t="shared" si="0"/>
        <v>229.36500000000001</v>
      </c>
      <c r="K36" s="227">
        <f t="shared" si="1"/>
        <v>30.582000000000004</v>
      </c>
      <c r="L36" s="227">
        <f t="shared" si="13"/>
        <v>91.746000000000009</v>
      </c>
      <c r="M36" s="227">
        <f t="shared" si="2"/>
        <v>233.25254237288141</v>
      </c>
      <c r="N36" s="227">
        <f t="shared" si="3"/>
        <v>45.873000000000005</v>
      </c>
      <c r="O36" s="227">
        <f t="shared" si="4"/>
        <v>45.873000000000005</v>
      </c>
      <c r="P36" s="227">
        <f t="shared" si="5"/>
        <v>1404.9144223728817</v>
      </c>
      <c r="Q36" s="227">
        <f t="shared" si="6"/>
        <v>124.18557762711839</v>
      </c>
      <c r="R36" s="228">
        <f t="shared" si="7"/>
        <v>8.1214817622862062E-2</v>
      </c>
      <c r="S36" s="229">
        <f>VLOOKUP(C36,'Amazon Live Products'!E:AF,28,0)</f>
        <v>1699</v>
      </c>
      <c r="T36" s="229">
        <f t="shared" si="8"/>
        <v>1529.1000000000001</v>
      </c>
      <c r="U36" s="230">
        <f t="shared" si="15"/>
        <v>1529.1000000000001</v>
      </c>
      <c r="V36" s="231">
        <f t="shared" si="10"/>
        <v>1444.1499999999999</v>
      </c>
      <c r="W36" s="117">
        <v>1699</v>
      </c>
      <c r="X36" s="232">
        <f t="shared" si="11"/>
        <v>1478.1299999999999</v>
      </c>
      <c r="Y36" s="232">
        <f t="shared" si="12"/>
        <v>1444.1499999999999</v>
      </c>
      <c r="Z36" s="117"/>
      <c r="AA36" s="233">
        <v>1359</v>
      </c>
      <c r="AB36" s="117"/>
      <c r="AC36" s="233"/>
      <c r="AD36" s="117"/>
    </row>
    <row r="37" spans="1:30" ht="14.25" customHeight="1">
      <c r="A37" s="189" t="s">
        <v>976</v>
      </c>
      <c r="B37" s="189" t="s">
        <v>1012</v>
      </c>
      <c r="C37" s="44" t="s">
        <v>575</v>
      </c>
      <c r="D37" s="187" t="str">
        <f>VLOOKUP(C37,'Amazon Live Products'!E:F,2,0)</f>
        <v>B0D9KFP4MG</v>
      </c>
      <c r="E37" s="44" t="s">
        <v>577</v>
      </c>
      <c r="F37" s="44" t="s">
        <v>579</v>
      </c>
      <c r="G37" s="225">
        <f>VLOOKUP(C37,'Amazon Live Products'!E:P,12,0)</f>
        <v>694.27564800000005</v>
      </c>
      <c r="H37" s="226">
        <f>VLOOKUP(D37,'Amazon Live Products'!F:Q,12,0)</f>
        <v>819.24526463999996</v>
      </c>
      <c r="I37" s="227"/>
      <c r="J37" s="227">
        <f t="shared" si="0"/>
        <v>256.36500000000001</v>
      </c>
      <c r="K37" s="227">
        <f t="shared" si="1"/>
        <v>34.182000000000002</v>
      </c>
      <c r="L37" s="227">
        <f t="shared" si="13"/>
        <v>102.54600000000001</v>
      </c>
      <c r="M37" s="227">
        <f t="shared" si="2"/>
        <v>260.71016949152545</v>
      </c>
      <c r="N37" s="227">
        <f t="shared" si="3"/>
        <v>51.273000000000003</v>
      </c>
      <c r="O37" s="227">
        <f t="shared" si="4"/>
        <v>51.273000000000003</v>
      </c>
      <c r="P37" s="227">
        <f t="shared" si="5"/>
        <v>1450.6248174915254</v>
      </c>
      <c r="Q37" s="227">
        <f t="shared" si="6"/>
        <v>258.47518250847475</v>
      </c>
      <c r="R37" s="228">
        <f t="shared" si="7"/>
        <v>0.15123467468754007</v>
      </c>
      <c r="S37" s="229">
        <f>VLOOKUP(C37,'Amazon Live Products'!E:AF,28,0)</f>
        <v>1899</v>
      </c>
      <c r="T37" s="229">
        <f t="shared" si="8"/>
        <v>1709.1000000000001</v>
      </c>
      <c r="U37" s="230">
        <f t="shared" si="15"/>
        <v>1709.1000000000001</v>
      </c>
      <c r="V37" s="231">
        <f t="shared" si="10"/>
        <v>1614.1499999999999</v>
      </c>
      <c r="W37" s="117">
        <v>2499</v>
      </c>
      <c r="X37" s="232">
        <f t="shared" si="11"/>
        <v>1652.1299999999999</v>
      </c>
      <c r="Y37" s="232">
        <f t="shared" si="12"/>
        <v>1614.1499999999999</v>
      </c>
      <c r="Z37" s="117"/>
      <c r="AA37" s="233"/>
      <c r="AB37" s="117"/>
      <c r="AC37" s="233"/>
      <c r="AD37" s="117"/>
    </row>
    <row r="38" spans="1:30" ht="14.25" customHeight="1">
      <c r="A38" s="189" t="s">
        <v>976</v>
      </c>
      <c r="B38" s="189" t="s">
        <v>1013</v>
      </c>
      <c r="C38" s="44" t="s">
        <v>580</v>
      </c>
      <c r="D38" s="187" t="str">
        <f>VLOOKUP(C38,'Amazon Live Products'!E:F,2,0)</f>
        <v>B0DCK3N2JJ</v>
      </c>
      <c r="E38" s="44" t="s">
        <v>582</v>
      </c>
      <c r="F38" s="44" t="s">
        <v>583</v>
      </c>
      <c r="G38" s="225">
        <f>VLOOKUP(C38,'Amazon Live Products'!E:P,12,0)</f>
        <v>809.25820799999997</v>
      </c>
      <c r="H38" s="226">
        <f>VLOOKUP(D38,'Amazon Live Products'!F:Q,12,0)</f>
        <v>954.92468543999996</v>
      </c>
      <c r="I38" s="227"/>
      <c r="J38" s="227">
        <f t="shared" si="0"/>
        <v>337.36499999999995</v>
      </c>
      <c r="K38" s="227">
        <f t="shared" si="1"/>
        <v>44.981999999999999</v>
      </c>
      <c r="L38" s="227">
        <f t="shared" si="13"/>
        <v>134.946</v>
      </c>
      <c r="M38" s="227">
        <f t="shared" si="2"/>
        <v>343.08305084745757</v>
      </c>
      <c r="N38" s="227">
        <f t="shared" si="3"/>
        <v>67.472999999999999</v>
      </c>
      <c r="O38" s="227">
        <f t="shared" si="4"/>
        <v>67.472999999999999</v>
      </c>
      <c r="P38" s="227">
        <f t="shared" si="5"/>
        <v>1804.5802588474573</v>
      </c>
      <c r="Q38" s="227">
        <f t="shared" si="6"/>
        <v>444.51974115254257</v>
      </c>
      <c r="R38" s="228">
        <f t="shared" si="7"/>
        <v>0.19764338675583237</v>
      </c>
      <c r="S38" s="229">
        <f>VLOOKUP(C38,'Amazon Live Products'!E:AF,28,0)</f>
        <v>2499</v>
      </c>
      <c r="T38" s="229">
        <f t="shared" si="8"/>
        <v>2249.1</v>
      </c>
      <c r="U38" s="230">
        <f t="shared" si="15"/>
        <v>2249.1</v>
      </c>
      <c r="V38" s="231">
        <f t="shared" si="10"/>
        <v>2124.15</v>
      </c>
      <c r="W38" s="117">
        <v>3599</v>
      </c>
      <c r="X38" s="232">
        <f t="shared" si="11"/>
        <v>2174.13</v>
      </c>
      <c r="Y38" s="232">
        <f t="shared" si="12"/>
        <v>2124.15</v>
      </c>
      <c r="Z38" s="117"/>
      <c r="AA38" s="233"/>
      <c r="AB38" s="117"/>
      <c r="AC38" s="233"/>
      <c r="AD38" s="117"/>
    </row>
    <row r="39" spans="1:30" ht="14.25" customHeight="1">
      <c r="A39" s="189" t="s">
        <v>1001</v>
      </c>
      <c r="B39" s="189" t="s">
        <v>1014</v>
      </c>
      <c r="C39" s="44" t="s">
        <v>584</v>
      </c>
      <c r="D39" s="187" t="str">
        <f>VLOOKUP(C39,'Amazon Live Products'!E:F,2,0)</f>
        <v>B0DCK7ZH5P</v>
      </c>
      <c r="E39" s="44" t="s">
        <v>586</v>
      </c>
      <c r="F39" s="44" t="s">
        <v>945</v>
      </c>
      <c r="G39" s="225">
        <f>VLOOKUP(C39,'Amazon Live Products'!E:P,12,0)</f>
        <v>1125.8596800000003</v>
      </c>
      <c r="H39" s="226">
        <f>VLOOKUP(D39,'Amazon Live Products'!F:Q,12,0)</f>
        <v>1328.5144224000003</v>
      </c>
      <c r="I39" s="227"/>
      <c r="J39" s="227">
        <f t="shared" si="0"/>
        <v>445.36499999999995</v>
      </c>
      <c r="K39" s="227">
        <f t="shared" si="1"/>
        <v>59.381999999999998</v>
      </c>
      <c r="L39" s="227">
        <f t="shared" si="13"/>
        <v>178.14599999999999</v>
      </c>
      <c r="M39" s="227">
        <f t="shared" si="2"/>
        <v>452.91355932203396</v>
      </c>
      <c r="N39" s="227">
        <f t="shared" si="3"/>
        <v>89.072999999999993</v>
      </c>
      <c r="O39" s="227">
        <f t="shared" si="4"/>
        <v>89.072999999999993</v>
      </c>
      <c r="P39" s="227">
        <f t="shared" si="5"/>
        <v>2439.8122393220337</v>
      </c>
      <c r="Q39" s="227">
        <f t="shared" si="6"/>
        <v>529.28776067796616</v>
      </c>
      <c r="R39" s="228">
        <f t="shared" si="7"/>
        <v>0.17826538704589479</v>
      </c>
      <c r="S39" s="229">
        <f>VLOOKUP(C39,'Amazon Live Products'!E:AF,28,0)</f>
        <v>3299</v>
      </c>
      <c r="T39" s="229">
        <f t="shared" si="8"/>
        <v>2969.1</v>
      </c>
      <c r="U39" s="230">
        <f t="shared" si="15"/>
        <v>2969.1</v>
      </c>
      <c r="V39" s="231">
        <f t="shared" si="10"/>
        <v>2804.15</v>
      </c>
      <c r="W39" s="117">
        <v>3599</v>
      </c>
      <c r="X39" s="232">
        <f t="shared" si="11"/>
        <v>2870.13</v>
      </c>
      <c r="Y39" s="232">
        <f t="shared" si="12"/>
        <v>2804.15</v>
      </c>
      <c r="Z39" s="117"/>
      <c r="AA39" s="233"/>
      <c r="AB39" s="117"/>
      <c r="AC39" s="233"/>
      <c r="AD39" s="117"/>
    </row>
    <row r="40" spans="1:30" ht="14.25" customHeight="1">
      <c r="A40" s="189" t="s">
        <v>976</v>
      </c>
      <c r="B40" s="189" t="s">
        <v>1015</v>
      </c>
      <c r="C40" s="44" t="s">
        <v>589</v>
      </c>
      <c r="D40" s="187" t="str">
        <f>VLOOKUP(C40,'Amazon Live Products'!E:F,2,0)</f>
        <v>B0DCGHKRXX</v>
      </c>
      <c r="E40" s="44" t="s">
        <v>591</v>
      </c>
      <c r="F40" s="44" t="s">
        <v>593</v>
      </c>
      <c r="G40" s="225">
        <f>VLOOKUP(C40,'Amazon Live Products'!E:P,12,0)</f>
        <v>528.05808000000002</v>
      </c>
      <c r="H40" s="226">
        <f>VLOOKUP(D40,'Amazon Live Products'!F:Q,12,0)</f>
        <v>623.10853439999994</v>
      </c>
      <c r="I40" s="227"/>
      <c r="J40" s="227">
        <f t="shared" si="0"/>
        <v>269.86500000000001</v>
      </c>
      <c r="K40" s="227">
        <f t="shared" si="1"/>
        <v>35.982000000000006</v>
      </c>
      <c r="L40" s="227">
        <f t="shared" si="13"/>
        <v>107.946</v>
      </c>
      <c r="M40" s="227">
        <f t="shared" si="2"/>
        <v>274.43898305084736</v>
      </c>
      <c r="N40" s="227">
        <f t="shared" si="3"/>
        <v>53.972999999999999</v>
      </c>
      <c r="O40" s="227">
        <f t="shared" si="4"/>
        <v>53.972999999999999</v>
      </c>
      <c r="P40" s="227">
        <f t="shared" si="5"/>
        <v>1324.2360630508474</v>
      </c>
      <c r="Q40" s="227">
        <f t="shared" si="6"/>
        <v>474.86393694915273</v>
      </c>
      <c r="R40" s="228">
        <f t="shared" si="7"/>
        <v>0.26394527094055509</v>
      </c>
      <c r="S40" s="229">
        <f>VLOOKUP(C40,'Amazon Live Products'!E:AF,28,0)</f>
        <v>1999</v>
      </c>
      <c r="T40" s="229">
        <f t="shared" si="8"/>
        <v>1799.1000000000001</v>
      </c>
      <c r="U40" s="230">
        <f t="shared" si="15"/>
        <v>1799.1000000000001</v>
      </c>
      <c r="V40" s="231">
        <f t="shared" si="10"/>
        <v>1699.1499999999999</v>
      </c>
      <c r="W40" s="117">
        <v>6599</v>
      </c>
      <c r="X40" s="232">
        <f t="shared" si="11"/>
        <v>1739.1299999999999</v>
      </c>
      <c r="Y40" s="232">
        <f t="shared" si="12"/>
        <v>1699.1499999999999</v>
      </c>
      <c r="Z40" s="117"/>
      <c r="AA40" s="233"/>
      <c r="AB40" s="117"/>
      <c r="AC40" s="233"/>
      <c r="AD40" s="117"/>
    </row>
    <row r="41" spans="1:30" ht="14.25" customHeight="1">
      <c r="A41" s="189" t="s">
        <v>1001</v>
      </c>
      <c r="B41" s="189" t="s">
        <v>1016</v>
      </c>
      <c r="C41" s="44" t="s">
        <v>594</v>
      </c>
      <c r="D41" s="187" t="str">
        <f>VLOOKUP(C41,'Amazon Live Products'!E:F,2,0)</f>
        <v>B0D9KFQG8Q</v>
      </c>
      <c r="E41" s="44" t="s">
        <v>596</v>
      </c>
      <c r="F41" s="44" t="s">
        <v>598</v>
      </c>
      <c r="G41" s="225">
        <f>VLOOKUP(C41,'Amazon Live Products'!E:P,12,0)</f>
        <v>845.33723999999995</v>
      </c>
      <c r="H41" s="226">
        <f>VLOOKUP(D41,'Amazon Live Products'!F:Q,12,0)</f>
        <v>997.4979431999999</v>
      </c>
      <c r="I41" s="227"/>
      <c r="J41" s="227">
        <f t="shared" si="0"/>
        <v>229.36500000000001</v>
      </c>
      <c r="K41" s="227">
        <f t="shared" si="1"/>
        <v>30.582000000000004</v>
      </c>
      <c r="L41" s="227">
        <f t="shared" si="13"/>
        <v>91.746000000000009</v>
      </c>
      <c r="M41" s="227">
        <f t="shared" si="2"/>
        <v>233.25254237288141</v>
      </c>
      <c r="N41" s="227">
        <f t="shared" si="3"/>
        <v>45.873000000000005</v>
      </c>
      <c r="O41" s="227">
        <f t="shared" si="4"/>
        <v>45.873000000000005</v>
      </c>
      <c r="P41" s="227">
        <f t="shared" si="5"/>
        <v>1522.0287823728818</v>
      </c>
      <c r="Q41" s="227">
        <f t="shared" si="6"/>
        <v>7.071217627118358</v>
      </c>
      <c r="R41" s="228">
        <f t="shared" si="7"/>
        <v>4.6244311209982063E-3</v>
      </c>
      <c r="S41" s="229">
        <f>VLOOKUP(C41,'Amazon Live Products'!E:AF,28,0)</f>
        <v>1699</v>
      </c>
      <c r="T41" s="229">
        <f t="shared" si="8"/>
        <v>1529.1000000000001</v>
      </c>
      <c r="U41" s="230">
        <f t="shared" si="15"/>
        <v>1529.1000000000001</v>
      </c>
      <c r="V41" s="231">
        <f t="shared" si="10"/>
        <v>1444.1499999999999</v>
      </c>
      <c r="W41" s="117">
        <v>2999</v>
      </c>
      <c r="X41" s="232">
        <f t="shared" si="11"/>
        <v>1478.1299999999999</v>
      </c>
      <c r="Y41" s="232">
        <f t="shared" si="12"/>
        <v>1444.1499999999999</v>
      </c>
      <c r="Z41" s="117"/>
      <c r="AA41" s="233"/>
      <c r="AB41" s="117"/>
      <c r="AC41" s="233"/>
      <c r="AD41" s="117"/>
    </row>
    <row r="42" spans="1:30" ht="14.25" customHeight="1">
      <c r="A42" s="189" t="s">
        <v>976</v>
      </c>
      <c r="B42" s="189" t="s">
        <v>1017</v>
      </c>
      <c r="C42" s="44" t="s">
        <v>599</v>
      </c>
      <c r="D42" s="187" t="str">
        <f>VLOOKUP(C42,'Amazon Live Products'!E:F,2,0)</f>
        <v>B0DCGHVN81</v>
      </c>
      <c r="E42" s="44" t="s">
        <v>601</v>
      </c>
      <c r="F42" s="44" t="s">
        <v>602</v>
      </c>
      <c r="G42" s="225">
        <f>VLOOKUP(C42,'Amazon Live Products'!E:P,12,0)</f>
        <v>826.95888000000014</v>
      </c>
      <c r="H42" s="226">
        <f>VLOOKUP(D42,'Amazon Live Products'!F:Q,12,0)</f>
        <v>975.81147840000006</v>
      </c>
      <c r="I42" s="227"/>
      <c r="J42" s="227">
        <f t="shared" si="0"/>
        <v>269.86500000000001</v>
      </c>
      <c r="K42" s="227">
        <f t="shared" si="1"/>
        <v>35.982000000000006</v>
      </c>
      <c r="L42" s="227">
        <f t="shared" si="13"/>
        <v>107.946</v>
      </c>
      <c r="M42" s="227">
        <f t="shared" si="2"/>
        <v>274.43898305084736</v>
      </c>
      <c r="N42" s="227">
        <f t="shared" si="3"/>
        <v>53.972999999999999</v>
      </c>
      <c r="O42" s="227">
        <f t="shared" si="4"/>
        <v>53.972999999999999</v>
      </c>
      <c r="P42" s="227">
        <f t="shared" si="5"/>
        <v>1623.1368630508473</v>
      </c>
      <c r="Q42" s="227">
        <f t="shared" si="6"/>
        <v>175.96313694915284</v>
      </c>
      <c r="R42" s="228">
        <f t="shared" si="7"/>
        <v>9.7806201405787802E-2</v>
      </c>
      <c r="S42" s="229">
        <f>VLOOKUP(C42,'Amazon Live Products'!E:AF,28,0)</f>
        <v>1999</v>
      </c>
      <c r="T42" s="229">
        <f t="shared" si="8"/>
        <v>1799.1000000000001</v>
      </c>
      <c r="U42" s="230">
        <f t="shared" si="15"/>
        <v>1799.1000000000001</v>
      </c>
      <c r="V42" s="231">
        <f t="shared" si="10"/>
        <v>1699.1499999999999</v>
      </c>
      <c r="W42" s="117">
        <v>3399</v>
      </c>
      <c r="X42" s="232">
        <f t="shared" si="11"/>
        <v>1739.1299999999999</v>
      </c>
      <c r="Y42" s="232">
        <f t="shared" si="12"/>
        <v>1699.1499999999999</v>
      </c>
      <c r="Z42" s="117"/>
      <c r="AA42" s="233"/>
      <c r="AB42" s="117"/>
      <c r="AC42" s="233"/>
      <c r="AD42" s="117"/>
    </row>
    <row r="43" spans="1:30" ht="14.25" customHeight="1">
      <c r="A43" s="189" t="s">
        <v>953</v>
      </c>
      <c r="B43" s="189" t="s">
        <v>1018</v>
      </c>
      <c r="C43" s="44" t="s">
        <v>603</v>
      </c>
      <c r="D43" s="187" t="str">
        <f>VLOOKUP(C43,'Amazon Live Products'!E:F,2,0)</f>
        <v>B0DTK4FY1G</v>
      </c>
      <c r="E43" s="44" t="s">
        <v>605</v>
      </c>
      <c r="F43" s="44" t="s">
        <v>607</v>
      </c>
      <c r="G43" s="225">
        <f>VLOOKUP(C43,'Amazon Live Products'!E:P,12,0)</f>
        <v>1017.3218879999999</v>
      </c>
      <c r="H43" s="226">
        <f>VLOOKUP(D43,'Amazon Live Products'!F:Q,12,0)</f>
        <v>1200.4398278399999</v>
      </c>
      <c r="I43" s="227"/>
      <c r="J43" s="227">
        <f t="shared" si="0"/>
        <v>364.36499999999995</v>
      </c>
      <c r="K43" s="227">
        <f t="shared" si="1"/>
        <v>48.582000000000001</v>
      </c>
      <c r="L43" s="227">
        <f t="shared" si="13"/>
        <v>145.74599999999998</v>
      </c>
      <c r="M43" s="227">
        <f t="shared" si="2"/>
        <v>370.54067796610161</v>
      </c>
      <c r="N43" s="227">
        <f t="shared" si="3"/>
        <v>72.87299999999999</v>
      </c>
      <c r="O43" s="227">
        <f t="shared" si="4"/>
        <v>72.87299999999999</v>
      </c>
      <c r="P43" s="227">
        <f t="shared" si="5"/>
        <v>2092.3015659661019</v>
      </c>
      <c r="Q43" s="227">
        <f t="shared" si="6"/>
        <v>336.79843403389805</v>
      </c>
      <c r="R43" s="228">
        <f t="shared" si="7"/>
        <v>0.13865153103367422</v>
      </c>
      <c r="S43" s="229">
        <f>VLOOKUP(C43,'Amazon Live Products'!E:AF,28,0)</f>
        <v>2699</v>
      </c>
      <c r="T43" s="229">
        <f t="shared" si="8"/>
        <v>2429.1</v>
      </c>
      <c r="U43" s="230">
        <f t="shared" si="15"/>
        <v>2429.1</v>
      </c>
      <c r="V43" s="231">
        <f t="shared" si="10"/>
        <v>2294.15</v>
      </c>
      <c r="W43" s="117">
        <v>3699</v>
      </c>
      <c r="X43" s="232">
        <f t="shared" si="11"/>
        <v>2348.13</v>
      </c>
      <c r="Y43" s="232">
        <f t="shared" si="12"/>
        <v>2294.15</v>
      </c>
      <c r="Z43" s="117"/>
      <c r="AA43" s="233"/>
      <c r="AB43" s="117"/>
      <c r="AC43" s="233"/>
      <c r="AD43" s="117"/>
    </row>
    <row r="44" spans="1:30" ht="14.25" customHeight="1">
      <c r="A44" s="189" t="s">
        <v>976</v>
      </c>
      <c r="B44" s="189" t="s">
        <v>1019</v>
      </c>
      <c r="C44" s="44" t="s">
        <v>608</v>
      </c>
      <c r="D44" s="187" t="str">
        <f>VLOOKUP(C44,'Amazon Live Products'!E:F,2,0)</f>
        <v>B0DCK56Q85</v>
      </c>
      <c r="E44" s="44" t="s">
        <v>610</v>
      </c>
      <c r="F44" s="44" t="s">
        <v>612</v>
      </c>
      <c r="G44" s="225">
        <f>VLOOKUP(C44,'Amazon Live Products'!E:P,12,0)</f>
        <v>1178.297472</v>
      </c>
      <c r="H44" s="226">
        <f>VLOOKUP(D44,'Amazon Live Products'!F:Q,12,0)</f>
        <v>1390.3910169599999</v>
      </c>
      <c r="I44" s="227"/>
      <c r="J44" s="227">
        <f t="shared" si="0"/>
        <v>337.36499999999995</v>
      </c>
      <c r="K44" s="227">
        <f t="shared" si="1"/>
        <v>44.981999999999999</v>
      </c>
      <c r="L44" s="227">
        <f t="shared" si="13"/>
        <v>134.946</v>
      </c>
      <c r="M44" s="227">
        <f t="shared" si="2"/>
        <v>343.08305084745757</v>
      </c>
      <c r="N44" s="227">
        <f t="shared" si="3"/>
        <v>67.472999999999999</v>
      </c>
      <c r="O44" s="227">
        <f t="shared" si="4"/>
        <v>67.472999999999999</v>
      </c>
      <c r="P44" s="227">
        <f t="shared" si="5"/>
        <v>2173.6195228474576</v>
      </c>
      <c r="Q44" s="227">
        <f t="shared" si="6"/>
        <v>75.480477152542335</v>
      </c>
      <c r="R44" s="228">
        <f t="shared" si="7"/>
        <v>3.3560302855605503E-2</v>
      </c>
      <c r="S44" s="229">
        <f>VLOOKUP(C44,'Amazon Live Products'!E:AF,28,0)</f>
        <v>2499</v>
      </c>
      <c r="T44" s="229">
        <f t="shared" si="8"/>
        <v>2249.1</v>
      </c>
      <c r="U44" s="230">
        <f t="shared" si="15"/>
        <v>2249.1</v>
      </c>
      <c r="V44" s="231">
        <f t="shared" si="10"/>
        <v>2124.15</v>
      </c>
      <c r="W44" s="117">
        <v>4999</v>
      </c>
      <c r="X44" s="232">
        <f t="shared" si="11"/>
        <v>2174.13</v>
      </c>
      <c r="Y44" s="232">
        <f t="shared" si="12"/>
        <v>2124.15</v>
      </c>
      <c r="Z44" s="117"/>
      <c r="AA44" s="233"/>
      <c r="AB44" s="117"/>
      <c r="AC44" s="233"/>
      <c r="AD44" s="117"/>
    </row>
    <row r="45" spans="1:30" ht="14.25" customHeight="1">
      <c r="A45" s="189" t="s">
        <v>976</v>
      </c>
      <c r="B45" s="189" t="s">
        <v>1020</v>
      </c>
      <c r="C45" s="44" t="s">
        <v>615</v>
      </c>
      <c r="D45" s="187" t="str">
        <f>VLOOKUP(C45,'Amazon Live Products'!E:F,2,0)</f>
        <v>B0DFCDKMWR</v>
      </c>
      <c r="E45" s="44" t="s">
        <v>617</v>
      </c>
      <c r="F45" s="44" t="s">
        <v>620</v>
      </c>
      <c r="G45" s="225">
        <f>VLOOKUP(C45,'Amazon Live Products'!E:P,12,0)</f>
        <v>468.27792000000011</v>
      </c>
      <c r="H45" s="226">
        <f>VLOOKUP(D45,'Amazon Live Products'!F:Q,12,0)</f>
        <v>524.47127040000021</v>
      </c>
      <c r="I45" s="227"/>
      <c r="J45" s="227">
        <f t="shared" si="0"/>
        <v>172.125</v>
      </c>
      <c r="K45" s="227">
        <f t="shared" si="1"/>
        <v>22.95</v>
      </c>
      <c r="L45" s="227">
        <f t="shared" si="13"/>
        <v>68.849999999999994</v>
      </c>
      <c r="M45" s="227">
        <f t="shared" si="2"/>
        <v>175.04237288135585</v>
      </c>
      <c r="N45" s="227">
        <f t="shared" si="3"/>
        <v>34.424999999999997</v>
      </c>
      <c r="O45" s="227">
        <f t="shared" si="4"/>
        <v>34.424999999999997</v>
      </c>
      <c r="P45" s="227">
        <f t="shared" si="5"/>
        <v>976.09529288135593</v>
      </c>
      <c r="Q45" s="227">
        <f t="shared" si="6"/>
        <v>171.40470711864407</v>
      </c>
      <c r="R45" s="228">
        <f t="shared" si="7"/>
        <v>0.14937229378531072</v>
      </c>
      <c r="S45" s="229">
        <f>VLOOKUP(C45,'Amazon Live Products'!E:AF,28,0)</f>
        <v>1275</v>
      </c>
      <c r="T45" s="229">
        <f t="shared" si="8"/>
        <v>1147.5</v>
      </c>
      <c r="U45" s="230">
        <f t="shared" si="15"/>
        <v>1147.5</v>
      </c>
      <c r="V45" s="231">
        <f t="shared" si="10"/>
        <v>1083.75</v>
      </c>
      <c r="W45" s="117">
        <v>4299</v>
      </c>
      <c r="X45" s="232">
        <f t="shared" si="11"/>
        <v>1109.25</v>
      </c>
      <c r="Y45" s="232">
        <f t="shared" si="12"/>
        <v>1083.75</v>
      </c>
      <c r="Z45" s="117"/>
      <c r="AA45" s="233"/>
      <c r="AB45" s="117"/>
      <c r="AC45" s="233"/>
      <c r="AD45" s="117"/>
    </row>
    <row r="46" spans="1:30" ht="14.25" customHeight="1">
      <c r="A46" s="189" t="s">
        <v>976</v>
      </c>
      <c r="B46" s="189" t="s">
        <v>1021</v>
      </c>
      <c r="C46" s="44" t="s">
        <v>621</v>
      </c>
      <c r="D46" s="187" t="str">
        <f>VLOOKUP(C46,'Amazon Live Products'!E:F,2,0)</f>
        <v>B0DFCDZWND</v>
      </c>
      <c r="E46" s="44" t="s">
        <v>623</v>
      </c>
      <c r="F46" s="44" t="s">
        <v>624</v>
      </c>
      <c r="G46" s="225">
        <f>VLOOKUP(C46,'Amazon Live Products'!E:P,12,0)</f>
        <v>468.27792000000011</v>
      </c>
      <c r="H46" s="226">
        <f>VLOOKUP(D46,'Amazon Live Products'!F:Q,12,0)</f>
        <v>524.47127040000021</v>
      </c>
      <c r="I46" s="227"/>
      <c r="J46" s="227">
        <f t="shared" si="0"/>
        <v>175.36500000000001</v>
      </c>
      <c r="K46" s="227">
        <f t="shared" si="1"/>
        <v>23.382000000000001</v>
      </c>
      <c r="L46" s="227">
        <f t="shared" si="13"/>
        <v>70.146000000000001</v>
      </c>
      <c r="M46" s="227">
        <f t="shared" si="2"/>
        <v>178.33728813559321</v>
      </c>
      <c r="N46" s="227">
        <f t="shared" si="3"/>
        <v>35.073</v>
      </c>
      <c r="O46" s="227">
        <f t="shared" si="4"/>
        <v>35.073</v>
      </c>
      <c r="P46" s="227">
        <f t="shared" si="5"/>
        <v>985.65420813559319</v>
      </c>
      <c r="Q46" s="227">
        <f t="shared" si="6"/>
        <v>183.44579186440694</v>
      </c>
      <c r="R46" s="228">
        <f t="shared" si="7"/>
        <v>0.15691197661825929</v>
      </c>
      <c r="S46" s="229">
        <f>VLOOKUP(C46,'Amazon Live Products'!E:AF,28,0)</f>
        <v>1299</v>
      </c>
      <c r="T46" s="229">
        <f t="shared" si="8"/>
        <v>1169.1000000000001</v>
      </c>
      <c r="U46" s="230">
        <f t="shared" si="15"/>
        <v>1169.1000000000001</v>
      </c>
      <c r="V46" s="231">
        <f t="shared" si="10"/>
        <v>1104.1499999999999</v>
      </c>
      <c r="W46" s="117">
        <v>2499</v>
      </c>
      <c r="X46" s="232">
        <f t="shared" si="11"/>
        <v>1130.1299999999999</v>
      </c>
      <c r="Y46" s="232">
        <f t="shared" si="12"/>
        <v>1104.1499999999999</v>
      </c>
      <c r="Z46" s="117"/>
      <c r="AA46" s="233"/>
      <c r="AB46" s="117"/>
      <c r="AC46" s="233"/>
      <c r="AD46" s="117"/>
    </row>
    <row r="47" spans="1:30" ht="14.25" customHeight="1">
      <c r="A47" s="189" t="s">
        <v>976</v>
      </c>
      <c r="B47" s="189" t="s">
        <v>1022</v>
      </c>
      <c r="C47" s="44" t="s">
        <v>625</v>
      </c>
      <c r="D47" s="187" t="str">
        <f>VLOOKUP(C47,'Amazon Live Products'!E:F,2,0)</f>
        <v>B0DFM4JZV9</v>
      </c>
      <c r="E47" s="44" t="s">
        <v>627</v>
      </c>
      <c r="F47" s="44" t="s">
        <v>631</v>
      </c>
      <c r="G47" s="225">
        <f>VLOOKUP(C47,'Amazon Live Products'!E:P,12,0)</f>
        <v>1039.6676399999999</v>
      </c>
      <c r="H47" s="226">
        <f>VLOOKUP(D47,'Amazon Live Products'!F:Q,12,0)</f>
        <v>1226.8078151999998</v>
      </c>
      <c r="I47" s="227"/>
      <c r="J47" s="227">
        <f t="shared" si="0"/>
        <v>310.36499999999995</v>
      </c>
      <c r="K47" s="227">
        <f t="shared" si="1"/>
        <v>41.381999999999998</v>
      </c>
      <c r="L47" s="227">
        <f t="shared" si="13"/>
        <v>124.14599999999999</v>
      </c>
      <c r="M47" s="227">
        <f t="shared" si="2"/>
        <v>315.62542372881353</v>
      </c>
      <c r="N47" s="227">
        <f t="shared" si="3"/>
        <v>62.072999999999993</v>
      </c>
      <c r="O47" s="227">
        <f t="shared" si="4"/>
        <v>62.072999999999993</v>
      </c>
      <c r="P47" s="227">
        <f t="shared" si="5"/>
        <v>1955.3320637288136</v>
      </c>
      <c r="Q47" s="227">
        <f t="shared" si="6"/>
        <v>113.76793627118627</v>
      </c>
      <c r="R47" s="228">
        <f t="shared" si="7"/>
        <v>5.498426188738402E-2</v>
      </c>
      <c r="S47" s="229">
        <f>VLOOKUP(C47,'Amazon Live Products'!E:AF,28,0)</f>
        <v>2299</v>
      </c>
      <c r="T47" s="229">
        <f t="shared" si="8"/>
        <v>2069.1</v>
      </c>
      <c r="U47" s="230">
        <f t="shared" si="15"/>
        <v>2069.1</v>
      </c>
      <c r="V47" s="231">
        <f t="shared" si="10"/>
        <v>1954.1499999999999</v>
      </c>
      <c r="W47" s="117">
        <v>2499</v>
      </c>
      <c r="X47" s="232">
        <f t="shared" si="11"/>
        <v>2000.1299999999999</v>
      </c>
      <c r="Y47" s="232">
        <f t="shared" si="12"/>
        <v>1954.1499999999999</v>
      </c>
      <c r="Z47" s="117"/>
      <c r="AA47" s="233"/>
      <c r="AB47" s="117"/>
      <c r="AC47" s="233"/>
      <c r="AD47" s="117"/>
    </row>
    <row r="48" spans="1:30" ht="14.25" customHeight="1">
      <c r="A48" s="189" t="s">
        <v>974</v>
      </c>
      <c r="B48" s="189" t="s">
        <v>1023</v>
      </c>
      <c r="C48" s="44" t="s">
        <v>632</v>
      </c>
      <c r="D48" s="187" t="str">
        <f>VLOOKUP(C48,'Amazon Live Products'!E:F,2,0)</f>
        <v>B0DK9LYT4P</v>
      </c>
      <c r="E48" s="44" t="s">
        <v>634</v>
      </c>
      <c r="F48" s="44" t="s">
        <v>636</v>
      </c>
      <c r="G48" s="225">
        <f>VLOOKUP(C48,'Amazon Live Products'!E:P,12,0)</f>
        <v>405.17664000000002</v>
      </c>
      <c r="H48" s="226">
        <f>VLOOKUP(D48,'Amazon Live Products'!F:Q,12,0)</f>
        <v>478.10843519999997</v>
      </c>
      <c r="I48" s="227"/>
      <c r="J48" s="227">
        <f t="shared" si="0"/>
        <v>106.64999999999999</v>
      </c>
      <c r="K48" s="227">
        <f t="shared" si="1"/>
        <v>14.22</v>
      </c>
      <c r="L48" s="227">
        <f t="shared" si="13"/>
        <v>42.66</v>
      </c>
      <c r="M48" s="227">
        <f t="shared" si="2"/>
        <v>108.45762711864404</v>
      </c>
      <c r="N48" s="227">
        <f t="shared" si="3"/>
        <v>21.33</v>
      </c>
      <c r="O48" s="227">
        <f t="shared" si="4"/>
        <v>21.33</v>
      </c>
      <c r="P48" s="227">
        <f t="shared" si="5"/>
        <v>719.82426711864412</v>
      </c>
      <c r="Q48" s="227">
        <f t="shared" si="6"/>
        <v>-8.8242671186441157</v>
      </c>
      <c r="R48" s="228">
        <f t="shared" si="7"/>
        <v>-1.2411064864478363E-2</v>
      </c>
      <c r="S48" s="229">
        <f>VLOOKUP(C48,'Amazon Live Products'!E:AF,28,0)</f>
        <v>790</v>
      </c>
      <c r="T48" s="229">
        <f t="shared" si="8"/>
        <v>711</v>
      </c>
      <c r="U48" s="230">
        <f t="shared" si="15"/>
        <v>711</v>
      </c>
      <c r="V48" s="231">
        <f t="shared" si="10"/>
        <v>671.5</v>
      </c>
      <c r="W48" s="117">
        <v>4199</v>
      </c>
      <c r="X48" s="232">
        <f t="shared" si="11"/>
        <v>687.3</v>
      </c>
      <c r="Y48" s="232">
        <f t="shared" si="12"/>
        <v>671.5</v>
      </c>
      <c r="Z48" s="117"/>
      <c r="AA48" s="233"/>
      <c r="AB48" s="117"/>
      <c r="AC48" s="44"/>
      <c r="AD48" s="117"/>
    </row>
    <row r="49" spans="1:30" ht="14.25" customHeight="1">
      <c r="A49" s="189" t="s">
        <v>974</v>
      </c>
      <c r="B49" s="189" t="s">
        <v>1024</v>
      </c>
      <c r="C49" s="44" t="s">
        <v>947</v>
      </c>
      <c r="D49" s="187" t="str">
        <f>VLOOKUP(C49,'Amazon Live Products'!E:F,2,0)</f>
        <v>B0DTYDTKN8</v>
      </c>
      <c r="E49" s="44" t="s">
        <v>639</v>
      </c>
      <c r="F49" s="44" t="s">
        <v>948</v>
      </c>
      <c r="G49" s="225" t="e">
        <f>VLOOKUP(C49,'Amazon Live Products'!E:P,12,0)</f>
        <v>#N/A</v>
      </c>
      <c r="H49" s="226" t="e">
        <f>VLOOKUP(D49,'Amazon Live Products'!F:Q,12,0)</f>
        <v>#N/A</v>
      </c>
      <c r="I49" s="227"/>
      <c r="J49" s="227">
        <f t="shared" si="0"/>
        <v>539.86500000000001</v>
      </c>
      <c r="K49" s="227">
        <f t="shared" si="1"/>
        <v>71.981999999999999</v>
      </c>
      <c r="L49" s="227">
        <f t="shared" si="13"/>
        <v>215.946</v>
      </c>
      <c r="M49" s="227">
        <f t="shared" si="2"/>
        <v>549.01525423728799</v>
      </c>
      <c r="N49" s="227">
        <f t="shared" si="3"/>
        <v>107.973</v>
      </c>
      <c r="O49" s="227">
        <f t="shared" si="4"/>
        <v>107.973</v>
      </c>
      <c r="P49" s="227" t="e">
        <f t="shared" si="5"/>
        <v>#N/A</v>
      </c>
      <c r="Q49" s="227" t="e">
        <f t="shared" si="6"/>
        <v>#N/A</v>
      </c>
      <c r="R49" s="228" t="e">
        <f t="shared" si="7"/>
        <v>#N/A</v>
      </c>
      <c r="S49" s="229">
        <f>VLOOKUP(C49,'Amazon Live Products'!E:AF,28,0)</f>
        <v>3999</v>
      </c>
      <c r="T49" s="229">
        <f t="shared" si="8"/>
        <v>3599.1</v>
      </c>
      <c r="U49" s="230">
        <f t="shared" si="15"/>
        <v>3599.1</v>
      </c>
      <c r="V49" s="231">
        <f t="shared" si="10"/>
        <v>3399.15</v>
      </c>
      <c r="W49" s="117">
        <v>1499</v>
      </c>
      <c r="X49" s="232">
        <f t="shared" si="11"/>
        <v>3479.13</v>
      </c>
      <c r="Y49" s="232">
        <f t="shared" si="12"/>
        <v>3399.15</v>
      </c>
      <c r="Z49" s="117"/>
      <c r="AA49" s="233"/>
      <c r="AB49" s="117"/>
      <c r="AC49" s="233"/>
      <c r="AD49" s="117"/>
    </row>
    <row r="50" spans="1:30" ht="14.25" customHeight="1">
      <c r="A50" s="189" t="s">
        <v>1001</v>
      </c>
      <c r="B50" s="189" t="s">
        <v>1025</v>
      </c>
      <c r="C50" s="44" t="s">
        <v>642</v>
      </c>
      <c r="D50" s="187" t="str">
        <f>VLOOKUP(C50,'Amazon Live Products'!E:F,2,0)</f>
        <v>B0DCK4DR1B</v>
      </c>
      <c r="E50" s="44" t="s">
        <v>644</v>
      </c>
      <c r="F50" s="44" t="s">
        <v>645</v>
      </c>
      <c r="G50" s="225">
        <f>VLOOKUP(C50,'Amazon Live Products'!E:P,12,0)</f>
        <v>498.16799999999995</v>
      </c>
      <c r="H50" s="226">
        <f>VLOOKUP(D50,'Amazon Live Products'!F:Q,12,0)</f>
        <v>587.83823999999993</v>
      </c>
      <c r="I50" s="227"/>
      <c r="J50" s="227">
        <f t="shared" si="0"/>
        <v>202.36500000000001</v>
      </c>
      <c r="K50" s="227">
        <f t="shared" si="1"/>
        <v>26.982000000000003</v>
      </c>
      <c r="L50" s="227">
        <f t="shared" si="13"/>
        <v>80.946000000000012</v>
      </c>
      <c r="M50" s="227">
        <f t="shared" si="2"/>
        <v>205.79491525423714</v>
      </c>
      <c r="N50" s="227">
        <f t="shared" si="3"/>
        <v>40.473000000000006</v>
      </c>
      <c r="O50" s="227">
        <f t="shared" si="4"/>
        <v>40.473000000000006</v>
      </c>
      <c r="P50" s="227">
        <f t="shared" si="5"/>
        <v>1095.2019152542371</v>
      </c>
      <c r="Q50" s="227">
        <f t="shared" si="6"/>
        <v>253.89808474576307</v>
      </c>
      <c r="R50" s="228">
        <f t="shared" si="7"/>
        <v>0.18819812078108594</v>
      </c>
      <c r="S50" s="229">
        <f>VLOOKUP(C50,'Amazon Live Products'!E:AF,28,0)</f>
        <v>1499</v>
      </c>
      <c r="T50" s="229">
        <f t="shared" si="8"/>
        <v>1349.1000000000001</v>
      </c>
      <c r="U50" s="230">
        <f t="shared" si="15"/>
        <v>1349.1000000000001</v>
      </c>
      <c r="V50" s="231">
        <f t="shared" si="10"/>
        <v>1274.1499999999999</v>
      </c>
      <c r="W50" s="117">
        <v>7499</v>
      </c>
      <c r="X50" s="232">
        <f t="shared" si="11"/>
        <v>1304.1299999999999</v>
      </c>
      <c r="Y50" s="232">
        <f t="shared" si="12"/>
        <v>1274.1499999999999</v>
      </c>
      <c r="Z50" s="117"/>
      <c r="AA50" s="233"/>
      <c r="AB50" s="117"/>
      <c r="AC50" s="233"/>
      <c r="AD50" s="117"/>
    </row>
    <row r="51" spans="1:30" ht="14.25" customHeight="1">
      <c r="A51" s="189" t="s">
        <v>934</v>
      </c>
      <c r="B51" s="189" t="s">
        <v>1026</v>
      </c>
      <c r="C51" s="44" t="s">
        <v>646</v>
      </c>
      <c r="D51" s="187" t="str">
        <f>VLOOKUP(C51,'Amazon Live Products'!E:F,2,0)</f>
        <v>B0DJFH6RTL</v>
      </c>
      <c r="E51" s="44" t="s">
        <v>648</v>
      </c>
      <c r="F51" s="44" t="s">
        <v>949</v>
      </c>
      <c r="G51" s="225">
        <f>VLOOKUP(C51,'Amazon Live Products'!E:P,12,0)</f>
        <v>680.15639999999996</v>
      </c>
      <c r="H51" s="226">
        <f>VLOOKUP(D51,'Amazon Live Products'!F:Q,12,0)</f>
        <v>802.58455199999992</v>
      </c>
      <c r="I51" s="227"/>
      <c r="J51" s="227">
        <f t="shared" si="0"/>
        <v>202.36500000000001</v>
      </c>
      <c r="K51" s="227">
        <f t="shared" si="1"/>
        <v>26.982000000000003</v>
      </c>
      <c r="L51" s="227">
        <f t="shared" si="13"/>
        <v>80.946000000000012</v>
      </c>
      <c r="M51" s="227">
        <f t="shared" si="2"/>
        <v>205.79491525423714</v>
      </c>
      <c r="N51" s="227">
        <f t="shared" si="3"/>
        <v>40.473000000000006</v>
      </c>
      <c r="O51" s="227">
        <f t="shared" si="4"/>
        <v>40.473000000000006</v>
      </c>
      <c r="P51" s="227">
        <f t="shared" si="5"/>
        <v>1277.190315254237</v>
      </c>
      <c r="Q51" s="227">
        <f t="shared" si="6"/>
        <v>71.909684745763116</v>
      </c>
      <c r="R51" s="228">
        <f t="shared" si="7"/>
        <v>5.3301967790203179E-2</v>
      </c>
      <c r="S51" s="229">
        <f>VLOOKUP(C51,'Amazon Live Products'!E:AF,28,0)</f>
        <v>1499</v>
      </c>
      <c r="T51" s="229">
        <f t="shared" si="8"/>
        <v>1349.1000000000001</v>
      </c>
      <c r="U51" s="230">
        <f t="shared" si="15"/>
        <v>1349.1000000000001</v>
      </c>
      <c r="V51" s="231">
        <f t="shared" si="10"/>
        <v>1274.1499999999999</v>
      </c>
      <c r="W51" s="117">
        <v>2499</v>
      </c>
      <c r="X51" s="232">
        <f t="shared" si="11"/>
        <v>1304.1299999999999</v>
      </c>
      <c r="Y51" s="232">
        <f t="shared" si="12"/>
        <v>1274.1499999999999</v>
      </c>
      <c r="Z51" s="117"/>
      <c r="AA51" s="233">
        <v>1274</v>
      </c>
      <c r="AB51" s="117"/>
      <c r="AC51" s="233"/>
      <c r="AD51" s="117"/>
    </row>
    <row r="52" spans="1:30" ht="14.25" customHeight="1">
      <c r="A52" s="189" t="s">
        <v>934</v>
      </c>
      <c r="B52" s="189" t="s">
        <v>1027</v>
      </c>
      <c r="C52" s="44" t="s">
        <v>651</v>
      </c>
      <c r="D52" s="187" t="str">
        <f>VLOOKUP(C52,'Amazon Live Products'!E:F,2,0)</f>
        <v>B0DJFH4K8B</v>
      </c>
      <c r="E52" s="44" t="s">
        <v>653</v>
      </c>
      <c r="F52" s="44" t="s">
        <v>654</v>
      </c>
      <c r="G52" s="225">
        <f>VLOOKUP(C52,'Amazon Live Products'!E:P,12,0)</f>
        <v>680.15639999999996</v>
      </c>
      <c r="H52" s="226">
        <f>VLOOKUP(D52,'Amazon Live Products'!F:Q,12,0)</f>
        <v>802.58455199999992</v>
      </c>
      <c r="I52" s="227"/>
      <c r="J52" s="227">
        <f t="shared" si="0"/>
        <v>263.11500000000001</v>
      </c>
      <c r="K52" s="227">
        <f t="shared" si="1"/>
        <v>35.082000000000001</v>
      </c>
      <c r="L52" s="227">
        <f t="shared" si="13"/>
        <v>105.24600000000001</v>
      </c>
      <c r="M52" s="227">
        <f t="shared" si="2"/>
        <v>267.57457627118629</v>
      </c>
      <c r="N52" s="227">
        <f t="shared" si="3"/>
        <v>52.623000000000005</v>
      </c>
      <c r="O52" s="227">
        <f t="shared" si="4"/>
        <v>52.623000000000005</v>
      </c>
      <c r="P52" s="227">
        <f t="shared" si="5"/>
        <v>1456.4199762711864</v>
      </c>
      <c r="Q52" s="227">
        <f t="shared" si="6"/>
        <v>297.68002372881369</v>
      </c>
      <c r="R52" s="228">
        <f t="shared" si="7"/>
        <v>0.16970527548532791</v>
      </c>
      <c r="S52" s="229">
        <f>VLOOKUP(C52,'Amazon Live Products'!E:AF,28,0)</f>
        <v>1949</v>
      </c>
      <c r="T52" s="229">
        <f t="shared" si="8"/>
        <v>1754.1000000000001</v>
      </c>
      <c r="U52" s="230">
        <f t="shared" si="15"/>
        <v>1754.1000000000001</v>
      </c>
      <c r="V52" s="231">
        <f t="shared" si="10"/>
        <v>1656.6499999999999</v>
      </c>
      <c r="W52" s="117">
        <v>2799</v>
      </c>
      <c r="X52" s="232">
        <f t="shared" si="11"/>
        <v>1695.6299999999999</v>
      </c>
      <c r="Y52" s="232">
        <f t="shared" si="12"/>
        <v>1656.6499999999999</v>
      </c>
      <c r="Z52" s="117"/>
      <c r="AA52" s="233">
        <v>1657</v>
      </c>
      <c r="AB52" s="117"/>
      <c r="AC52" s="233"/>
      <c r="AD52" s="117"/>
    </row>
    <row r="53" spans="1:30" ht="14.25" customHeight="1">
      <c r="A53" s="189" t="s">
        <v>974</v>
      </c>
      <c r="B53" s="189" t="s">
        <v>1028</v>
      </c>
      <c r="C53" s="44" t="s">
        <v>655</v>
      </c>
      <c r="D53" s="187" t="str">
        <f>VLOOKUP(C53,'Amazon Live Products'!E:F,2,0)</f>
        <v>B0DJFJZMC6</v>
      </c>
      <c r="E53" s="44" t="s">
        <v>657</v>
      </c>
      <c r="F53" s="44" t="s">
        <v>658</v>
      </c>
      <c r="G53" s="225">
        <f>VLOOKUP(C53,'Amazon Live Products'!E:P,12,0)</f>
        <v>915.29618399999993</v>
      </c>
      <c r="H53" s="226">
        <f>VLOOKUP(D53,'Amazon Live Products'!F:Q,12,0)</f>
        <v>1080.0494971199998</v>
      </c>
      <c r="I53" s="227"/>
      <c r="J53" s="227">
        <f t="shared" si="0"/>
        <v>310.36499999999995</v>
      </c>
      <c r="K53" s="227">
        <f t="shared" si="1"/>
        <v>41.381999999999998</v>
      </c>
      <c r="L53" s="227">
        <f t="shared" si="13"/>
        <v>124.14599999999999</v>
      </c>
      <c r="M53" s="227">
        <f t="shared" si="2"/>
        <v>315.62542372881353</v>
      </c>
      <c r="N53" s="227">
        <f t="shared" si="3"/>
        <v>62.072999999999993</v>
      </c>
      <c r="O53" s="227">
        <f t="shared" si="4"/>
        <v>62.072999999999993</v>
      </c>
      <c r="P53" s="227">
        <f t="shared" si="5"/>
        <v>1830.9606077288136</v>
      </c>
      <c r="Q53" s="227">
        <f t="shared" si="6"/>
        <v>238.13939227118635</v>
      </c>
      <c r="R53" s="228">
        <f t="shared" si="7"/>
        <v>0.11509322520476843</v>
      </c>
      <c r="S53" s="229">
        <f>VLOOKUP(C53,'Amazon Live Products'!E:AF,28,0)</f>
        <v>2299</v>
      </c>
      <c r="T53" s="229">
        <f t="shared" si="8"/>
        <v>2069.1</v>
      </c>
      <c r="U53" s="230">
        <f t="shared" si="15"/>
        <v>2069.1</v>
      </c>
      <c r="V53" s="231">
        <f t="shared" si="10"/>
        <v>1954.1499999999999</v>
      </c>
      <c r="W53" s="117">
        <v>3699</v>
      </c>
      <c r="X53" s="232">
        <f t="shared" si="11"/>
        <v>2000.1299999999999</v>
      </c>
      <c r="Y53" s="232">
        <f t="shared" si="12"/>
        <v>1954.1499999999999</v>
      </c>
      <c r="Z53" s="117"/>
      <c r="AA53" s="233"/>
      <c r="AB53" s="117"/>
      <c r="AC53" s="233"/>
      <c r="AD53" s="117"/>
    </row>
    <row r="54" spans="1:30" ht="14.25" customHeight="1">
      <c r="A54" s="189" t="s">
        <v>934</v>
      </c>
      <c r="B54" s="189" t="s">
        <v>1029</v>
      </c>
      <c r="C54" s="44" t="s">
        <v>659</v>
      </c>
      <c r="D54" s="187" t="str">
        <f>VLOOKUP(C54,'Amazon Live Products'!E:F,2,0)</f>
        <v>B0DDC3GVZW</v>
      </c>
      <c r="E54" s="44" t="s">
        <v>661</v>
      </c>
      <c r="F54" s="44" t="s">
        <v>662</v>
      </c>
      <c r="G54" s="225">
        <f>VLOOKUP(C54,'Amazon Live Products'!E:P,12,0)</f>
        <v>736.98345600000005</v>
      </c>
      <c r="H54" s="226">
        <f>VLOOKUP(D54,'Amazon Live Products'!F:Q,12,0)</f>
        <v>869.64047807999998</v>
      </c>
      <c r="I54" s="227"/>
      <c r="J54" s="227">
        <f t="shared" si="0"/>
        <v>269.86500000000001</v>
      </c>
      <c r="K54" s="227">
        <f t="shared" si="1"/>
        <v>35.982000000000006</v>
      </c>
      <c r="L54" s="227">
        <f t="shared" si="13"/>
        <v>107.946</v>
      </c>
      <c r="M54" s="227">
        <f t="shared" si="2"/>
        <v>274.43898305084736</v>
      </c>
      <c r="N54" s="227">
        <f t="shared" si="3"/>
        <v>53.972999999999999</v>
      </c>
      <c r="O54" s="227">
        <f t="shared" si="4"/>
        <v>53.972999999999999</v>
      </c>
      <c r="P54" s="227">
        <f t="shared" si="5"/>
        <v>1533.1614390508473</v>
      </c>
      <c r="Q54" s="227">
        <f t="shared" si="6"/>
        <v>265.93856094915282</v>
      </c>
      <c r="R54" s="228">
        <f t="shared" si="7"/>
        <v>0.14781755374862587</v>
      </c>
      <c r="S54" s="229">
        <f>VLOOKUP(C54,'Amazon Live Products'!E:AF,28,0)</f>
        <v>1999</v>
      </c>
      <c r="T54" s="229">
        <f t="shared" si="8"/>
        <v>1799.1000000000001</v>
      </c>
      <c r="U54" s="230">
        <f t="shared" si="15"/>
        <v>1799.1000000000001</v>
      </c>
      <c r="V54" s="231">
        <f t="shared" si="10"/>
        <v>1699.1499999999999</v>
      </c>
      <c r="W54" s="117">
        <v>4699</v>
      </c>
      <c r="X54" s="232">
        <f t="shared" si="11"/>
        <v>1739.1299999999999</v>
      </c>
      <c r="Y54" s="232">
        <f t="shared" si="12"/>
        <v>1699.1499999999999</v>
      </c>
      <c r="Z54" s="117"/>
      <c r="AA54" s="233">
        <v>1299</v>
      </c>
      <c r="AB54" s="117"/>
      <c r="AC54" s="233"/>
      <c r="AD54" s="117"/>
    </row>
    <row r="55" spans="1:30" ht="14.25" customHeight="1">
      <c r="A55" s="189" t="s">
        <v>976</v>
      </c>
      <c r="B55" s="189" t="s">
        <v>1030</v>
      </c>
      <c r="C55" s="44" t="s">
        <v>663</v>
      </c>
      <c r="D55" s="187" t="str">
        <f>VLOOKUP(C55,'Amazon Live Products'!E:F,2,0)</f>
        <v>B0DFMRG2K4</v>
      </c>
      <c r="E55" s="44" t="s">
        <v>665</v>
      </c>
      <c r="F55" s="44" t="s">
        <v>667</v>
      </c>
      <c r="G55" s="225">
        <f>VLOOKUP(C55,'Amazon Live Products'!E:P,12,0)</f>
        <v>1095.0719999999999</v>
      </c>
      <c r="H55" s="226">
        <f>VLOOKUP(D55,'Amazon Live Products'!F:Q,12,0)</f>
        <v>1292.1849599999998</v>
      </c>
      <c r="I55" s="227"/>
      <c r="J55" s="227">
        <f t="shared" si="0"/>
        <v>296.86500000000001</v>
      </c>
      <c r="K55" s="227">
        <f t="shared" si="1"/>
        <v>39.582000000000001</v>
      </c>
      <c r="L55" s="227">
        <f t="shared" si="13"/>
        <v>118.74600000000001</v>
      </c>
      <c r="M55" s="227">
        <f t="shared" si="2"/>
        <v>301.8966101694914</v>
      </c>
      <c r="N55" s="227">
        <f t="shared" si="3"/>
        <v>59.373000000000005</v>
      </c>
      <c r="O55" s="227">
        <f t="shared" si="4"/>
        <v>59.373000000000005</v>
      </c>
      <c r="P55" s="227">
        <f t="shared" si="5"/>
        <v>1970.9076101694916</v>
      </c>
      <c r="Q55" s="227">
        <f t="shared" si="6"/>
        <v>8.1923898305085459</v>
      </c>
      <c r="R55" s="228">
        <f t="shared" si="7"/>
        <v>4.139452190646529E-3</v>
      </c>
      <c r="S55" s="229">
        <f>VLOOKUP(C55,'Amazon Live Products'!E:AF,28,0)</f>
        <v>2199</v>
      </c>
      <c r="T55" s="229">
        <f t="shared" si="8"/>
        <v>1979.1000000000001</v>
      </c>
      <c r="U55" s="230">
        <f t="shared" si="15"/>
        <v>1979.1000000000001</v>
      </c>
      <c r="V55" s="231">
        <f t="shared" si="10"/>
        <v>1869.1499999999999</v>
      </c>
      <c r="W55" s="117">
        <v>3999</v>
      </c>
      <c r="X55" s="232">
        <f t="shared" si="11"/>
        <v>1913.1299999999999</v>
      </c>
      <c r="Y55" s="232">
        <f t="shared" si="12"/>
        <v>1869.1499999999999</v>
      </c>
      <c r="Z55" s="117"/>
      <c r="AA55" s="233"/>
      <c r="AB55" s="117"/>
      <c r="AC55" s="233"/>
      <c r="AD55" s="117"/>
    </row>
    <row r="56" spans="1:30" ht="14.25" customHeight="1">
      <c r="A56" s="189" t="s">
        <v>974</v>
      </c>
      <c r="B56" s="189" t="s">
        <v>1031</v>
      </c>
      <c r="C56" s="44" t="s">
        <v>668</v>
      </c>
      <c r="D56" s="187" t="str">
        <f>VLOOKUP(C56,'Amazon Live Products'!E:F,2,0)</f>
        <v>B0DNJF1BLS</v>
      </c>
      <c r="E56" s="44" t="s">
        <v>670</v>
      </c>
      <c r="F56" s="44" t="s">
        <v>673</v>
      </c>
      <c r="G56" s="225">
        <f>VLOOKUP(C56,'Amazon Live Products'!E:P,12,0)</f>
        <v>569.43744000000004</v>
      </c>
      <c r="H56" s="226">
        <f>VLOOKUP(D56,'Amazon Live Products'!F:Q,12,0)</f>
        <v>671.93617919999997</v>
      </c>
      <c r="I56" s="227"/>
      <c r="J56" s="227">
        <f t="shared" si="0"/>
        <v>202.36500000000001</v>
      </c>
      <c r="K56" s="227">
        <f t="shared" si="1"/>
        <v>26.982000000000003</v>
      </c>
      <c r="L56" s="227">
        <f t="shared" si="13"/>
        <v>80.946000000000012</v>
      </c>
      <c r="M56" s="227">
        <f t="shared" si="2"/>
        <v>205.79491525423714</v>
      </c>
      <c r="N56" s="227">
        <f t="shared" si="3"/>
        <v>40.473000000000006</v>
      </c>
      <c r="O56" s="227">
        <f t="shared" si="4"/>
        <v>40.473000000000006</v>
      </c>
      <c r="P56" s="227">
        <f t="shared" si="5"/>
        <v>1166.4713552542371</v>
      </c>
      <c r="Q56" s="227">
        <f t="shared" si="6"/>
        <v>182.62864474576304</v>
      </c>
      <c r="R56" s="228">
        <f t="shared" si="7"/>
        <v>0.13537072473928027</v>
      </c>
      <c r="S56" s="229">
        <f>VLOOKUP(C56,'Amazon Live Products'!E:AF,28,0)</f>
        <v>1499</v>
      </c>
      <c r="T56" s="229">
        <f t="shared" si="8"/>
        <v>1349.1000000000001</v>
      </c>
      <c r="U56" s="230">
        <f t="shared" si="15"/>
        <v>1349.1000000000001</v>
      </c>
      <c r="V56" s="231">
        <f t="shared" si="10"/>
        <v>1274.1499999999999</v>
      </c>
      <c r="W56" s="117">
        <v>3999</v>
      </c>
      <c r="X56" s="232">
        <f t="shared" si="11"/>
        <v>1304.1299999999999</v>
      </c>
      <c r="Y56" s="232">
        <f t="shared" si="12"/>
        <v>1274.1499999999999</v>
      </c>
      <c r="Z56" s="117"/>
      <c r="AA56" s="233"/>
      <c r="AB56" s="117"/>
      <c r="AC56" s="233"/>
      <c r="AD56" s="117"/>
    </row>
    <row r="57" spans="1:30" ht="14.25" customHeight="1">
      <c r="A57" s="189" t="s">
        <v>934</v>
      </c>
      <c r="B57" s="189" t="s">
        <v>1032</v>
      </c>
      <c r="C57" s="44" t="s">
        <v>675</v>
      </c>
      <c r="D57" s="187" t="str">
        <f>VLOOKUP(C57,'Amazon Live Products'!E:F,2,0)</f>
        <v>B0DK9NRBWJ</v>
      </c>
      <c r="E57" s="44" t="s">
        <v>677</v>
      </c>
      <c r="F57" s="44" t="s">
        <v>678</v>
      </c>
      <c r="G57" s="225">
        <f>VLOOKUP(C57,'Amazon Live Products'!E:P,12,0)</f>
        <v>498.25776000000002</v>
      </c>
      <c r="H57" s="226">
        <f>VLOOKUP(D57,'Amazon Live Products'!F:Q,12,0)</f>
        <v>587.94415679999997</v>
      </c>
      <c r="I57" s="227"/>
      <c r="J57" s="227">
        <f t="shared" si="0"/>
        <v>152.95500000000001</v>
      </c>
      <c r="K57" s="227">
        <f t="shared" si="1"/>
        <v>20.394000000000002</v>
      </c>
      <c r="L57" s="227">
        <f t="shared" si="13"/>
        <v>61.182000000000002</v>
      </c>
      <c r="M57" s="227">
        <f t="shared" si="2"/>
        <v>155.54745762711866</v>
      </c>
      <c r="N57" s="227">
        <f t="shared" si="3"/>
        <v>30.591000000000001</v>
      </c>
      <c r="O57" s="227">
        <f t="shared" si="4"/>
        <v>30.591000000000001</v>
      </c>
      <c r="P57" s="227">
        <f t="shared" si="5"/>
        <v>949.5182176271187</v>
      </c>
      <c r="Q57" s="227">
        <f t="shared" si="6"/>
        <v>70.181782372881344</v>
      </c>
      <c r="R57" s="228">
        <f t="shared" si="7"/>
        <v>6.8825911908288059E-2</v>
      </c>
      <c r="S57" s="229">
        <f>VLOOKUP(C57,'Amazon Live Products'!E:AF,28,0)</f>
        <v>1133</v>
      </c>
      <c r="T57" s="229">
        <f t="shared" si="8"/>
        <v>1019.7</v>
      </c>
      <c r="U57" s="230">
        <f t="shared" si="15"/>
        <v>1019.7</v>
      </c>
      <c r="V57" s="231">
        <f t="shared" si="10"/>
        <v>963.05</v>
      </c>
      <c r="W57" s="117">
        <v>2699</v>
      </c>
      <c r="X57" s="232">
        <f t="shared" si="11"/>
        <v>985.71</v>
      </c>
      <c r="Y57" s="232">
        <f t="shared" si="12"/>
        <v>963.05</v>
      </c>
      <c r="Z57" s="117"/>
      <c r="AA57" s="233">
        <v>1359</v>
      </c>
      <c r="AB57" s="117"/>
      <c r="AC57" s="233"/>
      <c r="AD57" s="117"/>
    </row>
    <row r="58" spans="1:30" ht="14.25" customHeight="1">
      <c r="A58" s="189" t="s">
        <v>976</v>
      </c>
      <c r="B58" s="189" t="s">
        <v>1033</v>
      </c>
      <c r="C58" s="44" t="s">
        <v>679</v>
      </c>
      <c r="D58" s="187" t="str">
        <f>VLOOKUP(C58,'Amazon Live Products'!E:F,2,0)</f>
        <v>B0DK9QNKK8</v>
      </c>
      <c r="E58" s="44" t="s">
        <v>681</v>
      </c>
      <c r="F58" s="44" t="s">
        <v>682</v>
      </c>
      <c r="G58" s="225">
        <f>VLOOKUP(C58,'Amazon Live Products'!E:P,12,0)</f>
        <v>385.46534400000002</v>
      </c>
      <c r="H58" s="226">
        <f>VLOOKUP(D58,'Amazon Live Products'!F:Q,12,0)</f>
        <v>454.84910592</v>
      </c>
      <c r="I58" s="227"/>
      <c r="J58" s="227">
        <f t="shared" si="0"/>
        <v>134.86500000000001</v>
      </c>
      <c r="K58" s="227">
        <f t="shared" si="1"/>
        <v>17.981999999999999</v>
      </c>
      <c r="L58" s="227">
        <f t="shared" si="13"/>
        <v>53.945999999999998</v>
      </c>
      <c r="M58" s="227">
        <f t="shared" si="2"/>
        <v>137.15084745762704</v>
      </c>
      <c r="N58" s="227">
        <f t="shared" si="3"/>
        <v>26.972999999999999</v>
      </c>
      <c r="O58" s="227">
        <f t="shared" si="4"/>
        <v>26.972999999999999</v>
      </c>
      <c r="P58" s="227">
        <f t="shared" si="5"/>
        <v>783.35519145762692</v>
      </c>
      <c r="Q58" s="227">
        <f t="shared" si="6"/>
        <v>115.74480854237311</v>
      </c>
      <c r="R58" s="228">
        <f t="shared" si="7"/>
        <v>0.12873407690176075</v>
      </c>
      <c r="S58" s="229">
        <f>VLOOKUP(C58,'Amazon Live Products'!E:AF,28,0)</f>
        <v>999</v>
      </c>
      <c r="T58" s="229">
        <f t="shared" si="8"/>
        <v>899.1</v>
      </c>
      <c r="U58" s="230">
        <f t="shared" si="15"/>
        <v>899.1</v>
      </c>
      <c r="V58" s="231">
        <f t="shared" si="10"/>
        <v>849.15</v>
      </c>
      <c r="W58" s="117">
        <v>1999</v>
      </c>
      <c r="X58" s="232">
        <f t="shared" si="11"/>
        <v>869.13</v>
      </c>
      <c r="Y58" s="232">
        <f t="shared" si="12"/>
        <v>849.15</v>
      </c>
      <c r="Z58" s="117"/>
      <c r="AA58" s="233"/>
      <c r="AB58" s="117"/>
      <c r="AC58" s="44"/>
      <c r="AD58" s="117"/>
    </row>
    <row r="59" spans="1:30" ht="14.25" customHeight="1">
      <c r="A59" s="189" t="s">
        <v>934</v>
      </c>
      <c r="B59" s="189" t="s">
        <v>1034</v>
      </c>
      <c r="C59" s="44" t="s">
        <v>683</v>
      </c>
      <c r="D59" s="187" t="str">
        <f>VLOOKUP(C59,'Amazon Live Products'!E:F,2,0)</f>
        <v>B0DFCG2VGS</v>
      </c>
      <c r="E59" s="44" t="s">
        <v>685</v>
      </c>
      <c r="F59" s="44" t="s">
        <v>687</v>
      </c>
      <c r="G59" s="225">
        <f>VLOOKUP(C59,'Amazon Live Products'!E:P,12,0)</f>
        <v>793.92719999999986</v>
      </c>
      <c r="H59" s="226">
        <f>VLOOKUP(D59,'Amazon Live Products'!F:Q,12,0)</f>
        <v>936.83409599999982</v>
      </c>
      <c r="I59" s="227"/>
      <c r="J59" s="227">
        <f t="shared" si="0"/>
        <v>229.36500000000001</v>
      </c>
      <c r="K59" s="227">
        <f t="shared" si="1"/>
        <v>30.582000000000004</v>
      </c>
      <c r="L59" s="227">
        <f t="shared" si="13"/>
        <v>91.746000000000009</v>
      </c>
      <c r="M59" s="227">
        <f t="shared" si="2"/>
        <v>233.25254237288141</v>
      </c>
      <c r="N59" s="227">
        <f t="shared" si="3"/>
        <v>45.873000000000005</v>
      </c>
      <c r="O59" s="227">
        <f t="shared" si="4"/>
        <v>45.873000000000005</v>
      </c>
      <c r="P59" s="227">
        <f t="shared" si="5"/>
        <v>1470.6187423728816</v>
      </c>
      <c r="Q59" s="227">
        <f t="shared" si="6"/>
        <v>58.481257627118566</v>
      </c>
      <c r="R59" s="228">
        <f t="shared" si="7"/>
        <v>3.8245541578129982E-2</v>
      </c>
      <c r="S59" s="229">
        <f>VLOOKUP(C59,'Amazon Live Products'!E:AF,28,0)</f>
        <v>1699</v>
      </c>
      <c r="T59" s="229">
        <f t="shared" si="8"/>
        <v>1529.1000000000001</v>
      </c>
      <c r="U59" s="230">
        <f t="shared" si="15"/>
        <v>1529.1000000000001</v>
      </c>
      <c r="V59" s="231">
        <f t="shared" si="10"/>
        <v>1444.1499999999999</v>
      </c>
      <c r="W59" s="117">
        <v>1599</v>
      </c>
      <c r="X59" s="232">
        <f t="shared" si="11"/>
        <v>1478.1299999999999</v>
      </c>
      <c r="Y59" s="232">
        <f t="shared" si="12"/>
        <v>1444.1499999999999</v>
      </c>
      <c r="Z59" s="117"/>
      <c r="AA59" s="233">
        <v>1444</v>
      </c>
      <c r="AB59" s="117"/>
      <c r="AC59" s="233"/>
      <c r="AD59" s="117"/>
    </row>
    <row r="60" spans="1:30" ht="14.25" customHeight="1">
      <c r="A60" s="189" t="s">
        <v>934</v>
      </c>
      <c r="B60" s="189" t="s">
        <v>1035</v>
      </c>
      <c r="C60" s="44" t="s">
        <v>688</v>
      </c>
      <c r="D60" s="187" t="str">
        <f>VLOOKUP(C60,'Amazon Live Products'!E:F,2,0)</f>
        <v>B0DFD123P5</v>
      </c>
      <c r="E60" s="44" t="s">
        <v>690</v>
      </c>
      <c r="F60" s="44" t="s">
        <v>691</v>
      </c>
      <c r="G60" s="225">
        <f>VLOOKUP(C60,'Amazon Live Products'!E:P,12,0)</f>
        <v>793.92719999999986</v>
      </c>
      <c r="H60" s="226">
        <f>VLOOKUP(D60,'Amazon Live Products'!F:Q,12,0)</f>
        <v>936.83409599999982</v>
      </c>
      <c r="I60" s="227"/>
      <c r="J60" s="227">
        <f t="shared" si="0"/>
        <v>202.36500000000001</v>
      </c>
      <c r="K60" s="227">
        <f t="shared" si="1"/>
        <v>26.982000000000003</v>
      </c>
      <c r="L60" s="227">
        <f t="shared" si="13"/>
        <v>80.946000000000012</v>
      </c>
      <c r="M60" s="227">
        <f t="shared" si="2"/>
        <v>205.79491525423714</v>
      </c>
      <c r="N60" s="227">
        <f t="shared" si="3"/>
        <v>40.473000000000006</v>
      </c>
      <c r="O60" s="227">
        <f t="shared" si="4"/>
        <v>40.473000000000006</v>
      </c>
      <c r="P60" s="227">
        <f t="shared" si="5"/>
        <v>1390.9611152542368</v>
      </c>
      <c r="Q60" s="227">
        <f t="shared" si="6"/>
        <v>-41.861115254236665</v>
      </c>
      <c r="R60" s="228">
        <f t="shared" si="7"/>
        <v>-3.1028919467968766E-2</v>
      </c>
      <c r="S60" s="229">
        <f>VLOOKUP(C60,'Amazon Live Products'!E:AF,28,0)</f>
        <v>1499</v>
      </c>
      <c r="T60" s="229">
        <f t="shared" si="8"/>
        <v>1349.1000000000001</v>
      </c>
      <c r="U60" s="230">
        <f t="shared" si="15"/>
        <v>1349.1000000000001</v>
      </c>
      <c r="V60" s="231">
        <f t="shared" si="10"/>
        <v>1274.1499999999999</v>
      </c>
      <c r="W60" s="117">
        <v>2799</v>
      </c>
      <c r="X60" s="232">
        <f t="shared" si="11"/>
        <v>1304.1299999999999</v>
      </c>
      <c r="Y60" s="232">
        <f t="shared" si="12"/>
        <v>1274.1499999999999</v>
      </c>
      <c r="Z60" s="117"/>
      <c r="AA60" s="233">
        <v>1274</v>
      </c>
      <c r="AB60" s="117"/>
      <c r="AC60" s="233"/>
      <c r="AD60" s="117"/>
    </row>
    <row r="61" spans="1:30" ht="14.25" customHeight="1">
      <c r="A61" s="189" t="s">
        <v>976</v>
      </c>
      <c r="B61" s="189" t="s">
        <v>1036</v>
      </c>
      <c r="C61" s="44" t="s">
        <v>695</v>
      </c>
      <c r="D61" s="187" t="str">
        <f>VLOOKUP(C61,'Amazon Live Products'!E:F,2,0)</f>
        <v>B0DT6Y7KJM</v>
      </c>
      <c r="E61" s="44" t="s">
        <v>697</v>
      </c>
      <c r="F61" s="44" t="s">
        <v>699</v>
      </c>
      <c r="G61" s="225">
        <f>VLOOKUP(C61,'Amazon Live Products'!E:P,12,0)</f>
        <v>911.09990400000004</v>
      </c>
      <c r="H61" s="226">
        <f>VLOOKUP(D61,'Amazon Live Products'!F:Q,12,0)</f>
        <v>1075.0978867199999</v>
      </c>
      <c r="I61" s="227"/>
      <c r="J61" s="227">
        <f t="shared" si="0"/>
        <v>269.86500000000001</v>
      </c>
      <c r="K61" s="227">
        <f t="shared" si="1"/>
        <v>35.982000000000006</v>
      </c>
      <c r="L61" s="227">
        <f t="shared" si="13"/>
        <v>107.946</v>
      </c>
      <c r="M61" s="227">
        <f t="shared" si="2"/>
        <v>274.43898305084736</v>
      </c>
      <c r="N61" s="227">
        <f t="shared" si="3"/>
        <v>53.972999999999999</v>
      </c>
      <c r="O61" s="227">
        <f t="shared" si="4"/>
        <v>53.972999999999999</v>
      </c>
      <c r="P61" s="227">
        <f t="shared" si="5"/>
        <v>1707.2778870508471</v>
      </c>
      <c r="Q61" s="227">
        <f t="shared" si="6"/>
        <v>91.822112949153052</v>
      </c>
      <c r="R61" s="228">
        <f t="shared" si="7"/>
        <v>5.1037803873688538E-2</v>
      </c>
      <c r="S61" s="229">
        <f>VLOOKUP(C61,'Amazon Live Products'!E:AF,28,0)</f>
        <v>1999</v>
      </c>
      <c r="T61" s="229">
        <f t="shared" si="8"/>
        <v>1799.1000000000001</v>
      </c>
      <c r="U61" s="230">
        <f t="shared" si="15"/>
        <v>1799.1000000000001</v>
      </c>
      <c r="V61" s="231">
        <f t="shared" si="10"/>
        <v>1699.1499999999999</v>
      </c>
      <c r="W61" s="117">
        <v>2799</v>
      </c>
      <c r="X61" s="232">
        <f t="shared" si="11"/>
        <v>1739.1299999999999</v>
      </c>
      <c r="Y61" s="232">
        <f t="shared" si="12"/>
        <v>1699.1499999999999</v>
      </c>
      <c r="Z61" s="117"/>
      <c r="AA61" s="233"/>
      <c r="AB61" s="117"/>
      <c r="AC61" s="233"/>
      <c r="AD61" s="117"/>
    </row>
    <row r="62" spans="1:30" ht="14.25" customHeight="1">
      <c r="A62" s="189" t="s">
        <v>976</v>
      </c>
      <c r="B62" s="189" t="s">
        <v>1037</v>
      </c>
      <c r="C62" s="44" t="s">
        <v>700</v>
      </c>
      <c r="D62" s="187" t="str">
        <f>VLOOKUP(C62,'Amazon Live Products'!E:F,2,0)</f>
        <v>B0DQCWRG3H</v>
      </c>
      <c r="E62" s="44" t="s">
        <v>702</v>
      </c>
      <c r="F62" s="44" t="s">
        <v>703</v>
      </c>
      <c r="G62" s="225">
        <f>VLOOKUP(C62,'Amazon Live Products'!E:P,12,0)</f>
        <v>708.51158400000008</v>
      </c>
      <c r="H62" s="226">
        <f>VLOOKUP(D62,'Amazon Live Products'!F:Q,12,0)</f>
        <v>836.04366912</v>
      </c>
      <c r="I62" s="227"/>
      <c r="J62" s="227">
        <f t="shared" si="0"/>
        <v>269.73</v>
      </c>
      <c r="K62" s="227">
        <f t="shared" si="1"/>
        <v>35.963999999999999</v>
      </c>
      <c r="L62" s="227">
        <f t="shared" si="13"/>
        <v>107.892</v>
      </c>
      <c r="M62" s="227">
        <f t="shared" si="2"/>
        <v>274.30169491525407</v>
      </c>
      <c r="N62" s="227">
        <f t="shared" si="3"/>
        <v>53.945999999999998</v>
      </c>
      <c r="O62" s="227">
        <f t="shared" si="4"/>
        <v>53.945999999999998</v>
      </c>
      <c r="P62" s="227">
        <f t="shared" si="5"/>
        <v>1504.291278915254</v>
      </c>
      <c r="Q62" s="227">
        <f t="shared" si="6"/>
        <v>293.90872108474605</v>
      </c>
      <c r="R62" s="228">
        <f t="shared" si="7"/>
        <v>0.16344606889375266</v>
      </c>
      <c r="S62" s="229">
        <f>VLOOKUP(C62,'Amazon Live Products'!E:AF,28,0)</f>
        <v>1998</v>
      </c>
      <c r="T62" s="229">
        <f t="shared" si="8"/>
        <v>1798.2</v>
      </c>
      <c r="U62" s="230">
        <f t="shared" si="15"/>
        <v>1798.2</v>
      </c>
      <c r="V62" s="231">
        <f t="shared" si="10"/>
        <v>1698.3</v>
      </c>
      <c r="W62" s="117">
        <v>3699</v>
      </c>
      <c r="X62" s="232">
        <f t="shared" si="11"/>
        <v>1738.26</v>
      </c>
      <c r="Y62" s="232">
        <f t="shared" si="12"/>
        <v>1698.3</v>
      </c>
      <c r="Z62" s="117"/>
      <c r="AA62" s="233"/>
      <c r="AB62" s="117"/>
      <c r="AC62" s="233"/>
      <c r="AD62" s="117"/>
    </row>
    <row r="63" spans="1:30" ht="14.25" customHeight="1">
      <c r="A63" s="189" t="s">
        <v>974</v>
      </c>
      <c r="B63" s="189" t="s">
        <v>1038</v>
      </c>
      <c r="C63" s="44" t="s">
        <v>704</v>
      </c>
      <c r="D63" s="187" t="str">
        <f>VLOOKUP(C63,'Amazon Live Products'!E:F,2,0)</f>
        <v>B0DNJS23HS</v>
      </c>
      <c r="E63" s="44" t="s">
        <v>706</v>
      </c>
      <c r="F63" s="44" t="s">
        <v>708</v>
      </c>
      <c r="G63" s="225">
        <f>VLOOKUP(C63,'Amazon Live Products'!E:P,12,0)</f>
        <v>2190.1439999999998</v>
      </c>
      <c r="H63" s="226">
        <f>VLOOKUP(D63,'Amazon Live Products'!F:Q,12,0)</f>
        <v>2584.3699199999996</v>
      </c>
      <c r="I63" s="227"/>
      <c r="J63" s="227">
        <f t="shared" si="0"/>
        <v>782.86500000000001</v>
      </c>
      <c r="K63" s="227">
        <f t="shared" si="1"/>
        <v>104.38200000000001</v>
      </c>
      <c r="L63" s="227">
        <f t="shared" si="13"/>
        <v>313.14600000000002</v>
      </c>
      <c r="M63" s="227">
        <f t="shared" si="2"/>
        <v>796.13389830508459</v>
      </c>
      <c r="N63" s="227">
        <f t="shared" si="3"/>
        <v>156.57300000000001</v>
      </c>
      <c r="O63" s="227">
        <f t="shared" si="4"/>
        <v>156.57300000000001</v>
      </c>
      <c r="P63" s="227">
        <f t="shared" si="5"/>
        <v>4499.8168983050855</v>
      </c>
      <c r="Q63" s="227">
        <f t="shared" si="6"/>
        <v>719.28310169491488</v>
      </c>
      <c r="R63" s="228">
        <f t="shared" si="7"/>
        <v>0.13781745927361325</v>
      </c>
      <c r="S63" s="229">
        <f>VLOOKUP(C63,'Amazon Live Products'!E:AF,28,0)</f>
        <v>5799</v>
      </c>
      <c r="T63" s="229">
        <f t="shared" si="8"/>
        <v>5219.1000000000004</v>
      </c>
      <c r="U63" s="230">
        <f t="shared" si="15"/>
        <v>5219.1000000000004</v>
      </c>
      <c r="V63" s="231">
        <f t="shared" si="10"/>
        <v>4929.1499999999996</v>
      </c>
      <c r="W63" s="117">
        <v>3399</v>
      </c>
      <c r="X63" s="232">
        <f t="shared" si="11"/>
        <v>5045.13</v>
      </c>
      <c r="Y63" s="232">
        <f t="shared" si="12"/>
        <v>4929.1499999999996</v>
      </c>
      <c r="Z63" s="117"/>
      <c r="AA63" s="233"/>
      <c r="AB63" s="117"/>
      <c r="AC63" s="233"/>
      <c r="AD63" s="117"/>
    </row>
    <row r="64" spans="1:30" ht="14.25" customHeight="1">
      <c r="A64" s="189" t="s">
        <v>976</v>
      </c>
      <c r="B64" s="189" t="s">
        <v>1039</v>
      </c>
      <c r="C64" s="44" t="s">
        <v>717</v>
      </c>
      <c r="D64" s="187" t="str">
        <f>VLOOKUP(C64,'Amazon Live Products'!E:F,2,0)</f>
        <v>B0DKJZDY72</v>
      </c>
      <c r="E64" s="44" t="s">
        <v>719</v>
      </c>
      <c r="F64" s="44" t="s">
        <v>716</v>
      </c>
      <c r="G64" s="225">
        <f>VLOOKUP(C64,'Amazon Live Products'!E:P,12,0)</f>
        <v>1023.8923199999999</v>
      </c>
      <c r="H64" s="226">
        <f>VLOOKUP(D64,'Amazon Live Products'!F:Q,12,0)</f>
        <v>1208.1929375999998</v>
      </c>
      <c r="I64" s="227"/>
      <c r="J64" s="227">
        <f t="shared" si="0"/>
        <v>337.36499999999995</v>
      </c>
      <c r="K64" s="227">
        <f t="shared" si="1"/>
        <v>44.981999999999999</v>
      </c>
      <c r="L64" s="227">
        <f t="shared" si="13"/>
        <v>134.946</v>
      </c>
      <c r="M64" s="227">
        <f t="shared" si="2"/>
        <v>343.08305084745757</v>
      </c>
      <c r="N64" s="227">
        <f t="shared" si="3"/>
        <v>67.472999999999999</v>
      </c>
      <c r="O64" s="227">
        <f t="shared" si="4"/>
        <v>67.472999999999999</v>
      </c>
      <c r="P64" s="227">
        <f t="shared" si="5"/>
        <v>2019.2143708474573</v>
      </c>
      <c r="Q64" s="227">
        <f t="shared" si="6"/>
        <v>229.88562915254261</v>
      </c>
      <c r="R64" s="228">
        <f t="shared" si="7"/>
        <v>0.10221227564472127</v>
      </c>
      <c r="S64" s="229">
        <f>VLOOKUP(C64,'Amazon Live Products'!E:AF,28,0)</f>
        <v>2499</v>
      </c>
      <c r="T64" s="229">
        <f t="shared" si="8"/>
        <v>2249.1</v>
      </c>
      <c r="U64" s="230">
        <f t="shared" si="15"/>
        <v>2249.1</v>
      </c>
      <c r="V64" s="231">
        <f t="shared" si="10"/>
        <v>2124.15</v>
      </c>
      <c r="W64" s="117">
        <v>8299</v>
      </c>
      <c r="X64" s="232">
        <f t="shared" si="11"/>
        <v>2174.13</v>
      </c>
      <c r="Y64" s="232">
        <f t="shared" si="12"/>
        <v>2124.15</v>
      </c>
      <c r="Z64" s="117"/>
      <c r="AA64" s="233"/>
      <c r="AB64" s="117"/>
      <c r="AC64" s="233"/>
      <c r="AD64" s="117"/>
    </row>
    <row r="65" spans="1:30" ht="14.25" customHeight="1">
      <c r="A65" s="189" t="s">
        <v>976</v>
      </c>
      <c r="B65" s="189" t="s">
        <v>1040</v>
      </c>
      <c r="C65" s="44" t="s">
        <v>712</v>
      </c>
      <c r="D65" s="187" t="str">
        <f>VLOOKUP(C65,'Amazon Live Products'!E:F,2,0)</f>
        <v>B0DKJSCLBD</v>
      </c>
      <c r="E65" s="44" t="s">
        <v>714</v>
      </c>
      <c r="F65" s="44" t="s">
        <v>716</v>
      </c>
      <c r="G65" s="225">
        <f>VLOOKUP(C65,'Amazon Live Products'!E:P,12,0)</f>
        <v>966.94857600000012</v>
      </c>
      <c r="H65" s="226">
        <f>VLOOKUP(D65,'Amazon Live Products'!F:Q,12,0)</f>
        <v>1140.9993196800001</v>
      </c>
      <c r="I65" s="227"/>
      <c r="J65" s="227">
        <f t="shared" si="0"/>
        <v>310.36499999999995</v>
      </c>
      <c r="K65" s="227">
        <f t="shared" si="1"/>
        <v>41.381999999999998</v>
      </c>
      <c r="L65" s="227">
        <f t="shared" si="13"/>
        <v>124.14599999999999</v>
      </c>
      <c r="M65" s="227">
        <f t="shared" si="2"/>
        <v>315.62542372881353</v>
      </c>
      <c r="N65" s="227">
        <f t="shared" si="3"/>
        <v>62.072999999999993</v>
      </c>
      <c r="O65" s="227">
        <f t="shared" si="4"/>
        <v>62.072999999999993</v>
      </c>
      <c r="P65" s="227">
        <f t="shared" si="5"/>
        <v>1882.6129997288137</v>
      </c>
      <c r="Q65" s="227">
        <f t="shared" si="6"/>
        <v>186.48700027118616</v>
      </c>
      <c r="R65" s="228">
        <f t="shared" si="7"/>
        <v>9.0129525045278699E-2</v>
      </c>
      <c r="S65" s="229">
        <f>VLOOKUP(C65,'Amazon Live Products'!E:AF,28,0)</f>
        <v>2299</v>
      </c>
      <c r="T65" s="229">
        <f t="shared" si="8"/>
        <v>2069.1</v>
      </c>
      <c r="U65" s="230">
        <f t="shared" si="15"/>
        <v>2069.1</v>
      </c>
      <c r="V65" s="231">
        <f t="shared" si="10"/>
        <v>1954.1499999999999</v>
      </c>
      <c r="W65" s="117">
        <v>4499</v>
      </c>
      <c r="X65" s="232">
        <f t="shared" si="11"/>
        <v>2000.1299999999999</v>
      </c>
      <c r="Y65" s="232">
        <f t="shared" si="12"/>
        <v>1954.1499999999999</v>
      </c>
      <c r="Z65" s="117"/>
      <c r="AA65" s="233"/>
      <c r="AB65" s="117"/>
      <c r="AC65" s="233"/>
      <c r="AD65" s="117"/>
    </row>
    <row r="66" spans="1:30" ht="14.25" customHeight="1">
      <c r="A66" s="189" t="s">
        <v>934</v>
      </c>
      <c r="B66" s="189" t="s">
        <v>1041</v>
      </c>
      <c r="C66" s="44" t="s">
        <v>724</v>
      </c>
      <c r="D66" s="187" t="str">
        <f>VLOOKUP(C66,'Amazon Live Products'!E:F,2,0)</f>
        <v>B0DKJXRXKM</v>
      </c>
      <c r="E66" s="44" t="s">
        <v>726</v>
      </c>
      <c r="F66" s="44" t="s">
        <v>727</v>
      </c>
      <c r="G66" s="225">
        <f>VLOOKUP(C66,'Amazon Live Products'!E:P,12,0)</f>
        <v>448.35120000000001</v>
      </c>
      <c r="H66" s="226">
        <f>VLOOKUP(D66,'Amazon Live Products'!F:Q,12,0)</f>
        <v>529.05441599999995</v>
      </c>
      <c r="I66" s="227"/>
      <c r="J66" s="227">
        <f t="shared" si="0"/>
        <v>209.11500000000001</v>
      </c>
      <c r="K66" s="227">
        <f t="shared" si="1"/>
        <v>27.882000000000005</v>
      </c>
      <c r="L66" s="227">
        <f t="shared" si="13"/>
        <v>83.646000000000001</v>
      </c>
      <c r="M66" s="227">
        <f t="shared" si="2"/>
        <v>212.65932203389821</v>
      </c>
      <c r="N66" s="227">
        <f t="shared" si="3"/>
        <v>41.823</v>
      </c>
      <c r="O66" s="227">
        <f t="shared" si="4"/>
        <v>41.823</v>
      </c>
      <c r="P66" s="227">
        <f t="shared" si="5"/>
        <v>1065.2995220338983</v>
      </c>
      <c r="Q66" s="227">
        <f t="shared" si="6"/>
        <v>328.80047796610188</v>
      </c>
      <c r="R66" s="228">
        <f t="shared" si="7"/>
        <v>0.2358514295718398</v>
      </c>
      <c r="S66" s="229">
        <f>VLOOKUP(C66,'Amazon Live Products'!E:AF,28,0)</f>
        <v>1549</v>
      </c>
      <c r="T66" s="229">
        <f t="shared" si="8"/>
        <v>1394.1000000000001</v>
      </c>
      <c r="U66" s="230">
        <f t="shared" si="15"/>
        <v>1394.1000000000001</v>
      </c>
      <c r="V66" s="231">
        <f t="shared" si="10"/>
        <v>1316.6499999999999</v>
      </c>
      <c r="W66" s="117">
        <v>3499</v>
      </c>
      <c r="X66" s="232">
        <f t="shared" si="11"/>
        <v>1347.6299999999999</v>
      </c>
      <c r="Y66" s="232">
        <f t="shared" si="12"/>
        <v>1316.6499999999999</v>
      </c>
      <c r="Z66" s="117"/>
      <c r="AA66" s="233">
        <v>1215</v>
      </c>
      <c r="AB66" s="117"/>
      <c r="AC66" s="233"/>
      <c r="AD66" s="117"/>
    </row>
    <row r="67" spans="1:30" ht="14.25" customHeight="1">
      <c r="A67" s="189" t="s">
        <v>974</v>
      </c>
      <c r="B67" s="189" t="s">
        <v>997</v>
      </c>
      <c r="C67" s="44" t="s">
        <v>728</v>
      </c>
      <c r="D67" s="187" t="str">
        <f>VLOOKUP(C67,'Amazon Live Products'!E:F,2,0)</f>
        <v>B0DKK12XWR</v>
      </c>
      <c r="E67" s="44" t="s">
        <v>730</v>
      </c>
      <c r="F67" s="44" t="s">
        <v>731</v>
      </c>
      <c r="G67" s="225">
        <f>VLOOKUP(C67,'Amazon Live Products'!E:P,12,0)</f>
        <v>1095.9695999999999</v>
      </c>
      <c r="H67" s="226">
        <f>VLOOKUP(D67,'Amazon Live Products'!F:Q,12,0)</f>
        <v>1293.2441279999998</v>
      </c>
      <c r="I67" s="227"/>
      <c r="J67" s="227">
        <f t="shared" si="0"/>
        <v>445.36499999999995</v>
      </c>
      <c r="K67" s="227">
        <f t="shared" si="1"/>
        <v>59.381999999999998</v>
      </c>
      <c r="L67" s="227">
        <f t="shared" si="13"/>
        <v>178.14599999999999</v>
      </c>
      <c r="M67" s="227">
        <f t="shared" si="2"/>
        <v>452.91355932203396</v>
      </c>
      <c r="N67" s="227">
        <f t="shared" si="3"/>
        <v>89.072999999999993</v>
      </c>
      <c r="O67" s="227">
        <f t="shared" si="4"/>
        <v>89.072999999999993</v>
      </c>
      <c r="P67" s="227">
        <f t="shared" si="5"/>
        <v>2409.9221593220336</v>
      </c>
      <c r="Q67" s="227">
        <f t="shared" si="6"/>
        <v>559.17784067796629</v>
      </c>
      <c r="R67" s="228">
        <f t="shared" si="7"/>
        <v>0.18833243766729524</v>
      </c>
      <c r="S67" s="229">
        <f>VLOOKUP(C67,'Amazon Live Products'!E:AF,28,0)</f>
        <v>3299</v>
      </c>
      <c r="T67" s="229">
        <f t="shared" si="8"/>
        <v>2969.1</v>
      </c>
      <c r="U67" s="230">
        <f t="shared" si="15"/>
        <v>2969.1</v>
      </c>
      <c r="V67" s="231">
        <f t="shared" si="10"/>
        <v>2804.15</v>
      </c>
      <c r="W67" s="117">
        <v>1699</v>
      </c>
      <c r="X67" s="232">
        <f t="shared" si="11"/>
        <v>2870.13</v>
      </c>
      <c r="Y67" s="232">
        <f t="shared" si="12"/>
        <v>2804.15</v>
      </c>
      <c r="Z67" s="117"/>
      <c r="AA67" s="233"/>
      <c r="AB67" s="117"/>
      <c r="AC67" s="233"/>
      <c r="AD67" s="117"/>
    </row>
    <row r="68" spans="1:30" ht="14.25" customHeight="1">
      <c r="A68" s="189" t="s">
        <v>976</v>
      </c>
      <c r="B68" s="189" t="s">
        <v>1042</v>
      </c>
      <c r="C68" s="44" t="s">
        <v>736</v>
      </c>
      <c r="D68" s="187" t="str">
        <f>VLOOKUP(C68,'Amazon Live Products'!E:F,2,0)</f>
        <v>B0DKK15YNJ</v>
      </c>
      <c r="E68" s="44" t="s">
        <v>738</v>
      </c>
      <c r="F68" s="44" t="s">
        <v>739</v>
      </c>
      <c r="G68" s="225">
        <f>VLOOKUP(C68,'Amazon Live Products'!E:P,12,0)</f>
        <v>1011.2810400000001</v>
      </c>
      <c r="H68" s="226">
        <f>VLOOKUP(D68,'Amazon Live Products'!F:Q,12,0)</f>
        <v>1193.3116272</v>
      </c>
      <c r="I68" s="227"/>
      <c r="J68" s="227">
        <f t="shared" si="0"/>
        <v>350.86499999999995</v>
      </c>
      <c r="K68" s="227">
        <f t="shared" si="1"/>
        <v>46.781999999999996</v>
      </c>
      <c r="L68" s="227">
        <f t="shared" si="13"/>
        <v>140.34599999999998</v>
      </c>
      <c r="M68" s="227">
        <f t="shared" si="2"/>
        <v>356.81186440677948</v>
      </c>
      <c r="N68" s="227">
        <f t="shared" si="3"/>
        <v>70.172999999999988</v>
      </c>
      <c r="O68" s="227">
        <f t="shared" si="4"/>
        <v>70.172999999999988</v>
      </c>
      <c r="P68" s="227">
        <f t="shared" si="5"/>
        <v>2046.4319044067795</v>
      </c>
      <c r="Q68" s="227">
        <f t="shared" si="6"/>
        <v>292.66809559322041</v>
      </c>
      <c r="R68" s="228">
        <f t="shared" si="7"/>
        <v>0.1251199587846695</v>
      </c>
      <c r="S68" s="229">
        <f>VLOOKUP(C68,'Amazon Live Products'!E:AF,28,0)</f>
        <v>2599</v>
      </c>
      <c r="T68" s="229">
        <f t="shared" si="8"/>
        <v>2339.1</v>
      </c>
      <c r="U68" s="230">
        <f t="shared" si="15"/>
        <v>2339.1</v>
      </c>
      <c r="V68" s="231">
        <f t="shared" si="10"/>
        <v>2209.15</v>
      </c>
      <c r="W68" s="117">
        <v>5399</v>
      </c>
      <c r="X68" s="232">
        <f t="shared" si="11"/>
        <v>2261.13</v>
      </c>
      <c r="Y68" s="232">
        <f t="shared" si="12"/>
        <v>2209.15</v>
      </c>
      <c r="Z68" s="117"/>
      <c r="AA68" s="233"/>
      <c r="AB68" s="117"/>
      <c r="AC68" s="233"/>
      <c r="AD68" s="117"/>
    </row>
    <row r="69" spans="1:30" ht="14.25" customHeight="1">
      <c r="A69" s="189" t="s">
        <v>976</v>
      </c>
      <c r="B69" s="189" t="s">
        <v>1043</v>
      </c>
      <c r="C69" s="44" t="s">
        <v>740</v>
      </c>
      <c r="D69" s="187" t="str">
        <f>VLOOKUP(C69,'Amazon Live Products'!E:F,2,0)</f>
        <v>B0DNJP9T35</v>
      </c>
      <c r="E69" s="44" t="s">
        <v>742</v>
      </c>
      <c r="F69" s="44" t="s">
        <v>743</v>
      </c>
      <c r="G69" s="225">
        <f>VLOOKUP(C69,'Amazon Live Products'!E:P,12,0)</f>
        <v>896.70240000000001</v>
      </c>
      <c r="H69" s="226">
        <f>VLOOKUP(D69,'Amazon Live Products'!F:Q,12,0)</f>
        <v>1058.1088319999999</v>
      </c>
      <c r="I69" s="227"/>
      <c r="J69" s="227">
        <f t="shared" si="0"/>
        <v>283.36500000000001</v>
      </c>
      <c r="K69" s="227">
        <f t="shared" si="1"/>
        <v>37.782000000000004</v>
      </c>
      <c r="L69" s="227">
        <f t="shared" si="13"/>
        <v>113.346</v>
      </c>
      <c r="M69" s="227">
        <f t="shared" si="2"/>
        <v>288.16779661016949</v>
      </c>
      <c r="N69" s="227">
        <f t="shared" si="3"/>
        <v>56.673000000000002</v>
      </c>
      <c r="O69" s="227">
        <f t="shared" si="4"/>
        <v>56.673000000000002</v>
      </c>
      <c r="P69" s="227">
        <f t="shared" si="5"/>
        <v>1732.7091966101693</v>
      </c>
      <c r="Q69" s="227">
        <f t="shared" si="6"/>
        <v>156.39080338983081</v>
      </c>
      <c r="R69" s="228">
        <f t="shared" si="7"/>
        <v>8.2785878667000587E-2</v>
      </c>
      <c r="S69" s="229">
        <f>VLOOKUP(C69,'Amazon Live Products'!E:AF,28,0)</f>
        <v>2099</v>
      </c>
      <c r="T69" s="229">
        <f t="shared" si="8"/>
        <v>1889.1000000000001</v>
      </c>
      <c r="U69" s="230">
        <f t="shared" si="15"/>
        <v>1889.1000000000001</v>
      </c>
      <c r="V69" s="231">
        <f t="shared" si="10"/>
        <v>1784.1499999999999</v>
      </c>
      <c r="W69" s="117">
        <v>3999</v>
      </c>
      <c r="X69" s="232">
        <f t="shared" si="11"/>
        <v>1826.1299999999999</v>
      </c>
      <c r="Y69" s="232">
        <f t="shared" si="12"/>
        <v>1784.1499999999999</v>
      </c>
      <c r="Z69" s="117"/>
      <c r="AA69" s="233"/>
      <c r="AB69" s="117"/>
      <c r="AC69" s="233"/>
      <c r="AD69" s="117"/>
    </row>
    <row r="70" spans="1:30" ht="14.25" customHeight="1">
      <c r="A70" s="189" t="s">
        <v>976</v>
      </c>
      <c r="B70" s="189" t="s">
        <v>1044</v>
      </c>
      <c r="C70" s="44" t="s">
        <v>744</v>
      </c>
      <c r="D70" s="187" t="str">
        <f>VLOOKUP(C70,'Amazon Live Products'!E:F,2,0)</f>
        <v>B0DM6BB3VT</v>
      </c>
      <c r="E70" s="44" t="s">
        <v>746</v>
      </c>
      <c r="F70" s="44" t="s">
        <v>748</v>
      </c>
      <c r="G70" s="225">
        <f>VLOOKUP(C70,'Amazon Live Products'!E:P,12,0)</f>
        <v>836.92223999999999</v>
      </c>
      <c r="H70" s="226">
        <f>VLOOKUP(D70,'Amazon Live Products'!F:Q,12,0)</f>
        <v>937.35290880000002</v>
      </c>
      <c r="I70" s="227"/>
      <c r="J70" s="227">
        <f t="shared" si="0"/>
        <v>363.01499999999999</v>
      </c>
      <c r="K70" s="227">
        <f t="shared" si="1"/>
        <v>48.402000000000001</v>
      </c>
      <c r="L70" s="227">
        <f t="shared" si="13"/>
        <v>145.20599999999999</v>
      </c>
      <c r="M70" s="227">
        <f t="shared" si="2"/>
        <v>369.16779661016926</v>
      </c>
      <c r="N70" s="227">
        <f t="shared" si="3"/>
        <v>72.602999999999994</v>
      </c>
      <c r="O70" s="227">
        <f t="shared" si="4"/>
        <v>72.602999999999994</v>
      </c>
      <c r="P70" s="227">
        <f t="shared" si="5"/>
        <v>1907.9190366101693</v>
      </c>
      <c r="Q70" s="227">
        <f t="shared" si="6"/>
        <v>512.18096338983059</v>
      </c>
      <c r="R70" s="228">
        <f t="shared" si="7"/>
        <v>0.21163628089328151</v>
      </c>
      <c r="S70" s="229">
        <f>VLOOKUP(C70,'Amazon Live Products'!E:AF,28,0)</f>
        <v>2689</v>
      </c>
      <c r="T70" s="229">
        <f t="shared" si="8"/>
        <v>2420.1</v>
      </c>
      <c r="U70" s="230">
        <f t="shared" si="15"/>
        <v>2420.1</v>
      </c>
      <c r="V70" s="231">
        <f t="shared" si="10"/>
        <v>2285.65</v>
      </c>
      <c r="W70" s="117">
        <v>4999</v>
      </c>
      <c r="X70" s="232">
        <f t="shared" si="11"/>
        <v>2339.4299999999998</v>
      </c>
      <c r="Y70" s="232">
        <f t="shared" si="12"/>
        <v>2285.65</v>
      </c>
      <c r="Z70" s="117"/>
      <c r="AA70" s="233"/>
      <c r="AB70" s="117"/>
      <c r="AC70" s="233"/>
      <c r="AD70" s="117"/>
    </row>
    <row r="71" spans="1:30" ht="14.25" customHeight="1">
      <c r="A71" s="189" t="s">
        <v>974</v>
      </c>
      <c r="B71" s="189" t="s">
        <v>1045</v>
      </c>
      <c r="C71" s="44" t="s">
        <v>749</v>
      </c>
      <c r="D71" s="187" t="str">
        <f>VLOOKUP(C71,'Amazon Live Products'!E:F,2,0)</f>
        <v>B0DM66B2DW</v>
      </c>
      <c r="E71" s="44" t="s">
        <v>751</v>
      </c>
      <c r="F71" s="44" t="s">
        <v>752</v>
      </c>
      <c r="G71" s="225">
        <f>VLOOKUP(C71,'Amazon Live Products'!E:P,12,0)</f>
        <v>861.83064000000002</v>
      </c>
      <c r="H71" s="226">
        <f>VLOOKUP(D71,'Amazon Live Products'!F:Q,12,0)</f>
        <v>965.25031680000006</v>
      </c>
      <c r="I71" s="227"/>
      <c r="J71" s="227">
        <f t="shared" si="0"/>
        <v>195.61500000000001</v>
      </c>
      <c r="K71" s="227">
        <f t="shared" si="1"/>
        <v>26.082000000000004</v>
      </c>
      <c r="L71" s="227">
        <f t="shared" si="13"/>
        <v>78.246000000000009</v>
      </c>
      <c r="M71" s="227">
        <f t="shared" si="2"/>
        <v>198.9305084745763</v>
      </c>
      <c r="N71" s="227">
        <f t="shared" si="3"/>
        <v>39.123000000000005</v>
      </c>
      <c r="O71" s="227">
        <f t="shared" si="4"/>
        <v>39.123000000000005</v>
      </c>
      <c r="P71" s="227">
        <f t="shared" si="5"/>
        <v>1438.9501484745765</v>
      </c>
      <c r="Q71" s="227">
        <f t="shared" si="6"/>
        <v>-134.85014847457637</v>
      </c>
      <c r="R71" s="228">
        <f t="shared" si="7"/>
        <v>-0.1034047607350482</v>
      </c>
      <c r="S71" s="229">
        <f>VLOOKUP(C71,'Amazon Live Products'!E:AF,28,0)</f>
        <v>1449</v>
      </c>
      <c r="T71" s="229">
        <f t="shared" si="8"/>
        <v>1304.1000000000001</v>
      </c>
      <c r="U71" s="230">
        <f t="shared" si="15"/>
        <v>1304.1000000000001</v>
      </c>
      <c r="V71" s="231">
        <f t="shared" si="10"/>
        <v>1231.6499999999999</v>
      </c>
      <c r="W71" s="117">
        <v>3999</v>
      </c>
      <c r="X71" s="232">
        <f t="shared" si="11"/>
        <v>1260.6299999999999</v>
      </c>
      <c r="Y71" s="232">
        <f t="shared" si="12"/>
        <v>1231.6499999999999</v>
      </c>
      <c r="Z71" s="117"/>
      <c r="AA71" s="233"/>
      <c r="AB71" s="117"/>
      <c r="AC71" s="233"/>
      <c r="AD71" s="117"/>
    </row>
    <row r="72" spans="1:30" ht="14.25" customHeight="1">
      <c r="A72" s="189" t="s">
        <v>974</v>
      </c>
      <c r="B72" s="189" t="s">
        <v>997</v>
      </c>
      <c r="C72" s="44" t="s">
        <v>764</v>
      </c>
      <c r="D72" s="187" t="str">
        <f>VLOOKUP(C72,'Amazon Live Products'!E:F,2,0)</f>
        <v>B0DMSHZXG2</v>
      </c>
      <c r="E72" s="44" t="s">
        <v>766</v>
      </c>
      <c r="F72" s="44" t="s">
        <v>767</v>
      </c>
      <c r="G72" s="225">
        <f>VLOOKUP(C72,'Amazon Live Products'!E:P,12,0)</f>
        <v>1195.6032</v>
      </c>
      <c r="H72" s="226">
        <f>VLOOKUP(D72,'Amazon Live Products'!F:Q,12,0)</f>
        <v>1339.0755840000002</v>
      </c>
      <c r="I72" s="227"/>
      <c r="J72" s="227">
        <f t="shared" si="0"/>
        <v>238.005</v>
      </c>
      <c r="K72" s="227">
        <f t="shared" si="1"/>
        <v>31.734000000000002</v>
      </c>
      <c r="L72" s="227">
        <f t="shared" si="13"/>
        <v>95.201999999999998</v>
      </c>
      <c r="M72" s="227">
        <f t="shared" si="2"/>
        <v>242.03898305084749</v>
      </c>
      <c r="N72" s="227">
        <f t="shared" si="3"/>
        <v>47.600999999999999</v>
      </c>
      <c r="O72" s="227">
        <f t="shared" si="4"/>
        <v>47.600999999999999</v>
      </c>
      <c r="P72" s="227">
        <f t="shared" si="5"/>
        <v>1897.7851830508475</v>
      </c>
      <c r="Q72" s="227">
        <f t="shared" si="6"/>
        <v>-311.08518305084749</v>
      </c>
      <c r="R72" s="228">
        <f t="shared" si="7"/>
        <v>-0.19605797129315403</v>
      </c>
      <c r="S72" s="229">
        <f>VLOOKUP(C72,'Amazon Live Products'!E:AF,28,0)</f>
        <v>1763</v>
      </c>
      <c r="T72" s="229">
        <f t="shared" si="8"/>
        <v>1586.7</v>
      </c>
      <c r="U72" s="230">
        <f t="shared" si="15"/>
        <v>1586.7</v>
      </c>
      <c r="V72" s="231">
        <f t="shared" si="10"/>
        <v>1498.55</v>
      </c>
      <c r="W72" s="117">
        <v>3399</v>
      </c>
      <c r="X72" s="232">
        <f t="shared" si="11"/>
        <v>1533.81</v>
      </c>
      <c r="Y72" s="232">
        <f t="shared" si="12"/>
        <v>1498.55</v>
      </c>
      <c r="Z72" s="117"/>
      <c r="AA72" s="233"/>
      <c r="AB72" s="117"/>
      <c r="AC72" s="233"/>
      <c r="AD72" s="117"/>
    </row>
    <row r="73" spans="1:30" ht="14.25" customHeight="1">
      <c r="A73" s="189" t="s">
        <v>1001</v>
      </c>
      <c r="B73" s="189" t="s">
        <v>1046</v>
      </c>
      <c r="C73" s="44" t="s">
        <v>775</v>
      </c>
      <c r="D73" s="187" t="str">
        <f>VLOOKUP(C73,'Amazon Live Products'!E:F,2,0)</f>
        <v>B0DNJJKBKG</v>
      </c>
      <c r="E73" s="44" t="s">
        <v>777</v>
      </c>
      <c r="F73" s="44" t="s">
        <v>778</v>
      </c>
      <c r="G73" s="225">
        <f>VLOOKUP(C73,'Amazon Live Products'!E:P,12,0)</f>
        <v>779.13475200000005</v>
      </c>
      <c r="H73" s="226">
        <f>VLOOKUP(D73,'Amazon Live Products'!F:Q,12,0)</f>
        <v>872.63092224000013</v>
      </c>
      <c r="I73" s="227"/>
      <c r="J73" s="227">
        <f t="shared" si="0"/>
        <v>250.965</v>
      </c>
      <c r="K73" s="227">
        <f t="shared" si="1"/>
        <v>33.462000000000003</v>
      </c>
      <c r="L73" s="227">
        <f t="shared" si="13"/>
        <v>100.38600000000001</v>
      </c>
      <c r="M73" s="227">
        <f t="shared" si="2"/>
        <v>255.2186440677965</v>
      </c>
      <c r="N73" s="227">
        <f t="shared" si="3"/>
        <v>50.193000000000005</v>
      </c>
      <c r="O73" s="227">
        <f t="shared" si="4"/>
        <v>50.193000000000005</v>
      </c>
      <c r="P73" s="227">
        <f t="shared" si="5"/>
        <v>1519.5523960677965</v>
      </c>
      <c r="Q73" s="227">
        <f t="shared" si="6"/>
        <v>153.54760393220363</v>
      </c>
      <c r="R73" s="228">
        <f t="shared" si="7"/>
        <v>9.1774313509176753E-2</v>
      </c>
      <c r="S73" s="229">
        <f>VLOOKUP(C73,'Amazon Live Products'!E:AF,28,0)</f>
        <v>1859</v>
      </c>
      <c r="T73" s="229">
        <f t="shared" si="8"/>
        <v>1673.1000000000001</v>
      </c>
      <c r="U73" s="230">
        <f t="shared" si="15"/>
        <v>1673.1000000000001</v>
      </c>
      <c r="V73" s="231">
        <f t="shared" si="10"/>
        <v>1580.1499999999999</v>
      </c>
      <c r="W73" s="117">
        <v>6299</v>
      </c>
      <c r="X73" s="232">
        <f t="shared" si="11"/>
        <v>1617.33</v>
      </c>
      <c r="Y73" s="232">
        <f t="shared" si="12"/>
        <v>1580.1499999999999</v>
      </c>
      <c r="Z73" s="117"/>
      <c r="AA73" s="233"/>
      <c r="AB73" s="117"/>
      <c r="AC73" s="233"/>
      <c r="AD73" s="117"/>
    </row>
    <row r="74" spans="1:30" ht="14.25" customHeight="1">
      <c r="A74" s="189" t="s">
        <v>934</v>
      </c>
      <c r="B74" s="189" t="s">
        <v>1047</v>
      </c>
      <c r="C74" s="44" t="s">
        <v>779</v>
      </c>
      <c r="D74" s="187" t="str">
        <f>VLOOKUP(C74,'Amazon Live Products'!E:F,2,0)</f>
        <v>B0DRD8J8R5</v>
      </c>
      <c r="E74" s="44" t="s">
        <v>781</v>
      </c>
      <c r="F74" s="44" t="s">
        <v>782</v>
      </c>
      <c r="G74" s="225">
        <f>VLOOKUP(C74,'Amazon Live Products'!E:P,12,0)</f>
        <v>737.28863999999999</v>
      </c>
      <c r="H74" s="226">
        <f>VLOOKUP(D74,'Amazon Live Products'!F:Q,12,0)</f>
        <v>870.00059519999991</v>
      </c>
      <c r="I74" s="227"/>
      <c r="J74" s="227">
        <f t="shared" si="0"/>
        <v>188.86500000000001</v>
      </c>
      <c r="K74" s="227">
        <f t="shared" si="1"/>
        <v>25.182000000000002</v>
      </c>
      <c r="L74" s="227">
        <f t="shared" si="13"/>
        <v>75.546000000000006</v>
      </c>
      <c r="M74" s="227">
        <f t="shared" si="2"/>
        <v>192.06610169491523</v>
      </c>
      <c r="N74" s="227">
        <f t="shared" si="3"/>
        <v>37.773000000000003</v>
      </c>
      <c r="O74" s="227">
        <f t="shared" si="4"/>
        <v>37.773000000000003</v>
      </c>
      <c r="P74" s="227">
        <f t="shared" si="5"/>
        <v>1294.4937416949151</v>
      </c>
      <c r="Q74" s="227">
        <f t="shared" si="6"/>
        <v>-35.393741694914979</v>
      </c>
      <c r="R74" s="228">
        <f t="shared" si="7"/>
        <v>-2.8110350007874652E-2</v>
      </c>
      <c r="S74" s="229">
        <f>VLOOKUP(C74,'Amazon Live Products'!E:AF,28,0)</f>
        <v>1399</v>
      </c>
      <c r="T74" s="229">
        <f t="shared" si="8"/>
        <v>1259.1000000000001</v>
      </c>
      <c r="U74" s="230">
        <f t="shared" si="15"/>
        <v>1259.1000000000001</v>
      </c>
      <c r="V74" s="231">
        <f t="shared" si="10"/>
        <v>1189.1499999999999</v>
      </c>
      <c r="W74" s="117">
        <v>3399</v>
      </c>
      <c r="X74" s="232">
        <f t="shared" si="11"/>
        <v>1217.1299999999999</v>
      </c>
      <c r="Y74" s="232">
        <f t="shared" si="12"/>
        <v>1189.1499999999999</v>
      </c>
      <c r="Z74" s="117"/>
      <c r="AA74" s="233">
        <v>1359</v>
      </c>
      <c r="AB74" s="117"/>
      <c r="AC74" s="233"/>
      <c r="AD74" s="117"/>
    </row>
    <row r="75" spans="1:30" ht="14.25" customHeight="1">
      <c r="A75" s="189" t="s">
        <v>976</v>
      </c>
      <c r="B75" s="189" t="s">
        <v>1048</v>
      </c>
      <c r="C75" s="44" t="s">
        <v>783</v>
      </c>
      <c r="D75" s="187" t="str">
        <f>VLOOKUP(C75,'Amazon Live Products'!E:F,2,0)</f>
        <v>B0F43P6D23</v>
      </c>
      <c r="E75" s="44" t="s">
        <v>785</v>
      </c>
      <c r="F75" s="44" t="s">
        <v>787</v>
      </c>
      <c r="G75" s="225">
        <f>VLOOKUP(C75,'Amazon Live Products'!E:P,12,0)</f>
        <v>1182.67776</v>
      </c>
      <c r="H75" s="226">
        <f>VLOOKUP(D75,'Amazon Live Products'!F:Q,12,0)</f>
        <v>1395.5597568000001</v>
      </c>
      <c r="I75" s="227"/>
      <c r="J75" s="227">
        <f t="shared" si="0"/>
        <v>377.86499999999995</v>
      </c>
      <c r="K75" s="227">
        <f t="shared" si="1"/>
        <v>50.381999999999998</v>
      </c>
      <c r="L75" s="227">
        <f t="shared" si="13"/>
        <v>151.14599999999999</v>
      </c>
      <c r="M75" s="227">
        <f t="shared" si="2"/>
        <v>384.26949152542375</v>
      </c>
      <c r="N75" s="227">
        <f t="shared" si="3"/>
        <v>75.572999999999993</v>
      </c>
      <c r="O75" s="227">
        <f t="shared" si="4"/>
        <v>75.572999999999993</v>
      </c>
      <c r="P75" s="227">
        <f t="shared" si="5"/>
        <v>2297.4862515254235</v>
      </c>
      <c r="Q75" s="227">
        <f t="shared" si="6"/>
        <v>221.61374847457637</v>
      </c>
      <c r="R75" s="228">
        <f t="shared" si="7"/>
        <v>8.797338274565375E-2</v>
      </c>
      <c r="S75" s="229">
        <f>VLOOKUP(C75,'Amazon Live Products'!E:AF,28,0)</f>
        <v>2799</v>
      </c>
      <c r="T75" s="229">
        <f t="shared" si="8"/>
        <v>2519.1</v>
      </c>
      <c r="U75" s="230">
        <f t="shared" si="15"/>
        <v>2519.1</v>
      </c>
      <c r="V75" s="231">
        <f t="shared" si="10"/>
        <v>2379.15</v>
      </c>
      <c r="W75" s="117">
        <v>3699</v>
      </c>
      <c r="X75" s="232">
        <f t="shared" si="11"/>
        <v>2435.13</v>
      </c>
      <c r="Y75" s="232">
        <f t="shared" si="12"/>
        <v>2379.15</v>
      </c>
      <c r="Z75" s="117"/>
      <c r="AA75" s="233"/>
      <c r="AB75" s="117"/>
      <c r="AC75" s="233"/>
      <c r="AD75" s="117"/>
    </row>
    <row r="76" spans="1:30" ht="14.25" customHeight="1">
      <c r="A76" s="189" t="s">
        <v>976</v>
      </c>
      <c r="B76" s="189" t="s">
        <v>1049</v>
      </c>
      <c r="C76" s="44" t="s">
        <v>788</v>
      </c>
      <c r="D76" s="187" t="str">
        <f>VLOOKUP(C76,'Amazon Live Products'!E:F,2,0)</f>
        <v>B0DVC7VJP1</v>
      </c>
      <c r="E76" s="44" t="s">
        <v>790</v>
      </c>
      <c r="F76" s="44" t="s">
        <v>791</v>
      </c>
      <c r="G76" s="225">
        <f>VLOOKUP(C76,'Amazon Live Products'!E:P,12,0)</f>
        <v>2792.4336000000003</v>
      </c>
      <c r="H76" s="226">
        <f>VLOOKUP(D76,'Amazon Live Products'!F:Q,12,0)</f>
        <v>3295.0716480000001</v>
      </c>
      <c r="I76" s="227"/>
      <c r="J76" s="227">
        <f t="shared" si="0"/>
        <v>809.86500000000001</v>
      </c>
      <c r="K76" s="227">
        <f t="shared" si="1"/>
        <v>107.98200000000001</v>
      </c>
      <c r="L76" s="227">
        <f t="shared" si="13"/>
        <v>323.94600000000003</v>
      </c>
      <c r="M76" s="227">
        <f t="shared" si="2"/>
        <v>823.59152542372885</v>
      </c>
      <c r="N76" s="227">
        <f t="shared" si="3"/>
        <v>161.97300000000001</v>
      </c>
      <c r="O76" s="227">
        <f t="shared" si="4"/>
        <v>161.97300000000001</v>
      </c>
      <c r="P76" s="227">
        <f t="shared" si="5"/>
        <v>5181.7641254237287</v>
      </c>
      <c r="Q76" s="227">
        <f t="shared" si="6"/>
        <v>217.33587457627164</v>
      </c>
      <c r="R76" s="228">
        <f t="shared" si="7"/>
        <v>4.0254093196323761E-2</v>
      </c>
      <c r="S76" s="229">
        <f>VLOOKUP(C76,'Amazon Live Products'!E:AF,28,0)</f>
        <v>5999</v>
      </c>
      <c r="T76" s="229">
        <f t="shared" si="8"/>
        <v>5399.1</v>
      </c>
      <c r="U76" s="230">
        <f t="shared" si="15"/>
        <v>5399.1</v>
      </c>
      <c r="V76" s="231">
        <f t="shared" si="10"/>
        <v>5099.1499999999996</v>
      </c>
      <c r="W76" s="69">
        <v>5499</v>
      </c>
      <c r="X76" s="232">
        <f t="shared" si="11"/>
        <v>5219.13</v>
      </c>
      <c r="Y76" s="232">
        <f t="shared" si="12"/>
        <v>5099.1499999999996</v>
      </c>
      <c r="Z76" s="117"/>
      <c r="AA76" s="233"/>
      <c r="AB76" s="117"/>
      <c r="AC76" s="233"/>
      <c r="AD76" s="117"/>
    </row>
    <row r="77" spans="1:30" ht="14.25" customHeight="1">
      <c r="A77" s="189" t="s">
        <v>974</v>
      </c>
      <c r="B77" s="189" t="s">
        <v>1050</v>
      </c>
      <c r="C77" s="44" t="s">
        <v>797</v>
      </c>
      <c r="D77" s="187" t="str">
        <f>VLOOKUP(C77,'Amazon Live Products'!E:F,2,0)</f>
        <v>B0DV8XH455</v>
      </c>
      <c r="E77" s="44" t="s">
        <v>799</v>
      </c>
      <c r="F77" s="44" t="s">
        <v>801</v>
      </c>
      <c r="G77" s="225">
        <f>VLOOKUP(C77,'Amazon Live Products'!E:P,12,0)</f>
        <v>797.06880000000001</v>
      </c>
      <c r="H77" s="226">
        <f>VLOOKUP(D77,'Amazon Live Products'!F:Q,12,0)</f>
        <v>940.54118399999993</v>
      </c>
      <c r="I77" s="227"/>
      <c r="J77" s="227">
        <f t="shared" si="0"/>
        <v>276.07499999999999</v>
      </c>
      <c r="K77" s="227">
        <f t="shared" si="1"/>
        <v>36.81</v>
      </c>
      <c r="L77" s="227">
        <f t="shared" si="13"/>
        <v>110.42999999999999</v>
      </c>
      <c r="M77" s="227">
        <f t="shared" si="2"/>
        <v>280.75423728813553</v>
      </c>
      <c r="N77" s="227">
        <f t="shared" si="3"/>
        <v>55.214999999999996</v>
      </c>
      <c r="O77" s="227">
        <f t="shared" si="4"/>
        <v>55.214999999999996</v>
      </c>
      <c r="P77" s="227">
        <f t="shared" si="5"/>
        <v>1611.5680372881354</v>
      </c>
      <c r="Q77" s="227">
        <f t="shared" si="6"/>
        <v>228.93196271186457</v>
      </c>
      <c r="R77" s="228">
        <f t="shared" si="7"/>
        <v>0.12438574447805736</v>
      </c>
      <c r="S77" s="229">
        <f>VLOOKUP(C77,'Amazon Live Products'!E:AF,28,0)</f>
        <v>2045</v>
      </c>
      <c r="T77" s="229">
        <f t="shared" si="8"/>
        <v>1840.5</v>
      </c>
      <c r="U77" s="230">
        <f t="shared" si="15"/>
        <v>1840.5</v>
      </c>
      <c r="V77" s="231">
        <f t="shared" si="10"/>
        <v>1738.25</v>
      </c>
      <c r="W77" s="69">
        <v>10999</v>
      </c>
      <c r="X77" s="232">
        <f t="shared" si="11"/>
        <v>1779.15</v>
      </c>
      <c r="Y77" s="232">
        <f t="shared" si="12"/>
        <v>1738.25</v>
      </c>
      <c r="Z77" s="117"/>
      <c r="AA77" s="233"/>
      <c r="AB77" s="117"/>
      <c r="AC77" s="233"/>
      <c r="AD77" s="117"/>
    </row>
    <row r="78" spans="1:30" ht="14.25" customHeight="1">
      <c r="A78" s="189" t="s">
        <v>953</v>
      </c>
      <c r="B78" s="189" t="s">
        <v>1051</v>
      </c>
      <c r="C78" s="44" t="s">
        <v>802</v>
      </c>
      <c r="D78" s="187" t="str">
        <f>VLOOKUP(C78,'Amazon Live Products'!E:F,2,0)</f>
        <v>B0DV9MYK6S</v>
      </c>
      <c r="E78" s="44" t="s">
        <v>804</v>
      </c>
      <c r="F78" s="44" t="s">
        <v>805</v>
      </c>
      <c r="G78" s="225">
        <f>VLOOKUP(C78,'Amazon Live Products'!E:P,12,0)</f>
        <v>787.10544000000004</v>
      </c>
      <c r="H78" s="226">
        <f>VLOOKUP(D78,'Amazon Live Products'!F:Q,12,0)</f>
        <v>928.7844192</v>
      </c>
      <c r="I78" s="227"/>
      <c r="J78" s="227">
        <f t="shared" si="0"/>
        <v>294.70499999999998</v>
      </c>
      <c r="K78" s="227">
        <f t="shared" si="1"/>
        <v>39.294000000000004</v>
      </c>
      <c r="L78" s="227">
        <f t="shared" si="13"/>
        <v>117.88200000000001</v>
      </c>
      <c r="M78" s="227">
        <f t="shared" si="2"/>
        <v>299.69999999999982</v>
      </c>
      <c r="N78" s="227">
        <f t="shared" si="3"/>
        <v>58.941000000000003</v>
      </c>
      <c r="O78" s="227">
        <f t="shared" si="4"/>
        <v>58.941000000000003</v>
      </c>
      <c r="P78" s="227">
        <f t="shared" si="5"/>
        <v>1656.56844</v>
      </c>
      <c r="Q78" s="227">
        <f t="shared" si="6"/>
        <v>308.13156000000004</v>
      </c>
      <c r="R78" s="228">
        <f t="shared" si="7"/>
        <v>0.15683389830508476</v>
      </c>
      <c r="S78" s="229">
        <f>VLOOKUP(C78,'Amazon Live Products'!E:AF,28,0)</f>
        <v>2183</v>
      </c>
      <c r="T78" s="229">
        <f t="shared" si="8"/>
        <v>1964.7</v>
      </c>
      <c r="U78" s="230">
        <f t="shared" si="15"/>
        <v>1964.7</v>
      </c>
      <c r="V78" s="231">
        <f t="shared" si="10"/>
        <v>1855.55</v>
      </c>
      <c r="W78" s="117">
        <v>3499</v>
      </c>
      <c r="X78" s="232">
        <f t="shared" si="11"/>
        <v>1899.21</v>
      </c>
      <c r="Y78" s="232">
        <f t="shared" si="12"/>
        <v>1855.55</v>
      </c>
      <c r="Z78" s="117"/>
      <c r="AA78" s="233"/>
      <c r="AB78" s="117"/>
      <c r="AC78" s="233"/>
      <c r="AD78" s="117"/>
    </row>
    <row r="79" spans="1:30" ht="14.25" customHeight="1">
      <c r="A79" s="189" t="s">
        <v>934</v>
      </c>
      <c r="B79" s="189" t="s">
        <v>1052</v>
      </c>
      <c r="C79" s="44" t="s">
        <v>810</v>
      </c>
      <c r="D79" s="187" t="str">
        <f>VLOOKUP(C79,'Amazon Live Products'!E:F,2,0)</f>
        <v>B0DVCBR11D</v>
      </c>
      <c r="E79" s="44" t="s">
        <v>812</v>
      </c>
      <c r="F79" s="44" t="s">
        <v>814</v>
      </c>
      <c r="G79" s="225">
        <f>VLOOKUP(C79,'Amazon Live Products'!E:P,12,0)</f>
        <v>413.80342390588237</v>
      </c>
      <c r="H79" s="226">
        <f>VLOOKUP(D79,'Amazon Live Products'!F:Q,12,0)</f>
        <v>488.2880402089412</v>
      </c>
      <c r="I79" s="227"/>
      <c r="J79" s="227">
        <f t="shared" si="0"/>
        <v>148.36500000000001</v>
      </c>
      <c r="K79" s="227">
        <f t="shared" si="1"/>
        <v>19.782</v>
      </c>
      <c r="L79" s="227">
        <f t="shared" si="13"/>
        <v>59.345999999999997</v>
      </c>
      <c r="M79" s="227">
        <f t="shared" si="2"/>
        <v>150.87966101694906</v>
      </c>
      <c r="N79" s="227">
        <f t="shared" si="3"/>
        <v>29.672999999999998</v>
      </c>
      <c r="O79" s="227">
        <f t="shared" si="4"/>
        <v>29.672999999999998</v>
      </c>
      <c r="P79" s="227">
        <f t="shared" si="5"/>
        <v>851.52208492283148</v>
      </c>
      <c r="Q79" s="227">
        <f t="shared" si="6"/>
        <v>137.57791507716854</v>
      </c>
      <c r="R79" s="228">
        <f t="shared" si="7"/>
        <v>0.13909404011441567</v>
      </c>
      <c r="S79" s="229">
        <f>VLOOKUP(C79,'Amazon Live Products'!E:AF,28,0)</f>
        <v>1099</v>
      </c>
      <c r="T79" s="229">
        <f t="shared" si="8"/>
        <v>989.1</v>
      </c>
      <c r="U79" s="230">
        <f t="shared" si="15"/>
        <v>989.1</v>
      </c>
      <c r="V79" s="231">
        <f t="shared" si="10"/>
        <v>934.15</v>
      </c>
      <c r="W79" s="117">
        <v>3899</v>
      </c>
      <c r="X79" s="232">
        <f t="shared" si="11"/>
        <v>956.13</v>
      </c>
      <c r="Y79" s="232">
        <f t="shared" si="12"/>
        <v>934.15</v>
      </c>
      <c r="Z79" s="117"/>
      <c r="AA79" s="233">
        <v>1019</v>
      </c>
      <c r="AB79" s="117"/>
      <c r="AC79" s="44"/>
      <c r="AD79" s="117"/>
    </row>
    <row r="80" spans="1:30" ht="14.25" customHeight="1">
      <c r="A80" s="189" t="s">
        <v>976</v>
      </c>
      <c r="B80" s="189" t="s">
        <v>1053</v>
      </c>
      <c r="C80" s="44" t="s">
        <v>815</v>
      </c>
      <c r="D80" s="187" t="str">
        <f>VLOOKUP(C80,'Amazon Live Products'!E:F,2,0)</f>
        <v>B0DVCDD5VC</v>
      </c>
      <c r="E80" s="44" t="s">
        <v>817</v>
      </c>
      <c r="F80" s="44" t="s">
        <v>818</v>
      </c>
      <c r="G80" s="225">
        <f>VLOOKUP(C80,'Amazon Live Products'!E:P,12,0)</f>
        <v>413.80342390588237</v>
      </c>
      <c r="H80" s="226">
        <f>VLOOKUP(D80,'Amazon Live Products'!F:Q,12,0)</f>
        <v>488.2880402089412</v>
      </c>
      <c r="I80" s="227"/>
      <c r="J80" s="227">
        <f t="shared" si="0"/>
        <v>148.36500000000001</v>
      </c>
      <c r="K80" s="227">
        <f t="shared" si="1"/>
        <v>19.782</v>
      </c>
      <c r="L80" s="227">
        <f t="shared" si="13"/>
        <v>59.345999999999997</v>
      </c>
      <c r="M80" s="227">
        <f t="shared" si="2"/>
        <v>150.87966101694906</v>
      </c>
      <c r="N80" s="227">
        <f t="shared" si="3"/>
        <v>29.672999999999998</v>
      </c>
      <c r="O80" s="227">
        <f t="shared" si="4"/>
        <v>29.672999999999998</v>
      </c>
      <c r="P80" s="227">
        <f t="shared" si="5"/>
        <v>851.52208492283148</v>
      </c>
      <c r="Q80" s="227">
        <f t="shared" si="6"/>
        <v>137.57791507716854</v>
      </c>
      <c r="R80" s="228">
        <f t="shared" si="7"/>
        <v>0.13909404011441567</v>
      </c>
      <c r="S80" s="229">
        <f>VLOOKUP(C80,'Amazon Live Products'!E:AF,28,0)</f>
        <v>1099</v>
      </c>
      <c r="T80" s="229">
        <f t="shared" si="8"/>
        <v>989.1</v>
      </c>
      <c r="U80" s="230">
        <f t="shared" si="15"/>
        <v>989.1</v>
      </c>
      <c r="V80" s="231">
        <f t="shared" si="10"/>
        <v>934.15</v>
      </c>
      <c r="W80" s="69">
        <v>1899</v>
      </c>
      <c r="X80" s="232">
        <f t="shared" si="11"/>
        <v>956.13</v>
      </c>
      <c r="Y80" s="232">
        <f t="shared" si="12"/>
        <v>934.15</v>
      </c>
      <c r="Z80" s="117"/>
      <c r="AA80" s="233"/>
      <c r="AB80" s="117"/>
      <c r="AC80" s="44"/>
      <c r="AD80" s="117"/>
    </row>
    <row r="81" spans="1:30" ht="14.25" customHeight="1">
      <c r="A81" s="189" t="s">
        <v>974</v>
      </c>
      <c r="B81" s="189" t="s">
        <v>997</v>
      </c>
      <c r="C81" s="44" t="s">
        <v>819</v>
      </c>
      <c r="D81" s="187" t="str">
        <f>VLOOKUP(C81,'Amazon Live Products'!E:F,2,0)</f>
        <v>B0DVC9PRSD</v>
      </c>
      <c r="E81" s="44" t="s">
        <v>821</v>
      </c>
      <c r="F81" s="44" t="s">
        <v>822</v>
      </c>
      <c r="G81" s="225">
        <f>VLOOKUP(C81,'Amazon Live Products'!E:P,12,0)</f>
        <v>8247.764227171765</v>
      </c>
      <c r="H81" s="226">
        <f>VLOOKUP(D81,'Amazon Live Products'!F:Q,12,0)</f>
        <v>9732.3617880626825</v>
      </c>
      <c r="I81" s="227"/>
      <c r="J81" s="227">
        <f t="shared" si="0"/>
        <v>2158.65</v>
      </c>
      <c r="K81" s="227">
        <f t="shared" si="1"/>
        <v>287.82</v>
      </c>
      <c r="L81" s="227">
        <f t="shared" si="13"/>
        <v>863.45999999999992</v>
      </c>
      <c r="M81" s="227">
        <f t="shared" si="2"/>
        <v>2195.2372881355932</v>
      </c>
      <c r="N81" s="227">
        <f t="shared" si="3"/>
        <v>431.72999999999996</v>
      </c>
      <c r="O81" s="227">
        <f t="shared" si="4"/>
        <v>431.72999999999996</v>
      </c>
      <c r="P81" s="227">
        <f t="shared" si="5"/>
        <v>14616.391515307356</v>
      </c>
      <c r="Q81" s="227">
        <f t="shared" si="6"/>
        <v>-225.3915153073558</v>
      </c>
      <c r="R81" s="228">
        <f t="shared" si="7"/>
        <v>-1.5661977298822585E-2</v>
      </c>
      <c r="S81" s="229">
        <f>VLOOKUP(C81,'Amazon Live Products'!E:AF,28,0)</f>
        <v>15990</v>
      </c>
      <c r="T81" s="229">
        <f t="shared" si="8"/>
        <v>14391</v>
      </c>
      <c r="U81" s="230">
        <f t="shared" si="15"/>
        <v>14391</v>
      </c>
      <c r="V81" s="231">
        <f t="shared" si="10"/>
        <v>13591.5</v>
      </c>
      <c r="W81" s="69">
        <v>1899</v>
      </c>
      <c r="X81" s="232">
        <f t="shared" si="11"/>
        <v>13911.3</v>
      </c>
      <c r="Y81" s="232">
        <f t="shared" si="12"/>
        <v>13591.5</v>
      </c>
      <c r="Z81" s="117"/>
      <c r="AA81" s="233"/>
      <c r="AB81" s="117"/>
      <c r="AC81" s="233"/>
      <c r="AD81" s="117"/>
    </row>
    <row r="82" spans="1:30" ht="14.25" customHeight="1">
      <c r="A82" s="189" t="s">
        <v>976</v>
      </c>
      <c r="B82" s="189" t="s">
        <v>1054</v>
      </c>
      <c r="C82" s="44" t="s">
        <v>827</v>
      </c>
      <c r="D82" s="187" t="str">
        <f>VLOOKUP(C82,'Amazon Live Products'!E:F,2,0)</f>
        <v>B0DVC968P1</v>
      </c>
      <c r="E82" s="44" t="s">
        <v>829</v>
      </c>
      <c r="F82" s="44" t="s">
        <v>830</v>
      </c>
      <c r="G82" s="225">
        <f>VLOOKUP(C82,'Amazon Live Products'!E:P,12,0)</f>
        <v>657.55793912470597</v>
      </c>
      <c r="H82" s="226">
        <f>VLOOKUP(D82,'Amazon Live Products'!F:Q,12,0)</f>
        <v>775.91836816715295</v>
      </c>
      <c r="I82" s="227"/>
      <c r="J82" s="227">
        <f t="shared" si="0"/>
        <v>249.61500000000001</v>
      </c>
      <c r="K82" s="227">
        <f t="shared" si="1"/>
        <v>33.282000000000004</v>
      </c>
      <c r="L82" s="227">
        <f t="shared" si="13"/>
        <v>99.846000000000004</v>
      </c>
      <c r="M82" s="227">
        <f t="shared" si="2"/>
        <v>253.84576271186438</v>
      </c>
      <c r="N82" s="227">
        <f t="shared" si="3"/>
        <v>49.923000000000002</v>
      </c>
      <c r="O82" s="227">
        <f t="shared" si="4"/>
        <v>49.923000000000002</v>
      </c>
      <c r="P82" s="227">
        <f t="shared" si="5"/>
        <v>1393.9927018365704</v>
      </c>
      <c r="Q82" s="227">
        <f t="shared" si="6"/>
        <v>270.10729816342973</v>
      </c>
      <c r="R82" s="228">
        <f t="shared" si="7"/>
        <v>0.16231434298625666</v>
      </c>
      <c r="S82" s="229">
        <f>VLOOKUP(C82,'Amazon Live Products'!E:AF,28,0)</f>
        <v>1849</v>
      </c>
      <c r="T82" s="229">
        <f t="shared" si="8"/>
        <v>1664.1000000000001</v>
      </c>
      <c r="U82" s="230">
        <f t="shared" si="15"/>
        <v>1664.1000000000001</v>
      </c>
      <c r="V82" s="231">
        <f t="shared" si="10"/>
        <v>1571.6499999999999</v>
      </c>
      <c r="W82" s="69">
        <v>29999</v>
      </c>
      <c r="X82" s="232">
        <f t="shared" si="11"/>
        <v>1608.6299999999999</v>
      </c>
      <c r="Y82" s="232">
        <f t="shared" si="12"/>
        <v>1571.6499999999999</v>
      </c>
      <c r="Z82" s="117"/>
      <c r="AA82" s="233"/>
      <c r="AB82" s="117"/>
      <c r="AC82" s="233"/>
      <c r="AD82" s="117"/>
    </row>
    <row r="83" spans="1:30" ht="14.25" customHeight="1">
      <c r="A83" s="189" t="s">
        <v>976</v>
      </c>
      <c r="B83" s="189" t="s">
        <v>1055</v>
      </c>
      <c r="C83" s="44" t="s">
        <v>831</v>
      </c>
      <c r="D83" s="187" t="str">
        <f>VLOOKUP(C83,'Amazon Live Products'!E:F,2,0)</f>
        <v>B0DVC8NYY2</v>
      </c>
      <c r="E83" s="44" t="s">
        <v>833</v>
      </c>
      <c r="F83" s="44" t="s">
        <v>834</v>
      </c>
      <c r="G83" s="225">
        <f>VLOOKUP(C83,'Amazon Live Products'!E:P,12,0)</f>
        <v>657.55793912470597</v>
      </c>
      <c r="H83" s="226">
        <f>VLOOKUP(D83,'Amazon Live Products'!F:Q,12,0)</f>
        <v>775.91836816715295</v>
      </c>
      <c r="I83" s="227"/>
      <c r="J83" s="227">
        <f t="shared" si="0"/>
        <v>242.86500000000001</v>
      </c>
      <c r="K83" s="227">
        <f t="shared" si="1"/>
        <v>32.382000000000005</v>
      </c>
      <c r="L83" s="227">
        <f t="shared" si="13"/>
        <v>97.146000000000001</v>
      </c>
      <c r="M83" s="227">
        <f t="shared" si="2"/>
        <v>246.98135593220331</v>
      </c>
      <c r="N83" s="227">
        <f t="shared" si="3"/>
        <v>48.573</v>
      </c>
      <c r="O83" s="227">
        <f t="shared" si="4"/>
        <v>48.573</v>
      </c>
      <c r="P83" s="227">
        <f t="shared" si="5"/>
        <v>1374.0782950569094</v>
      </c>
      <c r="Q83" s="227">
        <f t="shared" si="6"/>
        <v>245.02170494309075</v>
      </c>
      <c r="R83" s="228">
        <f t="shared" si="7"/>
        <v>0.1513320393694588</v>
      </c>
      <c r="S83" s="229">
        <f>VLOOKUP(C83,'Amazon Live Products'!E:AF,28,0)</f>
        <v>1799</v>
      </c>
      <c r="T83" s="229">
        <f t="shared" si="8"/>
        <v>1619.1000000000001</v>
      </c>
      <c r="U83" s="230">
        <f t="shared" si="15"/>
        <v>1619.1000000000001</v>
      </c>
      <c r="V83" s="231">
        <f t="shared" si="10"/>
        <v>1529.1499999999999</v>
      </c>
      <c r="W83" s="69">
        <v>3599</v>
      </c>
      <c r="X83" s="232">
        <f t="shared" si="11"/>
        <v>1565.1299999999999</v>
      </c>
      <c r="Y83" s="232">
        <f t="shared" si="12"/>
        <v>1529.1499999999999</v>
      </c>
      <c r="Z83" s="117"/>
      <c r="AA83" s="233"/>
      <c r="AB83" s="117"/>
      <c r="AC83" s="233"/>
      <c r="AD83" s="117"/>
    </row>
    <row r="84" spans="1:30" ht="14.25" customHeight="1">
      <c r="A84" s="189" t="s">
        <v>1001</v>
      </c>
      <c r="B84" s="189" t="s">
        <v>1056</v>
      </c>
      <c r="C84" s="44" t="s">
        <v>835</v>
      </c>
      <c r="D84" s="187" t="str">
        <f>VLOOKUP(C84,'Amazon Live Products'!E:F,2,0)</f>
        <v>B0DV8V3Y88</v>
      </c>
      <c r="E84" s="44" t="s">
        <v>837</v>
      </c>
      <c r="F84" s="44" t="s">
        <v>1057</v>
      </c>
      <c r="G84" s="225">
        <f>VLOOKUP(C84,'Amazon Live Products'!E:P,12,0)</f>
        <v>647.61840000000007</v>
      </c>
      <c r="H84" s="226">
        <f>VLOOKUP(D84,'Amazon Live Products'!F:Q,12,0)</f>
        <v>764.18971199999999</v>
      </c>
      <c r="I84" s="227"/>
      <c r="J84" s="227">
        <f t="shared" si="0"/>
        <v>202.36500000000001</v>
      </c>
      <c r="K84" s="227">
        <f t="shared" si="1"/>
        <v>26.982000000000003</v>
      </c>
      <c r="L84" s="227">
        <f t="shared" si="13"/>
        <v>80.946000000000012</v>
      </c>
      <c r="M84" s="227">
        <f t="shared" si="2"/>
        <v>205.79491525423714</v>
      </c>
      <c r="N84" s="227">
        <f t="shared" si="3"/>
        <v>40.473000000000006</v>
      </c>
      <c r="O84" s="227">
        <f t="shared" si="4"/>
        <v>40.473000000000006</v>
      </c>
      <c r="P84" s="227">
        <f t="shared" si="5"/>
        <v>1244.6523152542372</v>
      </c>
      <c r="Q84" s="227">
        <f t="shared" si="6"/>
        <v>104.4476847457629</v>
      </c>
      <c r="R84" s="228">
        <f t="shared" si="7"/>
        <v>7.7420268879818316E-2</v>
      </c>
      <c r="S84" s="229">
        <f>VLOOKUP(C84,'Amazon Live Products'!E:AF,28,0)</f>
        <v>1499</v>
      </c>
      <c r="T84" s="229">
        <f t="shared" si="8"/>
        <v>1349.1000000000001</v>
      </c>
      <c r="U84" s="230">
        <f t="shared" si="15"/>
        <v>1349.1000000000001</v>
      </c>
      <c r="V84" s="231">
        <f t="shared" si="10"/>
        <v>1274.1499999999999</v>
      </c>
      <c r="W84" s="69">
        <v>2899</v>
      </c>
      <c r="X84" s="232">
        <f t="shared" si="11"/>
        <v>1304.1299999999999</v>
      </c>
      <c r="Y84" s="232">
        <f t="shared" si="12"/>
        <v>1274.1499999999999</v>
      </c>
      <c r="Z84" s="117"/>
      <c r="AA84" s="233"/>
      <c r="AB84" s="117"/>
      <c r="AC84" s="233"/>
      <c r="AD84" s="117"/>
    </row>
    <row r="85" spans="1:30" ht="14.25" customHeight="1">
      <c r="A85" s="189" t="s">
        <v>1001</v>
      </c>
      <c r="B85" s="189" t="s">
        <v>1058</v>
      </c>
      <c r="C85" s="44" t="s">
        <v>855</v>
      </c>
      <c r="D85" s="187" t="str">
        <f>VLOOKUP(C85,'Amazon Live Products'!E:F,2,0)</f>
        <v>B0DV931G48</v>
      </c>
      <c r="E85" s="44" t="s">
        <v>857</v>
      </c>
      <c r="F85" s="44" t="s">
        <v>858</v>
      </c>
      <c r="G85" s="225">
        <f>'Margin Calculation'!Y160</f>
        <v>662.33699999999999</v>
      </c>
      <c r="H85" s="225">
        <f>'Margin Calculation'!Z160</f>
        <v>781.55765999999994</v>
      </c>
      <c r="I85" s="227"/>
      <c r="J85" s="227">
        <f t="shared" si="0"/>
        <v>252.315</v>
      </c>
      <c r="K85" s="227">
        <f t="shared" si="1"/>
        <v>33.642000000000003</v>
      </c>
      <c r="L85" s="227">
        <f t="shared" si="13"/>
        <v>100.926</v>
      </c>
      <c r="M85" s="227">
        <f t="shared" si="2"/>
        <v>256.59152542372885</v>
      </c>
      <c r="N85" s="227">
        <f t="shared" si="3"/>
        <v>50.463000000000001</v>
      </c>
      <c r="O85" s="227">
        <f t="shared" si="4"/>
        <v>50.463000000000001</v>
      </c>
      <c r="P85" s="227">
        <f t="shared" si="5"/>
        <v>1406.7375254237288</v>
      </c>
      <c r="Q85" s="227">
        <f t="shared" si="6"/>
        <v>275.36247457627132</v>
      </c>
      <c r="R85" s="228">
        <f t="shared" si="7"/>
        <v>0.16370160785700691</v>
      </c>
      <c r="S85" s="229">
        <f>VLOOKUP(C85,'Amazon Live Products'!E:AF,28,0)</f>
        <v>1869</v>
      </c>
      <c r="T85" s="229">
        <f t="shared" si="8"/>
        <v>1682.1000000000001</v>
      </c>
      <c r="U85" s="230">
        <f t="shared" si="15"/>
        <v>1682.1000000000001</v>
      </c>
      <c r="V85" s="231">
        <f t="shared" si="10"/>
        <v>1588.6499999999999</v>
      </c>
      <c r="W85" s="117">
        <v>3099</v>
      </c>
      <c r="X85" s="232">
        <f t="shared" si="11"/>
        <v>1626.03</v>
      </c>
      <c r="Y85" s="232">
        <f t="shared" si="12"/>
        <v>1588.6499999999999</v>
      </c>
      <c r="Z85" s="117"/>
      <c r="AA85" s="233"/>
      <c r="AB85" s="117"/>
      <c r="AC85" s="233"/>
      <c r="AD85" s="117"/>
    </row>
    <row r="86" spans="1:30" ht="14.25" customHeight="1">
      <c r="A86" s="189" t="s">
        <v>976</v>
      </c>
      <c r="B86" s="189" t="s">
        <v>1059</v>
      </c>
      <c r="C86" s="44" t="s">
        <v>859</v>
      </c>
      <c r="D86" s="187" t="str">
        <f>VLOOKUP(C86,'Amazon Live Products'!E:F,2,0)</f>
        <v>B0DVC58QPZ</v>
      </c>
      <c r="E86" s="44" t="s">
        <v>861</v>
      </c>
      <c r="F86" s="44" t="s">
        <v>862</v>
      </c>
      <c r="G86" s="225">
        <f>VLOOKUP(C86,'Amazon Live Products'!E:P,12,0)</f>
        <v>1743.5880000000002</v>
      </c>
      <c r="H86" s="226">
        <f>VLOOKUP(D86,'Amazon Live Products'!F:Q,12,0)</f>
        <v>2057.4338400000001</v>
      </c>
      <c r="I86" s="227"/>
      <c r="J86" s="227">
        <f t="shared" si="0"/>
        <v>485.86499999999995</v>
      </c>
      <c r="K86" s="227">
        <f t="shared" si="1"/>
        <v>64.781999999999996</v>
      </c>
      <c r="L86" s="227">
        <f t="shared" si="13"/>
        <v>194.34599999999998</v>
      </c>
      <c r="M86" s="227">
        <f t="shared" si="2"/>
        <v>494.09999999999991</v>
      </c>
      <c r="N86" s="227">
        <f t="shared" si="3"/>
        <v>97.172999999999988</v>
      </c>
      <c r="O86" s="227">
        <f t="shared" si="4"/>
        <v>97.172999999999988</v>
      </c>
      <c r="P86" s="227">
        <f t="shared" si="5"/>
        <v>3177.0269999999996</v>
      </c>
      <c r="Q86" s="227">
        <f t="shared" si="6"/>
        <v>62.07300000000032</v>
      </c>
      <c r="R86" s="228">
        <f t="shared" si="7"/>
        <v>1.9163656571269897E-2</v>
      </c>
      <c r="S86" s="229">
        <f>VLOOKUP(C86,'Amazon Live Products'!E:AF,28,0)</f>
        <v>3599</v>
      </c>
      <c r="T86" s="229">
        <f t="shared" si="8"/>
        <v>3239.1</v>
      </c>
      <c r="U86" s="230">
        <f t="shared" si="15"/>
        <v>3239.1</v>
      </c>
      <c r="V86" s="231">
        <f t="shared" si="10"/>
        <v>3059.15</v>
      </c>
      <c r="W86" s="117">
        <v>2199</v>
      </c>
      <c r="X86" s="232">
        <f t="shared" si="11"/>
        <v>3131.13</v>
      </c>
      <c r="Y86" s="232">
        <f t="shared" si="12"/>
        <v>3059.15</v>
      </c>
      <c r="Z86" s="117"/>
      <c r="AA86" s="233"/>
      <c r="AB86" s="117"/>
      <c r="AC86" s="233"/>
      <c r="AD86" s="117"/>
    </row>
    <row r="87" spans="1:30" ht="14.25" customHeight="1">
      <c r="A87" s="189" t="s">
        <v>976</v>
      </c>
      <c r="B87" s="189" t="s">
        <v>1003</v>
      </c>
      <c r="C87" s="44" t="s">
        <v>520</v>
      </c>
      <c r="D87" s="187" t="str">
        <f>VLOOKUP(C87,'Amazon Live Products'!E:F,2,0)</f>
        <v>B0D63DTKQB</v>
      </c>
      <c r="E87" s="44" t="s">
        <v>522</v>
      </c>
      <c r="F87" s="44" t="s">
        <v>524</v>
      </c>
      <c r="G87" s="225">
        <f>VLOOKUP(C87,'Amazon Live Products'!E:P,12,0)</f>
        <v>597.80160000000001</v>
      </c>
      <c r="H87" s="226">
        <f>VLOOKUP(D87,'Amazon Live Products'!F:Q,12,0)</f>
        <v>705.405888</v>
      </c>
      <c r="I87" s="227"/>
      <c r="J87" s="227">
        <f t="shared" si="0"/>
        <v>188.86500000000001</v>
      </c>
      <c r="K87" s="227">
        <f t="shared" si="1"/>
        <v>25.182000000000002</v>
      </c>
      <c r="L87" s="227">
        <f t="shared" si="13"/>
        <v>75.546000000000006</v>
      </c>
      <c r="M87" s="227">
        <f t="shared" si="2"/>
        <v>192.06610169491523</v>
      </c>
      <c r="N87" s="227">
        <f t="shared" si="3"/>
        <v>37.773000000000003</v>
      </c>
      <c r="O87" s="227">
        <f t="shared" si="4"/>
        <v>37.773000000000003</v>
      </c>
      <c r="P87" s="227">
        <f t="shared" si="5"/>
        <v>1155.0067016949151</v>
      </c>
      <c r="Q87" s="227">
        <f t="shared" si="6"/>
        <v>104.093298305085</v>
      </c>
      <c r="R87" s="228">
        <f t="shared" si="7"/>
        <v>8.2672780799845122E-2</v>
      </c>
      <c r="S87" s="229">
        <f>VLOOKUP(C87,'Amazon Live Products'!E:AF,28,0)</f>
        <v>1399</v>
      </c>
      <c r="T87" s="229">
        <f t="shared" si="8"/>
        <v>1259.1000000000001</v>
      </c>
      <c r="U87" s="230">
        <f t="shared" si="15"/>
        <v>1259.1000000000001</v>
      </c>
      <c r="V87" s="231">
        <f t="shared" si="10"/>
        <v>1189.1499999999999</v>
      </c>
      <c r="W87" s="69">
        <v>6499</v>
      </c>
      <c r="X87" s="232">
        <f t="shared" si="11"/>
        <v>1217.1299999999999</v>
      </c>
      <c r="Y87" s="232">
        <f t="shared" si="12"/>
        <v>1189.1499999999999</v>
      </c>
      <c r="Z87" s="231"/>
      <c r="AA87" s="233"/>
      <c r="AB87" s="130"/>
      <c r="AC87" s="139"/>
      <c r="AD87" s="117"/>
    </row>
    <row r="88" spans="1:30" ht="14.25" customHeight="1">
      <c r="A88" s="189" t="s">
        <v>976</v>
      </c>
      <c r="B88" s="189" t="s">
        <v>1006</v>
      </c>
      <c r="C88" s="44" t="s">
        <v>538</v>
      </c>
      <c r="D88" s="187" t="str">
        <f>VLOOKUP(C88,'Amazon Live Products'!E:F,2,0)</f>
        <v>B0D81DLSFT</v>
      </c>
      <c r="E88" s="44" t="s">
        <v>483</v>
      </c>
      <c r="F88" s="44" t="s">
        <v>484</v>
      </c>
      <c r="G88" s="225">
        <f>VLOOKUP(C88,'Amazon Live Products'!E:P,12,0)</f>
        <v>371.22940800000003</v>
      </c>
      <c r="H88" s="226">
        <f>VLOOKUP(D88,'Amazon Live Products'!F:Q,12,0)</f>
        <v>438.05070144000001</v>
      </c>
      <c r="I88" s="227"/>
      <c r="J88" s="227">
        <f t="shared" si="0"/>
        <v>111.24</v>
      </c>
      <c r="K88" s="227">
        <f t="shared" si="1"/>
        <v>14.832000000000001</v>
      </c>
      <c r="L88" s="227">
        <f t="shared" si="13"/>
        <v>44.496000000000002</v>
      </c>
      <c r="M88" s="227">
        <f t="shared" si="2"/>
        <v>113.12542372881353</v>
      </c>
      <c r="N88" s="227">
        <f t="shared" si="3"/>
        <v>22.248000000000001</v>
      </c>
      <c r="O88" s="227">
        <f t="shared" si="4"/>
        <v>22.248000000000001</v>
      </c>
      <c r="P88" s="227">
        <f t="shared" si="5"/>
        <v>699.41883172881364</v>
      </c>
      <c r="Q88" s="227">
        <f t="shared" si="6"/>
        <v>42.18116827118638</v>
      </c>
      <c r="R88" s="228">
        <f t="shared" si="7"/>
        <v>5.6878597992430391E-2</v>
      </c>
      <c r="S88" s="229">
        <f>VLOOKUP(C88,'Amazon Live Products'!E:AF,28,0)</f>
        <v>824</v>
      </c>
      <c r="T88" s="229">
        <f t="shared" si="8"/>
        <v>741.6</v>
      </c>
      <c r="U88" s="230">
        <f t="shared" si="15"/>
        <v>741.6</v>
      </c>
      <c r="V88" s="231">
        <f t="shared" si="10"/>
        <v>700.4</v>
      </c>
      <c r="W88" s="69">
        <v>2699</v>
      </c>
      <c r="X88" s="232">
        <f t="shared" si="11"/>
        <v>716.88</v>
      </c>
      <c r="Y88" s="232">
        <f t="shared" si="12"/>
        <v>700.4</v>
      </c>
      <c r="Z88" s="117"/>
      <c r="AA88" s="233"/>
      <c r="AB88" s="117"/>
      <c r="AC88" s="44"/>
      <c r="AD88" s="117"/>
    </row>
    <row r="89" spans="1:30" ht="14.25" customHeight="1">
      <c r="A89" s="189" t="s">
        <v>976</v>
      </c>
      <c r="B89" s="189" t="s">
        <v>1060</v>
      </c>
      <c r="C89" s="44" t="s">
        <v>879</v>
      </c>
      <c r="D89" s="187" t="str">
        <f>VLOOKUP(C89,'Amazon Live Products'!E:F,2,0)</f>
        <v>B0FS7T8151</v>
      </c>
      <c r="E89" s="44" t="s">
        <v>881</v>
      </c>
      <c r="F89" s="44" t="s">
        <v>1061</v>
      </c>
      <c r="G89" s="225">
        <f>VLOOKUP(C89,'Amazon Live Products'!E:P,12,0)</f>
        <v>216.82425600000002</v>
      </c>
      <c r="H89" s="226">
        <f>VLOOKUP(D89,'Amazon Live Products'!F:Q,12,0)</f>
        <v>255.85262208</v>
      </c>
      <c r="I89" s="227"/>
      <c r="J89" s="227">
        <f t="shared" si="0"/>
        <v>74.114999999999995</v>
      </c>
      <c r="K89" s="227">
        <f t="shared" si="1"/>
        <v>9.8820000000000014</v>
      </c>
      <c r="L89" s="227">
        <f t="shared" si="13"/>
        <v>29.646000000000001</v>
      </c>
      <c r="M89" s="227">
        <f t="shared" si="2"/>
        <v>75.371186440677945</v>
      </c>
      <c r="N89" s="227">
        <f t="shared" si="3"/>
        <v>14.823</v>
      </c>
      <c r="O89" s="227">
        <f t="shared" si="4"/>
        <v>14.823</v>
      </c>
      <c r="P89" s="227">
        <f t="shared" si="5"/>
        <v>435.48444244067792</v>
      </c>
      <c r="Q89" s="227">
        <f t="shared" si="6"/>
        <v>58.615557559322099</v>
      </c>
      <c r="R89" s="228">
        <f t="shared" si="7"/>
        <v>0.11863096045197753</v>
      </c>
      <c r="S89" s="229">
        <f>VLOOKUP(C89,'Amazon Live Products'!E:AF,28,0)</f>
        <v>549</v>
      </c>
      <c r="T89" s="229">
        <f t="shared" si="8"/>
        <v>494.1</v>
      </c>
      <c r="U89" s="230">
        <f t="shared" si="15"/>
        <v>494.1</v>
      </c>
      <c r="V89" s="231">
        <f t="shared" si="10"/>
        <v>466.65</v>
      </c>
      <c r="W89" s="69"/>
      <c r="X89" s="232">
        <f t="shared" si="11"/>
        <v>477.63</v>
      </c>
      <c r="Y89" s="232">
        <f t="shared" si="12"/>
        <v>466.65</v>
      </c>
      <c r="Z89" s="117"/>
      <c r="AA89" s="233"/>
      <c r="AB89" s="117"/>
      <c r="AC89" s="44"/>
      <c r="AD89" s="117"/>
    </row>
    <row r="90" spans="1:30" ht="14.25" customHeight="1">
      <c r="A90" s="189" t="s">
        <v>934</v>
      </c>
      <c r="B90" s="189" t="s">
        <v>1062</v>
      </c>
      <c r="C90" s="44" t="s">
        <v>884</v>
      </c>
      <c r="D90" s="187" t="str">
        <f>VLOOKUP(C90,'Amazon Live Products'!E:F,2,0)</f>
        <v>B0FSF1N457</v>
      </c>
      <c r="E90" s="44" t="s">
        <v>886</v>
      </c>
      <c r="F90" s="44" t="s">
        <v>1063</v>
      </c>
      <c r="G90" s="225">
        <f>VLOOKUP(C90,'Amazon Live Products'!E:P,12,0)</f>
        <v>246.3912</v>
      </c>
      <c r="H90" s="226">
        <f>VLOOKUP(D90,'Amazon Live Products'!F:Q,12,0)</f>
        <v>290.74161599999996</v>
      </c>
      <c r="I90" s="227"/>
      <c r="J90" s="227">
        <f t="shared" si="0"/>
        <v>82.35</v>
      </c>
      <c r="K90" s="227">
        <f t="shared" si="1"/>
        <v>10.98</v>
      </c>
      <c r="L90" s="227">
        <f t="shared" si="13"/>
        <v>32.94</v>
      </c>
      <c r="M90" s="227">
        <f t="shared" si="2"/>
        <v>83.745762711864359</v>
      </c>
      <c r="N90" s="227">
        <f t="shared" si="3"/>
        <v>16.47</v>
      </c>
      <c r="O90" s="227">
        <f t="shared" si="4"/>
        <v>16.47</v>
      </c>
      <c r="P90" s="227">
        <f t="shared" si="5"/>
        <v>489.34696271186442</v>
      </c>
      <c r="Q90" s="227">
        <f t="shared" si="6"/>
        <v>59.653037288135579</v>
      </c>
      <c r="R90" s="228">
        <f t="shared" si="7"/>
        <v>0.10865762711864405</v>
      </c>
      <c r="S90" s="229">
        <f>VLOOKUP(C90,'Amazon Live Products'!E:AF,28,0)</f>
        <v>599</v>
      </c>
      <c r="T90" s="229">
        <f t="shared" si="8"/>
        <v>539.1</v>
      </c>
      <c r="U90" s="230">
        <v>549</v>
      </c>
      <c r="V90" s="231">
        <f t="shared" si="10"/>
        <v>509.15</v>
      </c>
      <c r="W90" s="117"/>
      <c r="X90" s="232">
        <f t="shared" si="11"/>
        <v>521.13</v>
      </c>
      <c r="Y90" s="232">
        <f t="shared" si="12"/>
        <v>509.15</v>
      </c>
      <c r="Z90" s="117"/>
      <c r="AA90" s="233">
        <v>539</v>
      </c>
      <c r="AB90" s="117"/>
      <c r="AC90" s="44"/>
      <c r="AD90" s="117"/>
    </row>
    <row r="91" spans="1:30" ht="14.25" customHeight="1">
      <c r="A91" s="189" t="s">
        <v>934</v>
      </c>
      <c r="B91" s="189" t="s">
        <v>1064</v>
      </c>
      <c r="C91" s="44" t="s">
        <v>889</v>
      </c>
      <c r="D91" s="187" t="str">
        <f>VLOOKUP(C91,'Amazon Live Products'!E:F,2,0)</f>
        <v>B0FS6TB7CP</v>
      </c>
      <c r="E91" s="44" t="s">
        <v>891</v>
      </c>
      <c r="F91" s="44" t="s">
        <v>1065</v>
      </c>
      <c r="G91" s="225">
        <f>VLOOKUP(C91,'Amazon Live Products'!E:P,12,0)</f>
        <v>1089.59664</v>
      </c>
      <c r="H91" s="226">
        <f>VLOOKUP(D91,'Amazon Live Products'!F:Q,12,0)</f>
        <v>1285.7240351999999</v>
      </c>
      <c r="I91" s="227"/>
      <c r="J91" s="227">
        <f t="shared" si="0"/>
        <v>344.84999999999997</v>
      </c>
      <c r="K91" s="227">
        <f t="shared" si="1"/>
        <v>45.980000000000004</v>
      </c>
      <c r="L91" s="227">
        <f t="shared" si="13"/>
        <v>137.94</v>
      </c>
      <c r="M91" s="227">
        <f t="shared" si="2"/>
        <v>350.69491525423723</v>
      </c>
      <c r="N91" s="227">
        <f t="shared" si="3"/>
        <v>68.97</v>
      </c>
      <c r="O91" s="227">
        <f t="shared" si="4"/>
        <v>68.97</v>
      </c>
      <c r="P91" s="227">
        <f t="shared" si="5"/>
        <v>2107.0015552542372</v>
      </c>
      <c r="Q91" s="227">
        <f t="shared" si="6"/>
        <v>191.99844474576275</v>
      </c>
      <c r="R91" s="228">
        <f t="shared" si="7"/>
        <v>8.3513895061227819E-2</v>
      </c>
      <c r="S91" s="229">
        <f>VLOOKUP(C91,'Amazon Live Products'!E:AF,28,0)</f>
        <v>2399</v>
      </c>
      <c r="T91" s="229">
        <f t="shared" si="8"/>
        <v>2159.1</v>
      </c>
      <c r="U91" s="230">
        <v>2299</v>
      </c>
      <c r="V91" s="231">
        <f t="shared" si="10"/>
        <v>2039.1499999999999</v>
      </c>
      <c r="W91" s="117"/>
      <c r="X91" s="232">
        <f t="shared" si="11"/>
        <v>2087.13</v>
      </c>
      <c r="Y91" s="232">
        <f t="shared" si="12"/>
        <v>2039.1499999999999</v>
      </c>
      <c r="Z91" s="117"/>
      <c r="AA91" s="233">
        <v>2159</v>
      </c>
      <c r="AB91" s="117"/>
      <c r="AC91" s="233"/>
      <c r="AD91" s="117"/>
    </row>
    <row r="92" spans="1:30" ht="14.25" customHeight="1">
      <c r="A92" s="189" t="s">
        <v>934</v>
      </c>
      <c r="B92" s="189" t="s">
        <v>1066</v>
      </c>
      <c r="C92" s="44" t="s">
        <v>895</v>
      </c>
      <c r="D92" s="187" t="str">
        <f>VLOOKUP(C92,'Amazon Live Products'!E:F,2,0)</f>
        <v>B0FT8R24QM</v>
      </c>
      <c r="E92" s="44" t="s">
        <v>897</v>
      </c>
      <c r="F92" s="44" t="s">
        <v>1067</v>
      </c>
      <c r="G92" s="225">
        <f>VLOOKUP(C92,'Amazon Live Products'!E:P,12,0)</f>
        <v>120.45792</v>
      </c>
      <c r="H92" s="226">
        <f>VLOOKUP(D92,'Amazon Live Products'!F:Q,12,0)</f>
        <v>142.14034559999999</v>
      </c>
      <c r="I92" s="227"/>
      <c r="J92" s="227">
        <f t="shared" si="0"/>
        <v>44.85</v>
      </c>
      <c r="K92" s="227">
        <f t="shared" si="1"/>
        <v>5.98</v>
      </c>
      <c r="L92" s="227">
        <f t="shared" si="13"/>
        <v>17.939999999999998</v>
      </c>
      <c r="M92" s="227">
        <f t="shared" si="2"/>
        <v>45.610169491525397</v>
      </c>
      <c r="N92" s="227">
        <f t="shared" si="3"/>
        <v>8.9699999999999989</v>
      </c>
      <c r="O92" s="227">
        <f t="shared" si="4"/>
        <v>8.9699999999999989</v>
      </c>
      <c r="P92" s="227">
        <f t="shared" si="5"/>
        <v>252.77808949152538</v>
      </c>
      <c r="Q92" s="227">
        <f t="shared" si="6"/>
        <v>46.221910508474622</v>
      </c>
      <c r="R92" s="228">
        <f t="shared" si="7"/>
        <v>0.15458832945978135</v>
      </c>
      <c r="S92" s="229">
        <f>VLOOKUP(C92,'Amazon Live Products'!E:AF,28,0)</f>
        <v>359</v>
      </c>
      <c r="T92" s="229">
        <f t="shared" si="8"/>
        <v>323.10000000000002</v>
      </c>
      <c r="U92" s="230">
        <v>299</v>
      </c>
      <c r="V92" s="231">
        <f t="shared" si="10"/>
        <v>305.14999999999998</v>
      </c>
      <c r="W92" s="117"/>
      <c r="X92" s="232">
        <f t="shared" si="11"/>
        <v>312.33</v>
      </c>
      <c r="Y92" s="232">
        <f t="shared" si="12"/>
        <v>305.14999999999998</v>
      </c>
      <c r="Z92" s="117"/>
      <c r="AA92" s="233">
        <v>332</v>
      </c>
      <c r="AB92" s="117"/>
      <c r="AC92" s="44"/>
      <c r="AD92" s="117"/>
    </row>
    <row r="93" spans="1:30" ht="14.25" customHeight="1">
      <c r="A93" s="189"/>
      <c r="B93" s="189"/>
      <c r="C93" s="44"/>
      <c r="D93" s="140"/>
      <c r="E93" s="44"/>
      <c r="F93" s="44"/>
      <c r="G93" s="225"/>
      <c r="H93" s="226"/>
      <c r="I93" s="227"/>
      <c r="J93" s="227"/>
      <c r="K93" s="227"/>
      <c r="L93" s="227"/>
      <c r="M93" s="227"/>
      <c r="N93" s="227"/>
      <c r="O93" s="227"/>
      <c r="P93" s="227"/>
      <c r="Q93" s="227"/>
      <c r="R93" s="228"/>
      <c r="S93" s="229"/>
      <c r="T93" s="229"/>
      <c r="U93" s="230"/>
      <c r="V93" s="231"/>
      <c r="W93" s="117"/>
      <c r="X93" s="232"/>
      <c r="Y93" s="232"/>
      <c r="Z93" s="117"/>
      <c r="AA93" s="233"/>
      <c r="AB93" s="117"/>
      <c r="AC93" s="44"/>
      <c r="AD93" s="117"/>
    </row>
    <row r="94" spans="1:30" ht="14.25" customHeight="1">
      <c r="A94" s="189"/>
      <c r="B94" s="189"/>
      <c r="C94" s="44"/>
      <c r="D94" s="140"/>
      <c r="E94" s="44"/>
      <c r="F94" s="44"/>
      <c r="G94" s="225"/>
      <c r="H94" s="226"/>
      <c r="I94" s="227"/>
      <c r="J94" s="227"/>
      <c r="K94" s="227"/>
      <c r="L94" s="227"/>
      <c r="M94" s="227"/>
      <c r="N94" s="227"/>
      <c r="O94" s="227"/>
      <c r="P94" s="227"/>
      <c r="Q94" s="227"/>
      <c r="R94" s="228"/>
      <c r="S94" s="229"/>
      <c r="T94" s="229"/>
      <c r="U94" s="230"/>
      <c r="V94" s="231"/>
      <c r="W94" s="117"/>
      <c r="X94" s="232"/>
      <c r="Y94" s="232"/>
      <c r="Z94" s="117"/>
      <c r="AA94" s="233"/>
      <c r="AB94" s="117"/>
      <c r="AC94" s="44"/>
      <c r="AD94" s="117"/>
    </row>
    <row r="95" spans="1:30" ht="14.25" customHeight="1">
      <c r="A95" s="189"/>
      <c r="B95" s="189"/>
      <c r="C95" s="44"/>
      <c r="D95" s="117"/>
      <c r="E95" s="44"/>
      <c r="F95" s="44"/>
      <c r="G95" s="117"/>
      <c r="H95" s="117"/>
      <c r="I95" s="117"/>
      <c r="J95" s="117"/>
      <c r="K95" s="117"/>
      <c r="L95" s="117"/>
      <c r="M95" s="117"/>
      <c r="N95" s="117"/>
      <c r="O95" s="117"/>
      <c r="P95" s="117"/>
      <c r="Q95" s="117"/>
      <c r="R95" s="117"/>
      <c r="S95" s="117"/>
      <c r="T95" s="117"/>
      <c r="U95" s="235"/>
      <c r="V95" s="117"/>
      <c r="W95" s="117"/>
      <c r="X95" s="117"/>
      <c r="Y95" s="117"/>
      <c r="Z95" s="117"/>
      <c r="AA95" s="44"/>
      <c r="AB95" s="117"/>
      <c r="AC95" s="44"/>
      <c r="AD95" s="117"/>
    </row>
    <row r="96" spans="1:30" ht="14.25" customHeight="1">
      <c r="A96" s="189"/>
      <c r="B96" s="189"/>
      <c r="C96" s="44"/>
      <c r="D96" s="117"/>
      <c r="E96" s="44"/>
      <c r="F96" s="44"/>
      <c r="G96" s="117"/>
      <c r="H96" s="117"/>
      <c r="I96" s="117"/>
      <c r="J96" s="117"/>
      <c r="K96" s="117"/>
      <c r="L96" s="117"/>
      <c r="M96" s="117"/>
      <c r="N96" s="117"/>
      <c r="O96" s="117"/>
      <c r="P96" s="117"/>
      <c r="Q96" s="117"/>
      <c r="R96" s="117"/>
      <c r="S96" s="117"/>
      <c r="T96" s="117"/>
      <c r="U96" s="235"/>
      <c r="V96" s="117"/>
      <c r="W96" s="117"/>
      <c r="X96" s="117"/>
      <c r="Y96" s="117"/>
      <c r="Z96" s="117"/>
      <c r="AA96" s="44"/>
      <c r="AB96" s="117"/>
      <c r="AC96" s="44"/>
      <c r="AD96" s="117"/>
    </row>
    <row r="97" spans="1:30" ht="14.25" customHeight="1">
      <c r="A97" s="189"/>
      <c r="B97" s="189"/>
      <c r="C97" s="44"/>
      <c r="D97" s="117"/>
      <c r="E97" s="44"/>
      <c r="F97" s="44"/>
      <c r="G97" s="117"/>
      <c r="H97" s="117"/>
      <c r="I97" s="117"/>
      <c r="J97" s="117"/>
      <c r="K97" s="117"/>
      <c r="L97" s="117"/>
      <c r="M97" s="117"/>
      <c r="N97" s="117"/>
      <c r="O97" s="117"/>
      <c r="P97" s="117"/>
      <c r="Q97" s="117"/>
      <c r="R97" s="117"/>
      <c r="S97" s="117"/>
      <c r="T97" s="117"/>
      <c r="U97" s="235"/>
      <c r="V97" s="117"/>
      <c r="W97" s="117"/>
      <c r="X97" s="117"/>
      <c r="Y97" s="117"/>
      <c r="Z97" s="117"/>
      <c r="AA97" s="44"/>
      <c r="AB97" s="117"/>
      <c r="AC97" s="44"/>
      <c r="AD97" s="117"/>
    </row>
    <row r="98" spans="1:30" ht="14.25" customHeight="1">
      <c r="A98" s="189"/>
      <c r="B98" s="189"/>
      <c r="C98" s="44"/>
      <c r="D98" s="117"/>
      <c r="E98" s="44"/>
      <c r="F98" s="44"/>
      <c r="G98" s="117"/>
      <c r="H98" s="117"/>
      <c r="I98" s="117"/>
      <c r="J98" s="117"/>
      <c r="K98" s="117"/>
      <c r="L98" s="117"/>
      <c r="M98" s="117"/>
      <c r="N98" s="117"/>
      <c r="O98" s="117"/>
      <c r="P98" s="117"/>
      <c r="Q98" s="117"/>
      <c r="R98" s="117"/>
      <c r="S98" s="117"/>
      <c r="T98" s="117"/>
      <c r="U98" s="235"/>
      <c r="V98" s="117"/>
      <c r="W98" s="117"/>
      <c r="X98" s="117"/>
      <c r="Y98" s="117"/>
      <c r="Z98" s="117"/>
      <c r="AA98" s="44"/>
      <c r="AB98" s="117"/>
      <c r="AC98" s="44"/>
      <c r="AD98" s="117"/>
    </row>
    <row r="99" spans="1:30" ht="14.25" customHeight="1">
      <c r="A99" s="189"/>
      <c r="B99" s="189"/>
      <c r="C99" s="44"/>
      <c r="D99" s="117"/>
      <c r="E99" s="44"/>
      <c r="F99" s="44"/>
      <c r="G99" s="117"/>
      <c r="H99" s="117"/>
      <c r="I99" s="117"/>
      <c r="J99" s="117"/>
      <c r="K99" s="117"/>
      <c r="L99" s="117"/>
      <c r="M99" s="117"/>
      <c r="N99" s="117"/>
      <c r="O99" s="117"/>
      <c r="P99" s="117"/>
      <c r="Q99" s="117"/>
      <c r="R99" s="117"/>
      <c r="S99" s="117"/>
      <c r="T99" s="117"/>
      <c r="U99" s="235"/>
      <c r="V99" s="117"/>
      <c r="W99" s="117"/>
      <c r="X99" s="117"/>
      <c r="Y99" s="117"/>
      <c r="Z99" s="117"/>
      <c r="AA99" s="44"/>
      <c r="AB99" s="117"/>
      <c r="AC99" s="44"/>
      <c r="AD99" s="117"/>
    </row>
    <row r="100" spans="1:30" ht="14.25" customHeight="1">
      <c r="A100" s="189"/>
      <c r="B100" s="189"/>
      <c r="C100" s="44"/>
      <c r="D100" s="117"/>
      <c r="E100" s="44"/>
      <c r="F100" s="44"/>
      <c r="G100" s="117"/>
      <c r="H100" s="117"/>
      <c r="I100" s="117"/>
      <c r="J100" s="117"/>
      <c r="K100" s="117"/>
      <c r="L100" s="117"/>
      <c r="M100" s="117"/>
      <c r="N100" s="117"/>
      <c r="O100" s="117"/>
      <c r="P100" s="117"/>
      <c r="Q100" s="117"/>
      <c r="R100" s="117"/>
      <c r="S100" s="117"/>
      <c r="T100" s="117"/>
      <c r="U100" s="235"/>
      <c r="V100" s="117"/>
      <c r="W100" s="117"/>
      <c r="X100" s="117"/>
      <c r="Y100" s="117"/>
      <c r="Z100" s="117"/>
      <c r="AA100" s="44"/>
      <c r="AB100" s="117"/>
      <c r="AC100" s="44"/>
      <c r="AD100" s="117"/>
    </row>
    <row r="101" spans="1:30" ht="14.25" customHeight="1">
      <c r="A101" s="189"/>
      <c r="B101" s="189"/>
      <c r="C101" s="44"/>
      <c r="D101" s="213"/>
      <c r="E101" s="44"/>
      <c r="F101" s="44"/>
      <c r="G101" s="213"/>
      <c r="H101" s="213"/>
      <c r="I101" s="213"/>
      <c r="J101" s="213"/>
      <c r="K101" s="213"/>
      <c r="L101" s="213"/>
      <c r="M101" s="213"/>
      <c r="N101" s="213"/>
      <c r="O101" s="213"/>
      <c r="P101" s="213"/>
      <c r="Q101" s="213"/>
      <c r="R101" s="213"/>
      <c r="S101" s="213"/>
      <c r="T101" s="213"/>
      <c r="U101" s="236"/>
      <c r="V101" s="213"/>
      <c r="W101" s="213"/>
      <c r="X101" s="213"/>
      <c r="Y101" s="213"/>
      <c r="Z101" s="213"/>
      <c r="AA101" s="44"/>
      <c r="AB101" s="213"/>
      <c r="AC101" s="44"/>
      <c r="AD101" s="213"/>
    </row>
    <row r="102" spans="1:30" ht="14.25" customHeight="1">
      <c r="A102" s="189"/>
      <c r="B102" s="189"/>
      <c r="C102" s="44"/>
      <c r="D102" s="117"/>
      <c r="E102" s="44"/>
      <c r="F102" s="44"/>
      <c r="G102" s="117"/>
      <c r="H102" s="117"/>
      <c r="I102" s="117"/>
      <c r="J102" s="117"/>
      <c r="K102" s="117"/>
      <c r="L102" s="117"/>
      <c r="M102" s="117"/>
      <c r="N102" s="117"/>
      <c r="O102" s="117"/>
      <c r="P102" s="117"/>
      <c r="Q102" s="117"/>
      <c r="R102" s="117"/>
      <c r="S102" s="117"/>
      <c r="T102" s="117"/>
      <c r="U102" s="235"/>
      <c r="V102" s="117"/>
      <c r="W102" s="117"/>
      <c r="X102" s="117"/>
      <c r="Y102" s="117"/>
      <c r="Z102" s="117"/>
      <c r="AA102" s="44"/>
      <c r="AB102" s="117"/>
      <c r="AC102" s="44"/>
      <c r="AD102" s="117"/>
    </row>
    <row r="103" spans="1:30" ht="14.25" customHeight="1">
      <c r="A103" s="189"/>
      <c r="B103" s="189"/>
      <c r="C103" s="44"/>
      <c r="D103" s="117"/>
      <c r="E103" s="44"/>
      <c r="F103" s="44"/>
      <c r="G103" s="117"/>
      <c r="H103" s="117"/>
      <c r="I103" s="117"/>
      <c r="J103" s="117"/>
      <c r="K103" s="117"/>
      <c r="L103" s="117"/>
      <c r="M103" s="117"/>
      <c r="N103" s="117"/>
      <c r="O103" s="117"/>
      <c r="P103" s="117"/>
      <c r="Q103" s="117"/>
      <c r="R103" s="117"/>
      <c r="S103" s="117"/>
      <c r="T103" s="117"/>
      <c r="U103" s="235"/>
      <c r="V103" s="117"/>
      <c r="W103" s="117"/>
      <c r="X103" s="117"/>
      <c r="Y103" s="117"/>
      <c r="Z103" s="117"/>
      <c r="AA103" s="44"/>
      <c r="AB103" s="117"/>
      <c r="AC103" s="44"/>
      <c r="AD103" s="117"/>
    </row>
    <row r="104" spans="1:30" ht="14.25" customHeight="1">
      <c r="A104" s="189"/>
      <c r="B104" s="189"/>
      <c r="C104" s="44"/>
      <c r="D104" s="213"/>
      <c r="E104" s="44"/>
      <c r="F104" s="44"/>
      <c r="G104" s="213"/>
      <c r="H104" s="213"/>
      <c r="I104" s="213"/>
      <c r="J104" s="213"/>
      <c r="K104" s="213"/>
      <c r="L104" s="213"/>
      <c r="M104" s="213"/>
      <c r="N104" s="213"/>
      <c r="O104" s="213"/>
      <c r="P104" s="213"/>
      <c r="Q104" s="213"/>
      <c r="R104" s="213"/>
      <c r="S104" s="213"/>
      <c r="T104" s="213"/>
      <c r="U104" s="236"/>
      <c r="V104" s="213"/>
      <c r="W104" s="213"/>
      <c r="X104" s="213"/>
      <c r="Y104" s="213"/>
      <c r="Z104" s="213"/>
      <c r="AA104" s="44"/>
      <c r="AB104" s="213"/>
      <c r="AC104" s="44"/>
      <c r="AD104" s="213"/>
    </row>
    <row r="105" spans="1:30" ht="14.25" customHeight="1">
      <c r="A105" s="189"/>
      <c r="B105" s="189"/>
      <c r="C105" s="44"/>
      <c r="D105" s="213"/>
      <c r="E105" s="44"/>
      <c r="F105" s="44"/>
      <c r="G105" s="213"/>
      <c r="H105" s="213"/>
      <c r="I105" s="213"/>
      <c r="J105" s="213"/>
      <c r="K105" s="213"/>
      <c r="L105" s="213"/>
      <c r="M105" s="213"/>
      <c r="N105" s="213"/>
      <c r="O105" s="213"/>
      <c r="P105" s="213"/>
      <c r="Q105" s="213"/>
      <c r="R105" s="213"/>
      <c r="S105" s="213"/>
      <c r="T105" s="213"/>
      <c r="U105" s="236"/>
      <c r="V105" s="213"/>
      <c r="W105" s="213"/>
      <c r="X105" s="213"/>
      <c r="Y105" s="213"/>
      <c r="Z105" s="213"/>
      <c r="AA105" s="44"/>
      <c r="AB105" s="213"/>
      <c r="AC105" s="44"/>
      <c r="AD105" s="213"/>
    </row>
    <row r="106" spans="1:30" ht="14.25" customHeight="1">
      <c r="A106" s="189"/>
      <c r="B106" s="189"/>
      <c r="C106" s="44"/>
      <c r="D106" s="213"/>
      <c r="E106" s="44"/>
      <c r="F106" s="44"/>
      <c r="G106" s="213"/>
      <c r="H106" s="213"/>
      <c r="I106" s="213"/>
      <c r="J106" s="213"/>
      <c r="K106" s="213"/>
      <c r="L106" s="213"/>
      <c r="M106" s="213"/>
      <c r="N106" s="213"/>
      <c r="O106" s="213"/>
      <c r="P106" s="213"/>
      <c r="Q106" s="213"/>
      <c r="R106" s="213"/>
      <c r="S106" s="213"/>
      <c r="T106" s="213"/>
      <c r="U106" s="236"/>
      <c r="V106" s="213"/>
      <c r="W106" s="213"/>
      <c r="X106" s="213"/>
      <c r="Y106" s="213"/>
      <c r="Z106" s="213"/>
      <c r="AA106" s="44"/>
      <c r="AB106" s="213"/>
      <c r="AC106" s="44"/>
      <c r="AD106" s="213"/>
    </row>
    <row r="107" spans="1:30" ht="14.25" customHeight="1">
      <c r="A107" s="189"/>
      <c r="B107" s="189"/>
      <c r="C107" s="44"/>
      <c r="D107" s="213"/>
      <c r="E107" s="44"/>
      <c r="F107" s="44"/>
      <c r="G107" s="213"/>
      <c r="H107" s="213"/>
      <c r="I107" s="213"/>
      <c r="J107" s="213"/>
      <c r="K107" s="213"/>
      <c r="L107" s="213"/>
      <c r="M107" s="213"/>
      <c r="N107" s="213"/>
      <c r="O107" s="213"/>
      <c r="P107" s="213"/>
      <c r="Q107" s="213"/>
      <c r="R107" s="213"/>
      <c r="S107" s="213"/>
      <c r="T107" s="213"/>
      <c r="U107" s="236"/>
      <c r="V107" s="213"/>
      <c r="W107" s="213"/>
      <c r="X107" s="213"/>
      <c r="Y107" s="213"/>
      <c r="Z107" s="213"/>
      <c r="AA107" s="44"/>
      <c r="AB107" s="213"/>
      <c r="AC107" s="44"/>
      <c r="AD107" s="213"/>
    </row>
    <row r="108" spans="1:30" ht="14.25" customHeight="1">
      <c r="A108" s="189"/>
      <c r="B108" s="189"/>
      <c r="C108" s="44"/>
      <c r="D108" s="213"/>
      <c r="E108" s="44"/>
      <c r="F108" s="44"/>
      <c r="G108" s="213"/>
      <c r="H108" s="213"/>
      <c r="I108" s="213"/>
      <c r="J108" s="213"/>
      <c r="K108" s="213"/>
      <c r="L108" s="213"/>
      <c r="M108" s="213"/>
      <c r="N108" s="213"/>
      <c r="O108" s="213"/>
      <c r="P108" s="213"/>
      <c r="Q108" s="213"/>
      <c r="R108" s="213"/>
      <c r="S108" s="213"/>
      <c r="T108" s="213"/>
      <c r="U108" s="236"/>
      <c r="V108" s="213"/>
      <c r="W108" s="213"/>
      <c r="X108" s="213"/>
      <c r="Y108" s="213"/>
      <c r="Z108" s="213"/>
      <c r="AA108" s="44"/>
      <c r="AB108" s="213"/>
      <c r="AC108" s="44"/>
      <c r="AD108" s="213"/>
    </row>
    <row r="109" spans="1:30" ht="14.25" customHeight="1">
      <c r="A109" s="189"/>
      <c r="B109" s="189"/>
      <c r="C109" s="44"/>
      <c r="D109" s="213"/>
      <c r="E109" s="44"/>
      <c r="F109" s="44"/>
      <c r="G109" s="213"/>
      <c r="H109" s="213"/>
      <c r="I109" s="213"/>
      <c r="J109" s="213"/>
      <c r="K109" s="213"/>
      <c r="L109" s="213"/>
      <c r="M109" s="213"/>
      <c r="N109" s="213"/>
      <c r="O109" s="213"/>
      <c r="P109" s="213"/>
      <c r="Q109" s="213"/>
      <c r="R109" s="213"/>
      <c r="S109" s="213"/>
      <c r="T109" s="213"/>
      <c r="U109" s="236"/>
      <c r="V109" s="213"/>
      <c r="W109" s="213"/>
      <c r="X109" s="213"/>
      <c r="Y109" s="213"/>
      <c r="Z109" s="213"/>
      <c r="AA109" s="44"/>
      <c r="AB109" s="213"/>
      <c r="AC109" s="44"/>
      <c r="AD109" s="213"/>
    </row>
    <row r="110" spans="1:30" ht="14.25" customHeight="1">
      <c r="A110" s="189"/>
      <c r="B110" s="189"/>
      <c r="C110" s="44"/>
      <c r="D110" s="213"/>
      <c r="E110" s="44"/>
      <c r="F110" s="44"/>
      <c r="G110" s="213"/>
      <c r="H110" s="213"/>
      <c r="I110" s="213"/>
      <c r="J110" s="213"/>
      <c r="K110" s="213"/>
      <c r="L110" s="213"/>
      <c r="M110" s="213"/>
      <c r="N110" s="213"/>
      <c r="O110" s="213"/>
      <c r="P110" s="213"/>
      <c r="Q110" s="213"/>
      <c r="R110" s="213"/>
      <c r="S110" s="213"/>
      <c r="T110" s="213"/>
      <c r="U110" s="236"/>
      <c r="V110" s="213"/>
      <c r="W110" s="213"/>
      <c r="X110" s="213"/>
      <c r="Y110" s="213"/>
      <c r="Z110" s="213"/>
      <c r="AA110" s="44"/>
      <c r="AB110" s="213"/>
      <c r="AC110" s="44"/>
      <c r="AD110" s="213"/>
    </row>
    <row r="111" spans="1:30" ht="14.25" customHeight="1">
      <c r="A111" s="189"/>
      <c r="B111" s="189"/>
      <c r="C111" s="44"/>
      <c r="D111" s="213"/>
      <c r="E111" s="44"/>
      <c r="F111" s="44"/>
      <c r="G111" s="213"/>
      <c r="H111" s="213"/>
      <c r="I111" s="213"/>
      <c r="J111" s="213"/>
      <c r="K111" s="213"/>
      <c r="L111" s="213"/>
      <c r="M111" s="213"/>
      <c r="N111" s="213"/>
      <c r="O111" s="213"/>
      <c r="P111" s="213"/>
      <c r="Q111" s="213"/>
      <c r="R111" s="213"/>
      <c r="S111" s="213"/>
      <c r="T111" s="213"/>
      <c r="U111" s="236"/>
      <c r="V111" s="213"/>
      <c r="W111" s="213"/>
      <c r="X111" s="213"/>
      <c r="Y111" s="213"/>
      <c r="Z111" s="213"/>
      <c r="AA111" s="44"/>
      <c r="AB111" s="213"/>
      <c r="AC111" s="44"/>
      <c r="AD111" s="213"/>
    </row>
    <row r="112" spans="1:30" ht="14.25" customHeight="1">
      <c r="A112" s="189"/>
      <c r="B112" s="189"/>
      <c r="C112" s="44"/>
      <c r="D112" s="213"/>
      <c r="E112" s="44"/>
      <c r="F112" s="44"/>
      <c r="G112" s="213"/>
      <c r="H112" s="213"/>
      <c r="I112" s="213"/>
      <c r="J112" s="213"/>
      <c r="K112" s="213"/>
      <c r="L112" s="213"/>
      <c r="M112" s="213"/>
      <c r="N112" s="213"/>
      <c r="O112" s="213"/>
      <c r="P112" s="213"/>
      <c r="Q112" s="213"/>
      <c r="R112" s="213"/>
      <c r="S112" s="213"/>
      <c r="T112" s="213"/>
      <c r="U112" s="236"/>
      <c r="V112" s="213"/>
      <c r="W112" s="213"/>
      <c r="X112" s="213"/>
      <c r="Y112" s="213"/>
      <c r="Z112" s="213"/>
      <c r="AA112" s="44"/>
      <c r="AB112" s="213"/>
      <c r="AC112" s="44"/>
      <c r="AD112" s="213"/>
    </row>
    <row r="113" spans="1:30" ht="14.25" customHeight="1">
      <c r="A113" s="189"/>
      <c r="B113" s="189"/>
      <c r="C113" s="44"/>
      <c r="D113" s="117"/>
      <c r="E113" s="44"/>
      <c r="F113" s="44"/>
      <c r="G113" s="117"/>
      <c r="H113" s="117"/>
      <c r="I113" s="117"/>
      <c r="J113" s="117"/>
      <c r="K113" s="117"/>
      <c r="L113" s="117"/>
      <c r="M113" s="117"/>
      <c r="N113" s="117"/>
      <c r="O113" s="117"/>
      <c r="P113" s="117"/>
      <c r="Q113" s="117"/>
      <c r="R113" s="117"/>
      <c r="S113" s="117"/>
      <c r="T113" s="117"/>
      <c r="U113" s="235"/>
      <c r="V113" s="117"/>
      <c r="W113" s="117"/>
      <c r="X113" s="117"/>
      <c r="Y113" s="117"/>
      <c r="Z113" s="117"/>
      <c r="AA113" s="44"/>
      <c r="AB113" s="117"/>
      <c r="AC113" s="44"/>
      <c r="AD113" s="117"/>
    </row>
    <row r="114" spans="1:30" ht="14.25" customHeight="1">
      <c r="A114" s="189"/>
      <c r="B114" s="189"/>
      <c r="C114" s="44"/>
      <c r="D114" s="117"/>
      <c r="E114" s="44"/>
      <c r="F114" s="44"/>
      <c r="G114" s="117"/>
      <c r="H114" s="117"/>
      <c r="I114" s="117"/>
      <c r="J114" s="117"/>
      <c r="K114" s="117"/>
      <c r="L114" s="117"/>
      <c r="M114" s="117"/>
      <c r="N114" s="117"/>
      <c r="O114" s="117"/>
      <c r="P114" s="117"/>
      <c r="Q114" s="117"/>
      <c r="R114" s="117"/>
      <c r="S114" s="117"/>
      <c r="T114" s="117"/>
      <c r="U114" s="235"/>
      <c r="V114" s="117"/>
      <c r="W114" s="117"/>
      <c r="X114" s="117"/>
      <c r="Y114" s="117"/>
      <c r="Z114" s="117"/>
      <c r="AA114" s="44"/>
      <c r="AB114" s="117"/>
      <c r="AC114" s="44"/>
      <c r="AD114" s="117"/>
    </row>
    <row r="115" spans="1:30" ht="14.25" customHeight="1">
      <c r="A115" s="189"/>
      <c r="B115" s="189"/>
      <c r="C115" s="44"/>
      <c r="D115" s="117"/>
      <c r="E115" s="44"/>
      <c r="F115" s="44"/>
      <c r="G115" s="117"/>
      <c r="H115" s="117"/>
      <c r="I115" s="117"/>
      <c r="J115" s="117"/>
      <c r="K115" s="117"/>
      <c r="L115" s="117"/>
      <c r="M115" s="117"/>
      <c r="N115" s="117"/>
      <c r="O115" s="117"/>
      <c r="P115" s="117"/>
      <c r="Q115" s="117"/>
      <c r="R115" s="117"/>
      <c r="S115" s="117"/>
      <c r="T115" s="117"/>
      <c r="U115" s="235"/>
      <c r="V115" s="117"/>
      <c r="W115" s="117"/>
      <c r="X115" s="117"/>
      <c r="Y115" s="117"/>
      <c r="Z115" s="117"/>
      <c r="AA115" s="44"/>
      <c r="AB115" s="117"/>
      <c r="AC115" s="44"/>
      <c r="AD115" s="117"/>
    </row>
    <row r="116" spans="1:30" ht="14.25" customHeight="1">
      <c r="A116" s="189"/>
      <c r="B116" s="189"/>
      <c r="C116" s="44"/>
      <c r="D116" s="213"/>
      <c r="E116" s="44"/>
      <c r="F116" s="44"/>
      <c r="G116" s="213"/>
      <c r="H116" s="213"/>
      <c r="I116" s="213"/>
      <c r="J116" s="213"/>
      <c r="K116" s="213"/>
      <c r="L116" s="213"/>
      <c r="M116" s="213"/>
      <c r="N116" s="213"/>
      <c r="O116" s="213"/>
      <c r="P116" s="213"/>
      <c r="Q116" s="213"/>
      <c r="R116" s="213"/>
      <c r="S116" s="213"/>
      <c r="T116" s="213"/>
      <c r="U116" s="236"/>
      <c r="V116" s="213"/>
      <c r="W116" s="213"/>
      <c r="X116" s="213"/>
      <c r="Y116" s="213"/>
      <c r="Z116" s="213"/>
      <c r="AA116" s="44"/>
      <c r="AB116" s="213"/>
      <c r="AC116" s="44"/>
      <c r="AD116" s="213"/>
    </row>
    <row r="117" spans="1:30" ht="14.25" customHeight="1">
      <c r="A117" s="189"/>
      <c r="B117" s="189"/>
      <c r="C117" s="44"/>
      <c r="D117" s="117"/>
      <c r="E117" s="44"/>
      <c r="F117" s="44"/>
      <c r="G117" s="117"/>
      <c r="H117" s="117"/>
      <c r="I117" s="117"/>
      <c r="J117" s="117"/>
      <c r="K117" s="117"/>
      <c r="L117" s="117"/>
      <c r="M117" s="117"/>
      <c r="N117" s="117"/>
      <c r="O117" s="117"/>
      <c r="P117" s="117"/>
      <c r="Q117" s="117"/>
      <c r="R117" s="117"/>
      <c r="S117" s="117"/>
      <c r="T117" s="117"/>
      <c r="U117" s="235"/>
      <c r="V117" s="117"/>
      <c r="W117" s="117"/>
      <c r="X117" s="117"/>
      <c r="Y117" s="117"/>
      <c r="Z117" s="117"/>
      <c r="AA117" s="44"/>
      <c r="AB117" s="117"/>
      <c r="AC117" s="44"/>
      <c r="AD117" s="117"/>
    </row>
    <row r="118" spans="1:30" ht="14.25" customHeight="1">
      <c r="A118" s="189"/>
      <c r="B118" s="189"/>
      <c r="C118" s="44"/>
      <c r="D118" s="117"/>
      <c r="E118" s="44"/>
      <c r="F118" s="44"/>
      <c r="G118" s="117"/>
      <c r="H118" s="117"/>
      <c r="I118" s="117"/>
      <c r="J118" s="117"/>
      <c r="K118" s="117"/>
      <c r="L118" s="117"/>
      <c r="M118" s="117"/>
      <c r="N118" s="117"/>
      <c r="O118" s="117"/>
      <c r="P118" s="117"/>
      <c r="Q118" s="117"/>
      <c r="R118" s="117"/>
      <c r="S118" s="117"/>
      <c r="T118" s="117"/>
      <c r="U118" s="235"/>
      <c r="V118" s="117"/>
      <c r="W118" s="117"/>
      <c r="X118" s="117"/>
      <c r="Y118" s="117"/>
      <c r="Z118" s="117"/>
      <c r="AA118" s="44"/>
      <c r="AB118" s="117"/>
      <c r="AC118" s="44"/>
      <c r="AD118" s="117"/>
    </row>
    <row r="119" spans="1:30" ht="14.25" customHeight="1">
      <c r="A119" s="189"/>
      <c r="B119" s="189"/>
      <c r="C119" s="44"/>
      <c r="D119" s="117"/>
      <c r="E119" s="44"/>
      <c r="F119" s="44"/>
      <c r="G119" s="117"/>
      <c r="H119" s="117"/>
      <c r="I119" s="117"/>
      <c r="J119" s="117"/>
      <c r="K119" s="117"/>
      <c r="L119" s="117"/>
      <c r="M119" s="117"/>
      <c r="N119" s="117"/>
      <c r="O119" s="117"/>
      <c r="P119" s="117"/>
      <c r="Q119" s="117"/>
      <c r="R119" s="117"/>
      <c r="S119" s="117"/>
      <c r="T119" s="117"/>
      <c r="U119" s="235"/>
      <c r="V119" s="117"/>
      <c r="W119" s="117"/>
      <c r="X119" s="117"/>
      <c r="Y119" s="117"/>
      <c r="Z119" s="117"/>
      <c r="AA119" s="44"/>
      <c r="AB119" s="117"/>
      <c r="AC119" s="44"/>
      <c r="AD119" s="117"/>
    </row>
    <row r="120" spans="1:30" ht="14.25" customHeight="1">
      <c r="A120" s="189"/>
      <c r="B120" s="189"/>
      <c r="C120" s="44"/>
      <c r="D120" s="117"/>
      <c r="E120" s="44"/>
      <c r="F120" s="44"/>
      <c r="G120" s="117"/>
      <c r="H120" s="117"/>
      <c r="I120" s="117"/>
      <c r="J120" s="117"/>
      <c r="K120" s="117"/>
      <c r="L120" s="117"/>
      <c r="M120" s="117"/>
      <c r="N120" s="117"/>
      <c r="O120" s="117"/>
      <c r="P120" s="117"/>
      <c r="Q120" s="117"/>
      <c r="R120" s="117"/>
      <c r="S120" s="117"/>
      <c r="T120" s="117"/>
      <c r="U120" s="235"/>
      <c r="V120" s="117"/>
      <c r="W120" s="117"/>
      <c r="X120" s="117"/>
      <c r="Y120" s="117"/>
      <c r="Z120" s="117"/>
      <c r="AA120" s="44"/>
      <c r="AB120" s="117"/>
      <c r="AC120" s="44"/>
      <c r="AD120" s="117"/>
    </row>
    <row r="121" spans="1:30" ht="14.25" customHeight="1">
      <c r="A121" s="189"/>
      <c r="B121" s="189"/>
      <c r="C121" s="44"/>
      <c r="D121" s="117"/>
      <c r="E121" s="44"/>
      <c r="F121" s="44"/>
      <c r="G121" s="117"/>
      <c r="H121" s="117"/>
      <c r="I121" s="117"/>
      <c r="J121" s="117"/>
      <c r="K121" s="117"/>
      <c r="L121" s="117"/>
      <c r="M121" s="117"/>
      <c r="N121" s="117"/>
      <c r="O121" s="117"/>
      <c r="P121" s="117"/>
      <c r="Q121" s="117"/>
      <c r="R121" s="117"/>
      <c r="S121" s="117"/>
      <c r="T121" s="117"/>
      <c r="U121" s="235"/>
      <c r="V121" s="117"/>
      <c r="W121" s="117"/>
      <c r="X121" s="117"/>
      <c r="Y121" s="117"/>
      <c r="Z121" s="117"/>
      <c r="AA121" s="44"/>
      <c r="AB121" s="117"/>
      <c r="AC121" s="44"/>
      <c r="AD121" s="117"/>
    </row>
    <row r="122" spans="1:30" ht="14.25" customHeight="1">
      <c r="A122" s="189"/>
      <c r="B122" s="189"/>
      <c r="C122" s="44"/>
      <c r="D122" s="117"/>
      <c r="E122" s="44"/>
      <c r="F122" s="44"/>
      <c r="G122" s="117"/>
      <c r="H122" s="117"/>
      <c r="I122" s="117"/>
      <c r="J122" s="117"/>
      <c r="K122" s="117"/>
      <c r="L122" s="117"/>
      <c r="M122" s="117"/>
      <c r="N122" s="117"/>
      <c r="O122" s="117"/>
      <c r="P122" s="117"/>
      <c r="Q122" s="117"/>
      <c r="R122" s="117"/>
      <c r="S122" s="117"/>
      <c r="T122" s="117"/>
      <c r="U122" s="235"/>
      <c r="V122" s="117"/>
      <c r="W122" s="117"/>
      <c r="X122" s="117"/>
      <c r="Y122" s="117"/>
      <c r="Z122" s="117"/>
      <c r="AA122" s="44"/>
      <c r="AB122" s="117"/>
      <c r="AC122" s="44"/>
      <c r="AD122" s="117"/>
    </row>
    <row r="123" spans="1:30" ht="14.25" customHeight="1">
      <c r="A123" s="189"/>
      <c r="B123" s="189"/>
      <c r="C123" s="44"/>
      <c r="D123" s="117"/>
      <c r="E123" s="44"/>
      <c r="F123" s="44"/>
      <c r="G123" s="117"/>
      <c r="H123" s="117"/>
      <c r="I123" s="117"/>
      <c r="J123" s="117"/>
      <c r="K123" s="117"/>
      <c r="L123" s="117"/>
      <c r="M123" s="117"/>
      <c r="N123" s="117"/>
      <c r="O123" s="117"/>
      <c r="P123" s="117"/>
      <c r="Q123" s="117"/>
      <c r="R123" s="117"/>
      <c r="S123" s="117"/>
      <c r="T123" s="117"/>
      <c r="U123" s="235"/>
      <c r="V123" s="117"/>
      <c r="W123" s="117"/>
      <c r="X123" s="117"/>
      <c r="Y123" s="117"/>
      <c r="Z123" s="117"/>
      <c r="AA123" s="44"/>
      <c r="AB123" s="117"/>
      <c r="AC123" s="44"/>
      <c r="AD123" s="117"/>
    </row>
    <row r="124" spans="1:30" ht="14.25" customHeight="1">
      <c r="A124" s="189"/>
      <c r="B124" s="189"/>
      <c r="C124" s="44"/>
      <c r="D124" s="117"/>
      <c r="E124" s="44"/>
      <c r="F124" s="44"/>
      <c r="G124" s="117"/>
      <c r="H124" s="117"/>
      <c r="I124" s="117"/>
      <c r="J124" s="117"/>
      <c r="K124" s="117"/>
      <c r="L124" s="117"/>
      <c r="M124" s="117"/>
      <c r="N124" s="117"/>
      <c r="O124" s="117"/>
      <c r="P124" s="117"/>
      <c r="Q124" s="117"/>
      <c r="R124" s="117"/>
      <c r="S124" s="117"/>
      <c r="T124" s="117"/>
      <c r="U124" s="235"/>
      <c r="V124" s="117"/>
      <c r="W124" s="117"/>
      <c r="X124" s="117"/>
      <c r="Y124" s="117"/>
      <c r="Z124" s="117"/>
      <c r="AA124" s="44"/>
      <c r="AB124" s="117"/>
      <c r="AC124" s="44"/>
      <c r="AD124" s="117"/>
    </row>
    <row r="125" spans="1:30" ht="14.25" customHeight="1">
      <c r="A125" s="189"/>
      <c r="B125" s="189"/>
      <c r="C125" s="44"/>
      <c r="D125" s="117"/>
      <c r="E125" s="44"/>
      <c r="F125" s="44"/>
      <c r="G125" s="117"/>
      <c r="H125" s="117"/>
      <c r="I125" s="117"/>
      <c r="J125" s="117"/>
      <c r="K125" s="117"/>
      <c r="L125" s="117"/>
      <c r="M125" s="117"/>
      <c r="N125" s="117"/>
      <c r="O125" s="117"/>
      <c r="P125" s="117"/>
      <c r="Q125" s="117"/>
      <c r="R125" s="117"/>
      <c r="S125" s="117"/>
      <c r="T125" s="117"/>
      <c r="U125" s="235"/>
      <c r="V125" s="117"/>
      <c r="W125" s="117"/>
      <c r="X125" s="117"/>
      <c r="Y125" s="117"/>
      <c r="Z125" s="117"/>
      <c r="AA125" s="44"/>
      <c r="AB125" s="117"/>
      <c r="AC125" s="44"/>
      <c r="AD125" s="117"/>
    </row>
    <row r="126" spans="1:30" ht="14.25" customHeight="1">
      <c r="A126" s="189"/>
      <c r="B126" s="189"/>
      <c r="C126" s="44"/>
      <c r="D126" s="117"/>
      <c r="E126" s="44"/>
      <c r="F126" s="44"/>
      <c r="G126" s="117"/>
      <c r="H126" s="117"/>
      <c r="I126" s="117"/>
      <c r="J126" s="117"/>
      <c r="K126" s="117"/>
      <c r="L126" s="117"/>
      <c r="M126" s="117"/>
      <c r="N126" s="117"/>
      <c r="O126" s="117"/>
      <c r="P126" s="117"/>
      <c r="Q126" s="117"/>
      <c r="R126" s="117"/>
      <c r="S126" s="117"/>
      <c r="T126" s="117"/>
      <c r="U126" s="235"/>
      <c r="V126" s="117"/>
      <c r="W126" s="117"/>
      <c r="X126" s="117"/>
      <c r="Y126" s="117"/>
      <c r="Z126" s="117"/>
      <c r="AA126" s="44"/>
      <c r="AB126" s="117"/>
      <c r="AC126" s="44"/>
      <c r="AD126" s="117"/>
    </row>
    <row r="127" spans="1:30" ht="14.25" customHeight="1">
      <c r="A127" s="189"/>
      <c r="B127" s="189"/>
      <c r="C127" s="44"/>
      <c r="D127" s="117"/>
      <c r="E127" s="44"/>
      <c r="F127" s="44"/>
      <c r="G127" s="117"/>
      <c r="H127" s="117"/>
      <c r="I127" s="117"/>
      <c r="J127" s="117"/>
      <c r="K127" s="117"/>
      <c r="L127" s="117"/>
      <c r="M127" s="117"/>
      <c r="N127" s="117"/>
      <c r="O127" s="117"/>
      <c r="P127" s="117"/>
      <c r="Q127" s="117"/>
      <c r="R127" s="117"/>
      <c r="S127" s="117"/>
      <c r="T127" s="117"/>
      <c r="U127" s="235"/>
      <c r="V127" s="117"/>
      <c r="W127" s="117"/>
      <c r="X127" s="117"/>
      <c r="Y127" s="117"/>
      <c r="Z127" s="117"/>
      <c r="AA127" s="44"/>
      <c r="AB127" s="117"/>
      <c r="AC127" s="44"/>
      <c r="AD127" s="117"/>
    </row>
    <row r="128" spans="1:30" ht="14.25" customHeight="1">
      <c r="A128" s="189"/>
      <c r="B128" s="189"/>
      <c r="C128" s="44"/>
      <c r="D128" s="117"/>
      <c r="E128" s="44"/>
      <c r="F128" s="44"/>
      <c r="G128" s="117"/>
      <c r="H128" s="117"/>
      <c r="I128" s="117"/>
      <c r="J128" s="117"/>
      <c r="K128" s="117"/>
      <c r="L128" s="117"/>
      <c r="M128" s="117"/>
      <c r="N128" s="117"/>
      <c r="O128" s="117"/>
      <c r="P128" s="117"/>
      <c r="Q128" s="117"/>
      <c r="R128" s="117"/>
      <c r="S128" s="117"/>
      <c r="T128" s="117"/>
      <c r="U128" s="235"/>
      <c r="V128" s="117"/>
      <c r="W128" s="117"/>
      <c r="X128" s="117"/>
      <c r="Y128" s="117"/>
      <c r="Z128" s="117"/>
      <c r="AA128" s="44"/>
      <c r="AB128" s="117"/>
      <c r="AC128" s="44"/>
      <c r="AD128" s="117"/>
    </row>
    <row r="129" spans="1:30" ht="14.25" customHeight="1">
      <c r="A129" s="189"/>
      <c r="B129" s="189"/>
      <c r="C129" s="44"/>
      <c r="D129" s="117"/>
      <c r="E129" s="44"/>
      <c r="F129" s="44"/>
      <c r="G129" s="117"/>
      <c r="H129" s="117"/>
      <c r="I129" s="117"/>
      <c r="J129" s="117"/>
      <c r="K129" s="117"/>
      <c r="L129" s="117"/>
      <c r="M129" s="117"/>
      <c r="N129" s="117"/>
      <c r="O129" s="117"/>
      <c r="P129" s="117"/>
      <c r="Q129" s="117"/>
      <c r="R129" s="117"/>
      <c r="S129" s="117"/>
      <c r="T129" s="117"/>
      <c r="U129" s="235"/>
      <c r="V129" s="117"/>
      <c r="W129" s="117"/>
      <c r="X129" s="117"/>
      <c r="Y129" s="117"/>
      <c r="Z129" s="117"/>
      <c r="AA129" s="44"/>
      <c r="AB129" s="117"/>
      <c r="AC129" s="44"/>
      <c r="AD129" s="117"/>
    </row>
    <row r="130" spans="1:30" ht="14.25" customHeight="1">
      <c r="A130" s="189"/>
      <c r="B130" s="189"/>
      <c r="C130" s="44"/>
      <c r="D130" s="117"/>
      <c r="E130" s="44"/>
      <c r="F130" s="44"/>
      <c r="G130" s="117"/>
      <c r="H130" s="117"/>
      <c r="I130" s="117"/>
      <c r="J130" s="117"/>
      <c r="K130" s="117"/>
      <c r="L130" s="117"/>
      <c r="M130" s="117"/>
      <c r="N130" s="117"/>
      <c r="O130" s="117"/>
      <c r="P130" s="117"/>
      <c r="Q130" s="117"/>
      <c r="R130" s="117"/>
      <c r="S130" s="117"/>
      <c r="T130" s="117"/>
      <c r="U130" s="235"/>
      <c r="V130" s="117"/>
      <c r="W130" s="117"/>
      <c r="X130" s="117"/>
      <c r="Y130" s="117"/>
      <c r="Z130" s="117"/>
      <c r="AA130" s="44"/>
      <c r="AB130" s="117"/>
      <c r="AC130" s="44"/>
      <c r="AD130" s="117"/>
    </row>
    <row r="131" spans="1:30" ht="14.25" customHeight="1">
      <c r="A131" s="189"/>
      <c r="B131" s="189"/>
      <c r="C131" s="44"/>
      <c r="D131" s="117"/>
      <c r="E131" s="44"/>
      <c r="F131" s="44"/>
      <c r="G131" s="117"/>
      <c r="H131" s="117"/>
      <c r="I131" s="117"/>
      <c r="J131" s="117"/>
      <c r="K131" s="117"/>
      <c r="L131" s="117"/>
      <c r="M131" s="117"/>
      <c r="N131" s="117"/>
      <c r="O131" s="117"/>
      <c r="P131" s="117"/>
      <c r="Q131" s="117"/>
      <c r="R131" s="117"/>
      <c r="S131" s="117"/>
      <c r="T131" s="117"/>
      <c r="U131" s="235"/>
      <c r="V131" s="117"/>
      <c r="W131" s="117"/>
      <c r="X131" s="117"/>
      <c r="Y131" s="117"/>
      <c r="Z131" s="117"/>
      <c r="AA131" s="44"/>
      <c r="AB131" s="117"/>
      <c r="AC131" s="44"/>
      <c r="AD131" s="117"/>
    </row>
    <row r="132" spans="1:30" ht="14.25" customHeight="1">
      <c r="A132" s="189"/>
      <c r="B132" s="189"/>
      <c r="C132" s="44"/>
      <c r="D132" s="117"/>
      <c r="E132" s="44"/>
      <c r="F132" s="44"/>
      <c r="G132" s="117"/>
      <c r="H132" s="117"/>
      <c r="I132" s="117"/>
      <c r="J132" s="117"/>
      <c r="K132" s="117"/>
      <c r="L132" s="117"/>
      <c r="M132" s="117"/>
      <c r="N132" s="117"/>
      <c r="O132" s="117"/>
      <c r="P132" s="117"/>
      <c r="Q132" s="117"/>
      <c r="R132" s="117"/>
      <c r="S132" s="117"/>
      <c r="T132" s="117"/>
      <c r="U132" s="235"/>
      <c r="V132" s="117"/>
      <c r="W132" s="117"/>
      <c r="X132" s="117"/>
      <c r="Y132" s="117"/>
      <c r="Z132" s="117"/>
      <c r="AA132" s="44"/>
      <c r="AB132" s="117"/>
      <c r="AC132" s="44"/>
      <c r="AD132" s="117"/>
    </row>
    <row r="133" spans="1:30" ht="14.25" customHeight="1">
      <c r="A133" s="189"/>
      <c r="B133" s="189"/>
      <c r="C133" s="44"/>
      <c r="D133" s="117"/>
      <c r="E133" s="44"/>
      <c r="F133" s="44"/>
      <c r="G133" s="117"/>
      <c r="H133" s="117"/>
      <c r="I133" s="117"/>
      <c r="J133" s="117"/>
      <c r="K133" s="117"/>
      <c r="L133" s="117"/>
      <c r="M133" s="117"/>
      <c r="N133" s="117"/>
      <c r="O133" s="117"/>
      <c r="P133" s="117"/>
      <c r="Q133" s="117"/>
      <c r="R133" s="117"/>
      <c r="S133" s="117"/>
      <c r="T133" s="117"/>
      <c r="U133" s="235"/>
      <c r="V133" s="117"/>
      <c r="W133" s="117"/>
      <c r="X133" s="117"/>
      <c r="Y133" s="117"/>
      <c r="Z133" s="117"/>
      <c r="AA133" s="44"/>
      <c r="AB133" s="117"/>
      <c r="AC133" s="44"/>
      <c r="AD133" s="117"/>
    </row>
    <row r="134" spans="1:30" ht="14.25" customHeight="1">
      <c r="A134" s="189"/>
      <c r="B134" s="189"/>
      <c r="C134" s="44"/>
      <c r="D134" s="117"/>
      <c r="E134" s="44"/>
      <c r="F134" s="44"/>
      <c r="G134" s="117"/>
      <c r="H134" s="117"/>
      <c r="I134" s="117"/>
      <c r="J134" s="117"/>
      <c r="K134" s="117"/>
      <c r="L134" s="117"/>
      <c r="M134" s="117"/>
      <c r="N134" s="117"/>
      <c r="O134" s="117"/>
      <c r="P134" s="117"/>
      <c r="Q134" s="117"/>
      <c r="R134" s="117"/>
      <c r="S134" s="117"/>
      <c r="T134" s="117"/>
      <c r="U134" s="235"/>
      <c r="V134" s="117"/>
      <c r="W134" s="117"/>
      <c r="X134" s="117"/>
      <c r="Y134" s="117"/>
      <c r="Z134" s="117"/>
      <c r="AA134" s="44"/>
      <c r="AB134" s="117"/>
      <c r="AC134" s="44"/>
      <c r="AD134" s="117"/>
    </row>
    <row r="135" spans="1:30" ht="14.25" customHeight="1">
      <c r="A135" s="189"/>
      <c r="B135" s="189"/>
      <c r="C135" s="44"/>
      <c r="D135" s="117"/>
      <c r="E135" s="44"/>
      <c r="F135" s="44"/>
      <c r="G135" s="117"/>
      <c r="H135" s="117"/>
      <c r="I135" s="117"/>
      <c r="J135" s="117"/>
      <c r="K135" s="117"/>
      <c r="L135" s="117"/>
      <c r="M135" s="117"/>
      <c r="N135" s="117"/>
      <c r="O135" s="117"/>
      <c r="P135" s="117"/>
      <c r="Q135" s="117"/>
      <c r="R135" s="117"/>
      <c r="S135" s="117"/>
      <c r="T135" s="117"/>
      <c r="U135" s="235"/>
      <c r="V135" s="117"/>
      <c r="W135" s="117"/>
      <c r="X135" s="117"/>
      <c r="Y135" s="117"/>
      <c r="Z135" s="117"/>
      <c r="AA135" s="44"/>
      <c r="AB135" s="117"/>
      <c r="AC135" s="44"/>
      <c r="AD135" s="117"/>
    </row>
    <row r="136" spans="1:30" ht="14.25" customHeight="1">
      <c r="A136" s="189"/>
      <c r="B136" s="189"/>
      <c r="C136" s="44"/>
      <c r="D136" s="117"/>
      <c r="E136" s="44"/>
      <c r="F136" s="44"/>
      <c r="G136" s="117"/>
      <c r="H136" s="117"/>
      <c r="I136" s="117"/>
      <c r="J136" s="117"/>
      <c r="K136" s="117"/>
      <c r="L136" s="117"/>
      <c r="M136" s="117"/>
      <c r="N136" s="117"/>
      <c r="O136" s="117"/>
      <c r="P136" s="117"/>
      <c r="Q136" s="117"/>
      <c r="R136" s="117"/>
      <c r="S136" s="117"/>
      <c r="T136" s="117"/>
      <c r="U136" s="235"/>
      <c r="V136" s="117"/>
      <c r="W136" s="117"/>
      <c r="X136" s="117"/>
      <c r="Y136" s="117"/>
      <c r="Z136" s="117"/>
      <c r="AA136" s="44"/>
      <c r="AB136" s="117"/>
      <c r="AC136" s="44"/>
      <c r="AD136" s="117"/>
    </row>
    <row r="137" spans="1:30" ht="14.25" customHeight="1">
      <c r="A137" s="189"/>
      <c r="B137" s="189"/>
      <c r="C137" s="44"/>
      <c r="D137" s="117"/>
      <c r="E137" s="44"/>
      <c r="F137" s="44"/>
      <c r="G137" s="117"/>
      <c r="H137" s="117"/>
      <c r="I137" s="117"/>
      <c r="J137" s="117"/>
      <c r="K137" s="117"/>
      <c r="L137" s="117"/>
      <c r="M137" s="117"/>
      <c r="N137" s="117"/>
      <c r="O137" s="117"/>
      <c r="P137" s="117"/>
      <c r="Q137" s="117"/>
      <c r="R137" s="117"/>
      <c r="S137" s="117"/>
      <c r="T137" s="117"/>
      <c r="U137" s="235"/>
      <c r="V137" s="117"/>
      <c r="W137" s="117"/>
      <c r="X137" s="117"/>
      <c r="Y137" s="117"/>
      <c r="Z137" s="117"/>
      <c r="AA137" s="44"/>
      <c r="AB137" s="117"/>
      <c r="AC137" s="44"/>
      <c r="AD137" s="117"/>
    </row>
    <row r="138" spans="1:30" ht="14.25" customHeight="1">
      <c r="A138" s="189"/>
      <c r="B138" s="189"/>
      <c r="C138" s="44"/>
      <c r="D138" s="117"/>
      <c r="E138" s="44"/>
      <c r="F138" s="44"/>
      <c r="G138" s="117"/>
      <c r="H138" s="117"/>
      <c r="I138" s="117"/>
      <c r="J138" s="117"/>
      <c r="K138" s="117"/>
      <c r="L138" s="117"/>
      <c r="M138" s="117"/>
      <c r="N138" s="117"/>
      <c r="O138" s="117"/>
      <c r="P138" s="117"/>
      <c r="Q138" s="117"/>
      <c r="R138" s="117"/>
      <c r="S138" s="117"/>
      <c r="T138" s="117"/>
      <c r="U138" s="235"/>
      <c r="V138" s="117"/>
      <c r="W138" s="117"/>
      <c r="X138" s="117"/>
      <c r="Y138" s="117"/>
      <c r="Z138" s="117"/>
      <c r="AA138" s="44"/>
      <c r="AB138" s="117"/>
      <c r="AC138" s="44"/>
      <c r="AD138" s="117"/>
    </row>
    <row r="139" spans="1:30" ht="14.25" customHeight="1">
      <c r="A139" s="189"/>
      <c r="B139" s="189"/>
      <c r="C139" s="44"/>
      <c r="D139" s="117"/>
      <c r="E139" s="44"/>
      <c r="F139" s="44"/>
      <c r="G139" s="117"/>
      <c r="H139" s="117"/>
      <c r="I139" s="117"/>
      <c r="J139" s="117"/>
      <c r="K139" s="117"/>
      <c r="L139" s="117"/>
      <c r="M139" s="117"/>
      <c r="N139" s="117"/>
      <c r="O139" s="117"/>
      <c r="P139" s="117"/>
      <c r="Q139" s="117"/>
      <c r="R139" s="117"/>
      <c r="S139" s="117"/>
      <c r="T139" s="117"/>
      <c r="U139" s="235"/>
      <c r="V139" s="117"/>
      <c r="W139" s="117"/>
      <c r="X139" s="117"/>
      <c r="Y139" s="117"/>
      <c r="Z139" s="117"/>
      <c r="AA139" s="44"/>
      <c r="AB139" s="117"/>
      <c r="AC139" s="44"/>
      <c r="AD139" s="117"/>
    </row>
    <row r="140" spans="1:30" ht="14.25" customHeight="1">
      <c r="A140" s="189"/>
      <c r="B140" s="189"/>
      <c r="C140" s="44"/>
      <c r="D140" s="117"/>
      <c r="E140" s="44"/>
      <c r="F140" s="44"/>
      <c r="G140" s="117"/>
      <c r="H140" s="117"/>
      <c r="I140" s="117"/>
      <c r="J140" s="117"/>
      <c r="K140" s="117"/>
      <c r="L140" s="117"/>
      <c r="M140" s="117"/>
      <c r="N140" s="117"/>
      <c r="O140" s="117"/>
      <c r="P140" s="117"/>
      <c r="Q140" s="117"/>
      <c r="R140" s="117"/>
      <c r="S140" s="117"/>
      <c r="T140" s="117"/>
      <c r="U140" s="235"/>
      <c r="V140" s="117"/>
      <c r="W140" s="117"/>
      <c r="X140" s="117"/>
      <c r="Y140" s="117"/>
      <c r="Z140" s="117"/>
      <c r="AA140" s="44"/>
      <c r="AB140" s="117"/>
      <c r="AC140" s="44"/>
      <c r="AD140" s="117"/>
    </row>
    <row r="141" spans="1:30" ht="14.25" customHeight="1">
      <c r="A141" s="189"/>
      <c r="B141" s="189"/>
      <c r="C141" s="44"/>
      <c r="D141" s="117"/>
      <c r="E141" s="44"/>
      <c r="F141" s="44"/>
      <c r="G141" s="117"/>
      <c r="H141" s="117"/>
      <c r="I141" s="117"/>
      <c r="J141" s="117"/>
      <c r="K141" s="117"/>
      <c r="L141" s="117"/>
      <c r="M141" s="117"/>
      <c r="N141" s="117"/>
      <c r="O141" s="117"/>
      <c r="P141" s="117"/>
      <c r="Q141" s="117"/>
      <c r="R141" s="117"/>
      <c r="S141" s="117"/>
      <c r="T141" s="117"/>
      <c r="U141" s="235"/>
      <c r="V141" s="117"/>
      <c r="W141" s="117"/>
      <c r="X141" s="117"/>
      <c r="Y141" s="117"/>
      <c r="Z141" s="117"/>
      <c r="AA141" s="44"/>
      <c r="AB141" s="117"/>
      <c r="AC141" s="44"/>
      <c r="AD141" s="117"/>
    </row>
    <row r="142" spans="1:30" ht="14.25" customHeight="1">
      <c r="A142" s="189"/>
      <c r="B142" s="189"/>
      <c r="C142" s="44"/>
      <c r="D142" s="117"/>
      <c r="E142" s="44"/>
      <c r="F142" s="44"/>
      <c r="G142" s="117"/>
      <c r="H142" s="117"/>
      <c r="I142" s="117"/>
      <c r="J142" s="117"/>
      <c r="K142" s="117"/>
      <c r="L142" s="117"/>
      <c r="M142" s="117"/>
      <c r="N142" s="117"/>
      <c r="O142" s="117"/>
      <c r="P142" s="117"/>
      <c r="Q142" s="117"/>
      <c r="R142" s="117"/>
      <c r="S142" s="117"/>
      <c r="T142" s="117"/>
      <c r="U142" s="235"/>
      <c r="V142" s="117"/>
      <c r="W142" s="117"/>
      <c r="X142" s="117"/>
      <c r="Y142" s="117"/>
      <c r="Z142" s="117"/>
      <c r="AA142" s="44"/>
      <c r="AB142" s="117"/>
      <c r="AC142" s="44"/>
      <c r="AD142" s="117"/>
    </row>
    <row r="143" spans="1:30" ht="14.25" customHeight="1">
      <c r="A143" s="189"/>
      <c r="B143" s="189"/>
      <c r="C143" s="44"/>
      <c r="D143" s="117"/>
      <c r="E143" s="44"/>
      <c r="F143" s="44"/>
      <c r="G143" s="117"/>
      <c r="H143" s="117"/>
      <c r="I143" s="117"/>
      <c r="J143" s="117"/>
      <c r="K143" s="117"/>
      <c r="L143" s="117"/>
      <c r="M143" s="117"/>
      <c r="N143" s="117"/>
      <c r="O143" s="117"/>
      <c r="P143" s="117"/>
      <c r="Q143" s="117"/>
      <c r="R143" s="117"/>
      <c r="S143" s="117"/>
      <c r="T143" s="117"/>
      <c r="U143" s="235"/>
      <c r="V143" s="117"/>
      <c r="W143" s="117"/>
      <c r="X143" s="117"/>
      <c r="Y143" s="117"/>
      <c r="Z143" s="117"/>
      <c r="AA143" s="44"/>
      <c r="AB143" s="117"/>
      <c r="AC143" s="44"/>
      <c r="AD143" s="117"/>
    </row>
    <row r="144" spans="1:30" ht="14.25" customHeight="1">
      <c r="A144" s="189"/>
      <c r="B144" s="189"/>
      <c r="C144" s="44"/>
      <c r="D144" s="117"/>
      <c r="E144" s="44"/>
      <c r="F144" s="44"/>
      <c r="G144" s="117"/>
      <c r="H144" s="117"/>
      <c r="I144" s="117"/>
      <c r="J144" s="117"/>
      <c r="K144" s="117"/>
      <c r="L144" s="117"/>
      <c r="M144" s="117"/>
      <c r="N144" s="117"/>
      <c r="O144" s="117"/>
      <c r="P144" s="117"/>
      <c r="Q144" s="117"/>
      <c r="R144" s="117"/>
      <c r="S144" s="117"/>
      <c r="T144" s="117"/>
      <c r="U144" s="235"/>
      <c r="V144" s="117"/>
      <c r="W144" s="117"/>
      <c r="X144" s="117"/>
      <c r="Y144" s="117"/>
      <c r="Z144" s="117"/>
      <c r="AA144" s="44"/>
      <c r="AB144" s="117"/>
      <c r="AC144" s="44"/>
      <c r="AD144" s="117"/>
    </row>
    <row r="145" spans="1:30" ht="14.25" customHeight="1">
      <c r="A145" s="189"/>
      <c r="B145" s="189"/>
      <c r="C145" s="44"/>
      <c r="D145" s="117"/>
      <c r="E145" s="44"/>
      <c r="F145" s="44"/>
      <c r="G145" s="117"/>
      <c r="H145" s="117"/>
      <c r="I145" s="117"/>
      <c r="J145" s="117"/>
      <c r="K145" s="117"/>
      <c r="L145" s="117"/>
      <c r="M145" s="117"/>
      <c r="N145" s="117"/>
      <c r="O145" s="117"/>
      <c r="P145" s="117"/>
      <c r="Q145" s="117"/>
      <c r="R145" s="117"/>
      <c r="S145" s="117"/>
      <c r="T145" s="117"/>
      <c r="U145" s="235"/>
      <c r="V145" s="117"/>
      <c r="W145" s="117"/>
      <c r="X145" s="117"/>
      <c r="Y145" s="117"/>
      <c r="Z145" s="117"/>
      <c r="AA145" s="44"/>
      <c r="AB145" s="117"/>
      <c r="AC145" s="44"/>
      <c r="AD145" s="117"/>
    </row>
    <row r="146" spans="1:30" ht="14.25" customHeight="1">
      <c r="A146" s="189"/>
      <c r="B146" s="189"/>
      <c r="C146" s="44"/>
      <c r="D146" s="117"/>
      <c r="E146" s="44"/>
      <c r="F146" s="44"/>
      <c r="G146" s="117"/>
      <c r="H146" s="117"/>
      <c r="I146" s="117"/>
      <c r="J146" s="117"/>
      <c r="K146" s="117"/>
      <c r="L146" s="117"/>
      <c r="M146" s="117"/>
      <c r="N146" s="117"/>
      <c r="O146" s="117"/>
      <c r="P146" s="117"/>
      <c r="Q146" s="117"/>
      <c r="R146" s="117"/>
      <c r="S146" s="117"/>
      <c r="T146" s="117"/>
      <c r="U146" s="235"/>
      <c r="V146" s="117"/>
      <c r="W146" s="117"/>
      <c r="X146" s="117"/>
      <c r="Y146" s="117"/>
      <c r="Z146" s="117"/>
      <c r="AA146" s="44"/>
      <c r="AB146" s="117"/>
      <c r="AC146" s="44"/>
      <c r="AD146" s="117"/>
    </row>
    <row r="147" spans="1:30" ht="14.25" customHeight="1">
      <c r="A147" s="189"/>
      <c r="B147" s="189"/>
      <c r="C147" s="44"/>
      <c r="D147" s="117"/>
      <c r="E147" s="44"/>
      <c r="F147" s="44"/>
      <c r="G147" s="117"/>
      <c r="H147" s="117"/>
      <c r="I147" s="117"/>
      <c r="J147" s="117"/>
      <c r="K147" s="117"/>
      <c r="L147" s="117"/>
      <c r="M147" s="117"/>
      <c r="N147" s="117"/>
      <c r="O147" s="117"/>
      <c r="P147" s="117"/>
      <c r="Q147" s="117"/>
      <c r="R147" s="117"/>
      <c r="S147" s="117"/>
      <c r="T147" s="117"/>
      <c r="U147" s="235"/>
      <c r="V147" s="117"/>
      <c r="W147" s="117"/>
      <c r="X147" s="117"/>
      <c r="Y147" s="117"/>
      <c r="Z147" s="117"/>
      <c r="AA147" s="44"/>
      <c r="AB147" s="117"/>
      <c r="AC147" s="44"/>
      <c r="AD147" s="117"/>
    </row>
    <row r="148" spans="1:30" ht="14.25" customHeight="1">
      <c r="A148" s="189"/>
      <c r="B148" s="189"/>
      <c r="C148" s="44"/>
      <c r="D148" s="117"/>
      <c r="E148" s="44"/>
      <c r="F148" s="44"/>
      <c r="G148" s="117"/>
      <c r="H148" s="117"/>
      <c r="I148" s="117"/>
      <c r="J148" s="117"/>
      <c r="K148" s="117"/>
      <c r="L148" s="117"/>
      <c r="M148" s="117"/>
      <c r="N148" s="117"/>
      <c r="O148" s="117"/>
      <c r="P148" s="117"/>
      <c r="Q148" s="117"/>
      <c r="R148" s="117"/>
      <c r="S148" s="117"/>
      <c r="T148" s="117"/>
      <c r="U148" s="235"/>
      <c r="V148" s="117"/>
      <c r="W148" s="117"/>
      <c r="X148" s="117"/>
      <c r="Y148" s="117"/>
      <c r="Z148" s="117"/>
      <c r="AA148" s="44"/>
      <c r="AB148" s="117"/>
      <c r="AC148" s="44"/>
      <c r="AD148" s="117"/>
    </row>
    <row r="149" spans="1:30" ht="14.25" customHeight="1">
      <c r="A149" s="189"/>
      <c r="B149" s="189"/>
      <c r="C149" s="44"/>
      <c r="D149" s="117"/>
      <c r="E149" s="44"/>
      <c r="F149" s="44"/>
      <c r="G149" s="117"/>
      <c r="H149" s="117"/>
      <c r="I149" s="117"/>
      <c r="J149" s="117"/>
      <c r="K149" s="117"/>
      <c r="L149" s="117"/>
      <c r="M149" s="117"/>
      <c r="N149" s="117"/>
      <c r="O149" s="117"/>
      <c r="P149" s="117"/>
      <c r="Q149" s="117"/>
      <c r="R149" s="117"/>
      <c r="S149" s="117"/>
      <c r="T149" s="117"/>
      <c r="U149" s="235"/>
      <c r="V149" s="117"/>
      <c r="W149" s="117"/>
      <c r="X149" s="117"/>
      <c r="Y149" s="117"/>
      <c r="Z149" s="117"/>
      <c r="AA149" s="44"/>
      <c r="AB149" s="117"/>
      <c r="AC149" s="44"/>
      <c r="AD149" s="117"/>
    </row>
    <row r="150" spans="1:30" ht="14.25" customHeight="1">
      <c r="A150" s="189"/>
      <c r="B150" s="189"/>
      <c r="C150" s="44"/>
      <c r="D150" s="117"/>
      <c r="E150" s="44"/>
      <c r="F150" s="44"/>
      <c r="G150" s="117"/>
      <c r="H150" s="117"/>
      <c r="I150" s="117"/>
      <c r="J150" s="117"/>
      <c r="K150" s="117"/>
      <c r="L150" s="117"/>
      <c r="M150" s="117"/>
      <c r="N150" s="117"/>
      <c r="O150" s="117"/>
      <c r="P150" s="117"/>
      <c r="Q150" s="117"/>
      <c r="R150" s="117"/>
      <c r="S150" s="117"/>
      <c r="T150" s="117"/>
      <c r="U150" s="235"/>
      <c r="V150" s="117"/>
      <c r="W150" s="117"/>
      <c r="X150" s="117"/>
      <c r="Y150" s="117"/>
      <c r="Z150" s="117"/>
      <c r="AA150" s="44"/>
      <c r="AB150" s="117"/>
      <c r="AC150" s="44"/>
      <c r="AD150" s="117"/>
    </row>
    <row r="151" spans="1:30" ht="14.25" customHeight="1">
      <c r="A151" s="189"/>
      <c r="B151" s="189"/>
      <c r="C151" s="44"/>
      <c r="D151" s="117"/>
      <c r="E151" s="44"/>
      <c r="F151" s="44"/>
      <c r="G151" s="117"/>
      <c r="H151" s="117"/>
      <c r="I151" s="117"/>
      <c r="J151" s="117"/>
      <c r="K151" s="117"/>
      <c r="L151" s="117"/>
      <c r="M151" s="117"/>
      <c r="N151" s="117"/>
      <c r="O151" s="117"/>
      <c r="P151" s="117"/>
      <c r="Q151" s="117"/>
      <c r="R151" s="117"/>
      <c r="S151" s="117"/>
      <c r="T151" s="117"/>
      <c r="U151" s="235"/>
      <c r="V151" s="117"/>
      <c r="W151" s="117"/>
      <c r="X151" s="117"/>
      <c r="Y151" s="117"/>
      <c r="Z151" s="117"/>
      <c r="AA151" s="44"/>
      <c r="AB151" s="117"/>
      <c r="AC151" s="44"/>
      <c r="AD151" s="117"/>
    </row>
    <row r="152" spans="1:30" ht="14.25" customHeight="1">
      <c r="A152" s="189"/>
      <c r="B152" s="189"/>
      <c r="C152" s="44"/>
      <c r="D152" s="117"/>
      <c r="E152" s="44"/>
      <c r="F152" s="44"/>
      <c r="G152" s="117"/>
      <c r="H152" s="117"/>
      <c r="I152" s="117"/>
      <c r="J152" s="117"/>
      <c r="K152" s="117"/>
      <c r="L152" s="117"/>
      <c r="M152" s="117"/>
      <c r="N152" s="117"/>
      <c r="O152" s="117"/>
      <c r="P152" s="117"/>
      <c r="Q152" s="117"/>
      <c r="R152" s="117"/>
      <c r="S152" s="117"/>
      <c r="T152" s="117"/>
      <c r="U152" s="235"/>
      <c r="V152" s="117"/>
      <c r="W152" s="117"/>
      <c r="X152" s="117"/>
      <c r="Y152" s="117"/>
      <c r="Z152" s="117"/>
      <c r="AA152" s="44"/>
      <c r="AB152" s="117"/>
      <c r="AC152" s="44"/>
      <c r="AD152" s="117"/>
    </row>
    <row r="153" spans="1:30" ht="14.25" customHeight="1">
      <c r="A153" s="189"/>
      <c r="B153" s="189"/>
      <c r="C153" s="44"/>
      <c r="D153" s="117"/>
      <c r="E153" s="44"/>
      <c r="F153" s="44"/>
      <c r="G153" s="117"/>
      <c r="H153" s="117"/>
      <c r="I153" s="117"/>
      <c r="J153" s="117"/>
      <c r="K153" s="117"/>
      <c r="L153" s="117"/>
      <c r="M153" s="117"/>
      <c r="N153" s="117"/>
      <c r="O153" s="117"/>
      <c r="P153" s="117"/>
      <c r="Q153" s="117"/>
      <c r="R153" s="117"/>
      <c r="S153" s="117"/>
      <c r="T153" s="117"/>
      <c r="U153" s="235"/>
      <c r="V153" s="117"/>
      <c r="W153" s="117"/>
      <c r="X153" s="117"/>
      <c r="Y153" s="117"/>
      <c r="Z153" s="117"/>
      <c r="AA153" s="44"/>
      <c r="AB153" s="117"/>
      <c r="AC153" s="44"/>
      <c r="AD153" s="117"/>
    </row>
    <row r="154" spans="1:30" ht="14.25" customHeight="1">
      <c r="A154" s="189"/>
      <c r="B154" s="189"/>
      <c r="C154" s="44"/>
      <c r="D154" s="117"/>
      <c r="E154" s="44"/>
      <c r="F154" s="44"/>
      <c r="G154" s="117"/>
      <c r="H154" s="117"/>
      <c r="I154" s="117"/>
      <c r="J154" s="117"/>
      <c r="K154" s="117"/>
      <c r="L154" s="117"/>
      <c r="M154" s="117"/>
      <c r="N154" s="117"/>
      <c r="O154" s="117"/>
      <c r="P154" s="117"/>
      <c r="Q154" s="117"/>
      <c r="R154" s="117"/>
      <c r="S154" s="117"/>
      <c r="T154" s="117"/>
      <c r="U154" s="235"/>
      <c r="V154" s="117"/>
      <c r="W154" s="117"/>
      <c r="X154" s="117"/>
      <c r="Y154" s="117"/>
      <c r="Z154" s="117"/>
      <c r="AA154" s="44"/>
      <c r="AB154" s="117"/>
      <c r="AC154" s="44"/>
      <c r="AD154" s="117"/>
    </row>
    <row r="155" spans="1:30" ht="14.25" customHeight="1">
      <c r="A155" s="189"/>
      <c r="B155" s="189"/>
      <c r="C155" s="44"/>
      <c r="D155" s="117"/>
      <c r="E155" s="44"/>
      <c r="F155" s="44"/>
      <c r="G155" s="117"/>
      <c r="H155" s="117"/>
      <c r="I155" s="117"/>
      <c r="J155" s="117"/>
      <c r="K155" s="117"/>
      <c r="L155" s="117"/>
      <c r="M155" s="117"/>
      <c r="N155" s="117"/>
      <c r="O155" s="117"/>
      <c r="P155" s="117"/>
      <c r="Q155" s="117"/>
      <c r="R155" s="117"/>
      <c r="S155" s="117"/>
      <c r="T155" s="117"/>
      <c r="U155" s="235"/>
      <c r="V155" s="117"/>
      <c r="W155" s="117"/>
      <c r="X155" s="117"/>
      <c r="Y155" s="117"/>
      <c r="Z155" s="117"/>
      <c r="AA155" s="44"/>
      <c r="AB155" s="117"/>
      <c r="AC155" s="44"/>
      <c r="AD155" s="117"/>
    </row>
    <row r="156" spans="1:30" ht="14.25" customHeight="1">
      <c r="A156" s="189"/>
      <c r="B156" s="189"/>
      <c r="C156" s="44"/>
      <c r="D156" s="117"/>
      <c r="E156" s="44"/>
      <c r="F156" s="44"/>
      <c r="G156" s="117"/>
      <c r="H156" s="117"/>
      <c r="I156" s="117"/>
      <c r="J156" s="117"/>
      <c r="K156" s="117"/>
      <c r="L156" s="117"/>
      <c r="M156" s="117"/>
      <c r="N156" s="117"/>
      <c r="O156" s="117"/>
      <c r="P156" s="117"/>
      <c r="Q156" s="117"/>
      <c r="R156" s="117"/>
      <c r="S156" s="117"/>
      <c r="T156" s="117"/>
      <c r="U156" s="235"/>
      <c r="V156" s="117"/>
      <c r="W156" s="117"/>
      <c r="X156" s="117"/>
      <c r="Y156" s="117"/>
      <c r="Z156" s="117"/>
      <c r="AA156" s="44"/>
      <c r="AB156" s="117"/>
      <c r="AC156" s="44"/>
      <c r="AD156" s="117"/>
    </row>
    <row r="157" spans="1:30" ht="14.25" customHeight="1">
      <c r="A157" s="189"/>
      <c r="B157" s="189"/>
      <c r="C157" s="44"/>
      <c r="D157" s="117"/>
      <c r="E157" s="44"/>
      <c r="F157" s="44"/>
      <c r="G157" s="117"/>
      <c r="H157" s="117"/>
      <c r="I157" s="117"/>
      <c r="J157" s="117"/>
      <c r="K157" s="117"/>
      <c r="L157" s="117"/>
      <c r="M157" s="117"/>
      <c r="N157" s="117"/>
      <c r="O157" s="117"/>
      <c r="P157" s="117"/>
      <c r="Q157" s="117"/>
      <c r="R157" s="117"/>
      <c r="S157" s="117"/>
      <c r="T157" s="117"/>
      <c r="U157" s="235"/>
      <c r="V157" s="117"/>
      <c r="W157" s="117"/>
      <c r="X157" s="117"/>
      <c r="Y157" s="117"/>
      <c r="Z157" s="117"/>
      <c r="AA157" s="44"/>
      <c r="AB157" s="117"/>
      <c r="AC157" s="44"/>
      <c r="AD157" s="117"/>
    </row>
    <row r="158" spans="1:30" ht="14.25" customHeight="1">
      <c r="A158" s="189"/>
      <c r="B158" s="189"/>
      <c r="C158" s="44"/>
      <c r="D158" s="117"/>
      <c r="E158" s="44"/>
      <c r="F158" s="44"/>
      <c r="G158" s="117"/>
      <c r="H158" s="117"/>
      <c r="I158" s="117"/>
      <c r="J158" s="117"/>
      <c r="K158" s="117"/>
      <c r="L158" s="117"/>
      <c r="M158" s="117"/>
      <c r="N158" s="117"/>
      <c r="O158" s="117"/>
      <c r="P158" s="117"/>
      <c r="Q158" s="117"/>
      <c r="R158" s="117"/>
      <c r="S158" s="117"/>
      <c r="T158" s="117"/>
      <c r="U158" s="235"/>
      <c r="V158" s="117"/>
      <c r="W158" s="117"/>
      <c r="X158" s="117"/>
      <c r="Y158" s="117"/>
      <c r="Z158" s="117"/>
      <c r="AA158" s="44"/>
      <c r="AB158" s="117"/>
      <c r="AC158" s="44"/>
      <c r="AD158" s="117"/>
    </row>
    <row r="159" spans="1:30" ht="14.25" customHeight="1">
      <c r="A159" s="189"/>
      <c r="B159" s="189"/>
      <c r="C159" s="44"/>
      <c r="D159" s="117"/>
      <c r="E159" s="44"/>
      <c r="F159" s="44"/>
      <c r="G159" s="117"/>
      <c r="H159" s="117"/>
      <c r="I159" s="117"/>
      <c r="J159" s="117"/>
      <c r="K159" s="117"/>
      <c r="L159" s="117"/>
      <c r="M159" s="117"/>
      <c r="N159" s="117"/>
      <c r="O159" s="117"/>
      <c r="P159" s="117"/>
      <c r="Q159" s="117"/>
      <c r="R159" s="117"/>
      <c r="S159" s="117"/>
      <c r="T159" s="117"/>
      <c r="U159" s="235"/>
      <c r="V159" s="117"/>
      <c r="W159" s="117"/>
      <c r="X159" s="117"/>
      <c r="Y159" s="117"/>
      <c r="Z159" s="117"/>
      <c r="AA159" s="44"/>
      <c r="AB159" s="117"/>
      <c r="AC159" s="44"/>
      <c r="AD159" s="117"/>
    </row>
    <row r="160" spans="1:30" ht="14.25" customHeight="1">
      <c r="A160" s="189"/>
      <c r="B160" s="189"/>
      <c r="C160" s="44"/>
      <c r="D160" s="117"/>
      <c r="E160" s="44"/>
      <c r="F160" s="44"/>
      <c r="G160" s="117"/>
      <c r="H160" s="117"/>
      <c r="I160" s="117"/>
      <c r="J160" s="117"/>
      <c r="K160" s="117"/>
      <c r="L160" s="117"/>
      <c r="M160" s="117"/>
      <c r="N160" s="117"/>
      <c r="O160" s="117"/>
      <c r="P160" s="117"/>
      <c r="Q160" s="117"/>
      <c r="R160" s="117"/>
      <c r="S160" s="117"/>
      <c r="T160" s="117"/>
      <c r="U160" s="235"/>
      <c r="V160" s="117"/>
      <c r="W160" s="117"/>
      <c r="X160" s="117"/>
      <c r="Y160" s="117"/>
      <c r="Z160" s="117"/>
      <c r="AA160" s="44"/>
      <c r="AB160" s="117"/>
      <c r="AC160" s="44"/>
      <c r="AD160" s="117"/>
    </row>
    <row r="161" spans="1:30" ht="14.25" customHeight="1">
      <c r="A161" s="189"/>
      <c r="B161" s="189"/>
      <c r="C161" s="44"/>
      <c r="D161" s="117"/>
      <c r="E161" s="44"/>
      <c r="F161" s="44"/>
      <c r="G161" s="117"/>
      <c r="H161" s="117"/>
      <c r="I161" s="117"/>
      <c r="J161" s="117"/>
      <c r="K161" s="117"/>
      <c r="L161" s="117"/>
      <c r="M161" s="117"/>
      <c r="N161" s="117"/>
      <c r="O161" s="117"/>
      <c r="P161" s="117"/>
      <c r="Q161" s="117"/>
      <c r="R161" s="117"/>
      <c r="S161" s="117"/>
      <c r="T161" s="117"/>
      <c r="U161" s="235"/>
      <c r="V161" s="117"/>
      <c r="W161" s="117"/>
      <c r="X161" s="117"/>
      <c r="Y161" s="117"/>
      <c r="Z161" s="117"/>
      <c r="AA161" s="44"/>
      <c r="AB161" s="117"/>
      <c r="AC161" s="44"/>
      <c r="AD161" s="117"/>
    </row>
    <row r="162" spans="1:30" ht="14.25" customHeight="1">
      <c r="A162" s="189"/>
      <c r="B162" s="189"/>
      <c r="C162" s="44"/>
      <c r="D162" s="117"/>
      <c r="E162" s="44"/>
      <c r="F162" s="44"/>
      <c r="G162" s="117"/>
      <c r="H162" s="117"/>
      <c r="I162" s="117"/>
      <c r="J162" s="117"/>
      <c r="K162" s="117"/>
      <c r="L162" s="117"/>
      <c r="M162" s="117"/>
      <c r="N162" s="117"/>
      <c r="O162" s="117"/>
      <c r="P162" s="117"/>
      <c r="Q162" s="117"/>
      <c r="R162" s="117"/>
      <c r="S162" s="117"/>
      <c r="T162" s="117"/>
      <c r="U162" s="235"/>
      <c r="V162" s="117"/>
      <c r="W162" s="117"/>
      <c r="X162" s="117"/>
      <c r="Y162" s="117"/>
      <c r="Z162" s="117"/>
      <c r="AA162" s="44"/>
      <c r="AB162" s="117"/>
      <c r="AC162" s="44"/>
      <c r="AD162" s="117"/>
    </row>
    <row r="163" spans="1:30" ht="14.25" customHeight="1">
      <c r="A163" s="189"/>
      <c r="B163" s="189"/>
      <c r="C163" s="44"/>
      <c r="D163" s="117"/>
      <c r="E163" s="44"/>
      <c r="F163" s="44"/>
      <c r="G163" s="117"/>
      <c r="H163" s="117"/>
      <c r="I163" s="117"/>
      <c r="J163" s="117"/>
      <c r="K163" s="117"/>
      <c r="L163" s="117"/>
      <c r="M163" s="117"/>
      <c r="N163" s="117"/>
      <c r="O163" s="117"/>
      <c r="P163" s="117"/>
      <c r="Q163" s="117"/>
      <c r="R163" s="117"/>
      <c r="S163" s="117"/>
      <c r="T163" s="117"/>
      <c r="U163" s="235"/>
      <c r="V163" s="117"/>
      <c r="W163" s="117"/>
      <c r="X163" s="117"/>
      <c r="Y163" s="117"/>
      <c r="Z163" s="117"/>
      <c r="AA163" s="44"/>
      <c r="AB163" s="117"/>
      <c r="AC163" s="44"/>
      <c r="AD163" s="117"/>
    </row>
    <row r="164" spans="1:30" ht="14.25" customHeight="1">
      <c r="A164" s="189"/>
      <c r="B164" s="189"/>
      <c r="C164" s="44"/>
      <c r="D164" s="117"/>
      <c r="E164" s="44"/>
      <c r="F164" s="44"/>
      <c r="G164" s="117"/>
      <c r="H164" s="117"/>
      <c r="I164" s="117"/>
      <c r="J164" s="117"/>
      <c r="K164" s="117"/>
      <c r="L164" s="117"/>
      <c r="M164" s="117"/>
      <c r="N164" s="117"/>
      <c r="O164" s="117"/>
      <c r="P164" s="117"/>
      <c r="Q164" s="117"/>
      <c r="R164" s="117"/>
      <c r="S164" s="117"/>
      <c r="T164" s="117"/>
      <c r="U164" s="235"/>
      <c r="V164" s="117"/>
      <c r="W164" s="117"/>
      <c r="X164" s="117"/>
      <c r="Y164" s="117"/>
      <c r="Z164" s="117"/>
      <c r="AA164" s="44"/>
      <c r="AB164" s="117"/>
      <c r="AC164" s="44"/>
      <c r="AD164" s="117"/>
    </row>
    <row r="165" spans="1:30" ht="14.25" customHeight="1">
      <c r="A165" s="189"/>
      <c r="B165" s="189"/>
      <c r="C165" s="44"/>
      <c r="D165" s="117"/>
      <c r="E165" s="44"/>
      <c r="F165" s="44"/>
      <c r="G165" s="117"/>
      <c r="H165" s="117"/>
      <c r="I165" s="117"/>
      <c r="J165" s="117"/>
      <c r="K165" s="117"/>
      <c r="L165" s="117"/>
      <c r="M165" s="117"/>
      <c r="N165" s="117"/>
      <c r="O165" s="117"/>
      <c r="P165" s="117"/>
      <c r="Q165" s="117"/>
      <c r="R165" s="117"/>
      <c r="S165" s="117"/>
      <c r="T165" s="117"/>
      <c r="U165" s="235"/>
      <c r="V165" s="117"/>
      <c r="W165" s="117"/>
      <c r="X165" s="117"/>
      <c r="Y165" s="117"/>
      <c r="Z165" s="117"/>
      <c r="AA165" s="44"/>
      <c r="AB165" s="117"/>
      <c r="AC165" s="44"/>
      <c r="AD165" s="117"/>
    </row>
    <row r="166" spans="1:30" ht="14.25" customHeight="1">
      <c r="A166" s="189"/>
      <c r="B166" s="189"/>
      <c r="C166" s="44"/>
      <c r="D166" s="117"/>
      <c r="E166" s="44"/>
      <c r="F166" s="44"/>
      <c r="G166" s="117"/>
      <c r="H166" s="117"/>
      <c r="I166" s="117"/>
      <c r="J166" s="117"/>
      <c r="K166" s="117"/>
      <c r="L166" s="117"/>
      <c r="M166" s="117"/>
      <c r="N166" s="117"/>
      <c r="O166" s="117"/>
      <c r="P166" s="117"/>
      <c r="Q166" s="117"/>
      <c r="R166" s="117"/>
      <c r="S166" s="117"/>
      <c r="T166" s="117"/>
      <c r="U166" s="235"/>
      <c r="V166" s="117"/>
      <c r="W166" s="117"/>
      <c r="X166" s="117"/>
      <c r="Y166" s="117"/>
      <c r="Z166" s="117"/>
      <c r="AA166" s="44"/>
      <c r="AB166" s="117"/>
      <c r="AC166" s="44"/>
      <c r="AD166" s="117"/>
    </row>
    <row r="167" spans="1:30" ht="14.25" customHeight="1">
      <c r="A167" s="189"/>
      <c r="B167" s="189"/>
      <c r="C167" s="44"/>
      <c r="D167" s="117"/>
      <c r="E167" s="44"/>
      <c r="F167" s="44"/>
      <c r="G167" s="117"/>
      <c r="H167" s="117"/>
      <c r="I167" s="117"/>
      <c r="J167" s="117"/>
      <c r="K167" s="117"/>
      <c r="L167" s="117"/>
      <c r="M167" s="117"/>
      <c r="N167" s="117"/>
      <c r="O167" s="117"/>
      <c r="P167" s="117"/>
      <c r="Q167" s="117"/>
      <c r="R167" s="117"/>
      <c r="S167" s="117"/>
      <c r="T167" s="117"/>
      <c r="U167" s="235"/>
      <c r="V167" s="117"/>
      <c r="W167" s="117"/>
      <c r="X167" s="117"/>
      <c r="Y167" s="117"/>
      <c r="Z167" s="117"/>
      <c r="AA167" s="44"/>
      <c r="AB167" s="117"/>
      <c r="AC167" s="44"/>
      <c r="AD167" s="117"/>
    </row>
    <row r="168" spans="1:30" ht="14.25" customHeight="1">
      <c r="A168" s="189"/>
      <c r="B168" s="189"/>
      <c r="C168" s="44"/>
      <c r="D168" s="117"/>
      <c r="E168" s="44"/>
      <c r="F168" s="44"/>
      <c r="G168" s="117"/>
      <c r="H168" s="117"/>
      <c r="I168" s="117"/>
      <c r="J168" s="117"/>
      <c r="K168" s="117"/>
      <c r="L168" s="117"/>
      <c r="M168" s="117"/>
      <c r="N168" s="117"/>
      <c r="O168" s="117"/>
      <c r="P168" s="117"/>
      <c r="Q168" s="117"/>
      <c r="R168" s="117"/>
      <c r="S168" s="117"/>
      <c r="T168" s="117"/>
      <c r="U168" s="235"/>
      <c r="V168" s="117"/>
      <c r="W168" s="117"/>
      <c r="X168" s="117"/>
      <c r="Y168" s="117"/>
      <c r="Z168" s="117"/>
      <c r="AA168" s="44"/>
      <c r="AB168" s="117"/>
      <c r="AC168" s="44"/>
      <c r="AD168" s="117"/>
    </row>
    <row r="169" spans="1:30" ht="14.25" customHeight="1">
      <c r="A169" s="189"/>
      <c r="B169" s="189"/>
      <c r="C169" s="44"/>
      <c r="D169" s="117"/>
      <c r="E169" s="44"/>
      <c r="F169" s="44"/>
      <c r="G169" s="117"/>
      <c r="H169" s="117"/>
      <c r="I169" s="117"/>
      <c r="J169" s="117"/>
      <c r="K169" s="117"/>
      <c r="L169" s="117"/>
      <c r="M169" s="117"/>
      <c r="N169" s="117"/>
      <c r="O169" s="117"/>
      <c r="P169" s="117"/>
      <c r="Q169" s="117"/>
      <c r="R169" s="117"/>
      <c r="S169" s="117"/>
      <c r="T169" s="117"/>
      <c r="U169" s="235"/>
      <c r="V169" s="117"/>
      <c r="W169" s="117"/>
      <c r="X169" s="117"/>
      <c r="Y169" s="117"/>
      <c r="Z169" s="117"/>
      <c r="AA169" s="44"/>
      <c r="AB169" s="117"/>
      <c r="AC169" s="44"/>
      <c r="AD169" s="117"/>
    </row>
    <row r="170" spans="1:30" ht="14.25" customHeight="1">
      <c r="A170" s="189"/>
      <c r="B170" s="189"/>
      <c r="C170" s="44"/>
      <c r="D170" s="117"/>
      <c r="E170" s="44"/>
      <c r="F170" s="44"/>
      <c r="G170" s="117"/>
      <c r="H170" s="117"/>
      <c r="I170" s="117"/>
      <c r="J170" s="117"/>
      <c r="K170" s="117"/>
      <c r="L170" s="117"/>
      <c r="M170" s="117"/>
      <c r="N170" s="117"/>
      <c r="O170" s="117"/>
      <c r="P170" s="117"/>
      <c r="Q170" s="117"/>
      <c r="R170" s="117"/>
      <c r="S170" s="117"/>
      <c r="T170" s="117"/>
      <c r="U170" s="235"/>
      <c r="V170" s="117"/>
      <c r="W170" s="117"/>
      <c r="X170" s="117"/>
      <c r="Y170" s="117"/>
      <c r="Z170" s="117"/>
      <c r="AA170" s="44"/>
      <c r="AB170" s="117"/>
      <c r="AC170" s="44"/>
      <c r="AD170" s="117"/>
    </row>
    <row r="171" spans="1:30" ht="14.25" customHeight="1">
      <c r="A171" s="189"/>
      <c r="B171" s="189"/>
      <c r="C171" s="44"/>
      <c r="D171" s="117"/>
      <c r="E171" s="44"/>
      <c r="F171" s="44"/>
      <c r="G171" s="117"/>
      <c r="H171" s="117"/>
      <c r="I171" s="117"/>
      <c r="J171" s="117"/>
      <c r="K171" s="117"/>
      <c r="L171" s="117"/>
      <c r="M171" s="117"/>
      <c r="N171" s="117"/>
      <c r="O171" s="117"/>
      <c r="P171" s="117"/>
      <c r="Q171" s="117"/>
      <c r="R171" s="117"/>
      <c r="S171" s="117"/>
      <c r="T171" s="117"/>
      <c r="U171" s="235"/>
      <c r="V171" s="117"/>
      <c r="W171" s="117"/>
      <c r="X171" s="117"/>
      <c r="Y171" s="117"/>
      <c r="Z171" s="117"/>
      <c r="AA171" s="44"/>
      <c r="AB171" s="117"/>
      <c r="AC171" s="44"/>
      <c r="AD171" s="117"/>
    </row>
    <row r="172" spans="1:30" ht="14.25" customHeight="1">
      <c r="A172" s="189"/>
      <c r="B172" s="189"/>
      <c r="C172" s="44"/>
      <c r="D172" s="117"/>
      <c r="E172" s="44"/>
      <c r="F172" s="44"/>
      <c r="G172" s="117"/>
      <c r="H172" s="117"/>
      <c r="I172" s="117"/>
      <c r="J172" s="117"/>
      <c r="K172" s="117"/>
      <c r="L172" s="117"/>
      <c r="M172" s="117"/>
      <c r="N172" s="117"/>
      <c r="O172" s="117"/>
      <c r="P172" s="117"/>
      <c r="Q172" s="117"/>
      <c r="R172" s="117"/>
      <c r="S172" s="117"/>
      <c r="T172" s="117"/>
      <c r="U172" s="235"/>
      <c r="V172" s="117"/>
      <c r="W172" s="117"/>
      <c r="X172" s="117"/>
      <c r="Y172" s="117"/>
      <c r="Z172" s="117"/>
      <c r="AA172" s="44"/>
      <c r="AB172" s="117"/>
      <c r="AC172" s="44"/>
      <c r="AD172" s="117"/>
    </row>
    <row r="173" spans="1:30" ht="14.25" customHeight="1">
      <c r="A173" s="189"/>
      <c r="B173" s="189"/>
      <c r="C173" s="44"/>
      <c r="D173" s="117"/>
      <c r="E173" s="44"/>
      <c r="F173" s="44"/>
      <c r="G173" s="117"/>
      <c r="H173" s="117"/>
      <c r="I173" s="117"/>
      <c r="J173" s="117"/>
      <c r="K173" s="117"/>
      <c r="L173" s="117"/>
      <c r="M173" s="117"/>
      <c r="N173" s="117"/>
      <c r="O173" s="117"/>
      <c r="P173" s="117"/>
      <c r="Q173" s="117"/>
      <c r="R173" s="117"/>
      <c r="S173" s="117"/>
      <c r="T173" s="117"/>
      <c r="U173" s="235"/>
      <c r="V173" s="117"/>
      <c r="W173" s="117"/>
      <c r="X173" s="117"/>
      <c r="Y173" s="117"/>
      <c r="Z173" s="117"/>
      <c r="AA173" s="44"/>
      <c r="AB173" s="117"/>
      <c r="AC173" s="44"/>
      <c r="AD173" s="117"/>
    </row>
    <row r="174" spans="1:30" ht="14.25" customHeight="1">
      <c r="A174" s="189"/>
      <c r="B174" s="189"/>
      <c r="C174" s="44"/>
      <c r="D174" s="117"/>
      <c r="E174" s="44"/>
      <c r="F174" s="44"/>
      <c r="G174" s="117"/>
      <c r="H174" s="117"/>
      <c r="I174" s="117"/>
      <c r="J174" s="117"/>
      <c r="K174" s="117"/>
      <c r="L174" s="117"/>
      <c r="M174" s="117"/>
      <c r="N174" s="117"/>
      <c r="O174" s="117"/>
      <c r="P174" s="117"/>
      <c r="Q174" s="117"/>
      <c r="R174" s="117"/>
      <c r="S174" s="117"/>
      <c r="T174" s="117"/>
      <c r="U174" s="235"/>
      <c r="V174" s="117"/>
      <c r="W174" s="117"/>
      <c r="X174" s="117"/>
      <c r="Y174" s="117"/>
      <c r="Z174" s="117"/>
      <c r="AA174" s="44"/>
      <c r="AB174" s="117"/>
      <c r="AC174" s="44"/>
      <c r="AD174" s="117"/>
    </row>
    <row r="175" spans="1:30" ht="14.25" customHeight="1">
      <c r="A175" s="189"/>
      <c r="B175" s="189"/>
      <c r="C175" s="44"/>
      <c r="D175" s="117"/>
      <c r="E175" s="44"/>
      <c r="F175" s="44"/>
      <c r="G175" s="117"/>
      <c r="H175" s="117"/>
      <c r="I175" s="117"/>
      <c r="J175" s="117"/>
      <c r="K175" s="117"/>
      <c r="L175" s="117"/>
      <c r="M175" s="117"/>
      <c r="N175" s="117"/>
      <c r="O175" s="117"/>
      <c r="P175" s="117"/>
      <c r="Q175" s="117"/>
      <c r="R175" s="117"/>
      <c r="S175" s="117"/>
      <c r="T175" s="117"/>
      <c r="U175" s="235"/>
      <c r="V175" s="117"/>
      <c r="W175" s="117"/>
      <c r="X175" s="117"/>
      <c r="Y175" s="117"/>
      <c r="Z175" s="117"/>
      <c r="AA175" s="44"/>
      <c r="AB175" s="117"/>
      <c r="AC175" s="44"/>
      <c r="AD175" s="117"/>
    </row>
    <row r="176" spans="1:30" ht="14.25" customHeight="1">
      <c r="A176" s="189"/>
      <c r="B176" s="189"/>
      <c r="C176" s="44"/>
      <c r="D176" s="117"/>
      <c r="E176" s="44"/>
      <c r="F176" s="44"/>
      <c r="G176" s="117"/>
      <c r="H176" s="117"/>
      <c r="I176" s="117"/>
      <c r="J176" s="117"/>
      <c r="K176" s="117"/>
      <c r="L176" s="117"/>
      <c r="M176" s="117"/>
      <c r="N176" s="117"/>
      <c r="O176" s="117"/>
      <c r="P176" s="117"/>
      <c r="Q176" s="117"/>
      <c r="R176" s="117"/>
      <c r="S176" s="117"/>
      <c r="T176" s="117"/>
      <c r="U176" s="235"/>
      <c r="V176" s="117"/>
      <c r="W176" s="117"/>
      <c r="X176" s="117"/>
      <c r="Y176" s="117"/>
      <c r="Z176" s="117"/>
      <c r="AA176" s="44"/>
      <c r="AB176" s="117"/>
      <c r="AC176" s="44"/>
      <c r="AD176" s="117"/>
    </row>
    <row r="177" spans="1:30" ht="14.25" customHeight="1">
      <c r="A177" s="189"/>
      <c r="B177" s="189"/>
      <c r="C177" s="44"/>
      <c r="D177" s="117"/>
      <c r="E177" s="44"/>
      <c r="F177" s="44"/>
      <c r="G177" s="117"/>
      <c r="H177" s="117"/>
      <c r="I177" s="117"/>
      <c r="J177" s="117"/>
      <c r="K177" s="117"/>
      <c r="L177" s="117"/>
      <c r="M177" s="117"/>
      <c r="N177" s="117"/>
      <c r="O177" s="117"/>
      <c r="P177" s="117"/>
      <c r="Q177" s="117"/>
      <c r="R177" s="117"/>
      <c r="S177" s="117"/>
      <c r="T177" s="117"/>
      <c r="U177" s="235"/>
      <c r="V177" s="117"/>
      <c r="W177" s="117"/>
      <c r="X177" s="117"/>
      <c r="Y177" s="117"/>
      <c r="Z177" s="117"/>
      <c r="AA177" s="44"/>
      <c r="AB177" s="117"/>
      <c r="AC177" s="44"/>
      <c r="AD177" s="117"/>
    </row>
    <row r="178" spans="1:30" ht="14.25" customHeight="1">
      <c r="A178" s="189"/>
      <c r="B178" s="189"/>
      <c r="C178" s="44"/>
      <c r="D178" s="117"/>
      <c r="E178" s="44"/>
      <c r="F178" s="44"/>
      <c r="G178" s="117"/>
      <c r="H178" s="117"/>
      <c r="I178" s="117"/>
      <c r="J178" s="117"/>
      <c r="K178" s="117"/>
      <c r="L178" s="117"/>
      <c r="M178" s="117"/>
      <c r="N178" s="117"/>
      <c r="O178" s="117"/>
      <c r="P178" s="117"/>
      <c r="Q178" s="117"/>
      <c r="R178" s="117"/>
      <c r="S178" s="117"/>
      <c r="T178" s="117"/>
      <c r="U178" s="235"/>
      <c r="V178" s="117"/>
      <c r="W178" s="117"/>
      <c r="X178" s="117"/>
      <c r="Y178" s="117"/>
      <c r="Z178" s="117"/>
      <c r="AA178" s="44"/>
      <c r="AB178" s="117"/>
      <c r="AC178" s="44"/>
      <c r="AD178" s="117"/>
    </row>
    <row r="179" spans="1:30" ht="14.25" customHeight="1">
      <c r="A179" s="189"/>
      <c r="B179" s="189"/>
      <c r="C179" s="44"/>
      <c r="D179" s="117"/>
      <c r="E179" s="44"/>
      <c r="F179" s="44"/>
      <c r="G179" s="117"/>
      <c r="H179" s="117"/>
      <c r="I179" s="117"/>
      <c r="J179" s="117"/>
      <c r="K179" s="117"/>
      <c r="L179" s="117"/>
      <c r="M179" s="117"/>
      <c r="N179" s="117"/>
      <c r="O179" s="117"/>
      <c r="P179" s="117"/>
      <c r="Q179" s="117"/>
      <c r="R179" s="117"/>
      <c r="S179" s="117"/>
      <c r="T179" s="117"/>
      <c r="U179" s="235"/>
      <c r="V179" s="117"/>
      <c r="W179" s="117"/>
      <c r="X179" s="117"/>
      <c r="Y179" s="117"/>
      <c r="Z179" s="117"/>
      <c r="AA179" s="44"/>
      <c r="AB179" s="117"/>
      <c r="AC179" s="44"/>
      <c r="AD179" s="117"/>
    </row>
    <row r="180" spans="1:30" ht="14.25" customHeight="1">
      <c r="A180" s="189"/>
      <c r="B180" s="189"/>
      <c r="C180" s="44"/>
      <c r="D180" s="117"/>
      <c r="E180" s="44"/>
      <c r="F180" s="44"/>
      <c r="G180" s="117"/>
      <c r="H180" s="117"/>
      <c r="I180" s="117"/>
      <c r="J180" s="117"/>
      <c r="K180" s="117"/>
      <c r="L180" s="117"/>
      <c r="M180" s="117"/>
      <c r="N180" s="117"/>
      <c r="O180" s="117"/>
      <c r="P180" s="117"/>
      <c r="Q180" s="117"/>
      <c r="R180" s="117"/>
      <c r="S180" s="117"/>
      <c r="T180" s="117"/>
      <c r="U180" s="235"/>
      <c r="V180" s="117"/>
      <c r="W180" s="117"/>
      <c r="X180" s="117"/>
      <c r="Y180" s="117"/>
      <c r="Z180" s="117"/>
      <c r="AA180" s="44"/>
      <c r="AB180" s="117"/>
      <c r="AC180" s="44"/>
      <c r="AD180" s="117"/>
    </row>
    <row r="181" spans="1:30" ht="14.25" customHeight="1">
      <c r="A181" s="189"/>
      <c r="B181" s="189"/>
      <c r="C181" s="44"/>
      <c r="D181" s="117"/>
      <c r="E181" s="44"/>
      <c r="F181" s="44"/>
      <c r="G181" s="117"/>
      <c r="H181" s="117"/>
      <c r="I181" s="117"/>
      <c r="J181" s="117"/>
      <c r="K181" s="117"/>
      <c r="L181" s="117"/>
      <c r="M181" s="117"/>
      <c r="N181" s="117"/>
      <c r="O181" s="117"/>
      <c r="P181" s="117"/>
      <c r="Q181" s="117"/>
      <c r="R181" s="117"/>
      <c r="S181" s="117"/>
      <c r="T181" s="117"/>
      <c r="U181" s="235"/>
      <c r="V181" s="117"/>
      <c r="W181" s="117"/>
      <c r="X181" s="117"/>
      <c r="Y181" s="117"/>
      <c r="Z181" s="117"/>
      <c r="AA181" s="44"/>
      <c r="AB181" s="117"/>
      <c r="AC181" s="44"/>
      <c r="AD181" s="117"/>
    </row>
    <row r="182" spans="1:30" ht="14.25" customHeight="1">
      <c r="A182" s="189"/>
      <c r="B182" s="189"/>
      <c r="C182" s="44"/>
      <c r="D182" s="117"/>
      <c r="E182" s="44"/>
      <c r="F182" s="44"/>
      <c r="G182" s="117"/>
      <c r="H182" s="117"/>
      <c r="I182" s="117"/>
      <c r="J182" s="117"/>
      <c r="K182" s="117"/>
      <c r="L182" s="117"/>
      <c r="M182" s="117"/>
      <c r="N182" s="117"/>
      <c r="O182" s="117"/>
      <c r="P182" s="117"/>
      <c r="Q182" s="117"/>
      <c r="R182" s="117"/>
      <c r="S182" s="117"/>
      <c r="T182" s="117"/>
      <c r="U182" s="235"/>
      <c r="V182" s="117"/>
      <c r="W182" s="117"/>
      <c r="X182" s="117"/>
      <c r="Y182" s="117"/>
      <c r="Z182" s="117"/>
      <c r="AA182" s="44"/>
      <c r="AB182" s="117"/>
      <c r="AC182" s="44"/>
      <c r="AD182" s="117"/>
    </row>
    <row r="183" spans="1:30" ht="14.25" customHeight="1">
      <c r="A183" s="189"/>
      <c r="B183" s="189"/>
      <c r="C183" s="44"/>
      <c r="D183" s="117"/>
      <c r="E183" s="44"/>
      <c r="F183" s="44"/>
      <c r="G183" s="117"/>
      <c r="H183" s="117"/>
      <c r="I183" s="117"/>
      <c r="J183" s="117"/>
      <c r="K183" s="117"/>
      <c r="L183" s="117"/>
      <c r="M183" s="117"/>
      <c r="N183" s="117"/>
      <c r="O183" s="117"/>
      <c r="P183" s="117"/>
      <c r="Q183" s="117"/>
      <c r="R183" s="117"/>
      <c r="S183" s="117"/>
      <c r="T183" s="117"/>
      <c r="U183" s="235"/>
      <c r="V183" s="117"/>
      <c r="W183" s="117"/>
      <c r="X183" s="117"/>
      <c r="Y183" s="117"/>
      <c r="Z183" s="117"/>
      <c r="AA183" s="44"/>
      <c r="AB183" s="117"/>
      <c r="AC183" s="44"/>
      <c r="AD183" s="117"/>
    </row>
    <row r="184" spans="1:30" ht="14.25" customHeight="1">
      <c r="A184" s="189"/>
      <c r="B184" s="189"/>
      <c r="C184" s="44"/>
      <c r="D184" s="117"/>
      <c r="E184" s="44"/>
      <c r="F184" s="44"/>
      <c r="G184" s="117"/>
      <c r="H184" s="117"/>
      <c r="I184" s="117"/>
      <c r="J184" s="117"/>
      <c r="K184" s="117"/>
      <c r="L184" s="117"/>
      <c r="M184" s="117"/>
      <c r="N184" s="117"/>
      <c r="O184" s="117"/>
      <c r="P184" s="117"/>
      <c r="Q184" s="117"/>
      <c r="R184" s="117"/>
      <c r="S184" s="117"/>
      <c r="T184" s="117"/>
      <c r="U184" s="235"/>
      <c r="V184" s="117"/>
      <c r="W184" s="117"/>
      <c r="X184" s="117"/>
      <c r="Y184" s="117"/>
      <c r="Z184" s="117"/>
      <c r="AA184" s="44"/>
      <c r="AB184" s="117"/>
      <c r="AC184" s="44"/>
      <c r="AD184" s="117"/>
    </row>
    <row r="185" spans="1:30" ht="14.25" customHeight="1">
      <c r="A185" s="189"/>
      <c r="B185" s="189"/>
      <c r="C185" s="44"/>
      <c r="D185" s="117"/>
      <c r="E185" s="44"/>
      <c r="F185" s="44"/>
      <c r="G185" s="117"/>
      <c r="H185" s="117"/>
      <c r="I185" s="117"/>
      <c r="J185" s="117"/>
      <c r="K185" s="117"/>
      <c r="L185" s="117"/>
      <c r="M185" s="117"/>
      <c r="N185" s="117"/>
      <c r="O185" s="117"/>
      <c r="P185" s="117"/>
      <c r="Q185" s="117"/>
      <c r="R185" s="117"/>
      <c r="S185" s="117"/>
      <c r="T185" s="117"/>
      <c r="U185" s="235"/>
      <c r="V185" s="117"/>
      <c r="W185" s="117"/>
      <c r="X185" s="117"/>
      <c r="Y185" s="117"/>
      <c r="Z185" s="117"/>
      <c r="AA185" s="44"/>
      <c r="AB185" s="117"/>
      <c r="AC185" s="44"/>
      <c r="AD185" s="117"/>
    </row>
    <row r="186" spans="1:30" ht="14.25" customHeight="1">
      <c r="A186" s="189"/>
      <c r="B186" s="189"/>
      <c r="C186" s="44"/>
      <c r="D186" s="117"/>
      <c r="E186" s="44"/>
      <c r="F186" s="44"/>
      <c r="G186" s="117"/>
      <c r="H186" s="117"/>
      <c r="I186" s="117"/>
      <c r="J186" s="117"/>
      <c r="K186" s="117"/>
      <c r="L186" s="117"/>
      <c r="M186" s="117"/>
      <c r="N186" s="117"/>
      <c r="O186" s="117"/>
      <c r="P186" s="117"/>
      <c r="Q186" s="117"/>
      <c r="R186" s="117"/>
      <c r="S186" s="117"/>
      <c r="T186" s="117"/>
      <c r="U186" s="235"/>
      <c r="V186" s="117"/>
      <c r="W186" s="117"/>
      <c r="X186" s="117"/>
      <c r="Y186" s="117"/>
      <c r="Z186" s="117"/>
      <c r="AA186" s="44"/>
      <c r="AB186" s="117"/>
      <c r="AC186" s="44"/>
      <c r="AD186" s="117"/>
    </row>
    <row r="187" spans="1:30" ht="14.25" customHeight="1">
      <c r="A187" s="189"/>
      <c r="B187" s="189"/>
      <c r="C187" s="44"/>
      <c r="D187" s="117"/>
      <c r="E187" s="44"/>
      <c r="F187" s="44"/>
      <c r="G187" s="117"/>
      <c r="H187" s="117"/>
      <c r="I187" s="117"/>
      <c r="J187" s="117"/>
      <c r="K187" s="117"/>
      <c r="L187" s="117"/>
      <c r="M187" s="117"/>
      <c r="N187" s="117"/>
      <c r="O187" s="117"/>
      <c r="P187" s="117"/>
      <c r="Q187" s="117"/>
      <c r="R187" s="117"/>
      <c r="S187" s="117"/>
      <c r="T187" s="117"/>
      <c r="U187" s="235"/>
      <c r="V187" s="117"/>
      <c r="W187" s="117"/>
      <c r="X187" s="117"/>
      <c r="Y187" s="117"/>
      <c r="Z187" s="117"/>
      <c r="AA187" s="44"/>
      <c r="AB187" s="117"/>
      <c r="AC187" s="44"/>
      <c r="AD187" s="117"/>
    </row>
    <row r="188" spans="1:30" ht="14.25" customHeight="1">
      <c r="A188" s="189"/>
      <c r="B188" s="189"/>
      <c r="C188" s="44"/>
      <c r="D188" s="117"/>
      <c r="E188" s="44"/>
      <c r="F188" s="44"/>
      <c r="G188" s="117"/>
      <c r="H188" s="117"/>
      <c r="I188" s="117"/>
      <c r="J188" s="117"/>
      <c r="K188" s="117"/>
      <c r="L188" s="117"/>
      <c r="M188" s="117"/>
      <c r="N188" s="117"/>
      <c r="O188" s="117"/>
      <c r="P188" s="117"/>
      <c r="Q188" s="117"/>
      <c r="R188" s="117"/>
      <c r="S188" s="117"/>
      <c r="T188" s="117"/>
      <c r="U188" s="235"/>
      <c r="V188" s="117"/>
      <c r="W188" s="117"/>
      <c r="X188" s="117"/>
      <c r="Y188" s="117"/>
      <c r="Z188" s="117"/>
      <c r="AA188" s="44"/>
      <c r="AB188" s="117"/>
      <c r="AC188" s="44"/>
      <c r="AD188" s="117"/>
    </row>
    <row r="189" spans="1:30" ht="14.25" customHeight="1">
      <c r="A189" s="189"/>
      <c r="B189" s="189"/>
      <c r="C189" s="44"/>
      <c r="D189" s="117"/>
      <c r="E189" s="44"/>
      <c r="F189" s="44"/>
      <c r="G189" s="117"/>
      <c r="H189" s="117"/>
      <c r="I189" s="117"/>
      <c r="J189" s="117"/>
      <c r="K189" s="117"/>
      <c r="L189" s="117"/>
      <c r="M189" s="117"/>
      <c r="N189" s="117"/>
      <c r="O189" s="117"/>
      <c r="P189" s="117"/>
      <c r="Q189" s="117"/>
      <c r="R189" s="117"/>
      <c r="S189" s="117"/>
      <c r="T189" s="117"/>
      <c r="U189" s="235"/>
      <c r="V189" s="117"/>
      <c r="W189" s="117"/>
      <c r="X189" s="117"/>
      <c r="Y189" s="117"/>
      <c r="Z189" s="117"/>
      <c r="AA189" s="44"/>
      <c r="AB189" s="117"/>
      <c r="AC189" s="44"/>
      <c r="AD189" s="117"/>
    </row>
    <row r="190" spans="1:30" ht="14.25" customHeight="1">
      <c r="A190" s="189"/>
      <c r="B190" s="189"/>
      <c r="C190" s="44"/>
      <c r="D190" s="117"/>
      <c r="E190" s="44"/>
      <c r="F190" s="44"/>
      <c r="G190" s="117"/>
      <c r="H190" s="117"/>
      <c r="I190" s="117"/>
      <c r="J190" s="117"/>
      <c r="K190" s="117"/>
      <c r="L190" s="117"/>
      <c r="M190" s="117"/>
      <c r="N190" s="117"/>
      <c r="O190" s="117"/>
      <c r="P190" s="117"/>
      <c r="Q190" s="117"/>
      <c r="R190" s="117"/>
      <c r="S190" s="117"/>
      <c r="T190" s="117"/>
      <c r="U190" s="235"/>
      <c r="V190" s="117"/>
      <c r="W190" s="117"/>
      <c r="X190" s="117"/>
      <c r="Y190" s="117"/>
      <c r="Z190" s="117"/>
      <c r="AA190" s="44"/>
      <c r="AB190" s="117"/>
      <c r="AC190" s="44"/>
      <c r="AD190" s="117"/>
    </row>
    <row r="191" spans="1:30" ht="14.25" customHeight="1">
      <c r="A191" s="189"/>
      <c r="B191" s="189"/>
      <c r="C191" s="44"/>
      <c r="D191" s="117"/>
      <c r="E191" s="44"/>
      <c r="F191" s="44"/>
      <c r="G191" s="117"/>
      <c r="H191" s="117"/>
      <c r="I191" s="117"/>
      <c r="J191" s="117"/>
      <c r="K191" s="117"/>
      <c r="L191" s="117"/>
      <c r="M191" s="117"/>
      <c r="N191" s="117"/>
      <c r="O191" s="117"/>
      <c r="P191" s="117"/>
      <c r="Q191" s="117"/>
      <c r="R191" s="117"/>
      <c r="S191" s="117"/>
      <c r="T191" s="117"/>
      <c r="U191" s="235"/>
      <c r="V191" s="117"/>
      <c r="W191" s="117"/>
      <c r="X191" s="117"/>
      <c r="Y191" s="117"/>
      <c r="Z191" s="117"/>
      <c r="AA191" s="44"/>
      <c r="AB191" s="117"/>
      <c r="AC191" s="44"/>
      <c r="AD191" s="117"/>
    </row>
    <row r="192" spans="1:30" ht="14.25" customHeight="1">
      <c r="A192" s="189"/>
      <c r="B192" s="189"/>
      <c r="C192" s="44"/>
      <c r="D192" s="117"/>
      <c r="E192" s="44"/>
      <c r="F192" s="44"/>
      <c r="G192" s="117"/>
      <c r="H192" s="117"/>
      <c r="I192" s="117"/>
      <c r="J192" s="117"/>
      <c r="K192" s="117"/>
      <c r="L192" s="117"/>
      <c r="M192" s="117"/>
      <c r="N192" s="117"/>
      <c r="O192" s="117"/>
      <c r="P192" s="117"/>
      <c r="Q192" s="117"/>
      <c r="R192" s="117"/>
      <c r="S192" s="117"/>
      <c r="T192" s="117"/>
      <c r="U192" s="235"/>
      <c r="V192" s="117"/>
      <c r="W192" s="117"/>
      <c r="X192" s="117"/>
      <c r="Y192" s="117"/>
      <c r="Z192" s="117"/>
      <c r="AA192" s="44"/>
      <c r="AB192" s="117"/>
      <c r="AC192" s="44"/>
      <c r="AD192" s="117"/>
    </row>
    <row r="193" spans="1:30" ht="14.25" customHeight="1">
      <c r="A193" s="189"/>
      <c r="B193" s="189"/>
      <c r="C193" s="44"/>
      <c r="D193" s="117"/>
      <c r="E193" s="44"/>
      <c r="F193" s="44"/>
      <c r="G193" s="117"/>
      <c r="H193" s="117"/>
      <c r="I193" s="117"/>
      <c r="J193" s="117"/>
      <c r="K193" s="117"/>
      <c r="L193" s="117"/>
      <c r="M193" s="117"/>
      <c r="N193" s="117"/>
      <c r="O193" s="117"/>
      <c r="P193" s="117"/>
      <c r="Q193" s="117"/>
      <c r="R193" s="117"/>
      <c r="S193" s="117"/>
      <c r="T193" s="117"/>
      <c r="U193" s="235"/>
      <c r="V193" s="117"/>
      <c r="W193" s="117"/>
      <c r="X193" s="117"/>
      <c r="Y193" s="117"/>
      <c r="Z193" s="117"/>
      <c r="AA193" s="44"/>
      <c r="AB193" s="117"/>
      <c r="AC193" s="44"/>
      <c r="AD193" s="117"/>
    </row>
    <row r="194" spans="1:30" ht="14.25" customHeight="1">
      <c r="A194" s="189"/>
      <c r="B194" s="189"/>
      <c r="C194" s="44"/>
      <c r="D194" s="117"/>
      <c r="E194" s="44"/>
      <c r="F194" s="44"/>
      <c r="G194" s="117"/>
      <c r="H194" s="117"/>
      <c r="I194" s="117"/>
      <c r="J194" s="117"/>
      <c r="K194" s="117"/>
      <c r="L194" s="117"/>
      <c r="M194" s="117"/>
      <c r="N194" s="117"/>
      <c r="O194" s="117"/>
      <c r="P194" s="117"/>
      <c r="Q194" s="117"/>
      <c r="R194" s="117"/>
      <c r="S194" s="117"/>
      <c r="T194" s="117"/>
      <c r="U194" s="235"/>
      <c r="V194" s="117"/>
      <c r="W194" s="117"/>
      <c r="X194" s="117"/>
      <c r="Y194" s="117"/>
      <c r="Z194" s="117"/>
      <c r="AA194" s="44"/>
      <c r="AB194" s="117"/>
      <c r="AC194" s="44"/>
      <c r="AD194" s="117"/>
    </row>
    <row r="195" spans="1:30" ht="14.25" customHeight="1">
      <c r="A195" s="189"/>
      <c r="B195" s="189"/>
      <c r="C195" s="44"/>
      <c r="D195" s="117"/>
      <c r="E195" s="44"/>
      <c r="F195" s="44"/>
      <c r="G195" s="117"/>
      <c r="H195" s="117"/>
      <c r="I195" s="117"/>
      <c r="J195" s="117"/>
      <c r="K195" s="117"/>
      <c r="L195" s="117"/>
      <c r="M195" s="117"/>
      <c r="N195" s="117"/>
      <c r="O195" s="117"/>
      <c r="P195" s="117"/>
      <c r="Q195" s="117"/>
      <c r="R195" s="117"/>
      <c r="S195" s="117"/>
      <c r="T195" s="117"/>
      <c r="U195" s="235"/>
      <c r="V195" s="117"/>
      <c r="W195" s="117"/>
      <c r="X195" s="117"/>
      <c r="Y195" s="117"/>
      <c r="Z195" s="117"/>
      <c r="AA195" s="44"/>
      <c r="AB195" s="117"/>
      <c r="AC195" s="44"/>
      <c r="AD195" s="117"/>
    </row>
    <row r="196" spans="1:30" ht="14.25" customHeight="1">
      <c r="A196" s="189"/>
      <c r="B196" s="189"/>
      <c r="C196" s="44"/>
      <c r="D196" s="117"/>
      <c r="E196" s="44"/>
      <c r="F196" s="44"/>
      <c r="G196" s="117"/>
      <c r="H196" s="117"/>
      <c r="I196" s="117"/>
      <c r="J196" s="117"/>
      <c r="K196" s="117"/>
      <c r="L196" s="117"/>
      <c r="M196" s="117"/>
      <c r="N196" s="117"/>
      <c r="O196" s="117"/>
      <c r="P196" s="117"/>
      <c r="Q196" s="117"/>
      <c r="R196" s="117"/>
      <c r="S196" s="117"/>
      <c r="T196" s="117"/>
      <c r="U196" s="235"/>
      <c r="V196" s="117"/>
      <c r="W196" s="117"/>
      <c r="X196" s="117"/>
      <c r="Y196" s="117"/>
      <c r="Z196" s="117"/>
      <c r="AA196" s="44"/>
      <c r="AB196" s="117"/>
      <c r="AC196" s="44"/>
      <c r="AD196" s="117"/>
    </row>
    <row r="197" spans="1:30" ht="14.25" customHeight="1">
      <c r="A197" s="189"/>
      <c r="B197" s="189"/>
      <c r="C197" s="44"/>
      <c r="D197" s="117"/>
      <c r="E197" s="44"/>
      <c r="F197" s="44"/>
      <c r="G197" s="117"/>
      <c r="H197" s="117"/>
      <c r="I197" s="117"/>
      <c r="J197" s="117"/>
      <c r="K197" s="117"/>
      <c r="L197" s="117"/>
      <c r="M197" s="117"/>
      <c r="N197" s="117"/>
      <c r="O197" s="117"/>
      <c r="P197" s="117"/>
      <c r="Q197" s="117"/>
      <c r="R197" s="117"/>
      <c r="S197" s="117"/>
      <c r="T197" s="117"/>
      <c r="U197" s="235"/>
      <c r="V197" s="117"/>
      <c r="W197" s="117"/>
      <c r="X197" s="117"/>
      <c r="Y197" s="117"/>
      <c r="Z197" s="117"/>
      <c r="AA197" s="44"/>
      <c r="AB197" s="117"/>
      <c r="AC197" s="44"/>
      <c r="AD197" s="117"/>
    </row>
    <row r="198" spans="1:30" ht="14.25" customHeight="1">
      <c r="A198" s="189"/>
      <c r="B198" s="189"/>
      <c r="C198" s="44"/>
      <c r="D198" s="117"/>
      <c r="E198" s="44"/>
      <c r="F198" s="44"/>
      <c r="G198" s="117"/>
      <c r="H198" s="117"/>
      <c r="I198" s="117"/>
      <c r="J198" s="117"/>
      <c r="K198" s="117"/>
      <c r="L198" s="117"/>
      <c r="M198" s="117"/>
      <c r="N198" s="117"/>
      <c r="O198" s="117"/>
      <c r="P198" s="117"/>
      <c r="Q198" s="117"/>
      <c r="R198" s="117"/>
      <c r="S198" s="117"/>
      <c r="T198" s="117"/>
      <c r="U198" s="235"/>
      <c r="V198" s="117"/>
      <c r="W198" s="117"/>
      <c r="X198" s="117"/>
      <c r="Y198" s="117"/>
      <c r="Z198" s="117"/>
      <c r="AA198" s="44"/>
      <c r="AB198" s="117"/>
      <c r="AC198" s="44"/>
      <c r="AD198" s="117"/>
    </row>
    <row r="199" spans="1:30" ht="14.25" customHeight="1">
      <c r="A199" s="189"/>
      <c r="B199" s="189"/>
      <c r="C199" s="44"/>
      <c r="D199" s="117"/>
      <c r="E199" s="44"/>
      <c r="F199" s="44"/>
      <c r="G199" s="117"/>
      <c r="H199" s="117"/>
      <c r="I199" s="117"/>
      <c r="J199" s="117"/>
      <c r="K199" s="117"/>
      <c r="L199" s="117"/>
      <c r="M199" s="117"/>
      <c r="N199" s="117"/>
      <c r="O199" s="117"/>
      <c r="P199" s="117"/>
      <c r="Q199" s="117"/>
      <c r="R199" s="117"/>
      <c r="S199" s="117"/>
      <c r="T199" s="117"/>
      <c r="U199" s="235"/>
      <c r="V199" s="117"/>
      <c r="W199" s="117"/>
      <c r="X199" s="117"/>
      <c r="Y199" s="117"/>
      <c r="Z199" s="117"/>
      <c r="AA199" s="44"/>
      <c r="AB199" s="117"/>
      <c r="AC199" s="44"/>
      <c r="AD199" s="117"/>
    </row>
    <row r="200" spans="1:30" ht="14.25" customHeight="1">
      <c r="A200" s="189"/>
      <c r="B200" s="189"/>
      <c r="C200" s="44"/>
      <c r="D200" s="117"/>
      <c r="E200" s="44"/>
      <c r="F200" s="44"/>
      <c r="G200" s="117"/>
      <c r="H200" s="117"/>
      <c r="I200" s="117"/>
      <c r="J200" s="117"/>
      <c r="K200" s="117"/>
      <c r="L200" s="117"/>
      <c r="M200" s="117"/>
      <c r="N200" s="117"/>
      <c r="O200" s="117"/>
      <c r="P200" s="117"/>
      <c r="Q200" s="117"/>
      <c r="R200" s="117"/>
      <c r="S200" s="117"/>
      <c r="T200" s="117"/>
      <c r="U200" s="235"/>
      <c r="V200" s="117"/>
      <c r="W200" s="117"/>
      <c r="X200" s="117"/>
      <c r="Y200" s="117"/>
      <c r="Z200" s="117"/>
      <c r="AA200" s="44"/>
      <c r="AB200" s="117"/>
      <c r="AC200" s="44"/>
      <c r="AD200" s="117"/>
    </row>
    <row r="201" spans="1:30" ht="14.25" customHeight="1">
      <c r="A201" s="189"/>
      <c r="B201" s="189"/>
      <c r="C201" s="44"/>
      <c r="D201" s="117"/>
      <c r="E201" s="44"/>
      <c r="F201" s="44"/>
      <c r="G201" s="117"/>
      <c r="H201" s="117"/>
      <c r="I201" s="117"/>
      <c r="J201" s="117"/>
      <c r="K201" s="117"/>
      <c r="L201" s="117"/>
      <c r="M201" s="117"/>
      <c r="N201" s="117"/>
      <c r="O201" s="117"/>
      <c r="P201" s="117"/>
      <c r="Q201" s="117"/>
      <c r="R201" s="117"/>
      <c r="S201" s="117"/>
      <c r="T201" s="117"/>
      <c r="U201" s="235"/>
      <c r="V201" s="117"/>
      <c r="W201" s="117"/>
      <c r="X201" s="117"/>
      <c r="Y201" s="117"/>
      <c r="Z201" s="117"/>
      <c r="AA201" s="44"/>
      <c r="AB201" s="117"/>
      <c r="AC201" s="44"/>
      <c r="AD201" s="117"/>
    </row>
    <row r="202" spans="1:30" ht="14.25" customHeight="1">
      <c r="A202" s="189"/>
      <c r="B202" s="189"/>
      <c r="C202" s="44"/>
      <c r="D202" s="117"/>
      <c r="E202" s="44"/>
      <c r="F202" s="44"/>
      <c r="G202" s="117"/>
      <c r="H202" s="117"/>
      <c r="I202" s="117"/>
      <c r="J202" s="117"/>
      <c r="K202" s="117"/>
      <c r="L202" s="117"/>
      <c r="M202" s="117"/>
      <c r="N202" s="117"/>
      <c r="O202" s="117"/>
      <c r="P202" s="117"/>
      <c r="Q202" s="117"/>
      <c r="R202" s="117"/>
      <c r="S202" s="117"/>
      <c r="T202" s="117"/>
      <c r="U202" s="235"/>
      <c r="V202" s="117"/>
      <c r="W202" s="117"/>
      <c r="X202" s="117"/>
      <c r="Y202" s="117"/>
      <c r="Z202" s="117"/>
      <c r="AA202" s="44"/>
      <c r="AB202" s="117"/>
      <c r="AC202" s="44"/>
      <c r="AD202" s="117"/>
    </row>
    <row r="203" spans="1:30" ht="14.25" customHeight="1">
      <c r="A203" s="189"/>
      <c r="B203" s="189"/>
      <c r="C203" s="44"/>
      <c r="D203" s="117"/>
      <c r="E203" s="44"/>
      <c r="F203" s="44"/>
      <c r="G203" s="117"/>
      <c r="H203" s="117"/>
      <c r="I203" s="117"/>
      <c r="J203" s="117"/>
      <c r="K203" s="117"/>
      <c r="L203" s="117"/>
      <c r="M203" s="117"/>
      <c r="N203" s="117"/>
      <c r="O203" s="117"/>
      <c r="P203" s="117"/>
      <c r="Q203" s="117"/>
      <c r="R203" s="117"/>
      <c r="S203" s="117"/>
      <c r="T203" s="117"/>
      <c r="U203" s="235"/>
      <c r="V203" s="117"/>
      <c r="W203" s="117"/>
      <c r="X203" s="117"/>
      <c r="Y203" s="117"/>
      <c r="Z203" s="117"/>
      <c r="AA203" s="44"/>
      <c r="AB203" s="117"/>
      <c r="AC203" s="44"/>
      <c r="AD203" s="117"/>
    </row>
    <row r="204" spans="1:30" ht="14.25" customHeight="1">
      <c r="A204" s="189"/>
      <c r="B204" s="189"/>
      <c r="C204" s="44"/>
      <c r="D204" s="117"/>
      <c r="E204" s="44"/>
      <c r="F204" s="44"/>
      <c r="G204" s="117"/>
      <c r="H204" s="117"/>
      <c r="I204" s="117"/>
      <c r="J204" s="117"/>
      <c r="K204" s="117"/>
      <c r="L204" s="117"/>
      <c r="M204" s="117"/>
      <c r="N204" s="117"/>
      <c r="O204" s="117"/>
      <c r="P204" s="117"/>
      <c r="Q204" s="117"/>
      <c r="R204" s="117"/>
      <c r="S204" s="117"/>
      <c r="T204" s="117"/>
      <c r="U204" s="235"/>
      <c r="V204" s="117"/>
      <c r="W204" s="117"/>
      <c r="X204" s="117"/>
      <c r="Y204" s="117"/>
      <c r="Z204" s="117"/>
      <c r="AA204" s="44"/>
      <c r="AB204" s="117"/>
      <c r="AC204" s="44"/>
      <c r="AD204" s="117"/>
    </row>
    <row r="205" spans="1:30" ht="14.25" customHeight="1">
      <c r="A205" s="189"/>
      <c r="B205" s="189"/>
      <c r="C205" s="44"/>
      <c r="D205" s="117"/>
      <c r="E205" s="44"/>
      <c r="F205" s="44"/>
      <c r="G205" s="117"/>
      <c r="H205" s="117"/>
      <c r="I205" s="117"/>
      <c r="J205" s="117"/>
      <c r="K205" s="117"/>
      <c r="L205" s="117"/>
      <c r="M205" s="117"/>
      <c r="N205" s="117"/>
      <c r="O205" s="117"/>
      <c r="P205" s="117"/>
      <c r="Q205" s="117"/>
      <c r="R205" s="117"/>
      <c r="S205" s="117"/>
      <c r="T205" s="117"/>
      <c r="U205" s="235"/>
      <c r="V205" s="117"/>
      <c r="W205" s="117"/>
      <c r="X205" s="117"/>
      <c r="Y205" s="117"/>
      <c r="Z205" s="117"/>
      <c r="AA205" s="44"/>
      <c r="AB205" s="117"/>
      <c r="AC205" s="44"/>
      <c r="AD205" s="117"/>
    </row>
    <row r="206" spans="1:30" ht="14.25" customHeight="1">
      <c r="A206" s="189"/>
      <c r="B206" s="189"/>
      <c r="C206" s="44"/>
      <c r="D206" s="117"/>
      <c r="E206" s="44"/>
      <c r="F206" s="44"/>
      <c r="G206" s="117"/>
      <c r="H206" s="117"/>
      <c r="I206" s="117"/>
      <c r="J206" s="117"/>
      <c r="K206" s="117"/>
      <c r="L206" s="117"/>
      <c r="M206" s="117"/>
      <c r="N206" s="117"/>
      <c r="O206" s="117"/>
      <c r="P206" s="117"/>
      <c r="Q206" s="117"/>
      <c r="R206" s="117"/>
      <c r="S206" s="117"/>
      <c r="T206" s="117"/>
      <c r="U206" s="235"/>
      <c r="V206" s="117"/>
      <c r="W206" s="117"/>
      <c r="X206" s="117"/>
      <c r="Y206" s="117"/>
      <c r="Z206" s="117"/>
      <c r="AA206" s="44"/>
      <c r="AB206" s="117"/>
      <c r="AC206" s="44"/>
      <c r="AD206" s="117"/>
    </row>
    <row r="207" spans="1:30" ht="14.25" customHeight="1">
      <c r="A207" s="189"/>
      <c r="B207" s="189"/>
      <c r="C207" s="44"/>
      <c r="D207" s="117"/>
      <c r="E207" s="44"/>
      <c r="F207" s="44"/>
      <c r="G207" s="117"/>
      <c r="H207" s="117"/>
      <c r="I207" s="117"/>
      <c r="J207" s="117"/>
      <c r="K207" s="117"/>
      <c r="L207" s="117"/>
      <c r="M207" s="117"/>
      <c r="N207" s="117"/>
      <c r="O207" s="117"/>
      <c r="P207" s="117"/>
      <c r="Q207" s="117"/>
      <c r="R207" s="117"/>
      <c r="S207" s="117"/>
      <c r="T207" s="117"/>
      <c r="U207" s="235"/>
      <c r="V207" s="117"/>
      <c r="W207" s="117"/>
      <c r="X207" s="117"/>
      <c r="Y207" s="117"/>
      <c r="Z207" s="117"/>
      <c r="AA207" s="44"/>
      <c r="AB207" s="117"/>
      <c r="AC207" s="44"/>
      <c r="AD207" s="117"/>
    </row>
    <row r="208" spans="1:30" ht="14.25" customHeight="1">
      <c r="A208" s="189"/>
      <c r="B208" s="189"/>
      <c r="C208" s="44"/>
      <c r="D208" s="117"/>
      <c r="E208" s="44"/>
      <c r="F208" s="44"/>
      <c r="G208" s="117"/>
      <c r="H208" s="117"/>
      <c r="I208" s="117"/>
      <c r="J208" s="117"/>
      <c r="K208" s="117"/>
      <c r="L208" s="117"/>
      <c r="M208" s="117"/>
      <c r="N208" s="117"/>
      <c r="O208" s="117"/>
      <c r="P208" s="117"/>
      <c r="Q208" s="117"/>
      <c r="R208" s="117"/>
      <c r="S208" s="117"/>
      <c r="T208" s="117"/>
      <c r="U208" s="235"/>
      <c r="V208" s="117"/>
      <c r="W208" s="117"/>
      <c r="X208" s="117"/>
      <c r="Y208" s="117"/>
      <c r="Z208" s="117"/>
      <c r="AA208" s="44"/>
      <c r="AB208" s="117"/>
      <c r="AC208" s="44"/>
      <c r="AD208" s="117"/>
    </row>
    <row r="209" spans="1:30" ht="14.25" customHeight="1">
      <c r="A209" s="189"/>
      <c r="B209" s="189"/>
      <c r="C209" s="44"/>
      <c r="D209" s="117"/>
      <c r="E209" s="44"/>
      <c r="F209" s="44"/>
      <c r="G209" s="117"/>
      <c r="H209" s="117"/>
      <c r="I209" s="117"/>
      <c r="J209" s="117"/>
      <c r="K209" s="117"/>
      <c r="L209" s="117"/>
      <c r="M209" s="117"/>
      <c r="N209" s="117"/>
      <c r="O209" s="117"/>
      <c r="P209" s="117"/>
      <c r="Q209" s="117"/>
      <c r="R209" s="117"/>
      <c r="S209" s="117"/>
      <c r="T209" s="117"/>
      <c r="U209" s="235"/>
      <c r="V209" s="117"/>
      <c r="W209" s="117"/>
      <c r="X209" s="117"/>
      <c r="Y209" s="117"/>
      <c r="Z209" s="117"/>
      <c r="AA209" s="44"/>
      <c r="AB209" s="117"/>
      <c r="AC209" s="44"/>
      <c r="AD209" s="117"/>
    </row>
    <row r="210" spans="1:30" ht="14.25" customHeight="1">
      <c r="A210" s="189"/>
      <c r="B210" s="189"/>
      <c r="C210" s="44"/>
      <c r="D210" s="117"/>
      <c r="E210" s="44"/>
      <c r="F210" s="44"/>
      <c r="G210" s="117"/>
      <c r="H210" s="117"/>
      <c r="I210" s="117"/>
      <c r="J210" s="117"/>
      <c r="K210" s="117"/>
      <c r="L210" s="117"/>
      <c r="M210" s="117"/>
      <c r="N210" s="117"/>
      <c r="O210" s="117"/>
      <c r="P210" s="117"/>
      <c r="Q210" s="117"/>
      <c r="R210" s="117"/>
      <c r="S210" s="117"/>
      <c r="T210" s="117"/>
      <c r="U210" s="235"/>
      <c r="V210" s="117"/>
      <c r="W210" s="117"/>
      <c r="X210" s="117"/>
      <c r="Y210" s="117"/>
      <c r="Z210" s="117"/>
      <c r="AA210" s="44"/>
      <c r="AB210" s="117"/>
      <c r="AC210" s="44"/>
      <c r="AD210" s="117"/>
    </row>
    <row r="211" spans="1:30" ht="14.25" customHeight="1">
      <c r="A211" s="189"/>
      <c r="B211" s="189"/>
      <c r="C211" s="44"/>
      <c r="D211" s="117"/>
      <c r="E211" s="44"/>
      <c r="F211" s="44"/>
      <c r="G211" s="117"/>
      <c r="H211" s="117"/>
      <c r="I211" s="117"/>
      <c r="J211" s="117"/>
      <c r="K211" s="117"/>
      <c r="L211" s="117"/>
      <c r="M211" s="117"/>
      <c r="N211" s="117"/>
      <c r="O211" s="117"/>
      <c r="P211" s="117"/>
      <c r="Q211" s="117"/>
      <c r="R211" s="117"/>
      <c r="S211" s="117"/>
      <c r="T211" s="117"/>
      <c r="U211" s="235"/>
      <c r="V211" s="117"/>
      <c r="W211" s="117"/>
      <c r="X211" s="117"/>
      <c r="Y211" s="117"/>
      <c r="Z211" s="117"/>
      <c r="AA211" s="44"/>
      <c r="AB211" s="117"/>
      <c r="AC211" s="44"/>
      <c r="AD211" s="117"/>
    </row>
    <row r="212" spans="1:30" ht="14.25" customHeight="1">
      <c r="A212" s="189"/>
      <c r="B212" s="189"/>
      <c r="C212" s="44"/>
      <c r="D212" s="117"/>
      <c r="E212" s="44"/>
      <c r="F212" s="44"/>
      <c r="G212" s="117"/>
      <c r="H212" s="117"/>
      <c r="I212" s="117"/>
      <c r="J212" s="117"/>
      <c r="K212" s="117"/>
      <c r="L212" s="117"/>
      <c r="M212" s="117"/>
      <c r="N212" s="117"/>
      <c r="O212" s="117"/>
      <c r="P212" s="117"/>
      <c r="Q212" s="117"/>
      <c r="R212" s="117"/>
      <c r="S212" s="117"/>
      <c r="T212" s="117"/>
      <c r="U212" s="235"/>
      <c r="V212" s="117"/>
      <c r="W212" s="117"/>
      <c r="X212" s="117"/>
      <c r="Y212" s="117"/>
      <c r="Z212" s="117"/>
      <c r="AA212" s="44"/>
      <c r="AB212" s="117"/>
      <c r="AC212" s="44"/>
      <c r="AD212" s="117"/>
    </row>
    <row r="213" spans="1:30" ht="14.25" customHeight="1">
      <c r="A213" s="189"/>
      <c r="B213" s="189"/>
      <c r="C213" s="44"/>
      <c r="D213" s="117"/>
      <c r="E213" s="44"/>
      <c r="F213" s="44"/>
      <c r="G213" s="117"/>
      <c r="H213" s="117"/>
      <c r="I213" s="117"/>
      <c r="J213" s="117"/>
      <c r="K213" s="117"/>
      <c r="L213" s="117"/>
      <c r="M213" s="117"/>
      <c r="N213" s="117"/>
      <c r="O213" s="117"/>
      <c r="P213" s="117"/>
      <c r="Q213" s="117"/>
      <c r="R213" s="117"/>
      <c r="S213" s="117"/>
      <c r="T213" s="117"/>
      <c r="U213" s="235"/>
      <c r="V213" s="117"/>
      <c r="W213" s="117"/>
      <c r="X213" s="117"/>
      <c r="Y213" s="117"/>
      <c r="Z213" s="117"/>
      <c r="AA213" s="44"/>
      <c r="AB213" s="117"/>
      <c r="AC213" s="44"/>
      <c r="AD213" s="117"/>
    </row>
    <row r="214" spans="1:30" ht="14.25" customHeight="1">
      <c r="A214" s="189"/>
      <c r="B214" s="189"/>
      <c r="C214" s="44"/>
      <c r="D214" s="117"/>
      <c r="E214" s="44"/>
      <c r="F214" s="44"/>
      <c r="G214" s="117"/>
      <c r="H214" s="117"/>
      <c r="I214" s="117"/>
      <c r="J214" s="117"/>
      <c r="K214" s="117"/>
      <c r="L214" s="117"/>
      <c r="M214" s="117"/>
      <c r="N214" s="117"/>
      <c r="O214" s="117"/>
      <c r="P214" s="117"/>
      <c r="Q214" s="117"/>
      <c r="R214" s="117"/>
      <c r="S214" s="117"/>
      <c r="T214" s="117"/>
      <c r="U214" s="235"/>
      <c r="V214" s="117"/>
      <c r="W214" s="117"/>
      <c r="X214" s="117"/>
      <c r="Y214" s="117"/>
      <c r="Z214" s="117"/>
      <c r="AA214" s="44"/>
      <c r="AB214" s="117"/>
      <c r="AC214" s="44"/>
      <c r="AD214" s="117"/>
    </row>
    <row r="215" spans="1:30" ht="14.25" customHeight="1">
      <c r="A215" s="189"/>
      <c r="B215" s="189"/>
      <c r="C215" s="44"/>
      <c r="D215" s="117"/>
      <c r="E215" s="44"/>
      <c r="F215" s="44"/>
      <c r="G215" s="117"/>
      <c r="H215" s="117"/>
      <c r="I215" s="117"/>
      <c r="J215" s="117"/>
      <c r="K215" s="117"/>
      <c r="L215" s="117"/>
      <c r="M215" s="117"/>
      <c r="N215" s="117"/>
      <c r="O215" s="117"/>
      <c r="P215" s="117"/>
      <c r="Q215" s="117"/>
      <c r="R215" s="117"/>
      <c r="S215" s="117"/>
      <c r="T215" s="117"/>
      <c r="U215" s="235"/>
      <c r="V215" s="117"/>
      <c r="W215" s="117"/>
      <c r="X215" s="117"/>
      <c r="Y215" s="117"/>
      <c r="Z215" s="117"/>
      <c r="AA215" s="44"/>
      <c r="AB215" s="117"/>
      <c r="AC215" s="44"/>
      <c r="AD215" s="117"/>
    </row>
    <row r="216" spans="1:30" ht="14.25" customHeight="1">
      <c r="A216" s="189"/>
      <c r="B216" s="189"/>
      <c r="C216" s="44"/>
      <c r="D216" s="117"/>
      <c r="E216" s="44"/>
      <c r="F216" s="44"/>
      <c r="G216" s="117"/>
      <c r="H216" s="117"/>
      <c r="I216" s="117"/>
      <c r="J216" s="117"/>
      <c r="K216" s="117"/>
      <c r="L216" s="117"/>
      <c r="M216" s="117"/>
      <c r="N216" s="117"/>
      <c r="O216" s="117"/>
      <c r="P216" s="117"/>
      <c r="Q216" s="117"/>
      <c r="R216" s="117"/>
      <c r="S216" s="117"/>
      <c r="T216" s="117"/>
      <c r="U216" s="235"/>
      <c r="V216" s="117"/>
      <c r="W216" s="117"/>
      <c r="X216" s="117"/>
      <c r="Y216" s="117"/>
      <c r="Z216" s="117"/>
      <c r="AA216" s="44"/>
      <c r="AB216" s="117"/>
      <c r="AC216" s="44"/>
      <c r="AD216" s="117"/>
    </row>
    <row r="217" spans="1:30" ht="14.25" customHeight="1">
      <c r="A217" s="189"/>
      <c r="B217" s="189"/>
      <c r="C217" s="44"/>
      <c r="D217" s="117"/>
      <c r="E217" s="44"/>
      <c r="F217" s="44"/>
      <c r="G217" s="117"/>
      <c r="H217" s="117"/>
      <c r="I217" s="117"/>
      <c r="J217" s="117"/>
      <c r="K217" s="117"/>
      <c r="L217" s="117"/>
      <c r="M217" s="117"/>
      <c r="N217" s="117"/>
      <c r="O217" s="117"/>
      <c r="P217" s="117"/>
      <c r="Q217" s="117"/>
      <c r="R217" s="117"/>
      <c r="S217" s="117"/>
      <c r="T217" s="117"/>
      <c r="U217" s="235"/>
      <c r="V217" s="117"/>
      <c r="W217" s="117"/>
      <c r="X217" s="117"/>
      <c r="Y217" s="117"/>
      <c r="Z217" s="117"/>
      <c r="AA217" s="44"/>
      <c r="AB217" s="117"/>
      <c r="AC217" s="44"/>
      <c r="AD217" s="117"/>
    </row>
    <row r="218" spans="1:30" ht="14.25" customHeight="1">
      <c r="A218" s="189"/>
      <c r="B218" s="189"/>
      <c r="C218" s="44"/>
      <c r="D218" s="117"/>
      <c r="E218" s="44"/>
      <c r="F218" s="44"/>
      <c r="G218" s="117"/>
      <c r="H218" s="117"/>
      <c r="I218" s="117"/>
      <c r="J218" s="117"/>
      <c r="K218" s="117"/>
      <c r="L218" s="117"/>
      <c r="M218" s="117"/>
      <c r="N218" s="117"/>
      <c r="O218" s="117"/>
      <c r="P218" s="117"/>
      <c r="Q218" s="117"/>
      <c r="R218" s="117"/>
      <c r="S218" s="117"/>
      <c r="T218" s="117"/>
      <c r="U218" s="235"/>
      <c r="V218" s="117"/>
      <c r="W218" s="117"/>
      <c r="X218" s="117"/>
      <c r="Y218" s="117"/>
      <c r="Z218" s="117"/>
      <c r="AA218" s="44"/>
      <c r="AB218" s="117"/>
      <c r="AC218" s="44"/>
      <c r="AD218" s="117"/>
    </row>
    <row r="219" spans="1:30" ht="14.25" customHeight="1">
      <c r="A219" s="189"/>
      <c r="B219" s="189"/>
      <c r="C219" s="44"/>
      <c r="D219" s="117"/>
      <c r="E219" s="44"/>
      <c r="F219" s="44"/>
      <c r="G219" s="117"/>
      <c r="H219" s="117"/>
      <c r="I219" s="117"/>
      <c r="J219" s="117"/>
      <c r="K219" s="117"/>
      <c r="L219" s="117"/>
      <c r="M219" s="117"/>
      <c r="N219" s="117"/>
      <c r="O219" s="117"/>
      <c r="P219" s="117"/>
      <c r="Q219" s="117"/>
      <c r="R219" s="117"/>
      <c r="S219" s="117"/>
      <c r="T219" s="117"/>
      <c r="U219" s="235"/>
      <c r="V219" s="117"/>
      <c r="W219" s="117"/>
      <c r="X219" s="117"/>
      <c r="Y219" s="117"/>
      <c r="Z219" s="117"/>
      <c r="AA219" s="44"/>
      <c r="AB219" s="117"/>
      <c r="AC219" s="44"/>
      <c r="AD219" s="117"/>
    </row>
    <row r="220" spans="1:30" ht="14.25" customHeight="1">
      <c r="A220" s="189"/>
      <c r="B220" s="189"/>
      <c r="C220" s="44"/>
      <c r="D220" s="117"/>
      <c r="E220" s="44"/>
      <c r="F220" s="44"/>
      <c r="G220" s="117"/>
      <c r="H220" s="117"/>
      <c r="I220" s="117"/>
      <c r="J220" s="117"/>
      <c r="K220" s="117"/>
      <c r="L220" s="117"/>
      <c r="M220" s="117"/>
      <c r="N220" s="117"/>
      <c r="O220" s="117"/>
      <c r="P220" s="117"/>
      <c r="Q220" s="117"/>
      <c r="R220" s="117"/>
      <c r="S220" s="117"/>
      <c r="T220" s="117"/>
      <c r="U220" s="235"/>
      <c r="V220" s="117"/>
      <c r="W220" s="117"/>
      <c r="X220" s="117"/>
      <c r="Y220" s="117"/>
      <c r="Z220" s="117"/>
      <c r="AA220" s="44"/>
      <c r="AB220" s="117"/>
      <c r="AC220" s="44"/>
      <c r="AD220" s="117"/>
    </row>
    <row r="221" spans="1:30" ht="14.25" customHeight="1">
      <c r="A221" s="189"/>
      <c r="B221" s="189"/>
      <c r="C221" s="44"/>
      <c r="D221" s="117"/>
      <c r="E221" s="44"/>
      <c r="F221" s="44"/>
      <c r="G221" s="117"/>
      <c r="H221" s="117"/>
      <c r="I221" s="117"/>
      <c r="J221" s="117"/>
      <c r="K221" s="117"/>
      <c r="L221" s="117"/>
      <c r="M221" s="117"/>
      <c r="N221" s="117"/>
      <c r="O221" s="117"/>
      <c r="P221" s="117"/>
      <c r="Q221" s="117"/>
      <c r="R221" s="117"/>
      <c r="S221" s="117"/>
      <c r="T221" s="117"/>
      <c r="U221" s="235"/>
      <c r="V221" s="117"/>
      <c r="W221" s="117"/>
      <c r="X221" s="117"/>
      <c r="Y221" s="117"/>
      <c r="Z221" s="117"/>
      <c r="AA221" s="44"/>
      <c r="AB221" s="117"/>
      <c r="AC221" s="44"/>
      <c r="AD221" s="117"/>
    </row>
    <row r="222" spans="1:30" ht="14.25" customHeight="1">
      <c r="A222" s="189"/>
      <c r="B222" s="189"/>
      <c r="C222" s="44"/>
      <c r="D222" s="117"/>
      <c r="E222" s="44"/>
      <c r="F222" s="44"/>
      <c r="G222" s="117"/>
      <c r="H222" s="117"/>
      <c r="I222" s="117"/>
      <c r="J222" s="117"/>
      <c r="K222" s="117"/>
      <c r="L222" s="117"/>
      <c r="M222" s="117"/>
      <c r="N222" s="117"/>
      <c r="O222" s="117"/>
      <c r="P222" s="117"/>
      <c r="Q222" s="117"/>
      <c r="R222" s="117"/>
      <c r="S222" s="117"/>
      <c r="T222" s="117"/>
      <c r="U222" s="235"/>
      <c r="V222" s="117"/>
      <c r="W222" s="117"/>
      <c r="X222" s="117"/>
      <c r="Y222" s="117"/>
      <c r="Z222" s="117"/>
      <c r="AA222" s="44"/>
      <c r="AB222" s="117"/>
      <c r="AC222" s="44"/>
      <c r="AD222" s="117"/>
    </row>
    <row r="223" spans="1:30" ht="14.25" customHeight="1">
      <c r="A223" s="189"/>
      <c r="B223" s="189"/>
      <c r="C223" s="44"/>
      <c r="D223" s="117"/>
      <c r="E223" s="44"/>
      <c r="F223" s="44"/>
      <c r="G223" s="117"/>
      <c r="H223" s="117"/>
      <c r="I223" s="117"/>
      <c r="J223" s="117"/>
      <c r="K223" s="117"/>
      <c r="L223" s="117"/>
      <c r="M223" s="117"/>
      <c r="N223" s="117"/>
      <c r="O223" s="117"/>
      <c r="P223" s="117"/>
      <c r="Q223" s="117"/>
      <c r="R223" s="117"/>
      <c r="S223" s="117"/>
      <c r="T223" s="117"/>
      <c r="U223" s="235"/>
      <c r="V223" s="117"/>
      <c r="W223" s="117"/>
      <c r="X223" s="117"/>
      <c r="Y223" s="117"/>
      <c r="Z223" s="117"/>
      <c r="AA223" s="44"/>
      <c r="AB223" s="117"/>
      <c r="AC223" s="44"/>
      <c r="AD223" s="117"/>
    </row>
    <row r="224" spans="1:30" ht="14.25" customHeight="1">
      <c r="A224" s="189"/>
      <c r="B224" s="189"/>
      <c r="C224" s="44"/>
      <c r="D224" s="117"/>
      <c r="E224" s="44"/>
      <c r="F224" s="44"/>
      <c r="G224" s="117"/>
      <c r="H224" s="117"/>
      <c r="I224" s="117"/>
      <c r="J224" s="117"/>
      <c r="K224" s="117"/>
      <c r="L224" s="117"/>
      <c r="M224" s="117"/>
      <c r="N224" s="117"/>
      <c r="O224" s="117"/>
      <c r="P224" s="117"/>
      <c r="Q224" s="117"/>
      <c r="R224" s="117"/>
      <c r="S224" s="117"/>
      <c r="T224" s="117"/>
      <c r="U224" s="235"/>
      <c r="V224" s="117"/>
      <c r="W224" s="117"/>
      <c r="X224" s="117"/>
      <c r="Y224" s="117"/>
      <c r="Z224" s="117"/>
      <c r="AA224" s="44"/>
      <c r="AB224" s="117"/>
      <c r="AC224" s="44"/>
      <c r="AD224" s="117"/>
    </row>
    <row r="225" spans="1:30" ht="14.25" customHeight="1">
      <c r="A225" s="189"/>
      <c r="B225" s="189"/>
      <c r="C225" s="44"/>
      <c r="D225" s="117"/>
      <c r="E225" s="44"/>
      <c r="F225" s="44"/>
      <c r="G225" s="117"/>
      <c r="H225" s="117"/>
      <c r="I225" s="117"/>
      <c r="J225" s="117"/>
      <c r="K225" s="117"/>
      <c r="L225" s="117"/>
      <c r="M225" s="117"/>
      <c r="N225" s="117"/>
      <c r="O225" s="117"/>
      <c r="P225" s="117"/>
      <c r="Q225" s="117"/>
      <c r="R225" s="117"/>
      <c r="S225" s="117"/>
      <c r="T225" s="117"/>
      <c r="U225" s="235"/>
      <c r="V225" s="117"/>
      <c r="W225" s="117"/>
      <c r="X225" s="117"/>
      <c r="Y225" s="117"/>
      <c r="Z225" s="117"/>
      <c r="AA225" s="44"/>
      <c r="AB225" s="117"/>
      <c r="AC225" s="44"/>
      <c r="AD225" s="117"/>
    </row>
    <row r="226" spans="1:30" ht="14.25" customHeight="1">
      <c r="A226" s="189"/>
      <c r="B226" s="189"/>
      <c r="C226" s="44"/>
      <c r="D226" s="117"/>
      <c r="E226" s="44"/>
      <c r="F226" s="44"/>
      <c r="G226" s="117"/>
      <c r="H226" s="117"/>
      <c r="I226" s="117"/>
      <c r="J226" s="117"/>
      <c r="K226" s="117"/>
      <c r="L226" s="117"/>
      <c r="M226" s="117"/>
      <c r="N226" s="117"/>
      <c r="O226" s="117"/>
      <c r="P226" s="117"/>
      <c r="Q226" s="117"/>
      <c r="R226" s="117"/>
      <c r="S226" s="117"/>
      <c r="T226" s="117"/>
      <c r="U226" s="235"/>
      <c r="V226" s="117"/>
      <c r="W226" s="117"/>
      <c r="X226" s="117"/>
      <c r="Y226" s="117"/>
      <c r="Z226" s="117"/>
      <c r="AA226" s="44"/>
      <c r="AB226" s="117"/>
      <c r="AC226" s="44"/>
      <c r="AD226" s="117"/>
    </row>
    <row r="227" spans="1:30" ht="14.25" customHeight="1">
      <c r="A227" s="189"/>
      <c r="B227" s="189"/>
      <c r="C227" s="44"/>
      <c r="D227" s="117"/>
      <c r="E227" s="44"/>
      <c r="F227" s="44"/>
      <c r="G227" s="117"/>
      <c r="H227" s="117"/>
      <c r="I227" s="117"/>
      <c r="J227" s="117"/>
      <c r="K227" s="117"/>
      <c r="L227" s="117"/>
      <c r="M227" s="117"/>
      <c r="N227" s="117"/>
      <c r="O227" s="117"/>
      <c r="P227" s="117"/>
      <c r="Q227" s="117"/>
      <c r="R227" s="117"/>
      <c r="S227" s="117"/>
      <c r="T227" s="117"/>
      <c r="U227" s="235"/>
      <c r="V227" s="117"/>
      <c r="W227" s="117"/>
      <c r="X227" s="117"/>
      <c r="Y227" s="117"/>
      <c r="Z227" s="117"/>
      <c r="AA227" s="44"/>
      <c r="AB227" s="117"/>
      <c r="AC227" s="44"/>
      <c r="AD227" s="117"/>
    </row>
    <row r="228" spans="1:30" ht="14.25" customHeight="1">
      <c r="A228" s="189"/>
      <c r="B228" s="189"/>
      <c r="C228" s="44"/>
      <c r="D228" s="117"/>
      <c r="E228" s="44"/>
      <c r="F228" s="44"/>
      <c r="G228" s="117"/>
      <c r="H228" s="117"/>
      <c r="I228" s="117"/>
      <c r="J228" s="117"/>
      <c r="K228" s="117"/>
      <c r="L228" s="117"/>
      <c r="M228" s="117"/>
      <c r="N228" s="117"/>
      <c r="O228" s="117"/>
      <c r="P228" s="117"/>
      <c r="Q228" s="117"/>
      <c r="R228" s="117"/>
      <c r="S228" s="117"/>
      <c r="T228" s="117"/>
      <c r="U228" s="235"/>
      <c r="V228" s="117"/>
      <c r="W228" s="117"/>
      <c r="X228" s="117"/>
      <c r="Y228" s="117"/>
      <c r="Z228" s="117"/>
      <c r="AA228" s="44"/>
      <c r="AB228" s="117"/>
      <c r="AC228" s="44"/>
      <c r="AD228" s="117"/>
    </row>
    <row r="229" spans="1:30" ht="14.25" customHeight="1">
      <c r="A229" s="189"/>
      <c r="B229" s="189"/>
      <c r="C229" s="44"/>
      <c r="D229" s="117"/>
      <c r="E229" s="44"/>
      <c r="F229" s="44"/>
      <c r="G229" s="117"/>
      <c r="H229" s="117"/>
      <c r="I229" s="117"/>
      <c r="J229" s="117"/>
      <c r="K229" s="117"/>
      <c r="L229" s="117"/>
      <c r="M229" s="117"/>
      <c r="N229" s="117"/>
      <c r="O229" s="117"/>
      <c r="P229" s="117"/>
      <c r="Q229" s="117"/>
      <c r="R229" s="117"/>
      <c r="S229" s="117"/>
      <c r="T229" s="117"/>
      <c r="U229" s="235"/>
      <c r="V229" s="117"/>
      <c r="W229" s="117"/>
      <c r="X229" s="117"/>
      <c r="Y229" s="117"/>
      <c r="Z229" s="117"/>
      <c r="AA229" s="44"/>
      <c r="AB229" s="117"/>
      <c r="AC229" s="44"/>
      <c r="AD229" s="117"/>
    </row>
    <row r="230" spans="1:30" ht="14.25" customHeight="1">
      <c r="A230" s="189"/>
      <c r="B230" s="189"/>
      <c r="C230" s="44"/>
      <c r="D230" s="117"/>
      <c r="E230" s="44"/>
      <c r="F230" s="44"/>
      <c r="G230" s="117"/>
      <c r="H230" s="117"/>
      <c r="I230" s="117"/>
      <c r="J230" s="117"/>
      <c r="K230" s="117"/>
      <c r="L230" s="117"/>
      <c r="M230" s="117"/>
      <c r="N230" s="117"/>
      <c r="O230" s="117"/>
      <c r="P230" s="117"/>
      <c r="Q230" s="117"/>
      <c r="R230" s="117"/>
      <c r="S230" s="117"/>
      <c r="T230" s="117"/>
      <c r="U230" s="235"/>
      <c r="V230" s="117"/>
      <c r="W230" s="117"/>
      <c r="X230" s="117"/>
      <c r="Y230" s="117"/>
      <c r="Z230" s="117"/>
      <c r="AA230" s="44"/>
      <c r="AB230" s="117"/>
      <c r="AC230" s="44"/>
      <c r="AD230" s="117"/>
    </row>
    <row r="231" spans="1:30" ht="14.25" customHeight="1">
      <c r="A231" s="189"/>
      <c r="B231" s="189"/>
      <c r="C231" s="44"/>
      <c r="D231" s="117"/>
      <c r="E231" s="44"/>
      <c r="F231" s="44"/>
      <c r="G231" s="117"/>
      <c r="H231" s="117"/>
      <c r="I231" s="117"/>
      <c r="J231" s="117"/>
      <c r="K231" s="117"/>
      <c r="L231" s="117"/>
      <c r="M231" s="117"/>
      <c r="N231" s="117"/>
      <c r="O231" s="117"/>
      <c r="P231" s="117"/>
      <c r="Q231" s="117"/>
      <c r="R231" s="117"/>
      <c r="S231" s="117"/>
      <c r="T231" s="117"/>
      <c r="U231" s="235"/>
      <c r="V231" s="117"/>
      <c r="W231" s="117"/>
      <c r="X231" s="117"/>
      <c r="Y231" s="117"/>
      <c r="Z231" s="117"/>
      <c r="AA231" s="44"/>
      <c r="AB231" s="117"/>
      <c r="AC231" s="44"/>
      <c r="AD231" s="117"/>
    </row>
    <row r="232" spans="1:30" ht="14.25" customHeight="1">
      <c r="A232" s="189"/>
      <c r="B232" s="189"/>
      <c r="C232" s="44"/>
      <c r="D232" s="117"/>
      <c r="E232" s="44"/>
      <c r="F232" s="44"/>
      <c r="G232" s="117"/>
      <c r="H232" s="117"/>
      <c r="I232" s="117"/>
      <c r="J232" s="117"/>
      <c r="K232" s="117"/>
      <c r="L232" s="117"/>
      <c r="M232" s="117"/>
      <c r="N232" s="117"/>
      <c r="O232" s="117"/>
      <c r="P232" s="117"/>
      <c r="Q232" s="117"/>
      <c r="R232" s="117"/>
      <c r="S232" s="117"/>
      <c r="T232" s="117"/>
      <c r="U232" s="235"/>
      <c r="V232" s="117"/>
      <c r="W232" s="117"/>
      <c r="X232" s="117"/>
      <c r="Y232" s="117"/>
      <c r="Z232" s="117"/>
      <c r="AA232" s="44"/>
      <c r="AB232" s="117"/>
      <c r="AC232" s="44"/>
      <c r="AD232" s="117"/>
    </row>
    <row r="233" spans="1:30" ht="14.25" customHeight="1">
      <c r="A233" s="189"/>
      <c r="B233" s="189"/>
      <c r="C233" s="44"/>
      <c r="D233" s="117"/>
      <c r="E233" s="44"/>
      <c r="F233" s="44"/>
      <c r="G233" s="117"/>
      <c r="H233" s="117"/>
      <c r="I233" s="117"/>
      <c r="J233" s="117"/>
      <c r="K233" s="117"/>
      <c r="L233" s="117"/>
      <c r="M233" s="117"/>
      <c r="N233" s="117"/>
      <c r="O233" s="117"/>
      <c r="P233" s="117"/>
      <c r="Q233" s="117"/>
      <c r="R233" s="117"/>
      <c r="S233" s="117"/>
      <c r="T233" s="117"/>
      <c r="U233" s="235"/>
      <c r="V233" s="117"/>
      <c r="W233" s="117"/>
      <c r="X233" s="117"/>
      <c r="Y233" s="117"/>
      <c r="Z233" s="117"/>
      <c r="AA233" s="44"/>
      <c r="AB233" s="117"/>
      <c r="AC233" s="44"/>
      <c r="AD233" s="117"/>
    </row>
    <row r="234" spans="1:30" ht="14.25" customHeight="1">
      <c r="A234" s="189"/>
      <c r="B234" s="189"/>
      <c r="C234" s="44"/>
      <c r="D234" s="117"/>
      <c r="E234" s="44"/>
      <c r="F234" s="44"/>
      <c r="G234" s="117"/>
      <c r="H234" s="117"/>
      <c r="I234" s="117"/>
      <c r="J234" s="117"/>
      <c r="K234" s="117"/>
      <c r="L234" s="117"/>
      <c r="M234" s="117"/>
      <c r="N234" s="117"/>
      <c r="O234" s="117"/>
      <c r="P234" s="117"/>
      <c r="Q234" s="117"/>
      <c r="R234" s="117"/>
      <c r="S234" s="117"/>
      <c r="T234" s="117"/>
      <c r="U234" s="235"/>
      <c r="V234" s="117"/>
      <c r="W234" s="117"/>
      <c r="X234" s="117"/>
      <c r="Y234" s="117"/>
      <c r="Z234" s="117"/>
      <c r="AA234" s="44"/>
      <c r="AB234" s="117"/>
      <c r="AC234" s="44"/>
      <c r="AD234" s="117"/>
    </row>
    <row r="235" spans="1:30" ht="14.25" customHeight="1">
      <c r="A235" s="189"/>
      <c r="B235" s="189"/>
      <c r="C235" s="44"/>
      <c r="D235" s="117"/>
      <c r="E235" s="44"/>
      <c r="F235" s="44"/>
      <c r="G235" s="117"/>
      <c r="H235" s="117"/>
      <c r="I235" s="117"/>
      <c r="J235" s="117"/>
      <c r="K235" s="117"/>
      <c r="L235" s="117"/>
      <c r="M235" s="117"/>
      <c r="N235" s="117"/>
      <c r="O235" s="117"/>
      <c r="P235" s="117"/>
      <c r="Q235" s="117"/>
      <c r="R235" s="117"/>
      <c r="S235" s="117"/>
      <c r="T235" s="117"/>
      <c r="U235" s="235"/>
      <c r="V235" s="117"/>
      <c r="W235" s="117"/>
      <c r="X235" s="117"/>
      <c r="Y235" s="117"/>
      <c r="Z235" s="117"/>
      <c r="AA235" s="44"/>
      <c r="AB235" s="117"/>
      <c r="AC235" s="44"/>
      <c r="AD235" s="117"/>
    </row>
    <row r="236" spans="1:30" ht="14.25" customHeight="1">
      <c r="A236" s="189"/>
      <c r="B236" s="189"/>
      <c r="C236" s="44"/>
      <c r="D236" s="117"/>
      <c r="E236" s="44"/>
      <c r="F236" s="44"/>
      <c r="G236" s="117"/>
      <c r="H236" s="117"/>
      <c r="I236" s="117"/>
      <c r="J236" s="117"/>
      <c r="K236" s="117"/>
      <c r="L236" s="117"/>
      <c r="M236" s="117"/>
      <c r="N236" s="117"/>
      <c r="O236" s="117"/>
      <c r="P236" s="117"/>
      <c r="Q236" s="117"/>
      <c r="R236" s="117"/>
      <c r="S236" s="117"/>
      <c r="T236" s="117"/>
      <c r="U236" s="235"/>
      <c r="V236" s="117"/>
      <c r="W236" s="117"/>
      <c r="X236" s="117"/>
      <c r="Y236" s="117"/>
      <c r="Z236" s="117"/>
      <c r="AA236" s="44"/>
      <c r="AB236" s="117"/>
      <c r="AC236" s="44"/>
      <c r="AD236" s="117"/>
    </row>
    <row r="237" spans="1:30" ht="14.25" customHeight="1">
      <c r="A237" s="189"/>
      <c r="B237" s="189"/>
      <c r="C237" s="44"/>
      <c r="D237" s="117"/>
      <c r="E237" s="44"/>
      <c r="F237" s="44"/>
      <c r="G237" s="117"/>
      <c r="H237" s="117"/>
      <c r="I237" s="117"/>
      <c r="J237" s="117"/>
      <c r="K237" s="117"/>
      <c r="L237" s="117"/>
      <c r="M237" s="117"/>
      <c r="N237" s="117"/>
      <c r="O237" s="117"/>
      <c r="P237" s="117"/>
      <c r="Q237" s="117"/>
      <c r="R237" s="117"/>
      <c r="S237" s="117"/>
      <c r="T237" s="117"/>
      <c r="U237" s="235"/>
      <c r="V237" s="117"/>
      <c r="W237" s="117"/>
      <c r="X237" s="117"/>
      <c r="Y237" s="117"/>
      <c r="Z237" s="117"/>
      <c r="AA237" s="44"/>
      <c r="AB237" s="117"/>
      <c r="AC237" s="44"/>
      <c r="AD237" s="117"/>
    </row>
    <row r="238" spans="1:30" ht="14.25" customHeight="1">
      <c r="A238" s="189"/>
      <c r="B238" s="189"/>
      <c r="C238" s="44"/>
      <c r="D238" s="117"/>
      <c r="E238" s="44"/>
      <c r="F238" s="44"/>
      <c r="G238" s="117"/>
      <c r="H238" s="117"/>
      <c r="I238" s="117"/>
      <c r="J238" s="117"/>
      <c r="K238" s="117"/>
      <c r="L238" s="117"/>
      <c r="M238" s="117"/>
      <c r="N238" s="117"/>
      <c r="O238" s="117"/>
      <c r="P238" s="117"/>
      <c r="Q238" s="117"/>
      <c r="R238" s="117"/>
      <c r="S238" s="117"/>
      <c r="T238" s="117"/>
      <c r="U238" s="235"/>
      <c r="V238" s="117"/>
      <c r="W238" s="117"/>
      <c r="X238" s="117"/>
      <c r="Y238" s="117"/>
      <c r="Z238" s="117"/>
      <c r="AA238" s="44"/>
      <c r="AB238" s="117"/>
      <c r="AC238" s="44"/>
      <c r="AD238" s="117"/>
    </row>
    <row r="239" spans="1:30" ht="14.25" customHeight="1">
      <c r="A239" s="189"/>
      <c r="B239" s="189"/>
      <c r="C239" s="44"/>
      <c r="D239" s="117"/>
      <c r="E239" s="44"/>
      <c r="F239" s="44"/>
      <c r="G239" s="117"/>
      <c r="H239" s="117"/>
      <c r="I239" s="117"/>
      <c r="J239" s="117"/>
      <c r="K239" s="117"/>
      <c r="L239" s="117"/>
      <c r="M239" s="117"/>
      <c r="N239" s="117"/>
      <c r="O239" s="117"/>
      <c r="P239" s="117"/>
      <c r="Q239" s="117"/>
      <c r="R239" s="117"/>
      <c r="S239" s="117"/>
      <c r="T239" s="117"/>
      <c r="U239" s="235"/>
      <c r="V239" s="117"/>
      <c r="W239" s="117"/>
      <c r="X239" s="117"/>
      <c r="Y239" s="117"/>
      <c r="Z239" s="117"/>
      <c r="AA239" s="44"/>
      <c r="AB239" s="117"/>
      <c r="AC239" s="44"/>
      <c r="AD239" s="117"/>
    </row>
    <row r="240" spans="1:30" ht="14.25" customHeight="1">
      <c r="A240" s="189"/>
      <c r="B240" s="189"/>
      <c r="C240" s="44"/>
      <c r="D240" s="117"/>
      <c r="E240" s="44"/>
      <c r="F240" s="44"/>
      <c r="G240" s="117"/>
      <c r="H240" s="117"/>
      <c r="I240" s="117"/>
      <c r="J240" s="117"/>
      <c r="K240" s="117"/>
      <c r="L240" s="117"/>
      <c r="M240" s="117"/>
      <c r="N240" s="117"/>
      <c r="O240" s="117"/>
      <c r="P240" s="117"/>
      <c r="Q240" s="117"/>
      <c r="R240" s="117"/>
      <c r="S240" s="117"/>
      <c r="T240" s="117"/>
      <c r="U240" s="235"/>
      <c r="V240" s="117"/>
      <c r="W240" s="117"/>
      <c r="X240" s="117"/>
      <c r="Y240" s="117"/>
      <c r="Z240" s="117"/>
      <c r="AA240" s="44"/>
      <c r="AB240" s="117"/>
      <c r="AC240" s="44"/>
      <c r="AD240" s="117"/>
    </row>
    <row r="241" spans="1:30" ht="14.25" customHeight="1">
      <c r="A241" s="189"/>
      <c r="B241" s="189"/>
      <c r="C241" s="44"/>
      <c r="D241" s="117"/>
      <c r="E241" s="44"/>
      <c r="F241" s="44"/>
      <c r="G241" s="117"/>
      <c r="H241" s="117"/>
      <c r="I241" s="117"/>
      <c r="J241" s="117"/>
      <c r="K241" s="117"/>
      <c r="L241" s="117"/>
      <c r="M241" s="117"/>
      <c r="N241" s="117"/>
      <c r="O241" s="117"/>
      <c r="P241" s="117"/>
      <c r="Q241" s="117"/>
      <c r="R241" s="117"/>
      <c r="S241" s="117"/>
      <c r="T241" s="117"/>
      <c r="U241" s="235"/>
      <c r="V241" s="117"/>
      <c r="W241" s="117"/>
      <c r="X241" s="117"/>
      <c r="Y241" s="117"/>
      <c r="Z241" s="117"/>
      <c r="AA241" s="44"/>
      <c r="AB241" s="117"/>
      <c r="AC241" s="44"/>
      <c r="AD241" s="117"/>
    </row>
    <row r="242" spans="1:30" ht="14.25" customHeight="1">
      <c r="A242" s="189"/>
      <c r="B242" s="189"/>
      <c r="C242" s="44"/>
      <c r="D242" s="117"/>
      <c r="E242" s="44"/>
      <c r="F242" s="44"/>
      <c r="G242" s="117"/>
      <c r="H242" s="117"/>
      <c r="I242" s="117"/>
      <c r="J242" s="117"/>
      <c r="K242" s="117"/>
      <c r="L242" s="117"/>
      <c r="M242" s="117"/>
      <c r="N242" s="117"/>
      <c r="O242" s="117"/>
      <c r="P242" s="117"/>
      <c r="Q242" s="117"/>
      <c r="R242" s="117"/>
      <c r="S242" s="117"/>
      <c r="T242" s="117"/>
      <c r="U242" s="235"/>
      <c r="V242" s="117"/>
      <c r="W242" s="117"/>
      <c r="X242" s="117"/>
      <c r="Y242" s="117"/>
      <c r="Z242" s="117"/>
      <c r="AA242" s="44"/>
      <c r="AB242" s="117"/>
      <c r="AC242" s="44"/>
      <c r="AD242" s="117"/>
    </row>
    <row r="243" spans="1:30" ht="14.25" customHeight="1">
      <c r="A243" s="189"/>
      <c r="B243" s="189"/>
      <c r="C243" s="44"/>
      <c r="D243" s="117"/>
      <c r="E243" s="44"/>
      <c r="F243" s="44"/>
      <c r="G243" s="117"/>
      <c r="H243" s="117"/>
      <c r="I243" s="117"/>
      <c r="J243" s="117"/>
      <c r="K243" s="117"/>
      <c r="L243" s="117"/>
      <c r="M243" s="117"/>
      <c r="N243" s="117"/>
      <c r="O243" s="117"/>
      <c r="P243" s="117"/>
      <c r="Q243" s="117"/>
      <c r="R243" s="117"/>
      <c r="S243" s="117"/>
      <c r="T243" s="117"/>
      <c r="U243" s="235"/>
      <c r="V243" s="117"/>
      <c r="W243" s="117"/>
      <c r="X243" s="117"/>
      <c r="Y243" s="117"/>
      <c r="Z243" s="117"/>
      <c r="AA243" s="44"/>
      <c r="AB243" s="117"/>
      <c r="AC243" s="44"/>
      <c r="AD243" s="117"/>
    </row>
    <row r="244" spans="1:30" ht="14.25" customHeight="1">
      <c r="A244" s="189"/>
      <c r="B244" s="189"/>
      <c r="C244" s="44"/>
      <c r="D244" s="117"/>
      <c r="E244" s="44"/>
      <c r="F244" s="44"/>
      <c r="G244" s="117"/>
      <c r="H244" s="117"/>
      <c r="I244" s="117"/>
      <c r="J244" s="117"/>
      <c r="K244" s="117"/>
      <c r="L244" s="117"/>
      <c r="M244" s="117"/>
      <c r="N244" s="117"/>
      <c r="O244" s="117"/>
      <c r="P244" s="117"/>
      <c r="Q244" s="117"/>
      <c r="R244" s="117"/>
      <c r="S244" s="117"/>
      <c r="T244" s="117"/>
      <c r="U244" s="235"/>
      <c r="V244" s="117"/>
      <c r="W244" s="117"/>
      <c r="X244" s="117"/>
      <c r="Y244" s="117"/>
      <c r="Z244" s="117"/>
      <c r="AA244" s="44"/>
      <c r="AB244" s="117"/>
      <c r="AC244" s="44"/>
      <c r="AD244" s="117"/>
    </row>
    <row r="245" spans="1:30" ht="14.25" customHeight="1">
      <c r="A245" s="189"/>
      <c r="B245" s="189"/>
      <c r="C245" s="44"/>
      <c r="D245" s="117"/>
      <c r="E245" s="44"/>
      <c r="F245" s="44"/>
      <c r="G245" s="117"/>
      <c r="H245" s="117"/>
      <c r="I245" s="117"/>
      <c r="J245" s="117"/>
      <c r="K245" s="117"/>
      <c r="L245" s="117"/>
      <c r="M245" s="117"/>
      <c r="N245" s="117"/>
      <c r="O245" s="117"/>
      <c r="P245" s="117"/>
      <c r="Q245" s="117"/>
      <c r="R245" s="117"/>
      <c r="S245" s="117"/>
      <c r="T245" s="117"/>
      <c r="U245" s="235"/>
      <c r="V245" s="117"/>
      <c r="W245" s="117"/>
      <c r="X245" s="117"/>
      <c r="Y245" s="117"/>
      <c r="Z245" s="117"/>
      <c r="AA245" s="44"/>
      <c r="AB245" s="117"/>
      <c r="AC245" s="44"/>
      <c r="AD245" s="117"/>
    </row>
    <row r="246" spans="1:30" ht="14.25" customHeight="1">
      <c r="A246" s="189"/>
      <c r="B246" s="189"/>
      <c r="C246" s="44"/>
      <c r="D246" s="117"/>
      <c r="E246" s="44"/>
      <c r="F246" s="44"/>
      <c r="G246" s="117"/>
      <c r="H246" s="117"/>
      <c r="I246" s="117"/>
      <c r="J246" s="117"/>
      <c r="K246" s="117"/>
      <c r="L246" s="117"/>
      <c r="M246" s="117"/>
      <c r="N246" s="117"/>
      <c r="O246" s="117"/>
      <c r="P246" s="117"/>
      <c r="Q246" s="117"/>
      <c r="R246" s="117"/>
      <c r="S246" s="117"/>
      <c r="T246" s="117"/>
      <c r="U246" s="235"/>
      <c r="V246" s="117"/>
      <c r="W246" s="117"/>
      <c r="X246" s="117"/>
      <c r="Y246" s="117"/>
      <c r="Z246" s="117"/>
      <c r="AA246" s="44"/>
      <c r="AB246" s="117"/>
      <c r="AC246" s="44"/>
      <c r="AD246" s="117"/>
    </row>
    <row r="247" spans="1:30" ht="14.25" customHeight="1">
      <c r="A247" s="189"/>
      <c r="B247" s="189"/>
      <c r="C247" s="44"/>
      <c r="D247" s="117"/>
      <c r="E247" s="44"/>
      <c r="F247" s="44"/>
      <c r="G247" s="117"/>
      <c r="H247" s="117"/>
      <c r="I247" s="117"/>
      <c r="J247" s="117"/>
      <c r="K247" s="117"/>
      <c r="L247" s="117"/>
      <c r="M247" s="117"/>
      <c r="N247" s="117"/>
      <c r="O247" s="117"/>
      <c r="P247" s="117"/>
      <c r="Q247" s="117"/>
      <c r="R247" s="117"/>
      <c r="S247" s="117"/>
      <c r="T247" s="117"/>
      <c r="U247" s="235"/>
      <c r="V247" s="117"/>
      <c r="W247" s="117"/>
      <c r="X247" s="117"/>
      <c r="Y247" s="117"/>
      <c r="Z247" s="117"/>
      <c r="AA247" s="44"/>
      <c r="AB247" s="117"/>
      <c r="AC247" s="44"/>
      <c r="AD247" s="117"/>
    </row>
    <row r="248" spans="1:30" ht="14.25" customHeight="1">
      <c r="A248" s="189"/>
      <c r="B248" s="189"/>
      <c r="C248" s="44"/>
      <c r="D248" s="117"/>
      <c r="E248" s="44"/>
      <c r="F248" s="44"/>
      <c r="G248" s="117"/>
      <c r="H248" s="117"/>
      <c r="I248" s="117"/>
      <c r="J248" s="117"/>
      <c r="K248" s="117"/>
      <c r="L248" s="117"/>
      <c r="M248" s="117"/>
      <c r="N248" s="117"/>
      <c r="O248" s="117"/>
      <c r="P248" s="117"/>
      <c r="Q248" s="117"/>
      <c r="R248" s="117"/>
      <c r="S248" s="117"/>
      <c r="T248" s="117"/>
      <c r="U248" s="235"/>
      <c r="V248" s="117"/>
      <c r="W248" s="117"/>
      <c r="X248" s="117"/>
      <c r="Y248" s="117"/>
      <c r="Z248" s="117"/>
      <c r="AA248" s="44"/>
      <c r="AB248" s="117"/>
      <c r="AC248" s="44"/>
      <c r="AD248" s="117"/>
    </row>
    <row r="249" spans="1:30" ht="14.25" customHeight="1">
      <c r="A249" s="189"/>
      <c r="B249" s="189"/>
      <c r="C249" s="44"/>
      <c r="D249" s="117"/>
      <c r="E249" s="44"/>
      <c r="F249" s="44"/>
      <c r="G249" s="117"/>
      <c r="H249" s="117"/>
      <c r="I249" s="117"/>
      <c r="J249" s="117"/>
      <c r="K249" s="117"/>
      <c r="L249" s="117"/>
      <c r="M249" s="117"/>
      <c r="N249" s="117"/>
      <c r="O249" s="117"/>
      <c r="P249" s="117"/>
      <c r="Q249" s="117"/>
      <c r="R249" s="117"/>
      <c r="S249" s="117"/>
      <c r="T249" s="117"/>
      <c r="U249" s="235"/>
      <c r="V249" s="117"/>
      <c r="W249" s="117"/>
      <c r="X249" s="117"/>
      <c r="Y249" s="117"/>
      <c r="Z249" s="117"/>
      <c r="AA249" s="44"/>
      <c r="AB249" s="117"/>
      <c r="AC249" s="44"/>
      <c r="AD249" s="117"/>
    </row>
    <row r="250" spans="1:30" ht="14.25" customHeight="1">
      <c r="A250" s="189"/>
      <c r="B250" s="189"/>
      <c r="C250" s="44"/>
      <c r="D250" s="117"/>
      <c r="E250" s="44"/>
      <c r="F250" s="44"/>
      <c r="G250" s="117"/>
      <c r="H250" s="117"/>
      <c r="I250" s="117"/>
      <c r="J250" s="117"/>
      <c r="K250" s="117"/>
      <c r="L250" s="117"/>
      <c r="M250" s="117"/>
      <c r="N250" s="117"/>
      <c r="O250" s="117"/>
      <c r="P250" s="117"/>
      <c r="Q250" s="117"/>
      <c r="R250" s="117"/>
      <c r="S250" s="117"/>
      <c r="T250" s="117"/>
      <c r="U250" s="235"/>
      <c r="V250" s="117"/>
      <c r="W250" s="117"/>
      <c r="X250" s="117"/>
      <c r="Y250" s="117"/>
      <c r="Z250" s="117"/>
      <c r="AA250" s="44"/>
      <c r="AB250" s="117"/>
      <c r="AC250" s="44"/>
      <c r="AD250" s="117"/>
    </row>
    <row r="251" spans="1:30" ht="14.25" customHeight="1">
      <c r="A251" s="189"/>
      <c r="B251" s="189"/>
      <c r="C251" s="44"/>
      <c r="D251" s="117"/>
      <c r="E251" s="44"/>
      <c r="F251" s="44"/>
      <c r="G251" s="117"/>
      <c r="H251" s="117"/>
      <c r="I251" s="117"/>
      <c r="J251" s="117"/>
      <c r="K251" s="117"/>
      <c r="L251" s="117"/>
      <c r="M251" s="117"/>
      <c r="N251" s="117"/>
      <c r="O251" s="117"/>
      <c r="P251" s="117"/>
      <c r="Q251" s="117"/>
      <c r="R251" s="117"/>
      <c r="S251" s="117"/>
      <c r="T251" s="117"/>
      <c r="U251" s="235"/>
      <c r="V251" s="117"/>
      <c r="W251" s="117"/>
      <c r="X251" s="117"/>
      <c r="Y251" s="117"/>
      <c r="Z251" s="117"/>
      <c r="AA251" s="44"/>
      <c r="AB251" s="117"/>
      <c r="AC251" s="44"/>
      <c r="AD251" s="117"/>
    </row>
    <row r="252" spans="1:30" ht="14.25" customHeight="1">
      <c r="A252" s="189"/>
      <c r="B252" s="189"/>
      <c r="C252" s="44"/>
      <c r="D252" s="117"/>
      <c r="E252" s="44"/>
      <c r="F252" s="44"/>
      <c r="G252" s="117"/>
      <c r="H252" s="117"/>
      <c r="I252" s="117"/>
      <c r="J252" s="117"/>
      <c r="K252" s="117"/>
      <c r="L252" s="117"/>
      <c r="M252" s="117"/>
      <c r="N252" s="117"/>
      <c r="O252" s="117"/>
      <c r="P252" s="117"/>
      <c r="Q252" s="117"/>
      <c r="R252" s="117"/>
      <c r="S252" s="117"/>
      <c r="T252" s="117"/>
      <c r="U252" s="235"/>
      <c r="V252" s="117"/>
      <c r="W252" s="117"/>
      <c r="X252" s="117"/>
      <c r="Y252" s="117"/>
      <c r="Z252" s="117"/>
      <c r="AA252" s="44"/>
      <c r="AB252" s="117"/>
      <c r="AC252" s="44"/>
      <c r="AD252" s="117"/>
    </row>
    <row r="253" spans="1:30" ht="14.25" customHeight="1">
      <c r="A253" s="189"/>
      <c r="B253" s="189"/>
      <c r="C253" s="44"/>
      <c r="D253" s="117"/>
      <c r="E253" s="44"/>
      <c r="F253" s="44"/>
      <c r="G253" s="117"/>
      <c r="H253" s="117"/>
      <c r="I253" s="117"/>
      <c r="J253" s="117"/>
      <c r="K253" s="117"/>
      <c r="L253" s="117"/>
      <c r="M253" s="117"/>
      <c r="N253" s="117"/>
      <c r="O253" s="117"/>
      <c r="P253" s="117"/>
      <c r="Q253" s="117"/>
      <c r="R253" s="117"/>
      <c r="S253" s="117"/>
      <c r="T253" s="117"/>
      <c r="U253" s="235"/>
      <c r="V253" s="117"/>
      <c r="W253" s="117"/>
      <c r="X253" s="117"/>
      <c r="Y253" s="117"/>
      <c r="Z253" s="117"/>
      <c r="AA253" s="44"/>
      <c r="AB253" s="117"/>
      <c r="AC253" s="44"/>
      <c r="AD253" s="117"/>
    </row>
    <row r="254" spans="1:30" ht="14.25" customHeight="1">
      <c r="A254" s="189"/>
      <c r="B254" s="189"/>
      <c r="C254" s="44"/>
      <c r="D254" s="117"/>
      <c r="E254" s="44"/>
      <c r="F254" s="44"/>
      <c r="G254" s="117"/>
      <c r="H254" s="117"/>
      <c r="I254" s="117"/>
      <c r="J254" s="117"/>
      <c r="K254" s="117"/>
      <c r="L254" s="117"/>
      <c r="M254" s="117"/>
      <c r="N254" s="117"/>
      <c r="O254" s="117"/>
      <c r="P254" s="117"/>
      <c r="Q254" s="117"/>
      <c r="R254" s="117"/>
      <c r="S254" s="117"/>
      <c r="T254" s="117"/>
      <c r="U254" s="235"/>
      <c r="V254" s="117"/>
      <c r="W254" s="117"/>
      <c r="X254" s="117"/>
      <c r="Y254" s="117"/>
      <c r="Z254" s="117"/>
      <c r="AA254" s="44"/>
      <c r="AB254" s="117"/>
      <c r="AC254" s="44"/>
      <c r="AD254" s="117"/>
    </row>
    <row r="255" spans="1:30" ht="14.25" customHeight="1">
      <c r="A255" s="189"/>
      <c r="B255" s="189"/>
      <c r="C255" s="44"/>
      <c r="D255" s="117"/>
      <c r="E255" s="44"/>
      <c r="F255" s="44"/>
      <c r="G255" s="117"/>
      <c r="H255" s="117"/>
      <c r="I255" s="117"/>
      <c r="J255" s="117"/>
      <c r="K255" s="117"/>
      <c r="L255" s="117"/>
      <c r="M255" s="117"/>
      <c r="N255" s="117"/>
      <c r="O255" s="117"/>
      <c r="P255" s="117"/>
      <c r="Q255" s="117"/>
      <c r="R255" s="117"/>
      <c r="S255" s="117"/>
      <c r="T255" s="117"/>
      <c r="U255" s="235"/>
      <c r="V255" s="117"/>
      <c r="W255" s="117"/>
      <c r="X255" s="117"/>
      <c r="Y255" s="117"/>
      <c r="Z255" s="117"/>
      <c r="AA255" s="44"/>
      <c r="AB255" s="117"/>
      <c r="AC255" s="44"/>
      <c r="AD255" s="117"/>
    </row>
    <row r="256" spans="1:30" ht="14.25" customHeight="1">
      <c r="A256" s="189"/>
      <c r="B256" s="189"/>
      <c r="C256" s="44"/>
      <c r="D256" s="117"/>
      <c r="E256" s="44"/>
      <c r="F256" s="44"/>
      <c r="G256" s="117"/>
      <c r="H256" s="117"/>
      <c r="I256" s="117"/>
      <c r="J256" s="117"/>
      <c r="K256" s="117"/>
      <c r="L256" s="117"/>
      <c r="M256" s="117"/>
      <c r="N256" s="117"/>
      <c r="O256" s="117"/>
      <c r="P256" s="117"/>
      <c r="Q256" s="117"/>
      <c r="R256" s="117"/>
      <c r="S256" s="117"/>
      <c r="T256" s="117"/>
      <c r="U256" s="235"/>
      <c r="V256" s="117"/>
      <c r="W256" s="117"/>
      <c r="X256" s="117"/>
      <c r="Y256" s="117"/>
      <c r="Z256" s="117"/>
      <c r="AA256" s="44"/>
      <c r="AB256" s="117"/>
      <c r="AC256" s="44"/>
      <c r="AD256" s="117"/>
    </row>
    <row r="257" spans="1:30" ht="14.25" customHeight="1">
      <c r="A257" s="189"/>
      <c r="B257" s="189"/>
      <c r="C257" s="44"/>
      <c r="D257" s="117"/>
      <c r="E257" s="44"/>
      <c r="F257" s="44"/>
      <c r="G257" s="117"/>
      <c r="H257" s="117"/>
      <c r="I257" s="117"/>
      <c r="J257" s="117"/>
      <c r="K257" s="117"/>
      <c r="L257" s="117"/>
      <c r="M257" s="117"/>
      <c r="N257" s="117"/>
      <c r="O257" s="117"/>
      <c r="P257" s="117"/>
      <c r="Q257" s="117"/>
      <c r="R257" s="117"/>
      <c r="S257" s="117"/>
      <c r="T257" s="117"/>
      <c r="U257" s="235"/>
      <c r="V257" s="117"/>
      <c r="W257" s="117"/>
      <c r="X257" s="117"/>
      <c r="Y257" s="117"/>
      <c r="Z257" s="117"/>
      <c r="AA257" s="44"/>
      <c r="AB257" s="117"/>
      <c r="AC257" s="44"/>
      <c r="AD257" s="117"/>
    </row>
    <row r="258" spans="1:30" ht="14.25" customHeight="1">
      <c r="A258" s="189"/>
      <c r="B258" s="189"/>
      <c r="C258" s="44"/>
      <c r="D258" s="117"/>
      <c r="E258" s="44"/>
      <c r="F258" s="44"/>
      <c r="G258" s="117"/>
      <c r="H258" s="117"/>
      <c r="I258" s="117"/>
      <c r="J258" s="117"/>
      <c r="K258" s="117"/>
      <c r="L258" s="117"/>
      <c r="M258" s="117"/>
      <c r="N258" s="117"/>
      <c r="O258" s="117"/>
      <c r="P258" s="117"/>
      <c r="Q258" s="117"/>
      <c r="R258" s="117"/>
      <c r="S258" s="117"/>
      <c r="T258" s="117"/>
      <c r="U258" s="235"/>
      <c r="V258" s="117"/>
      <c r="W258" s="117"/>
      <c r="X258" s="117"/>
      <c r="Y258" s="117"/>
      <c r="Z258" s="117"/>
      <c r="AA258" s="44"/>
      <c r="AB258" s="117"/>
      <c r="AC258" s="44"/>
      <c r="AD258" s="117"/>
    </row>
    <row r="259" spans="1:30" ht="14.25" customHeight="1">
      <c r="A259" s="189"/>
      <c r="B259" s="189"/>
      <c r="C259" s="44"/>
      <c r="D259" s="117"/>
      <c r="E259" s="44"/>
      <c r="F259" s="44"/>
      <c r="G259" s="117"/>
      <c r="H259" s="117"/>
      <c r="I259" s="117"/>
      <c r="J259" s="117"/>
      <c r="K259" s="117"/>
      <c r="L259" s="117"/>
      <c r="M259" s="117"/>
      <c r="N259" s="117"/>
      <c r="O259" s="117"/>
      <c r="P259" s="117"/>
      <c r="Q259" s="117"/>
      <c r="R259" s="117"/>
      <c r="S259" s="117"/>
      <c r="T259" s="117"/>
      <c r="U259" s="235"/>
      <c r="V259" s="117"/>
      <c r="W259" s="117"/>
      <c r="X259" s="117"/>
      <c r="Y259" s="117"/>
      <c r="Z259" s="117"/>
      <c r="AA259" s="44"/>
      <c r="AB259" s="117"/>
      <c r="AC259" s="44"/>
      <c r="AD259" s="117"/>
    </row>
    <row r="260" spans="1:30" ht="14.25" customHeight="1">
      <c r="A260" s="189"/>
      <c r="B260" s="189"/>
      <c r="C260" s="44"/>
      <c r="D260" s="117"/>
      <c r="E260" s="44"/>
      <c r="F260" s="44"/>
      <c r="G260" s="117"/>
      <c r="H260" s="117"/>
      <c r="I260" s="117"/>
      <c r="J260" s="117"/>
      <c r="K260" s="117"/>
      <c r="L260" s="117"/>
      <c r="M260" s="117"/>
      <c r="N260" s="117"/>
      <c r="O260" s="117"/>
      <c r="P260" s="117"/>
      <c r="Q260" s="117"/>
      <c r="R260" s="117"/>
      <c r="S260" s="117"/>
      <c r="T260" s="117"/>
      <c r="U260" s="235"/>
      <c r="V260" s="117"/>
      <c r="W260" s="117"/>
      <c r="X260" s="117"/>
      <c r="Y260" s="117"/>
      <c r="Z260" s="117"/>
      <c r="AA260" s="44"/>
      <c r="AB260" s="117"/>
      <c r="AC260" s="44"/>
      <c r="AD260" s="117"/>
    </row>
    <row r="261" spans="1:30" ht="14.25" customHeight="1">
      <c r="A261" s="189"/>
      <c r="B261" s="189"/>
      <c r="C261" s="44"/>
      <c r="D261" s="117"/>
      <c r="E261" s="44"/>
      <c r="F261" s="44"/>
      <c r="G261" s="117"/>
      <c r="H261" s="117"/>
      <c r="I261" s="117"/>
      <c r="J261" s="117"/>
      <c r="K261" s="117"/>
      <c r="L261" s="117"/>
      <c r="M261" s="117"/>
      <c r="N261" s="117"/>
      <c r="O261" s="117"/>
      <c r="P261" s="117"/>
      <c r="Q261" s="117"/>
      <c r="R261" s="117"/>
      <c r="S261" s="117"/>
      <c r="T261" s="117"/>
      <c r="U261" s="235"/>
      <c r="V261" s="117"/>
      <c r="W261" s="117"/>
      <c r="X261" s="117"/>
      <c r="Y261" s="117"/>
      <c r="Z261" s="117"/>
      <c r="AA261" s="44"/>
      <c r="AB261" s="117"/>
      <c r="AC261" s="44"/>
      <c r="AD261" s="117"/>
    </row>
    <row r="262" spans="1:30" ht="14.25" customHeight="1">
      <c r="A262" s="189"/>
      <c r="B262" s="189"/>
      <c r="C262" s="44"/>
      <c r="D262" s="117"/>
      <c r="E262" s="44"/>
      <c r="F262" s="44"/>
      <c r="G262" s="117"/>
      <c r="H262" s="117"/>
      <c r="I262" s="117"/>
      <c r="J262" s="117"/>
      <c r="K262" s="117"/>
      <c r="L262" s="117"/>
      <c r="M262" s="117"/>
      <c r="N262" s="117"/>
      <c r="O262" s="117"/>
      <c r="P262" s="117"/>
      <c r="Q262" s="117"/>
      <c r="R262" s="117"/>
      <c r="S262" s="117"/>
      <c r="T262" s="117"/>
      <c r="U262" s="235"/>
      <c r="V262" s="117"/>
      <c r="W262" s="117"/>
      <c r="X262" s="117"/>
      <c r="Y262" s="117"/>
      <c r="Z262" s="117"/>
      <c r="AA262" s="44"/>
      <c r="AB262" s="117"/>
      <c r="AC262" s="44"/>
      <c r="AD262" s="117"/>
    </row>
    <row r="263" spans="1:30" ht="14.25" customHeight="1">
      <c r="A263" s="189"/>
      <c r="B263" s="189"/>
      <c r="C263" s="44"/>
      <c r="D263" s="117"/>
      <c r="E263" s="44"/>
      <c r="F263" s="44"/>
      <c r="G263" s="117"/>
      <c r="H263" s="117"/>
      <c r="I263" s="117"/>
      <c r="J263" s="117"/>
      <c r="K263" s="117"/>
      <c r="L263" s="117"/>
      <c r="M263" s="117"/>
      <c r="N263" s="117"/>
      <c r="O263" s="117"/>
      <c r="P263" s="117"/>
      <c r="Q263" s="117"/>
      <c r="R263" s="117"/>
      <c r="S263" s="117"/>
      <c r="T263" s="117"/>
      <c r="U263" s="235"/>
      <c r="V263" s="117"/>
      <c r="W263" s="117"/>
      <c r="X263" s="117"/>
      <c r="Y263" s="117"/>
      <c r="Z263" s="117"/>
      <c r="AA263" s="44"/>
      <c r="AB263" s="117"/>
      <c r="AC263" s="44"/>
      <c r="AD263" s="117"/>
    </row>
    <row r="264" spans="1:30" ht="14.25" customHeight="1">
      <c r="A264" s="189"/>
      <c r="B264" s="189"/>
      <c r="C264" s="44"/>
      <c r="D264" s="117"/>
      <c r="E264" s="44"/>
      <c r="F264" s="44"/>
      <c r="G264" s="117"/>
      <c r="H264" s="117"/>
      <c r="I264" s="117"/>
      <c r="J264" s="117"/>
      <c r="K264" s="117"/>
      <c r="L264" s="117"/>
      <c r="M264" s="117"/>
      <c r="N264" s="117"/>
      <c r="O264" s="117"/>
      <c r="P264" s="117"/>
      <c r="Q264" s="117"/>
      <c r="R264" s="117"/>
      <c r="S264" s="117"/>
      <c r="T264" s="117"/>
      <c r="U264" s="235"/>
      <c r="V264" s="117"/>
      <c r="W264" s="117"/>
      <c r="X264" s="117"/>
      <c r="Y264" s="117"/>
      <c r="Z264" s="117"/>
      <c r="AA264" s="44"/>
      <c r="AB264" s="117"/>
      <c r="AC264" s="44"/>
      <c r="AD264" s="117"/>
    </row>
    <row r="265" spans="1:30" ht="14.25" customHeight="1">
      <c r="A265" s="189"/>
      <c r="B265" s="189"/>
      <c r="C265" s="44"/>
      <c r="D265" s="117"/>
      <c r="E265" s="44"/>
      <c r="F265" s="44"/>
      <c r="G265" s="117"/>
      <c r="H265" s="117"/>
      <c r="I265" s="117"/>
      <c r="J265" s="117"/>
      <c r="K265" s="117"/>
      <c r="L265" s="117"/>
      <c r="M265" s="117"/>
      <c r="N265" s="117"/>
      <c r="O265" s="117"/>
      <c r="P265" s="117"/>
      <c r="Q265" s="117"/>
      <c r="R265" s="117"/>
      <c r="S265" s="117"/>
      <c r="T265" s="117"/>
      <c r="U265" s="235"/>
      <c r="V265" s="117"/>
      <c r="W265" s="117"/>
      <c r="X265" s="117"/>
      <c r="Y265" s="117"/>
      <c r="Z265" s="117"/>
      <c r="AA265" s="44"/>
      <c r="AB265" s="117"/>
      <c r="AC265" s="44"/>
      <c r="AD265" s="117"/>
    </row>
    <row r="266" spans="1:30" ht="14.25" customHeight="1">
      <c r="A266" s="189"/>
      <c r="B266" s="189"/>
      <c r="C266" s="44"/>
      <c r="D266" s="117"/>
      <c r="E266" s="44"/>
      <c r="F266" s="44"/>
      <c r="G266" s="117"/>
      <c r="H266" s="117"/>
      <c r="I266" s="117"/>
      <c r="J266" s="117"/>
      <c r="K266" s="117"/>
      <c r="L266" s="117"/>
      <c r="M266" s="117"/>
      <c r="N266" s="117"/>
      <c r="O266" s="117"/>
      <c r="P266" s="117"/>
      <c r="Q266" s="117"/>
      <c r="R266" s="117"/>
      <c r="S266" s="117"/>
      <c r="T266" s="117"/>
      <c r="U266" s="235"/>
      <c r="V266" s="117"/>
      <c r="W266" s="117"/>
      <c r="X266" s="117"/>
      <c r="Y266" s="117"/>
      <c r="Z266" s="117"/>
      <c r="AA266" s="44"/>
      <c r="AB266" s="117"/>
      <c r="AC266" s="44"/>
      <c r="AD266" s="117"/>
    </row>
    <row r="267" spans="1:30" ht="14.25" customHeight="1">
      <c r="A267" s="189"/>
      <c r="B267" s="189"/>
      <c r="C267" s="44"/>
      <c r="D267" s="117"/>
      <c r="E267" s="44"/>
      <c r="F267" s="44"/>
      <c r="G267" s="117"/>
      <c r="H267" s="117"/>
      <c r="I267" s="117"/>
      <c r="J267" s="117"/>
      <c r="K267" s="117"/>
      <c r="L267" s="117"/>
      <c r="M267" s="117"/>
      <c r="N267" s="117"/>
      <c r="O267" s="117"/>
      <c r="P267" s="117"/>
      <c r="Q267" s="117"/>
      <c r="R267" s="117"/>
      <c r="S267" s="117"/>
      <c r="T267" s="117"/>
      <c r="U267" s="235"/>
      <c r="V267" s="117"/>
      <c r="W267" s="117"/>
      <c r="X267" s="117"/>
      <c r="Y267" s="117"/>
      <c r="Z267" s="117"/>
      <c r="AA267" s="44"/>
      <c r="AB267" s="117"/>
      <c r="AC267" s="44"/>
      <c r="AD267" s="117"/>
    </row>
    <row r="268" spans="1:30" ht="14.25" customHeight="1">
      <c r="A268" s="189"/>
      <c r="B268" s="189"/>
      <c r="C268" s="44"/>
      <c r="D268" s="117"/>
      <c r="E268" s="44"/>
      <c r="F268" s="44"/>
      <c r="G268" s="117"/>
      <c r="H268" s="117"/>
      <c r="I268" s="117"/>
      <c r="J268" s="117"/>
      <c r="K268" s="117"/>
      <c r="L268" s="117"/>
      <c r="M268" s="117"/>
      <c r="N268" s="117"/>
      <c r="O268" s="117"/>
      <c r="P268" s="117"/>
      <c r="Q268" s="117"/>
      <c r="R268" s="117"/>
      <c r="S268" s="117"/>
      <c r="T268" s="117"/>
      <c r="U268" s="235"/>
      <c r="V268" s="117"/>
      <c r="W268" s="117"/>
      <c r="X268" s="117"/>
      <c r="Y268" s="117"/>
      <c r="Z268" s="117"/>
      <c r="AA268" s="44"/>
      <c r="AB268" s="117"/>
      <c r="AC268" s="44"/>
      <c r="AD268" s="117"/>
    </row>
    <row r="269" spans="1:30" ht="14.25" customHeight="1">
      <c r="A269" s="189"/>
      <c r="B269" s="189"/>
      <c r="C269" s="44"/>
      <c r="D269" s="117"/>
      <c r="E269" s="44"/>
      <c r="F269" s="44"/>
      <c r="G269" s="117"/>
      <c r="H269" s="117"/>
      <c r="I269" s="117"/>
      <c r="J269" s="117"/>
      <c r="K269" s="117"/>
      <c r="L269" s="117"/>
      <c r="M269" s="117"/>
      <c r="N269" s="117"/>
      <c r="O269" s="117"/>
      <c r="P269" s="117"/>
      <c r="Q269" s="117"/>
      <c r="R269" s="117"/>
      <c r="S269" s="117"/>
      <c r="T269" s="117"/>
      <c r="U269" s="235"/>
      <c r="V269" s="117"/>
      <c r="W269" s="117"/>
      <c r="X269" s="117"/>
      <c r="Y269" s="117"/>
      <c r="Z269" s="117"/>
      <c r="AA269" s="44"/>
      <c r="AB269" s="117"/>
      <c r="AC269" s="44"/>
      <c r="AD269" s="117"/>
    </row>
    <row r="270" spans="1:30" ht="14.25" customHeight="1">
      <c r="A270" s="189"/>
      <c r="B270" s="189"/>
      <c r="C270" s="44"/>
      <c r="D270" s="117"/>
      <c r="E270" s="44"/>
      <c r="F270" s="44"/>
      <c r="G270" s="117"/>
      <c r="H270" s="117"/>
      <c r="I270" s="117"/>
      <c r="J270" s="117"/>
      <c r="K270" s="117"/>
      <c r="L270" s="117"/>
      <c r="M270" s="117"/>
      <c r="N270" s="117"/>
      <c r="O270" s="117"/>
      <c r="P270" s="117"/>
      <c r="Q270" s="117"/>
      <c r="R270" s="117"/>
      <c r="S270" s="117"/>
      <c r="T270" s="117"/>
      <c r="U270" s="235"/>
      <c r="V270" s="117"/>
      <c r="W270" s="117"/>
      <c r="X270" s="117"/>
      <c r="Y270" s="117"/>
      <c r="Z270" s="117"/>
      <c r="AA270" s="44"/>
      <c r="AB270" s="117"/>
      <c r="AC270" s="44"/>
      <c r="AD270" s="117"/>
    </row>
    <row r="271" spans="1:30" ht="14.25" customHeight="1">
      <c r="A271" s="189"/>
      <c r="B271" s="189"/>
      <c r="C271" s="44"/>
      <c r="D271" s="117"/>
      <c r="E271" s="44"/>
      <c r="F271" s="44"/>
      <c r="G271" s="117"/>
      <c r="H271" s="117"/>
      <c r="I271" s="117"/>
      <c r="J271" s="117"/>
      <c r="K271" s="117"/>
      <c r="L271" s="117"/>
      <c r="M271" s="117"/>
      <c r="N271" s="117"/>
      <c r="O271" s="117"/>
      <c r="P271" s="117"/>
      <c r="Q271" s="117"/>
      <c r="R271" s="117"/>
      <c r="S271" s="117"/>
      <c r="T271" s="117"/>
      <c r="U271" s="235"/>
      <c r="V271" s="117"/>
      <c r="W271" s="117"/>
      <c r="X271" s="117"/>
      <c r="Y271" s="117"/>
      <c r="Z271" s="117"/>
      <c r="AA271" s="44"/>
      <c r="AB271" s="117"/>
      <c r="AC271" s="44"/>
      <c r="AD271" s="117"/>
    </row>
    <row r="272" spans="1:30" ht="14.25" customHeight="1">
      <c r="A272" s="189"/>
      <c r="B272" s="189"/>
      <c r="C272" s="44"/>
      <c r="D272" s="117"/>
      <c r="E272" s="44"/>
      <c r="F272" s="44"/>
      <c r="G272" s="117"/>
      <c r="H272" s="117"/>
      <c r="I272" s="117"/>
      <c r="J272" s="117"/>
      <c r="K272" s="117"/>
      <c r="L272" s="117"/>
      <c r="M272" s="117"/>
      <c r="N272" s="117"/>
      <c r="O272" s="117"/>
      <c r="P272" s="117"/>
      <c r="Q272" s="117"/>
      <c r="R272" s="117"/>
      <c r="S272" s="117"/>
      <c r="T272" s="117"/>
      <c r="U272" s="235"/>
      <c r="V272" s="117"/>
      <c r="W272" s="117"/>
      <c r="X272" s="117"/>
      <c r="Y272" s="117"/>
      <c r="Z272" s="117"/>
      <c r="AA272" s="44"/>
      <c r="AB272" s="117"/>
      <c r="AC272" s="44"/>
      <c r="AD272" s="117"/>
    </row>
    <row r="273" spans="1:30" ht="14.25" customHeight="1">
      <c r="A273" s="189"/>
      <c r="B273" s="189"/>
      <c r="C273" s="44"/>
      <c r="D273" s="117"/>
      <c r="E273" s="44"/>
      <c r="F273" s="44"/>
      <c r="G273" s="117"/>
      <c r="H273" s="117"/>
      <c r="I273" s="117"/>
      <c r="J273" s="117"/>
      <c r="K273" s="117"/>
      <c r="L273" s="117"/>
      <c r="M273" s="117"/>
      <c r="N273" s="117"/>
      <c r="O273" s="117"/>
      <c r="P273" s="117"/>
      <c r="Q273" s="117"/>
      <c r="R273" s="117"/>
      <c r="S273" s="117"/>
      <c r="T273" s="117"/>
      <c r="U273" s="235"/>
      <c r="V273" s="117"/>
      <c r="W273" s="117"/>
      <c r="X273" s="117"/>
      <c r="Y273" s="117"/>
      <c r="Z273" s="117"/>
      <c r="AA273" s="44"/>
      <c r="AB273" s="117"/>
      <c r="AC273" s="44"/>
      <c r="AD273" s="117"/>
    </row>
    <row r="274" spans="1:30" ht="14.25" customHeight="1">
      <c r="A274" s="189"/>
      <c r="B274" s="189"/>
      <c r="C274" s="44"/>
      <c r="D274" s="117"/>
      <c r="E274" s="44"/>
      <c r="F274" s="44"/>
      <c r="G274" s="117"/>
      <c r="H274" s="117"/>
      <c r="I274" s="117"/>
      <c r="J274" s="117"/>
      <c r="K274" s="117"/>
      <c r="L274" s="117"/>
      <c r="M274" s="117"/>
      <c r="N274" s="117"/>
      <c r="O274" s="117"/>
      <c r="P274" s="117"/>
      <c r="Q274" s="117"/>
      <c r="R274" s="117"/>
      <c r="S274" s="117"/>
      <c r="T274" s="117"/>
      <c r="U274" s="235"/>
      <c r="V274" s="117"/>
      <c r="W274" s="117"/>
      <c r="X274" s="117"/>
      <c r="Y274" s="117"/>
      <c r="Z274" s="117"/>
      <c r="AA274" s="44"/>
      <c r="AB274" s="117"/>
      <c r="AC274" s="44"/>
      <c r="AD274" s="117"/>
    </row>
    <row r="275" spans="1:30" ht="14.25" customHeight="1">
      <c r="A275" s="189"/>
      <c r="B275" s="189"/>
      <c r="C275" s="44"/>
      <c r="D275" s="117"/>
      <c r="E275" s="44"/>
      <c r="F275" s="44"/>
      <c r="G275" s="117"/>
      <c r="H275" s="117"/>
      <c r="I275" s="117"/>
      <c r="J275" s="117"/>
      <c r="K275" s="117"/>
      <c r="L275" s="117"/>
      <c r="M275" s="117"/>
      <c r="N275" s="117"/>
      <c r="O275" s="117"/>
      <c r="P275" s="117"/>
      <c r="Q275" s="117"/>
      <c r="R275" s="117"/>
      <c r="S275" s="117"/>
      <c r="T275" s="117"/>
      <c r="U275" s="235"/>
      <c r="V275" s="117"/>
      <c r="W275" s="117"/>
      <c r="X275" s="117"/>
      <c r="Y275" s="117"/>
      <c r="Z275" s="117"/>
      <c r="AA275" s="44"/>
      <c r="AB275" s="117"/>
      <c r="AC275" s="44"/>
      <c r="AD275" s="117"/>
    </row>
    <row r="276" spans="1:30" ht="14.25" customHeight="1">
      <c r="A276" s="189"/>
      <c r="B276" s="189"/>
      <c r="C276" s="44"/>
      <c r="D276" s="117"/>
      <c r="E276" s="44"/>
      <c r="F276" s="44"/>
      <c r="G276" s="117"/>
      <c r="H276" s="117"/>
      <c r="I276" s="117"/>
      <c r="J276" s="117"/>
      <c r="K276" s="117"/>
      <c r="L276" s="117"/>
      <c r="M276" s="117"/>
      <c r="N276" s="117"/>
      <c r="O276" s="117"/>
      <c r="P276" s="117"/>
      <c r="Q276" s="117"/>
      <c r="R276" s="117"/>
      <c r="S276" s="117"/>
      <c r="T276" s="117"/>
      <c r="U276" s="235"/>
      <c r="V276" s="117"/>
      <c r="W276" s="117"/>
      <c r="X276" s="117"/>
      <c r="Y276" s="117"/>
      <c r="Z276" s="117"/>
      <c r="AA276" s="44"/>
      <c r="AB276" s="117"/>
      <c r="AC276" s="44"/>
      <c r="AD276" s="117"/>
    </row>
    <row r="277" spans="1:30" ht="14.25" customHeight="1">
      <c r="A277" s="189"/>
      <c r="B277" s="189"/>
      <c r="C277" s="44"/>
      <c r="D277" s="117"/>
      <c r="E277" s="44"/>
      <c r="F277" s="44"/>
      <c r="G277" s="117"/>
      <c r="H277" s="117"/>
      <c r="I277" s="117"/>
      <c r="J277" s="117"/>
      <c r="K277" s="117"/>
      <c r="L277" s="117"/>
      <c r="M277" s="117"/>
      <c r="N277" s="117"/>
      <c r="O277" s="117"/>
      <c r="P277" s="117"/>
      <c r="Q277" s="117"/>
      <c r="R277" s="117"/>
      <c r="S277" s="117"/>
      <c r="T277" s="117"/>
      <c r="U277" s="235"/>
      <c r="V277" s="117"/>
      <c r="W277" s="117"/>
      <c r="X277" s="117"/>
      <c r="Y277" s="117"/>
      <c r="Z277" s="117"/>
      <c r="AA277" s="44"/>
      <c r="AB277" s="117"/>
      <c r="AC277" s="44"/>
      <c r="AD277" s="117"/>
    </row>
    <row r="278" spans="1:30" ht="14.25" customHeight="1">
      <c r="A278" s="189"/>
      <c r="B278" s="189"/>
      <c r="C278" s="44"/>
      <c r="D278" s="117"/>
      <c r="E278" s="44"/>
      <c r="F278" s="44"/>
      <c r="G278" s="117"/>
      <c r="H278" s="117"/>
      <c r="I278" s="117"/>
      <c r="J278" s="117"/>
      <c r="K278" s="117"/>
      <c r="L278" s="117"/>
      <c r="M278" s="117"/>
      <c r="N278" s="117"/>
      <c r="O278" s="117"/>
      <c r="P278" s="117"/>
      <c r="Q278" s="117"/>
      <c r="R278" s="117"/>
      <c r="S278" s="117"/>
      <c r="T278" s="117"/>
      <c r="U278" s="235"/>
      <c r="V278" s="117"/>
      <c r="W278" s="117"/>
      <c r="X278" s="117"/>
      <c r="Y278" s="117"/>
      <c r="Z278" s="117"/>
      <c r="AA278" s="44"/>
      <c r="AB278" s="117"/>
      <c r="AC278" s="44"/>
      <c r="AD278" s="117"/>
    </row>
    <row r="279" spans="1:30" ht="14.25" customHeight="1">
      <c r="A279" s="189"/>
      <c r="B279" s="189"/>
      <c r="C279" s="44"/>
      <c r="D279" s="117"/>
      <c r="E279" s="44"/>
      <c r="F279" s="44"/>
      <c r="G279" s="117"/>
      <c r="H279" s="117"/>
      <c r="I279" s="117"/>
      <c r="J279" s="117"/>
      <c r="K279" s="117"/>
      <c r="L279" s="117"/>
      <c r="M279" s="117"/>
      <c r="N279" s="117"/>
      <c r="O279" s="117"/>
      <c r="P279" s="117"/>
      <c r="Q279" s="117"/>
      <c r="R279" s="117"/>
      <c r="S279" s="117"/>
      <c r="T279" s="117"/>
      <c r="U279" s="235"/>
      <c r="V279" s="117"/>
      <c r="W279" s="117"/>
      <c r="X279" s="117"/>
      <c r="Y279" s="117"/>
      <c r="Z279" s="117"/>
      <c r="AA279" s="44"/>
      <c r="AB279" s="117"/>
      <c r="AC279" s="44"/>
      <c r="AD279" s="117"/>
    </row>
    <row r="280" spans="1:30" ht="14.25" customHeight="1">
      <c r="A280" s="189"/>
      <c r="B280" s="189"/>
      <c r="C280" s="44"/>
      <c r="D280" s="117"/>
      <c r="E280" s="44"/>
      <c r="F280" s="44"/>
      <c r="G280" s="117"/>
      <c r="H280" s="117"/>
      <c r="I280" s="117"/>
      <c r="J280" s="117"/>
      <c r="K280" s="117"/>
      <c r="L280" s="117"/>
      <c r="M280" s="117"/>
      <c r="N280" s="117"/>
      <c r="O280" s="117"/>
      <c r="P280" s="117"/>
      <c r="Q280" s="117"/>
      <c r="R280" s="117"/>
      <c r="S280" s="117"/>
      <c r="T280" s="117"/>
      <c r="U280" s="235"/>
      <c r="V280" s="117"/>
      <c r="W280" s="117"/>
      <c r="X280" s="117"/>
      <c r="Y280" s="117"/>
      <c r="Z280" s="117"/>
      <c r="AA280" s="44"/>
      <c r="AB280" s="117"/>
      <c r="AC280" s="44"/>
      <c r="AD280" s="117"/>
    </row>
    <row r="281" spans="1:30" ht="14.25" customHeight="1">
      <c r="A281" s="189"/>
      <c r="B281" s="189"/>
      <c r="C281" s="44"/>
      <c r="D281" s="117"/>
      <c r="E281" s="44"/>
      <c r="F281" s="44"/>
      <c r="G281" s="117"/>
      <c r="H281" s="117"/>
      <c r="I281" s="117"/>
      <c r="J281" s="117"/>
      <c r="K281" s="117"/>
      <c r="L281" s="117"/>
      <c r="M281" s="117"/>
      <c r="N281" s="117"/>
      <c r="O281" s="117"/>
      <c r="P281" s="117"/>
      <c r="Q281" s="117"/>
      <c r="R281" s="117"/>
      <c r="S281" s="117"/>
      <c r="T281" s="117"/>
      <c r="U281" s="235"/>
      <c r="V281" s="117"/>
      <c r="W281" s="117"/>
      <c r="X281" s="117"/>
      <c r="Y281" s="117"/>
      <c r="Z281" s="117"/>
      <c r="AA281" s="44"/>
      <c r="AB281" s="117"/>
      <c r="AC281" s="44"/>
      <c r="AD281" s="117"/>
    </row>
    <row r="282" spans="1:30" ht="14.25" customHeight="1">
      <c r="A282" s="189"/>
      <c r="B282" s="189"/>
      <c r="C282" s="44"/>
      <c r="D282" s="117"/>
      <c r="E282" s="44"/>
      <c r="F282" s="44"/>
      <c r="G282" s="117"/>
      <c r="H282" s="117"/>
      <c r="I282" s="117"/>
      <c r="J282" s="117"/>
      <c r="K282" s="117"/>
      <c r="L282" s="117"/>
      <c r="M282" s="117"/>
      <c r="N282" s="117"/>
      <c r="O282" s="117"/>
      <c r="P282" s="117"/>
      <c r="Q282" s="117"/>
      <c r="R282" s="117"/>
      <c r="S282" s="117"/>
      <c r="T282" s="117"/>
      <c r="U282" s="235"/>
      <c r="V282" s="117"/>
      <c r="W282" s="117"/>
      <c r="X282" s="117"/>
      <c r="Y282" s="117"/>
      <c r="Z282" s="117"/>
      <c r="AA282" s="44"/>
      <c r="AB282" s="117"/>
      <c r="AC282" s="44"/>
      <c r="AD282" s="117"/>
    </row>
    <row r="283" spans="1:30" ht="14.25" customHeight="1">
      <c r="A283" s="189"/>
      <c r="B283" s="189"/>
      <c r="C283" s="44"/>
      <c r="D283" s="117"/>
      <c r="E283" s="44"/>
      <c r="F283" s="44"/>
      <c r="G283" s="117"/>
      <c r="H283" s="117"/>
      <c r="I283" s="117"/>
      <c r="J283" s="117"/>
      <c r="K283" s="117"/>
      <c r="L283" s="117"/>
      <c r="M283" s="117"/>
      <c r="N283" s="117"/>
      <c r="O283" s="117"/>
      <c r="P283" s="117"/>
      <c r="Q283" s="117"/>
      <c r="R283" s="117"/>
      <c r="S283" s="117"/>
      <c r="T283" s="117"/>
      <c r="U283" s="235"/>
      <c r="V283" s="117"/>
      <c r="W283" s="117"/>
      <c r="X283" s="117"/>
      <c r="Y283" s="117"/>
      <c r="Z283" s="117"/>
      <c r="AA283" s="44"/>
      <c r="AB283" s="117"/>
      <c r="AC283" s="44"/>
      <c r="AD283" s="117"/>
    </row>
    <row r="284" spans="1:30" ht="14.25" customHeight="1">
      <c r="A284" s="189"/>
      <c r="B284" s="189"/>
      <c r="C284" s="44"/>
      <c r="D284" s="117"/>
      <c r="E284" s="44"/>
      <c r="F284" s="44"/>
      <c r="G284" s="117"/>
      <c r="H284" s="117"/>
      <c r="I284" s="117"/>
      <c r="J284" s="117"/>
      <c r="K284" s="117"/>
      <c r="L284" s="117"/>
      <c r="M284" s="117"/>
      <c r="N284" s="117"/>
      <c r="O284" s="117"/>
      <c r="P284" s="117"/>
      <c r="Q284" s="117"/>
      <c r="R284" s="117"/>
      <c r="S284" s="117"/>
      <c r="T284" s="117"/>
      <c r="U284" s="235"/>
      <c r="V284" s="117"/>
      <c r="W284" s="117"/>
      <c r="X284" s="117"/>
      <c r="Y284" s="117"/>
      <c r="Z284" s="117"/>
      <c r="AA284" s="44"/>
      <c r="AB284" s="117"/>
      <c r="AC284" s="44"/>
      <c r="AD284" s="117"/>
    </row>
    <row r="285" spans="1:30" ht="14.25" customHeight="1">
      <c r="A285" s="189"/>
      <c r="B285" s="189"/>
      <c r="C285" s="44"/>
      <c r="D285" s="117"/>
      <c r="E285" s="44"/>
      <c r="F285" s="44"/>
      <c r="G285" s="117"/>
      <c r="H285" s="117"/>
      <c r="I285" s="117"/>
      <c r="J285" s="117"/>
      <c r="K285" s="117"/>
      <c r="L285" s="117"/>
      <c r="M285" s="117"/>
      <c r="N285" s="117"/>
      <c r="O285" s="117"/>
      <c r="P285" s="117"/>
      <c r="Q285" s="117"/>
      <c r="R285" s="117"/>
      <c r="S285" s="117"/>
      <c r="T285" s="117"/>
      <c r="U285" s="235"/>
      <c r="V285" s="117"/>
      <c r="W285" s="117"/>
      <c r="X285" s="117"/>
      <c r="Y285" s="117"/>
      <c r="Z285" s="117"/>
      <c r="AA285" s="44"/>
      <c r="AB285" s="117"/>
      <c r="AC285" s="44"/>
      <c r="AD285" s="117"/>
    </row>
    <row r="286" spans="1:30" ht="14.25" customHeight="1">
      <c r="A286" s="189"/>
      <c r="B286" s="189"/>
      <c r="C286" s="44"/>
      <c r="D286" s="117"/>
      <c r="E286" s="44"/>
      <c r="F286" s="44"/>
      <c r="G286" s="117"/>
      <c r="H286" s="117"/>
      <c r="I286" s="117"/>
      <c r="J286" s="117"/>
      <c r="K286" s="117"/>
      <c r="L286" s="117"/>
      <c r="M286" s="117"/>
      <c r="N286" s="117"/>
      <c r="O286" s="117"/>
      <c r="P286" s="117"/>
      <c r="Q286" s="117"/>
      <c r="R286" s="117"/>
      <c r="S286" s="117"/>
      <c r="T286" s="117"/>
      <c r="U286" s="235"/>
      <c r="V286" s="117"/>
      <c r="W286" s="117"/>
      <c r="X286" s="117"/>
      <c r="Y286" s="117"/>
      <c r="Z286" s="117"/>
      <c r="AA286" s="44"/>
      <c r="AB286" s="117"/>
      <c r="AC286" s="44"/>
      <c r="AD286" s="117"/>
    </row>
    <row r="287" spans="1:30" ht="14.25" customHeight="1">
      <c r="A287" s="189"/>
      <c r="B287" s="189"/>
      <c r="C287" s="44"/>
      <c r="D287" s="117"/>
      <c r="E287" s="44"/>
      <c r="F287" s="44"/>
      <c r="G287" s="117"/>
      <c r="H287" s="117"/>
      <c r="I287" s="117"/>
      <c r="J287" s="117"/>
      <c r="K287" s="117"/>
      <c r="L287" s="117"/>
      <c r="M287" s="117"/>
      <c r="N287" s="117"/>
      <c r="O287" s="117"/>
      <c r="P287" s="117"/>
      <c r="Q287" s="117"/>
      <c r="R287" s="117"/>
      <c r="S287" s="117"/>
      <c r="T287" s="117"/>
      <c r="U287" s="235"/>
      <c r="V287" s="117"/>
      <c r="W287" s="117"/>
      <c r="X287" s="117"/>
      <c r="Y287" s="117"/>
      <c r="Z287" s="117"/>
      <c r="AA287" s="44"/>
      <c r="AB287" s="117"/>
      <c r="AC287" s="44"/>
      <c r="AD287" s="117"/>
    </row>
    <row r="288" spans="1:30" ht="14.25" customHeight="1">
      <c r="A288" s="189"/>
      <c r="B288" s="189"/>
      <c r="C288" s="44"/>
      <c r="D288" s="117"/>
      <c r="E288" s="44"/>
      <c r="F288" s="44"/>
      <c r="G288" s="117"/>
      <c r="H288" s="117"/>
      <c r="I288" s="117"/>
      <c r="J288" s="117"/>
      <c r="K288" s="117"/>
      <c r="L288" s="117"/>
      <c r="M288" s="117"/>
      <c r="N288" s="117"/>
      <c r="O288" s="117"/>
      <c r="P288" s="117"/>
      <c r="Q288" s="117"/>
      <c r="R288" s="117"/>
      <c r="S288" s="117"/>
      <c r="T288" s="117"/>
      <c r="U288" s="235"/>
      <c r="V288" s="117"/>
      <c r="W288" s="117"/>
      <c r="X288" s="117"/>
      <c r="Y288" s="117"/>
      <c r="Z288" s="117"/>
      <c r="AA288" s="44"/>
      <c r="AB288" s="117"/>
      <c r="AC288" s="44"/>
      <c r="AD288" s="117"/>
    </row>
    <row r="289" spans="1:30" ht="14.25" customHeight="1">
      <c r="A289" s="189"/>
      <c r="B289" s="189"/>
      <c r="C289" s="44"/>
      <c r="D289" s="117"/>
      <c r="E289" s="44"/>
      <c r="F289" s="44"/>
      <c r="G289" s="117"/>
      <c r="H289" s="117"/>
      <c r="I289" s="117"/>
      <c r="J289" s="117"/>
      <c r="K289" s="117"/>
      <c r="L289" s="117"/>
      <c r="M289" s="117"/>
      <c r="N289" s="117"/>
      <c r="O289" s="117"/>
      <c r="P289" s="117"/>
      <c r="Q289" s="117"/>
      <c r="R289" s="117"/>
      <c r="S289" s="117"/>
      <c r="T289" s="117"/>
      <c r="U289" s="235"/>
      <c r="V289" s="117"/>
      <c r="W289" s="117"/>
      <c r="X289" s="117"/>
      <c r="Y289" s="117"/>
      <c r="Z289" s="117"/>
      <c r="AA289" s="44"/>
      <c r="AB289" s="117"/>
      <c r="AC289" s="44"/>
      <c r="AD289" s="117"/>
    </row>
    <row r="290" spans="1:30" ht="14.25" customHeight="1">
      <c r="A290" s="189"/>
      <c r="B290" s="189"/>
      <c r="C290" s="44"/>
      <c r="D290" s="117"/>
      <c r="E290" s="44"/>
      <c r="F290" s="44"/>
      <c r="G290" s="117"/>
      <c r="H290" s="117"/>
      <c r="I290" s="117"/>
      <c r="J290" s="117"/>
      <c r="K290" s="117"/>
      <c r="L290" s="117"/>
      <c r="M290" s="117"/>
      <c r="N290" s="117"/>
      <c r="O290" s="117"/>
      <c r="P290" s="117"/>
      <c r="Q290" s="117"/>
      <c r="R290" s="117"/>
      <c r="S290" s="117"/>
      <c r="T290" s="117"/>
      <c r="U290" s="235"/>
      <c r="V290" s="117"/>
      <c r="W290" s="117"/>
      <c r="X290" s="117"/>
      <c r="Y290" s="117"/>
      <c r="Z290" s="117"/>
      <c r="AA290" s="44"/>
      <c r="AB290" s="117"/>
      <c r="AC290" s="44"/>
      <c r="AD290" s="117"/>
    </row>
    <row r="291" spans="1:30" ht="14.25" customHeight="1">
      <c r="A291" s="189"/>
      <c r="B291" s="189"/>
      <c r="C291" s="44"/>
      <c r="D291" s="117"/>
      <c r="E291" s="44"/>
      <c r="F291" s="44"/>
      <c r="G291" s="117"/>
      <c r="H291" s="117"/>
      <c r="I291" s="117"/>
      <c r="J291" s="117"/>
      <c r="K291" s="117"/>
      <c r="L291" s="117"/>
      <c r="M291" s="117"/>
      <c r="N291" s="117"/>
      <c r="O291" s="117"/>
      <c r="P291" s="117"/>
      <c r="Q291" s="117"/>
      <c r="R291" s="117"/>
      <c r="S291" s="117"/>
      <c r="T291" s="117"/>
      <c r="U291" s="235"/>
      <c r="V291" s="117"/>
      <c r="W291" s="117"/>
      <c r="X291" s="117"/>
      <c r="Y291" s="117"/>
      <c r="Z291" s="117"/>
      <c r="AA291" s="44"/>
      <c r="AB291" s="117"/>
      <c r="AC291" s="44"/>
      <c r="AD291" s="117"/>
    </row>
    <row r="292" spans="1:30" ht="14.25" customHeight="1">
      <c r="A292" s="189"/>
      <c r="B292" s="189"/>
      <c r="C292" s="44"/>
      <c r="D292" s="117"/>
      <c r="E292" s="44"/>
      <c r="F292" s="44"/>
      <c r="G292" s="117"/>
      <c r="H292" s="117"/>
      <c r="I292" s="117"/>
      <c r="J292" s="117"/>
      <c r="K292" s="117"/>
      <c r="L292" s="117"/>
      <c r="M292" s="117"/>
      <c r="N292" s="117"/>
      <c r="O292" s="117"/>
      <c r="P292" s="117"/>
      <c r="Q292" s="117"/>
      <c r="R292" s="117"/>
      <c r="S292" s="117"/>
      <c r="T292" s="117"/>
      <c r="U292" s="235"/>
      <c r="V292" s="117"/>
      <c r="W292" s="117"/>
      <c r="X292" s="117"/>
      <c r="Y292" s="117"/>
      <c r="Z292" s="117"/>
      <c r="AA292" s="44"/>
      <c r="AB292" s="117"/>
      <c r="AC292" s="44"/>
      <c r="AD292" s="117"/>
    </row>
    <row r="293" spans="1:30" ht="14.25" customHeight="1">
      <c r="A293" s="189"/>
      <c r="B293" s="189"/>
      <c r="C293" s="44"/>
      <c r="D293" s="117"/>
      <c r="E293" s="44"/>
      <c r="F293" s="44"/>
      <c r="G293" s="117"/>
      <c r="H293" s="117"/>
      <c r="I293" s="117"/>
      <c r="J293" s="117"/>
      <c r="K293" s="117"/>
      <c r="L293" s="117"/>
      <c r="M293" s="117"/>
      <c r="N293" s="117"/>
      <c r="O293" s="117"/>
      <c r="P293" s="117"/>
      <c r="Q293" s="117"/>
      <c r="R293" s="117"/>
      <c r="S293" s="117"/>
      <c r="T293" s="117"/>
      <c r="U293" s="235"/>
      <c r="V293" s="117"/>
      <c r="W293" s="117"/>
      <c r="X293" s="117"/>
      <c r="Y293" s="117"/>
      <c r="Z293" s="117"/>
      <c r="AA293" s="44"/>
      <c r="AB293" s="117"/>
      <c r="AC293" s="44"/>
      <c r="AD293" s="117"/>
    </row>
    <row r="294" spans="1:30" ht="14.25" customHeight="1">
      <c r="A294" s="189"/>
      <c r="B294" s="189"/>
      <c r="C294" s="44"/>
      <c r="D294" s="117"/>
      <c r="E294" s="44"/>
      <c r="F294" s="44"/>
      <c r="G294" s="117"/>
      <c r="H294" s="117"/>
      <c r="I294" s="117"/>
      <c r="J294" s="117"/>
      <c r="K294" s="117"/>
      <c r="L294" s="117"/>
      <c r="M294" s="117"/>
      <c r="N294" s="117"/>
      <c r="O294" s="117"/>
      <c r="P294" s="117"/>
      <c r="Q294" s="117"/>
      <c r="R294" s="117"/>
      <c r="S294" s="117"/>
      <c r="T294" s="117"/>
      <c r="U294" s="235"/>
      <c r="V294" s="117"/>
      <c r="W294" s="117"/>
      <c r="X294" s="117"/>
      <c r="Y294" s="117"/>
      <c r="Z294" s="117"/>
      <c r="AA294" s="44"/>
      <c r="AB294" s="117"/>
      <c r="AC294" s="44"/>
      <c r="AD294" s="117"/>
    </row>
    <row r="295" spans="1:30" ht="14.25" customHeight="1">
      <c r="A295" s="189"/>
      <c r="B295" s="189"/>
      <c r="C295" s="44"/>
      <c r="D295" s="117"/>
      <c r="E295" s="44"/>
      <c r="F295" s="44"/>
      <c r="G295" s="117"/>
      <c r="H295" s="117"/>
      <c r="I295" s="117"/>
      <c r="J295" s="117"/>
      <c r="K295" s="117"/>
      <c r="L295" s="117"/>
      <c r="M295" s="117"/>
      <c r="N295" s="117"/>
      <c r="O295" s="117"/>
      <c r="P295" s="117"/>
      <c r="Q295" s="117"/>
      <c r="R295" s="117"/>
      <c r="S295" s="117"/>
      <c r="T295" s="117"/>
      <c r="U295" s="235"/>
      <c r="V295" s="117"/>
      <c r="W295" s="117"/>
      <c r="X295" s="117"/>
      <c r="Y295" s="117"/>
      <c r="Z295" s="117"/>
      <c r="AA295" s="44"/>
      <c r="AB295" s="117"/>
      <c r="AC295" s="44"/>
      <c r="AD295" s="117"/>
    </row>
    <row r="296" spans="1:30" ht="14.25" customHeight="1">
      <c r="A296" s="189"/>
      <c r="B296" s="189"/>
      <c r="C296" s="44"/>
      <c r="D296" s="117"/>
      <c r="E296" s="44"/>
      <c r="F296" s="44"/>
      <c r="G296" s="117"/>
      <c r="H296" s="117"/>
      <c r="I296" s="117"/>
      <c r="J296" s="117"/>
      <c r="K296" s="117"/>
      <c r="L296" s="117"/>
      <c r="M296" s="117"/>
      <c r="N296" s="117"/>
      <c r="O296" s="117"/>
      <c r="P296" s="117"/>
      <c r="Q296" s="117"/>
      <c r="R296" s="117"/>
      <c r="S296" s="117"/>
      <c r="T296" s="117"/>
      <c r="U296" s="235"/>
      <c r="V296" s="117"/>
      <c r="W296" s="117"/>
      <c r="X296" s="117"/>
      <c r="Y296" s="117"/>
      <c r="Z296" s="117"/>
      <c r="AA296" s="44"/>
      <c r="AB296" s="117"/>
      <c r="AC296" s="44"/>
      <c r="AD296" s="117"/>
    </row>
    <row r="297" spans="1:30" ht="14.25" customHeight="1">
      <c r="A297" s="189"/>
      <c r="B297" s="189"/>
      <c r="C297" s="44"/>
      <c r="D297" s="117"/>
      <c r="E297" s="44"/>
      <c r="F297" s="44"/>
      <c r="G297" s="117"/>
      <c r="H297" s="117"/>
      <c r="I297" s="117"/>
      <c r="J297" s="117"/>
      <c r="K297" s="117"/>
      <c r="L297" s="117"/>
      <c r="M297" s="117"/>
      <c r="N297" s="117"/>
      <c r="O297" s="117"/>
      <c r="P297" s="117"/>
      <c r="Q297" s="117"/>
      <c r="R297" s="117"/>
      <c r="S297" s="117"/>
      <c r="T297" s="117"/>
      <c r="U297" s="235"/>
      <c r="V297" s="117"/>
      <c r="W297" s="117"/>
      <c r="X297" s="117"/>
      <c r="Y297" s="117"/>
      <c r="Z297" s="117"/>
      <c r="AA297" s="44"/>
      <c r="AB297" s="117"/>
      <c r="AC297" s="44"/>
      <c r="AD297" s="117"/>
    </row>
    <row r="298" spans="1:30" ht="14.25" customHeight="1">
      <c r="A298" s="189"/>
      <c r="B298" s="189"/>
      <c r="C298" s="44"/>
      <c r="D298" s="117"/>
      <c r="E298" s="44"/>
      <c r="F298" s="44"/>
      <c r="G298" s="117"/>
      <c r="H298" s="117"/>
      <c r="I298" s="117"/>
      <c r="J298" s="117"/>
      <c r="K298" s="117"/>
      <c r="L298" s="117"/>
      <c r="M298" s="117"/>
      <c r="N298" s="117"/>
      <c r="O298" s="117"/>
      <c r="P298" s="117"/>
      <c r="Q298" s="117"/>
      <c r="R298" s="117"/>
      <c r="S298" s="117"/>
      <c r="T298" s="117"/>
      <c r="U298" s="235"/>
      <c r="V298" s="117"/>
      <c r="W298" s="117"/>
      <c r="X298" s="117"/>
      <c r="Y298" s="117"/>
      <c r="Z298" s="117"/>
      <c r="AA298" s="44"/>
      <c r="AB298" s="117"/>
      <c r="AC298" s="44"/>
      <c r="AD298" s="117"/>
    </row>
    <row r="299" spans="1:30" ht="14.25" customHeight="1">
      <c r="A299" s="189"/>
      <c r="B299" s="189"/>
      <c r="C299" s="44"/>
      <c r="D299" s="117"/>
      <c r="E299" s="44"/>
      <c r="F299" s="44"/>
      <c r="G299" s="117"/>
      <c r="H299" s="117"/>
      <c r="I299" s="117"/>
      <c r="J299" s="117"/>
      <c r="K299" s="117"/>
      <c r="L299" s="117"/>
      <c r="M299" s="117"/>
      <c r="N299" s="117"/>
      <c r="O299" s="117"/>
      <c r="P299" s="117"/>
      <c r="Q299" s="117"/>
      <c r="R299" s="117"/>
      <c r="S299" s="117"/>
      <c r="T299" s="117"/>
      <c r="U299" s="235"/>
      <c r="V299" s="117"/>
      <c r="W299" s="117"/>
      <c r="X299" s="117"/>
      <c r="Y299" s="117"/>
      <c r="Z299" s="117"/>
      <c r="AA299" s="44"/>
      <c r="AB299" s="117"/>
      <c r="AC299" s="44"/>
      <c r="AD299" s="117"/>
    </row>
    <row r="300" spans="1:30" ht="14.25" customHeight="1">
      <c r="A300" s="189"/>
      <c r="B300" s="189"/>
      <c r="C300" s="44"/>
      <c r="D300" s="117"/>
      <c r="E300" s="44"/>
      <c r="F300" s="44"/>
      <c r="G300" s="117"/>
      <c r="H300" s="117"/>
      <c r="I300" s="117"/>
      <c r="J300" s="117"/>
      <c r="K300" s="117"/>
      <c r="L300" s="117"/>
      <c r="M300" s="117"/>
      <c r="N300" s="117"/>
      <c r="O300" s="117"/>
      <c r="P300" s="117"/>
      <c r="Q300" s="117"/>
      <c r="R300" s="117"/>
      <c r="S300" s="117"/>
      <c r="T300" s="117"/>
      <c r="U300" s="235"/>
      <c r="V300" s="117"/>
      <c r="W300" s="117"/>
      <c r="X300" s="117"/>
      <c r="Y300" s="117"/>
      <c r="Z300" s="117"/>
      <c r="AA300" s="44"/>
      <c r="AB300" s="117"/>
      <c r="AC300" s="44"/>
      <c r="AD300" s="117"/>
    </row>
    <row r="301" spans="1:30" ht="14.25" customHeight="1">
      <c r="A301" s="189"/>
      <c r="B301" s="189"/>
      <c r="C301" s="44"/>
      <c r="D301" s="117"/>
      <c r="E301" s="44"/>
      <c r="F301" s="44"/>
      <c r="G301" s="117"/>
      <c r="H301" s="117"/>
      <c r="I301" s="117"/>
      <c r="J301" s="117"/>
      <c r="K301" s="117"/>
      <c r="L301" s="117"/>
      <c r="M301" s="117"/>
      <c r="N301" s="117"/>
      <c r="O301" s="117"/>
      <c r="P301" s="117"/>
      <c r="Q301" s="117"/>
      <c r="R301" s="117"/>
      <c r="S301" s="117"/>
      <c r="T301" s="117"/>
      <c r="U301" s="235"/>
      <c r="V301" s="117"/>
      <c r="W301" s="117"/>
      <c r="X301" s="117"/>
      <c r="Y301" s="117"/>
      <c r="Z301" s="117"/>
      <c r="AA301" s="44"/>
      <c r="AB301" s="117"/>
      <c r="AC301" s="44"/>
      <c r="AD301" s="117"/>
    </row>
    <row r="302" spans="1:30" ht="14.25" customHeight="1">
      <c r="A302" s="189"/>
      <c r="B302" s="189"/>
      <c r="C302" s="44"/>
      <c r="D302" s="117"/>
      <c r="E302" s="44"/>
      <c r="F302" s="44"/>
      <c r="G302" s="117"/>
      <c r="H302" s="117"/>
      <c r="I302" s="117"/>
      <c r="J302" s="117"/>
      <c r="K302" s="117"/>
      <c r="L302" s="117"/>
      <c r="M302" s="117"/>
      <c r="N302" s="117"/>
      <c r="O302" s="117"/>
      <c r="P302" s="117"/>
      <c r="Q302" s="117"/>
      <c r="R302" s="117"/>
      <c r="S302" s="117"/>
      <c r="T302" s="117"/>
      <c r="U302" s="235"/>
      <c r="V302" s="117"/>
      <c r="W302" s="117"/>
      <c r="X302" s="117"/>
      <c r="Y302" s="117"/>
      <c r="Z302" s="117"/>
      <c r="AA302" s="44"/>
      <c r="AB302" s="117"/>
      <c r="AC302" s="44"/>
      <c r="AD302" s="117"/>
    </row>
    <row r="303" spans="1:30" ht="14.25" customHeight="1">
      <c r="A303" s="189"/>
      <c r="B303" s="189"/>
      <c r="C303" s="44"/>
      <c r="D303" s="117"/>
      <c r="E303" s="44"/>
      <c r="F303" s="44"/>
      <c r="G303" s="117"/>
      <c r="H303" s="117"/>
      <c r="I303" s="117"/>
      <c r="J303" s="117"/>
      <c r="K303" s="117"/>
      <c r="L303" s="117"/>
      <c r="M303" s="117"/>
      <c r="N303" s="117"/>
      <c r="O303" s="117"/>
      <c r="P303" s="117"/>
      <c r="Q303" s="117"/>
      <c r="R303" s="117"/>
      <c r="S303" s="117"/>
      <c r="T303" s="117"/>
      <c r="U303" s="235"/>
      <c r="V303" s="117"/>
      <c r="W303" s="117"/>
      <c r="X303" s="117"/>
      <c r="Y303" s="117"/>
      <c r="Z303" s="117"/>
      <c r="AA303" s="44"/>
      <c r="AB303" s="117"/>
      <c r="AC303" s="44"/>
      <c r="AD303" s="117"/>
    </row>
    <row r="304" spans="1:30" ht="14.25" customHeight="1">
      <c r="A304" s="189"/>
      <c r="B304" s="189"/>
      <c r="C304" s="44"/>
      <c r="D304" s="117"/>
      <c r="E304" s="44"/>
      <c r="F304" s="44"/>
      <c r="G304" s="117"/>
      <c r="H304" s="117"/>
      <c r="I304" s="117"/>
      <c r="J304" s="117"/>
      <c r="K304" s="117"/>
      <c r="L304" s="117"/>
      <c r="M304" s="117"/>
      <c r="N304" s="117"/>
      <c r="O304" s="117"/>
      <c r="P304" s="117"/>
      <c r="Q304" s="117"/>
      <c r="R304" s="117"/>
      <c r="S304" s="117"/>
      <c r="T304" s="117"/>
      <c r="U304" s="235"/>
      <c r="V304" s="117"/>
      <c r="W304" s="117"/>
      <c r="X304" s="117"/>
      <c r="Y304" s="117"/>
      <c r="Z304" s="117"/>
      <c r="AA304" s="44"/>
      <c r="AB304" s="117"/>
      <c r="AC304" s="44"/>
      <c r="AD304" s="117"/>
    </row>
    <row r="305" spans="1:30" ht="14.25" customHeight="1">
      <c r="A305" s="189"/>
      <c r="B305" s="189"/>
      <c r="C305" s="44"/>
      <c r="D305" s="117"/>
      <c r="E305" s="44"/>
      <c r="F305" s="44"/>
      <c r="G305" s="117"/>
      <c r="H305" s="117"/>
      <c r="I305" s="117"/>
      <c r="J305" s="117"/>
      <c r="K305" s="117"/>
      <c r="L305" s="117"/>
      <c r="M305" s="117"/>
      <c r="N305" s="117"/>
      <c r="O305" s="117"/>
      <c r="P305" s="117"/>
      <c r="Q305" s="117"/>
      <c r="R305" s="117"/>
      <c r="S305" s="117"/>
      <c r="T305" s="117"/>
      <c r="U305" s="235"/>
      <c r="V305" s="117"/>
      <c r="W305" s="117"/>
      <c r="X305" s="117"/>
      <c r="Y305" s="117"/>
      <c r="Z305" s="117"/>
      <c r="AA305" s="44"/>
      <c r="AB305" s="117"/>
      <c r="AC305" s="44"/>
      <c r="AD305" s="117"/>
    </row>
    <row r="306" spans="1:30" ht="14.25" customHeight="1">
      <c r="A306" s="189"/>
      <c r="B306" s="189"/>
      <c r="C306" s="44"/>
      <c r="D306" s="117"/>
      <c r="E306" s="44"/>
      <c r="F306" s="44"/>
      <c r="G306" s="117"/>
      <c r="H306" s="117"/>
      <c r="I306" s="117"/>
      <c r="J306" s="117"/>
      <c r="K306" s="117"/>
      <c r="L306" s="117"/>
      <c r="M306" s="117"/>
      <c r="N306" s="117"/>
      <c r="O306" s="117"/>
      <c r="P306" s="117"/>
      <c r="Q306" s="117"/>
      <c r="R306" s="117"/>
      <c r="S306" s="117"/>
      <c r="T306" s="117"/>
      <c r="U306" s="235"/>
      <c r="V306" s="117"/>
      <c r="W306" s="117"/>
      <c r="X306" s="117"/>
      <c r="Y306" s="117"/>
      <c r="Z306" s="117"/>
      <c r="AA306" s="44"/>
      <c r="AB306" s="117"/>
      <c r="AC306" s="44"/>
      <c r="AD306" s="117"/>
    </row>
    <row r="307" spans="1:30" ht="14.25" customHeight="1">
      <c r="A307" s="189"/>
      <c r="B307" s="189"/>
      <c r="C307" s="44"/>
      <c r="D307" s="117"/>
      <c r="E307" s="44"/>
      <c r="F307" s="44"/>
      <c r="G307" s="117"/>
      <c r="H307" s="117"/>
      <c r="I307" s="117"/>
      <c r="J307" s="117"/>
      <c r="K307" s="117"/>
      <c r="L307" s="117"/>
      <c r="M307" s="117"/>
      <c r="N307" s="117"/>
      <c r="O307" s="117"/>
      <c r="P307" s="117"/>
      <c r="Q307" s="117"/>
      <c r="R307" s="117"/>
      <c r="S307" s="117"/>
      <c r="T307" s="117"/>
      <c r="U307" s="235"/>
      <c r="V307" s="117"/>
      <c r="W307" s="117"/>
      <c r="X307" s="117"/>
      <c r="Y307" s="117"/>
      <c r="Z307" s="117"/>
      <c r="AA307" s="44"/>
      <c r="AB307" s="117"/>
      <c r="AC307" s="44"/>
      <c r="AD307" s="117"/>
    </row>
    <row r="308" spans="1:30" ht="14.25" customHeight="1">
      <c r="A308" s="189"/>
      <c r="B308" s="189"/>
      <c r="C308" s="44"/>
      <c r="D308" s="117"/>
      <c r="E308" s="44"/>
      <c r="F308" s="44"/>
      <c r="G308" s="117"/>
      <c r="H308" s="117"/>
      <c r="I308" s="117"/>
      <c r="J308" s="117"/>
      <c r="K308" s="117"/>
      <c r="L308" s="117"/>
      <c r="M308" s="117"/>
      <c r="N308" s="117"/>
      <c r="O308" s="117"/>
      <c r="P308" s="117"/>
      <c r="Q308" s="117"/>
      <c r="R308" s="117"/>
      <c r="S308" s="117"/>
      <c r="T308" s="117"/>
      <c r="U308" s="235"/>
      <c r="V308" s="117"/>
      <c r="W308" s="117"/>
      <c r="X308" s="117"/>
      <c r="Y308" s="117"/>
      <c r="Z308" s="117"/>
      <c r="AA308" s="44"/>
      <c r="AB308" s="117"/>
      <c r="AC308" s="44"/>
      <c r="AD308" s="117"/>
    </row>
    <row r="309" spans="1:30" ht="14.25" customHeight="1">
      <c r="A309" s="189"/>
      <c r="B309" s="189"/>
      <c r="C309" s="44"/>
      <c r="D309" s="117"/>
      <c r="E309" s="44"/>
      <c r="F309" s="44"/>
      <c r="G309" s="117"/>
      <c r="H309" s="117"/>
      <c r="I309" s="117"/>
      <c r="J309" s="117"/>
      <c r="K309" s="117"/>
      <c r="L309" s="117"/>
      <c r="M309" s="117"/>
      <c r="N309" s="117"/>
      <c r="O309" s="117"/>
      <c r="P309" s="117"/>
      <c r="Q309" s="117"/>
      <c r="R309" s="117"/>
      <c r="S309" s="117"/>
      <c r="T309" s="117"/>
      <c r="U309" s="235"/>
      <c r="V309" s="117"/>
      <c r="W309" s="117"/>
      <c r="X309" s="117"/>
      <c r="Y309" s="117"/>
      <c r="Z309" s="117"/>
      <c r="AA309" s="44"/>
      <c r="AB309" s="117"/>
      <c r="AC309" s="44"/>
      <c r="AD309" s="117"/>
    </row>
    <row r="310" spans="1:30" ht="14.25" customHeight="1">
      <c r="A310" s="189"/>
      <c r="B310" s="189"/>
      <c r="C310" s="44"/>
      <c r="D310" s="117"/>
      <c r="E310" s="44"/>
      <c r="F310" s="44"/>
      <c r="G310" s="117"/>
      <c r="H310" s="117"/>
      <c r="I310" s="117"/>
      <c r="J310" s="117"/>
      <c r="K310" s="117"/>
      <c r="L310" s="117"/>
      <c r="M310" s="117"/>
      <c r="N310" s="117"/>
      <c r="O310" s="117"/>
      <c r="P310" s="117"/>
      <c r="Q310" s="117"/>
      <c r="R310" s="117"/>
      <c r="S310" s="117"/>
      <c r="T310" s="117"/>
      <c r="U310" s="235"/>
      <c r="V310" s="117"/>
      <c r="W310" s="117"/>
      <c r="X310" s="117"/>
      <c r="Y310" s="117"/>
      <c r="Z310" s="117"/>
      <c r="AA310" s="44"/>
      <c r="AB310" s="117"/>
      <c r="AC310" s="44"/>
      <c r="AD310" s="117"/>
    </row>
    <row r="311" spans="1:30" ht="14.25" customHeight="1">
      <c r="A311" s="189"/>
      <c r="B311" s="189"/>
      <c r="C311" s="44"/>
      <c r="D311" s="117"/>
      <c r="E311" s="44"/>
      <c r="F311" s="44"/>
      <c r="G311" s="117"/>
      <c r="H311" s="117"/>
      <c r="I311" s="117"/>
      <c r="J311" s="117"/>
      <c r="K311" s="117"/>
      <c r="L311" s="117"/>
      <c r="M311" s="117"/>
      <c r="N311" s="117"/>
      <c r="O311" s="117"/>
      <c r="P311" s="117"/>
      <c r="Q311" s="117"/>
      <c r="R311" s="117"/>
      <c r="S311" s="117"/>
      <c r="T311" s="117"/>
      <c r="U311" s="235"/>
      <c r="V311" s="117"/>
      <c r="W311" s="117"/>
      <c r="X311" s="117"/>
      <c r="Y311" s="117"/>
      <c r="Z311" s="117"/>
      <c r="AA311" s="44"/>
      <c r="AB311" s="117"/>
      <c r="AC311" s="44"/>
      <c r="AD311" s="117"/>
    </row>
    <row r="312" spans="1:30" ht="14.25" customHeight="1">
      <c r="A312" s="189"/>
      <c r="B312" s="189"/>
      <c r="C312" s="44"/>
      <c r="D312" s="117"/>
      <c r="E312" s="44"/>
      <c r="F312" s="44"/>
      <c r="G312" s="117"/>
      <c r="H312" s="117"/>
      <c r="I312" s="117"/>
      <c r="J312" s="117"/>
      <c r="K312" s="117"/>
      <c r="L312" s="117"/>
      <c r="M312" s="117"/>
      <c r="N312" s="117"/>
      <c r="O312" s="117"/>
      <c r="P312" s="117"/>
      <c r="Q312" s="117"/>
      <c r="R312" s="117"/>
      <c r="S312" s="117"/>
      <c r="T312" s="117"/>
      <c r="U312" s="235"/>
      <c r="V312" s="117"/>
      <c r="W312" s="117"/>
      <c r="X312" s="117"/>
      <c r="Y312" s="117"/>
      <c r="Z312" s="117"/>
      <c r="AA312" s="44"/>
      <c r="AB312" s="117"/>
      <c r="AC312" s="44"/>
      <c r="AD312" s="117"/>
    </row>
    <row r="313" spans="1:30" ht="14.25" customHeight="1">
      <c r="A313" s="189"/>
      <c r="B313" s="189"/>
      <c r="C313" s="44"/>
      <c r="D313" s="117"/>
      <c r="E313" s="44"/>
      <c r="F313" s="44"/>
      <c r="G313" s="117"/>
      <c r="H313" s="117"/>
      <c r="I313" s="117"/>
      <c r="J313" s="117"/>
      <c r="K313" s="117"/>
      <c r="L313" s="117"/>
      <c r="M313" s="117"/>
      <c r="N313" s="117"/>
      <c r="O313" s="117"/>
      <c r="P313" s="117"/>
      <c r="Q313" s="117"/>
      <c r="R313" s="117"/>
      <c r="S313" s="117"/>
      <c r="T313" s="117"/>
      <c r="U313" s="235"/>
      <c r="V313" s="117"/>
      <c r="W313" s="117"/>
      <c r="X313" s="117"/>
      <c r="Y313" s="117"/>
      <c r="Z313" s="117"/>
      <c r="AA313" s="44"/>
      <c r="AB313" s="117"/>
      <c r="AC313" s="44"/>
      <c r="AD313" s="117"/>
    </row>
    <row r="314" spans="1:30" ht="14.25" customHeight="1">
      <c r="A314" s="189"/>
      <c r="B314" s="189"/>
      <c r="C314" s="44"/>
      <c r="D314" s="117"/>
      <c r="E314" s="44"/>
      <c r="F314" s="44"/>
      <c r="G314" s="117"/>
      <c r="H314" s="117"/>
      <c r="I314" s="117"/>
      <c r="J314" s="117"/>
      <c r="K314" s="117"/>
      <c r="L314" s="117"/>
      <c r="M314" s="117"/>
      <c r="N314" s="117"/>
      <c r="O314" s="117"/>
      <c r="P314" s="117"/>
      <c r="Q314" s="117"/>
      <c r="R314" s="117"/>
      <c r="S314" s="117"/>
      <c r="T314" s="117"/>
      <c r="U314" s="235"/>
      <c r="V314" s="117"/>
      <c r="W314" s="117"/>
      <c r="X314" s="117"/>
      <c r="Y314" s="117"/>
      <c r="Z314" s="117"/>
      <c r="AA314" s="44"/>
      <c r="AB314" s="117"/>
      <c r="AC314" s="44"/>
      <c r="AD314" s="117"/>
    </row>
    <row r="315" spans="1:30" ht="14.25" customHeight="1">
      <c r="A315" s="189"/>
      <c r="B315" s="189"/>
      <c r="C315" s="44"/>
      <c r="D315" s="117"/>
      <c r="E315" s="44"/>
      <c r="F315" s="44"/>
      <c r="G315" s="117"/>
      <c r="H315" s="117"/>
      <c r="I315" s="117"/>
      <c r="J315" s="117"/>
      <c r="K315" s="117"/>
      <c r="L315" s="117"/>
      <c r="M315" s="117"/>
      <c r="N315" s="117"/>
      <c r="O315" s="117"/>
      <c r="P315" s="117"/>
      <c r="Q315" s="117"/>
      <c r="R315" s="117"/>
      <c r="S315" s="117"/>
      <c r="T315" s="117"/>
      <c r="U315" s="235"/>
      <c r="V315" s="117"/>
      <c r="W315" s="117"/>
      <c r="X315" s="117"/>
      <c r="Y315" s="117"/>
      <c r="Z315" s="117"/>
      <c r="AA315" s="44"/>
      <c r="AB315" s="117"/>
      <c r="AC315" s="44"/>
      <c r="AD315" s="117"/>
    </row>
    <row r="316" spans="1:30" ht="14.25" customHeight="1">
      <c r="A316" s="189"/>
      <c r="B316" s="189"/>
      <c r="C316" s="44"/>
      <c r="D316" s="117"/>
      <c r="E316" s="44"/>
      <c r="F316" s="44"/>
      <c r="G316" s="117"/>
      <c r="H316" s="117"/>
      <c r="I316" s="117"/>
      <c r="J316" s="117"/>
      <c r="K316" s="117"/>
      <c r="L316" s="117"/>
      <c r="M316" s="117"/>
      <c r="N316" s="117"/>
      <c r="O316" s="117"/>
      <c r="P316" s="117"/>
      <c r="Q316" s="117"/>
      <c r="R316" s="117"/>
      <c r="S316" s="117"/>
      <c r="T316" s="117"/>
      <c r="U316" s="235"/>
      <c r="V316" s="117"/>
      <c r="W316" s="117"/>
      <c r="X316" s="117"/>
      <c r="Y316" s="117"/>
      <c r="Z316" s="117"/>
      <c r="AA316" s="44"/>
      <c r="AB316" s="117"/>
      <c r="AC316" s="44"/>
      <c r="AD316" s="117"/>
    </row>
    <row r="317" spans="1:30" ht="14.25" customHeight="1">
      <c r="A317" s="189"/>
      <c r="B317" s="189"/>
      <c r="C317" s="44"/>
      <c r="D317" s="117"/>
      <c r="E317" s="44"/>
      <c r="F317" s="44"/>
      <c r="G317" s="117"/>
      <c r="H317" s="117"/>
      <c r="I317" s="117"/>
      <c r="J317" s="117"/>
      <c r="K317" s="117"/>
      <c r="L317" s="117"/>
      <c r="M317" s="117"/>
      <c r="N317" s="117"/>
      <c r="O317" s="117"/>
      <c r="P317" s="117"/>
      <c r="Q317" s="117"/>
      <c r="R317" s="117"/>
      <c r="S317" s="117"/>
      <c r="T317" s="117"/>
      <c r="U317" s="235"/>
      <c r="V317" s="117"/>
      <c r="W317" s="117"/>
      <c r="X317" s="117"/>
      <c r="Y317" s="117"/>
      <c r="Z317" s="117"/>
      <c r="AA317" s="44"/>
      <c r="AB317" s="117"/>
      <c r="AC317" s="44"/>
      <c r="AD317" s="117"/>
    </row>
    <row r="318" spans="1:30" ht="14.25" customHeight="1">
      <c r="A318" s="189"/>
      <c r="B318" s="189"/>
      <c r="C318" s="44"/>
      <c r="D318" s="117"/>
      <c r="E318" s="44"/>
      <c r="F318" s="44"/>
      <c r="G318" s="117"/>
      <c r="H318" s="117"/>
      <c r="I318" s="117"/>
      <c r="J318" s="117"/>
      <c r="K318" s="117"/>
      <c r="L318" s="117"/>
      <c r="M318" s="117"/>
      <c r="N318" s="117"/>
      <c r="O318" s="117"/>
      <c r="P318" s="117"/>
      <c r="Q318" s="117"/>
      <c r="R318" s="117"/>
      <c r="S318" s="117"/>
      <c r="T318" s="117"/>
      <c r="U318" s="235"/>
      <c r="V318" s="117"/>
      <c r="W318" s="117"/>
      <c r="X318" s="117"/>
      <c r="Y318" s="117"/>
      <c r="Z318" s="117"/>
      <c r="AA318" s="44"/>
      <c r="AB318" s="117"/>
      <c r="AC318" s="44"/>
      <c r="AD318" s="117"/>
    </row>
    <row r="319" spans="1:30" ht="14.25" customHeight="1">
      <c r="A319" s="189"/>
      <c r="B319" s="189"/>
      <c r="C319" s="44"/>
      <c r="D319" s="117"/>
      <c r="E319" s="44"/>
      <c r="F319" s="44"/>
      <c r="G319" s="117"/>
      <c r="H319" s="117"/>
      <c r="I319" s="117"/>
      <c r="J319" s="117"/>
      <c r="K319" s="117"/>
      <c r="L319" s="117"/>
      <c r="M319" s="117"/>
      <c r="N319" s="117"/>
      <c r="O319" s="117"/>
      <c r="P319" s="117"/>
      <c r="Q319" s="117"/>
      <c r="R319" s="117"/>
      <c r="S319" s="117"/>
      <c r="T319" s="117"/>
      <c r="U319" s="235"/>
      <c r="V319" s="117"/>
      <c r="W319" s="117"/>
      <c r="X319" s="117"/>
      <c r="Y319" s="117"/>
      <c r="Z319" s="117"/>
      <c r="AA319" s="44"/>
      <c r="AB319" s="117"/>
      <c r="AC319" s="44"/>
      <c r="AD319" s="117"/>
    </row>
    <row r="320" spans="1:30" ht="14.25" customHeight="1">
      <c r="A320" s="189"/>
      <c r="B320" s="189"/>
      <c r="C320" s="44"/>
      <c r="D320" s="117"/>
      <c r="E320" s="44"/>
      <c r="F320" s="44"/>
      <c r="G320" s="117"/>
      <c r="H320" s="117"/>
      <c r="I320" s="117"/>
      <c r="J320" s="117"/>
      <c r="K320" s="117"/>
      <c r="L320" s="117"/>
      <c r="M320" s="117"/>
      <c r="N320" s="117"/>
      <c r="O320" s="117"/>
      <c r="P320" s="117"/>
      <c r="Q320" s="117"/>
      <c r="R320" s="117"/>
      <c r="S320" s="117"/>
      <c r="T320" s="117"/>
      <c r="U320" s="235"/>
      <c r="V320" s="117"/>
      <c r="W320" s="117"/>
      <c r="X320" s="117"/>
      <c r="Y320" s="117"/>
      <c r="Z320" s="117"/>
      <c r="AA320" s="44"/>
      <c r="AB320" s="117"/>
      <c r="AC320" s="44"/>
      <c r="AD320" s="117"/>
    </row>
    <row r="321" spans="1:30" ht="14.25" customHeight="1">
      <c r="A321" s="189"/>
      <c r="B321" s="189"/>
      <c r="C321" s="44"/>
      <c r="D321" s="117"/>
      <c r="E321" s="44"/>
      <c r="F321" s="44"/>
      <c r="G321" s="117"/>
      <c r="H321" s="117"/>
      <c r="I321" s="117"/>
      <c r="J321" s="117"/>
      <c r="K321" s="117"/>
      <c r="L321" s="117"/>
      <c r="M321" s="117"/>
      <c r="N321" s="117"/>
      <c r="O321" s="117"/>
      <c r="P321" s="117"/>
      <c r="Q321" s="117"/>
      <c r="R321" s="117"/>
      <c r="S321" s="117"/>
      <c r="T321" s="117"/>
      <c r="U321" s="235"/>
      <c r="V321" s="117"/>
      <c r="W321" s="117"/>
      <c r="X321" s="117"/>
      <c r="Y321" s="117"/>
      <c r="Z321" s="117"/>
      <c r="AA321" s="44"/>
      <c r="AB321" s="117"/>
      <c r="AC321" s="44"/>
      <c r="AD321" s="117"/>
    </row>
    <row r="322" spans="1:30" ht="14.25" customHeight="1">
      <c r="A322" s="189"/>
      <c r="B322" s="189"/>
      <c r="C322" s="44"/>
      <c r="D322" s="117"/>
      <c r="E322" s="44"/>
      <c r="F322" s="44"/>
      <c r="G322" s="117"/>
      <c r="H322" s="117"/>
      <c r="I322" s="117"/>
      <c r="J322" s="117"/>
      <c r="K322" s="117"/>
      <c r="L322" s="117"/>
      <c r="M322" s="117"/>
      <c r="N322" s="117"/>
      <c r="O322" s="117"/>
      <c r="P322" s="117"/>
      <c r="Q322" s="117"/>
      <c r="R322" s="117"/>
      <c r="S322" s="117"/>
      <c r="T322" s="117"/>
      <c r="U322" s="235"/>
      <c r="V322" s="117"/>
      <c r="W322" s="117"/>
      <c r="X322" s="117"/>
      <c r="Y322" s="117"/>
      <c r="Z322" s="117"/>
      <c r="AA322" s="44"/>
      <c r="AB322" s="117"/>
      <c r="AC322" s="44"/>
      <c r="AD322" s="117"/>
    </row>
    <row r="323" spans="1:30" ht="14.25" customHeight="1">
      <c r="A323" s="189"/>
      <c r="B323" s="189"/>
      <c r="C323" s="44"/>
      <c r="D323" s="117"/>
      <c r="E323" s="44"/>
      <c r="F323" s="44"/>
      <c r="G323" s="117"/>
      <c r="H323" s="117"/>
      <c r="I323" s="117"/>
      <c r="J323" s="117"/>
      <c r="K323" s="117"/>
      <c r="L323" s="117"/>
      <c r="M323" s="117"/>
      <c r="N323" s="117"/>
      <c r="O323" s="117"/>
      <c r="P323" s="117"/>
      <c r="Q323" s="117"/>
      <c r="R323" s="117"/>
      <c r="S323" s="117"/>
      <c r="T323" s="117"/>
      <c r="U323" s="235"/>
      <c r="V323" s="117"/>
      <c r="W323" s="117"/>
      <c r="X323" s="117"/>
      <c r="Y323" s="117"/>
      <c r="Z323" s="117"/>
      <c r="AA323" s="44"/>
      <c r="AB323" s="117"/>
      <c r="AC323" s="44"/>
      <c r="AD323" s="117"/>
    </row>
    <row r="324" spans="1:30" ht="14.25" customHeight="1">
      <c r="A324" s="189"/>
      <c r="B324" s="189"/>
      <c r="C324" s="44"/>
      <c r="D324" s="117"/>
      <c r="E324" s="44"/>
      <c r="F324" s="44"/>
      <c r="G324" s="117"/>
      <c r="H324" s="117"/>
      <c r="I324" s="117"/>
      <c r="J324" s="117"/>
      <c r="K324" s="117"/>
      <c r="L324" s="117"/>
      <c r="M324" s="117"/>
      <c r="N324" s="117"/>
      <c r="O324" s="117"/>
      <c r="P324" s="117"/>
      <c r="Q324" s="117"/>
      <c r="R324" s="117"/>
      <c r="S324" s="117"/>
      <c r="T324" s="117"/>
      <c r="U324" s="235"/>
      <c r="V324" s="117"/>
      <c r="W324" s="117"/>
      <c r="X324" s="117"/>
      <c r="Y324" s="117"/>
      <c r="Z324" s="117"/>
      <c r="AA324" s="44"/>
      <c r="AB324" s="117"/>
      <c r="AC324" s="44"/>
      <c r="AD324" s="117"/>
    </row>
    <row r="325" spans="1:30" ht="14.25" customHeight="1">
      <c r="A325" s="189"/>
      <c r="B325" s="189"/>
      <c r="C325" s="44"/>
      <c r="D325" s="117"/>
      <c r="E325" s="44"/>
      <c r="F325" s="44"/>
      <c r="G325" s="117"/>
      <c r="H325" s="117"/>
      <c r="I325" s="117"/>
      <c r="J325" s="117"/>
      <c r="K325" s="117"/>
      <c r="L325" s="117"/>
      <c r="M325" s="117"/>
      <c r="N325" s="117"/>
      <c r="O325" s="117"/>
      <c r="P325" s="117"/>
      <c r="Q325" s="117"/>
      <c r="R325" s="117"/>
      <c r="S325" s="117"/>
      <c r="T325" s="117"/>
      <c r="U325" s="235"/>
      <c r="V325" s="117"/>
      <c r="W325" s="117"/>
      <c r="X325" s="117"/>
      <c r="Y325" s="117"/>
      <c r="Z325" s="117"/>
      <c r="AA325" s="44"/>
      <c r="AB325" s="117"/>
      <c r="AC325" s="44"/>
      <c r="AD325" s="117"/>
    </row>
    <row r="326" spans="1:30" ht="14.25" customHeight="1">
      <c r="A326" s="189"/>
      <c r="B326" s="189"/>
      <c r="C326" s="44"/>
      <c r="D326" s="117"/>
      <c r="E326" s="44"/>
      <c r="F326" s="44"/>
      <c r="G326" s="117"/>
      <c r="H326" s="117"/>
      <c r="I326" s="117"/>
      <c r="J326" s="117"/>
      <c r="K326" s="117"/>
      <c r="L326" s="117"/>
      <c r="M326" s="117"/>
      <c r="N326" s="117"/>
      <c r="O326" s="117"/>
      <c r="P326" s="117"/>
      <c r="Q326" s="117"/>
      <c r="R326" s="117"/>
      <c r="S326" s="117"/>
      <c r="T326" s="117"/>
      <c r="U326" s="235"/>
      <c r="V326" s="117"/>
      <c r="W326" s="117"/>
      <c r="X326" s="117"/>
      <c r="Y326" s="117"/>
      <c r="Z326" s="117"/>
      <c r="AA326" s="44"/>
      <c r="AB326" s="117"/>
      <c r="AC326" s="44"/>
      <c r="AD326" s="117"/>
    </row>
    <row r="327" spans="1:30" ht="14.25" customHeight="1">
      <c r="A327" s="189"/>
      <c r="B327" s="189"/>
      <c r="C327" s="44"/>
      <c r="D327" s="117"/>
      <c r="E327" s="44"/>
      <c r="F327" s="44"/>
      <c r="G327" s="117"/>
      <c r="H327" s="117"/>
      <c r="I327" s="117"/>
      <c r="J327" s="117"/>
      <c r="K327" s="117"/>
      <c r="L327" s="117"/>
      <c r="M327" s="117"/>
      <c r="N327" s="117"/>
      <c r="O327" s="117"/>
      <c r="P327" s="117"/>
      <c r="Q327" s="117"/>
      <c r="R327" s="117"/>
      <c r="S327" s="117"/>
      <c r="T327" s="117"/>
      <c r="U327" s="235"/>
      <c r="V327" s="117"/>
      <c r="W327" s="117"/>
      <c r="X327" s="117"/>
      <c r="Y327" s="117"/>
      <c r="Z327" s="117"/>
      <c r="AA327" s="44"/>
      <c r="AB327" s="117"/>
      <c r="AC327" s="44"/>
      <c r="AD327" s="117"/>
    </row>
    <row r="328" spans="1:30" ht="14.25" customHeight="1">
      <c r="A328" s="189"/>
      <c r="B328" s="189"/>
      <c r="C328" s="44"/>
      <c r="D328" s="117"/>
      <c r="E328" s="44"/>
      <c r="F328" s="44"/>
      <c r="G328" s="117"/>
      <c r="H328" s="117"/>
      <c r="I328" s="117"/>
      <c r="J328" s="117"/>
      <c r="K328" s="117"/>
      <c r="L328" s="117"/>
      <c r="M328" s="117"/>
      <c r="N328" s="117"/>
      <c r="O328" s="117"/>
      <c r="P328" s="117"/>
      <c r="Q328" s="117"/>
      <c r="R328" s="117"/>
      <c r="S328" s="117"/>
      <c r="T328" s="117"/>
      <c r="U328" s="235"/>
      <c r="V328" s="117"/>
      <c r="W328" s="117"/>
      <c r="X328" s="117"/>
      <c r="Y328" s="117"/>
      <c r="Z328" s="117"/>
      <c r="AA328" s="44"/>
      <c r="AB328" s="117"/>
      <c r="AC328" s="44"/>
      <c r="AD328" s="117"/>
    </row>
    <row r="329" spans="1:30" ht="14.25" customHeight="1">
      <c r="A329" s="189"/>
      <c r="B329" s="189"/>
      <c r="C329" s="44"/>
      <c r="D329" s="117"/>
      <c r="E329" s="44"/>
      <c r="F329" s="44"/>
      <c r="G329" s="117"/>
      <c r="H329" s="117"/>
      <c r="I329" s="117"/>
      <c r="J329" s="117"/>
      <c r="K329" s="117"/>
      <c r="L329" s="117"/>
      <c r="M329" s="117"/>
      <c r="N329" s="117"/>
      <c r="O329" s="117"/>
      <c r="P329" s="117"/>
      <c r="Q329" s="117"/>
      <c r="R329" s="117"/>
      <c r="S329" s="117"/>
      <c r="T329" s="117"/>
      <c r="U329" s="235"/>
      <c r="V329" s="117"/>
      <c r="W329" s="117"/>
      <c r="X329" s="117"/>
      <c r="Y329" s="117"/>
      <c r="Z329" s="117"/>
      <c r="AA329" s="44"/>
      <c r="AB329" s="117"/>
      <c r="AC329" s="44"/>
      <c r="AD329" s="117"/>
    </row>
    <row r="330" spans="1:30" ht="14.25" customHeight="1">
      <c r="A330" s="189"/>
      <c r="B330" s="189"/>
      <c r="C330" s="44"/>
      <c r="D330" s="117"/>
      <c r="E330" s="44"/>
      <c r="F330" s="44"/>
      <c r="G330" s="117"/>
      <c r="H330" s="117"/>
      <c r="I330" s="117"/>
      <c r="J330" s="117"/>
      <c r="K330" s="117"/>
      <c r="L330" s="117"/>
      <c r="M330" s="117"/>
      <c r="N330" s="117"/>
      <c r="O330" s="117"/>
      <c r="P330" s="117"/>
      <c r="Q330" s="117"/>
      <c r="R330" s="117"/>
      <c r="S330" s="117"/>
      <c r="T330" s="117"/>
      <c r="U330" s="235"/>
      <c r="V330" s="117"/>
      <c r="W330" s="117"/>
      <c r="X330" s="117"/>
      <c r="Y330" s="117"/>
      <c r="Z330" s="117"/>
      <c r="AA330" s="44"/>
      <c r="AB330" s="117"/>
      <c r="AC330" s="44"/>
      <c r="AD330" s="117"/>
    </row>
    <row r="331" spans="1:30" ht="14.25" customHeight="1">
      <c r="A331" s="189"/>
      <c r="B331" s="189"/>
      <c r="C331" s="44"/>
      <c r="D331" s="117"/>
      <c r="E331" s="44"/>
      <c r="F331" s="44"/>
      <c r="G331" s="117"/>
      <c r="H331" s="117"/>
      <c r="I331" s="117"/>
      <c r="J331" s="117"/>
      <c r="K331" s="117"/>
      <c r="L331" s="117"/>
      <c r="M331" s="117"/>
      <c r="N331" s="117"/>
      <c r="O331" s="117"/>
      <c r="P331" s="117"/>
      <c r="Q331" s="117"/>
      <c r="R331" s="117"/>
      <c r="S331" s="117"/>
      <c r="T331" s="117"/>
      <c r="U331" s="235"/>
      <c r="V331" s="117"/>
      <c r="W331" s="117"/>
      <c r="X331" s="117"/>
      <c r="Y331" s="117"/>
      <c r="Z331" s="117"/>
      <c r="AA331" s="44"/>
      <c r="AB331" s="117"/>
      <c r="AC331" s="44"/>
      <c r="AD331" s="117"/>
    </row>
    <row r="332" spans="1:30" ht="14.25" customHeight="1">
      <c r="A332" s="189"/>
      <c r="B332" s="189"/>
      <c r="C332" s="44"/>
      <c r="D332" s="117"/>
      <c r="E332" s="44"/>
      <c r="F332" s="44"/>
      <c r="G332" s="117"/>
      <c r="H332" s="117"/>
      <c r="I332" s="117"/>
      <c r="J332" s="117"/>
      <c r="K332" s="117"/>
      <c r="L332" s="117"/>
      <c r="M332" s="117"/>
      <c r="N332" s="117"/>
      <c r="O332" s="117"/>
      <c r="P332" s="117"/>
      <c r="Q332" s="117"/>
      <c r="R332" s="117"/>
      <c r="S332" s="117"/>
      <c r="T332" s="117"/>
      <c r="U332" s="235"/>
      <c r="V332" s="117"/>
      <c r="W332" s="117"/>
      <c r="X332" s="117"/>
      <c r="Y332" s="117"/>
      <c r="Z332" s="117"/>
      <c r="AA332" s="44"/>
      <c r="AB332" s="117"/>
      <c r="AC332" s="44"/>
      <c r="AD332" s="117"/>
    </row>
    <row r="333" spans="1:30" ht="14.25" customHeight="1">
      <c r="A333" s="189"/>
      <c r="B333" s="189"/>
      <c r="C333" s="44"/>
      <c r="D333" s="117"/>
      <c r="E333" s="44"/>
      <c r="F333" s="44"/>
      <c r="G333" s="117"/>
      <c r="H333" s="117"/>
      <c r="I333" s="117"/>
      <c r="J333" s="117"/>
      <c r="K333" s="117"/>
      <c r="L333" s="117"/>
      <c r="M333" s="117"/>
      <c r="N333" s="117"/>
      <c r="O333" s="117"/>
      <c r="P333" s="117"/>
      <c r="Q333" s="117"/>
      <c r="R333" s="117"/>
      <c r="S333" s="117"/>
      <c r="T333" s="117"/>
      <c r="U333" s="235"/>
      <c r="V333" s="117"/>
      <c r="W333" s="117"/>
      <c r="X333" s="117"/>
      <c r="Y333" s="117"/>
      <c r="Z333" s="117"/>
      <c r="AA333" s="44"/>
      <c r="AB333" s="117"/>
      <c r="AC333" s="44"/>
      <c r="AD333" s="117"/>
    </row>
    <row r="334" spans="1:30" ht="14.25" customHeight="1">
      <c r="A334" s="189"/>
      <c r="B334" s="189"/>
      <c r="C334" s="44"/>
      <c r="D334" s="117"/>
      <c r="E334" s="44"/>
      <c r="F334" s="44"/>
      <c r="G334" s="117"/>
      <c r="H334" s="117"/>
      <c r="I334" s="117"/>
      <c r="J334" s="117"/>
      <c r="K334" s="117"/>
      <c r="L334" s="117"/>
      <c r="M334" s="117"/>
      <c r="N334" s="117"/>
      <c r="O334" s="117"/>
      <c r="P334" s="117"/>
      <c r="Q334" s="117"/>
      <c r="R334" s="117"/>
      <c r="S334" s="117"/>
      <c r="T334" s="117"/>
      <c r="U334" s="235"/>
      <c r="V334" s="117"/>
      <c r="W334" s="117"/>
      <c r="X334" s="117"/>
      <c r="Y334" s="117"/>
      <c r="Z334" s="117"/>
      <c r="AA334" s="44"/>
      <c r="AB334" s="117"/>
      <c r="AC334" s="44"/>
      <c r="AD334" s="117"/>
    </row>
    <row r="335" spans="1:30" ht="14.25" customHeight="1">
      <c r="A335" s="189"/>
      <c r="B335" s="189"/>
      <c r="C335" s="44"/>
      <c r="D335" s="117"/>
      <c r="E335" s="44"/>
      <c r="F335" s="44"/>
      <c r="G335" s="117"/>
      <c r="H335" s="117"/>
      <c r="I335" s="117"/>
      <c r="J335" s="117"/>
      <c r="K335" s="117"/>
      <c r="L335" s="117"/>
      <c r="M335" s="117"/>
      <c r="N335" s="117"/>
      <c r="O335" s="117"/>
      <c r="P335" s="117"/>
      <c r="Q335" s="117"/>
      <c r="R335" s="117"/>
      <c r="S335" s="117"/>
      <c r="T335" s="117"/>
      <c r="U335" s="235"/>
      <c r="V335" s="117"/>
      <c r="W335" s="117"/>
      <c r="X335" s="117"/>
      <c r="Y335" s="117"/>
      <c r="Z335" s="117"/>
      <c r="AA335" s="44"/>
      <c r="AB335" s="117"/>
      <c r="AC335" s="44"/>
      <c r="AD335" s="117"/>
    </row>
    <row r="336" spans="1:30" ht="14.25" customHeight="1">
      <c r="A336" s="189"/>
      <c r="B336" s="189"/>
      <c r="C336" s="44"/>
      <c r="D336" s="117"/>
      <c r="E336" s="44"/>
      <c r="F336" s="44"/>
      <c r="G336" s="117"/>
      <c r="H336" s="117"/>
      <c r="I336" s="117"/>
      <c r="J336" s="117"/>
      <c r="K336" s="117"/>
      <c r="L336" s="117"/>
      <c r="M336" s="117"/>
      <c r="N336" s="117"/>
      <c r="O336" s="117"/>
      <c r="P336" s="117"/>
      <c r="Q336" s="117"/>
      <c r="R336" s="117"/>
      <c r="S336" s="117"/>
      <c r="T336" s="117"/>
      <c r="U336" s="235"/>
      <c r="V336" s="117"/>
      <c r="W336" s="117"/>
      <c r="X336" s="117"/>
      <c r="Y336" s="117"/>
      <c r="Z336" s="117"/>
      <c r="AA336" s="44"/>
      <c r="AB336" s="117"/>
      <c r="AC336" s="44"/>
      <c r="AD336" s="117"/>
    </row>
    <row r="337" spans="1:30" ht="14.25" customHeight="1">
      <c r="A337" s="189"/>
      <c r="B337" s="189"/>
      <c r="C337" s="44"/>
      <c r="D337" s="117"/>
      <c r="E337" s="44"/>
      <c r="F337" s="44"/>
      <c r="G337" s="117"/>
      <c r="H337" s="117"/>
      <c r="I337" s="117"/>
      <c r="J337" s="117"/>
      <c r="K337" s="117"/>
      <c r="L337" s="117"/>
      <c r="M337" s="117"/>
      <c r="N337" s="117"/>
      <c r="O337" s="117"/>
      <c r="P337" s="117"/>
      <c r="Q337" s="117"/>
      <c r="R337" s="117"/>
      <c r="S337" s="117"/>
      <c r="T337" s="117"/>
      <c r="U337" s="235"/>
      <c r="V337" s="117"/>
      <c r="W337" s="117"/>
      <c r="X337" s="117"/>
      <c r="Y337" s="117"/>
      <c r="Z337" s="117"/>
      <c r="AA337" s="44"/>
      <c r="AB337" s="117"/>
      <c r="AC337" s="44"/>
      <c r="AD337" s="117"/>
    </row>
    <row r="338" spans="1:30" ht="14.25" customHeight="1">
      <c r="A338" s="189"/>
      <c r="B338" s="189"/>
      <c r="C338" s="44"/>
      <c r="D338" s="117"/>
      <c r="E338" s="44"/>
      <c r="F338" s="44"/>
      <c r="G338" s="117"/>
      <c r="H338" s="117"/>
      <c r="I338" s="117"/>
      <c r="J338" s="117"/>
      <c r="K338" s="117"/>
      <c r="L338" s="117"/>
      <c r="M338" s="117"/>
      <c r="N338" s="117"/>
      <c r="O338" s="117"/>
      <c r="P338" s="117"/>
      <c r="Q338" s="117"/>
      <c r="R338" s="117"/>
      <c r="S338" s="117"/>
      <c r="T338" s="117"/>
      <c r="U338" s="235"/>
      <c r="V338" s="117"/>
      <c r="W338" s="117"/>
      <c r="X338" s="117"/>
      <c r="Y338" s="117"/>
      <c r="Z338" s="117"/>
      <c r="AA338" s="44"/>
      <c r="AB338" s="117"/>
      <c r="AC338" s="44"/>
      <c r="AD338" s="117"/>
    </row>
    <row r="339" spans="1:30" ht="14.25" customHeight="1">
      <c r="A339" s="189"/>
      <c r="B339" s="189"/>
      <c r="C339" s="44"/>
      <c r="D339" s="117"/>
      <c r="E339" s="44"/>
      <c r="F339" s="44"/>
      <c r="G339" s="117"/>
      <c r="H339" s="117"/>
      <c r="I339" s="117"/>
      <c r="J339" s="117"/>
      <c r="K339" s="117"/>
      <c r="L339" s="117"/>
      <c r="M339" s="117"/>
      <c r="N339" s="117"/>
      <c r="O339" s="117"/>
      <c r="P339" s="117"/>
      <c r="Q339" s="117"/>
      <c r="R339" s="117"/>
      <c r="S339" s="117"/>
      <c r="T339" s="117"/>
      <c r="U339" s="235"/>
      <c r="V339" s="117"/>
      <c r="W339" s="117"/>
      <c r="X339" s="117"/>
      <c r="Y339" s="117"/>
      <c r="Z339" s="117"/>
      <c r="AA339" s="44"/>
      <c r="AB339" s="117"/>
      <c r="AC339" s="44"/>
      <c r="AD339" s="117"/>
    </row>
    <row r="340" spans="1:30" ht="14.25" customHeight="1">
      <c r="A340" s="189"/>
      <c r="B340" s="189"/>
      <c r="C340" s="44"/>
      <c r="D340" s="117"/>
      <c r="E340" s="44"/>
      <c r="F340" s="44"/>
      <c r="G340" s="117"/>
      <c r="H340" s="117"/>
      <c r="I340" s="117"/>
      <c r="J340" s="117"/>
      <c r="K340" s="117"/>
      <c r="L340" s="117"/>
      <c r="M340" s="117"/>
      <c r="N340" s="117"/>
      <c r="O340" s="117"/>
      <c r="P340" s="117"/>
      <c r="Q340" s="117"/>
      <c r="R340" s="117"/>
      <c r="S340" s="117"/>
      <c r="T340" s="117"/>
      <c r="U340" s="235"/>
      <c r="V340" s="117"/>
      <c r="W340" s="117"/>
      <c r="X340" s="117"/>
      <c r="Y340" s="117"/>
      <c r="Z340" s="117"/>
      <c r="AA340" s="44"/>
      <c r="AB340" s="117"/>
      <c r="AC340" s="44"/>
      <c r="AD340" s="117"/>
    </row>
    <row r="341" spans="1:30" ht="14.25" customHeight="1">
      <c r="A341" s="189"/>
      <c r="B341" s="189"/>
      <c r="C341" s="44"/>
      <c r="D341" s="117"/>
      <c r="E341" s="44"/>
      <c r="F341" s="44"/>
      <c r="G341" s="117"/>
      <c r="H341" s="117"/>
      <c r="I341" s="117"/>
      <c r="J341" s="117"/>
      <c r="K341" s="117"/>
      <c r="L341" s="117"/>
      <c r="M341" s="117"/>
      <c r="N341" s="117"/>
      <c r="O341" s="117"/>
      <c r="P341" s="117"/>
      <c r="Q341" s="117"/>
      <c r="R341" s="117"/>
      <c r="S341" s="117"/>
      <c r="T341" s="117"/>
      <c r="U341" s="235"/>
      <c r="V341" s="117"/>
      <c r="W341" s="117"/>
      <c r="X341" s="117"/>
      <c r="Y341" s="117"/>
      <c r="Z341" s="117"/>
      <c r="AA341" s="44"/>
      <c r="AB341" s="117"/>
      <c r="AC341" s="44"/>
      <c r="AD341" s="117"/>
    </row>
    <row r="342" spans="1:30" ht="14.25" customHeight="1">
      <c r="A342" s="189"/>
      <c r="B342" s="189"/>
      <c r="C342" s="44"/>
      <c r="D342" s="117"/>
      <c r="E342" s="44"/>
      <c r="F342" s="44"/>
      <c r="G342" s="117"/>
      <c r="H342" s="117"/>
      <c r="I342" s="117"/>
      <c r="J342" s="117"/>
      <c r="K342" s="117"/>
      <c r="L342" s="117"/>
      <c r="M342" s="117"/>
      <c r="N342" s="117"/>
      <c r="O342" s="117"/>
      <c r="P342" s="117"/>
      <c r="Q342" s="117"/>
      <c r="R342" s="117"/>
      <c r="S342" s="117"/>
      <c r="T342" s="117"/>
      <c r="U342" s="235"/>
      <c r="V342" s="117"/>
      <c r="W342" s="117"/>
      <c r="X342" s="117"/>
      <c r="Y342" s="117"/>
      <c r="Z342" s="117"/>
      <c r="AA342" s="44"/>
      <c r="AB342" s="117"/>
      <c r="AC342" s="44"/>
      <c r="AD342" s="117"/>
    </row>
    <row r="343" spans="1:30" ht="14.25" customHeight="1">
      <c r="A343" s="189"/>
      <c r="B343" s="189"/>
      <c r="C343" s="44"/>
      <c r="D343" s="117"/>
      <c r="E343" s="44"/>
      <c r="F343" s="44"/>
      <c r="G343" s="117"/>
      <c r="H343" s="117"/>
      <c r="I343" s="117"/>
      <c r="J343" s="117"/>
      <c r="K343" s="117"/>
      <c r="L343" s="117"/>
      <c r="M343" s="117"/>
      <c r="N343" s="117"/>
      <c r="O343" s="117"/>
      <c r="P343" s="117"/>
      <c r="Q343" s="117"/>
      <c r="R343" s="117"/>
      <c r="S343" s="117"/>
      <c r="T343" s="117"/>
      <c r="U343" s="235"/>
      <c r="V343" s="117"/>
      <c r="W343" s="117"/>
      <c r="X343" s="117"/>
      <c r="Y343" s="117"/>
      <c r="Z343" s="117"/>
      <c r="AA343" s="44"/>
      <c r="AB343" s="117"/>
      <c r="AC343" s="44"/>
      <c r="AD343" s="117"/>
    </row>
    <row r="344" spans="1:30" ht="14.25" customHeight="1">
      <c r="A344" s="189"/>
      <c r="B344" s="189"/>
      <c r="C344" s="44"/>
      <c r="D344" s="117"/>
      <c r="E344" s="44"/>
      <c r="F344" s="44"/>
      <c r="G344" s="117"/>
      <c r="H344" s="117"/>
      <c r="I344" s="117"/>
      <c r="J344" s="117"/>
      <c r="K344" s="117"/>
      <c r="L344" s="117"/>
      <c r="M344" s="117"/>
      <c r="N344" s="117"/>
      <c r="O344" s="117"/>
      <c r="P344" s="117"/>
      <c r="Q344" s="117"/>
      <c r="R344" s="117"/>
      <c r="S344" s="117"/>
      <c r="T344" s="117"/>
      <c r="U344" s="235"/>
      <c r="V344" s="117"/>
      <c r="W344" s="117"/>
      <c r="X344" s="117"/>
      <c r="Y344" s="117"/>
      <c r="Z344" s="117"/>
      <c r="AA344" s="44"/>
      <c r="AB344" s="117"/>
      <c r="AC344" s="44"/>
      <c r="AD344" s="117"/>
    </row>
    <row r="345" spans="1:30" ht="14.25" customHeight="1">
      <c r="A345" s="189"/>
      <c r="B345" s="189"/>
      <c r="C345" s="44"/>
      <c r="D345" s="117"/>
      <c r="E345" s="44"/>
      <c r="F345" s="44"/>
      <c r="G345" s="117"/>
      <c r="H345" s="117"/>
      <c r="I345" s="117"/>
      <c r="J345" s="117"/>
      <c r="K345" s="117"/>
      <c r="L345" s="117"/>
      <c r="M345" s="117"/>
      <c r="N345" s="117"/>
      <c r="O345" s="117"/>
      <c r="P345" s="117"/>
      <c r="Q345" s="117"/>
      <c r="R345" s="117"/>
      <c r="S345" s="117"/>
      <c r="T345" s="117"/>
      <c r="U345" s="235"/>
      <c r="V345" s="117"/>
      <c r="W345" s="117"/>
      <c r="X345" s="117"/>
      <c r="Y345" s="117"/>
      <c r="Z345" s="117"/>
      <c r="AA345" s="44"/>
      <c r="AB345" s="117"/>
      <c r="AC345" s="44"/>
      <c r="AD345" s="117"/>
    </row>
    <row r="346" spans="1:30" ht="14.25" customHeight="1">
      <c r="A346" s="189"/>
      <c r="B346" s="189"/>
      <c r="C346" s="44"/>
      <c r="D346" s="117"/>
      <c r="E346" s="44"/>
      <c r="F346" s="44"/>
      <c r="G346" s="117"/>
      <c r="H346" s="117"/>
      <c r="I346" s="117"/>
      <c r="J346" s="117"/>
      <c r="K346" s="117"/>
      <c r="L346" s="117"/>
      <c r="M346" s="117"/>
      <c r="N346" s="117"/>
      <c r="O346" s="117"/>
      <c r="P346" s="117"/>
      <c r="Q346" s="117"/>
      <c r="R346" s="117"/>
      <c r="S346" s="117"/>
      <c r="T346" s="117"/>
      <c r="U346" s="235"/>
      <c r="V346" s="117"/>
      <c r="W346" s="117"/>
      <c r="X346" s="117"/>
      <c r="Y346" s="117"/>
      <c r="Z346" s="117"/>
      <c r="AA346" s="44"/>
      <c r="AB346" s="117"/>
      <c r="AC346" s="44"/>
      <c r="AD346" s="117"/>
    </row>
    <row r="347" spans="1:30" ht="14.25" customHeight="1">
      <c r="A347" s="189"/>
      <c r="B347" s="189"/>
      <c r="C347" s="44"/>
      <c r="D347" s="213"/>
      <c r="E347" s="44"/>
      <c r="F347" s="44"/>
      <c r="G347" s="213"/>
      <c r="H347" s="213"/>
      <c r="I347" s="213"/>
      <c r="J347" s="213"/>
      <c r="K347" s="213"/>
      <c r="L347" s="213"/>
      <c r="M347" s="213"/>
      <c r="N347" s="213"/>
      <c r="O347" s="213"/>
      <c r="P347" s="213"/>
      <c r="Q347" s="213"/>
      <c r="R347" s="213"/>
      <c r="S347" s="213"/>
      <c r="T347" s="213"/>
      <c r="U347" s="236"/>
      <c r="V347" s="213"/>
      <c r="W347" s="213"/>
      <c r="X347" s="213"/>
      <c r="Y347" s="213"/>
      <c r="Z347" s="213"/>
      <c r="AA347" s="44"/>
      <c r="AB347" s="213"/>
      <c r="AC347" s="44"/>
      <c r="AD347" s="213"/>
    </row>
    <row r="348" spans="1:30" ht="14.25" customHeight="1">
      <c r="A348" s="189"/>
      <c r="B348" s="189"/>
      <c r="C348" s="44"/>
      <c r="D348" s="117"/>
      <c r="E348" s="44"/>
      <c r="F348" s="44"/>
      <c r="G348" s="117"/>
      <c r="H348" s="117"/>
      <c r="I348" s="117"/>
      <c r="J348" s="117"/>
      <c r="K348" s="117"/>
      <c r="L348" s="117"/>
      <c r="M348" s="117"/>
      <c r="N348" s="117"/>
      <c r="O348" s="117"/>
      <c r="P348" s="117"/>
      <c r="Q348" s="117"/>
      <c r="R348" s="117"/>
      <c r="S348" s="117"/>
      <c r="T348" s="117"/>
      <c r="U348" s="235"/>
      <c r="V348" s="117"/>
      <c r="W348" s="117"/>
      <c r="X348" s="117"/>
      <c r="Y348" s="117"/>
      <c r="Z348" s="117"/>
      <c r="AA348" s="44"/>
      <c r="AB348" s="117"/>
      <c r="AC348" s="44"/>
      <c r="AD348" s="117"/>
    </row>
    <row r="349" spans="1:30" ht="14.25" customHeight="1">
      <c r="A349" s="189"/>
      <c r="B349" s="189"/>
      <c r="C349" s="44"/>
      <c r="D349" s="117"/>
      <c r="E349" s="44"/>
      <c r="F349" s="44"/>
      <c r="G349" s="117"/>
      <c r="H349" s="117"/>
      <c r="I349" s="117"/>
      <c r="J349" s="117"/>
      <c r="K349" s="117"/>
      <c r="L349" s="117"/>
      <c r="M349" s="117"/>
      <c r="N349" s="117"/>
      <c r="O349" s="117"/>
      <c r="P349" s="117"/>
      <c r="Q349" s="117"/>
      <c r="R349" s="117"/>
      <c r="S349" s="117"/>
      <c r="T349" s="117"/>
      <c r="U349" s="235"/>
      <c r="V349" s="117"/>
      <c r="W349" s="117"/>
      <c r="X349" s="117"/>
      <c r="Y349" s="117"/>
      <c r="Z349" s="117"/>
      <c r="AA349" s="44"/>
      <c r="AB349" s="117"/>
      <c r="AC349" s="44"/>
      <c r="AD349" s="117"/>
    </row>
    <row r="350" spans="1:30" ht="14.25" customHeight="1">
      <c r="A350" s="189"/>
      <c r="B350" s="189"/>
      <c r="C350" s="44"/>
      <c r="D350" s="117"/>
      <c r="E350" s="44"/>
      <c r="F350" s="44"/>
      <c r="G350" s="117"/>
      <c r="H350" s="117"/>
      <c r="I350" s="117"/>
      <c r="J350" s="117"/>
      <c r="K350" s="117"/>
      <c r="L350" s="117"/>
      <c r="M350" s="117"/>
      <c r="N350" s="117"/>
      <c r="O350" s="117"/>
      <c r="P350" s="117"/>
      <c r="Q350" s="117"/>
      <c r="R350" s="117"/>
      <c r="S350" s="117"/>
      <c r="T350" s="117"/>
      <c r="U350" s="235"/>
      <c r="V350" s="117"/>
      <c r="W350" s="117"/>
      <c r="X350" s="117"/>
      <c r="Y350" s="117"/>
      <c r="Z350" s="117"/>
      <c r="AA350" s="44"/>
      <c r="AB350" s="117"/>
      <c r="AC350" s="44"/>
      <c r="AD350" s="117"/>
    </row>
    <row r="351" spans="1:30" ht="14.25" customHeight="1">
      <c r="A351" s="189"/>
      <c r="B351" s="189"/>
      <c r="C351" s="44"/>
      <c r="D351" s="117"/>
      <c r="E351" s="44"/>
      <c r="F351" s="44"/>
      <c r="G351" s="117"/>
      <c r="H351" s="117"/>
      <c r="I351" s="117"/>
      <c r="J351" s="117"/>
      <c r="K351" s="117"/>
      <c r="L351" s="117"/>
      <c r="M351" s="117"/>
      <c r="N351" s="117"/>
      <c r="O351" s="117"/>
      <c r="P351" s="117"/>
      <c r="Q351" s="117"/>
      <c r="R351" s="117"/>
      <c r="S351" s="117"/>
      <c r="T351" s="117"/>
      <c r="U351" s="235"/>
      <c r="V351" s="117"/>
      <c r="W351" s="117"/>
      <c r="X351" s="117"/>
      <c r="Y351" s="117"/>
      <c r="Z351" s="117"/>
      <c r="AA351" s="44"/>
      <c r="AB351" s="117"/>
      <c r="AC351" s="44"/>
      <c r="AD351" s="117"/>
    </row>
    <row r="352" spans="1:30" ht="14.25" customHeight="1">
      <c r="A352" s="189"/>
      <c r="B352" s="189"/>
      <c r="C352" s="44"/>
      <c r="D352" s="117"/>
      <c r="E352" s="44"/>
      <c r="F352" s="44"/>
      <c r="G352" s="117"/>
      <c r="H352" s="117"/>
      <c r="I352" s="117"/>
      <c r="J352" s="117"/>
      <c r="K352" s="117"/>
      <c r="L352" s="117"/>
      <c r="M352" s="117"/>
      <c r="N352" s="117"/>
      <c r="O352" s="117"/>
      <c r="P352" s="117"/>
      <c r="Q352" s="117"/>
      <c r="R352" s="117"/>
      <c r="S352" s="117"/>
      <c r="T352" s="117"/>
      <c r="U352" s="235"/>
      <c r="V352" s="117"/>
      <c r="W352" s="117"/>
      <c r="X352" s="117"/>
      <c r="Y352" s="117"/>
      <c r="Z352" s="117"/>
      <c r="AA352" s="44"/>
      <c r="AB352" s="117"/>
      <c r="AC352" s="44"/>
      <c r="AD352" s="117"/>
    </row>
    <row r="353" spans="1:30" ht="14.25" customHeight="1">
      <c r="A353" s="189"/>
      <c r="B353" s="189"/>
      <c r="C353" s="44"/>
      <c r="D353" s="117"/>
      <c r="E353" s="44"/>
      <c r="F353" s="44"/>
      <c r="G353" s="117"/>
      <c r="H353" s="117"/>
      <c r="I353" s="117"/>
      <c r="J353" s="117"/>
      <c r="K353" s="117"/>
      <c r="L353" s="117"/>
      <c r="M353" s="117"/>
      <c r="N353" s="117"/>
      <c r="O353" s="117"/>
      <c r="P353" s="117"/>
      <c r="Q353" s="117"/>
      <c r="R353" s="117"/>
      <c r="S353" s="117"/>
      <c r="T353" s="117"/>
      <c r="U353" s="235"/>
      <c r="V353" s="117"/>
      <c r="W353" s="117"/>
      <c r="X353" s="117"/>
      <c r="Y353" s="117"/>
      <c r="Z353" s="117"/>
      <c r="AA353" s="44"/>
      <c r="AB353" s="117"/>
      <c r="AC353" s="44"/>
      <c r="AD353" s="117"/>
    </row>
    <row r="354" spans="1:30" ht="14.25" customHeight="1">
      <c r="A354" s="189"/>
      <c r="B354" s="189"/>
      <c r="C354" s="44"/>
      <c r="D354" s="117"/>
      <c r="E354" s="44"/>
      <c r="F354" s="44"/>
      <c r="G354" s="117"/>
      <c r="H354" s="117"/>
      <c r="I354" s="117"/>
      <c r="J354" s="117"/>
      <c r="K354" s="117"/>
      <c r="L354" s="117"/>
      <c r="M354" s="117"/>
      <c r="N354" s="117"/>
      <c r="O354" s="117"/>
      <c r="P354" s="117"/>
      <c r="Q354" s="117"/>
      <c r="R354" s="117"/>
      <c r="S354" s="117"/>
      <c r="T354" s="117"/>
      <c r="U354" s="235"/>
      <c r="V354" s="117"/>
      <c r="W354" s="117"/>
      <c r="X354" s="117"/>
      <c r="Y354" s="117"/>
      <c r="Z354" s="117"/>
      <c r="AA354" s="44"/>
      <c r="AB354" s="117"/>
      <c r="AC354" s="44"/>
      <c r="AD354" s="117"/>
    </row>
    <row r="355" spans="1:30" ht="14.25" customHeight="1">
      <c r="A355" s="189"/>
      <c r="B355" s="189"/>
      <c r="C355" s="44"/>
      <c r="D355" s="117"/>
      <c r="E355" s="44"/>
      <c r="F355" s="44"/>
      <c r="G355" s="117"/>
      <c r="H355" s="117"/>
      <c r="I355" s="117"/>
      <c r="J355" s="117"/>
      <c r="K355" s="117"/>
      <c r="L355" s="117"/>
      <c r="M355" s="117"/>
      <c r="N355" s="117"/>
      <c r="O355" s="117"/>
      <c r="P355" s="117"/>
      <c r="Q355" s="117"/>
      <c r="R355" s="117"/>
      <c r="S355" s="117"/>
      <c r="T355" s="117"/>
      <c r="U355" s="235"/>
      <c r="V355" s="117"/>
      <c r="W355" s="117"/>
      <c r="X355" s="117"/>
      <c r="Y355" s="117"/>
      <c r="Z355" s="117"/>
      <c r="AA355" s="44"/>
      <c r="AB355" s="117"/>
      <c r="AC355" s="44"/>
      <c r="AD355" s="117"/>
    </row>
    <row r="356" spans="1:30" ht="14.25" customHeight="1">
      <c r="A356" s="189"/>
      <c r="B356" s="189"/>
      <c r="C356" s="44"/>
      <c r="D356" s="117"/>
      <c r="E356" s="44"/>
      <c r="F356" s="44"/>
      <c r="G356" s="117"/>
      <c r="H356" s="117"/>
      <c r="I356" s="117"/>
      <c r="J356" s="117"/>
      <c r="K356" s="117"/>
      <c r="L356" s="117"/>
      <c r="M356" s="117"/>
      <c r="N356" s="117"/>
      <c r="O356" s="117"/>
      <c r="P356" s="117"/>
      <c r="Q356" s="117"/>
      <c r="R356" s="117"/>
      <c r="S356" s="117"/>
      <c r="T356" s="117"/>
      <c r="U356" s="235"/>
      <c r="V356" s="117"/>
      <c r="W356" s="117"/>
      <c r="X356" s="117"/>
      <c r="Y356" s="117"/>
      <c r="Z356" s="117"/>
      <c r="AA356" s="44"/>
      <c r="AB356" s="117"/>
      <c r="AC356" s="44"/>
      <c r="AD356" s="117"/>
    </row>
    <row r="357" spans="1:30" ht="14.25" customHeight="1">
      <c r="A357" s="189"/>
      <c r="B357" s="189"/>
      <c r="C357" s="44"/>
      <c r="D357" s="117"/>
      <c r="E357" s="44"/>
      <c r="F357" s="44"/>
      <c r="G357" s="117"/>
      <c r="H357" s="117"/>
      <c r="I357" s="117"/>
      <c r="J357" s="117"/>
      <c r="K357" s="117"/>
      <c r="L357" s="117"/>
      <c r="M357" s="117"/>
      <c r="N357" s="117"/>
      <c r="O357" s="117"/>
      <c r="P357" s="117"/>
      <c r="Q357" s="117"/>
      <c r="R357" s="117"/>
      <c r="S357" s="117"/>
      <c r="T357" s="117"/>
      <c r="U357" s="235"/>
      <c r="V357" s="117"/>
      <c r="W357" s="117"/>
      <c r="X357" s="117"/>
      <c r="Y357" s="117"/>
      <c r="Z357" s="117"/>
      <c r="AA357" s="44"/>
      <c r="AB357" s="117"/>
      <c r="AC357" s="44"/>
      <c r="AD357" s="117"/>
    </row>
    <row r="358" spans="1:30" ht="14.25" customHeight="1">
      <c r="A358" s="189"/>
      <c r="B358" s="189"/>
      <c r="C358" s="44"/>
      <c r="D358" s="117"/>
      <c r="E358" s="44"/>
      <c r="F358" s="44"/>
      <c r="G358" s="117"/>
      <c r="H358" s="117"/>
      <c r="I358" s="117"/>
      <c r="J358" s="117"/>
      <c r="K358" s="117"/>
      <c r="L358" s="117"/>
      <c r="M358" s="117"/>
      <c r="N358" s="117"/>
      <c r="O358" s="117"/>
      <c r="P358" s="117"/>
      <c r="Q358" s="117"/>
      <c r="R358" s="117"/>
      <c r="S358" s="117"/>
      <c r="T358" s="117"/>
      <c r="U358" s="235"/>
      <c r="V358" s="117"/>
      <c r="W358" s="117"/>
      <c r="X358" s="117"/>
      <c r="Y358" s="117"/>
      <c r="Z358" s="117"/>
      <c r="AA358" s="44"/>
      <c r="AB358" s="117"/>
      <c r="AC358" s="44"/>
      <c r="AD358" s="117"/>
    </row>
    <row r="359" spans="1:30" ht="14.25" customHeight="1">
      <c r="A359" s="189"/>
      <c r="B359" s="189"/>
      <c r="C359" s="44"/>
      <c r="D359" s="117"/>
      <c r="E359" s="44"/>
      <c r="F359" s="44"/>
      <c r="G359" s="117"/>
      <c r="H359" s="117"/>
      <c r="I359" s="117"/>
      <c r="J359" s="117"/>
      <c r="K359" s="117"/>
      <c r="L359" s="117"/>
      <c r="M359" s="117"/>
      <c r="N359" s="117"/>
      <c r="O359" s="117"/>
      <c r="P359" s="117"/>
      <c r="Q359" s="117"/>
      <c r="R359" s="117"/>
      <c r="S359" s="117"/>
      <c r="T359" s="117"/>
      <c r="U359" s="235"/>
      <c r="V359" s="117"/>
      <c r="W359" s="117"/>
      <c r="X359" s="117"/>
      <c r="Y359" s="117"/>
      <c r="Z359" s="117"/>
      <c r="AA359" s="44"/>
      <c r="AB359" s="117"/>
      <c r="AC359" s="44"/>
      <c r="AD359" s="117"/>
    </row>
    <row r="360" spans="1:30" ht="14.25" customHeight="1">
      <c r="A360" s="189"/>
      <c r="B360" s="189"/>
      <c r="C360" s="44"/>
      <c r="D360" s="117"/>
      <c r="E360" s="44"/>
      <c r="F360" s="44"/>
      <c r="G360" s="117"/>
      <c r="H360" s="117"/>
      <c r="I360" s="117"/>
      <c r="J360" s="117"/>
      <c r="K360" s="117"/>
      <c r="L360" s="117"/>
      <c r="M360" s="117"/>
      <c r="N360" s="117"/>
      <c r="O360" s="117"/>
      <c r="P360" s="117"/>
      <c r="Q360" s="117"/>
      <c r="R360" s="117"/>
      <c r="S360" s="117"/>
      <c r="T360" s="117"/>
      <c r="U360" s="235"/>
      <c r="V360" s="117"/>
      <c r="W360" s="117"/>
      <c r="X360" s="117"/>
      <c r="Y360" s="117"/>
      <c r="Z360" s="117"/>
      <c r="AA360" s="44"/>
      <c r="AB360" s="117"/>
      <c r="AC360" s="44"/>
      <c r="AD360" s="117"/>
    </row>
    <row r="361" spans="1:30" ht="14.25" customHeight="1">
      <c r="A361" s="189"/>
      <c r="B361" s="189"/>
      <c r="C361" s="44"/>
      <c r="D361" s="117"/>
      <c r="E361" s="44"/>
      <c r="F361" s="44"/>
      <c r="G361" s="117"/>
      <c r="H361" s="117"/>
      <c r="I361" s="117"/>
      <c r="J361" s="117"/>
      <c r="K361" s="117"/>
      <c r="L361" s="117"/>
      <c r="M361" s="117"/>
      <c r="N361" s="117"/>
      <c r="O361" s="117"/>
      <c r="P361" s="117"/>
      <c r="Q361" s="117"/>
      <c r="R361" s="117"/>
      <c r="S361" s="117"/>
      <c r="T361" s="117"/>
      <c r="U361" s="235"/>
      <c r="V361" s="117"/>
      <c r="W361" s="117"/>
      <c r="X361" s="117"/>
      <c r="Y361" s="117"/>
      <c r="Z361" s="117"/>
      <c r="AA361" s="44"/>
      <c r="AB361" s="117"/>
      <c r="AC361" s="44"/>
      <c r="AD361" s="117"/>
    </row>
    <row r="362" spans="1:30" ht="14.25" customHeight="1">
      <c r="A362" s="189"/>
      <c r="B362" s="189"/>
      <c r="C362" s="44"/>
      <c r="D362" s="117"/>
      <c r="E362" s="44"/>
      <c r="F362" s="44"/>
      <c r="G362" s="117"/>
      <c r="H362" s="117"/>
      <c r="I362" s="117"/>
      <c r="J362" s="117"/>
      <c r="K362" s="117"/>
      <c r="L362" s="117"/>
      <c r="M362" s="117"/>
      <c r="N362" s="117"/>
      <c r="O362" s="117"/>
      <c r="P362" s="117"/>
      <c r="Q362" s="117"/>
      <c r="R362" s="117"/>
      <c r="S362" s="117"/>
      <c r="T362" s="117"/>
      <c r="U362" s="235"/>
      <c r="V362" s="117"/>
      <c r="W362" s="117"/>
      <c r="X362" s="117"/>
      <c r="Y362" s="117"/>
      <c r="Z362" s="117"/>
      <c r="AA362" s="44"/>
      <c r="AB362" s="117"/>
      <c r="AC362" s="44"/>
      <c r="AD362" s="117"/>
    </row>
    <row r="363" spans="1:30" ht="14.25" customHeight="1">
      <c r="A363" s="189"/>
      <c r="B363" s="189"/>
      <c r="C363" s="44"/>
      <c r="D363" s="117"/>
      <c r="E363" s="44"/>
      <c r="F363" s="44"/>
      <c r="G363" s="117"/>
      <c r="H363" s="117"/>
      <c r="I363" s="117"/>
      <c r="J363" s="117"/>
      <c r="K363" s="117"/>
      <c r="L363" s="117"/>
      <c r="M363" s="117"/>
      <c r="N363" s="117"/>
      <c r="O363" s="117"/>
      <c r="P363" s="117"/>
      <c r="Q363" s="117"/>
      <c r="R363" s="117"/>
      <c r="S363" s="117"/>
      <c r="T363" s="117"/>
      <c r="U363" s="235"/>
      <c r="V363" s="117"/>
      <c r="W363" s="117"/>
      <c r="X363" s="117"/>
      <c r="Y363" s="117"/>
      <c r="Z363" s="117"/>
      <c r="AA363" s="44"/>
      <c r="AB363" s="117"/>
      <c r="AC363" s="44"/>
      <c r="AD363" s="117"/>
    </row>
    <row r="364" spans="1:30" ht="14.25" customHeight="1">
      <c r="A364" s="189"/>
      <c r="B364" s="189"/>
      <c r="C364" s="44"/>
      <c r="D364" s="117"/>
      <c r="E364" s="44"/>
      <c r="F364" s="44"/>
      <c r="G364" s="117"/>
      <c r="H364" s="117"/>
      <c r="I364" s="117"/>
      <c r="J364" s="117"/>
      <c r="K364" s="117"/>
      <c r="L364" s="117"/>
      <c r="M364" s="117"/>
      <c r="N364" s="117"/>
      <c r="O364" s="117"/>
      <c r="P364" s="117"/>
      <c r="Q364" s="117"/>
      <c r="R364" s="117"/>
      <c r="S364" s="117"/>
      <c r="T364" s="117"/>
      <c r="U364" s="235"/>
      <c r="V364" s="117"/>
      <c r="W364" s="117"/>
      <c r="X364" s="117"/>
      <c r="Y364" s="117"/>
      <c r="Z364" s="117"/>
      <c r="AA364" s="44"/>
      <c r="AB364" s="117"/>
      <c r="AC364" s="44"/>
      <c r="AD364" s="117"/>
    </row>
    <row r="365" spans="1:30" ht="14.25" customHeight="1">
      <c r="A365" s="189"/>
      <c r="B365" s="189"/>
      <c r="C365" s="44"/>
      <c r="D365" s="117"/>
      <c r="E365" s="44"/>
      <c r="F365" s="44"/>
      <c r="G365" s="117"/>
      <c r="H365" s="117"/>
      <c r="I365" s="117"/>
      <c r="J365" s="117"/>
      <c r="K365" s="117"/>
      <c r="L365" s="117"/>
      <c r="M365" s="117"/>
      <c r="N365" s="117"/>
      <c r="O365" s="117"/>
      <c r="P365" s="117"/>
      <c r="Q365" s="117"/>
      <c r="R365" s="117"/>
      <c r="S365" s="117"/>
      <c r="T365" s="117"/>
      <c r="U365" s="235"/>
      <c r="V365" s="117"/>
      <c r="W365" s="117"/>
      <c r="X365" s="117"/>
      <c r="Y365" s="117"/>
      <c r="Z365" s="117"/>
      <c r="AA365" s="44"/>
      <c r="AB365" s="117"/>
      <c r="AC365" s="44"/>
      <c r="AD365" s="117"/>
    </row>
    <row r="366" spans="1:30" ht="14.25" customHeight="1">
      <c r="A366" s="189"/>
      <c r="B366" s="189"/>
      <c r="C366" s="44"/>
      <c r="D366" s="117"/>
      <c r="E366" s="44"/>
      <c r="F366" s="44"/>
      <c r="G366" s="117"/>
      <c r="H366" s="117"/>
      <c r="I366" s="117"/>
      <c r="J366" s="117"/>
      <c r="K366" s="117"/>
      <c r="L366" s="117"/>
      <c r="M366" s="117"/>
      <c r="N366" s="117"/>
      <c r="O366" s="117"/>
      <c r="P366" s="117"/>
      <c r="Q366" s="117"/>
      <c r="R366" s="117"/>
      <c r="S366" s="117"/>
      <c r="T366" s="117"/>
      <c r="U366" s="235"/>
      <c r="V366" s="117"/>
      <c r="W366" s="117"/>
      <c r="X366" s="117"/>
      <c r="Y366" s="117"/>
      <c r="Z366" s="117"/>
      <c r="AA366" s="44"/>
      <c r="AB366" s="117"/>
      <c r="AC366" s="44"/>
      <c r="AD366" s="117"/>
    </row>
    <row r="367" spans="1:30" ht="14.25" customHeight="1">
      <c r="A367" s="189"/>
      <c r="B367" s="189"/>
      <c r="C367" s="44"/>
      <c r="D367" s="117"/>
      <c r="E367" s="44"/>
      <c r="F367" s="44"/>
      <c r="G367" s="117"/>
      <c r="H367" s="117"/>
      <c r="I367" s="117"/>
      <c r="J367" s="117"/>
      <c r="K367" s="117"/>
      <c r="L367" s="117"/>
      <c r="M367" s="117"/>
      <c r="N367" s="117"/>
      <c r="O367" s="117"/>
      <c r="P367" s="117"/>
      <c r="Q367" s="117"/>
      <c r="R367" s="117"/>
      <c r="S367" s="117"/>
      <c r="T367" s="117"/>
      <c r="U367" s="235"/>
      <c r="V367" s="117"/>
      <c r="W367" s="117"/>
      <c r="X367" s="117"/>
      <c r="Y367" s="117"/>
      <c r="Z367" s="117"/>
      <c r="AA367" s="44"/>
      <c r="AB367" s="117"/>
      <c r="AC367" s="44"/>
      <c r="AD367" s="117"/>
    </row>
    <row r="368" spans="1:30" ht="14.25" customHeight="1">
      <c r="A368" s="189"/>
      <c r="B368" s="189"/>
      <c r="C368" s="44"/>
      <c r="D368" s="117"/>
      <c r="E368" s="44"/>
      <c r="F368" s="44"/>
      <c r="G368" s="117"/>
      <c r="H368" s="117"/>
      <c r="I368" s="117"/>
      <c r="J368" s="117"/>
      <c r="K368" s="117"/>
      <c r="L368" s="117"/>
      <c r="M368" s="117"/>
      <c r="N368" s="117"/>
      <c r="O368" s="117"/>
      <c r="P368" s="117"/>
      <c r="Q368" s="117"/>
      <c r="R368" s="117"/>
      <c r="S368" s="117"/>
      <c r="T368" s="117"/>
      <c r="U368" s="235"/>
      <c r="V368" s="117"/>
      <c r="W368" s="117"/>
      <c r="X368" s="117"/>
      <c r="Y368" s="117"/>
      <c r="Z368" s="117"/>
      <c r="AA368" s="44"/>
      <c r="AB368" s="117"/>
      <c r="AC368" s="44"/>
      <c r="AD368" s="117"/>
    </row>
    <row r="369" spans="1:30" ht="14.25" customHeight="1">
      <c r="A369" s="189"/>
      <c r="B369" s="189"/>
      <c r="C369" s="44"/>
      <c r="D369" s="117"/>
      <c r="E369" s="44"/>
      <c r="F369" s="44"/>
      <c r="G369" s="117"/>
      <c r="H369" s="117"/>
      <c r="I369" s="117"/>
      <c r="J369" s="117"/>
      <c r="K369" s="117"/>
      <c r="L369" s="117"/>
      <c r="M369" s="117"/>
      <c r="N369" s="117"/>
      <c r="O369" s="117"/>
      <c r="P369" s="117"/>
      <c r="Q369" s="117"/>
      <c r="R369" s="117"/>
      <c r="S369" s="117"/>
      <c r="T369" s="117"/>
      <c r="U369" s="235"/>
      <c r="V369" s="117"/>
      <c r="W369" s="117"/>
      <c r="X369" s="117"/>
      <c r="Y369" s="117"/>
      <c r="Z369" s="117"/>
      <c r="AA369" s="44"/>
      <c r="AB369" s="117"/>
      <c r="AC369" s="44"/>
      <c r="AD369" s="117"/>
    </row>
    <row r="370" spans="1:30" ht="14.25" customHeight="1">
      <c r="A370" s="189"/>
      <c r="B370" s="189"/>
      <c r="C370" s="44"/>
      <c r="D370" s="117"/>
      <c r="E370" s="44"/>
      <c r="F370" s="44"/>
      <c r="G370" s="117"/>
      <c r="H370" s="117"/>
      <c r="I370" s="117"/>
      <c r="J370" s="117"/>
      <c r="K370" s="117"/>
      <c r="L370" s="117"/>
      <c r="M370" s="117"/>
      <c r="N370" s="117"/>
      <c r="O370" s="117"/>
      <c r="P370" s="117"/>
      <c r="Q370" s="117"/>
      <c r="R370" s="117"/>
      <c r="S370" s="117"/>
      <c r="T370" s="117"/>
      <c r="U370" s="235"/>
      <c r="V370" s="117"/>
      <c r="W370" s="117"/>
      <c r="X370" s="117"/>
      <c r="Y370" s="117"/>
      <c r="Z370" s="117"/>
      <c r="AA370" s="44"/>
      <c r="AB370" s="117"/>
      <c r="AC370" s="44"/>
      <c r="AD370" s="117"/>
    </row>
    <row r="371" spans="1:30" ht="14.25" customHeight="1">
      <c r="A371" s="189"/>
      <c r="B371" s="189"/>
      <c r="C371" s="44"/>
      <c r="D371" s="117"/>
      <c r="E371" s="44"/>
      <c r="F371" s="44"/>
      <c r="G371" s="117"/>
      <c r="H371" s="117"/>
      <c r="I371" s="117"/>
      <c r="J371" s="117"/>
      <c r="K371" s="117"/>
      <c r="L371" s="117"/>
      <c r="M371" s="117"/>
      <c r="N371" s="117"/>
      <c r="O371" s="117"/>
      <c r="P371" s="117"/>
      <c r="Q371" s="117"/>
      <c r="R371" s="117"/>
      <c r="S371" s="117"/>
      <c r="T371" s="117"/>
      <c r="U371" s="235"/>
      <c r="V371" s="117"/>
      <c r="W371" s="117"/>
      <c r="X371" s="117"/>
      <c r="Y371" s="117"/>
      <c r="Z371" s="117"/>
      <c r="AA371" s="44"/>
      <c r="AB371" s="117"/>
      <c r="AC371" s="44"/>
      <c r="AD371" s="117"/>
    </row>
    <row r="372" spans="1:30" ht="14.25" customHeight="1">
      <c r="A372" s="189"/>
      <c r="B372" s="189"/>
      <c r="C372" s="44"/>
      <c r="D372" s="117"/>
      <c r="E372" s="44"/>
      <c r="F372" s="44"/>
      <c r="G372" s="117"/>
      <c r="H372" s="117"/>
      <c r="I372" s="117"/>
      <c r="J372" s="117"/>
      <c r="K372" s="117"/>
      <c r="L372" s="117"/>
      <c r="M372" s="117"/>
      <c r="N372" s="117"/>
      <c r="O372" s="117"/>
      <c r="P372" s="117"/>
      <c r="Q372" s="117"/>
      <c r="R372" s="117"/>
      <c r="S372" s="117"/>
      <c r="T372" s="117"/>
      <c r="U372" s="235"/>
      <c r="V372" s="117"/>
      <c r="W372" s="117"/>
      <c r="X372" s="117"/>
      <c r="Y372" s="117"/>
      <c r="Z372" s="117"/>
      <c r="AA372" s="44"/>
      <c r="AB372" s="117"/>
      <c r="AC372" s="44"/>
      <c r="AD372" s="117"/>
    </row>
    <row r="373" spans="1:30" ht="14.25" customHeight="1">
      <c r="A373" s="189"/>
      <c r="B373" s="189"/>
      <c r="C373" s="44"/>
      <c r="D373" s="117"/>
      <c r="E373" s="44"/>
      <c r="F373" s="44"/>
      <c r="G373" s="117"/>
      <c r="H373" s="117"/>
      <c r="I373" s="117"/>
      <c r="J373" s="117"/>
      <c r="K373" s="117"/>
      <c r="L373" s="117"/>
      <c r="M373" s="117"/>
      <c r="N373" s="117"/>
      <c r="O373" s="117"/>
      <c r="P373" s="117"/>
      <c r="Q373" s="117"/>
      <c r="R373" s="117"/>
      <c r="S373" s="117"/>
      <c r="T373" s="117"/>
      <c r="U373" s="235"/>
      <c r="V373" s="117"/>
      <c r="W373" s="117"/>
      <c r="X373" s="117"/>
      <c r="Y373" s="117"/>
      <c r="Z373" s="117"/>
      <c r="AA373" s="44"/>
      <c r="AB373" s="117"/>
      <c r="AC373" s="44"/>
      <c r="AD373" s="117"/>
    </row>
    <row r="374" spans="1:30" ht="14.25" customHeight="1">
      <c r="A374" s="189"/>
      <c r="B374" s="189"/>
      <c r="C374" s="44"/>
      <c r="D374" s="117"/>
      <c r="E374" s="44"/>
      <c r="F374" s="44"/>
      <c r="G374" s="117"/>
      <c r="H374" s="117"/>
      <c r="I374" s="117"/>
      <c r="J374" s="117"/>
      <c r="K374" s="117"/>
      <c r="L374" s="117"/>
      <c r="M374" s="117"/>
      <c r="N374" s="117"/>
      <c r="O374" s="117"/>
      <c r="P374" s="117"/>
      <c r="Q374" s="117"/>
      <c r="R374" s="117"/>
      <c r="S374" s="117"/>
      <c r="T374" s="117"/>
      <c r="U374" s="235"/>
      <c r="V374" s="117"/>
      <c r="W374" s="117"/>
      <c r="X374" s="117"/>
      <c r="Y374" s="117"/>
      <c r="Z374" s="117"/>
      <c r="AA374" s="44"/>
      <c r="AB374" s="117"/>
      <c r="AC374" s="44"/>
      <c r="AD374" s="117"/>
    </row>
    <row r="375" spans="1:30" ht="14.25" customHeight="1">
      <c r="A375" s="189"/>
      <c r="B375" s="189"/>
      <c r="C375" s="44"/>
      <c r="D375" s="117"/>
      <c r="E375" s="44"/>
      <c r="F375" s="44"/>
      <c r="G375" s="117"/>
      <c r="H375" s="117"/>
      <c r="I375" s="117"/>
      <c r="J375" s="117"/>
      <c r="K375" s="117"/>
      <c r="L375" s="117"/>
      <c r="M375" s="117"/>
      <c r="N375" s="117"/>
      <c r="O375" s="117"/>
      <c r="P375" s="117"/>
      <c r="Q375" s="117"/>
      <c r="R375" s="117"/>
      <c r="S375" s="117"/>
      <c r="T375" s="117"/>
      <c r="U375" s="235"/>
      <c r="V375" s="117"/>
      <c r="W375" s="117"/>
      <c r="X375" s="117"/>
      <c r="Y375" s="117"/>
      <c r="Z375" s="117"/>
      <c r="AA375" s="44"/>
      <c r="AB375" s="117"/>
      <c r="AC375" s="44"/>
      <c r="AD375" s="117"/>
    </row>
    <row r="376" spans="1:30" ht="14.25" customHeight="1">
      <c r="A376" s="189"/>
      <c r="B376" s="189"/>
      <c r="C376" s="44"/>
      <c r="D376" s="117"/>
      <c r="E376" s="44"/>
      <c r="F376" s="44"/>
      <c r="G376" s="117"/>
      <c r="H376" s="117"/>
      <c r="I376" s="117"/>
      <c r="J376" s="117"/>
      <c r="K376" s="117"/>
      <c r="L376" s="117"/>
      <c r="M376" s="117"/>
      <c r="N376" s="117"/>
      <c r="O376" s="117"/>
      <c r="P376" s="117"/>
      <c r="Q376" s="117"/>
      <c r="R376" s="117"/>
      <c r="S376" s="117"/>
      <c r="T376" s="117"/>
      <c r="U376" s="235"/>
      <c r="V376" s="117"/>
      <c r="W376" s="117"/>
      <c r="X376" s="117"/>
      <c r="Y376" s="117"/>
      <c r="Z376" s="117"/>
      <c r="AA376" s="44"/>
      <c r="AB376" s="117"/>
      <c r="AC376" s="44"/>
      <c r="AD376" s="117"/>
    </row>
    <row r="377" spans="1:30" ht="14.25" customHeight="1">
      <c r="A377" s="189"/>
      <c r="B377" s="189"/>
      <c r="C377" s="44"/>
      <c r="D377" s="117"/>
      <c r="E377" s="44"/>
      <c r="F377" s="44"/>
      <c r="G377" s="117"/>
      <c r="H377" s="117"/>
      <c r="I377" s="117"/>
      <c r="J377" s="117"/>
      <c r="K377" s="117"/>
      <c r="L377" s="117"/>
      <c r="M377" s="117"/>
      <c r="N377" s="117"/>
      <c r="O377" s="117"/>
      <c r="P377" s="117"/>
      <c r="Q377" s="117"/>
      <c r="R377" s="117"/>
      <c r="S377" s="117"/>
      <c r="T377" s="117"/>
      <c r="U377" s="235"/>
      <c r="V377" s="117"/>
      <c r="W377" s="117"/>
      <c r="X377" s="117"/>
      <c r="Y377" s="117"/>
      <c r="Z377" s="117"/>
      <c r="AA377" s="44"/>
      <c r="AB377" s="117"/>
      <c r="AC377" s="44"/>
      <c r="AD377" s="117"/>
    </row>
    <row r="378" spans="1:30" ht="14.25" customHeight="1">
      <c r="A378" s="189"/>
      <c r="B378" s="189"/>
      <c r="C378" s="44"/>
      <c r="D378" s="117"/>
      <c r="E378" s="44"/>
      <c r="F378" s="44"/>
      <c r="G378" s="117"/>
      <c r="H378" s="117"/>
      <c r="I378" s="117"/>
      <c r="J378" s="117"/>
      <c r="K378" s="117"/>
      <c r="L378" s="117"/>
      <c r="M378" s="117"/>
      <c r="N378" s="117"/>
      <c r="O378" s="117"/>
      <c r="P378" s="117"/>
      <c r="Q378" s="117"/>
      <c r="R378" s="117"/>
      <c r="S378" s="117"/>
      <c r="T378" s="117"/>
      <c r="U378" s="235"/>
      <c r="V378" s="117"/>
      <c r="W378" s="117"/>
      <c r="X378" s="117"/>
      <c r="Y378" s="117"/>
      <c r="Z378" s="117"/>
      <c r="AA378" s="44"/>
      <c r="AB378" s="117"/>
      <c r="AC378" s="44"/>
      <c r="AD378" s="117"/>
    </row>
    <row r="379" spans="1:30" ht="14.25" customHeight="1">
      <c r="A379" s="189"/>
      <c r="B379" s="189"/>
      <c r="C379" s="44"/>
      <c r="D379" s="117"/>
      <c r="E379" s="44"/>
      <c r="F379" s="44"/>
      <c r="G379" s="117"/>
      <c r="H379" s="117"/>
      <c r="I379" s="117"/>
      <c r="J379" s="117"/>
      <c r="K379" s="117"/>
      <c r="L379" s="117"/>
      <c r="M379" s="117"/>
      <c r="N379" s="117"/>
      <c r="O379" s="117"/>
      <c r="P379" s="117"/>
      <c r="Q379" s="117"/>
      <c r="R379" s="117"/>
      <c r="S379" s="117"/>
      <c r="T379" s="117"/>
      <c r="U379" s="235"/>
      <c r="V379" s="117"/>
      <c r="W379" s="117"/>
      <c r="X379" s="117"/>
      <c r="Y379" s="117"/>
      <c r="Z379" s="117"/>
      <c r="AA379" s="44"/>
      <c r="AB379" s="117"/>
      <c r="AC379" s="44"/>
      <c r="AD379" s="117"/>
    </row>
    <row r="380" spans="1:30" ht="14.25" customHeight="1">
      <c r="A380" s="189"/>
      <c r="B380" s="189"/>
      <c r="C380" s="44"/>
      <c r="D380" s="117"/>
      <c r="E380" s="44"/>
      <c r="F380" s="44"/>
      <c r="G380" s="117"/>
      <c r="H380" s="117"/>
      <c r="I380" s="117"/>
      <c r="J380" s="117"/>
      <c r="K380" s="117"/>
      <c r="L380" s="117"/>
      <c r="M380" s="117"/>
      <c r="N380" s="117"/>
      <c r="O380" s="117"/>
      <c r="P380" s="117"/>
      <c r="Q380" s="117"/>
      <c r="R380" s="117"/>
      <c r="S380" s="117"/>
      <c r="T380" s="117"/>
      <c r="U380" s="235"/>
      <c r="V380" s="117"/>
      <c r="W380" s="117"/>
      <c r="X380" s="117"/>
      <c r="Y380" s="117"/>
      <c r="Z380" s="117"/>
      <c r="AA380" s="44"/>
      <c r="AB380" s="117"/>
      <c r="AC380" s="44"/>
      <c r="AD380" s="117"/>
    </row>
    <row r="381" spans="1:30" ht="14.25" customHeight="1">
      <c r="A381" s="189"/>
      <c r="B381" s="189"/>
      <c r="C381" s="44"/>
      <c r="D381" s="117"/>
      <c r="E381" s="44"/>
      <c r="F381" s="44"/>
      <c r="G381" s="117"/>
      <c r="H381" s="117"/>
      <c r="I381" s="117"/>
      <c r="J381" s="117"/>
      <c r="K381" s="117"/>
      <c r="L381" s="117"/>
      <c r="M381" s="117"/>
      <c r="N381" s="117"/>
      <c r="O381" s="117"/>
      <c r="P381" s="117"/>
      <c r="Q381" s="117"/>
      <c r="R381" s="117"/>
      <c r="S381" s="117"/>
      <c r="T381" s="117"/>
      <c r="U381" s="235"/>
      <c r="V381" s="117"/>
      <c r="W381" s="117"/>
      <c r="X381" s="117"/>
      <c r="Y381" s="117"/>
      <c r="Z381" s="117"/>
      <c r="AA381" s="44"/>
      <c r="AB381" s="117"/>
      <c r="AC381" s="44"/>
      <c r="AD381" s="117"/>
    </row>
    <row r="382" spans="1:30" ht="14.25" customHeight="1">
      <c r="A382" s="189"/>
      <c r="B382" s="189"/>
      <c r="C382" s="44"/>
      <c r="D382" s="117"/>
      <c r="E382" s="44"/>
      <c r="F382" s="44"/>
      <c r="G382" s="117"/>
      <c r="H382" s="117"/>
      <c r="I382" s="117"/>
      <c r="J382" s="117"/>
      <c r="K382" s="117"/>
      <c r="L382" s="117"/>
      <c r="M382" s="117"/>
      <c r="N382" s="117"/>
      <c r="O382" s="117"/>
      <c r="P382" s="117"/>
      <c r="Q382" s="117"/>
      <c r="R382" s="117"/>
      <c r="S382" s="117"/>
      <c r="T382" s="117"/>
      <c r="U382" s="235"/>
      <c r="V382" s="117"/>
      <c r="W382" s="117"/>
      <c r="X382" s="117"/>
      <c r="Y382" s="117"/>
      <c r="Z382" s="117"/>
      <c r="AA382" s="44"/>
      <c r="AB382" s="117"/>
      <c r="AC382" s="44"/>
      <c r="AD382" s="117"/>
    </row>
    <row r="383" spans="1:30" ht="14.25" customHeight="1">
      <c r="A383" s="189"/>
      <c r="B383" s="189"/>
      <c r="C383" s="44"/>
      <c r="D383" s="117"/>
      <c r="E383" s="44"/>
      <c r="F383" s="44"/>
      <c r="G383" s="117"/>
      <c r="H383" s="117"/>
      <c r="I383" s="117"/>
      <c r="J383" s="117"/>
      <c r="K383" s="117"/>
      <c r="L383" s="117"/>
      <c r="M383" s="117"/>
      <c r="N383" s="117"/>
      <c r="O383" s="117"/>
      <c r="P383" s="117"/>
      <c r="Q383" s="117"/>
      <c r="R383" s="117"/>
      <c r="S383" s="117"/>
      <c r="T383" s="117"/>
      <c r="U383" s="235"/>
      <c r="V383" s="117"/>
      <c r="W383" s="117"/>
      <c r="X383" s="117"/>
      <c r="Y383" s="117"/>
      <c r="Z383" s="117"/>
      <c r="AA383" s="44"/>
      <c r="AB383" s="117"/>
      <c r="AC383" s="44"/>
      <c r="AD383" s="117"/>
    </row>
    <row r="384" spans="1:30" ht="14.25" customHeight="1">
      <c r="A384" s="189"/>
      <c r="B384" s="189"/>
      <c r="C384" s="44"/>
      <c r="D384" s="117"/>
      <c r="E384" s="44"/>
      <c r="F384" s="44"/>
      <c r="G384" s="117"/>
      <c r="H384" s="117"/>
      <c r="I384" s="117"/>
      <c r="J384" s="117"/>
      <c r="K384" s="117"/>
      <c r="L384" s="117"/>
      <c r="M384" s="117"/>
      <c r="N384" s="117"/>
      <c r="O384" s="117"/>
      <c r="P384" s="117"/>
      <c r="Q384" s="117"/>
      <c r="R384" s="117"/>
      <c r="S384" s="117"/>
      <c r="T384" s="117"/>
      <c r="U384" s="235"/>
      <c r="V384" s="117"/>
      <c r="W384" s="117"/>
      <c r="X384" s="117"/>
      <c r="Y384" s="117"/>
      <c r="Z384" s="117"/>
      <c r="AA384" s="44"/>
      <c r="AB384" s="117"/>
      <c r="AC384" s="44"/>
      <c r="AD384" s="117"/>
    </row>
    <row r="385" spans="1:30" ht="14.25" customHeight="1">
      <c r="A385" s="189"/>
      <c r="B385" s="189"/>
      <c r="C385" s="44"/>
      <c r="D385" s="117"/>
      <c r="E385" s="44"/>
      <c r="F385" s="44"/>
      <c r="G385" s="117"/>
      <c r="H385" s="117"/>
      <c r="I385" s="117"/>
      <c r="J385" s="117"/>
      <c r="K385" s="117"/>
      <c r="L385" s="117"/>
      <c r="M385" s="117"/>
      <c r="N385" s="117"/>
      <c r="O385" s="117"/>
      <c r="P385" s="117"/>
      <c r="Q385" s="117"/>
      <c r="R385" s="117"/>
      <c r="S385" s="117"/>
      <c r="T385" s="117"/>
      <c r="U385" s="235"/>
      <c r="V385" s="117"/>
      <c r="W385" s="117"/>
      <c r="X385" s="117"/>
      <c r="Y385" s="117"/>
      <c r="Z385" s="117"/>
      <c r="AA385" s="44"/>
      <c r="AB385" s="117"/>
      <c r="AC385" s="44"/>
      <c r="AD385" s="117"/>
    </row>
    <row r="386" spans="1:30" ht="14.25" customHeight="1">
      <c r="A386" s="189"/>
      <c r="B386" s="189"/>
      <c r="C386" s="44"/>
      <c r="D386" s="117"/>
      <c r="E386" s="44"/>
      <c r="F386" s="44"/>
      <c r="G386" s="117"/>
      <c r="H386" s="117"/>
      <c r="I386" s="117"/>
      <c r="J386" s="117"/>
      <c r="K386" s="117"/>
      <c r="L386" s="117"/>
      <c r="M386" s="117"/>
      <c r="N386" s="117"/>
      <c r="O386" s="117"/>
      <c r="P386" s="117"/>
      <c r="Q386" s="117"/>
      <c r="R386" s="117"/>
      <c r="S386" s="117"/>
      <c r="T386" s="117"/>
      <c r="U386" s="235"/>
      <c r="V386" s="117"/>
      <c r="W386" s="117"/>
      <c r="X386" s="117"/>
      <c r="Y386" s="117"/>
      <c r="Z386" s="117"/>
      <c r="AA386" s="44"/>
      <c r="AB386" s="117"/>
      <c r="AC386" s="44"/>
      <c r="AD386" s="117"/>
    </row>
    <row r="387" spans="1:30" ht="14.25" customHeight="1">
      <c r="A387" s="189"/>
      <c r="B387" s="189"/>
      <c r="C387" s="44"/>
      <c r="D387" s="117"/>
      <c r="E387" s="44"/>
      <c r="F387" s="44"/>
      <c r="G387" s="117"/>
      <c r="H387" s="117"/>
      <c r="I387" s="117"/>
      <c r="J387" s="117"/>
      <c r="K387" s="117"/>
      <c r="L387" s="117"/>
      <c r="M387" s="117"/>
      <c r="N387" s="117"/>
      <c r="O387" s="117"/>
      <c r="P387" s="117"/>
      <c r="Q387" s="117"/>
      <c r="R387" s="117"/>
      <c r="S387" s="117"/>
      <c r="T387" s="117"/>
      <c r="U387" s="235"/>
      <c r="V387" s="117"/>
      <c r="W387" s="117"/>
      <c r="X387" s="117"/>
      <c r="Y387" s="117"/>
      <c r="Z387" s="117"/>
      <c r="AA387" s="44"/>
      <c r="AB387" s="117"/>
      <c r="AC387" s="44"/>
      <c r="AD387" s="117"/>
    </row>
    <row r="388" spans="1:30" ht="14.25" customHeight="1">
      <c r="A388" s="189"/>
      <c r="B388" s="189"/>
      <c r="C388" s="44"/>
      <c r="D388" s="117"/>
      <c r="E388" s="44"/>
      <c r="F388" s="44"/>
      <c r="G388" s="117"/>
      <c r="H388" s="117"/>
      <c r="I388" s="117"/>
      <c r="J388" s="117"/>
      <c r="K388" s="117"/>
      <c r="L388" s="117"/>
      <c r="M388" s="117"/>
      <c r="N388" s="117"/>
      <c r="O388" s="117"/>
      <c r="P388" s="117"/>
      <c r="Q388" s="117"/>
      <c r="R388" s="117"/>
      <c r="S388" s="117"/>
      <c r="T388" s="117"/>
      <c r="U388" s="235"/>
      <c r="V388" s="117"/>
      <c r="W388" s="117"/>
      <c r="X388" s="117"/>
      <c r="Y388" s="117"/>
      <c r="Z388" s="117"/>
      <c r="AA388" s="44"/>
      <c r="AB388" s="117"/>
      <c r="AC388" s="44"/>
      <c r="AD388" s="117"/>
    </row>
    <row r="389" spans="1:30" ht="14.25" customHeight="1">
      <c r="A389" s="189"/>
      <c r="B389" s="189"/>
      <c r="C389" s="44"/>
      <c r="D389" s="117"/>
      <c r="E389" s="44"/>
      <c r="F389" s="44"/>
      <c r="G389" s="117"/>
      <c r="H389" s="117"/>
      <c r="I389" s="117"/>
      <c r="J389" s="117"/>
      <c r="K389" s="117"/>
      <c r="L389" s="117"/>
      <c r="M389" s="117"/>
      <c r="N389" s="117"/>
      <c r="O389" s="117"/>
      <c r="P389" s="117"/>
      <c r="Q389" s="117"/>
      <c r="R389" s="117"/>
      <c r="S389" s="117"/>
      <c r="T389" s="117"/>
      <c r="U389" s="235"/>
      <c r="V389" s="117"/>
      <c r="W389" s="117"/>
      <c r="X389" s="117"/>
      <c r="Y389" s="117"/>
      <c r="Z389" s="117"/>
      <c r="AA389" s="44"/>
      <c r="AB389" s="117"/>
      <c r="AC389" s="44"/>
      <c r="AD389" s="117"/>
    </row>
    <row r="390" spans="1:30" ht="14.25" customHeight="1">
      <c r="A390" s="189"/>
      <c r="B390" s="189"/>
      <c r="C390" s="44"/>
      <c r="D390" s="117"/>
      <c r="E390" s="44"/>
      <c r="F390" s="44"/>
      <c r="G390" s="117"/>
      <c r="H390" s="117"/>
      <c r="I390" s="117"/>
      <c r="J390" s="117"/>
      <c r="K390" s="117"/>
      <c r="L390" s="117"/>
      <c r="M390" s="117"/>
      <c r="N390" s="117"/>
      <c r="O390" s="117"/>
      <c r="P390" s="117"/>
      <c r="Q390" s="117"/>
      <c r="R390" s="117"/>
      <c r="S390" s="117"/>
      <c r="T390" s="117"/>
      <c r="U390" s="235"/>
      <c r="V390" s="117"/>
      <c r="W390" s="117"/>
      <c r="X390" s="117"/>
      <c r="Y390" s="117"/>
      <c r="Z390" s="117"/>
      <c r="AA390" s="44"/>
      <c r="AB390" s="117"/>
      <c r="AC390" s="44"/>
      <c r="AD390" s="117"/>
    </row>
    <row r="391" spans="1:30" ht="14.25" customHeight="1">
      <c r="A391" s="189"/>
      <c r="B391" s="189"/>
      <c r="C391" s="44"/>
      <c r="D391" s="117"/>
      <c r="E391" s="44"/>
      <c r="F391" s="44"/>
      <c r="G391" s="117"/>
      <c r="H391" s="117"/>
      <c r="I391" s="117"/>
      <c r="J391" s="117"/>
      <c r="K391" s="117"/>
      <c r="L391" s="117"/>
      <c r="M391" s="117"/>
      <c r="N391" s="117"/>
      <c r="O391" s="117"/>
      <c r="P391" s="117"/>
      <c r="Q391" s="117"/>
      <c r="R391" s="117"/>
      <c r="S391" s="117"/>
      <c r="T391" s="117"/>
      <c r="U391" s="235"/>
      <c r="V391" s="117"/>
      <c r="W391" s="117"/>
      <c r="X391" s="117"/>
      <c r="Y391" s="117"/>
      <c r="Z391" s="117"/>
      <c r="AA391" s="44"/>
      <c r="AB391" s="117"/>
      <c r="AC391" s="44"/>
      <c r="AD391" s="117"/>
    </row>
    <row r="392" spans="1:30" ht="14.25" customHeight="1">
      <c r="A392" s="189"/>
      <c r="B392" s="189"/>
      <c r="C392" s="44"/>
      <c r="D392" s="117"/>
      <c r="E392" s="44"/>
      <c r="F392" s="44"/>
      <c r="G392" s="117"/>
      <c r="H392" s="117"/>
      <c r="I392" s="117"/>
      <c r="J392" s="117"/>
      <c r="K392" s="117"/>
      <c r="L392" s="117"/>
      <c r="M392" s="117"/>
      <c r="N392" s="117"/>
      <c r="O392" s="117"/>
      <c r="P392" s="117"/>
      <c r="Q392" s="117"/>
      <c r="R392" s="117"/>
      <c r="S392" s="117"/>
      <c r="T392" s="117"/>
      <c r="U392" s="235"/>
      <c r="V392" s="117"/>
      <c r="W392" s="117"/>
      <c r="X392" s="117"/>
      <c r="Y392" s="117"/>
      <c r="Z392" s="117"/>
      <c r="AA392" s="44"/>
      <c r="AB392" s="117"/>
      <c r="AC392" s="44"/>
      <c r="AD392" s="117"/>
    </row>
    <row r="393" spans="1:30" ht="14.25" customHeight="1">
      <c r="A393" s="189"/>
      <c r="B393" s="189"/>
      <c r="C393" s="44"/>
      <c r="D393" s="117"/>
      <c r="E393" s="44"/>
      <c r="F393" s="44"/>
      <c r="G393" s="117"/>
      <c r="H393" s="117"/>
      <c r="I393" s="117"/>
      <c r="J393" s="117"/>
      <c r="K393" s="117"/>
      <c r="L393" s="117"/>
      <c r="M393" s="117"/>
      <c r="N393" s="117"/>
      <c r="O393" s="117"/>
      <c r="P393" s="117"/>
      <c r="Q393" s="117"/>
      <c r="R393" s="117"/>
      <c r="S393" s="117"/>
      <c r="T393" s="117"/>
      <c r="U393" s="235"/>
      <c r="V393" s="117"/>
      <c r="W393" s="117"/>
      <c r="X393" s="117"/>
      <c r="Y393" s="117"/>
      <c r="Z393" s="117"/>
      <c r="AA393" s="44"/>
      <c r="AB393" s="117"/>
      <c r="AC393" s="44"/>
      <c r="AD393" s="117"/>
    </row>
    <row r="394" spans="1:30" ht="14.25" customHeight="1">
      <c r="A394" s="189"/>
      <c r="B394" s="189"/>
      <c r="C394" s="44"/>
      <c r="D394" s="117"/>
      <c r="E394" s="44"/>
      <c r="F394" s="44"/>
      <c r="G394" s="117"/>
      <c r="H394" s="117"/>
      <c r="I394" s="117"/>
      <c r="J394" s="117"/>
      <c r="K394" s="117"/>
      <c r="L394" s="117"/>
      <c r="M394" s="117"/>
      <c r="N394" s="117"/>
      <c r="O394" s="117"/>
      <c r="P394" s="117"/>
      <c r="Q394" s="117"/>
      <c r="R394" s="117"/>
      <c r="S394" s="117"/>
      <c r="T394" s="117"/>
      <c r="U394" s="235"/>
      <c r="V394" s="117"/>
      <c r="W394" s="117"/>
      <c r="X394" s="117"/>
      <c r="Y394" s="117"/>
      <c r="Z394" s="117"/>
      <c r="AA394" s="44"/>
      <c r="AB394" s="117"/>
      <c r="AC394" s="44"/>
      <c r="AD394" s="117"/>
    </row>
    <row r="395" spans="1:30" ht="14.25" customHeight="1">
      <c r="A395" s="189"/>
      <c r="B395" s="189"/>
      <c r="C395" s="44"/>
      <c r="D395" s="117"/>
      <c r="E395" s="44"/>
      <c r="F395" s="44"/>
      <c r="G395" s="117"/>
      <c r="H395" s="117"/>
      <c r="I395" s="117"/>
      <c r="J395" s="117"/>
      <c r="K395" s="117"/>
      <c r="L395" s="117"/>
      <c r="M395" s="117"/>
      <c r="N395" s="117"/>
      <c r="O395" s="117"/>
      <c r="P395" s="117"/>
      <c r="Q395" s="117"/>
      <c r="R395" s="117"/>
      <c r="S395" s="117"/>
      <c r="T395" s="117"/>
      <c r="U395" s="235"/>
      <c r="V395" s="117"/>
      <c r="W395" s="117"/>
      <c r="X395" s="117"/>
      <c r="Y395" s="117"/>
      <c r="Z395" s="117"/>
      <c r="AA395" s="44"/>
      <c r="AB395" s="117"/>
      <c r="AC395" s="44"/>
      <c r="AD395" s="117"/>
    </row>
    <row r="396" spans="1:30" ht="14.25" customHeight="1">
      <c r="A396" s="189"/>
      <c r="B396" s="189"/>
      <c r="C396" s="44"/>
      <c r="D396" s="117"/>
      <c r="E396" s="44"/>
      <c r="F396" s="44"/>
      <c r="G396" s="117"/>
      <c r="H396" s="117"/>
      <c r="I396" s="117"/>
      <c r="J396" s="117"/>
      <c r="K396" s="117"/>
      <c r="L396" s="117"/>
      <c r="M396" s="117"/>
      <c r="N396" s="117"/>
      <c r="O396" s="117"/>
      <c r="P396" s="117"/>
      <c r="Q396" s="117"/>
      <c r="R396" s="117"/>
      <c r="S396" s="117"/>
      <c r="T396" s="117"/>
      <c r="U396" s="235"/>
      <c r="V396" s="117"/>
      <c r="W396" s="117"/>
      <c r="X396" s="117"/>
      <c r="Y396" s="117"/>
      <c r="Z396" s="117"/>
      <c r="AA396" s="44"/>
      <c r="AB396" s="117"/>
      <c r="AC396" s="44"/>
      <c r="AD396" s="117"/>
    </row>
    <row r="397" spans="1:30" ht="14.25" customHeight="1">
      <c r="A397" s="189"/>
      <c r="B397" s="189"/>
      <c r="C397" s="44"/>
      <c r="D397" s="117"/>
      <c r="E397" s="44"/>
      <c r="F397" s="44"/>
      <c r="G397" s="117"/>
      <c r="H397" s="117"/>
      <c r="I397" s="117"/>
      <c r="J397" s="117"/>
      <c r="K397" s="117"/>
      <c r="L397" s="117"/>
      <c r="M397" s="117"/>
      <c r="N397" s="117"/>
      <c r="O397" s="117"/>
      <c r="P397" s="117"/>
      <c r="Q397" s="117"/>
      <c r="R397" s="117"/>
      <c r="S397" s="117"/>
      <c r="T397" s="117"/>
      <c r="U397" s="235"/>
      <c r="V397" s="117"/>
      <c r="W397" s="117"/>
      <c r="X397" s="117"/>
      <c r="Y397" s="117"/>
      <c r="Z397" s="117"/>
      <c r="AA397" s="44"/>
      <c r="AB397" s="117"/>
      <c r="AC397" s="44"/>
      <c r="AD397" s="117"/>
    </row>
    <row r="398" spans="1:30" ht="14.25" customHeight="1">
      <c r="A398" s="189"/>
      <c r="B398" s="189"/>
      <c r="C398" s="44"/>
      <c r="D398" s="117"/>
      <c r="E398" s="44"/>
      <c r="F398" s="44"/>
      <c r="G398" s="117"/>
      <c r="H398" s="117"/>
      <c r="I398" s="117"/>
      <c r="J398" s="117"/>
      <c r="K398" s="117"/>
      <c r="L398" s="117"/>
      <c r="M398" s="117"/>
      <c r="N398" s="117"/>
      <c r="O398" s="117"/>
      <c r="P398" s="117"/>
      <c r="Q398" s="117"/>
      <c r="R398" s="117"/>
      <c r="S398" s="117"/>
      <c r="T398" s="117"/>
      <c r="U398" s="235"/>
      <c r="V398" s="117"/>
      <c r="W398" s="117"/>
      <c r="X398" s="117"/>
      <c r="Y398" s="117"/>
      <c r="Z398" s="117"/>
      <c r="AA398" s="44"/>
      <c r="AB398" s="117"/>
      <c r="AC398" s="44"/>
      <c r="AD398" s="117"/>
    </row>
    <row r="399" spans="1:30" ht="14.25" customHeight="1">
      <c r="A399" s="189"/>
      <c r="B399" s="189"/>
      <c r="C399" s="44"/>
      <c r="D399" s="117"/>
      <c r="E399" s="44"/>
      <c r="F399" s="44"/>
      <c r="G399" s="117"/>
      <c r="H399" s="117"/>
      <c r="I399" s="117"/>
      <c r="J399" s="117"/>
      <c r="K399" s="117"/>
      <c r="L399" s="117"/>
      <c r="M399" s="117"/>
      <c r="N399" s="117"/>
      <c r="O399" s="117"/>
      <c r="P399" s="117"/>
      <c r="Q399" s="117"/>
      <c r="R399" s="117"/>
      <c r="S399" s="117"/>
      <c r="T399" s="117"/>
      <c r="U399" s="235"/>
      <c r="V399" s="117"/>
      <c r="W399" s="117"/>
      <c r="X399" s="117"/>
      <c r="Y399" s="117"/>
      <c r="Z399" s="117"/>
      <c r="AA399" s="44"/>
      <c r="AB399" s="117"/>
      <c r="AC399" s="44"/>
      <c r="AD399" s="117"/>
    </row>
    <row r="400" spans="1:30" ht="14.25" customHeight="1">
      <c r="A400" s="189"/>
      <c r="B400" s="189"/>
      <c r="C400" s="44"/>
      <c r="D400" s="117"/>
      <c r="E400" s="44"/>
      <c r="F400" s="44"/>
      <c r="G400" s="117"/>
      <c r="H400" s="117"/>
      <c r="I400" s="117"/>
      <c r="J400" s="117"/>
      <c r="K400" s="117"/>
      <c r="L400" s="117"/>
      <c r="M400" s="117"/>
      <c r="N400" s="117"/>
      <c r="O400" s="117"/>
      <c r="P400" s="117"/>
      <c r="Q400" s="117"/>
      <c r="R400" s="117"/>
      <c r="S400" s="117"/>
      <c r="T400" s="117"/>
      <c r="U400" s="235"/>
      <c r="V400" s="117"/>
      <c r="W400" s="117"/>
      <c r="X400" s="117"/>
      <c r="Y400" s="117"/>
      <c r="Z400" s="117"/>
      <c r="AA400" s="44"/>
      <c r="AB400" s="117"/>
      <c r="AC400" s="44"/>
      <c r="AD400" s="117"/>
    </row>
    <row r="401" spans="1:30" ht="14.25" customHeight="1">
      <c r="A401" s="189"/>
      <c r="B401" s="189"/>
      <c r="C401" s="44"/>
      <c r="D401" s="117"/>
      <c r="E401" s="44"/>
      <c r="F401" s="44"/>
      <c r="G401" s="117"/>
      <c r="H401" s="117"/>
      <c r="I401" s="117"/>
      <c r="J401" s="117"/>
      <c r="K401" s="117"/>
      <c r="L401" s="117"/>
      <c r="M401" s="117"/>
      <c r="N401" s="117"/>
      <c r="O401" s="117"/>
      <c r="P401" s="117"/>
      <c r="Q401" s="117"/>
      <c r="R401" s="117"/>
      <c r="S401" s="117"/>
      <c r="T401" s="117"/>
      <c r="U401" s="235"/>
      <c r="V401" s="117"/>
      <c r="W401" s="117"/>
      <c r="X401" s="117"/>
      <c r="Y401" s="117"/>
      <c r="Z401" s="117"/>
      <c r="AA401" s="44"/>
      <c r="AB401" s="117"/>
      <c r="AC401" s="44"/>
      <c r="AD401" s="117"/>
    </row>
    <row r="402" spans="1:30" ht="14.25" customHeight="1">
      <c r="A402" s="189"/>
      <c r="B402" s="189"/>
      <c r="C402" s="44"/>
      <c r="D402" s="117"/>
      <c r="E402" s="44"/>
      <c r="F402" s="44"/>
      <c r="G402" s="117"/>
      <c r="H402" s="117"/>
      <c r="I402" s="117"/>
      <c r="J402" s="117"/>
      <c r="K402" s="117"/>
      <c r="L402" s="117"/>
      <c r="M402" s="117"/>
      <c r="N402" s="117"/>
      <c r="O402" s="117"/>
      <c r="P402" s="117"/>
      <c r="Q402" s="117"/>
      <c r="R402" s="117"/>
      <c r="S402" s="117"/>
      <c r="T402" s="117"/>
      <c r="U402" s="235"/>
      <c r="V402" s="117"/>
      <c r="W402" s="117"/>
      <c r="X402" s="117"/>
      <c r="Y402" s="117"/>
      <c r="Z402" s="117"/>
      <c r="AA402" s="44"/>
      <c r="AB402" s="117"/>
      <c r="AC402" s="44"/>
      <c r="AD402" s="117"/>
    </row>
    <row r="403" spans="1:30" ht="14.25" customHeight="1">
      <c r="A403" s="189"/>
      <c r="B403" s="189"/>
      <c r="C403" s="44"/>
      <c r="D403" s="117"/>
      <c r="E403" s="44"/>
      <c r="F403" s="44"/>
      <c r="G403" s="117"/>
      <c r="H403" s="117"/>
      <c r="I403" s="117"/>
      <c r="J403" s="117"/>
      <c r="K403" s="117"/>
      <c r="L403" s="117"/>
      <c r="M403" s="117"/>
      <c r="N403" s="117"/>
      <c r="O403" s="117"/>
      <c r="P403" s="117"/>
      <c r="Q403" s="117"/>
      <c r="R403" s="117"/>
      <c r="S403" s="117"/>
      <c r="T403" s="117"/>
      <c r="U403" s="235"/>
      <c r="V403" s="117"/>
      <c r="W403" s="117"/>
      <c r="X403" s="117"/>
      <c r="Y403" s="117"/>
      <c r="Z403" s="117"/>
      <c r="AA403" s="44"/>
      <c r="AB403" s="117"/>
      <c r="AC403" s="44"/>
      <c r="AD403" s="117"/>
    </row>
    <row r="404" spans="1:30" ht="14.25" customHeight="1">
      <c r="A404" s="189"/>
      <c r="B404" s="189"/>
      <c r="C404" s="44"/>
      <c r="D404" s="117"/>
      <c r="E404" s="44"/>
      <c r="F404" s="44"/>
      <c r="G404" s="117"/>
      <c r="H404" s="117"/>
      <c r="I404" s="117"/>
      <c r="J404" s="117"/>
      <c r="K404" s="117"/>
      <c r="L404" s="117"/>
      <c r="M404" s="117"/>
      <c r="N404" s="117"/>
      <c r="O404" s="117"/>
      <c r="P404" s="117"/>
      <c r="Q404" s="117"/>
      <c r="R404" s="117"/>
      <c r="S404" s="117"/>
      <c r="T404" s="117"/>
      <c r="U404" s="235"/>
      <c r="V404" s="117"/>
      <c r="W404" s="117"/>
      <c r="X404" s="117"/>
      <c r="Y404" s="117"/>
      <c r="Z404" s="117"/>
      <c r="AA404" s="44"/>
      <c r="AB404" s="117"/>
      <c r="AC404" s="44"/>
      <c r="AD404" s="117"/>
    </row>
    <row r="405" spans="1:30" ht="14.25" customHeight="1">
      <c r="A405" s="189"/>
      <c r="B405" s="189"/>
      <c r="C405" s="44"/>
      <c r="D405" s="117"/>
      <c r="E405" s="44"/>
      <c r="F405" s="44"/>
      <c r="G405" s="117"/>
      <c r="H405" s="117"/>
      <c r="I405" s="117"/>
      <c r="J405" s="117"/>
      <c r="K405" s="117"/>
      <c r="L405" s="117"/>
      <c r="M405" s="117"/>
      <c r="N405" s="117"/>
      <c r="O405" s="117"/>
      <c r="P405" s="117"/>
      <c r="Q405" s="117"/>
      <c r="R405" s="117"/>
      <c r="S405" s="117"/>
      <c r="T405" s="117"/>
      <c r="U405" s="235"/>
      <c r="V405" s="117"/>
      <c r="W405" s="117"/>
      <c r="X405" s="117"/>
      <c r="Y405" s="117"/>
      <c r="Z405" s="117"/>
      <c r="AA405" s="44"/>
      <c r="AB405" s="117"/>
      <c r="AC405" s="44"/>
      <c r="AD405" s="117"/>
    </row>
    <row r="406" spans="1:30" ht="14.25" customHeight="1">
      <c r="A406" s="189"/>
      <c r="B406" s="189"/>
      <c r="C406" s="44"/>
      <c r="D406" s="117"/>
      <c r="E406" s="44"/>
      <c r="F406" s="44"/>
      <c r="G406" s="117"/>
      <c r="H406" s="117"/>
      <c r="I406" s="117"/>
      <c r="J406" s="117"/>
      <c r="K406" s="117"/>
      <c r="L406" s="117"/>
      <c r="M406" s="117"/>
      <c r="N406" s="117"/>
      <c r="O406" s="117"/>
      <c r="P406" s="117"/>
      <c r="Q406" s="117"/>
      <c r="R406" s="117"/>
      <c r="S406" s="117"/>
      <c r="T406" s="117"/>
      <c r="U406" s="235"/>
      <c r="V406" s="117"/>
      <c r="W406" s="117"/>
      <c r="X406" s="117"/>
      <c r="Y406" s="117"/>
      <c r="Z406" s="117"/>
      <c r="AA406" s="44"/>
      <c r="AB406" s="117"/>
      <c r="AC406" s="44"/>
      <c r="AD406" s="117"/>
    </row>
    <row r="407" spans="1:30" ht="14.25" customHeight="1">
      <c r="A407" s="189"/>
      <c r="B407" s="189"/>
      <c r="C407" s="44"/>
      <c r="D407" s="117"/>
      <c r="E407" s="44"/>
      <c r="F407" s="44"/>
      <c r="G407" s="117"/>
      <c r="H407" s="117"/>
      <c r="I407" s="117"/>
      <c r="J407" s="117"/>
      <c r="K407" s="117"/>
      <c r="L407" s="117"/>
      <c r="M407" s="117"/>
      <c r="N407" s="117"/>
      <c r="O407" s="117"/>
      <c r="P407" s="117"/>
      <c r="Q407" s="117"/>
      <c r="R407" s="117"/>
      <c r="S407" s="117"/>
      <c r="T407" s="117"/>
      <c r="U407" s="235"/>
      <c r="V407" s="117"/>
      <c r="W407" s="117"/>
      <c r="X407" s="117"/>
      <c r="Y407" s="117"/>
      <c r="Z407" s="117"/>
      <c r="AA407" s="44"/>
      <c r="AB407" s="117"/>
      <c r="AC407" s="44"/>
      <c r="AD407" s="117"/>
    </row>
    <row r="408" spans="1:30" ht="14.25" customHeight="1">
      <c r="A408" s="189"/>
      <c r="B408" s="189"/>
      <c r="C408" s="44"/>
      <c r="D408" s="117"/>
      <c r="E408" s="44"/>
      <c r="F408" s="44"/>
      <c r="G408" s="117"/>
      <c r="H408" s="117"/>
      <c r="I408" s="117"/>
      <c r="J408" s="117"/>
      <c r="K408" s="117"/>
      <c r="L408" s="117"/>
      <c r="M408" s="117"/>
      <c r="N408" s="117"/>
      <c r="O408" s="117"/>
      <c r="P408" s="117"/>
      <c r="Q408" s="117"/>
      <c r="R408" s="117"/>
      <c r="S408" s="117"/>
      <c r="T408" s="117"/>
      <c r="U408" s="235"/>
      <c r="V408" s="117"/>
      <c r="W408" s="117"/>
      <c r="X408" s="117"/>
      <c r="Y408" s="117"/>
      <c r="Z408" s="117"/>
      <c r="AA408" s="44"/>
      <c r="AB408" s="117"/>
      <c r="AC408" s="44"/>
      <c r="AD408" s="117"/>
    </row>
    <row r="409" spans="1:30" ht="14.25" customHeight="1">
      <c r="A409" s="189"/>
      <c r="B409" s="189"/>
      <c r="C409" s="44"/>
      <c r="D409" s="117"/>
      <c r="E409" s="44"/>
      <c r="F409" s="44"/>
      <c r="G409" s="117"/>
      <c r="H409" s="117"/>
      <c r="I409" s="117"/>
      <c r="J409" s="117"/>
      <c r="K409" s="117"/>
      <c r="L409" s="117"/>
      <c r="M409" s="117"/>
      <c r="N409" s="117"/>
      <c r="O409" s="117"/>
      <c r="P409" s="117"/>
      <c r="Q409" s="117"/>
      <c r="R409" s="117"/>
      <c r="S409" s="117"/>
      <c r="T409" s="117"/>
      <c r="U409" s="235"/>
      <c r="V409" s="117"/>
      <c r="W409" s="117"/>
      <c r="X409" s="117"/>
      <c r="Y409" s="117"/>
      <c r="Z409" s="117"/>
      <c r="AA409" s="44"/>
      <c r="AB409" s="117"/>
      <c r="AC409" s="44"/>
      <c r="AD409" s="117"/>
    </row>
    <row r="410" spans="1:30" ht="14.25" customHeight="1">
      <c r="A410" s="189"/>
      <c r="B410" s="189"/>
      <c r="C410" s="44"/>
      <c r="D410" s="117"/>
      <c r="E410" s="44"/>
      <c r="F410" s="44"/>
      <c r="G410" s="117"/>
      <c r="H410" s="117"/>
      <c r="I410" s="117"/>
      <c r="J410" s="117"/>
      <c r="K410" s="117"/>
      <c r="L410" s="117"/>
      <c r="M410" s="117"/>
      <c r="N410" s="117"/>
      <c r="O410" s="117"/>
      <c r="P410" s="117"/>
      <c r="Q410" s="117"/>
      <c r="R410" s="117"/>
      <c r="S410" s="117"/>
      <c r="T410" s="117"/>
      <c r="U410" s="235"/>
      <c r="V410" s="117"/>
      <c r="W410" s="117"/>
      <c r="X410" s="117"/>
      <c r="Y410" s="117"/>
      <c r="Z410" s="117"/>
      <c r="AA410" s="44"/>
      <c r="AB410" s="117"/>
      <c r="AC410" s="44"/>
      <c r="AD410" s="117"/>
    </row>
    <row r="411" spans="1:30" ht="14.25" customHeight="1">
      <c r="A411" s="189"/>
      <c r="B411" s="189"/>
      <c r="C411" s="44"/>
      <c r="D411" s="117"/>
      <c r="E411" s="44"/>
      <c r="F411" s="44"/>
      <c r="G411" s="117"/>
      <c r="H411" s="117"/>
      <c r="I411" s="117"/>
      <c r="J411" s="117"/>
      <c r="K411" s="117"/>
      <c r="L411" s="117"/>
      <c r="M411" s="117"/>
      <c r="N411" s="117"/>
      <c r="O411" s="117"/>
      <c r="P411" s="117"/>
      <c r="Q411" s="117"/>
      <c r="R411" s="117"/>
      <c r="S411" s="117"/>
      <c r="T411" s="117"/>
      <c r="U411" s="235"/>
      <c r="V411" s="117"/>
      <c r="W411" s="117"/>
      <c r="X411" s="117"/>
      <c r="Y411" s="117"/>
      <c r="Z411" s="117"/>
      <c r="AA411" s="44"/>
      <c r="AB411" s="117"/>
      <c r="AC411" s="44"/>
      <c r="AD411" s="117"/>
    </row>
    <row r="412" spans="1:30" ht="14.25" customHeight="1">
      <c r="A412" s="189"/>
      <c r="B412" s="189"/>
      <c r="C412" s="44"/>
      <c r="D412" s="117"/>
      <c r="E412" s="44"/>
      <c r="F412" s="44"/>
      <c r="G412" s="117"/>
      <c r="H412" s="117"/>
      <c r="I412" s="117"/>
      <c r="J412" s="117"/>
      <c r="K412" s="117"/>
      <c r="L412" s="117"/>
      <c r="M412" s="117"/>
      <c r="N412" s="117"/>
      <c r="O412" s="117"/>
      <c r="P412" s="117"/>
      <c r="Q412" s="117"/>
      <c r="R412" s="117"/>
      <c r="S412" s="117"/>
      <c r="T412" s="117"/>
      <c r="U412" s="235"/>
      <c r="V412" s="117"/>
      <c r="W412" s="117"/>
      <c r="X412" s="117"/>
      <c r="Y412" s="117"/>
      <c r="Z412" s="117"/>
      <c r="AA412" s="44"/>
      <c r="AB412" s="117"/>
      <c r="AC412" s="44"/>
      <c r="AD412" s="117"/>
    </row>
    <row r="413" spans="1:30" ht="14.25" customHeight="1">
      <c r="A413" s="189"/>
      <c r="B413" s="189"/>
      <c r="C413" s="44"/>
      <c r="D413" s="117"/>
      <c r="E413" s="44"/>
      <c r="F413" s="44"/>
      <c r="G413" s="117"/>
      <c r="H413" s="117"/>
      <c r="I413" s="117"/>
      <c r="J413" s="117"/>
      <c r="K413" s="117"/>
      <c r="L413" s="117"/>
      <c r="M413" s="117"/>
      <c r="N413" s="117"/>
      <c r="O413" s="117"/>
      <c r="P413" s="117"/>
      <c r="Q413" s="117"/>
      <c r="R413" s="117"/>
      <c r="S413" s="117"/>
      <c r="T413" s="117"/>
      <c r="U413" s="235"/>
      <c r="V413" s="117"/>
      <c r="W413" s="117"/>
      <c r="X413" s="117"/>
      <c r="Y413" s="117"/>
      <c r="Z413" s="117"/>
      <c r="AA413" s="44"/>
      <c r="AB413" s="117"/>
      <c r="AC413" s="44"/>
      <c r="AD413" s="117"/>
    </row>
    <row r="414" spans="1:30" ht="14.25" customHeight="1">
      <c r="A414" s="189"/>
      <c r="B414" s="189"/>
      <c r="C414" s="44"/>
      <c r="D414" s="117"/>
      <c r="E414" s="44"/>
      <c r="F414" s="44"/>
      <c r="G414" s="117"/>
      <c r="H414" s="117"/>
      <c r="I414" s="117"/>
      <c r="J414" s="117"/>
      <c r="K414" s="117"/>
      <c r="L414" s="117"/>
      <c r="M414" s="117"/>
      <c r="N414" s="117"/>
      <c r="O414" s="117"/>
      <c r="P414" s="117"/>
      <c r="Q414" s="117"/>
      <c r="R414" s="117"/>
      <c r="S414" s="117"/>
      <c r="T414" s="117"/>
      <c r="U414" s="235"/>
      <c r="V414" s="117"/>
      <c r="W414" s="117"/>
      <c r="X414" s="117"/>
      <c r="Y414" s="117"/>
      <c r="Z414" s="117"/>
      <c r="AA414" s="44"/>
      <c r="AB414" s="117"/>
      <c r="AC414" s="44"/>
      <c r="AD414" s="117"/>
    </row>
    <row r="415" spans="1:30" ht="14.25" customHeight="1">
      <c r="A415" s="189"/>
      <c r="B415" s="189"/>
      <c r="C415" s="44"/>
      <c r="D415" s="117"/>
      <c r="E415" s="44"/>
      <c r="F415" s="44"/>
      <c r="G415" s="117"/>
      <c r="H415" s="117"/>
      <c r="I415" s="117"/>
      <c r="J415" s="117"/>
      <c r="K415" s="117"/>
      <c r="L415" s="117"/>
      <c r="M415" s="117"/>
      <c r="N415" s="117"/>
      <c r="O415" s="117"/>
      <c r="P415" s="117"/>
      <c r="Q415" s="117"/>
      <c r="R415" s="117"/>
      <c r="S415" s="117"/>
      <c r="T415" s="117"/>
      <c r="U415" s="235"/>
      <c r="V415" s="117"/>
      <c r="W415" s="117"/>
      <c r="X415" s="117"/>
      <c r="Y415" s="117"/>
      <c r="Z415" s="117"/>
      <c r="AA415" s="44"/>
      <c r="AB415" s="117"/>
      <c r="AC415" s="44"/>
      <c r="AD415" s="117"/>
    </row>
    <row r="416" spans="1:30" ht="14.25" customHeight="1">
      <c r="A416" s="189"/>
      <c r="B416" s="189"/>
      <c r="C416" s="44"/>
      <c r="D416" s="117"/>
      <c r="E416" s="44"/>
      <c r="F416" s="44"/>
      <c r="G416" s="117"/>
      <c r="H416" s="117"/>
      <c r="I416" s="117"/>
      <c r="J416" s="117"/>
      <c r="K416" s="117"/>
      <c r="L416" s="117"/>
      <c r="M416" s="117"/>
      <c r="N416" s="117"/>
      <c r="O416" s="117"/>
      <c r="P416" s="117"/>
      <c r="Q416" s="117"/>
      <c r="R416" s="117"/>
      <c r="S416" s="117"/>
      <c r="T416" s="117"/>
      <c r="U416" s="235"/>
      <c r="V416" s="117"/>
      <c r="W416" s="117"/>
      <c r="X416" s="117"/>
      <c r="Y416" s="117"/>
      <c r="Z416" s="117"/>
      <c r="AA416" s="44"/>
      <c r="AB416" s="117"/>
      <c r="AC416" s="44"/>
      <c r="AD416" s="117"/>
    </row>
    <row r="417" spans="1:30" ht="14.25" customHeight="1">
      <c r="A417" s="189"/>
      <c r="B417" s="189"/>
      <c r="C417" s="44"/>
      <c r="D417" s="117"/>
      <c r="E417" s="44"/>
      <c r="F417" s="44"/>
      <c r="G417" s="117"/>
      <c r="H417" s="117"/>
      <c r="I417" s="117"/>
      <c r="J417" s="117"/>
      <c r="K417" s="117"/>
      <c r="L417" s="117"/>
      <c r="M417" s="117"/>
      <c r="N417" s="117"/>
      <c r="O417" s="117"/>
      <c r="P417" s="117"/>
      <c r="Q417" s="117"/>
      <c r="R417" s="117"/>
      <c r="S417" s="117"/>
      <c r="T417" s="117"/>
      <c r="U417" s="235"/>
      <c r="V417" s="117"/>
      <c r="W417" s="117"/>
      <c r="X417" s="117"/>
      <c r="Y417" s="117"/>
      <c r="Z417" s="117"/>
      <c r="AA417" s="44"/>
      <c r="AB417" s="117"/>
      <c r="AC417" s="44"/>
      <c r="AD417" s="117"/>
    </row>
    <row r="418" spans="1:30" ht="14.25" customHeight="1">
      <c r="A418" s="189"/>
      <c r="B418" s="189"/>
      <c r="C418" s="44"/>
      <c r="D418" s="117"/>
      <c r="E418" s="44"/>
      <c r="F418" s="44"/>
      <c r="G418" s="117"/>
      <c r="H418" s="117"/>
      <c r="I418" s="117"/>
      <c r="J418" s="117"/>
      <c r="K418" s="117"/>
      <c r="L418" s="117"/>
      <c r="M418" s="117"/>
      <c r="N418" s="117"/>
      <c r="O418" s="117"/>
      <c r="P418" s="117"/>
      <c r="Q418" s="117"/>
      <c r="R418" s="117"/>
      <c r="S418" s="117"/>
      <c r="T418" s="117"/>
      <c r="U418" s="235"/>
      <c r="V418" s="117"/>
      <c r="W418" s="117"/>
      <c r="X418" s="117"/>
      <c r="Y418" s="117"/>
      <c r="Z418" s="117"/>
      <c r="AA418" s="44"/>
      <c r="AB418" s="117"/>
      <c r="AC418" s="44"/>
      <c r="AD418" s="117"/>
    </row>
    <row r="419" spans="1:30" ht="14.25" customHeight="1">
      <c r="A419" s="189"/>
      <c r="B419" s="189"/>
      <c r="C419" s="44"/>
      <c r="D419" s="117"/>
      <c r="E419" s="44"/>
      <c r="F419" s="44"/>
      <c r="G419" s="117"/>
      <c r="H419" s="117"/>
      <c r="I419" s="117"/>
      <c r="J419" s="117"/>
      <c r="K419" s="117"/>
      <c r="L419" s="117"/>
      <c r="M419" s="117"/>
      <c r="N419" s="117"/>
      <c r="O419" s="117"/>
      <c r="P419" s="117"/>
      <c r="Q419" s="117"/>
      <c r="R419" s="117"/>
      <c r="S419" s="117"/>
      <c r="T419" s="117"/>
      <c r="U419" s="235"/>
      <c r="V419" s="117"/>
      <c r="W419" s="117"/>
      <c r="X419" s="117"/>
      <c r="Y419" s="117"/>
      <c r="Z419" s="117"/>
      <c r="AA419" s="44"/>
      <c r="AB419" s="117"/>
      <c r="AC419" s="44"/>
      <c r="AD419" s="117"/>
    </row>
    <row r="420" spans="1:30" ht="14.25" customHeight="1">
      <c r="A420" s="189"/>
      <c r="B420" s="189"/>
      <c r="C420" s="44"/>
      <c r="D420" s="117"/>
      <c r="E420" s="44"/>
      <c r="F420" s="44"/>
      <c r="G420" s="117"/>
      <c r="H420" s="117"/>
      <c r="I420" s="117"/>
      <c r="J420" s="117"/>
      <c r="K420" s="117"/>
      <c r="L420" s="117"/>
      <c r="M420" s="117"/>
      <c r="N420" s="117"/>
      <c r="O420" s="117"/>
      <c r="P420" s="117"/>
      <c r="Q420" s="117"/>
      <c r="R420" s="117"/>
      <c r="S420" s="117"/>
      <c r="T420" s="117"/>
      <c r="U420" s="235"/>
      <c r="V420" s="117"/>
      <c r="W420" s="117"/>
      <c r="X420" s="117"/>
      <c r="Y420" s="117"/>
      <c r="Z420" s="117"/>
      <c r="AA420" s="44"/>
      <c r="AB420" s="117"/>
      <c r="AC420" s="44"/>
      <c r="AD420" s="117"/>
    </row>
    <row r="421" spans="1:30" ht="14.25" customHeight="1">
      <c r="A421" s="189"/>
      <c r="B421" s="189"/>
      <c r="C421" s="44"/>
      <c r="D421" s="117"/>
      <c r="E421" s="44"/>
      <c r="F421" s="44"/>
      <c r="G421" s="117"/>
      <c r="H421" s="117"/>
      <c r="I421" s="117"/>
      <c r="J421" s="117"/>
      <c r="K421" s="117"/>
      <c r="L421" s="117"/>
      <c r="M421" s="117"/>
      <c r="N421" s="117"/>
      <c r="O421" s="117"/>
      <c r="P421" s="117"/>
      <c r="Q421" s="117"/>
      <c r="R421" s="117"/>
      <c r="S421" s="117"/>
      <c r="T421" s="117"/>
      <c r="U421" s="235"/>
      <c r="V421" s="117"/>
      <c r="W421" s="117"/>
      <c r="X421" s="117"/>
      <c r="Y421" s="117"/>
      <c r="Z421" s="117"/>
      <c r="AA421" s="44"/>
      <c r="AB421" s="117"/>
      <c r="AC421" s="44"/>
      <c r="AD421" s="117"/>
    </row>
    <row r="422" spans="1:30" ht="14.25" customHeight="1">
      <c r="A422" s="189"/>
      <c r="B422" s="189"/>
      <c r="C422" s="44"/>
      <c r="D422" s="117"/>
      <c r="E422" s="44"/>
      <c r="F422" s="44"/>
      <c r="G422" s="117"/>
      <c r="H422" s="117"/>
      <c r="I422" s="117"/>
      <c r="J422" s="117"/>
      <c r="K422" s="117"/>
      <c r="L422" s="117"/>
      <c r="M422" s="117"/>
      <c r="N422" s="117"/>
      <c r="O422" s="117"/>
      <c r="P422" s="117"/>
      <c r="Q422" s="117"/>
      <c r="R422" s="117"/>
      <c r="S422" s="117"/>
      <c r="T422" s="117"/>
      <c r="U422" s="235"/>
      <c r="V422" s="117"/>
      <c r="W422" s="117"/>
      <c r="X422" s="117"/>
      <c r="Y422" s="117"/>
      <c r="Z422" s="117"/>
      <c r="AA422" s="44"/>
      <c r="AB422" s="117"/>
      <c r="AC422" s="44"/>
      <c r="AD422" s="117"/>
    </row>
    <row r="423" spans="1:30" ht="14.25" customHeight="1">
      <c r="A423" s="189"/>
      <c r="B423" s="189"/>
      <c r="C423" s="44"/>
      <c r="D423" s="117"/>
      <c r="E423" s="44"/>
      <c r="F423" s="44"/>
      <c r="G423" s="117"/>
      <c r="H423" s="117"/>
      <c r="I423" s="117"/>
      <c r="J423" s="117"/>
      <c r="K423" s="117"/>
      <c r="L423" s="117"/>
      <c r="M423" s="117"/>
      <c r="N423" s="117"/>
      <c r="O423" s="117"/>
      <c r="P423" s="117"/>
      <c r="Q423" s="117"/>
      <c r="R423" s="117"/>
      <c r="S423" s="117"/>
      <c r="T423" s="117"/>
      <c r="U423" s="235"/>
      <c r="V423" s="117"/>
      <c r="W423" s="117"/>
      <c r="X423" s="117"/>
      <c r="Y423" s="117"/>
      <c r="Z423" s="117"/>
      <c r="AA423" s="44"/>
      <c r="AB423" s="117"/>
      <c r="AC423" s="44"/>
      <c r="AD423" s="117"/>
    </row>
    <row r="424" spans="1:30" ht="14.25" customHeight="1">
      <c r="A424" s="189"/>
      <c r="B424" s="189"/>
      <c r="C424" s="44"/>
      <c r="D424" s="117"/>
      <c r="E424" s="44"/>
      <c r="F424" s="44"/>
      <c r="G424" s="117"/>
      <c r="H424" s="117"/>
      <c r="I424" s="117"/>
      <c r="J424" s="117"/>
      <c r="K424" s="117"/>
      <c r="L424" s="117"/>
      <c r="M424" s="117"/>
      <c r="N424" s="117"/>
      <c r="O424" s="117"/>
      <c r="P424" s="117"/>
      <c r="Q424" s="117"/>
      <c r="R424" s="117"/>
      <c r="S424" s="117"/>
      <c r="T424" s="117"/>
      <c r="U424" s="235"/>
      <c r="V424" s="117"/>
      <c r="W424" s="117"/>
      <c r="X424" s="117"/>
      <c r="Y424" s="117"/>
      <c r="Z424" s="117"/>
      <c r="AA424" s="44"/>
      <c r="AB424" s="117"/>
      <c r="AC424" s="44"/>
      <c r="AD424" s="117"/>
    </row>
    <row r="425" spans="1:30" ht="14.25" customHeight="1">
      <c r="A425" s="189"/>
      <c r="B425" s="189"/>
      <c r="C425" s="44"/>
      <c r="D425" s="117"/>
      <c r="E425" s="44"/>
      <c r="F425" s="44"/>
      <c r="G425" s="117"/>
      <c r="H425" s="117"/>
      <c r="I425" s="117"/>
      <c r="J425" s="117"/>
      <c r="K425" s="117"/>
      <c r="L425" s="117"/>
      <c r="M425" s="117"/>
      <c r="N425" s="117"/>
      <c r="O425" s="117"/>
      <c r="P425" s="117"/>
      <c r="Q425" s="117"/>
      <c r="R425" s="117"/>
      <c r="S425" s="117"/>
      <c r="T425" s="117"/>
      <c r="U425" s="235"/>
      <c r="V425" s="117"/>
      <c r="W425" s="117"/>
      <c r="X425" s="117"/>
      <c r="Y425" s="117"/>
      <c r="Z425" s="117"/>
      <c r="AA425" s="44"/>
      <c r="AB425" s="117"/>
      <c r="AC425" s="44"/>
      <c r="AD425" s="117"/>
    </row>
    <row r="426" spans="1:30" ht="14.25" customHeight="1">
      <c r="A426" s="189"/>
      <c r="B426" s="189"/>
      <c r="C426" s="44"/>
      <c r="D426" s="117"/>
      <c r="E426" s="44"/>
      <c r="F426" s="44"/>
      <c r="G426" s="117"/>
      <c r="H426" s="117"/>
      <c r="I426" s="117"/>
      <c r="J426" s="117"/>
      <c r="K426" s="117"/>
      <c r="L426" s="117"/>
      <c r="M426" s="117"/>
      <c r="N426" s="117"/>
      <c r="O426" s="117"/>
      <c r="P426" s="117"/>
      <c r="Q426" s="117"/>
      <c r="R426" s="117"/>
      <c r="S426" s="117"/>
      <c r="T426" s="117"/>
      <c r="U426" s="235"/>
      <c r="V426" s="117"/>
      <c r="W426" s="117"/>
      <c r="X426" s="117"/>
      <c r="Y426" s="117"/>
      <c r="Z426" s="117"/>
      <c r="AA426" s="44"/>
      <c r="AB426" s="117"/>
      <c r="AC426" s="44"/>
      <c r="AD426" s="117"/>
    </row>
    <row r="427" spans="1:30" ht="14.25" customHeight="1">
      <c r="A427" s="189"/>
      <c r="B427" s="189"/>
      <c r="C427" s="44"/>
      <c r="D427" s="117"/>
      <c r="E427" s="44"/>
      <c r="F427" s="44"/>
      <c r="G427" s="117"/>
      <c r="H427" s="117"/>
      <c r="I427" s="117"/>
      <c r="J427" s="117"/>
      <c r="K427" s="117"/>
      <c r="L427" s="117"/>
      <c r="M427" s="117"/>
      <c r="N427" s="117"/>
      <c r="O427" s="117"/>
      <c r="P427" s="117"/>
      <c r="Q427" s="117"/>
      <c r="R427" s="117"/>
      <c r="S427" s="117"/>
      <c r="T427" s="117"/>
      <c r="U427" s="235"/>
      <c r="V427" s="117"/>
      <c r="W427" s="117"/>
      <c r="X427" s="117"/>
      <c r="Y427" s="117"/>
      <c r="Z427" s="117"/>
      <c r="AA427" s="44"/>
      <c r="AB427" s="117"/>
      <c r="AC427" s="44"/>
      <c r="AD427" s="117"/>
    </row>
    <row r="428" spans="1:30" ht="14.25" customHeight="1">
      <c r="A428" s="189"/>
      <c r="B428" s="189"/>
      <c r="C428" s="44"/>
      <c r="D428" s="117"/>
      <c r="E428" s="44"/>
      <c r="F428" s="44"/>
      <c r="G428" s="117"/>
      <c r="H428" s="117"/>
      <c r="I428" s="117"/>
      <c r="J428" s="117"/>
      <c r="K428" s="117"/>
      <c r="L428" s="117"/>
      <c r="M428" s="117"/>
      <c r="N428" s="117"/>
      <c r="O428" s="117"/>
      <c r="P428" s="117"/>
      <c r="Q428" s="117"/>
      <c r="R428" s="117"/>
      <c r="S428" s="117"/>
      <c r="T428" s="117"/>
      <c r="U428" s="235"/>
      <c r="V428" s="117"/>
      <c r="W428" s="117"/>
      <c r="X428" s="117"/>
      <c r="Y428" s="117"/>
      <c r="Z428" s="117"/>
      <c r="AA428" s="44"/>
      <c r="AB428" s="117"/>
      <c r="AC428" s="44"/>
      <c r="AD428" s="117"/>
    </row>
    <row r="429" spans="1:30" ht="14.25" customHeight="1">
      <c r="A429" s="189"/>
      <c r="B429" s="189"/>
      <c r="C429" s="44"/>
      <c r="D429" s="117"/>
      <c r="E429" s="44"/>
      <c r="F429" s="44"/>
      <c r="G429" s="117"/>
      <c r="H429" s="117"/>
      <c r="I429" s="117"/>
      <c r="J429" s="117"/>
      <c r="K429" s="117"/>
      <c r="L429" s="117"/>
      <c r="M429" s="117"/>
      <c r="N429" s="117"/>
      <c r="O429" s="117"/>
      <c r="P429" s="117"/>
      <c r="Q429" s="117"/>
      <c r="R429" s="117"/>
      <c r="S429" s="117"/>
      <c r="T429" s="117"/>
      <c r="U429" s="235"/>
      <c r="V429" s="117"/>
      <c r="W429" s="117"/>
      <c r="X429" s="117"/>
      <c r="Y429" s="117"/>
      <c r="Z429" s="117"/>
      <c r="AA429" s="44"/>
      <c r="AB429" s="117"/>
      <c r="AC429" s="44"/>
      <c r="AD429" s="117"/>
    </row>
    <row r="430" spans="1:30" ht="14.25" customHeight="1">
      <c r="A430" s="189"/>
      <c r="B430" s="189"/>
      <c r="C430" s="44"/>
      <c r="D430" s="117"/>
      <c r="E430" s="44"/>
      <c r="F430" s="44"/>
      <c r="G430" s="117"/>
      <c r="H430" s="117"/>
      <c r="I430" s="117"/>
      <c r="J430" s="117"/>
      <c r="K430" s="117"/>
      <c r="L430" s="117"/>
      <c r="M430" s="117"/>
      <c r="N430" s="117"/>
      <c r="O430" s="117"/>
      <c r="P430" s="117"/>
      <c r="Q430" s="117"/>
      <c r="R430" s="117"/>
      <c r="S430" s="117"/>
      <c r="T430" s="117"/>
      <c r="U430" s="235"/>
      <c r="V430" s="117"/>
      <c r="W430" s="117"/>
      <c r="X430" s="117"/>
      <c r="Y430" s="117"/>
      <c r="Z430" s="117"/>
      <c r="AA430" s="44"/>
      <c r="AB430" s="117"/>
      <c r="AC430" s="44"/>
      <c r="AD430" s="117"/>
    </row>
    <row r="431" spans="1:30" ht="14.25" customHeight="1">
      <c r="A431" s="189"/>
      <c r="B431" s="189"/>
      <c r="C431" s="44"/>
      <c r="D431" s="117"/>
      <c r="E431" s="44"/>
      <c r="F431" s="44"/>
      <c r="G431" s="117"/>
      <c r="H431" s="117"/>
      <c r="I431" s="117"/>
      <c r="J431" s="117"/>
      <c r="K431" s="117"/>
      <c r="L431" s="117"/>
      <c r="M431" s="117"/>
      <c r="N431" s="117"/>
      <c r="O431" s="117"/>
      <c r="P431" s="117"/>
      <c r="Q431" s="117"/>
      <c r="R431" s="117"/>
      <c r="S431" s="117"/>
      <c r="T431" s="117"/>
      <c r="U431" s="235"/>
      <c r="V431" s="117"/>
      <c r="W431" s="117"/>
      <c r="X431" s="117"/>
      <c r="Y431" s="117"/>
      <c r="Z431" s="117"/>
      <c r="AA431" s="44"/>
      <c r="AB431" s="117"/>
      <c r="AC431" s="44"/>
      <c r="AD431" s="117"/>
    </row>
    <row r="432" spans="1:30" ht="14.25" customHeight="1">
      <c r="A432" s="189"/>
      <c r="B432" s="189"/>
      <c r="C432" s="44"/>
      <c r="D432" s="117"/>
      <c r="E432" s="44"/>
      <c r="F432" s="44"/>
      <c r="G432" s="117"/>
      <c r="H432" s="117"/>
      <c r="I432" s="117"/>
      <c r="J432" s="117"/>
      <c r="K432" s="117"/>
      <c r="L432" s="117"/>
      <c r="M432" s="117"/>
      <c r="N432" s="117"/>
      <c r="O432" s="117"/>
      <c r="P432" s="117"/>
      <c r="Q432" s="117"/>
      <c r="R432" s="117"/>
      <c r="S432" s="117"/>
      <c r="T432" s="117"/>
      <c r="U432" s="235"/>
      <c r="V432" s="117"/>
      <c r="W432" s="117"/>
      <c r="X432" s="117"/>
      <c r="Y432" s="117"/>
      <c r="Z432" s="117"/>
      <c r="AA432" s="44"/>
      <c r="AB432" s="117"/>
      <c r="AC432" s="44"/>
      <c r="AD432" s="117"/>
    </row>
    <row r="433" spans="1:30" ht="14.25" customHeight="1">
      <c r="A433" s="189"/>
      <c r="B433" s="189"/>
      <c r="C433" s="44"/>
      <c r="D433" s="117"/>
      <c r="E433" s="44"/>
      <c r="F433" s="44"/>
      <c r="G433" s="117"/>
      <c r="H433" s="117"/>
      <c r="I433" s="117"/>
      <c r="J433" s="117"/>
      <c r="K433" s="117"/>
      <c r="L433" s="117"/>
      <c r="M433" s="117"/>
      <c r="N433" s="117"/>
      <c r="O433" s="117"/>
      <c r="P433" s="117"/>
      <c r="Q433" s="117"/>
      <c r="R433" s="117"/>
      <c r="S433" s="117"/>
      <c r="T433" s="117"/>
      <c r="U433" s="235"/>
      <c r="V433" s="117"/>
      <c r="W433" s="117"/>
      <c r="X433" s="117"/>
      <c r="Y433" s="117"/>
      <c r="Z433" s="117"/>
      <c r="AA433" s="44"/>
      <c r="AB433" s="117"/>
      <c r="AC433" s="44"/>
      <c r="AD433" s="117"/>
    </row>
    <row r="434" spans="1:30" ht="14.25" customHeight="1">
      <c r="A434" s="189"/>
      <c r="B434" s="189"/>
      <c r="C434" s="44"/>
      <c r="D434" s="117"/>
      <c r="E434" s="44"/>
      <c r="F434" s="44"/>
      <c r="G434" s="117"/>
      <c r="H434" s="117"/>
      <c r="I434" s="117"/>
      <c r="J434" s="117"/>
      <c r="K434" s="117"/>
      <c r="L434" s="117"/>
      <c r="M434" s="117"/>
      <c r="N434" s="117"/>
      <c r="O434" s="117"/>
      <c r="P434" s="117"/>
      <c r="Q434" s="117"/>
      <c r="R434" s="117"/>
      <c r="S434" s="117"/>
      <c r="T434" s="117"/>
      <c r="U434" s="235"/>
      <c r="V434" s="117"/>
      <c r="W434" s="117"/>
      <c r="X434" s="117"/>
      <c r="Y434" s="117"/>
      <c r="Z434" s="117"/>
      <c r="AA434" s="44"/>
      <c r="AB434" s="117"/>
      <c r="AC434" s="44"/>
      <c r="AD434" s="117"/>
    </row>
    <row r="435" spans="1:30" ht="14.25" customHeight="1">
      <c r="A435" s="189"/>
      <c r="B435" s="189"/>
      <c r="C435" s="44"/>
      <c r="D435" s="117"/>
      <c r="E435" s="44"/>
      <c r="F435" s="44"/>
      <c r="G435" s="117"/>
      <c r="H435" s="117"/>
      <c r="I435" s="117"/>
      <c r="J435" s="117"/>
      <c r="K435" s="117"/>
      <c r="L435" s="117"/>
      <c r="M435" s="117"/>
      <c r="N435" s="117"/>
      <c r="O435" s="117"/>
      <c r="P435" s="117"/>
      <c r="Q435" s="117"/>
      <c r="R435" s="117"/>
      <c r="S435" s="117"/>
      <c r="T435" s="117"/>
      <c r="U435" s="235"/>
      <c r="V435" s="117"/>
      <c r="W435" s="117"/>
      <c r="X435" s="117"/>
      <c r="Y435" s="117"/>
      <c r="Z435" s="117"/>
      <c r="AA435" s="44"/>
      <c r="AB435" s="117"/>
      <c r="AC435" s="44"/>
      <c r="AD435" s="117"/>
    </row>
    <row r="436" spans="1:30" ht="14.25" customHeight="1">
      <c r="A436" s="189"/>
      <c r="B436" s="189"/>
      <c r="C436" s="44"/>
      <c r="D436" s="117"/>
      <c r="E436" s="44"/>
      <c r="F436" s="44"/>
      <c r="G436" s="117"/>
      <c r="H436" s="117"/>
      <c r="I436" s="117"/>
      <c r="J436" s="117"/>
      <c r="K436" s="117"/>
      <c r="L436" s="117"/>
      <c r="M436" s="117"/>
      <c r="N436" s="117"/>
      <c r="O436" s="117"/>
      <c r="P436" s="117"/>
      <c r="Q436" s="117"/>
      <c r="R436" s="117"/>
      <c r="S436" s="117"/>
      <c r="T436" s="117"/>
      <c r="U436" s="235"/>
      <c r="V436" s="117"/>
      <c r="W436" s="117"/>
      <c r="X436" s="117"/>
      <c r="Y436" s="117"/>
      <c r="Z436" s="117"/>
      <c r="AA436" s="44"/>
      <c r="AB436" s="117"/>
      <c r="AC436" s="44"/>
      <c r="AD436" s="117"/>
    </row>
    <row r="437" spans="1:30" ht="14.25" customHeight="1">
      <c r="A437" s="189"/>
      <c r="B437" s="189"/>
      <c r="C437" s="44"/>
      <c r="D437" s="117"/>
      <c r="E437" s="44"/>
      <c r="F437" s="44"/>
      <c r="G437" s="117"/>
      <c r="H437" s="117"/>
      <c r="I437" s="117"/>
      <c r="J437" s="117"/>
      <c r="K437" s="117"/>
      <c r="L437" s="117"/>
      <c r="M437" s="117"/>
      <c r="N437" s="117"/>
      <c r="O437" s="117"/>
      <c r="P437" s="117"/>
      <c r="Q437" s="117"/>
      <c r="R437" s="117"/>
      <c r="S437" s="117"/>
      <c r="T437" s="117"/>
      <c r="U437" s="235"/>
      <c r="V437" s="117"/>
      <c r="W437" s="117"/>
      <c r="X437" s="117"/>
      <c r="Y437" s="117"/>
      <c r="Z437" s="117"/>
      <c r="AA437" s="44"/>
      <c r="AB437" s="117"/>
      <c r="AC437" s="44"/>
      <c r="AD437" s="117"/>
    </row>
    <row r="438" spans="1:30" ht="14.25" customHeight="1">
      <c r="A438" s="189"/>
      <c r="B438" s="189"/>
      <c r="C438" s="44"/>
      <c r="D438" s="117"/>
      <c r="E438" s="44"/>
      <c r="F438" s="44"/>
      <c r="G438" s="117"/>
      <c r="H438" s="117"/>
      <c r="I438" s="117"/>
      <c r="J438" s="117"/>
      <c r="K438" s="117"/>
      <c r="L438" s="117"/>
      <c r="M438" s="117"/>
      <c r="N438" s="117"/>
      <c r="O438" s="117"/>
      <c r="P438" s="117"/>
      <c r="Q438" s="117"/>
      <c r="R438" s="117"/>
      <c r="S438" s="117"/>
      <c r="T438" s="117"/>
      <c r="U438" s="235"/>
      <c r="V438" s="117"/>
      <c r="W438" s="117"/>
      <c r="X438" s="117"/>
      <c r="Y438" s="117"/>
      <c r="Z438" s="117"/>
      <c r="AA438" s="44"/>
      <c r="AB438" s="117"/>
      <c r="AC438" s="44"/>
      <c r="AD438" s="117"/>
    </row>
    <row r="439" spans="1:30" ht="14.25" customHeight="1">
      <c r="A439" s="189"/>
      <c r="B439" s="189"/>
      <c r="C439" s="44"/>
      <c r="D439" s="117"/>
      <c r="E439" s="44"/>
      <c r="F439" s="44"/>
      <c r="G439" s="117"/>
      <c r="H439" s="117"/>
      <c r="I439" s="117"/>
      <c r="J439" s="117"/>
      <c r="K439" s="117"/>
      <c r="L439" s="117"/>
      <c r="M439" s="117"/>
      <c r="N439" s="117"/>
      <c r="O439" s="117"/>
      <c r="P439" s="117"/>
      <c r="Q439" s="117"/>
      <c r="R439" s="117"/>
      <c r="S439" s="117"/>
      <c r="T439" s="117"/>
      <c r="U439" s="235"/>
      <c r="V439" s="117"/>
      <c r="W439" s="117"/>
      <c r="X439" s="117"/>
      <c r="Y439" s="117"/>
      <c r="Z439" s="117"/>
      <c r="AA439" s="44"/>
      <c r="AB439" s="117"/>
      <c r="AC439" s="44"/>
      <c r="AD439" s="117"/>
    </row>
    <row r="440" spans="1:30" ht="14.25" customHeight="1">
      <c r="A440" s="189"/>
      <c r="B440" s="189"/>
      <c r="C440" s="44"/>
      <c r="D440" s="117"/>
      <c r="E440" s="44"/>
      <c r="F440" s="44"/>
      <c r="G440" s="117"/>
      <c r="H440" s="117"/>
      <c r="I440" s="117"/>
      <c r="J440" s="117"/>
      <c r="K440" s="117"/>
      <c r="L440" s="117"/>
      <c r="M440" s="117"/>
      <c r="N440" s="117"/>
      <c r="O440" s="117"/>
      <c r="P440" s="117"/>
      <c r="Q440" s="117"/>
      <c r="R440" s="117"/>
      <c r="S440" s="117"/>
      <c r="T440" s="117"/>
      <c r="U440" s="235"/>
      <c r="V440" s="117"/>
      <c r="W440" s="117"/>
      <c r="X440" s="117"/>
      <c r="Y440" s="117"/>
      <c r="Z440" s="117"/>
      <c r="AA440" s="44"/>
      <c r="AB440" s="117"/>
      <c r="AC440" s="44"/>
      <c r="AD440" s="117"/>
    </row>
    <row r="441" spans="1:30" ht="14.25" customHeight="1">
      <c r="A441" s="189"/>
      <c r="B441" s="189"/>
      <c r="C441" s="44"/>
      <c r="D441" s="117"/>
      <c r="E441" s="44"/>
      <c r="F441" s="44"/>
      <c r="G441" s="117"/>
      <c r="H441" s="117"/>
      <c r="I441" s="117"/>
      <c r="J441" s="117"/>
      <c r="K441" s="117"/>
      <c r="L441" s="117"/>
      <c r="M441" s="117"/>
      <c r="N441" s="117"/>
      <c r="O441" s="117"/>
      <c r="P441" s="117"/>
      <c r="Q441" s="117"/>
      <c r="R441" s="117"/>
      <c r="S441" s="117"/>
      <c r="T441" s="117"/>
      <c r="U441" s="235"/>
      <c r="V441" s="117"/>
      <c r="W441" s="117"/>
      <c r="X441" s="117"/>
      <c r="Y441" s="117"/>
      <c r="Z441" s="117"/>
      <c r="AA441" s="44"/>
      <c r="AB441" s="117"/>
      <c r="AC441" s="44"/>
      <c r="AD441" s="117"/>
    </row>
    <row r="442" spans="1:30" ht="14.25" customHeight="1">
      <c r="A442" s="189"/>
      <c r="B442" s="189"/>
      <c r="C442" s="44"/>
      <c r="D442" s="117"/>
      <c r="E442" s="44"/>
      <c r="F442" s="44"/>
      <c r="G442" s="117"/>
      <c r="H442" s="117"/>
      <c r="I442" s="117"/>
      <c r="J442" s="117"/>
      <c r="K442" s="117"/>
      <c r="L442" s="117"/>
      <c r="M442" s="117"/>
      <c r="N442" s="117"/>
      <c r="O442" s="117"/>
      <c r="P442" s="117"/>
      <c r="Q442" s="117"/>
      <c r="R442" s="117"/>
      <c r="S442" s="117"/>
      <c r="T442" s="117"/>
      <c r="U442" s="235"/>
      <c r="V442" s="117"/>
      <c r="W442" s="117"/>
      <c r="X442" s="117"/>
      <c r="Y442" s="117"/>
      <c r="Z442" s="117"/>
      <c r="AA442" s="44"/>
      <c r="AB442" s="117"/>
      <c r="AC442" s="44"/>
      <c r="AD442" s="117"/>
    </row>
    <row r="443" spans="1:30" ht="14.25" customHeight="1">
      <c r="A443" s="189"/>
      <c r="B443" s="189"/>
      <c r="C443" s="44"/>
      <c r="D443" s="117"/>
      <c r="E443" s="44"/>
      <c r="F443" s="44"/>
      <c r="G443" s="117"/>
      <c r="H443" s="117"/>
      <c r="I443" s="117"/>
      <c r="J443" s="117"/>
      <c r="K443" s="117"/>
      <c r="L443" s="117"/>
      <c r="M443" s="117"/>
      <c r="N443" s="117"/>
      <c r="O443" s="117"/>
      <c r="P443" s="117"/>
      <c r="Q443" s="117"/>
      <c r="R443" s="117"/>
      <c r="S443" s="117"/>
      <c r="T443" s="117"/>
      <c r="U443" s="235"/>
      <c r="V443" s="117"/>
      <c r="W443" s="117"/>
      <c r="X443" s="117"/>
      <c r="Y443" s="117"/>
      <c r="Z443" s="117"/>
      <c r="AA443" s="44"/>
      <c r="AB443" s="117"/>
      <c r="AC443" s="44"/>
      <c r="AD443" s="117"/>
    </row>
    <row r="444" spans="1:30" ht="14.25" customHeight="1">
      <c r="A444" s="189"/>
      <c r="B444" s="189"/>
      <c r="C444" s="44"/>
      <c r="D444" s="117"/>
      <c r="E444" s="44"/>
      <c r="F444" s="44"/>
      <c r="G444" s="117"/>
      <c r="H444" s="117"/>
      <c r="I444" s="117"/>
      <c r="J444" s="117"/>
      <c r="K444" s="117"/>
      <c r="L444" s="117"/>
      <c r="M444" s="117"/>
      <c r="N444" s="117"/>
      <c r="O444" s="117"/>
      <c r="P444" s="117"/>
      <c r="Q444" s="117"/>
      <c r="R444" s="117"/>
      <c r="S444" s="117"/>
      <c r="T444" s="117"/>
      <c r="U444" s="235"/>
      <c r="V444" s="117"/>
      <c r="W444" s="117"/>
      <c r="X444" s="117"/>
      <c r="Y444" s="117"/>
      <c r="Z444" s="117"/>
      <c r="AA444" s="44"/>
      <c r="AB444" s="117"/>
      <c r="AC444" s="44"/>
      <c r="AD444" s="117"/>
    </row>
    <row r="445" spans="1:30" ht="14.25" customHeight="1">
      <c r="A445" s="189"/>
      <c r="B445" s="189"/>
      <c r="C445" s="44"/>
      <c r="D445" s="117"/>
      <c r="E445" s="44"/>
      <c r="F445" s="44"/>
      <c r="G445" s="117"/>
      <c r="H445" s="117"/>
      <c r="I445" s="117"/>
      <c r="J445" s="117"/>
      <c r="K445" s="117"/>
      <c r="L445" s="117"/>
      <c r="M445" s="117"/>
      <c r="N445" s="117"/>
      <c r="O445" s="117"/>
      <c r="P445" s="117"/>
      <c r="Q445" s="117"/>
      <c r="R445" s="117"/>
      <c r="S445" s="117"/>
      <c r="T445" s="117"/>
      <c r="U445" s="235"/>
      <c r="V445" s="117"/>
      <c r="W445" s="117"/>
      <c r="X445" s="117"/>
      <c r="Y445" s="117"/>
      <c r="Z445" s="117"/>
      <c r="AA445" s="44"/>
      <c r="AB445" s="117"/>
      <c r="AC445" s="44"/>
      <c r="AD445" s="117"/>
    </row>
    <row r="446" spans="1:30" ht="14.25" customHeight="1">
      <c r="A446" s="189"/>
      <c r="B446" s="189"/>
      <c r="C446" s="44"/>
      <c r="D446" s="117"/>
      <c r="E446" s="44"/>
      <c r="F446" s="44"/>
      <c r="G446" s="117"/>
      <c r="H446" s="117"/>
      <c r="I446" s="117"/>
      <c r="J446" s="117"/>
      <c r="K446" s="117"/>
      <c r="L446" s="117"/>
      <c r="M446" s="117"/>
      <c r="N446" s="117"/>
      <c r="O446" s="117"/>
      <c r="P446" s="117"/>
      <c r="Q446" s="117"/>
      <c r="R446" s="117"/>
      <c r="S446" s="117"/>
      <c r="T446" s="117"/>
      <c r="U446" s="235"/>
      <c r="V446" s="117"/>
      <c r="W446" s="117"/>
      <c r="X446" s="117"/>
      <c r="Y446" s="117"/>
      <c r="Z446" s="117"/>
      <c r="AA446" s="44"/>
      <c r="AB446" s="117"/>
      <c r="AC446" s="44"/>
      <c r="AD446" s="117"/>
    </row>
    <row r="447" spans="1:30" ht="14.25" customHeight="1">
      <c r="A447" s="189"/>
      <c r="B447" s="189"/>
      <c r="C447" s="44"/>
      <c r="D447" s="117"/>
      <c r="E447" s="44"/>
      <c r="F447" s="44"/>
      <c r="G447" s="117"/>
      <c r="H447" s="117"/>
      <c r="I447" s="117"/>
      <c r="J447" s="117"/>
      <c r="K447" s="117"/>
      <c r="L447" s="117"/>
      <c r="M447" s="117"/>
      <c r="N447" s="117"/>
      <c r="O447" s="117"/>
      <c r="P447" s="117"/>
      <c r="Q447" s="117"/>
      <c r="R447" s="117"/>
      <c r="S447" s="117"/>
      <c r="T447" s="117"/>
      <c r="U447" s="235"/>
      <c r="V447" s="117"/>
      <c r="W447" s="117"/>
      <c r="X447" s="117"/>
      <c r="Y447" s="117"/>
      <c r="Z447" s="117"/>
      <c r="AA447" s="44"/>
      <c r="AB447" s="117"/>
      <c r="AC447" s="44"/>
      <c r="AD447" s="117"/>
    </row>
    <row r="448" spans="1:30" ht="14.25" customHeight="1">
      <c r="A448" s="189"/>
      <c r="B448" s="189"/>
      <c r="C448" s="44"/>
      <c r="D448" s="117"/>
      <c r="E448" s="44"/>
      <c r="F448" s="44"/>
      <c r="G448" s="117"/>
      <c r="H448" s="117"/>
      <c r="I448" s="117"/>
      <c r="J448" s="117"/>
      <c r="K448" s="117"/>
      <c r="L448" s="117"/>
      <c r="M448" s="117"/>
      <c r="N448" s="117"/>
      <c r="O448" s="117"/>
      <c r="P448" s="117"/>
      <c r="Q448" s="117"/>
      <c r="R448" s="117"/>
      <c r="S448" s="117"/>
      <c r="T448" s="117"/>
      <c r="U448" s="235"/>
      <c r="V448" s="117"/>
      <c r="W448" s="117"/>
      <c r="X448" s="117"/>
      <c r="Y448" s="117"/>
      <c r="Z448" s="117"/>
      <c r="AA448" s="44"/>
      <c r="AB448" s="117"/>
      <c r="AC448" s="44"/>
      <c r="AD448" s="117"/>
    </row>
    <row r="449" spans="1:30" ht="14.25" customHeight="1">
      <c r="A449" s="189"/>
      <c r="B449" s="189"/>
      <c r="C449" s="44"/>
      <c r="D449" s="117"/>
      <c r="E449" s="44"/>
      <c r="F449" s="44"/>
      <c r="G449" s="117"/>
      <c r="H449" s="117"/>
      <c r="I449" s="117"/>
      <c r="J449" s="117"/>
      <c r="K449" s="117"/>
      <c r="L449" s="117"/>
      <c r="M449" s="117"/>
      <c r="N449" s="117"/>
      <c r="O449" s="117"/>
      <c r="P449" s="117"/>
      <c r="Q449" s="117"/>
      <c r="R449" s="117"/>
      <c r="S449" s="117"/>
      <c r="T449" s="117"/>
      <c r="U449" s="235"/>
      <c r="V449" s="117"/>
      <c r="W449" s="117"/>
      <c r="X449" s="117"/>
      <c r="Y449" s="117"/>
      <c r="Z449" s="117"/>
      <c r="AA449" s="44"/>
      <c r="AB449" s="117"/>
      <c r="AC449" s="44"/>
      <c r="AD449" s="117"/>
    </row>
    <row r="450" spans="1:30" ht="14.25" customHeight="1">
      <c r="A450" s="189"/>
      <c r="B450" s="189"/>
      <c r="C450" s="44"/>
      <c r="D450" s="117"/>
      <c r="E450" s="44"/>
      <c r="F450" s="44"/>
      <c r="G450" s="117"/>
      <c r="H450" s="117"/>
      <c r="I450" s="117"/>
      <c r="J450" s="117"/>
      <c r="K450" s="117"/>
      <c r="L450" s="117"/>
      <c r="M450" s="117"/>
      <c r="N450" s="117"/>
      <c r="O450" s="117"/>
      <c r="P450" s="117"/>
      <c r="Q450" s="117"/>
      <c r="R450" s="117"/>
      <c r="S450" s="117"/>
      <c r="T450" s="117"/>
      <c r="U450" s="235"/>
      <c r="V450" s="117"/>
      <c r="W450" s="117"/>
      <c r="X450" s="117"/>
      <c r="Y450" s="117"/>
      <c r="Z450" s="117"/>
      <c r="AA450" s="44"/>
      <c r="AB450" s="117"/>
      <c r="AC450" s="44"/>
      <c r="AD450" s="117"/>
    </row>
    <row r="451" spans="1:30" ht="14.25" customHeight="1">
      <c r="A451" s="189"/>
      <c r="B451" s="189"/>
      <c r="C451" s="44"/>
      <c r="D451" s="117"/>
      <c r="E451" s="44"/>
      <c r="F451" s="44"/>
      <c r="G451" s="117"/>
      <c r="H451" s="117"/>
      <c r="I451" s="117"/>
      <c r="J451" s="117"/>
      <c r="K451" s="117"/>
      <c r="L451" s="117"/>
      <c r="M451" s="117"/>
      <c r="N451" s="117"/>
      <c r="O451" s="117"/>
      <c r="P451" s="117"/>
      <c r="Q451" s="117"/>
      <c r="R451" s="117"/>
      <c r="S451" s="117"/>
      <c r="T451" s="117"/>
      <c r="U451" s="235"/>
      <c r="V451" s="117"/>
      <c r="W451" s="117"/>
      <c r="X451" s="117"/>
      <c r="Y451" s="117"/>
      <c r="Z451" s="117"/>
      <c r="AA451" s="44"/>
      <c r="AB451" s="117"/>
      <c r="AC451" s="44"/>
      <c r="AD451" s="117"/>
    </row>
    <row r="452" spans="1:30" ht="14.25" customHeight="1">
      <c r="A452" s="189"/>
      <c r="B452" s="189"/>
      <c r="C452" s="44"/>
      <c r="D452" s="117"/>
      <c r="E452" s="44"/>
      <c r="F452" s="44"/>
      <c r="G452" s="117"/>
      <c r="H452" s="117"/>
      <c r="I452" s="117"/>
      <c r="J452" s="117"/>
      <c r="K452" s="117"/>
      <c r="L452" s="117"/>
      <c r="M452" s="117"/>
      <c r="N452" s="117"/>
      <c r="O452" s="117"/>
      <c r="P452" s="117"/>
      <c r="Q452" s="117"/>
      <c r="R452" s="117"/>
      <c r="S452" s="117"/>
      <c r="T452" s="117"/>
      <c r="U452" s="235"/>
      <c r="V452" s="117"/>
      <c r="W452" s="117"/>
      <c r="X452" s="117"/>
      <c r="Y452" s="117"/>
      <c r="Z452" s="117"/>
      <c r="AA452" s="44"/>
      <c r="AB452" s="117"/>
      <c r="AC452" s="44"/>
      <c r="AD452" s="117"/>
    </row>
    <row r="453" spans="1:30" ht="14.25" customHeight="1">
      <c r="A453" s="189"/>
      <c r="B453" s="189"/>
      <c r="C453" s="44"/>
      <c r="D453" s="117"/>
      <c r="E453" s="44"/>
      <c r="F453" s="44"/>
      <c r="G453" s="117"/>
      <c r="H453" s="117"/>
      <c r="I453" s="117"/>
      <c r="J453" s="117"/>
      <c r="K453" s="117"/>
      <c r="L453" s="117"/>
      <c r="M453" s="117"/>
      <c r="N453" s="117"/>
      <c r="O453" s="117"/>
      <c r="P453" s="117"/>
      <c r="Q453" s="117"/>
      <c r="R453" s="117"/>
      <c r="S453" s="117"/>
      <c r="T453" s="117"/>
      <c r="U453" s="235"/>
      <c r="V453" s="117"/>
      <c r="W453" s="117"/>
      <c r="X453" s="117"/>
      <c r="Y453" s="117"/>
      <c r="Z453" s="117"/>
      <c r="AA453" s="44"/>
      <c r="AB453" s="117"/>
      <c r="AC453" s="44"/>
      <c r="AD453" s="117"/>
    </row>
    <row r="454" spans="1:30" ht="14.25" customHeight="1">
      <c r="A454" s="189"/>
      <c r="B454" s="189"/>
      <c r="C454" s="44"/>
      <c r="D454" s="117"/>
      <c r="E454" s="44"/>
      <c r="F454" s="44"/>
      <c r="G454" s="117"/>
      <c r="H454" s="117"/>
      <c r="I454" s="117"/>
      <c r="J454" s="117"/>
      <c r="K454" s="117"/>
      <c r="L454" s="117"/>
      <c r="M454" s="117"/>
      <c r="N454" s="117"/>
      <c r="O454" s="117"/>
      <c r="P454" s="117"/>
      <c r="Q454" s="117"/>
      <c r="R454" s="117"/>
      <c r="S454" s="117"/>
      <c r="T454" s="117"/>
      <c r="U454" s="235"/>
      <c r="V454" s="117"/>
      <c r="W454" s="117"/>
      <c r="X454" s="117"/>
      <c r="Y454" s="117"/>
      <c r="Z454" s="117"/>
      <c r="AA454" s="44"/>
      <c r="AB454" s="117"/>
      <c r="AC454" s="44"/>
      <c r="AD454" s="117"/>
    </row>
    <row r="455" spans="1:30" ht="14.25" customHeight="1">
      <c r="A455" s="189"/>
      <c r="B455" s="189"/>
      <c r="C455" s="44"/>
      <c r="D455" s="117"/>
      <c r="E455" s="44"/>
      <c r="F455" s="44"/>
      <c r="G455" s="117"/>
      <c r="H455" s="117"/>
      <c r="I455" s="117"/>
      <c r="J455" s="117"/>
      <c r="K455" s="117"/>
      <c r="L455" s="117"/>
      <c r="M455" s="117"/>
      <c r="N455" s="117"/>
      <c r="O455" s="117"/>
      <c r="P455" s="117"/>
      <c r="Q455" s="117"/>
      <c r="R455" s="117"/>
      <c r="S455" s="117"/>
      <c r="T455" s="117"/>
      <c r="U455" s="235"/>
      <c r="V455" s="117"/>
      <c r="W455" s="117"/>
      <c r="X455" s="117"/>
      <c r="Y455" s="117"/>
      <c r="Z455" s="117"/>
      <c r="AA455" s="44"/>
      <c r="AB455" s="117"/>
      <c r="AC455" s="44"/>
      <c r="AD455" s="117"/>
    </row>
    <row r="456" spans="1:30" ht="14.25" customHeight="1">
      <c r="A456" s="189"/>
      <c r="B456" s="189"/>
      <c r="C456" s="44"/>
      <c r="D456" s="117"/>
      <c r="E456" s="44"/>
      <c r="F456" s="44"/>
      <c r="G456" s="117"/>
      <c r="H456" s="117"/>
      <c r="I456" s="117"/>
      <c r="J456" s="117"/>
      <c r="K456" s="117"/>
      <c r="L456" s="117"/>
      <c r="M456" s="117"/>
      <c r="N456" s="117"/>
      <c r="O456" s="117"/>
      <c r="P456" s="117"/>
      <c r="Q456" s="117"/>
      <c r="R456" s="117"/>
      <c r="S456" s="117"/>
      <c r="T456" s="117"/>
      <c r="U456" s="235"/>
      <c r="V456" s="117"/>
      <c r="W456" s="117"/>
      <c r="X456" s="117"/>
      <c r="Y456" s="117"/>
      <c r="Z456" s="117"/>
      <c r="AA456" s="44"/>
      <c r="AB456" s="117"/>
      <c r="AC456" s="44"/>
      <c r="AD456" s="117"/>
    </row>
    <row r="457" spans="1:30" ht="14.25" customHeight="1">
      <c r="A457" s="189"/>
      <c r="B457" s="189"/>
      <c r="C457" s="44"/>
      <c r="D457" s="117"/>
      <c r="E457" s="44"/>
      <c r="F457" s="44"/>
      <c r="G457" s="117"/>
      <c r="H457" s="117"/>
      <c r="I457" s="117"/>
      <c r="J457" s="117"/>
      <c r="K457" s="117"/>
      <c r="L457" s="117"/>
      <c r="M457" s="117"/>
      <c r="N457" s="117"/>
      <c r="O457" s="117"/>
      <c r="P457" s="117"/>
      <c r="Q457" s="117"/>
      <c r="R457" s="117"/>
      <c r="S457" s="117"/>
      <c r="T457" s="117"/>
      <c r="U457" s="235"/>
      <c r="V457" s="117"/>
      <c r="W457" s="117"/>
      <c r="X457" s="117"/>
      <c r="Y457" s="117"/>
      <c r="Z457" s="117"/>
      <c r="AA457" s="44"/>
      <c r="AB457" s="117"/>
      <c r="AC457" s="44"/>
      <c r="AD457" s="117"/>
    </row>
    <row r="458" spans="1:30" ht="14.25" customHeight="1">
      <c r="A458" s="189"/>
      <c r="B458" s="189"/>
      <c r="C458" s="44"/>
      <c r="D458" s="117"/>
      <c r="E458" s="44"/>
      <c r="F458" s="44"/>
      <c r="G458" s="117"/>
      <c r="H458" s="117"/>
      <c r="I458" s="117"/>
      <c r="J458" s="117"/>
      <c r="K458" s="117"/>
      <c r="L458" s="117"/>
      <c r="M458" s="117"/>
      <c r="N458" s="117"/>
      <c r="O458" s="117"/>
      <c r="P458" s="117"/>
      <c r="Q458" s="117"/>
      <c r="R458" s="117"/>
      <c r="S458" s="117"/>
      <c r="T458" s="117"/>
      <c r="U458" s="235"/>
      <c r="V458" s="117"/>
      <c r="W458" s="117"/>
      <c r="X458" s="117"/>
      <c r="Y458" s="117"/>
      <c r="Z458" s="117"/>
      <c r="AA458" s="44"/>
      <c r="AB458" s="117"/>
      <c r="AC458" s="44"/>
      <c r="AD458" s="117"/>
    </row>
    <row r="459" spans="1:30" ht="14.25" customHeight="1">
      <c r="A459" s="189"/>
      <c r="B459" s="189"/>
      <c r="C459" s="44"/>
      <c r="D459" s="117"/>
      <c r="E459" s="44"/>
      <c r="F459" s="44"/>
      <c r="G459" s="117"/>
      <c r="H459" s="117"/>
      <c r="I459" s="117"/>
      <c r="J459" s="117"/>
      <c r="K459" s="117"/>
      <c r="L459" s="117"/>
      <c r="M459" s="117"/>
      <c r="N459" s="117"/>
      <c r="O459" s="117"/>
      <c r="P459" s="117"/>
      <c r="Q459" s="117"/>
      <c r="R459" s="117"/>
      <c r="S459" s="117"/>
      <c r="T459" s="117"/>
      <c r="U459" s="235"/>
      <c r="V459" s="117"/>
      <c r="W459" s="117"/>
      <c r="X459" s="117"/>
      <c r="Y459" s="117"/>
      <c r="Z459" s="117"/>
      <c r="AA459" s="44"/>
      <c r="AB459" s="117"/>
      <c r="AC459" s="44"/>
      <c r="AD459" s="117"/>
    </row>
    <row r="460" spans="1:30" ht="14.25" customHeight="1">
      <c r="A460" s="189"/>
      <c r="B460" s="189"/>
      <c r="C460" s="44"/>
      <c r="D460" s="117"/>
      <c r="E460" s="44"/>
      <c r="F460" s="44"/>
      <c r="G460" s="117"/>
      <c r="H460" s="117"/>
      <c r="I460" s="117"/>
      <c r="J460" s="117"/>
      <c r="K460" s="117"/>
      <c r="L460" s="117"/>
      <c r="M460" s="117"/>
      <c r="N460" s="117"/>
      <c r="O460" s="117"/>
      <c r="P460" s="117"/>
      <c r="Q460" s="117"/>
      <c r="R460" s="117"/>
      <c r="S460" s="117"/>
      <c r="T460" s="117"/>
      <c r="U460" s="235"/>
      <c r="V460" s="117"/>
      <c r="W460" s="117"/>
      <c r="X460" s="117"/>
      <c r="Y460" s="117"/>
      <c r="Z460" s="117"/>
      <c r="AA460" s="44"/>
      <c r="AB460" s="117"/>
      <c r="AC460" s="44"/>
      <c r="AD460" s="117"/>
    </row>
    <row r="461" spans="1:30" ht="14.25" customHeight="1">
      <c r="A461" s="189"/>
      <c r="B461" s="189"/>
      <c r="C461" s="44"/>
      <c r="D461" s="117"/>
      <c r="E461" s="44"/>
      <c r="F461" s="44"/>
      <c r="G461" s="117"/>
      <c r="H461" s="117"/>
      <c r="I461" s="117"/>
      <c r="J461" s="117"/>
      <c r="K461" s="117"/>
      <c r="L461" s="117"/>
      <c r="M461" s="117"/>
      <c r="N461" s="117"/>
      <c r="O461" s="117"/>
      <c r="P461" s="117"/>
      <c r="Q461" s="117"/>
      <c r="R461" s="117"/>
      <c r="S461" s="117"/>
      <c r="T461" s="117"/>
      <c r="U461" s="235"/>
      <c r="V461" s="117"/>
      <c r="W461" s="117"/>
      <c r="X461" s="117"/>
      <c r="Y461" s="117"/>
      <c r="Z461" s="117"/>
      <c r="AA461" s="44"/>
      <c r="AB461" s="117"/>
      <c r="AC461" s="44"/>
      <c r="AD461" s="117"/>
    </row>
    <row r="462" spans="1:30" ht="14.25" customHeight="1">
      <c r="A462" s="189"/>
      <c r="B462" s="189"/>
      <c r="C462" s="44"/>
      <c r="D462" s="117"/>
      <c r="E462" s="44"/>
      <c r="F462" s="44"/>
      <c r="G462" s="117"/>
      <c r="H462" s="117"/>
      <c r="I462" s="117"/>
      <c r="J462" s="117"/>
      <c r="K462" s="117"/>
      <c r="L462" s="117"/>
      <c r="M462" s="117"/>
      <c r="N462" s="117"/>
      <c r="O462" s="117"/>
      <c r="P462" s="117"/>
      <c r="Q462" s="117"/>
      <c r="R462" s="117"/>
      <c r="S462" s="117"/>
      <c r="T462" s="117"/>
      <c r="U462" s="235"/>
      <c r="V462" s="117"/>
      <c r="W462" s="117"/>
      <c r="X462" s="117"/>
      <c r="Y462" s="117"/>
      <c r="Z462" s="117"/>
      <c r="AA462" s="44"/>
      <c r="AB462" s="117"/>
      <c r="AC462" s="44"/>
      <c r="AD462" s="117"/>
    </row>
    <row r="463" spans="1:30" ht="14.25" customHeight="1">
      <c r="A463" s="189"/>
      <c r="B463" s="189"/>
      <c r="C463" s="44"/>
      <c r="D463" s="117"/>
      <c r="E463" s="44"/>
      <c r="F463" s="44"/>
      <c r="G463" s="117"/>
      <c r="H463" s="117"/>
      <c r="I463" s="117"/>
      <c r="J463" s="117"/>
      <c r="K463" s="117"/>
      <c r="L463" s="117"/>
      <c r="M463" s="117"/>
      <c r="N463" s="117"/>
      <c r="O463" s="117"/>
      <c r="P463" s="117"/>
      <c r="Q463" s="117"/>
      <c r="R463" s="117"/>
      <c r="S463" s="117"/>
      <c r="T463" s="117"/>
      <c r="U463" s="235"/>
      <c r="V463" s="117"/>
      <c r="W463" s="117"/>
      <c r="X463" s="117"/>
      <c r="Y463" s="117"/>
      <c r="Z463" s="117"/>
      <c r="AA463" s="44"/>
      <c r="AB463" s="117"/>
      <c r="AC463" s="44"/>
      <c r="AD463" s="117"/>
    </row>
    <row r="464" spans="1:30" ht="14.25" customHeight="1">
      <c r="A464" s="189"/>
      <c r="B464" s="189"/>
      <c r="C464" s="44"/>
      <c r="D464" s="117"/>
      <c r="E464" s="44"/>
      <c r="F464" s="44"/>
      <c r="G464" s="117"/>
      <c r="H464" s="117"/>
      <c r="I464" s="117"/>
      <c r="J464" s="117"/>
      <c r="K464" s="117"/>
      <c r="L464" s="117"/>
      <c r="M464" s="117"/>
      <c r="N464" s="117"/>
      <c r="O464" s="117"/>
      <c r="P464" s="117"/>
      <c r="Q464" s="117"/>
      <c r="R464" s="117"/>
      <c r="S464" s="117"/>
      <c r="T464" s="117"/>
      <c r="U464" s="235"/>
      <c r="V464" s="117"/>
      <c r="W464" s="117"/>
      <c r="X464" s="117"/>
      <c r="Y464" s="117"/>
      <c r="Z464" s="117"/>
      <c r="AA464" s="44"/>
      <c r="AB464" s="117"/>
      <c r="AC464" s="44"/>
      <c r="AD464" s="117"/>
    </row>
    <row r="465" spans="1:30" ht="14.25" customHeight="1">
      <c r="A465" s="189"/>
      <c r="B465" s="189"/>
      <c r="C465" s="44"/>
      <c r="D465" s="117"/>
      <c r="E465" s="44"/>
      <c r="F465" s="44"/>
      <c r="G465" s="117"/>
      <c r="H465" s="117"/>
      <c r="I465" s="117"/>
      <c r="J465" s="117"/>
      <c r="K465" s="117"/>
      <c r="L465" s="117"/>
      <c r="M465" s="117"/>
      <c r="N465" s="117"/>
      <c r="O465" s="117"/>
      <c r="P465" s="117"/>
      <c r="Q465" s="117"/>
      <c r="R465" s="117"/>
      <c r="S465" s="117"/>
      <c r="T465" s="117"/>
      <c r="U465" s="235"/>
      <c r="V465" s="117"/>
      <c r="W465" s="117"/>
      <c r="X465" s="117"/>
      <c r="Y465" s="117"/>
      <c r="Z465" s="117"/>
      <c r="AA465" s="44"/>
      <c r="AB465" s="117"/>
      <c r="AC465" s="44"/>
      <c r="AD465" s="117"/>
    </row>
    <row r="466" spans="1:30" ht="14.25" customHeight="1">
      <c r="A466" s="189"/>
      <c r="B466" s="189"/>
      <c r="C466" s="44"/>
      <c r="D466" s="117"/>
      <c r="E466" s="44"/>
      <c r="F466" s="44"/>
      <c r="G466" s="117"/>
      <c r="H466" s="117"/>
      <c r="I466" s="117"/>
      <c r="J466" s="117"/>
      <c r="K466" s="117"/>
      <c r="L466" s="117"/>
      <c r="M466" s="117"/>
      <c r="N466" s="117"/>
      <c r="O466" s="117"/>
      <c r="P466" s="117"/>
      <c r="Q466" s="117"/>
      <c r="R466" s="117"/>
      <c r="S466" s="117"/>
      <c r="T466" s="117"/>
      <c r="U466" s="235"/>
      <c r="V466" s="117"/>
      <c r="W466" s="117"/>
      <c r="X466" s="117"/>
      <c r="Y466" s="117"/>
      <c r="Z466" s="117"/>
      <c r="AA466" s="44"/>
      <c r="AB466" s="117"/>
      <c r="AC466" s="44"/>
      <c r="AD466" s="117"/>
    </row>
    <row r="467" spans="1:30" ht="14.25" customHeight="1">
      <c r="A467" s="189"/>
      <c r="B467" s="189"/>
      <c r="C467" s="44"/>
      <c r="D467" s="117"/>
      <c r="E467" s="44"/>
      <c r="F467" s="44"/>
      <c r="G467" s="117"/>
      <c r="H467" s="117"/>
      <c r="I467" s="117"/>
      <c r="J467" s="117"/>
      <c r="K467" s="117"/>
      <c r="L467" s="117"/>
      <c r="M467" s="117"/>
      <c r="N467" s="117"/>
      <c r="O467" s="117"/>
      <c r="P467" s="117"/>
      <c r="Q467" s="117"/>
      <c r="R467" s="117"/>
      <c r="S467" s="117"/>
      <c r="T467" s="117"/>
      <c r="U467" s="235"/>
      <c r="V467" s="117"/>
      <c r="W467" s="117"/>
      <c r="X467" s="117"/>
      <c r="Y467" s="117"/>
      <c r="Z467" s="117"/>
      <c r="AA467" s="44"/>
      <c r="AB467" s="117"/>
      <c r="AC467" s="44"/>
      <c r="AD467" s="117"/>
    </row>
    <row r="468" spans="1:30" ht="14.25" customHeight="1">
      <c r="A468" s="189"/>
      <c r="B468" s="189"/>
      <c r="C468" s="44"/>
      <c r="D468" s="117"/>
      <c r="E468" s="44"/>
      <c r="F468" s="44"/>
      <c r="G468" s="117"/>
      <c r="H468" s="117"/>
      <c r="I468" s="117"/>
      <c r="J468" s="117"/>
      <c r="K468" s="117"/>
      <c r="L468" s="117"/>
      <c r="M468" s="117"/>
      <c r="N468" s="117"/>
      <c r="O468" s="117"/>
      <c r="P468" s="117"/>
      <c r="Q468" s="117"/>
      <c r="R468" s="117"/>
      <c r="S468" s="117"/>
      <c r="T468" s="117"/>
      <c r="U468" s="235"/>
      <c r="V468" s="117"/>
      <c r="W468" s="117"/>
      <c r="X468" s="117"/>
      <c r="Y468" s="117"/>
      <c r="Z468" s="117"/>
      <c r="AA468" s="44"/>
      <c r="AB468" s="117"/>
      <c r="AC468" s="44"/>
      <c r="AD468" s="117"/>
    </row>
    <row r="469" spans="1:30" ht="14.25" customHeight="1">
      <c r="A469" s="189"/>
      <c r="B469" s="189"/>
      <c r="C469" s="44"/>
      <c r="D469" s="117"/>
      <c r="E469" s="44"/>
      <c r="F469" s="44"/>
      <c r="G469" s="117"/>
      <c r="H469" s="117"/>
      <c r="I469" s="117"/>
      <c r="J469" s="117"/>
      <c r="K469" s="117"/>
      <c r="L469" s="117"/>
      <c r="M469" s="117"/>
      <c r="N469" s="117"/>
      <c r="O469" s="117"/>
      <c r="P469" s="117"/>
      <c r="Q469" s="117"/>
      <c r="R469" s="117"/>
      <c r="S469" s="117"/>
      <c r="T469" s="117"/>
      <c r="U469" s="235"/>
      <c r="V469" s="117"/>
      <c r="W469" s="117"/>
      <c r="X469" s="117"/>
      <c r="Y469" s="117"/>
      <c r="Z469" s="117"/>
      <c r="AA469" s="44"/>
      <c r="AB469" s="117"/>
      <c r="AC469" s="44"/>
      <c r="AD469" s="117"/>
    </row>
    <row r="470" spans="1:30" ht="14.25" customHeight="1">
      <c r="A470" s="189"/>
      <c r="B470" s="189"/>
      <c r="C470" s="44"/>
      <c r="D470" s="117"/>
      <c r="E470" s="44"/>
      <c r="F470" s="44"/>
      <c r="G470" s="117"/>
      <c r="H470" s="117"/>
      <c r="I470" s="117"/>
      <c r="J470" s="117"/>
      <c r="K470" s="117"/>
      <c r="L470" s="117"/>
      <c r="M470" s="117"/>
      <c r="N470" s="117"/>
      <c r="O470" s="117"/>
      <c r="P470" s="117"/>
      <c r="Q470" s="117"/>
      <c r="R470" s="117"/>
      <c r="S470" s="117"/>
      <c r="T470" s="117"/>
      <c r="U470" s="235"/>
      <c r="V470" s="117"/>
      <c r="W470" s="117"/>
      <c r="X470" s="117"/>
      <c r="Y470" s="117"/>
      <c r="Z470" s="117"/>
      <c r="AA470" s="44"/>
      <c r="AB470" s="117"/>
      <c r="AC470" s="44"/>
      <c r="AD470" s="117"/>
    </row>
    <row r="471" spans="1:30" ht="14.25" customHeight="1">
      <c r="A471" s="189"/>
      <c r="B471" s="189"/>
      <c r="C471" s="44"/>
      <c r="D471" s="117"/>
      <c r="E471" s="44"/>
      <c r="F471" s="44"/>
      <c r="G471" s="117"/>
      <c r="H471" s="117"/>
      <c r="I471" s="117"/>
      <c r="J471" s="117"/>
      <c r="K471" s="117"/>
      <c r="L471" s="117"/>
      <c r="M471" s="117"/>
      <c r="N471" s="117"/>
      <c r="O471" s="117"/>
      <c r="P471" s="117"/>
      <c r="Q471" s="117"/>
      <c r="R471" s="117"/>
      <c r="S471" s="117"/>
      <c r="T471" s="117"/>
      <c r="U471" s="235"/>
      <c r="V471" s="117"/>
      <c r="W471" s="117"/>
      <c r="X471" s="117"/>
      <c r="Y471" s="117"/>
      <c r="Z471" s="117"/>
      <c r="AA471" s="44"/>
      <c r="AB471" s="117"/>
      <c r="AC471" s="44"/>
      <c r="AD471" s="117"/>
    </row>
    <row r="472" spans="1:30" ht="14.25" customHeight="1">
      <c r="A472" s="189"/>
      <c r="B472" s="189"/>
      <c r="C472" s="44"/>
      <c r="D472" s="117"/>
      <c r="E472" s="44"/>
      <c r="F472" s="44"/>
      <c r="G472" s="117"/>
      <c r="H472" s="117"/>
      <c r="I472" s="117"/>
      <c r="J472" s="117"/>
      <c r="K472" s="117"/>
      <c r="L472" s="117"/>
      <c r="M472" s="117"/>
      <c r="N472" s="117"/>
      <c r="O472" s="117"/>
      <c r="P472" s="117"/>
      <c r="Q472" s="117"/>
      <c r="R472" s="117"/>
      <c r="S472" s="117"/>
      <c r="T472" s="117"/>
      <c r="U472" s="235"/>
      <c r="V472" s="117"/>
      <c r="W472" s="117"/>
      <c r="X472" s="117"/>
      <c r="Y472" s="117"/>
      <c r="Z472" s="117"/>
      <c r="AA472" s="44"/>
      <c r="AB472" s="117"/>
      <c r="AC472" s="44"/>
      <c r="AD472" s="117"/>
    </row>
    <row r="473" spans="1:30" ht="14.25" customHeight="1">
      <c r="A473" s="189"/>
      <c r="B473" s="189"/>
      <c r="C473" s="44"/>
      <c r="D473" s="117"/>
      <c r="E473" s="44"/>
      <c r="F473" s="44"/>
      <c r="G473" s="117"/>
      <c r="H473" s="117"/>
      <c r="I473" s="117"/>
      <c r="J473" s="117"/>
      <c r="K473" s="117"/>
      <c r="L473" s="117"/>
      <c r="M473" s="117"/>
      <c r="N473" s="117"/>
      <c r="O473" s="117"/>
      <c r="P473" s="117"/>
      <c r="Q473" s="117"/>
      <c r="R473" s="117"/>
      <c r="S473" s="117"/>
      <c r="T473" s="117"/>
      <c r="U473" s="235"/>
      <c r="V473" s="117"/>
      <c r="W473" s="117"/>
      <c r="X473" s="117"/>
      <c r="Y473" s="117"/>
      <c r="Z473" s="117"/>
      <c r="AA473" s="44"/>
      <c r="AB473" s="117"/>
      <c r="AC473" s="44"/>
      <c r="AD473" s="117"/>
    </row>
    <row r="474" spans="1:30" ht="14.25" customHeight="1">
      <c r="A474" s="189"/>
      <c r="B474" s="189"/>
      <c r="C474" s="44"/>
      <c r="D474" s="117"/>
      <c r="E474" s="44"/>
      <c r="F474" s="44"/>
      <c r="G474" s="117"/>
      <c r="H474" s="117"/>
      <c r="I474" s="117"/>
      <c r="J474" s="117"/>
      <c r="K474" s="117"/>
      <c r="L474" s="117"/>
      <c r="M474" s="117"/>
      <c r="N474" s="117"/>
      <c r="O474" s="117"/>
      <c r="P474" s="117"/>
      <c r="Q474" s="117"/>
      <c r="R474" s="117"/>
      <c r="S474" s="117"/>
      <c r="T474" s="117"/>
      <c r="U474" s="235"/>
      <c r="V474" s="117"/>
      <c r="W474" s="117"/>
      <c r="X474" s="117"/>
      <c r="Y474" s="117"/>
      <c r="Z474" s="117"/>
      <c r="AA474" s="44"/>
      <c r="AB474" s="117"/>
      <c r="AC474" s="44"/>
      <c r="AD474" s="117"/>
    </row>
    <row r="475" spans="1:30" ht="14.25" customHeight="1">
      <c r="A475" s="189"/>
      <c r="B475" s="189"/>
      <c r="C475" s="44"/>
      <c r="D475" s="117"/>
      <c r="E475" s="44"/>
      <c r="F475" s="44"/>
      <c r="G475" s="117"/>
      <c r="H475" s="117"/>
      <c r="I475" s="117"/>
      <c r="J475" s="117"/>
      <c r="K475" s="117"/>
      <c r="L475" s="117"/>
      <c r="M475" s="117"/>
      <c r="N475" s="117"/>
      <c r="O475" s="117"/>
      <c r="P475" s="117"/>
      <c r="Q475" s="117"/>
      <c r="R475" s="117"/>
      <c r="S475" s="117"/>
      <c r="T475" s="117"/>
      <c r="U475" s="235"/>
      <c r="V475" s="117"/>
      <c r="W475" s="117"/>
      <c r="X475" s="117"/>
      <c r="Y475" s="117"/>
      <c r="Z475" s="117"/>
      <c r="AA475" s="44"/>
      <c r="AB475" s="117"/>
      <c r="AC475" s="44"/>
      <c r="AD475" s="117"/>
    </row>
    <row r="476" spans="1:30" ht="14.25" customHeight="1">
      <c r="A476" s="189"/>
      <c r="B476" s="189"/>
      <c r="C476" s="44"/>
      <c r="D476" s="117"/>
      <c r="E476" s="44"/>
      <c r="F476" s="44"/>
      <c r="G476" s="117"/>
      <c r="H476" s="117"/>
      <c r="I476" s="117"/>
      <c r="J476" s="117"/>
      <c r="K476" s="117"/>
      <c r="L476" s="117"/>
      <c r="M476" s="117"/>
      <c r="N476" s="117"/>
      <c r="O476" s="117"/>
      <c r="P476" s="117"/>
      <c r="Q476" s="117"/>
      <c r="R476" s="117"/>
      <c r="S476" s="117"/>
      <c r="T476" s="117"/>
      <c r="U476" s="235"/>
      <c r="V476" s="117"/>
      <c r="W476" s="117"/>
      <c r="X476" s="117"/>
      <c r="Y476" s="117"/>
      <c r="Z476" s="117"/>
      <c r="AA476" s="44"/>
      <c r="AB476" s="117"/>
      <c r="AC476" s="44"/>
      <c r="AD476" s="117"/>
    </row>
    <row r="477" spans="1:30" ht="14.25" customHeight="1">
      <c r="A477" s="189"/>
      <c r="B477" s="189"/>
      <c r="C477" s="44"/>
      <c r="D477" s="117"/>
      <c r="E477" s="44"/>
      <c r="F477" s="44"/>
      <c r="G477" s="117"/>
      <c r="H477" s="117"/>
      <c r="I477" s="117"/>
      <c r="J477" s="117"/>
      <c r="K477" s="117"/>
      <c r="L477" s="117"/>
      <c r="M477" s="117"/>
      <c r="N477" s="117"/>
      <c r="O477" s="117"/>
      <c r="P477" s="117"/>
      <c r="Q477" s="117"/>
      <c r="R477" s="117"/>
      <c r="S477" s="117"/>
      <c r="T477" s="117"/>
      <c r="U477" s="235"/>
      <c r="V477" s="117"/>
      <c r="W477" s="117"/>
      <c r="X477" s="117"/>
      <c r="Y477" s="117"/>
      <c r="Z477" s="117"/>
      <c r="AA477" s="44"/>
      <c r="AB477" s="117"/>
      <c r="AC477" s="44"/>
      <c r="AD477" s="117"/>
    </row>
    <row r="478" spans="1:30" ht="14.25" customHeight="1">
      <c r="A478" s="189"/>
      <c r="B478" s="189"/>
      <c r="C478" s="44"/>
      <c r="D478" s="117"/>
      <c r="E478" s="44"/>
      <c r="F478" s="44"/>
      <c r="G478" s="117"/>
      <c r="H478" s="117"/>
      <c r="I478" s="117"/>
      <c r="J478" s="117"/>
      <c r="K478" s="117"/>
      <c r="L478" s="117"/>
      <c r="M478" s="117"/>
      <c r="N478" s="117"/>
      <c r="O478" s="117"/>
      <c r="P478" s="117"/>
      <c r="Q478" s="117"/>
      <c r="R478" s="117"/>
      <c r="S478" s="117"/>
      <c r="T478" s="117"/>
      <c r="U478" s="235"/>
      <c r="V478" s="117"/>
      <c r="W478" s="117"/>
      <c r="X478" s="117"/>
      <c r="Y478" s="117"/>
      <c r="Z478" s="117"/>
      <c r="AA478" s="44"/>
      <c r="AB478" s="117"/>
      <c r="AC478" s="44"/>
      <c r="AD478" s="117"/>
    </row>
    <row r="479" spans="1:30" ht="14.25" customHeight="1">
      <c r="A479" s="189"/>
      <c r="B479" s="189"/>
      <c r="C479" s="44"/>
      <c r="D479" s="117"/>
      <c r="E479" s="44"/>
      <c r="F479" s="44"/>
      <c r="G479" s="117"/>
      <c r="H479" s="117"/>
      <c r="I479" s="117"/>
      <c r="J479" s="117"/>
      <c r="K479" s="117"/>
      <c r="L479" s="117"/>
      <c r="M479" s="117"/>
      <c r="N479" s="117"/>
      <c r="O479" s="117"/>
      <c r="P479" s="117"/>
      <c r="Q479" s="117"/>
      <c r="R479" s="117"/>
      <c r="S479" s="117"/>
      <c r="T479" s="117"/>
      <c r="U479" s="235"/>
      <c r="V479" s="117"/>
      <c r="W479" s="117"/>
      <c r="X479" s="117"/>
      <c r="Y479" s="117"/>
      <c r="Z479" s="117"/>
      <c r="AA479" s="44"/>
      <c r="AB479" s="117"/>
      <c r="AC479" s="44"/>
      <c r="AD479" s="117"/>
    </row>
    <row r="480" spans="1:30" ht="14.25" customHeight="1">
      <c r="A480" s="189"/>
      <c r="B480" s="189"/>
      <c r="C480" s="44"/>
      <c r="D480" s="117"/>
      <c r="E480" s="44"/>
      <c r="F480" s="44"/>
      <c r="G480" s="117"/>
      <c r="H480" s="117"/>
      <c r="I480" s="117"/>
      <c r="J480" s="117"/>
      <c r="K480" s="117"/>
      <c r="L480" s="117"/>
      <c r="M480" s="117"/>
      <c r="N480" s="117"/>
      <c r="O480" s="117"/>
      <c r="P480" s="117"/>
      <c r="Q480" s="117"/>
      <c r="R480" s="117"/>
      <c r="S480" s="117"/>
      <c r="T480" s="117"/>
      <c r="U480" s="235"/>
      <c r="V480" s="117"/>
      <c r="W480" s="117"/>
      <c r="X480" s="117"/>
      <c r="Y480" s="117"/>
      <c r="Z480" s="117"/>
      <c r="AA480" s="44"/>
      <c r="AB480" s="117"/>
      <c r="AC480" s="44"/>
      <c r="AD480" s="117"/>
    </row>
    <row r="481" spans="1:30" ht="14.25" customHeight="1">
      <c r="A481" s="189"/>
      <c r="B481" s="189"/>
      <c r="C481" s="44"/>
      <c r="D481" s="117"/>
      <c r="E481" s="44"/>
      <c r="F481" s="44"/>
      <c r="G481" s="117"/>
      <c r="H481" s="117"/>
      <c r="I481" s="117"/>
      <c r="J481" s="117"/>
      <c r="K481" s="117"/>
      <c r="L481" s="117"/>
      <c r="M481" s="117"/>
      <c r="N481" s="117"/>
      <c r="O481" s="117"/>
      <c r="P481" s="117"/>
      <c r="Q481" s="117"/>
      <c r="R481" s="117"/>
      <c r="S481" s="117"/>
      <c r="T481" s="117"/>
      <c r="U481" s="235"/>
      <c r="V481" s="117"/>
      <c r="W481" s="117"/>
      <c r="X481" s="117"/>
      <c r="Y481" s="117"/>
      <c r="Z481" s="117"/>
      <c r="AA481" s="44"/>
      <c r="AB481" s="117"/>
      <c r="AC481" s="44"/>
      <c r="AD481" s="117"/>
    </row>
    <row r="482" spans="1:30" ht="14.25" customHeight="1">
      <c r="A482" s="189"/>
      <c r="B482" s="189"/>
      <c r="C482" s="44"/>
      <c r="D482" s="117"/>
      <c r="E482" s="44"/>
      <c r="F482" s="44"/>
      <c r="G482" s="117"/>
      <c r="H482" s="117"/>
      <c r="I482" s="117"/>
      <c r="J482" s="117"/>
      <c r="K482" s="117"/>
      <c r="L482" s="117"/>
      <c r="M482" s="117"/>
      <c r="N482" s="117"/>
      <c r="O482" s="117"/>
      <c r="P482" s="117"/>
      <c r="Q482" s="117"/>
      <c r="R482" s="117"/>
      <c r="S482" s="117"/>
      <c r="T482" s="117"/>
      <c r="U482" s="235"/>
      <c r="V482" s="117"/>
      <c r="W482" s="117"/>
      <c r="X482" s="117"/>
      <c r="Y482" s="117"/>
      <c r="Z482" s="117"/>
      <c r="AA482" s="44"/>
      <c r="AB482" s="117"/>
      <c r="AC482" s="44"/>
      <c r="AD482" s="117"/>
    </row>
    <row r="483" spans="1:30" ht="14.25" customHeight="1">
      <c r="A483" s="189"/>
      <c r="B483" s="189"/>
      <c r="C483" s="44"/>
      <c r="D483" s="117"/>
      <c r="E483" s="44"/>
      <c r="F483" s="44"/>
      <c r="G483" s="117"/>
      <c r="H483" s="117"/>
      <c r="I483" s="117"/>
      <c r="J483" s="117"/>
      <c r="K483" s="117"/>
      <c r="L483" s="117"/>
      <c r="M483" s="117"/>
      <c r="N483" s="117"/>
      <c r="O483" s="117"/>
      <c r="P483" s="117"/>
      <c r="Q483" s="117"/>
      <c r="R483" s="117"/>
      <c r="S483" s="117"/>
      <c r="T483" s="117"/>
      <c r="U483" s="235"/>
      <c r="V483" s="117"/>
      <c r="W483" s="117"/>
      <c r="X483" s="117"/>
      <c r="Y483" s="117"/>
      <c r="Z483" s="117"/>
      <c r="AA483" s="44"/>
      <c r="AB483" s="117"/>
      <c r="AC483" s="44"/>
      <c r="AD483" s="117"/>
    </row>
    <row r="484" spans="1:30" ht="14.25" customHeight="1">
      <c r="A484" s="189"/>
      <c r="B484" s="189"/>
      <c r="C484" s="44"/>
      <c r="D484" s="117"/>
      <c r="E484" s="44"/>
      <c r="F484" s="44"/>
      <c r="G484" s="117"/>
      <c r="H484" s="117"/>
      <c r="I484" s="117"/>
      <c r="J484" s="117"/>
      <c r="K484" s="117"/>
      <c r="L484" s="117"/>
      <c r="M484" s="117"/>
      <c r="N484" s="117"/>
      <c r="O484" s="117"/>
      <c r="P484" s="117"/>
      <c r="Q484" s="117"/>
      <c r="R484" s="117"/>
      <c r="S484" s="117"/>
      <c r="T484" s="117"/>
      <c r="U484" s="235"/>
      <c r="V484" s="117"/>
      <c r="W484" s="117"/>
      <c r="X484" s="117"/>
      <c r="Y484" s="117"/>
      <c r="Z484" s="117"/>
      <c r="AA484" s="44"/>
      <c r="AB484" s="117"/>
      <c r="AC484" s="44"/>
      <c r="AD484" s="117"/>
    </row>
    <row r="485" spans="1:30" ht="14.25" customHeight="1">
      <c r="A485" s="189"/>
      <c r="B485" s="189"/>
      <c r="C485" s="44"/>
      <c r="D485" s="117"/>
      <c r="E485" s="44"/>
      <c r="F485" s="44"/>
      <c r="G485" s="117"/>
      <c r="H485" s="117"/>
      <c r="I485" s="117"/>
      <c r="J485" s="117"/>
      <c r="K485" s="117"/>
      <c r="L485" s="117"/>
      <c r="M485" s="117"/>
      <c r="N485" s="117"/>
      <c r="O485" s="117"/>
      <c r="P485" s="117"/>
      <c r="Q485" s="117"/>
      <c r="R485" s="117"/>
      <c r="S485" s="117"/>
      <c r="T485" s="117"/>
      <c r="U485" s="235"/>
      <c r="V485" s="117"/>
      <c r="W485" s="117"/>
      <c r="X485" s="117"/>
      <c r="Y485" s="117"/>
      <c r="Z485" s="117"/>
      <c r="AA485" s="44"/>
      <c r="AB485" s="117"/>
      <c r="AC485" s="44"/>
      <c r="AD485" s="117"/>
    </row>
    <row r="486" spans="1:30" ht="14.25" customHeight="1">
      <c r="A486" s="189"/>
      <c r="B486" s="189"/>
      <c r="C486" s="44"/>
      <c r="D486" s="117"/>
      <c r="E486" s="44"/>
      <c r="F486" s="44"/>
      <c r="G486" s="117"/>
      <c r="H486" s="117"/>
      <c r="I486" s="117"/>
      <c r="J486" s="117"/>
      <c r="K486" s="117"/>
      <c r="L486" s="117"/>
      <c r="M486" s="117"/>
      <c r="N486" s="117"/>
      <c r="O486" s="117"/>
      <c r="P486" s="117"/>
      <c r="Q486" s="117"/>
      <c r="R486" s="117"/>
      <c r="S486" s="117"/>
      <c r="T486" s="117"/>
      <c r="U486" s="235"/>
      <c r="V486" s="117"/>
      <c r="W486" s="117"/>
      <c r="X486" s="117"/>
      <c r="Y486" s="117"/>
      <c r="Z486" s="117"/>
      <c r="AA486" s="44"/>
      <c r="AB486" s="117"/>
      <c r="AC486" s="44"/>
      <c r="AD486" s="117"/>
    </row>
    <row r="487" spans="1:30" ht="14.25" customHeight="1">
      <c r="A487" s="189"/>
      <c r="B487" s="189"/>
      <c r="C487" s="44"/>
      <c r="D487" s="117"/>
      <c r="E487" s="44"/>
      <c r="F487" s="44"/>
      <c r="G487" s="117"/>
      <c r="H487" s="117"/>
      <c r="I487" s="117"/>
      <c r="J487" s="117"/>
      <c r="K487" s="117"/>
      <c r="L487" s="117"/>
      <c r="M487" s="117"/>
      <c r="N487" s="117"/>
      <c r="O487" s="117"/>
      <c r="P487" s="117"/>
      <c r="Q487" s="117"/>
      <c r="R487" s="117"/>
      <c r="S487" s="117"/>
      <c r="T487" s="117"/>
      <c r="U487" s="235"/>
      <c r="V487" s="117"/>
      <c r="W487" s="117"/>
      <c r="X487" s="117"/>
      <c r="Y487" s="117"/>
      <c r="Z487" s="117"/>
      <c r="AA487" s="44"/>
      <c r="AB487" s="117"/>
      <c r="AC487" s="44"/>
      <c r="AD487" s="117"/>
    </row>
    <row r="488" spans="1:30" ht="14.25" customHeight="1">
      <c r="A488" s="189"/>
      <c r="B488" s="189"/>
      <c r="C488" s="44"/>
      <c r="D488" s="117"/>
      <c r="E488" s="44"/>
      <c r="F488" s="44"/>
      <c r="G488" s="117"/>
      <c r="H488" s="117"/>
      <c r="I488" s="117"/>
      <c r="J488" s="117"/>
      <c r="K488" s="117"/>
      <c r="L488" s="117"/>
      <c r="M488" s="117"/>
      <c r="N488" s="117"/>
      <c r="O488" s="117"/>
      <c r="P488" s="117"/>
      <c r="Q488" s="117"/>
      <c r="R488" s="117"/>
      <c r="S488" s="117"/>
      <c r="T488" s="117"/>
      <c r="U488" s="235"/>
      <c r="V488" s="117"/>
      <c r="W488" s="117"/>
      <c r="X488" s="117"/>
      <c r="Y488" s="117"/>
      <c r="Z488" s="117"/>
      <c r="AA488" s="44"/>
      <c r="AB488" s="117"/>
      <c r="AC488" s="44"/>
      <c r="AD488" s="117"/>
    </row>
    <row r="489" spans="1:30" ht="14.25" customHeight="1">
      <c r="A489" s="189"/>
      <c r="B489" s="189"/>
      <c r="C489" s="44"/>
      <c r="D489" s="117"/>
      <c r="E489" s="44"/>
      <c r="F489" s="44"/>
      <c r="G489" s="117"/>
      <c r="H489" s="117"/>
      <c r="I489" s="117"/>
      <c r="J489" s="117"/>
      <c r="K489" s="117"/>
      <c r="L489" s="117"/>
      <c r="M489" s="117"/>
      <c r="N489" s="117"/>
      <c r="O489" s="117"/>
      <c r="P489" s="117"/>
      <c r="Q489" s="117"/>
      <c r="R489" s="117"/>
      <c r="S489" s="117"/>
      <c r="T489" s="117"/>
      <c r="U489" s="235"/>
      <c r="V489" s="117"/>
      <c r="W489" s="117"/>
      <c r="X489" s="117"/>
      <c r="Y489" s="117"/>
      <c r="Z489" s="117"/>
      <c r="AA489" s="44"/>
      <c r="AB489" s="117"/>
      <c r="AC489" s="44"/>
      <c r="AD489" s="117"/>
    </row>
    <row r="490" spans="1:30" ht="14.25" customHeight="1">
      <c r="A490" s="189"/>
      <c r="B490" s="189"/>
      <c r="C490" s="44"/>
      <c r="D490" s="117"/>
      <c r="E490" s="44"/>
      <c r="F490" s="44"/>
      <c r="G490" s="117"/>
      <c r="H490" s="117"/>
      <c r="I490" s="117"/>
      <c r="J490" s="117"/>
      <c r="K490" s="117"/>
      <c r="L490" s="117"/>
      <c r="M490" s="117"/>
      <c r="N490" s="117"/>
      <c r="O490" s="117"/>
      <c r="P490" s="117"/>
      <c r="Q490" s="117"/>
      <c r="R490" s="117"/>
      <c r="S490" s="117"/>
      <c r="T490" s="117"/>
      <c r="U490" s="235"/>
      <c r="V490" s="117"/>
      <c r="W490" s="117"/>
      <c r="X490" s="117"/>
      <c r="Y490" s="117"/>
      <c r="Z490" s="117"/>
      <c r="AA490" s="44"/>
      <c r="AB490" s="117"/>
      <c r="AC490" s="44"/>
      <c r="AD490" s="117"/>
    </row>
    <row r="491" spans="1:30" ht="14.25" customHeight="1">
      <c r="A491" s="189"/>
      <c r="B491" s="189"/>
      <c r="C491" s="44"/>
      <c r="D491" s="117"/>
      <c r="E491" s="44"/>
      <c r="F491" s="44"/>
      <c r="G491" s="117"/>
      <c r="H491" s="117"/>
      <c r="I491" s="117"/>
      <c r="J491" s="117"/>
      <c r="K491" s="117"/>
      <c r="L491" s="117"/>
      <c r="M491" s="117"/>
      <c r="N491" s="117"/>
      <c r="O491" s="117"/>
      <c r="P491" s="117"/>
      <c r="Q491" s="117"/>
      <c r="R491" s="117"/>
      <c r="S491" s="117"/>
      <c r="T491" s="117"/>
      <c r="U491" s="235"/>
      <c r="V491" s="117"/>
      <c r="W491" s="117"/>
      <c r="X491" s="117"/>
      <c r="Y491" s="117"/>
      <c r="Z491" s="117"/>
      <c r="AA491" s="44"/>
      <c r="AB491" s="117"/>
      <c r="AC491" s="44"/>
      <c r="AD491" s="117"/>
    </row>
    <row r="492" spans="1:30" ht="14.25" customHeight="1">
      <c r="A492" s="189"/>
      <c r="B492" s="189"/>
      <c r="C492" s="44"/>
      <c r="D492" s="117"/>
      <c r="E492" s="44"/>
      <c r="F492" s="44"/>
      <c r="G492" s="117"/>
      <c r="H492" s="117"/>
      <c r="I492" s="117"/>
      <c r="J492" s="117"/>
      <c r="K492" s="117"/>
      <c r="L492" s="117"/>
      <c r="M492" s="117"/>
      <c r="N492" s="117"/>
      <c r="O492" s="117"/>
      <c r="P492" s="117"/>
      <c r="Q492" s="117"/>
      <c r="R492" s="117"/>
      <c r="S492" s="117"/>
      <c r="T492" s="117"/>
      <c r="U492" s="235"/>
      <c r="V492" s="117"/>
      <c r="W492" s="117"/>
      <c r="X492" s="117"/>
      <c r="Y492" s="117"/>
      <c r="Z492" s="117"/>
      <c r="AA492" s="44"/>
      <c r="AB492" s="117"/>
      <c r="AC492" s="44"/>
      <c r="AD492" s="117"/>
    </row>
    <row r="493" spans="1:30" ht="14.25" customHeight="1">
      <c r="A493" s="189"/>
      <c r="B493" s="189"/>
      <c r="C493" s="44"/>
      <c r="D493" s="117"/>
      <c r="E493" s="44"/>
      <c r="F493" s="44"/>
      <c r="G493" s="117"/>
      <c r="H493" s="117"/>
      <c r="I493" s="117"/>
      <c r="J493" s="117"/>
      <c r="K493" s="117"/>
      <c r="L493" s="117"/>
      <c r="M493" s="117"/>
      <c r="N493" s="117"/>
      <c r="O493" s="117"/>
      <c r="P493" s="117"/>
      <c r="Q493" s="117"/>
      <c r="R493" s="117"/>
      <c r="S493" s="117"/>
      <c r="T493" s="117"/>
      <c r="U493" s="235"/>
      <c r="V493" s="117"/>
      <c r="W493" s="117"/>
      <c r="X493" s="117"/>
      <c r="Y493" s="117"/>
      <c r="Z493" s="117"/>
      <c r="AA493" s="44"/>
      <c r="AB493" s="117"/>
      <c r="AC493" s="44"/>
      <c r="AD493" s="117"/>
    </row>
    <row r="494" spans="1:30" ht="14.25" customHeight="1">
      <c r="A494" s="189"/>
      <c r="B494" s="189"/>
      <c r="C494" s="44"/>
      <c r="D494" s="117"/>
      <c r="E494" s="44"/>
      <c r="F494" s="44"/>
      <c r="G494" s="117"/>
      <c r="H494" s="117"/>
      <c r="I494" s="117"/>
      <c r="J494" s="117"/>
      <c r="K494" s="117"/>
      <c r="L494" s="117"/>
      <c r="M494" s="117"/>
      <c r="N494" s="117"/>
      <c r="O494" s="117"/>
      <c r="P494" s="117"/>
      <c r="Q494" s="117"/>
      <c r="R494" s="117"/>
      <c r="S494" s="117"/>
      <c r="T494" s="117"/>
      <c r="U494" s="235"/>
      <c r="V494" s="117"/>
      <c r="W494" s="117"/>
      <c r="X494" s="117"/>
      <c r="Y494" s="117"/>
      <c r="Z494" s="117"/>
      <c r="AA494" s="44"/>
      <c r="AB494" s="117"/>
      <c r="AC494" s="44"/>
      <c r="AD494" s="117"/>
    </row>
    <row r="495" spans="1:30" ht="14.25" customHeight="1">
      <c r="A495" s="189"/>
      <c r="B495" s="189"/>
      <c r="C495" s="44"/>
      <c r="D495" s="117"/>
      <c r="E495" s="44"/>
      <c r="F495" s="44"/>
      <c r="G495" s="117"/>
      <c r="H495" s="117"/>
      <c r="I495" s="117"/>
      <c r="J495" s="117"/>
      <c r="K495" s="117"/>
      <c r="L495" s="117"/>
      <c r="M495" s="117"/>
      <c r="N495" s="117"/>
      <c r="O495" s="117"/>
      <c r="P495" s="117"/>
      <c r="Q495" s="117"/>
      <c r="R495" s="117"/>
      <c r="S495" s="117"/>
      <c r="T495" s="117"/>
      <c r="U495" s="235"/>
      <c r="V495" s="117"/>
      <c r="W495" s="117"/>
      <c r="X495" s="117"/>
      <c r="Y495" s="117"/>
      <c r="Z495" s="117"/>
      <c r="AA495" s="44"/>
      <c r="AB495" s="117"/>
      <c r="AC495" s="44"/>
      <c r="AD495" s="117"/>
    </row>
    <row r="496" spans="1:30" ht="14.25" customHeight="1">
      <c r="A496" s="189"/>
      <c r="B496" s="189"/>
      <c r="C496" s="44"/>
      <c r="D496" s="117"/>
      <c r="E496" s="44"/>
      <c r="F496" s="44"/>
      <c r="G496" s="117"/>
      <c r="H496" s="117"/>
      <c r="I496" s="117"/>
      <c r="J496" s="117"/>
      <c r="K496" s="117"/>
      <c r="L496" s="117"/>
      <c r="M496" s="117"/>
      <c r="N496" s="117"/>
      <c r="O496" s="117"/>
      <c r="P496" s="117"/>
      <c r="Q496" s="117"/>
      <c r="R496" s="117"/>
      <c r="S496" s="117"/>
      <c r="T496" s="117"/>
      <c r="U496" s="235"/>
      <c r="V496" s="117"/>
      <c r="W496" s="117"/>
      <c r="X496" s="117"/>
      <c r="Y496" s="117"/>
      <c r="Z496" s="117"/>
      <c r="AA496" s="44"/>
      <c r="AB496" s="117"/>
      <c r="AC496" s="44"/>
      <c r="AD496" s="117"/>
    </row>
    <row r="497" spans="1:30" ht="14.25" customHeight="1">
      <c r="A497" s="189"/>
      <c r="B497" s="189"/>
      <c r="C497" s="44"/>
      <c r="D497" s="117"/>
      <c r="E497" s="44"/>
      <c r="F497" s="44"/>
      <c r="G497" s="117"/>
      <c r="H497" s="117"/>
      <c r="I497" s="117"/>
      <c r="J497" s="117"/>
      <c r="K497" s="117"/>
      <c r="L497" s="117"/>
      <c r="M497" s="117"/>
      <c r="N497" s="117"/>
      <c r="O497" s="117"/>
      <c r="P497" s="117"/>
      <c r="Q497" s="117"/>
      <c r="R497" s="117"/>
      <c r="S497" s="117"/>
      <c r="T497" s="117"/>
      <c r="U497" s="235"/>
      <c r="V497" s="117"/>
      <c r="W497" s="117"/>
      <c r="X497" s="117"/>
      <c r="Y497" s="117"/>
      <c r="Z497" s="117"/>
      <c r="AA497" s="44"/>
      <c r="AB497" s="117"/>
      <c r="AC497" s="44"/>
      <c r="AD497" s="117"/>
    </row>
    <row r="498" spans="1:30" ht="14.25" customHeight="1">
      <c r="A498" s="189"/>
      <c r="B498" s="189"/>
      <c r="C498" s="44"/>
      <c r="D498" s="117"/>
      <c r="E498" s="44"/>
      <c r="F498" s="44"/>
      <c r="G498" s="117"/>
      <c r="H498" s="117"/>
      <c r="I498" s="117"/>
      <c r="J498" s="117"/>
      <c r="K498" s="117"/>
      <c r="L498" s="117"/>
      <c r="M498" s="117"/>
      <c r="N498" s="117"/>
      <c r="O498" s="117"/>
      <c r="P498" s="117"/>
      <c r="Q498" s="117"/>
      <c r="R498" s="117"/>
      <c r="S498" s="117"/>
      <c r="T498" s="117"/>
      <c r="U498" s="235"/>
      <c r="V498" s="117"/>
      <c r="W498" s="117"/>
      <c r="X498" s="117"/>
      <c r="Y498" s="117"/>
      <c r="Z498" s="117"/>
      <c r="AA498" s="44"/>
      <c r="AB498" s="117"/>
      <c r="AC498" s="44"/>
      <c r="AD498" s="117"/>
    </row>
    <row r="499" spans="1:30" ht="14.25" customHeight="1">
      <c r="A499" s="189"/>
      <c r="B499" s="189"/>
      <c r="C499" s="44"/>
      <c r="D499" s="117"/>
      <c r="E499" s="44"/>
      <c r="F499" s="44"/>
      <c r="G499" s="117"/>
      <c r="H499" s="117"/>
      <c r="I499" s="117"/>
      <c r="J499" s="117"/>
      <c r="K499" s="117"/>
      <c r="L499" s="117"/>
      <c r="M499" s="117"/>
      <c r="N499" s="117"/>
      <c r="O499" s="117"/>
      <c r="P499" s="117"/>
      <c r="Q499" s="117"/>
      <c r="R499" s="117"/>
      <c r="S499" s="117"/>
      <c r="T499" s="117"/>
      <c r="U499" s="235"/>
      <c r="V499" s="117"/>
      <c r="W499" s="117"/>
      <c r="X499" s="117"/>
      <c r="Y499" s="117"/>
      <c r="Z499" s="117"/>
      <c r="AA499" s="44"/>
      <c r="AB499" s="117"/>
      <c r="AC499" s="44"/>
      <c r="AD499" s="117"/>
    </row>
    <row r="500" spans="1:30" ht="14.25" customHeight="1">
      <c r="A500" s="189"/>
      <c r="B500" s="189"/>
      <c r="C500" s="44"/>
      <c r="D500" s="117"/>
      <c r="E500" s="44"/>
      <c r="F500" s="44"/>
      <c r="G500" s="117"/>
      <c r="H500" s="117"/>
      <c r="I500" s="117"/>
      <c r="J500" s="117"/>
      <c r="K500" s="117"/>
      <c r="L500" s="117"/>
      <c r="M500" s="117"/>
      <c r="N500" s="117"/>
      <c r="O500" s="117"/>
      <c r="P500" s="117"/>
      <c r="Q500" s="117"/>
      <c r="R500" s="117"/>
      <c r="S500" s="117"/>
      <c r="T500" s="117"/>
      <c r="U500" s="235"/>
      <c r="V500" s="117"/>
      <c r="W500" s="117"/>
      <c r="X500" s="117"/>
      <c r="Y500" s="117"/>
      <c r="Z500" s="117"/>
      <c r="AA500" s="44"/>
      <c r="AB500" s="117"/>
      <c r="AC500" s="44"/>
      <c r="AD500" s="117"/>
    </row>
    <row r="501" spans="1:30" ht="14.25" customHeight="1">
      <c r="A501" s="189"/>
      <c r="B501" s="189"/>
      <c r="C501" s="44"/>
      <c r="D501" s="117"/>
      <c r="E501" s="44"/>
      <c r="F501" s="44"/>
      <c r="G501" s="117"/>
      <c r="H501" s="117"/>
      <c r="I501" s="117"/>
      <c r="J501" s="117"/>
      <c r="K501" s="117"/>
      <c r="L501" s="117"/>
      <c r="M501" s="117"/>
      <c r="N501" s="117"/>
      <c r="O501" s="117"/>
      <c r="P501" s="117"/>
      <c r="Q501" s="117"/>
      <c r="R501" s="117"/>
      <c r="S501" s="117"/>
      <c r="T501" s="117"/>
      <c r="U501" s="235"/>
      <c r="V501" s="117"/>
      <c r="W501" s="117"/>
      <c r="X501" s="117"/>
      <c r="Y501" s="117"/>
      <c r="Z501" s="117"/>
      <c r="AA501" s="44"/>
      <c r="AB501" s="117"/>
      <c r="AC501" s="44"/>
      <c r="AD501" s="117"/>
    </row>
    <row r="502" spans="1:30" ht="14.25" customHeight="1">
      <c r="A502" s="189"/>
      <c r="B502" s="189"/>
      <c r="C502" s="44"/>
      <c r="D502" s="117"/>
      <c r="E502" s="44"/>
      <c r="F502" s="44"/>
      <c r="G502" s="117"/>
      <c r="H502" s="117"/>
      <c r="I502" s="117"/>
      <c r="J502" s="117"/>
      <c r="K502" s="117"/>
      <c r="L502" s="117"/>
      <c r="M502" s="117"/>
      <c r="N502" s="117"/>
      <c r="O502" s="117"/>
      <c r="P502" s="117"/>
      <c r="Q502" s="117"/>
      <c r="R502" s="117"/>
      <c r="S502" s="117"/>
      <c r="T502" s="117"/>
      <c r="U502" s="235"/>
      <c r="V502" s="117"/>
      <c r="W502" s="117"/>
      <c r="X502" s="117"/>
      <c r="Y502" s="117"/>
      <c r="Z502" s="117"/>
      <c r="AA502" s="44"/>
      <c r="AB502" s="117"/>
      <c r="AC502" s="44"/>
      <c r="AD502" s="117"/>
    </row>
    <row r="503" spans="1:30" ht="14.25" customHeight="1">
      <c r="A503" s="189"/>
      <c r="B503" s="189"/>
      <c r="C503" s="44"/>
      <c r="D503" s="117"/>
      <c r="E503" s="44"/>
      <c r="F503" s="44"/>
      <c r="G503" s="117"/>
      <c r="H503" s="117"/>
      <c r="I503" s="117"/>
      <c r="J503" s="117"/>
      <c r="K503" s="117"/>
      <c r="L503" s="117"/>
      <c r="M503" s="117"/>
      <c r="N503" s="117"/>
      <c r="O503" s="117"/>
      <c r="P503" s="117"/>
      <c r="Q503" s="117"/>
      <c r="R503" s="117"/>
      <c r="S503" s="117"/>
      <c r="T503" s="117"/>
      <c r="U503" s="235"/>
      <c r="V503" s="117"/>
      <c r="W503" s="117"/>
      <c r="X503" s="117"/>
      <c r="Y503" s="117"/>
      <c r="Z503" s="117"/>
      <c r="AA503" s="44"/>
      <c r="AB503" s="117"/>
      <c r="AC503" s="44"/>
      <c r="AD503" s="117"/>
    </row>
    <row r="504" spans="1:30" ht="14.25" customHeight="1">
      <c r="A504" s="189"/>
      <c r="B504" s="189"/>
      <c r="C504" s="44"/>
      <c r="D504" s="117"/>
      <c r="E504" s="44"/>
      <c r="F504" s="44"/>
      <c r="G504" s="117"/>
      <c r="H504" s="117"/>
      <c r="I504" s="117"/>
      <c r="J504" s="117"/>
      <c r="K504" s="117"/>
      <c r="L504" s="117"/>
      <c r="M504" s="117"/>
      <c r="N504" s="117"/>
      <c r="O504" s="117"/>
      <c r="P504" s="117"/>
      <c r="Q504" s="117"/>
      <c r="R504" s="117"/>
      <c r="S504" s="117"/>
      <c r="T504" s="117"/>
      <c r="U504" s="235"/>
      <c r="V504" s="117"/>
      <c r="W504" s="117"/>
      <c r="X504" s="117"/>
      <c r="Y504" s="117"/>
      <c r="Z504" s="117"/>
      <c r="AA504" s="44"/>
      <c r="AB504" s="117"/>
      <c r="AC504" s="44"/>
      <c r="AD504" s="117"/>
    </row>
    <row r="505" spans="1:30" ht="14.25" customHeight="1">
      <c r="A505" s="189"/>
      <c r="B505" s="189"/>
      <c r="C505" s="44"/>
      <c r="D505" s="117"/>
      <c r="E505" s="44"/>
      <c r="F505" s="44"/>
      <c r="G505" s="117"/>
      <c r="H505" s="117"/>
      <c r="I505" s="117"/>
      <c r="J505" s="117"/>
      <c r="K505" s="117"/>
      <c r="L505" s="117"/>
      <c r="M505" s="117"/>
      <c r="N505" s="117"/>
      <c r="O505" s="117"/>
      <c r="P505" s="117"/>
      <c r="Q505" s="117"/>
      <c r="R505" s="117"/>
      <c r="S505" s="117"/>
      <c r="T505" s="117"/>
      <c r="U505" s="235"/>
      <c r="V505" s="117"/>
      <c r="W505" s="117"/>
      <c r="X505" s="117"/>
      <c r="Y505" s="117"/>
      <c r="Z505" s="117"/>
      <c r="AA505" s="44"/>
      <c r="AB505" s="117"/>
      <c r="AC505" s="44"/>
      <c r="AD505" s="117"/>
    </row>
    <row r="506" spans="1:30" ht="14.25" customHeight="1">
      <c r="A506" s="189"/>
      <c r="B506" s="189"/>
      <c r="C506" s="44"/>
      <c r="D506" s="117"/>
      <c r="E506" s="44"/>
      <c r="F506" s="44"/>
      <c r="G506" s="117"/>
      <c r="H506" s="117"/>
      <c r="I506" s="117"/>
      <c r="J506" s="117"/>
      <c r="K506" s="117"/>
      <c r="L506" s="117"/>
      <c r="M506" s="117"/>
      <c r="N506" s="117"/>
      <c r="O506" s="117"/>
      <c r="P506" s="117"/>
      <c r="Q506" s="117"/>
      <c r="R506" s="117"/>
      <c r="S506" s="117"/>
      <c r="T506" s="117"/>
      <c r="U506" s="235"/>
      <c r="V506" s="117"/>
      <c r="W506" s="117"/>
      <c r="X506" s="117"/>
      <c r="Y506" s="117"/>
      <c r="Z506" s="117"/>
      <c r="AA506" s="44"/>
      <c r="AB506" s="117"/>
      <c r="AC506" s="44"/>
      <c r="AD506" s="117"/>
    </row>
    <row r="507" spans="1:30" ht="14.25" customHeight="1">
      <c r="A507" s="189"/>
      <c r="B507" s="189"/>
      <c r="C507" s="44"/>
      <c r="D507" s="117"/>
      <c r="E507" s="44"/>
      <c r="F507" s="44"/>
      <c r="G507" s="117"/>
      <c r="H507" s="117"/>
      <c r="I507" s="117"/>
      <c r="J507" s="117"/>
      <c r="K507" s="117"/>
      <c r="L507" s="117"/>
      <c r="M507" s="117"/>
      <c r="N507" s="117"/>
      <c r="O507" s="117"/>
      <c r="P507" s="117"/>
      <c r="Q507" s="117"/>
      <c r="R507" s="117"/>
      <c r="S507" s="117"/>
      <c r="T507" s="117"/>
      <c r="U507" s="235"/>
      <c r="V507" s="117"/>
      <c r="W507" s="117"/>
      <c r="X507" s="117"/>
      <c r="Y507" s="117"/>
      <c r="Z507" s="117"/>
      <c r="AA507" s="44"/>
      <c r="AB507" s="117"/>
      <c r="AC507" s="44"/>
      <c r="AD507" s="117"/>
    </row>
    <row r="508" spans="1:30" ht="14.25" customHeight="1">
      <c r="A508" s="189"/>
      <c r="B508" s="189"/>
      <c r="C508" s="44"/>
      <c r="D508" s="117"/>
      <c r="E508" s="44"/>
      <c r="F508" s="44"/>
      <c r="G508" s="117"/>
      <c r="H508" s="117"/>
      <c r="I508" s="117"/>
      <c r="J508" s="117"/>
      <c r="K508" s="117"/>
      <c r="L508" s="117"/>
      <c r="M508" s="117"/>
      <c r="N508" s="117"/>
      <c r="O508" s="117"/>
      <c r="P508" s="117"/>
      <c r="Q508" s="117"/>
      <c r="R508" s="117"/>
      <c r="S508" s="117"/>
      <c r="T508" s="117"/>
      <c r="U508" s="235"/>
      <c r="V508" s="117"/>
      <c r="W508" s="117"/>
      <c r="X508" s="117"/>
      <c r="Y508" s="117"/>
      <c r="Z508" s="117"/>
      <c r="AA508" s="44"/>
      <c r="AB508" s="117"/>
      <c r="AC508" s="44"/>
      <c r="AD508" s="117"/>
    </row>
    <row r="509" spans="1:30" ht="14.25" customHeight="1">
      <c r="A509" s="189"/>
      <c r="B509" s="189"/>
      <c r="C509" s="44"/>
      <c r="D509" s="117"/>
      <c r="E509" s="44"/>
      <c r="F509" s="44"/>
      <c r="G509" s="117"/>
      <c r="H509" s="117"/>
      <c r="I509" s="117"/>
      <c r="J509" s="117"/>
      <c r="K509" s="117"/>
      <c r="L509" s="117"/>
      <c r="M509" s="117"/>
      <c r="N509" s="117"/>
      <c r="O509" s="117"/>
      <c r="P509" s="117"/>
      <c r="Q509" s="117"/>
      <c r="R509" s="117"/>
      <c r="S509" s="117"/>
      <c r="T509" s="117"/>
      <c r="U509" s="235"/>
      <c r="V509" s="117"/>
      <c r="W509" s="117"/>
      <c r="X509" s="117"/>
      <c r="Y509" s="117"/>
      <c r="Z509" s="117"/>
      <c r="AA509" s="44"/>
      <c r="AB509" s="117"/>
      <c r="AC509" s="44"/>
      <c r="AD509" s="117"/>
    </row>
    <row r="510" spans="1:30" ht="14.25" customHeight="1">
      <c r="A510" s="189"/>
      <c r="B510" s="189"/>
      <c r="C510" s="44"/>
      <c r="D510" s="117"/>
      <c r="E510" s="44"/>
      <c r="F510" s="44"/>
      <c r="G510" s="117"/>
      <c r="H510" s="117"/>
      <c r="I510" s="117"/>
      <c r="J510" s="117"/>
      <c r="K510" s="117"/>
      <c r="L510" s="117"/>
      <c r="M510" s="117"/>
      <c r="N510" s="117"/>
      <c r="O510" s="117"/>
      <c r="P510" s="117"/>
      <c r="Q510" s="117"/>
      <c r="R510" s="117"/>
      <c r="S510" s="117"/>
      <c r="T510" s="117"/>
      <c r="U510" s="235"/>
      <c r="V510" s="117"/>
      <c r="W510" s="117"/>
      <c r="X510" s="117"/>
      <c r="Y510" s="117"/>
      <c r="Z510" s="117"/>
      <c r="AA510" s="44"/>
      <c r="AB510" s="117"/>
      <c r="AC510" s="44"/>
      <c r="AD510" s="117"/>
    </row>
    <row r="511" spans="1:30" ht="14.25" customHeight="1">
      <c r="A511" s="189"/>
      <c r="B511" s="189"/>
      <c r="C511" s="44"/>
      <c r="D511" s="117"/>
      <c r="E511" s="44"/>
      <c r="F511" s="44"/>
      <c r="G511" s="117"/>
      <c r="H511" s="117"/>
      <c r="I511" s="117"/>
      <c r="J511" s="117"/>
      <c r="K511" s="117"/>
      <c r="L511" s="117"/>
      <c r="M511" s="117"/>
      <c r="N511" s="117"/>
      <c r="O511" s="117"/>
      <c r="P511" s="117"/>
      <c r="Q511" s="117"/>
      <c r="R511" s="117"/>
      <c r="S511" s="117"/>
      <c r="T511" s="117"/>
      <c r="U511" s="235"/>
      <c r="V511" s="117"/>
      <c r="W511" s="117"/>
      <c r="X511" s="117"/>
      <c r="Y511" s="117"/>
      <c r="Z511" s="117"/>
      <c r="AA511" s="44"/>
      <c r="AB511" s="117"/>
      <c r="AC511" s="44"/>
      <c r="AD511" s="117"/>
    </row>
    <row r="512" spans="1:30" ht="14.25" customHeight="1">
      <c r="A512" s="189"/>
      <c r="B512" s="189"/>
      <c r="C512" s="44"/>
      <c r="D512" s="117"/>
      <c r="E512" s="44"/>
      <c r="F512" s="44"/>
      <c r="G512" s="117"/>
      <c r="H512" s="117"/>
      <c r="I512" s="117"/>
      <c r="J512" s="117"/>
      <c r="K512" s="117"/>
      <c r="L512" s="117"/>
      <c r="M512" s="117"/>
      <c r="N512" s="117"/>
      <c r="O512" s="117"/>
      <c r="P512" s="117"/>
      <c r="Q512" s="117"/>
      <c r="R512" s="117"/>
      <c r="S512" s="117"/>
      <c r="T512" s="117"/>
      <c r="U512" s="235"/>
      <c r="V512" s="117"/>
      <c r="W512" s="117"/>
      <c r="X512" s="117"/>
      <c r="Y512" s="117"/>
      <c r="Z512" s="117"/>
      <c r="AA512" s="44"/>
      <c r="AB512" s="117"/>
      <c r="AC512" s="44"/>
      <c r="AD512" s="117"/>
    </row>
    <row r="513" spans="1:30" ht="14.25" customHeight="1">
      <c r="A513" s="189"/>
      <c r="B513" s="189"/>
      <c r="C513" s="44"/>
      <c r="D513" s="117"/>
      <c r="E513" s="44"/>
      <c r="F513" s="44"/>
      <c r="G513" s="117"/>
      <c r="H513" s="117"/>
      <c r="I513" s="117"/>
      <c r="J513" s="117"/>
      <c r="K513" s="117"/>
      <c r="L513" s="117"/>
      <c r="M513" s="117"/>
      <c r="N513" s="117"/>
      <c r="O513" s="117"/>
      <c r="P513" s="117"/>
      <c r="Q513" s="117"/>
      <c r="R513" s="117"/>
      <c r="S513" s="117"/>
      <c r="T513" s="117"/>
      <c r="U513" s="235"/>
      <c r="V513" s="117"/>
      <c r="W513" s="117"/>
      <c r="X513" s="117"/>
      <c r="Y513" s="117"/>
      <c r="Z513" s="117"/>
      <c r="AA513" s="44"/>
      <c r="AB513" s="117"/>
      <c r="AC513" s="44"/>
      <c r="AD513" s="117"/>
    </row>
    <row r="514" spans="1:30" ht="14.25" customHeight="1">
      <c r="A514" s="189"/>
      <c r="B514" s="189"/>
      <c r="C514" s="44"/>
      <c r="D514" s="117"/>
      <c r="E514" s="44"/>
      <c r="F514" s="44"/>
      <c r="G514" s="117"/>
      <c r="H514" s="117"/>
      <c r="I514" s="117"/>
      <c r="J514" s="117"/>
      <c r="K514" s="117"/>
      <c r="L514" s="117"/>
      <c r="M514" s="117"/>
      <c r="N514" s="117"/>
      <c r="O514" s="117"/>
      <c r="P514" s="117"/>
      <c r="Q514" s="117"/>
      <c r="R514" s="117"/>
      <c r="S514" s="117"/>
      <c r="T514" s="117"/>
      <c r="U514" s="235"/>
      <c r="V514" s="117"/>
      <c r="W514" s="117"/>
      <c r="X514" s="117"/>
      <c r="Y514" s="117"/>
      <c r="Z514" s="117"/>
      <c r="AA514" s="44"/>
      <c r="AB514" s="117"/>
      <c r="AC514" s="44"/>
      <c r="AD514" s="117"/>
    </row>
    <row r="515" spans="1:30" ht="14.25" customHeight="1">
      <c r="A515" s="189"/>
      <c r="B515" s="189"/>
      <c r="C515" s="44"/>
      <c r="D515" s="117"/>
      <c r="E515" s="44"/>
      <c r="F515" s="44"/>
      <c r="G515" s="117"/>
      <c r="H515" s="117"/>
      <c r="I515" s="117"/>
      <c r="J515" s="117"/>
      <c r="K515" s="117"/>
      <c r="L515" s="117"/>
      <c r="M515" s="117"/>
      <c r="N515" s="117"/>
      <c r="O515" s="117"/>
      <c r="P515" s="117"/>
      <c r="Q515" s="117"/>
      <c r="R515" s="117"/>
      <c r="S515" s="117"/>
      <c r="T515" s="117"/>
      <c r="U515" s="235"/>
      <c r="V515" s="117"/>
      <c r="W515" s="117"/>
      <c r="X515" s="117"/>
      <c r="Y515" s="117"/>
      <c r="Z515" s="117"/>
      <c r="AA515" s="44"/>
      <c r="AB515" s="117"/>
      <c r="AC515" s="44"/>
      <c r="AD515" s="117"/>
    </row>
    <row r="516" spans="1:30" ht="14.25" customHeight="1">
      <c r="A516" s="189"/>
      <c r="B516" s="189"/>
      <c r="C516" s="44"/>
      <c r="D516" s="117"/>
      <c r="E516" s="44"/>
      <c r="F516" s="44"/>
      <c r="G516" s="117"/>
      <c r="H516" s="117"/>
      <c r="I516" s="117"/>
      <c r="J516" s="117"/>
      <c r="K516" s="117"/>
      <c r="L516" s="117"/>
      <c r="M516" s="117"/>
      <c r="N516" s="117"/>
      <c r="O516" s="117"/>
      <c r="P516" s="117"/>
      <c r="Q516" s="117"/>
      <c r="R516" s="117"/>
      <c r="S516" s="117"/>
      <c r="T516" s="117"/>
      <c r="U516" s="235"/>
      <c r="V516" s="117"/>
      <c r="W516" s="117"/>
      <c r="X516" s="117"/>
      <c r="Y516" s="117"/>
      <c r="Z516" s="117"/>
      <c r="AA516" s="44"/>
      <c r="AB516" s="117"/>
      <c r="AC516" s="44"/>
      <c r="AD516" s="117"/>
    </row>
    <row r="517" spans="1:30" ht="14.25" customHeight="1">
      <c r="A517" s="189"/>
      <c r="B517" s="189"/>
      <c r="C517" s="44"/>
      <c r="D517" s="117"/>
      <c r="E517" s="44"/>
      <c r="F517" s="44"/>
      <c r="G517" s="117"/>
      <c r="H517" s="117"/>
      <c r="I517" s="117"/>
      <c r="J517" s="117"/>
      <c r="K517" s="117"/>
      <c r="L517" s="117"/>
      <c r="M517" s="117"/>
      <c r="N517" s="117"/>
      <c r="O517" s="117"/>
      <c r="P517" s="117"/>
      <c r="Q517" s="117"/>
      <c r="R517" s="117"/>
      <c r="S517" s="117"/>
      <c r="T517" s="117"/>
      <c r="U517" s="235"/>
      <c r="V517" s="117"/>
      <c r="W517" s="117"/>
      <c r="X517" s="117"/>
      <c r="Y517" s="117"/>
      <c r="Z517" s="117"/>
      <c r="AA517" s="44"/>
      <c r="AB517" s="117"/>
      <c r="AC517" s="44"/>
      <c r="AD517" s="117"/>
    </row>
    <row r="518" spans="1:30" ht="14.25" customHeight="1">
      <c r="A518" s="189"/>
      <c r="B518" s="189"/>
      <c r="C518" s="44"/>
      <c r="D518" s="117"/>
      <c r="E518" s="44"/>
      <c r="F518" s="44"/>
      <c r="G518" s="117"/>
      <c r="H518" s="117"/>
      <c r="I518" s="117"/>
      <c r="J518" s="117"/>
      <c r="K518" s="117"/>
      <c r="L518" s="117"/>
      <c r="M518" s="117"/>
      <c r="N518" s="117"/>
      <c r="O518" s="117"/>
      <c r="P518" s="117"/>
      <c r="Q518" s="117"/>
      <c r="R518" s="117"/>
      <c r="S518" s="117"/>
      <c r="T518" s="117"/>
      <c r="U518" s="235"/>
      <c r="V518" s="117"/>
      <c r="W518" s="117"/>
      <c r="X518" s="117"/>
      <c r="Y518" s="117"/>
      <c r="Z518" s="117"/>
      <c r="AA518" s="44"/>
      <c r="AB518" s="117"/>
      <c r="AC518" s="44"/>
      <c r="AD518" s="117"/>
    </row>
    <row r="519" spans="1:30" ht="14.25" customHeight="1">
      <c r="A519" s="189"/>
      <c r="B519" s="189"/>
      <c r="C519" s="44"/>
      <c r="D519" s="117"/>
      <c r="E519" s="44"/>
      <c r="F519" s="44"/>
      <c r="G519" s="117"/>
      <c r="H519" s="117"/>
      <c r="I519" s="117"/>
      <c r="J519" s="117"/>
      <c r="K519" s="117"/>
      <c r="L519" s="117"/>
      <c r="M519" s="117"/>
      <c r="N519" s="117"/>
      <c r="O519" s="117"/>
      <c r="P519" s="117"/>
      <c r="Q519" s="117"/>
      <c r="R519" s="117"/>
      <c r="S519" s="117"/>
      <c r="T519" s="117"/>
      <c r="U519" s="235"/>
      <c r="V519" s="117"/>
      <c r="W519" s="117"/>
      <c r="X519" s="117"/>
      <c r="Y519" s="117"/>
      <c r="Z519" s="117"/>
      <c r="AA519" s="44"/>
      <c r="AB519" s="117"/>
      <c r="AC519" s="44"/>
      <c r="AD519" s="117"/>
    </row>
    <row r="520" spans="1:30" ht="14.25" customHeight="1">
      <c r="A520" s="189"/>
      <c r="B520" s="189"/>
      <c r="C520" s="44"/>
      <c r="D520" s="117"/>
      <c r="E520" s="44"/>
      <c r="F520" s="44"/>
      <c r="G520" s="117"/>
      <c r="H520" s="117"/>
      <c r="I520" s="117"/>
      <c r="J520" s="117"/>
      <c r="K520" s="117"/>
      <c r="L520" s="117"/>
      <c r="M520" s="117"/>
      <c r="N520" s="117"/>
      <c r="O520" s="117"/>
      <c r="P520" s="117"/>
      <c r="Q520" s="117"/>
      <c r="R520" s="117"/>
      <c r="S520" s="117"/>
      <c r="T520" s="117"/>
      <c r="U520" s="235"/>
      <c r="V520" s="117"/>
      <c r="W520" s="117"/>
      <c r="X520" s="117"/>
      <c r="Y520" s="117"/>
      <c r="Z520" s="117"/>
      <c r="AA520" s="44"/>
      <c r="AB520" s="117"/>
      <c r="AC520" s="44"/>
      <c r="AD520" s="117"/>
    </row>
    <row r="521" spans="1:30" ht="14.25" customHeight="1">
      <c r="A521" s="189"/>
      <c r="B521" s="189"/>
      <c r="C521" s="44"/>
      <c r="D521" s="117"/>
      <c r="E521" s="44"/>
      <c r="F521" s="44"/>
      <c r="G521" s="117"/>
      <c r="H521" s="117"/>
      <c r="I521" s="117"/>
      <c r="J521" s="117"/>
      <c r="K521" s="117"/>
      <c r="L521" s="117"/>
      <c r="M521" s="117"/>
      <c r="N521" s="117"/>
      <c r="O521" s="117"/>
      <c r="P521" s="117"/>
      <c r="Q521" s="117"/>
      <c r="R521" s="117"/>
      <c r="S521" s="117"/>
      <c r="T521" s="117"/>
      <c r="U521" s="235"/>
      <c r="V521" s="117"/>
      <c r="W521" s="117"/>
      <c r="X521" s="117"/>
      <c r="Y521" s="117"/>
      <c r="Z521" s="117"/>
      <c r="AA521" s="44"/>
      <c r="AB521" s="117"/>
      <c r="AC521" s="44"/>
      <c r="AD521" s="117"/>
    </row>
    <row r="522" spans="1:30" ht="14.25" customHeight="1">
      <c r="A522" s="189"/>
      <c r="B522" s="189"/>
      <c r="C522" s="44"/>
      <c r="D522" s="117"/>
      <c r="E522" s="44"/>
      <c r="F522" s="44"/>
      <c r="G522" s="117"/>
      <c r="H522" s="117"/>
      <c r="I522" s="117"/>
      <c r="J522" s="117"/>
      <c r="K522" s="117"/>
      <c r="L522" s="117"/>
      <c r="M522" s="117"/>
      <c r="N522" s="117"/>
      <c r="O522" s="117"/>
      <c r="P522" s="117"/>
      <c r="Q522" s="117"/>
      <c r="R522" s="117"/>
      <c r="S522" s="117"/>
      <c r="T522" s="117"/>
      <c r="U522" s="235"/>
      <c r="V522" s="117"/>
      <c r="W522" s="117"/>
      <c r="X522" s="117"/>
      <c r="Y522" s="117"/>
      <c r="Z522" s="117"/>
      <c r="AA522" s="44"/>
      <c r="AB522" s="117"/>
      <c r="AC522" s="44"/>
      <c r="AD522" s="117"/>
    </row>
    <row r="523" spans="1:30" ht="14.25" customHeight="1">
      <c r="A523" s="189"/>
      <c r="B523" s="189"/>
      <c r="C523" s="44"/>
      <c r="D523" s="117"/>
      <c r="E523" s="44"/>
      <c r="F523" s="44"/>
      <c r="G523" s="117"/>
      <c r="H523" s="117"/>
      <c r="I523" s="117"/>
      <c r="J523" s="117"/>
      <c r="K523" s="117"/>
      <c r="L523" s="117"/>
      <c r="M523" s="117"/>
      <c r="N523" s="117"/>
      <c r="O523" s="117"/>
      <c r="P523" s="117"/>
      <c r="Q523" s="117"/>
      <c r="R523" s="117"/>
      <c r="S523" s="117"/>
      <c r="T523" s="117"/>
      <c r="U523" s="235"/>
      <c r="V523" s="117"/>
      <c r="W523" s="117"/>
      <c r="X523" s="117"/>
      <c r="Y523" s="117"/>
      <c r="Z523" s="117"/>
      <c r="AA523" s="44"/>
      <c r="AB523" s="117"/>
      <c r="AC523" s="44"/>
      <c r="AD523" s="117"/>
    </row>
    <row r="524" spans="1:30" ht="14.25" customHeight="1">
      <c r="A524" s="189"/>
      <c r="B524" s="189"/>
      <c r="C524" s="44"/>
      <c r="D524" s="117"/>
      <c r="E524" s="44"/>
      <c r="F524" s="44"/>
      <c r="G524" s="117"/>
      <c r="H524" s="117"/>
      <c r="I524" s="117"/>
      <c r="J524" s="117"/>
      <c r="K524" s="117"/>
      <c r="L524" s="117"/>
      <c r="M524" s="117"/>
      <c r="N524" s="117"/>
      <c r="O524" s="117"/>
      <c r="P524" s="117"/>
      <c r="Q524" s="117"/>
      <c r="R524" s="117"/>
      <c r="S524" s="117"/>
      <c r="T524" s="117"/>
      <c r="U524" s="235"/>
      <c r="V524" s="117"/>
      <c r="W524" s="117"/>
      <c r="X524" s="117"/>
      <c r="Y524" s="117"/>
      <c r="Z524" s="117"/>
      <c r="AA524" s="44"/>
      <c r="AB524" s="117"/>
      <c r="AC524" s="44"/>
      <c r="AD524" s="117"/>
    </row>
    <row r="525" spans="1:30" ht="14.25" customHeight="1">
      <c r="A525" s="189"/>
      <c r="B525" s="189"/>
      <c r="C525" s="44"/>
      <c r="D525" s="117"/>
      <c r="E525" s="44"/>
      <c r="F525" s="44"/>
      <c r="G525" s="117"/>
      <c r="H525" s="117"/>
      <c r="I525" s="117"/>
      <c r="J525" s="117"/>
      <c r="K525" s="117"/>
      <c r="L525" s="117"/>
      <c r="M525" s="117"/>
      <c r="N525" s="117"/>
      <c r="O525" s="117"/>
      <c r="P525" s="117"/>
      <c r="Q525" s="117"/>
      <c r="R525" s="117"/>
      <c r="S525" s="117"/>
      <c r="T525" s="117"/>
      <c r="U525" s="235"/>
      <c r="V525" s="117"/>
      <c r="W525" s="117"/>
      <c r="X525" s="117"/>
      <c r="Y525" s="117"/>
      <c r="Z525" s="117"/>
      <c r="AA525" s="44"/>
      <c r="AB525" s="117"/>
      <c r="AC525" s="44"/>
      <c r="AD525" s="117"/>
    </row>
    <row r="526" spans="1:30" ht="14.25" customHeight="1">
      <c r="A526" s="189"/>
      <c r="B526" s="189"/>
      <c r="C526" s="44"/>
      <c r="D526" s="117"/>
      <c r="E526" s="44"/>
      <c r="F526" s="44"/>
      <c r="G526" s="117"/>
      <c r="H526" s="117"/>
      <c r="I526" s="117"/>
      <c r="J526" s="117"/>
      <c r="K526" s="117"/>
      <c r="L526" s="117"/>
      <c r="M526" s="117"/>
      <c r="N526" s="117"/>
      <c r="O526" s="117"/>
      <c r="P526" s="117"/>
      <c r="Q526" s="117"/>
      <c r="R526" s="117"/>
      <c r="S526" s="117"/>
      <c r="T526" s="117"/>
      <c r="U526" s="235"/>
      <c r="V526" s="117"/>
      <c r="W526" s="117"/>
      <c r="X526" s="117"/>
      <c r="Y526" s="117"/>
      <c r="Z526" s="117"/>
      <c r="AA526" s="44"/>
      <c r="AB526" s="117"/>
      <c r="AC526" s="44"/>
      <c r="AD526" s="117"/>
    </row>
    <row r="527" spans="1:30" ht="14.25" customHeight="1">
      <c r="A527" s="189"/>
      <c r="B527" s="189"/>
      <c r="C527" s="44"/>
      <c r="D527" s="117"/>
      <c r="E527" s="44"/>
      <c r="F527" s="44"/>
      <c r="G527" s="117"/>
      <c r="H527" s="117"/>
      <c r="I527" s="117"/>
      <c r="J527" s="117"/>
      <c r="K527" s="117"/>
      <c r="L527" s="117"/>
      <c r="M527" s="117"/>
      <c r="N527" s="117"/>
      <c r="O527" s="117"/>
      <c r="P527" s="117"/>
      <c r="Q527" s="117"/>
      <c r="R527" s="117"/>
      <c r="S527" s="117"/>
      <c r="T527" s="117"/>
      <c r="U527" s="235"/>
      <c r="V527" s="117"/>
      <c r="W527" s="117"/>
      <c r="X527" s="117"/>
      <c r="Y527" s="117"/>
      <c r="Z527" s="117"/>
      <c r="AA527" s="44"/>
      <c r="AB527" s="117"/>
      <c r="AC527" s="44"/>
      <c r="AD527" s="117"/>
    </row>
    <row r="528" spans="1:30" ht="14.25" customHeight="1">
      <c r="A528" s="189"/>
      <c r="B528" s="189"/>
      <c r="C528" s="44"/>
      <c r="D528" s="117"/>
      <c r="E528" s="44"/>
      <c r="F528" s="44"/>
      <c r="G528" s="117"/>
      <c r="H528" s="117"/>
      <c r="I528" s="117"/>
      <c r="J528" s="117"/>
      <c r="K528" s="117"/>
      <c r="L528" s="117"/>
      <c r="M528" s="117"/>
      <c r="N528" s="117"/>
      <c r="O528" s="117"/>
      <c r="P528" s="117"/>
      <c r="Q528" s="117"/>
      <c r="R528" s="117"/>
      <c r="S528" s="117"/>
      <c r="T528" s="117"/>
      <c r="U528" s="235"/>
      <c r="V528" s="117"/>
      <c r="W528" s="117"/>
      <c r="X528" s="117"/>
      <c r="Y528" s="117"/>
      <c r="Z528" s="117"/>
      <c r="AA528" s="44"/>
      <c r="AB528" s="117"/>
      <c r="AC528" s="44"/>
      <c r="AD528" s="117"/>
    </row>
    <row r="529" spans="1:30" ht="14.25" customHeight="1">
      <c r="A529" s="189"/>
      <c r="B529" s="189"/>
      <c r="C529" s="44"/>
      <c r="D529" s="117"/>
      <c r="E529" s="44"/>
      <c r="F529" s="44"/>
      <c r="G529" s="117"/>
      <c r="H529" s="117"/>
      <c r="I529" s="117"/>
      <c r="J529" s="117"/>
      <c r="K529" s="117"/>
      <c r="L529" s="117"/>
      <c r="M529" s="117"/>
      <c r="N529" s="117"/>
      <c r="O529" s="117"/>
      <c r="P529" s="117"/>
      <c r="Q529" s="117"/>
      <c r="R529" s="117"/>
      <c r="S529" s="117"/>
      <c r="T529" s="117"/>
      <c r="U529" s="235"/>
      <c r="V529" s="117"/>
      <c r="W529" s="117"/>
      <c r="X529" s="117"/>
      <c r="Y529" s="117"/>
      <c r="Z529" s="117"/>
      <c r="AA529" s="44"/>
      <c r="AB529" s="117"/>
      <c r="AC529" s="44"/>
      <c r="AD529" s="117"/>
    </row>
    <row r="530" spans="1:30" ht="14.25" customHeight="1">
      <c r="A530" s="189"/>
      <c r="B530" s="189"/>
      <c r="C530" s="44"/>
      <c r="D530" s="117"/>
      <c r="E530" s="44"/>
      <c r="F530" s="44"/>
      <c r="G530" s="117"/>
      <c r="H530" s="117"/>
      <c r="I530" s="117"/>
      <c r="J530" s="117"/>
      <c r="K530" s="117"/>
      <c r="L530" s="117"/>
      <c r="M530" s="117"/>
      <c r="N530" s="117"/>
      <c r="O530" s="117"/>
      <c r="P530" s="117"/>
      <c r="Q530" s="117"/>
      <c r="R530" s="117"/>
      <c r="S530" s="117"/>
      <c r="T530" s="117"/>
      <c r="U530" s="235"/>
      <c r="V530" s="117"/>
      <c r="W530" s="117"/>
      <c r="X530" s="117"/>
      <c r="Y530" s="117"/>
      <c r="Z530" s="117"/>
      <c r="AA530" s="44"/>
      <c r="AB530" s="117"/>
      <c r="AC530" s="44"/>
      <c r="AD530" s="117"/>
    </row>
    <row r="531" spans="1:30" ht="14.25" customHeight="1">
      <c r="A531" s="189"/>
      <c r="B531" s="189"/>
      <c r="C531" s="44"/>
      <c r="D531" s="117"/>
      <c r="E531" s="44"/>
      <c r="F531" s="44"/>
      <c r="G531" s="117"/>
      <c r="H531" s="117"/>
      <c r="I531" s="117"/>
      <c r="J531" s="117"/>
      <c r="K531" s="117"/>
      <c r="L531" s="117"/>
      <c r="M531" s="117"/>
      <c r="N531" s="117"/>
      <c r="O531" s="117"/>
      <c r="P531" s="117"/>
      <c r="Q531" s="117"/>
      <c r="R531" s="117"/>
      <c r="S531" s="117"/>
      <c r="T531" s="117"/>
      <c r="U531" s="235"/>
      <c r="V531" s="117"/>
      <c r="W531" s="117"/>
      <c r="X531" s="117"/>
      <c r="Y531" s="117"/>
      <c r="Z531" s="117"/>
      <c r="AA531" s="44"/>
      <c r="AB531" s="117"/>
      <c r="AC531" s="44"/>
      <c r="AD531" s="117"/>
    </row>
    <row r="532" spans="1:30" ht="14.25" customHeight="1">
      <c r="A532" s="189"/>
      <c r="B532" s="189"/>
      <c r="C532" s="44"/>
      <c r="D532" s="117"/>
      <c r="E532" s="44"/>
      <c r="F532" s="44"/>
      <c r="G532" s="117"/>
      <c r="H532" s="117"/>
      <c r="I532" s="117"/>
      <c r="J532" s="117"/>
      <c r="K532" s="117"/>
      <c r="L532" s="117"/>
      <c r="M532" s="117"/>
      <c r="N532" s="117"/>
      <c r="O532" s="117"/>
      <c r="P532" s="117"/>
      <c r="Q532" s="117"/>
      <c r="R532" s="117"/>
      <c r="S532" s="117"/>
      <c r="T532" s="117"/>
      <c r="U532" s="235"/>
      <c r="V532" s="117"/>
      <c r="W532" s="117"/>
      <c r="X532" s="117"/>
      <c r="Y532" s="117"/>
      <c r="Z532" s="117"/>
      <c r="AA532" s="44"/>
      <c r="AB532" s="117"/>
      <c r="AC532" s="44"/>
      <c r="AD532" s="117"/>
    </row>
    <row r="533" spans="1:30" ht="14.25" customHeight="1">
      <c r="A533" s="189"/>
      <c r="B533" s="189"/>
      <c r="C533" s="44"/>
      <c r="D533" s="117"/>
      <c r="E533" s="44"/>
      <c r="F533" s="44"/>
      <c r="G533" s="117"/>
      <c r="H533" s="117"/>
      <c r="I533" s="117"/>
      <c r="J533" s="117"/>
      <c r="K533" s="117"/>
      <c r="L533" s="117"/>
      <c r="M533" s="117"/>
      <c r="N533" s="117"/>
      <c r="O533" s="117"/>
      <c r="P533" s="117"/>
      <c r="Q533" s="117"/>
      <c r="R533" s="117"/>
      <c r="S533" s="117"/>
      <c r="T533" s="117"/>
      <c r="U533" s="235"/>
      <c r="V533" s="117"/>
      <c r="W533" s="117"/>
      <c r="X533" s="117"/>
      <c r="Y533" s="117"/>
      <c r="Z533" s="117"/>
      <c r="AA533" s="44"/>
      <c r="AB533" s="117"/>
      <c r="AC533" s="44"/>
      <c r="AD533" s="117"/>
    </row>
    <row r="534" spans="1:30" ht="14.25" customHeight="1">
      <c r="A534" s="189"/>
      <c r="B534" s="189"/>
      <c r="C534" s="44"/>
      <c r="D534" s="117"/>
      <c r="E534" s="44"/>
      <c r="F534" s="44"/>
      <c r="G534" s="117"/>
      <c r="H534" s="117"/>
      <c r="I534" s="117"/>
      <c r="J534" s="117"/>
      <c r="K534" s="117"/>
      <c r="L534" s="117"/>
      <c r="M534" s="117"/>
      <c r="N534" s="117"/>
      <c r="O534" s="117"/>
      <c r="P534" s="117"/>
      <c r="Q534" s="117"/>
      <c r="R534" s="117"/>
      <c r="S534" s="117"/>
      <c r="T534" s="117"/>
      <c r="U534" s="235"/>
      <c r="V534" s="117"/>
      <c r="W534" s="117"/>
      <c r="X534" s="117"/>
      <c r="Y534" s="117"/>
      <c r="Z534" s="117"/>
      <c r="AA534" s="44"/>
      <c r="AB534" s="117"/>
      <c r="AC534" s="44"/>
      <c r="AD534" s="117"/>
    </row>
    <row r="535" spans="1:30" ht="14.25" customHeight="1">
      <c r="A535" s="189"/>
      <c r="B535" s="189"/>
      <c r="C535" s="44"/>
      <c r="D535" s="117"/>
      <c r="E535" s="44"/>
      <c r="F535" s="44"/>
      <c r="G535" s="117"/>
      <c r="H535" s="117"/>
      <c r="I535" s="117"/>
      <c r="J535" s="117"/>
      <c r="K535" s="117"/>
      <c r="L535" s="117"/>
      <c r="M535" s="117"/>
      <c r="N535" s="117"/>
      <c r="O535" s="117"/>
      <c r="P535" s="117"/>
      <c r="Q535" s="117"/>
      <c r="R535" s="117"/>
      <c r="S535" s="117"/>
      <c r="T535" s="117"/>
      <c r="U535" s="235"/>
      <c r="V535" s="117"/>
      <c r="W535" s="117"/>
      <c r="X535" s="117"/>
      <c r="Y535" s="117"/>
      <c r="Z535" s="117"/>
      <c r="AA535" s="44"/>
      <c r="AB535" s="117"/>
      <c r="AC535" s="44"/>
      <c r="AD535" s="117"/>
    </row>
    <row r="536" spans="1:30" ht="14.25" customHeight="1">
      <c r="A536" s="189"/>
      <c r="B536" s="189"/>
      <c r="C536" s="44"/>
      <c r="D536" s="117"/>
      <c r="E536" s="44"/>
      <c r="F536" s="44"/>
      <c r="G536" s="117"/>
      <c r="H536" s="117"/>
      <c r="I536" s="117"/>
      <c r="J536" s="117"/>
      <c r="K536" s="117"/>
      <c r="L536" s="117"/>
      <c r="M536" s="117"/>
      <c r="N536" s="117"/>
      <c r="O536" s="117"/>
      <c r="P536" s="117"/>
      <c r="Q536" s="117"/>
      <c r="R536" s="117"/>
      <c r="S536" s="117"/>
      <c r="T536" s="117"/>
      <c r="U536" s="235"/>
      <c r="V536" s="117"/>
      <c r="W536" s="117"/>
      <c r="X536" s="117"/>
      <c r="Y536" s="117"/>
      <c r="Z536" s="117"/>
      <c r="AA536" s="44"/>
      <c r="AB536" s="117"/>
      <c r="AC536" s="44"/>
      <c r="AD536" s="117"/>
    </row>
    <row r="537" spans="1:30" ht="14.25" customHeight="1">
      <c r="A537" s="189"/>
      <c r="B537" s="189"/>
      <c r="C537" s="44"/>
      <c r="D537" s="117"/>
      <c r="E537" s="44"/>
      <c r="F537" s="44"/>
      <c r="G537" s="117"/>
      <c r="H537" s="117"/>
      <c r="I537" s="117"/>
      <c r="J537" s="117"/>
      <c r="K537" s="117"/>
      <c r="L537" s="117"/>
      <c r="M537" s="117"/>
      <c r="N537" s="117"/>
      <c r="O537" s="117"/>
      <c r="P537" s="117"/>
      <c r="Q537" s="117"/>
      <c r="R537" s="117"/>
      <c r="S537" s="117"/>
      <c r="T537" s="117"/>
      <c r="U537" s="235"/>
      <c r="V537" s="117"/>
      <c r="W537" s="117"/>
      <c r="X537" s="117"/>
      <c r="Y537" s="117"/>
      <c r="Z537" s="117"/>
      <c r="AA537" s="44"/>
      <c r="AB537" s="117"/>
      <c r="AC537" s="44"/>
      <c r="AD537" s="117"/>
    </row>
    <row r="538" spans="1:30" ht="14.25" customHeight="1">
      <c r="A538" s="189"/>
      <c r="B538" s="189"/>
      <c r="C538" s="44"/>
      <c r="D538" s="117"/>
      <c r="E538" s="44"/>
      <c r="F538" s="44"/>
      <c r="G538" s="117"/>
      <c r="H538" s="117"/>
      <c r="I538" s="117"/>
      <c r="J538" s="117"/>
      <c r="K538" s="117"/>
      <c r="L538" s="117"/>
      <c r="M538" s="117"/>
      <c r="N538" s="117"/>
      <c r="O538" s="117"/>
      <c r="P538" s="117"/>
      <c r="Q538" s="117"/>
      <c r="R538" s="117"/>
      <c r="S538" s="117"/>
      <c r="T538" s="117"/>
      <c r="U538" s="235"/>
      <c r="V538" s="117"/>
      <c r="W538" s="117"/>
      <c r="X538" s="117"/>
      <c r="Y538" s="117"/>
      <c r="Z538" s="117"/>
      <c r="AA538" s="44"/>
      <c r="AB538" s="117"/>
      <c r="AC538" s="44"/>
      <c r="AD538" s="117"/>
    </row>
    <row r="539" spans="1:30" ht="14.25" customHeight="1">
      <c r="A539" s="189"/>
      <c r="B539" s="189"/>
      <c r="C539" s="44"/>
      <c r="D539" s="117"/>
      <c r="E539" s="44"/>
      <c r="F539" s="44"/>
      <c r="G539" s="117"/>
      <c r="H539" s="117"/>
      <c r="I539" s="117"/>
      <c r="J539" s="117"/>
      <c r="K539" s="117"/>
      <c r="L539" s="117"/>
      <c r="M539" s="117"/>
      <c r="N539" s="117"/>
      <c r="O539" s="117"/>
      <c r="P539" s="117"/>
      <c r="Q539" s="117"/>
      <c r="R539" s="117"/>
      <c r="S539" s="117"/>
      <c r="T539" s="117"/>
      <c r="U539" s="235"/>
      <c r="V539" s="117"/>
      <c r="W539" s="117"/>
      <c r="X539" s="117"/>
      <c r="Y539" s="117"/>
      <c r="Z539" s="117"/>
      <c r="AA539" s="44"/>
      <c r="AB539" s="117"/>
      <c r="AC539" s="44"/>
      <c r="AD539" s="117"/>
    </row>
    <row r="540" spans="1:30" ht="14.25" customHeight="1">
      <c r="A540" s="189"/>
      <c r="B540" s="189"/>
      <c r="C540" s="44"/>
      <c r="D540" s="117"/>
      <c r="E540" s="44"/>
      <c r="F540" s="44"/>
      <c r="G540" s="117"/>
      <c r="H540" s="117"/>
      <c r="I540" s="117"/>
      <c r="J540" s="117"/>
      <c r="K540" s="117"/>
      <c r="L540" s="117"/>
      <c r="M540" s="117"/>
      <c r="N540" s="117"/>
      <c r="O540" s="117"/>
      <c r="P540" s="117"/>
      <c r="Q540" s="117"/>
      <c r="R540" s="117"/>
      <c r="S540" s="117"/>
      <c r="T540" s="117"/>
      <c r="U540" s="235"/>
      <c r="V540" s="117"/>
      <c r="W540" s="117"/>
      <c r="X540" s="117"/>
      <c r="Y540" s="117"/>
      <c r="Z540" s="117"/>
      <c r="AA540" s="44"/>
      <c r="AB540" s="117"/>
      <c r="AC540" s="44"/>
      <c r="AD540" s="117"/>
    </row>
    <row r="541" spans="1:30" ht="14.25" customHeight="1">
      <c r="A541" s="189"/>
      <c r="B541" s="189"/>
      <c r="C541" s="44"/>
      <c r="D541" s="117"/>
      <c r="E541" s="44"/>
      <c r="F541" s="44"/>
      <c r="G541" s="117"/>
      <c r="H541" s="117"/>
      <c r="I541" s="117"/>
      <c r="J541" s="117"/>
      <c r="K541" s="117"/>
      <c r="L541" s="117"/>
      <c r="M541" s="117"/>
      <c r="N541" s="117"/>
      <c r="O541" s="117"/>
      <c r="P541" s="117"/>
      <c r="Q541" s="117"/>
      <c r="R541" s="117"/>
      <c r="S541" s="117"/>
      <c r="T541" s="117"/>
      <c r="U541" s="235"/>
      <c r="V541" s="117"/>
      <c r="W541" s="117"/>
      <c r="X541" s="117"/>
      <c r="Y541" s="117"/>
      <c r="Z541" s="117"/>
      <c r="AA541" s="44"/>
      <c r="AB541" s="117"/>
      <c r="AC541" s="44"/>
      <c r="AD541" s="117"/>
    </row>
    <row r="542" spans="1:30" ht="14.25" customHeight="1">
      <c r="A542" s="189"/>
      <c r="B542" s="189"/>
      <c r="C542" s="44"/>
      <c r="D542" s="117"/>
      <c r="E542" s="44"/>
      <c r="F542" s="44"/>
      <c r="G542" s="117"/>
      <c r="H542" s="117"/>
      <c r="I542" s="117"/>
      <c r="J542" s="117"/>
      <c r="K542" s="117"/>
      <c r="L542" s="117"/>
      <c r="M542" s="117"/>
      <c r="N542" s="117"/>
      <c r="O542" s="117"/>
      <c r="P542" s="117"/>
      <c r="Q542" s="117"/>
      <c r="R542" s="117"/>
      <c r="S542" s="117"/>
      <c r="T542" s="117"/>
      <c r="U542" s="235"/>
      <c r="V542" s="117"/>
      <c r="W542" s="117"/>
      <c r="X542" s="117"/>
      <c r="Y542" s="117"/>
      <c r="Z542" s="117"/>
      <c r="AA542" s="44"/>
      <c r="AB542" s="117"/>
      <c r="AC542" s="44"/>
      <c r="AD542" s="117"/>
    </row>
    <row r="543" spans="1:30" ht="14.25" customHeight="1">
      <c r="A543" s="189"/>
      <c r="B543" s="189"/>
      <c r="C543" s="44"/>
      <c r="D543" s="117"/>
      <c r="E543" s="44"/>
      <c r="F543" s="44"/>
      <c r="G543" s="117"/>
      <c r="H543" s="117"/>
      <c r="I543" s="117"/>
      <c r="J543" s="117"/>
      <c r="K543" s="117"/>
      <c r="L543" s="117"/>
      <c r="M543" s="117"/>
      <c r="N543" s="117"/>
      <c r="O543" s="117"/>
      <c r="P543" s="117"/>
      <c r="Q543" s="117"/>
      <c r="R543" s="117"/>
      <c r="S543" s="117"/>
      <c r="T543" s="117"/>
      <c r="U543" s="235"/>
      <c r="V543" s="117"/>
      <c r="W543" s="117"/>
      <c r="X543" s="117"/>
      <c r="Y543" s="117"/>
      <c r="Z543" s="117"/>
      <c r="AA543" s="44"/>
      <c r="AB543" s="117"/>
      <c r="AC543" s="44"/>
      <c r="AD543" s="117"/>
    </row>
    <row r="544" spans="1:30" ht="14.25" customHeight="1">
      <c r="A544" s="189"/>
      <c r="B544" s="189"/>
      <c r="C544" s="44"/>
      <c r="D544" s="117"/>
      <c r="E544" s="44"/>
      <c r="F544" s="44"/>
      <c r="G544" s="117"/>
      <c r="H544" s="117"/>
      <c r="I544" s="117"/>
      <c r="J544" s="117"/>
      <c r="K544" s="117"/>
      <c r="L544" s="117"/>
      <c r="M544" s="117"/>
      <c r="N544" s="117"/>
      <c r="O544" s="117"/>
      <c r="P544" s="117"/>
      <c r="Q544" s="117"/>
      <c r="R544" s="117"/>
      <c r="S544" s="117"/>
      <c r="T544" s="117"/>
      <c r="U544" s="235"/>
      <c r="V544" s="117"/>
      <c r="W544" s="117"/>
      <c r="X544" s="117"/>
      <c r="Y544" s="117"/>
      <c r="Z544" s="117"/>
      <c r="AA544" s="44"/>
      <c r="AB544" s="117"/>
      <c r="AC544" s="44"/>
      <c r="AD544" s="117"/>
    </row>
    <row r="545" spans="1:30" ht="14.25" customHeight="1">
      <c r="A545" s="189"/>
      <c r="B545" s="189"/>
      <c r="C545" s="44"/>
      <c r="D545" s="117"/>
      <c r="E545" s="44"/>
      <c r="F545" s="44"/>
      <c r="G545" s="117"/>
      <c r="H545" s="117"/>
      <c r="I545" s="117"/>
      <c r="J545" s="117"/>
      <c r="K545" s="117"/>
      <c r="L545" s="117"/>
      <c r="M545" s="117"/>
      <c r="N545" s="117"/>
      <c r="O545" s="117"/>
      <c r="P545" s="117"/>
      <c r="Q545" s="117"/>
      <c r="R545" s="117"/>
      <c r="S545" s="117"/>
      <c r="T545" s="117"/>
      <c r="U545" s="235"/>
      <c r="V545" s="117"/>
      <c r="W545" s="117"/>
      <c r="X545" s="117"/>
      <c r="Y545" s="117"/>
      <c r="Z545" s="117"/>
      <c r="AA545" s="44"/>
      <c r="AB545" s="117"/>
      <c r="AC545" s="44"/>
      <c r="AD545" s="117"/>
    </row>
    <row r="546" spans="1:30" ht="14.25" customHeight="1">
      <c r="A546" s="189"/>
      <c r="B546" s="189"/>
      <c r="C546" s="44"/>
      <c r="D546" s="117"/>
      <c r="E546" s="44"/>
      <c r="F546" s="44"/>
      <c r="G546" s="117"/>
      <c r="H546" s="117"/>
      <c r="I546" s="117"/>
      <c r="J546" s="117"/>
      <c r="K546" s="117"/>
      <c r="L546" s="117"/>
      <c r="M546" s="117"/>
      <c r="N546" s="117"/>
      <c r="O546" s="117"/>
      <c r="P546" s="117"/>
      <c r="Q546" s="117"/>
      <c r="R546" s="117"/>
      <c r="S546" s="117"/>
      <c r="T546" s="117"/>
      <c r="U546" s="235"/>
      <c r="V546" s="117"/>
      <c r="W546" s="117"/>
      <c r="X546" s="117"/>
      <c r="Y546" s="117"/>
      <c r="Z546" s="117"/>
      <c r="AA546" s="44"/>
      <c r="AB546" s="117"/>
      <c r="AC546" s="44"/>
      <c r="AD546" s="117"/>
    </row>
    <row r="547" spans="1:30" ht="14.25" customHeight="1">
      <c r="A547" s="189"/>
      <c r="B547" s="189"/>
      <c r="C547" s="44"/>
      <c r="D547" s="117"/>
      <c r="E547" s="44"/>
      <c r="F547" s="44"/>
      <c r="G547" s="117"/>
      <c r="H547" s="117"/>
      <c r="I547" s="117"/>
      <c r="J547" s="117"/>
      <c r="K547" s="117"/>
      <c r="L547" s="117"/>
      <c r="M547" s="117"/>
      <c r="N547" s="117"/>
      <c r="O547" s="117"/>
      <c r="P547" s="117"/>
      <c r="Q547" s="117"/>
      <c r="R547" s="117"/>
      <c r="S547" s="117"/>
      <c r="T547" s="117"/>
      <c r="U547" s="235"/>
      <c r="V547" s="117"/>
      <c r="W547" s="117"/>
      <c r="X547" s="117"/>
      <c r="Y547" s="117"/>
      <c r="Z547" s="117"/>
      <c r="AA547" s="44"/>
      <c r="AB547" s="117"/>
      <c r="AC547" s="44"/>
      <c r="AD547" s="117"/>
    </row>
    <row r="548" spans="1:30" ht="14.25" customHeight="1">
      <c r="A548" s="189"/>
      <c r="B548" s="189"/>
      <c r="C548" s="44"/>
      <c r="D548" s="117"/>
      <c r="E548" s="44"/>
      <c r="F548" s="44"/>
      <c r="G548" s="117"/>
      <c r="H548" s="117"/>
      <c r="I548" s="117"/>
      <c r="J548" s="117"/>
      <c r="K548" s="117"/>
      <c r="L548" s="117"/>
      <c r="M548" s="117"/>
      <c r="N548" s="117"/>
      <c r="O548" s="117"/>
      <c r="P548" s="117"/>
      <c r="Q548" s="117"/>
      <c r="R548" s="117"/>
      <c r="S548" s="117"/>
      <c r="T548" s="117"/>
      <c r="U548" s="235"/>
      <c r="V548" s="117"/>
      <c r="W548" s="117"/>
      <c r="X548" s="117"/>
      <c r="Y548" s="117"/>
      <c r="Z548" s="117"/>
      <c r="AA548" s="44"/>
      <c r="AB548" s="117"/>
      <c r="AC548" s="44"/>
      <c r="AD548" s="117"/>
    </row>
    <row r="549" spans="1:30" ht="14.25" customHeight="1">
      <c r="A549" s="189"/>
      <c r="B549" s="189"/>
      <c r="C549" s="44"/>
      <c r="D549" s="117"/>
      <c r="E549" s="44"/>
      <c r="F549" s="44"/>
      <c r="G549" s="117"/>
      <c r="H549" s="117"/>
      <c r="I549" s="117"/>
      <c r="J549" s="117"/>
      <c r="K549" s="117"/>
      <c r="L549" s="117"/>
      <c r="M549" s="117"/>
      <c r="N549" s="117"/>
      <c r="O549" s="117"/>
      <c r="P549" s="117"/>
      <c r="Q549" s="117"/>
      <c r="R549" s="117"/>
      <c r="S549" s="117"/>
      <c r="T549" s="117"/>
      <c r="U549" s="235"/>
      <c r="V549" s="117"/>
      <c r="W549" s="117"/>
      <c r="X549" s="117"/>
      <c r="Y549" s="117"/>
      <c r="Z549" s="117"/>
      <c r="AA549" s="44"/>
      <c r="AB549" s="117"/>
      <c r="AC549" s="44"/>
      <c r="AD549" s="117"/>
    </row>
    <row r="550" spans="1:30" ht="14.25" customHeight="1">
      <c r="A550" s="189"/>
      <c r="B550" s="189"/>
      <c r="C550" s="44"/>
      <c r="D550" s="117"/>
      <c r="E550" s="44"/>
      <c r="F550" s="44"/>
      <c r="G550" s="117"/>
      <c r="H550" s="117"/>
      <c r="I550" s="117"/>
      <c r="J550" s="117"/>
      <c r="K550" s="117"/>
      <c r="L550" s="117"/>
      <c r="M550" s="117"/>
      <c r="N550" s="117"/>
      <c r="O550" s="117"/>
      <c r="P550" s="117"/>
      <c r="Q550" s="117"/>
      <c r="R550" s="117"/>
      <c r="S550" s="117"/>
      <c r="T550" s="117"/>
      <c r="U550" s="235"/>
      <c r="V550" s="117"/>
      <c r="W550" s="117"/>
      <c r="X550" s="117"/>
      <c r="Y550" s="117"/>
      <c r="Z550" s="117"/>
      <c r="AA550" s="44"/>
      <c r="AB550" s="117"/>
      <c r="AC550" s="44"/>
      <c r="AD550" s="117"/>
    </row>
    <row r="551" spans="1:30" ht="14.25" customHeight="1">
      <c r="A551" s="189"/>
      <c r="B551" s="189"/>
      <c r="C551" s="44"/>
      <c r="D551" s="117"/>
      <c r="E551" s="44"/>
      <c r="F551" s="44"/>
      <c r="G551" s="117"/>
      <c r="H551" s="117"/>
      <c r="I551" s="117"/>
      <c r="J551" s="117"/>
      <c r="K551" s="117"/>
      <c r="L551" s="117"/>
      <c r="M551" s="117"/>
      <c r="N551" s="117"/>
      <c r="O551" s="117"/>
      <c r="P551" s="117"/>
      <c r="Q551" s="117"/>
      <c r="R551" s="117"/>
      <c r="S551" s="117"/>
      <c r="T551" s="117"/>
      <c r="U551" s="235"/>
      <c r="V551" s="117"/>
      <c r="W551" s="117"/>
      <c r="X551" s="117"/>
      <c r="Y551" s="117"/>
      <c r="Z551" s="117"/>
      <c r="AA551" s="44"/>
      <c r="AB551" s="117"/>
      <c r="AC551" s="44"/>
      <c r="AD551" s="117"/>
    </row>
    <row r="552" spans="1:30" ht="14.25" customHeight="1">
      <c r="A552" s="189"/>
      <c r="B552" s="189"/>
      <c r="C552" s="44"/>
      <c r="D552" s="117"/>
      <c r="E552" s="44"/>
      <c r="F552" s="44"/>
      <c r="G552" s="117"/>
      <c r="H552" s="117"/>
      <c r="I552" s="117"/>
      <c r="J552" s="117"/>
      <c r="K552" s="117"/>
      <c r="L552" s="117"/>
      <c r="M552" s="117"/>
      <c r="N552" s="117"/>
      <c r="O552" s="117"/>
      <c r="P552" s="117"/>
      <c r="Q552" s="117"/>
      <c r="R552" s="117"/>
      <c r="S552" s="117"/>
      <c r="T552" s="117"/>
      <c r="U552" s="235"/>
      <c r="V552" s="117"/>
      <c r="W552" s="117"/>
      <c r="X552" s="117"/>
      <c r="Y552" s="117"/>
      <c r="Z552" s="117"/>
      <c r="AA552" s="44"/>
      <c r="AB552" s="117"/>
      <c r="AC552" s="44"/>
      <c r="AD552" s="117"/>
    </row>
    <row r="553" spans="1:30" ht="14.25" customHeight="1">
      <c r="A553" s="189"/>
      <c r="B553" s="189"/>
      <c r="C553" s="44"/>
      <c r="D553" s="117"/>
      <c r="E553" s="44"/>
      <c r="F553" s="44"/>
      <c r="G553" s="117"/>
      <c r="H553" s="117"/>
      <c r="I553" s="117"/>
      <c r="J553" s="117"/>
      <c r="K553" s="117"/>
      <c r="L553" s="117"/>
      <c r="M553" s="117"/>
      <c r="N553" s="117"/>
      <c r="O553" s="117"/>
      <c r="P553" s="117"/>
      <c r="Q553" s="117"/>
      <c r="R553" s="117"/>
      <c r="S553" s="117"/>
      <c r="T553" s="117"/>
      <c r="U553" s="235"/>
      <c r="V553" s="117"/>
      <c r="W553" s="117"/>
      <c r="X553" s="117"/>
      <c r="Y553" s="117"/>
      <c r="Z553" s="117"/>
      <c r="AA553" s="44"/>
      <c r="AB553" s="117"/>
      <c r="AC553" s="44"/>
      <c r="AD553" s="117"/>
    </row>
    <row r="554" spans="1:30" ht="14.25" customHeight="1">
      <c r="A554" s="189"/>
      <c r="B554" s="189"/>
      <c r="C554" s="44"/>
      <c r="D554" s="117"/>
      <c r="E554" s="44"/>
      <c r="F554" s="44"/>
      <c r="G554" s="117"/>
      <c r="H554" s="117"/>
      <c r="I554" s="117"/>
      <c r="J554" s="117"/>
      <c r="K554" s="117"/>
      <c r="L554" s="117"/>
      <c r="M554" s="117"/>
      <c r="N554" s="117"/>
      <c r="O554" s="117"/>
      <c r="P554" s="117"/>
      <c r="Q554" s="117"/>
      <c r="R554" s="117"/>
      <c r="S554" s="117"/>
      <c r="T554" s="117"/>
      <c r="U554" s="235"/>
      <c r="V554" s="117"/>
      <c r="W554" s="117"/>
      <c r="X554" s="117"/>
      <c r="Y554" s="117"/>
      <c r="Z554" s="117"/>
      <c r="AA554" s="44"/>
      <c r="AB554" s="117"/>
      <c r="AC554" s="44"/>
      <c r="AD554" s="117"/>
    </row>
    <row r="555" spans="1:30" ht="14.25" customHeight="1">
      <c r="A555" s="189"/>
      <c r="B555" s="189"/>
      <c r="C555" s="44"/>
      <c r="D555" s="117"/>
      <c r="E555" s="44"/>
      <c r="F555" s="44"/>
      <c r="G555" s="117"/>
      <c r="H555" s="117"/>
      <c r="I555" s="117"/>
      <c r="J555" s="117"/>
      <c r="K555" s="117"/>
      <c r="L555" s="117"/>
      <c r="M555" s="117"/>
      <c r="N555" s="117"/>
      <c r="O555" s="117"/>
      <c r="P555" s="117"/>
      <c r="Q555" s="117"/>
      <c r="R555" s="117"/>
      <c r="S555" s="117"/>
      <c r="T555" s="117"/>
      <c r="U555" s="235"/>
      <c r="V555" s="117"/>
      <c r="W555" s="117"/>
      <c r="X555" s="117"/>
      <c r="Y555" s="117"/>
      <c r="Z555" s="117"/>
      <c r="AA555" s="44"/>
      <c r="AB555" s="117"/>
      <c r="AC555" s="44"/>
      <c r="AD555" s="117"/>
    </row>
    <row r="556" spans="1:30" ht="14.25" customHeight="1">
      <c r="A556" s="189"/>
      <c r="B556" s="189"/>
      <c r="C556" s="44"/>
      <c r="D556" s="117"/>
      <c r="E556" s="44"/>
      <c r="F556" s="44"/>
      <c r="G556" s="117"/>
      <c r="H556" s="117"/>
      <c r="I556" s="117"/>
      <c r="J556" s="117"/>
      <c r="K556" s="117"/>
      <c r="L556" s="117"/>
      <c r="M556" s="117"/>
      <c r="N556" s="117"/>
      <c r="O556" s="117"/>
      <c r="P556" s="117"/>
      <c r="Q556" s="117"/>
      <c r="R556" s="117"/>
      <c r="S556" s="117"/>
      <c r="T556" s="117"/>
      <c r="U556" s="235"/>
      <c r="V556" s="117"/>
      <c r="W556" s="117"/>
      <c r="X556" s="117"/>
      <c r="Y556" s="117"/>
      <c r="Z556" s="117"/>
      <c r="AA556" s="44"/>
      <c r="AB556" s="117"/>
      <c r="AC556" s="44"/>
      <c r="AD556" s="117"/>
    </row>
    <row r="557" spans="1:30" ht="14.25" customHeight="1">
      <c r="A557" s="189"/>
      <c r="B557" s="189"/>
      <c r="C557" s="44"/>
      <c r="D557" s="117"/>
      <c r="E557" s="44"/>
      <c r="F557" s="44"/>
      <c r="G557" s="117"/>
      <c r="H557" s="117"/>
      <c r="I557" s="117"/>
      <c r="J557" s="117"/>
      <c r="K557" s="117"/>
      <c r="L557" s="117"/>
      <c r="M557" s="117"/>
      <c r="N557" s="117"/>
      <c r="O557" s="117"/>
      <c r="P557" s="117"/>
      <c r="Q557" s="117"/>
      <c r="R557" s="117"/>
      <c r="S557" s="117"/>
      <c r="T557" s="117"/>
      <c r="U557" s="235"/>
      <c r="V557" s="117"/>
      <c r="W557" s="117"/>
      <c r="X557" s="117"/>
      <c r="Y557" s="117"/>
      <c r="Z557" s="117"/>
      <c r="AA557" s="44"/>
      <c r="AB557" s="117"/>
      <c r="AC557" s="44"/>
      <c r="AD557" s="117"/>
    </row>
    <row r="558" spans="1:30" ht="14.25" customHeight="1">
      <c r="A558" s="189"/>
      <c r="B558" s="189"/>
      <c r="C558" s="44"/>
      <c r="D558" s="117"/>
      <c r="E558" s="44"/>
      <c r="F558" s="44"/>
      <c r="G558" s="117"/>
      <c r="H558" s="117"/>
      <c r="I558" s="117"/>
      <c r="J558" s="117"/>
      <c r="K558" s="117"/>
      <c r="L558" s="117"/>
      <c r="M558" s="117"/>
      <c r="N558" s="117"/>
      <c r="O558" s="117"/>
      <c r="P558" s="117"/>
      <c r="Q558" s="117"/>
      <c r="R558" s="117"/>
      <c r="S558" s="117"/>
      <c r="T558" s="117"/>
      <c r="U558" s="235"/>
      <c r="V558" s="117"/>
      <c r="W558" s="117"/>
      <c r="X558" s="117"/>
      <c r="Y558" s="117"/>
      <c r="Z558" s="117"/>
      <c r="AA558" s="44"/>
      <c r="AB558" s="117"/>
      <c r="AC558" s="44"/>
      <c r="AD558" s="117"/>
    </row>
    <row r="559" spans="1:30" ht="14.25" customHeight="1">
      <c r="A559" s="189"/>
      <c r="B559" s="189"/>
      <c r="C559" s="44"/>
      <c r="D559" s="117"/>
      <c r="E559" s="44"/>
      <c r="F559" s="44"/>
      <c r="G559" s="117"/>
      <c r="H559" s="117"/>
      <c r="I559" s="117"/>
      <c r="J559" s="117"/>
      <c r="K559" s="117"/>
      <c r="L559" s="117"/>
      <c r="M559" s="117"/>
      <c r="N559" s="117"/>
      <c r="O559" s="117"/>
      <c r="P559" s="117"/>
      <c r="Q559" s="117"/>
      <c r="R559" s="117"/>
      <c r="S559" s="117"/>
      <c r="T559" s="117"/>
      <c r="U559" s="235"/>
      <c r="V559" s="117"/>
      <c r="W559" s="117"/>
      <c r="X559" s="117"/>
      <c r="Y559" s="117"/>
      <c r="Z559" s="117"/>
      <c r="AA559" s="44"/>
      <c r="AB559" s="117"/>
      <c r="AC559" s="44"/>
      <c r="AD559" s="117"/>
    </row>
    <row r="560" spans="1:30" ht="14.25" customHeight="1">
      <c r="A560" s="189"/>
      <c r="B560" s="189"/>
      <c r="C560" s="44"/>
      <c r="D560" s="117"/>
      <c r="E560" s="44"/>
      <c r="F560" s="44"/>
      <c r="G560" s="117"/>
      <c r="H560" s="117"/>
      <c r="I560" s="117"/>
      <c r="J560" s="117"/>
      <c r="K560" s="117"/>
      <c r="L560" s="117"/>
      <c r="M560" s="117"/>
      <c r="N560" s="117"/>
      <c r="O560" s="117"/>
      <c r="P560" s="117"/>
      <c r="Q560" s="117"/>
      <c r="R560" s="117"/>
      <c r="S560" s="117"/>
      <c r="T560" s="117"/>
      <c r="U560" s="235"/>
      <c r="V560" s="117"/>
      <c r="W560" s="117"/>
      <c r="X560" s="117"/>
      <c r="Y560" s="117"/>
      <c r="Z560" s="117"/>
      <c r="AA560" s="44"/>
      <c r="AB560" s="117"/>
      <c r="AC560" s="44"/>
      <c r="AD560" s="117"/>
    </row>
    <row r="561" spans="1:30" ht="14.25" customHeight="1">
      <c r="A561" s="189"/>
      <c r="B561" s="189"/>
      <c r="C561" s="44"/>
      <c r="D561" s="117"/>
      <c r="E561" s="44"/>
      <c r="F561" s="44"/>
      <c r="G561" s="117"/>
      <c r="H561" s="117"/>
      <c r="I561" s="117"/>
      <c r="J561" s="117"/>
      <c r="K561" s="117"/>
      <c r="L561" s="117"/>
      <c r="M561" s="117"/>
      <c r="N561" s="117"/>
      <c r="O561" s="117"/>
      <c r="P561" s="117"/>
      <c r="Q561" s="117"/>
      <c r="R561" s="117"/>
      <c r="S561" s="117"/>
      <c r="T561" s="117"/>
      <c r="U561" s="235"/>
      <c r="V561" s="117"/>
      <c r="W561" s="117"/>
      <c r="X561" s="117"/>
      <c r="Y561" s="117"/>
      <c r="Z561" s="117"/>
      <c r="AA561" s="44"/>
      <c r="AB561" s="117"/>
      <c r="AC561" s="44"/>
      <c r="AD561" s="117"/>
    </row>
    <row r="562" spans="1:30" ht="14.25" customHeight="1">
      <c r="A562" s="189"/>
      <c r="B562" s="189"/>
      <c r="C562" s="44"/>
      <c r="D562" s="117"/>
      <c r="E562" s="44"/>
      <c r="F562" s="44"/>
      <c r="G562" s="117"/>
      <c r="H562" s="117"/>
      <c r="I562" s="117"/>
      <c r="J562" s="117"/>
      <c r="K562" s="117"/>
      <c r="L562" s="117"/>
      <c r="M562" s="117"/>
      <c r="N562" s="117"/>
      <c r="O562" s="117"/>
      <c r="P562" s="117"/>
      <c r="Q562" s="117"/>
      <c r="R562" s="117"/>
      <c r="S562" s="117"/>
      <c r="T562" s="117"/>
      <c r="U562" s="235"/>
      <c r="V562" s="117"/>
      <c r="W562" s="117"/>
      <c r="X562" s="117"/>
      <c r="Y562" s="117"/>
      <c r="Z562" s="117"/>
      <c r="AA562" s="44"/>
      <c r="AB562" s="117"/>
      <c r="AC562" s="44"/>
      <c r="AD562" s="117"/>
    </row>
    <row r="563" spans="1:30" ht="14.25" customHeight="1">
      <c r="A563" s="189"/>
      <c r="B563" s="189"/>
      <c r="C563" s="44"/>
      <c r="D563" s="117"/>
      <c r="E563" s="44"/>
      <c r="F563" s="44"/>
      <c r="G563" s="117"/>
      <c r="H563" s="117"/>
      <c r="I563" s="117"/>
      <c r="J563" s="117"/>
      <c r="K563" s="117"/>
      <c r="L563" s="117"/>
      <c r="M563" s="117"/>
      <c r="N563" s="117"/>
      <c r="O563" s="117"/>
      <c r="P563" s="117"/>
      <c r="Q563" s="117"/>
      <c r="R563" s="117"/>
      <c r="S563" s="117"/>
      <c r="T563" s="117"/>
      <c r="U563" s="235"/>
      <c r="V563" s="117"/>
      <c r="W563" s="117"/>
      <c r="X563" s="117"/>
      <c r="Y563" s="117"/>
      <c r="Z563" s="117"/>
      <c r="AA563" s="44"/>
      <c r="AB563" s="117"/>
      <c r="AC563" s="44"/>
      <c r="AD563" s="117"/>
    </row>
    <row r="564" spans="1:30" ht="14.25" customHeight="1">
      <c r="A564" s="189"/>
      <c r="B564" s="189"/>
      <c r="C564" s="44"/>
      <c r="D564" s="117"/>
      <c r="E564" s="44"/>
      <c r="F564" s="44"/>
      <c r="G564" s="117"/>
      <c r="H564" s="117"/>
      <c r="I564" s="117"/>
      <c r="J564" s="117"/>
      <c r="K564" s="117"/>
      <c r="L564" s="117"/>
      <c r="M564" s="117"/>
      <c r="N564" s="117"/>
      <c r="O564" s="117"/>
      <c r="P564" s="117"/>
      <c r="Q564" s="117"/>
      <c r="R564" s="117"/>
      <c r="S564" s="117"/>
      <c r="T564" s="117"/>
      <c r="U564" s="235"/>
      <c r="V564" s="117"/>
      <c r="W564" s="117"/>
      <c r="X564" s="117"/>
      <c r="Y564" s="117"/>
      <c r="Z564" s="117"/>
      <c r="AA564" s="44"/>
      <c r="AB564" s="117"/>
      <c r="AC564" s="44"/>
      <c r="AD564" s="117"/>
    </row>
    <row r="565" spans="1:30" ht="14.25" customHeight="1">
      <c r="A565" s="189"/>
      <c r="B565" s="189"/>
      <c r="C565" s="44"/>
      <c r="D565" s="117"/>
      <c r="E565" s="44"/>
      <c r="F565" s="44"/>
      <c r="G565" s="117"/>
      <c r="H565" s="117"/>
      <c r="I565" s="117"/>
      <c r="J565" s="117"/>
      <c r="K565" s="117"/>
      <c r="L565" s="117"/>
      <c r="M565" s="117"/>
      <c r="N565" s="117"/>
      <c r="O565" s="117"/>
      <c r="P565" s="117"/>
      <c r="Q565" s="117"/>
      <c r="R565" s="117"/>
      <c r="S565" s="117"/>
      <c r="T565" s="117"/>
      <c r="U565" s="235"/>
      <c r="V565" s="117"/>
      <c r="W565" s="117"/>
      <c r="X565" s="117"/>
      <c r="Y565" s="117"/>
      <c r="Z565" s="117"/>
      <c r="AA565" s="44"/>
      <c r="AB565" s="117"/>
      <c r="AC565" s="44"/>
      <c r="AD565" s="117"/>
    </row>
    <row r="566" spans="1:30" ht="14.25" customHeight="1">
      <c r="A566" s="189"/>
      <c r="B566" s="189"/>
      <c r="C566" s="44"/>
      <c r="D566" s="117"/>
      <c r="E566" s="44"/>
      <c r="F566" s="44"/>
      <c r="G566" s="117"/>
      <c r="H566" s="117"/>
      <c r="I566" s="117"/>
      <c r="J566" s="117"/>
      <c r="K566" s="117"/>
      <c r="L566" s="117"/>
      <c r="M566" s="117"/>
      <c r="N566" s="117"/>
      <c r="O566" s="117"/>
      <c r="P566" s="117"/>
      <c r="Q566" s="117"/>
      <c r="R566" s="117"/>
      <c r="S566" s="117"/>
      <c r="T566" s="117"/>
      <c r="U566" s="235"/>
      <c r="V566" s="117"/>
      <c r="W566" s="117"/>
      <c r="X566" s="117"/>
      <c r="Y566" s="117"/>
      <c r="Z566" s="117"/>
      <c r="AA566" s="44"/>
      <c r="AB566" s="117"/>
      <c r="AC566" s="44"/>
      <c r="AD566" s="117"/>
    </row>
    <row r="567" spans="1:30" ht="14.25" customHeight="1">
      <c r="A567" s="189"/>
      <c r="B567" s="189"/>
      <c r="C567" s="44"/>
      <c r="D567" s="117"/>
      <c r="E567" s="44"/>
      <c r="F567" s="44"/>
      <c r="G567" s="117"/>
      <c r="H567" s="117"/>
      <c r="I567" s="117"/>
      <c r="J567" s="117"/>
      <c r="K567" s="117"/>
      <c r="L567" s="117"/>
      <c r="M567" s="117"/>
      <c r="N567" s="117"/>
      <c r="O567" s="117"/>
      <c r="P567" s="117"/>
      <c r="Q567" s="117"/>
      <c r="R567" s="117"/>
      <c r="S567" s="117"/>
      <c r="T567" s="117"/>
      <c r="U567" s="235"/>
      <c r="V567" s="117"/>
      <c r="W567" s="117"/>
      <c r="X567" s="117"/>
      <c r="Y567" s="117"/>
      <c r="Z567" s="117"/>
      <c r="AA567" s="44"/>
      <c r="AB567" s="117"/>
      <c r="AC567" s="44"/>
      <c r="AD567" s="117"/>
    </row>
    <row r="568" spans="1:30" ht="14.25" customHeight="1">
      <c r="A568" s="189"/>
      <c r="B568" s="189"/>
      <c r="C568" s="44"/>
      <c r="D568" s="117"/>
      <c r="E568" s="44"/>
      <c r="F568" s="44"/>
      <c r="G568" s="117"/>
      <c r="H568" s="117"/>
      <c r="I568" s="117"/>
      <c r="J568" s="117"/>
      <c r="K568" s="117"/>
      <c r="L568" s="117"/>
      <c r="M568" s="117"/>
      <c r="N568" s="117"/>
      <c r="O568" s="117"/>
      <c r="P568" s="117"/>
      <c r="Q568" s="117"/>
      <c r="R568" s="117"/>
      <c r="S568" s="117"/>
      <c r="T568" s="117"/>
      <c r="U568" s="235"/>
      <c r="V568" s="117"/>
      <c r="W568" s="117"/>
      <c r="X568" s="117"/>
      <c r="Y568" s="117"/>
      <c r="Z568" s="117"/>
      <c r="AA568" s="44"/>
      <c r="AB568" s="117"/>
      <c r="AC568" s="44"/>
      <c r="AD568" s="117"/>
    </row>
    <row r="569" spans="1:30" ht="14.25" customHeight="1">
      <c r="A569" s="189"/>
      <c r="B569" s="189"/>
      <c r="C569" s="44"/>
      <c r="D569" s="117"/>
      <c r="E569" s="44"/>
      <c r="F569" s="44"/>
      <c r="G569" s="117"/>
      <c r="H569" s="117"/>
      <c r="I569" s="117"/>
      <c r="J569" s="117"/>
      <c r="K569" s="117"/>
      <c r="L569" s="117"/>
      <c r="M569" s="117"/>
      <c r="N569" s="117"/>
      <c r="O569" s="117"/>
      <c r="P569" s="117"/>
      <c r="Q569" s="117"/>
      <c r="R569" s="117"/>
      <c r="S569" s="117"/>
      <c r="T569" s="117"/>
      <c r="U569" s="235"/>
      <c r="V569" s="117"/>
      <c r="W569" s="117"/>
      <c r="X569" s="117"/>
      <c r="Y569" s="117"/>
      <c r="Z569" s="117"/>
      <c r="AA569" s="44"/>
      <c r="AB569" s="117"/>
      <c r="AC569" s="44"/>
      <c r="AD569" s="117"/>
    </row>
    <row r="570" spans="1:30" ht="14.25" customHeight="1">
      <c r="A570" s="189"/>
      <c r="B570" s="189"/>
      <c r="C570" s="44"/>
      <c r="D570" s="117"/>
      <c r="E570" s="44"/>
      <c r="F570" s="44"/>
      <c r="G570" s="117"/>
      <c r="H570" s="117"/>
      <c r="I570" s="117"/>
      <c r="J570" s="117"/>
      <c r="K570" s="117"/>
      <c r="L570" s="117"/>
      <c r="M570" s="117"/>
      <c r="N570" s="117"/>
      <c r="O570" s="117"/>
      <c r="P570" s="117"/>
      <c r="Q570" s="117"/>
      <c r="R570" s="117"/>
      <c r="S570" s="117"/>
      <c r="T570" s="117"/>
      <c r="U570" s="235"/>
      <c r="V570" s="117"/>
      <c r="W570" s="117"/>
      <c r="X570" s="117"/>
      <c r="Y570" s="117"/>
      <c r="Z570" s="117"/>
      <c r="AA570" s="44"/>
      <c r="AB570" s="117"/>
      <c r="AC570" s="44"/>
      <c r="AD570" s="117"/>
    </row>
    <row r="571" spans="1:30" ht="14.25" customHeight="1">
      <c r="A571" s="189"/>
      <c r="B571" s="189"/>
      <c r="C571" s="44"/>
      <c r="D571" s="117"/>
      <c r="E571" s="44"/>
      <c r="F571" s="44"/>
      <c r="G571" s="117"/>
      <c r="H571" s="117"/>
      <c r="I571" s="117"/>
      <c r="J571" s="117"/>
      <c r="K571" s="117"/>
      <c r="L571" s="117"/>
      <c r="M571" s="117"/>
      <c r="N571" s="117"/>
      <c r="O571" s="117"/>
      <c r="P571" s="117"/>
      <c r="Q571" s="117"/>
      <c r="R571" s="117"/>
      <c r="S571" s="117"/>
      <c r="T571" s="117"/>
      <c r="U571" s="235"/>
      <c r="V571" s="117"/>
      <c r="W571" s="117"/>
      <c r="X571" s="117"/>
      <c r="Y571" s="117"/>
      <c r="Z571" s="117"/>
      <c r="AA571" s="44"/>
      <c r="AB571" s="117"/>
      <c r="AC571" s="44"/>
      <c r="AD571" s="117"/>
    </row>
    <row r="572" spans="1:30" ht="14.25" customHeight="1">
      <c r="A572" s="189"/>
      <c r="B572" s="189"/>
      <c r="C572" s="44"/>
      <c r="D572" s="117"/>
      <c r="E572" s="44"/>
      <c r="F572" s="44"/>
      <c r="G572" s="117"/>
      <c r="H572" s="117"/>
      <c r="I572" s="117"/>
      <c r="J572" s="117"/>
      <c r="K572" s="117"/>
      <c r="L572" s="117"/>
      <c r="M572" s="117"/>
      <c r="N572" s="117"/>
      <c r="O572" s="117"/>
      <c r="P572" s="117"/>
      <c r="Q572" s="117"/>
      <c r="R572" s="117"/>
      <c r="S572" s="117"/>
      <c r="T572" s="117"/>
      <c r="U572" s="235"/>
      <c r="V572" s="117"/>
      <c r="W572" s="117"/>
      <c r="X572" s="117"/>
      <c r="Y572" s="117"/>
      <c r="Z572" s="117"/>
      <c r="AA572" s="44"/>
      <c r="AB572" s="117"/>
      <c r="AC572" s="44"/>
      <c r="AD572" s="117"/>
    </row>
    <row r="573" spans="1:30" ht="14.25" customHeight="1">
      <c r="A573" s="189"/>
      <c r="B573" s="189"/>
      <c r="C573" s="44"/>
      <c r="D573" s="117"/>
      <c r="E573" s="44"/>
      <c r="F573" s="44"/>
      <c r="G573" s="117"/>
      <c r="H573" s="117"/>
      <c r="I573" s="117"/>
      <c r="J573" s="117"/>
      <c r="K573" s="117"/>
      <c r="L573" s="117"/>
      <c r="M573" s="117"/>
      <c r="N573" s="117"/>
      <c r="O573" s="117"/>
      <c r="P573" s="117"/>
      <c r="Q573" s="117"/>
      <c r="R573" s="117"/>
      <c r="S573" s="117"/>
      <c r="T573" s="117"/>
      <c r="U573" s="235"/>
      <c r="V573" s="117"/>
      <c r="W573" s="117"/>
      <c r="X573" s="117"/>
      <c r="Y573" s="117"/>
      <c r="Z573" s="117"/>
      <c r="AA573" s="44"/>
      <c r="AB573" s="117"/>
      <c r="AC573" s="44"/>
      <c r="AD573" s="117"/>
    </row>
    <row r="574" spans="1:30" ht="14.25" customHeight="1">
      <c r="A574" s="189"/>
      <c r="B574" s="189"/>
      <c r="C574" s="44"/>
      <c r="D574" s="117"/>
      <c r="E574" s="44"/>
      <c r="F574" s="44"/>
      <c r="G574" s="117"/>
      <c r="H574" s="117"/>
      <c r="I574" s="117"/>
      <c r="J574" s="117"/>
      <c r="K574" s="117"/>
      <c r="L574" s="117"/>
      <c r="M574" s="117"/>
      <c r="N574" s="117"/>
      <c r="O574" s="117"/>
      <c r="P574" s="117"/>
      <c r="Q574" s="117"/>
      <c r="R574" s="117"/>
      <c r="S574" s="117"/>
      <c r="T574" s="117"/>
      <c r="U574" s="235"/>
      <c r="V574" s="117"/>
      <c r="W574" s="117"/>
      <c r="X574" s="117"/>
      <c r="Y574" s="117"/>
      <c r="Z574" s="117"/>
      <c r="AA574" s="44"/>
      <c r="AB574" s="117"/>
      <c r="AC574" s="44"/>
      <c r="AD574" s="117"/>
    </row>
    <row r="575" spans="1:30" ht="14.25" customHeight="1">
      <c r="A575" s="189"/>
      <c r="B575" s="189"/>
      <c r="C575" s="44"/>
      <c r="D575" s="117"/>
      <c r="E575" s="44"/>
      <c r="F575" s="44"/>
      <c r="G575" s="117"/>
      <c r="H575" s="117"/>
      <c r="I575" s="117"/>
      <c r="J575" s="117"/>
      <c r="K575" s="117"/>
      <c r="L575" s="117"/>
      <c r="M575" s="117"/>
      <c r="N575" s="117"/>
      <c r="O575" s="117"/>
      <c r="P575" s="117"/>
      <c r="Q575" s="117"/>
      <c r="R575" s="117"/>
      <c r="S575" s="117"/>
      <c r="T575" s="117"/>
      <c r="U575" s="235"/>
      <c r="V575" s="117"/>
      <c r="W575" s="117"/>
      <c r="X575" s="117"/>
      <c r="Y575" s="117"/>
      <c r="Z575" s="117"/>
      <c r="AA575" s="44"/>
      <c r="AB575" s="117"/>
      <c r="AC575" s="44"/>
      <c r="AD575" s="117"/>
    </row>
    <row r="576" spans="1:30" ht="14.25" customHeight="1">
      <c r="A576" s="189"/>
      <c r="B576" s="189"/>
      <c r="C576" s="44"/>
      <c r="D576" s="117"/>
      <c r="E576" s="44"/>
      <c r="F576" s="44"/>
      <c r="G576" s="117"/>
      <c r="H576" s="117"/>
      <c r="I576" s="117"/>
      <c r="J576" s="117"/>
      <c r="K576" s="117"/>
      <c r="L576" s="117"/>
      <c r="M576" s="117"/>
      <c r="N576" s="117"/>
      <c r="O576" s="117"/>
      <c r="P576" s="117"/>
      <c r="Q576" s="117"/>
      <c r="R576" s="117"/>
      <c r="S576" s="117"/>
      <c r="T576" s="117"/>
      <c r="U576" s="235"/>
      <c r="V576" s="117"/>
      <c r="W576" s="117"/>
      <c r="X576" s="117"/>
      <c r="Y576" s="117"/>
      <c r="Z576" s="117"/>
      <c r="AA576" s="44"/>
      <c r="AB576" s="117"/>
      <c r="AC576" s="44"/>
      <c r="AD576" s="117"/>
    </row>
    <row r="577" spans="1:30" ht="14.25" customHeight="1">
      <c r="A577" s="189"/>
      <c r="B577" s="189"/>
      <c r="C577" s="44"/>
      <c r="D577" s="117"/>
      <c r="E577" s="44"/>
      <c r="F577" s="44"/>
      <c r="G577" s="117"/>
      <c r="H577" s="117"/>
      <c r="I577" s="117"/>
      <c r="J577" s="117"/>
      <c r="K577" s="117"/>
      <c r="L577" s="117"/>
      <c r="M577" s="117"/>
      <c r="N577" s="117"/>
      <c r="O577" s="117"/>
      <c r="P577" s="117"/>
      <c r="Q577" s="117"/>
      <c r="R577" s="117"/>
      <c r="S577" s="117"/>
      <c r="T577" s="117"/>
      <c r="U577" s="235"/>
      <c r="V577" s="117"/>
      <c r="W577" s="117"/>
      <c r="X577" s="117"/>
      <c r="Y577" s="117"/>
      <c r="Z577" s="117"/>
      <c r="AA577" s="44"/>
      <c r="AB577" s="117"/>
      <c r="AC577" s="44"/>
      <c r="AD577" s="117"/>
    </row>
    <row r="578" spans="1:30" ht="14.25" customHeight="1">
      <c r="A578" s="189"/>
      <c r="B578" s="189"/>
      <c r="C578" s="44"/>
      <c r="D578" s="117"/>
      <c r="E578" s="44"/>
      <c r="F578" s="44"/>
      <c r="G578" s="117"/>
      <c r="H578" s="117"/>
      <c r="I578" s="117"/>
      <c r="J578" s="117"/>
      <c r="K578" s="117"/>
      <c r="L578" s="117"/>
      <c r="M578" s="117"/>
      <c r="N578" s="117"/>
      <c r="O578" s="117"/>
      <c r="P578" s="117"/>
      <c r="Q578" s="117"/>
      <c r="R578" s="117"/>
      <c r="S578" s="117"/>
      <c r="T578" s="117"/>
      <c r="U578" s="235"/>
      <c r="V578" s="117"/>
      <c r="W578" s="117"/>
      <c r="X578" s="117"/>
      <c r="Y578" s="117"/>
      <c r="Z578" s="117"/>
      <c r="AA578" s="44"/>
      <c r="AB578" s="117"/>
      <c r="AC578" s="44"/>
      <c r="AD578" s="117"/>
    </row>
    <row r="579" spans="1:30" ht="14.25" customHeight="1">
      <c r="A579" s="189"/>
      <c r="B579" s="189"/>
      <c r="C579" s="44"/>
      <c r="D579" s="117"/>
      <c r="E579" s="44"/>
      <c r="F579" s="44"/>
      <c r="G579" s="117"/>
      <c r="H579" s="117"/>
      <c r="I579" s="117"/>
      <c r="J579" s="117"/>
      <c r="K579" s="117"/>
      <c r="L579" s="117"/>
      <c r="M579" s="117"/>
      <c r="N579" s="117"/>
      <c r="O579" s="117"/>
      <c r="P579" s="117"/>
      <c r="Q579" s="117"/>
      <c r="R579" s="117"/>
      <c r="S579" s="117"/>
      <c r="T579" s="117"/>
      <c r="U579" s="235"/>
      <c r="V579" s="117"/>
      <c r="W579" s="117"/>
      <c r="X579" s="117"/>
      <c r="Y579" s="117"/>
      <c r="Z579" s="117"/>
      <c r="AA579" s="44"/>
      <c r="AB579" s="117"/>
      <c r="AC579" s="44"/>
      <c r="AD579" s="117"/>
    </row>
    <row r="580" spans="1:30" ht="14.25" customHeight="1">
      <c r="A580" s="189"/>
      <c r="B580" s="189"/>
      <c r="C580" s="44"/>
      <c r="D580" s="117"/>
      <c r="E580" s="44"/>
      <c r="F580" s="44"/>
      <c r="G580" s="117"/>
      <c r="H580" s="117"/>
      <c r="I580" s="117"/>
      <c r="J580" s="117"/>
      <c r="K580" s="117"/>
      <c r="L580" s="117"/>
      <c r="M580" s="117"/>
      <c r="N580" s="117"/>
      <c r="O580" s="117"/>
      <c r="P580" s="117"/>
      <c r="Q580" s="117"/>
      <c r="R580" s="117"/>
      <c r="S580" s="117"/>
      <c r="T580" s="117"/>
      <c r="U580" s="235"/>
      <c r="V580" s="117"/>
      <c r="W580" s="117"/>
      <c r="X580" s="117"/>
      <c r="Y580" s="117"/>
      <c r="Z580" s="117"/>
      <c r="AA580" s="44"/>
      <c r="AB580" s="117"/>
      <c r="AC580" s="44"/>
      <c r="AD580" s="117"/>
    </row>
    <row r="581" spans="1:30" ht="14.25" customHeight="1">
      <c r="A581" s="189"/>
      <c r="B581" s="189"/>
      <c r="C581" s="44"/>
      <c r="D581" s="117"/>
      <c r="E581" s="44"/>
      <c r="F581" s="44"/>
      <c r="G581" s="117"/>
      <c r="H581" s="117"/>
      <c r="I581" s="117"/>
      <c r="J581" s="117"/>
      <c r="K581" s="117"/>
      <c r="L581" s="117"/>
      <c r="M581" s="117"/>
      <c r="N581" s="117"/>
      <c r="O581" s="117"/>
      <c r="P581" s="117"/>
      <c r="Q581" s="117"/>
      <c r="R581" s="117"/>
      <c r="S581" s="117"/>
      <c r="T581" s="117"/>
      <c r="U581" s="235"/>
      <c r="V581" s="117"/>
      <c r="W581" s="117"/>
      <c r="X581" s="117"/>
      <c r="Y581" s="117"/>
      <c r="Z581" s="117"/>
      <c r="AA581" s="44"/>
      <c r="AB581" s="117"/>
      <c r="AC581" s="44"/>
      <c r="AD581" s="117"/>
    </row>
    <row r="582" spans="1:30" ht="14.25" customHeight="1">
      <c r="A582" s="189"/>
      <c r="B582" s="189"/>
      <c r="C582" s="44"/>
      <c r="D582" s="117"/>
      <c r="E582" s="44"/>
      <c r="F582" s="44"/>
      <c r="G582" s="117"/>
      <c r="H582" s="117"/>
      <c r="I582" s="117"/>
      <c r="J582" s="117"/>
      <c r="K582" s="117"/>
      <c r="L582" s="117"/>
      <c r="M582" s="117"/>
      <c r="N582" s="117"/>
      <c r="O582" s="117"/>
      <c r="P582" s="117"/>
      <c r="Q582" s="117"/>
      <c r="R582" s="117"/>
      <c r="S582" s="117"/>
      <c r="T582" s="117"/>
      <c r="U582" s="235"/>
      <c r="V582" s="117"/>
      <c r="W582" s="117"/>
      <c r="X582" s="117"/>
      <c r="Y582" s="117"/>
      <c r="Z582" s="117"/>
      <c r="AA582" s="44"/>
      <c r="AB582" s="117"/>
      <c r="AC582" s="44"/>
      <c r="AD582" s="117"/>
    </row>
    <row r="583" spans="1:30" ht="14.25" customHeight="1">
      <c r="A583" s="189"/>
      <c r="B583" s="189"/>
      <c r="C583" s="44"/>
      <c r="D583" s="117"/>
      <c r="E583" s="44"/>
      <c r="F583" s="44"/>
      <c r="G583" s="117"/>
      <c r="H583" s="117"/>
      <c r="I583" s="117"/>
      <c r="J583" s="117"/>
      <c r="K583" s="117"/>
      <c r="L583" s="117"/>
      <c r="M583" s="117"/>
      <c r="N583" s="117"/>
      <c r="O583" s="117"/>
      <c r="P583" s="117"/>
      <c r="Q583" s="117"/>
      <c r="R583" s="117"/>
      <c r="S583" s="117"/>
      <c r="T583" s="117"/>
      <c r="U583" s="235"/>
      <c r="V583" s="117"/>
      <c r="W583" s="117"/>
      <c r="X583" s="117"/>
      <c r="Y583" s="117"/>
      <c r="Z583" s="117"/>
      <c r="AA583" s="44"/>
      <c r="AB583" s="117"/>
      <c r="AC583" s="44"/>
      <c r="AD583" s="117"/>
    </row>
    <row r="584" spans="1:30" ht="14.25" customHeight="1">
      <c r="A584" s="189"/>
      <c r="B584" s="189"/>
      <c r="C584" s="44"/>
      <c r="D584" s="117"/>
      <c r="E584" s="44"/>
      <c r="F584" s="44"/>
      <c r="G584" s="117"/>
      <c r="H584" s="117"/>
      <c r="I584" s="117"/>
      <c r="J584" s="117"/>
      <c r="K584" s="117"/>
      <c r="L584" s="117"/>
      <c r="M584" s="117"/>
      <c r="N584" s="117"/>
      <c r="O584" s="117"/>
      <c r="P584" s="117"/>
      <c r="Q584" s="117"/>
      <c r="R584" s="117"/>
      <c r="S584" s="117"/>
      <c r="T584" s="117"/>
      <c r="U584" s="235"/>
      <c r="V584" s="117"/>
      <c r="W584" s="117"/>
      <c r="X584" s="117"/>
      <c r="Y584" s="117"/>
      <c r="Z584" s="117"/>
      <c r="AA584" s="44"/>
      <c r="AB584" s="117"/>
      <c r="AC584" s="44"/>
      <c r="AD584" s="117"/>
    </row>
    <row r="585" spans="1:30" ht="14.25" customHeight="1">
      <c r="A585" s="189"/>
      <c r="B585" s="189"/>
      <c r="C585" s="44"/>
      <c r="D585" s="117"/>
      <c r="E585" s="44"/>
      <c r="F585" s="44"/>
      <c r="G585" s="117"/>
      <c r="H585" s="117"/>
      <c r="I585" s="117"/>
      <c r="J585" s="117"/>
      <c r="K585" s="117"/>
      <c r="L585" s="117"/>
      <c r="M585" s="117"/>
      <c r="N585" s="117"/>
      <c r="O585" s="117"/>
      <c r="P585" s="117"/>
      <c r="Q585" s="117"/>
      <c r="R585" s="117"/>
      <c r="S585" s="117"/>
      <c r="T585" s="117"/>
      <c r="U585" s="235"/>
      <c r="V585" s="117"/>
      <c r="W585" s="117"/>
      <c r="X585" s="117"/>
      <c r="Y585" s="117"/>
      <c r="Z585" s="117"/>
      <c r="AA585" s="44"/>
      <c r="AB585" s="117"/>
      <c r="AC585" s="44"/>
      <c r="AD585" s="117"/>
    </row>
    <row r="586" spans="1:30" ht="14.25" customHeight="1">
      <c r="A586" s="189"/>
      <c r="B586" s="189"/>
      <c r="C586" s="44"/>
      <c r="D586" s="117"/>
      <c r="E586" s="44"/>
      <c r="F586" s="44"/>
      <c r="G586" s="117"/>
      <c r="H586" s="117"/>
      <c r="I586" s="117"/>
      <c r="J586" s="117"/>
      <c r="K586" s="117"/>
      <c r="L586" s="117"/>
      <c r="M586" s="117"/>
      <c r="N586" s="117"/>
      <c r="O586" s="117"/>
      <c r="P586" s="117"/>
      <c r="Q586" s="117"/>
      <c r="R586" s="117"/>
      <c r="S586" s="117"/>
      <c r="T586" s="117"/>
      <c r="U586" s="235"/>
      <c r="V586" s="117"/>
      <c r="W586" s="117"/>
      <c r="X586" s="117"/>
      <c r="Y586" s="117"/>
      <c r="Z586" s="117"/>
      <c r="AA586" s="44"/>
      <c r="AB586" s="117"/>
      <c r="AC586" s="44"/>
      <c r="AD586" s="117"/>
    </row>
    <row r="587" spans="1:30" ht="14.25" customHeight="1">
      <c r="A587" s="189"/>
      <c r="B587" s="189"/>
      <c r="C587" s="44"/>
      <c r="D587" s="117"/>
      <c r="E587" s="44"/>
      <c r="F587" s="44"/>
      <c r="G587" s="117"/>
      <c r="H587" s="117"/>
      <c r="I587" s="117"/>
      <c r="J587" s="117"/>
      <c r="K587" s="117"/>
      <c r="L587" s="117"/>
      <c r="M587" s="117"/>
      <c r="N587" s="117"/>
      <c r="O587" s="117"/>
      <c r="P587" s="117"/>
      <c r="Q587" s="117"/>
      <c r="R587" s="117"/>
      <c r="S587" s="117"/>
      <c r="T587" s="117"/>
      <c r="U587" s="235"/>
      <c r="V587" s="117"/>
      <c r="W587" s="117"/>
      <c r="X587" s="117"/>
      <c r="Y587" s="117"/>
      <c r="Z587" s="117"/>
      <c r="AA587" s="44"/>
      <c r="AB587" s="117"/>
      <c r="AC587" s="44"/>
      <c r="AD587" s="117"/>
    </row>
    <row r="588" spans="1:30" ht="14.25" customHeight="1">
      <c r="A588" s="189"/>
      <c r="B588" s="189"/>
      <c r="C588" s="44"/>
      <c r="D588" s="117"/>
      <c r="E588" s="44"/>
      <c r="F588" s="44"/>
      <c r="G588" s="117"/>
      <c r="H588" s="117"/>
      <c r="I588" s="117"/>
      <c r="J588" s="117"/>
      <c r="K588" s="117"/>
      <c r="L588" s="117"/>
      <c r="M588" s="117"/>
      <c r="N588" s="117"/>
      <c r="O588" s="117"/>
      <c r="P588" s="117"/>
      <c r="Q588" s="117"/>
      <c r="R588" s="117"/>
      <c r="S588" s="117"/>
      <c r="T588" s="117"/>
      <c r="U588" s="235"/>
      <c r="V588" s="117"/>
      <c r="W588" s="117"/>
      <c r="X588" s="117"/>
      <c r="Y588" s="117"/>
      <c r="Z588" s="117"/>
      <c r="AA588" s="44"/>
      <c r="AB588" s="117"/>
      <c r="AC588" s="44"/>
      <c r="AD588" s="117"/>
    </row>
    <row r="589" spans="1:30" ht="14.25" customHeight="1">
      <c r="A589" s="189"/>
      <c r="B589" s="189"/>
      <c r="C589" s="44"/>
      <c r="D589" s="117"/>
      <c r="E589" s="44"/>
      <c r="F589" s="44"/>
      <c r="G589" s="117"/>
      <c r="H589" s="117"/>
      <c r="I589" s="117"/>
      <c r="J589" s="117"/>
      <c r="K589" s="117"/>
      <c r="L589" s="117"/>
      <c r="M589" s="117"/>
      <c r="N589" s="117"/>
      <c r="O589" s="117"/>
      <c r="P589" s="117"/>
      <c r="Q589" s="117"/>
      <c r="R589" s="117"/>
      <c r="S589" s="117"/>
      <c r="T589" s="117"/>
      <c r="U589" s="235"/>
      <c r="V589" s="117"/>
      <c r="W589" s="117"/>
      <c r="X589" s="117"/>
      <c r="Y589" s="117"/>
      <c r="Z589" s="117"/>
      <c r="AA589" s="44"/>
      <c r="AB589" s="117"/>
      <c r="AC589" s="44"/>
      <c r="AD589" s="117"/>
    </row>
    <row r="590" spans="1:30" ht="14.25" customHeight="1">
      <c r="A590" s="189"/>
      <c r="B590" s="189"/>
      <c r="C590" s="44"/>
      <c r="D590" s="117"/>
      <c r="E590" s="44"/>
      <c r="F590" s="44"/>
      <c r="G590" s="117"/>
      <c r="H590" s="117"/>
      <c r="I590" s="117"/>
      <c r="J590" s="117"/>
      <c r="K590" s="117"/>
      <c r="L590" s="117"/>
      <c r="M590" s="117"/>
      <c r="N590" s="117"/>
      <c r="O590" s="117"/>
      <c r="P590" s="117"/>
      <c r="Q590" s="117"/>
      <c r="R590" s="117"/>
      <c r="S590" s="117"/>
      <c r="T590" s="117"/>
      <c r="U590" s="235"/>
      <c r="V590" s="117"/>
      <c r="W590" s="117"/>
      <c r="X590" s="117"/>
      <c r="Y590" s="117"/>
      <c r="Z590" s="117"/>
      <c r="AA590" s="44"/>
      <c r="AB590" s="117"/>
      <c r="AC590" s="44"/>
      <c r="AD590" s="117"/>
    </row>
    <row r="591" spans="1:30" ht="14.25" customHeight="1">
      <c r="A591" s="189"/>
      <c r="B591" s="189"/>
      <c r="C591" s="44"/>
      <c r="D591" s="117"/>
      <c r="E591" s="44"/>
      <c r="F591" s="44"/>
      <c r="G591" s="117"/>
      <c r="H591" s="117"/>
      <c r="I591" s="117"/>
      <c r="J591" s="117"/>
      <c r="K591" s="117"/>
      <c r="L591" s="117"/>
      <c r="M591" s="117"/>
      <c r="N591" s="117"/>
      <c r="O591" s="117"/>
      <c r="P591" s="117"/>
      <c r="Q591" s="117"/>
      <c r="R591" s="117"/>
      <c r="S591" s="117"/>
      <c r="T591" s="117"/>
      <c r="U591" s="235"/>
      <c r="V591" s="117"/>
      <c r="W591" s="117"/>
      <c r="X591" s="117"/>
      <c r="Y591" s="117"/>
      <c r="Z591" s="117"/>
      <c r="AA591" s="44"/>
      <c r="AB591" s="117"/>
      <c r="AC591" s="44"/>
      <c r="AD591" s="117"/>
    </row>
    <row r="592" spans="1:30" ht="14.25" customHeight="1">
      <c r="A592" s="189"/>
      <c r="B592" s="189"/>
      <c r="C592" s="44"/>
      <c r="D592" s="117"/>
      <c r="E592" s="44"/>
      <c r="F592" s="44"/>
      <c r="G592" s="117"/>
      <c r="H592" s="117"/>
      <c r="I592" s="117"/>
      <c r="J592" s="117"/>
      <c r="K592" s="117"/>
      <c r="L592" s="117"/>
      <c r="M592" s="117"/>
      <c r="N592" s="117"/>
      <c r="O592" s="117"/>
      <c r="P592" s="117"/>
      <c r="Q592" s="117"/>
      <c r="R592" s="117"/>
      <c r="S592" s="117"/>
      <c r="T592" s="117"/>
      <c r="U592" s="235"/>
      <c r="V592" s="117"/>
      <c r="W592" s="117"/>
      <c r="X592" s="117"/>
      <c r="Y592" s="117"/>
      <c r="Z592" s="117"/>
      <c r="AA592" s="44"/>
      <c r="AB592" s="117"/>
      <c r="AC592" s="44"/>
      <c r="AD592" s="117"/>
    </row>
    <row r="593" spans="1:30" ht="14.25" customHeight="1">
      <c r="A593" s="189"/>
      <c r="B593" s="189"/>
      <c r="C593" s="44"/>
      <c r="D593" s="117"/>
      <c r="E593" s="44"/>
      <c r="F593" s="44"/>
      <c r="G593" s="117"/>
      <c r="H593" s="117"/>
      <c r="I593" s="117"/>
      <c r="J593" s="117"/>
      <c r="K593" s="117"/>
      <c r="L593" s="117"/>
      <c r="M593" s="117"/>
      <c r="N593" s="117"/>
      <c r="O593" s="117"/>
      <c r="P593" s="117"/>
      <c r="Q593" s="117"/>
      <c r="R593" s="117"/>
      <c r="S593" s="117"/>
      <c r="T593" s="117"/>
      <c r="U593" s="235"/>
      <c r="V593" s="117"/>
      <c r="W593" s="117"/>
      <c r="X593" s="117"/>
      <c r="Y593" s="117"/>
      <c r="Z593" s="117"/>
      <c r="AA593" s="44"/>
      <c r="AB593" s="117"/>
      <c r="AC593" s="44"/>
      <c r="AD593" s="117"/>
    </row>
    <row r="594" spans="1:30" ht="14.25" customHeight="1">
      <c r="A594" s="189"/>
      <c r="B594" s="189"/>
      <c r="C594" s="44"/>
      <c r="D594" s="117"/>
      <c r="E594" s="44"/>
      <c r="F594" s="44"/>
      <c r="G594" s="117"/>
      <c r="H594" s="117"/>
      <c r="I594" s="117"/>
      <c r="J594" s="117"/>
      <c r="K594" s="117"/>
      <c r="L594" s="117"/>
      <c r="M594" s="117"/>
      <c r="N594" s="117"/>
      <c r="O594" s="117"/>
      <c r="P594" s="117"/>
      <c r="Q594" s="117"/>
      <c r="R594" s="117"/>
      <c r="S594" s="117"/>
      <c r="T594" s="117"/>
      <c r="U594" s="235"/>
      <c r="V594" s="117"/>
      <c r="W594" s="117"/>
      <c r="X594" s="117"/>
      <c r="Y594" s="117"/>
      <c r="Z594" s="117"/>
      <c r="AA594" s="44"/>
      <c r="AB594" s="117"/>
      <c r="AC594" s="44"/>
      <c r="AD594" s="117"/>
    </row>
    <row r="595" spans="1:30" ht="14.25" customHeight="1">
      <c r="A595" s="189"/>
      <c r="B595" s="189"/>
      <c r="C595" s="44"/>
      <c r="D595" s="117"/>
      <c r="E595" s="44"/>
      <c r="F595" s="44"/>
      <c r="G595" s="117"/>
      <c r="H595" s="117"/>
      <c r="I595" s="117"/>
      <c r="J595" s="117"/>
      <c r="K595" s="117"/>
      <c r="L595" s="117"/>
      <c r="M595" s="117"/>
      <c r="N595" s="117"/>
      <c r="O595" s="117"/>
      <c r="P595" s="117"/>
      <c r="Q595" s="117"/>
      <c r="R595" s="117"/>
      <c r="S595" s="117"/>
      <c r="T595" s="117"/>
      <c r="U595" s="235"/>
      <c r="V595" s="117"/>
      <c r="W595" s="117"/>
      <c r="X595" s="117"/>
      <c r="Y595" s="117"/>
      <c r="Z595" s="117"/>
      <c r="AA595" s="44"/>
      <c r="AB595" s="117"/>
      <c r="AC595" s="44"/>
      <c r="AD595" s="117"/>
    </row>
    <row r="596" spans="1:30" ht="14.25" customHeight="1">
      <c r="A596" s="189"/>
      <c r="B596" s="189"/>
      <c r="C596" s="44"/>
      <c r="D596" s="117"/>
      <c r="E596" s="44"/>
      <c r="F596" s="44"/>
      <c r="G596" s="117"/>
      <c r="H596" s="117"/>
      <c r="I596" s="117"/>
      <c r="J596" s="117"/>
      <c r="K596" s="117"/>
      <c r="L596" s="117"/>
      <c r="M596" s="117"/>
      <c r="N596" s="117"/>
      <c r="O596" s="117"/>
      <c r="P596" s="117"/>
      <c r="Q596" s="117"/>
      <c r="R596" s="117"/>
      <c r="S596" s="117"/>
      <c r="T596" s="117"/>
      <c r="U596" s="235"/>
      <c r="V596" s="117"/>
      <c r="W596" s="117"/>
      <c r="X596" s="117"/>
      <c r="Y596" s="117"/>
      <c r="Z596" s="117"/>
      <c r="AA596" s="44"/>
      <c r="AB596" s="117"/>
      <c r="AC596" s="44"/>
      <c r="AD596" s="117"/>
    </row>
    <row r="597" spans="1:30" ht="14.25" customHeight="1">
      <c r="A597" s="189"/>
      <c r="B597" s="189"/>
      <c r="C597" s="44"/>
      <c r="D597" s="117"/>
      <c r="E597" s="44"/>
      <c r="F597" s="44"/>
      <c r="G597" s="117"/>
      <c r="H597" s="117"/>
      <c r="I597" s="117"/>
      <c r="J597" s="117"/>
      <c r="K597" s="117"/>
      <c r="L597" s="117"/>
      <c r="M597" s="117"/>
      <c r="N597" s="117"/>
      <c r="O597" s="117"/>
      <c r="P597" s="117"/>
      <c r="Q597" s="117"/>
      <c r="R597" s="117"/>
      <c r="S597" s="117"/>
      <c r="T597" s="117"/>
      <c r="U597" s="235"/>
      <c r="V597" s="117"/>
      <c r="W597" s="117"/>
      <c r="X597" s="117"/>
      <c r="Y597" s="117"/>
      <c r="Z597" s="117"/>
      <c r="AA597" s="44"/>
      <c r="AB597" s="117"/>
      <c r="AC597" s="44"/>
      <c r="AD597" s="117"/>
    </row>
    <row r="598" spans="1:30" ht="14.25" customHeight="1">
      <c r="A598" s="189"/>
      <c r="B598" s="189"/>
      <c r="C598" s="44"/>
      <c r="D598" s="117"/>
      <c r="E598" s="44"/>
      <c r="F598" s="44"/>
      <c r="G598" s="117"/>
      <c r="H598" s="117"/>
      <c r="I598" s="117"/>
      <c r="J598" s="117"/>
      <c r="K598" s="117"/>
      <c r="L598" s="117"/>
      <c r="M598" s="117"/>
      <c r="N598" s="117"/>
      <c r="O598" s="117"/>
      <c r="P598" s="117"/>
      <c r="Q598" s="117"/>
      <c r="R598" s="117"/>
      <c r="S598" s="117"/>
      <c r="T598" s="117"/>
      <c r="U598" s="235"/>
      <c r="V598" s="117"/>
      <c r="W598" s="117"/>
      <c r="X598" s="117"/>
      <c r="Y598" s="117"/>
      <c r="Z598" s="117"/>
      <c r="AA598" s="44"/>
      <c r="AB598" s="117"/>
      <c r="AC598" s="44"/>
      <c r="AD598" s="117"/>
    </row>
    <row r="599" spans="1:30" ht="14.25" customHeight="1">
      <c r="A599" s="189"/>
      <c r="B599" s="189"/>
      <c r="C599" s="44"/>
      <c r="D599" s="117"/>
      <c r="E599" s="44"/>
      <c r="F599" s="44"/>
      <c r="G599" s="117"/>
      <c r="H599" s="117"/>
      <c r="I599" s="117"/>
      <c r="J599" s="117"/>
      <c r="K599" s="117"/>
      <c r="L599" s="117"/>
      <c r="M599" s="117"/>
      <c r="N599" s="117"/>
      <c r="O599" s="117"/>
      <c r="P599" s="117"/>
      <c r="Q599" s="117"/>
      <c r="R599" s="117"/>
      <c r="S599" s="117"/>
      <c r="T599" s="117"/>
      <c r="U599" s="235"/>
      <c r="V599" s="117"/>
      <c r="W599" s="117"/>
      <c r="X599" s="117"/>
      <c r="Y599" s="117"/>
      <c r="Z599" s="117"/>
      <c r="AA599" s="44"/>
      <c r="AB599" s="117"/>
      <c r="AC599" s="44"/>
      <c r="AD599" s="117"/>
    </row>
    <row r="600" spans="1:30" ht="14.25" customHeight="1">
      <c r="A600" s="189"/>
      <c r="B600" s="189"/>
      <c r="C600" s="44"/>
      <c r="D600" s="117"/>
      <c r="E600" s="44"/>
      <c r="F600" s="44"/>
      <c r="G600" s="117"/>
      <c r="H600" s="117"/>
      <c r="I600" s="117"/>
      <c r="J600" s="117"/>
      <c r="K600" s="117"/>
      <c r="L600" s="117"/>
      <c r="M600" s="117"/>
      <c r="N600" s="117"/>
      <c r="O600" s="117"/>
      <c r="P600" s="117"/>
      <c r="Q600" s="117"/>
      <c r="R600" s="117"/>
      <c r="S600" s="117"/>
      <c r="T600" s="117"/>
      <c r="U600" s="235"/>
      <c r="V600" s="117"/>
      <c r="W600" s="117"/>
      <c r="X600" s="117"/>
      <c r="Y600" s="117"/>
      <c r="Z600" s="117"/>
      <c r="AA600" s="44"/>
      <c r="AB600" s="117"/>
      <c r="AC600" s="44"/>
      <c r="AD600" s="117"/>
    </row>
    <row r="601" spans="1:30" ht="14.25" customHeight="1">
      <c r="A601" s="189"/>
      <c r="B601" s="189"/>
      <c r="C601" s="44"/>
      <c r="D601" s="117"/>
      <c r="E601" s="44"/>
      <c r="F601" s="44"/>
      <c r="G601" s="117"/>
      <c r="H601" s="117"/>
      <c r="I601" s="117"/>
      <c r="J601" s="117"/>
      <c r="K601" s="117"/>
      <c r="L601" s="117"/>
      <c r="M601" s="117"/>
      <c r="N601" s="117"/>
      <c r="O601" s="117"/>
      <c r="P601" s="117"/>
      <c r="Q601" s="117"/>
      <c r="R601" s="117"/>
      <c r="S601" s="117"/>
      <c r="T601" s="117"/>
      <c r="U601" s="235"/>
      <c r="V601" s="117"/>
      <c r="W601" s="117"/>
      <c r="X601" s="117"/>
      <c r="Y601" s="117"/>
      <c r="Z601" s="117"/>
      <c r="AA601" s="44"/>
      <c r="AB601" s="117"/>
      <c r="AC601" s="44"/>
      <c r="AD601" s="117"/>
    </row>
    <row r="602" spans="1:30" ht="14.25" customHeight="1">
      <c r="A602" s="189"/>
      <c r="B602" s="189"/>
      <c r="C602" s="44"/>
      <c r="D602" s="117"/>
      <c r="E602" s="44"/>
      <c r="F602" s="44"/>
      <c r="G602" s="117"/>
      <c r="H602" s="117"/>
      <c r="I602" s="117"/>
      <c r="J602" s="117"/>
      <c r="K602" s="117"/>
      <c r="L602" s="117"/>
      <c r="M602" s="117"/>
      <c r="N602" s="117"/>
      <c r="O602" s="117"/>
      <c r="P602" s="117"/>
      <c r="Q602" s="117"/>
      <c r="R602" s="117"/>
      <c r="S602" s="117"/>
      <c r="T602" s="117"/>
      <c r="U602" s="235"/>
      <c r="V602" s="117"/>
      <c r="W602" s="117"/>
      <c r="X602" s="117"/>
      <c r="Y602" s="117"/>
      <c r="Z602" s="117"/>
      <c r="AA602" s="44"/>
      <c r="AB602" s="117"/>
      <c r="AC602" s="44"/>
      <c r="AD602" s="117"/>
    </row>
    <row r="603" spans="1:30" ht="14.25" customHeight="1">
      <c r="A603" s="189"/>
      <c r="B603" s="189"/>
      <c r="C603" s="44"/>
      <c r="D603" s="117"/>
      <c r="E603" s="44"/>
      <c r="F603" s="44"/>
      <c r="G603" s="117"/>
      <c r="H603" s="117"/>
      <c r="I603" s="117"/>
      <c r="J603" s="117"/>
      <c r="K603" s="117"/>
      <c r="L603" s="117"/>
      <c r="M603" s="117"/>
      <c r="N603" s="117"/>
      <c r="O603" s="117"/>
      <c r="P603" s="117"/>
      <c r="Q603" s="117"/>
      <c r="R603" s="117"/>
      <c r="S603" s="117"/>
      <c r="T603" s="117"/>
      <c r="U603" s="235"/>
      <c r="V603" s="117"/>
      <c r="W603" s="117"/>
      <c r="X603" s="117"/>
      <c r="Y603" s="117"/>
      <c r="Z603" s="117"/>
      <c r="AA603" s="44"/>
      <c r="AB603" s="117"/>
      <c r="AC603" s="44"/>
      <c r="AD603" s="117"/>
    </row>
    <row r="604" spans="1:30" ht="14.25" customHeight="1">
      <c r="A604" s="189"/>
      <c r="B604" s="189"/>
      <c r="C604" s="44"/>
      <c r="D604" s="117"/>
      <c r="E604" s="44"/>
      <c r="F604" s="44"/>
      <c r="G604" s="117"/>
      <c r="H604" s="117"/>
      <c r="I604" s="117"/>
      <c r="J604" s="117"/>
      <c r="K604" s="117"/>
      <c r="L604" s="117"/>
      <c r="M604" s="117"/>
      <c r="N604" s="117"/>
      <c r="O604" s="117"/>
      <c r="P604" s="117"/>
      <c r="Q604" s="117"/>
      <c r="R604" s="117"/>
      <c r="S604" s="117"/>
      <c r="T604" s="117"/>
      <c r="U604" s="235"/>
      <c r="V604" s="117"/>
      <c r="W604" s="117"/>
      <c r="X604" s="117"/>
      <c r="Y604" s="117"/>
      <c r="Z604" s="117"/>
      <c r="AA604" s="44"/>
      <c r="AB604" s="117"/>
      <c r="AC604" s="44"/>
      <c r="AD604" s="117"/>
    </row>
    <row r="605" spans="1:30" ht="14.25" customHeight="1">
      <c r="A605" s="189"/>
      <c r="B605" s="189"/>
      <c r="C605" s="44"/>
      <c r="D605" s="117"/>
      <c r="E605" s="44"/>
      <c r="F605" s="44"/>
      <c r="G605" s="117"/>
      <c r="H605" s="117"/>
      <c r="I605" s="117"/>
      <c r="J605" s="117"/>
      <c r="K605" s="117"/>
      <c r="L605" s="117"/>
      <c r="M605" s="117"/>
      <c r="N605" s="117"/>
      <c r="O605" s="117"/>
      <c r="P605" s="117"/>
      <c r="Q605" s="117"/>
      <c r="R605" s="117"/>
      <c r="S605" s="117"/>
      <c r="T605" s="117"/>
      <c r="U605" s="235"/>
      <c r="V605" s="117"/>
      <c r="W605" s="117"/>
      <c r="X605" s="117"/>
      <c r="Y605" s="117"/>
      <c r="Z605" s="117"/>
      <c r="AA605" s="44"/>
      <c r="AB605" s="117"/>
      <c r="AC605" s="44"/>
      <c r="AD605" s="117"/>
    </row>
    <row r="606" spans="1:30" ht="14.25" customHeight="1">
      <c r="A606" s="189"/>
      <c r="B606" s="189"/>
      <c r="C606" s="44"/>
      <c r="D606" s="117"/>
      <c r="E606" s="44"/>
      <c r="F606" s="44"/>
      <c r="G606" s="117"/>
      <c r="H606" s="117"/>
      <c r="I606" s="117"/>
      <c r="J606" s="117"/>
      <c r="K606" s="117"/>
      <c r="L606" s="117"/>
      <c r="M606" s="117"/>
      <c r="N606" s="117"/>
      <c r="O606" s="117"/>
      <c r="P606" s="117"/>
      <c r="Q606" s="117"/>
      <c r="R606" s="117"/>
      <c r="S606" s="117"/>
      <c r="T606" s="117"/>
      <c r="U606" s="235"/>
      <c r="V606" s="117"/>
      <c r="W606" s="117"/>
      <c r="X606" s="117"/>
      <c r="Y606" s="117"/>
      <c r="Z606" s="117"/>
      <c r="AA606" s="44"/>
      <c r="AB606" s="117"/>
      <c r="AC606" s="44"/>
      <c r="AD606" s="117"/>
    </row>
    <row r="607" spans="1:30" ht="14.25" customHeight="1">
      <c r="A607" s="189"/>
      <c r="B607" s="189"/>
      <c r="C607" s="44"/>
      <c r="D607" s="117"/>
      <c r="E607" s="44"/>
      <c r="F607" s="44"/>
      <c r="G607" s="117"/>
      <c r="H607" s="117"/>
      <c r="I607" s="117"/>
      <c r="J607" s="117"/>
      <c r="K607" s="117"/>
      <c r="L607" s="117"/>
      <c r="M607" s="117"/>
      <c r="N607" s="117"/>
      <c r="O607" s="117"/>
      <c r="P607" s="117"/>
      <c r="Q607" s="117"/>
      <c r="R607" s="117"/>
      <c r="S607" s="117"/>
      <c r="T607" s="117"/>
      <c r="U607" s="235"/>
      <c r="V607" s="117"/>
      <c r="W607" s="117"/>
      <c r="X607" s="117"/>
      <c r="Y607" s="117"/>
      <c r="Z607" s="117"/>
      <c r="AA607" s="44"/>
      <c r="AB607" s="117"/>
      <c r="AC607" s="44"/>
      <c r="AD607" s="117"/>
    </row>
    <row r="608" spans="1:30" ht="14.25" customHeight="1">
      <c r="A608" s="189"/>
      <c r="B608" s="189"/>
      <c r="C608" s="44"/>
      <c r="D608" s="117"/>
      <c r="E608" s="44"/>
      <c r="F608" s="44"/>
      <c r="G608" s="117"/>
      <c r="H608" s="117"/>
      <c r="I608" s="117"/>
      <c r="J608" s="117"/>
      <c r="K608" s="117"/>
      <c r="L608" s="117"/>
      <c r="M608" s="117"/>
      <c r="N608" s="117"/>
      <c r="O608" s="117"/>
      <c r="P608" s="117"/>
      <c r="Q608" s="117"/>
      <c r="R608" s="117"/>
      <c r="S608" s="117"/>
      <c r="T608" s="117"/>
      <c r="U608" s="235"/>
      <c r="V608" s="117"/>
      <c r="W608" s="117"/>
      <c r="X608" s="117"/>
      <c r="Y608" s="117"/>
      <c r="Z608" s="117"/>
      <c r="AA608" s="44"/>
      <c r="AB608" s="117"/>
      <c r="AC608" s="44"/>
      <c r="AD608" s="117"/>
    </row>
    <row r="609" spans="1:30" ht="14.25" customHeight="1">
      <c r="A609" s="189"/>
      <c r="B609" s="189"/>
      <c r="C609" s="44"/>
      <c r="D609" s="117"/>
      <c r="E609" s="44"/>
      <c r="F609" s="44"/>
      <c r="G609" s="117"/>
      <c r="H609" s="117"/>
      <c r="I609" s="117"/>
      <c r="J609" s="117"/>
      <c r="K609" s="117"/>
      <c r="L609" s="117"/>
      <c r="M609" s="117"/>
      <c r="N609" s="117"/>
      <c r="O609" s="117"/>
      <c r="P609" s="117"/>
      <c r="Q609" s="117"/>
      <c r="R609" s="117"/>
      <c r="S609" s="117"/>
      <c r="T609" s="117"/>
      <c r="U609" s="235"/>
      <c r="V609" s="117"/>
      <c r="W609" s="117"/>
      <c r="X609" s="117"/>
      <c r="Y609" s="117"/>
      <c r="Z609" s="117"/>
      <c r="AA609" s="44"/>
      <c r="AB609" s="117"/>
      <c r="AC609" s="44"/>
      <c r="AD609" s="117"/>
    </row>
    <row r="610" spans="1:30" ht="14.25" customHeight="1">
      <c r="A610" s="189"/>
      <c r="B610" s="189"/>
      <c r="C610" s="44"/>
      <c r="D610" s="117"/>
      <c r="E610" s="44"/>
      <c r="F610" s="44"/>
      <c r="G610" s="117"/>
      <c r="H610" s="117"/>
      <c r="I610" s="117"/>
      <c r="J610" s="117"/>
      <c r="K610" s="117"/>
      <c r="L610" s="117"/>
      <c r="M610" s="117"/>
      <c r="N610" s="117"/>
      <c r="O610" s="117"/>
      <c r="P610" s="117"/>
      <c r="Q610" s="117"/>
      <c r="R610" s="117"/>
      <c r="S610" s="117"/>
      <c r="T610" s="117"/>
      <c r="U610" s="235"/>
      <c r="V610" s="117"/>
      <c r="W610" s="117"/>
      <c r="X610" s="117"/>
      <c r="Y610" s="117"/>
      <c r="Z610" s="117"/>
      <c r="AA610" s="44"/>
      <c r="AB610" s="117"/>
      <c r="AC610" s="44"/>
      <c r="AD610" s="117"/>
    </row>
    <row r="611" spans="1:30" ht="14.25" customHeight="1">
      <c r="A611" s="189"/>
      <c r="B611" s="189"/>
      <c r="C611" s="44"/>
      <c r="D611" s="117"/>
      <c r="E611" s="44"/>
      <c r="F611" s="44"/>
      <c r="G611" s="117"/>
      <c r="H611" s="117"/>
      <c r="I611" s="117"/>
      <c r="J611" s="117"/>
      <c r="K611" s="117"/>
      <c r="L611" s="117"/>
      <c r="M611" s="117"/>
      <c r="N611" s="117"/>
      <c r="O611" s="117"/>
      <c r="P611" s="117"/>
      <c r="Q611" s="117"/>
      <c r="R611" s="117"/>
      <c r="S611" s="117"/>
      <c r="T611" s="117"/>
      <c r="U611" s="235"/>
      <c r="V611" s="117"/>
      <c r="W611" s="117"/>
      <c r="X611" s="117"/>
      <c r="Y611" s="117"/>
      <c r="Z611" s="117"/>
      <c r="AA611" s="44"/>
      <c r="AB611" s="117"/>
      <c r="AC611" s="44"/>
      <c r="AD611" s="117"/>
    </row>
    <row r="612" spans="1:30" ht="14.25" customHeight="1">
      <c r="A612" s="189"/>
      <c r="B612" s="189"/>
      <c r="C612" s="44"/>
      <c r="D612" s="117"/>
      <c r="E612" s="44"/>
      <c r="F612" s="44"/>
      <c r="G612" s="117"/>
      <c r="H612" s="117"/>
      <c r="I612" s="117"/>
      <c r="J612" s="117"/>
      <c r="K612" s="117"/>
      <c r="L612" s="117"/>
      <c r="M612" s="117"/>
      <c r="N612" s="117"/>
      <c r="O612" s="117"/>
      <c r="P612" s="117"/>
      <c r="Q612" s="117"/>
      <c r="R612" s="117"/>
      <c r="S612" s="117"/>
      <c r="T612" s="117"/>
      <c r="U612" s="235"/>
      <c r="V612" s="117"/>
      <c r="W612" s="117"/>
      <c r="X612" s="117"/>
      <c r="Y612" s="117"/>
      <c r="Z612" s="117"/>
      <c r="AA612" s="44"/>
      <c r="AB612" s="117"/>
      <c r="AC612" s="44"/>
      <c r="AD612" s="117"/>
    </row>
    <row r="613" spans="1:30" ht="14.25" customHeight="1">
      <c r="A613" s="189"/>
      <c r="B613" s="189"/>
      <c r="C613" s="44"/>
      <c r="D613" s="117"/>
      <c r="E613" s="44"/>
      <c r="F613" s="44"/>
      <c r="G613" s="117"/>
      <c r="H613" s="117"/>
      <c r="I613" s="117"/>
      <c r="J613" s="117"/>
      <c r="K613" s="117"/>
      <c r="L613" s="117"/>
      <c r="M613" s="117"/>
      <c r="N613" s="117"/>
      <c r="O613" s="117"/>
      <c r="P613" s="117"/>
      <c r="Q613" s="117"/>
      <c r="R613" s="117"/>
      <c r="S613" s="117"/>
      <c r="T613" s="117"/>
      <c r="U613" s="235"/>
      <c r="V613" s="117"/>
      <c r="W613" s="117"/>
      <c r="X613" s="117"/>
      <c r="Y613" s="117"/>
      <c r="Z613" s="117"/>
      <c r="AA613" s="44"/>
      <c r="AB613" s="117"/>
      <c r="AC613" s="44"/>
      <c r="AD613" s="117"/>
    </row>
    <row r="614" spans="1:30" ht="14.25" customHeight="1">
      <c r="A614" s="189"/>
      <c r="B614" s="189"/>
      <c r="C614" s="44"/>
      <c r="D614" s="117"/>
      <c r="E614" s="44"/>
      <c r="F614" s="44"/>
      <c r="G614" s="117"/>
      <c r="H614" s="117"/>
      <c r="I614" s="117"/>
      <c r="J614" s="117"/>
      <c r="K614" s="117"/>
      <c r="L614" s="117"/>
      <c r="M614" s="117"/>
      <c r="N614" s="117"/>
      <c r="O614" s="117"/>
      <c r="P614" s="117"/>
      <c r="Q614" s="117"/>
      <c r="R614" s="117"/>
      <c r="S614" s="117"/>
      <c r="T614" s="117"/>
      <c r="U614" s="235"/>
      <c r="V614" s="117"/>
      <c r="W614" s="117"/>
      <c r="X614" s="117"/>
      <c r="Y614" s="117"/>
      <c r="Z614" s="117"/>
      <c r="AA614" s="44"/>
      <c r="AB614" s="117"/>
      <c r="AC614" s="44"/>
      <c r="AD614" s="117"/>
    </row>
    <row r="615" spans="1:30" ht="14.25" customHeight="1">
      <c r="A615" s="189"/>
      <c r="B615" s="189"/>
      <c r="C615" s="44"/>
      <c r="D615" s="117"/>
      <c r="E615" s="44"/>
      <c r="F615" s="44"/>
      <c r="G615" s="117"/>
      <c r="H615" s="117"/>
      <c r="I615" s="117"/>
      <c r="J615" s="117"/>
      <c r="K615" s="117"/>
      <c r="L615" s="117"/>
      <c r="M615" s="117"/>
      <c r="N615" s="117"/>
      <c r="O615" s="117"/>
      <c r="P615" s="117"/>
      <c r="Q615" s="117"/>
      <c r="R615" s="117"/>
      <c r="S615" s="117"/>
      <c r="T615" s="117"/>
      <c r="U615" s="235"/>
      <c r="V615" s="117"/>
      <c r="W615" s="117"/>
      <c r="X615" s="117"/>
      <c r="Y615" s="117"/>
      <c r="Z615" s="117"/>
      <c r="AA615" s="44"/>
      <c r="AB615" s="117"/>
      <c r="AC615" s="44"/>
      <c r="AD615" s="117"/>
    </row>
    <row r="616" spans="1:30" ht="14.25" customHeight="1">
      <c r="A616" s="189"/>
      <c r="B616" s="189"/>
      <c r="C616" s="44"/>
      <c r="D616" s="117"/>
      <c r="E616" s="44"/>
      <c r="F616" s="44"/>
      <c r="G616" s="117"/>
      <c r="H616" s="117"/>
      <c r="I616" s="117"/>
      <c r="J616" s="117"/>
      <c r="K616" s="117"/>
      <c r="L616" s="117"/>
      <c r="M616" s="117"/>
      <c r="N616" s="117"/>
      <c r="O616" s="117"/>
      <c r="P616" s="117"/>
      <c r="Q616" s="117"/>
      <c r="R616" s="117"/>
      <c r="S616" s="117"/>
      <c r="T616" s="117"/>
      <c r="U616" s="235"/>
      <c r="V616" s="117"/>
      <c r="W616" s="117"/>
      <c r="X616" s="117"/>
      <c r="Y616" s="117"/>
      <c r="Z616" s="117"/>
      <c r="AA616" s="44"/>
      <c r="AB616" s="117"/>
      <c r="AC616" s="44"/>
      <c r="AD616" s="117"/>
    </row>
    <row r="617" spans="1:30" ht="14.25" customHeight="1">
      <c r="A617" s="189"/>
      <c r="B617" s="189"/>
      <c r="C617" s="44"/>
      <c r="D617" s="117"/>
      <c r="E617" s="44"/>
      <c r="F617" s="44"/>
      <c r="G617" s="117"/>
      <c r="H617" s="117"/>
      <c r="I617" s="117"/>
      <c r="J617" s="117"/>
      <c r="K617" s="117"/>
      <c r="L617" s="117"/>
      <c r="M617" s="117"/>
      <c r="N617" s="117"/>
      <c r="O617" s="117"/>
      <c r="P617" s="117"/>
      <c r="Q617" s="117"/>
      <c r="R617" s="117"/>
      <c r="S617" s="117"/>
      <c r="T617" s="117"/>
      <c r="U617" s="235"/>
      <c r="V617" s="117"/>
      <c r="W617" s="117"/>
      <c r="X617" s="117"/>
      <c r="Y617" s="117"/>
      <c r="Z617" s="117"/>
      <c r="AA617" s="44"/>
      <c r="AB617" s="117"/>
      <c r="AC617" s="44"/>
      <c r="AD617" s="117"/>
    </row>
    <row r="618" spans="1:30" ht="14.25" customHeight="1">
      <c r="A618" s="189"/>
      <c r="B618" s="189"/>
      <c r="C618" s="44"/>
      <c r="D618" s="117"/>
      <c r="E618" s="44"/>
      <c r="F618" s="44"/>
      <c r="G618" s="117"/>
      <c r="H618" s="117"/>
      <c r="I618" s="117"/>
      <c r="J618" s="117"/>
      <c r="K618" s="117"/>
      <c r="L618" s="117"/>
      <c r="M618" s="117"/>
      <c r="N618" s="117"/>
      <c r="O618" s="117"/>
      <c r="P618" s="117"/>
      <c r="Q618" s="117"/>
      <c r="R618" s="117"/>
      <c r="S618" s="117"/>
      <c r="T618" s="117"/>
      <c r="U618" s="235"/>
      <c r="V618" s="117"/>
      <c r="W618" s="117"/>
      <c r="X618" s="117"/>
      <c r="Y618" s="117"/>
      <c r="Z618" s="117"/>
      <c r="AA618" s="44"/>
      <c r="AB618" s="117"/>
      <c r="AC618" s="44"/>
      <c r="AD618" s="117"/>
    </row>
    <row r="619" spans="1:30" ht="14.25" customHeight="1">
      <c r="A619" s="189"/>
      <c r="B619" s="189"/>
      <c r="C619" s="44"/>
      <c r="D619" s="117"/>
      <c r="E619" s="44"/>
      <c r="F619" s="44"/>
      <c r="G619" s="117"/>
      <c r="H619" s="117"/>
      <c r="I619" s="117"/>
      <c r="J619" s="117"/>
      <c r="K619" s="117"/>
      <c r="L619" s="117"/>
      <c r="M619" s="117"/>
      <c r="N619" s="117"/>
      <c r="O619" s="117"/>
      <c r="P619" s="117"/>
      <c r="Q619" s="117"/>
      <c r="R619" s="117"/>
      <c r="S619" s="117"/>
      <c r="T619" s="117"/>
      <c r="U619" s="235"/>
      <c r="V619" s="117"/>
      <c r="W619" s="117"/>
      <c r="X619" s="117"/>
      <c r="Y619" s="117"/>
      <c r="Z619" s="117"/>
      <c r="AA619" s="44"/>
      <c r="AB619" s="117"/>
      <c r="AC619" s="44"/>
      <c r="AD619" s="117"/>
    </row>
    <row r="620" spans="1:30" ht="14.25" customHeight="1">
      <c r="A620" s="189"/>
      <c r="B620" s="189"/>
      <c r="C620" s="44"/>
      <c r="D620" s="117"/>
      <c r="E620" s="44"/>
      <c r="F620" s="44"/>
      <c r="G620" s="117"/>
      <c r="H620" s="117"/>
      <c r="I620" s="117"/>
      <c r="J620" s="117"/>
      <c r="K620" s="117"/>
      <c r="L620" s="117"/>
      <c r="M620" s="117"/>
      <c r="N620" s="117"/>
      <c r="O620" s="117"/>
      <c r="P620" s="117"/>
      <c r="Q620" s="117"/>
      <c r="R620" s="117"/>
      <c r="S620" s="117"/>
      <c r="T620" s="117"/>
      <c r="U620" s="235"/>
      <c r="V620" s="117"/>
      <c r="W620" s="117"/>
      <c r="X620" s="117"/>
      <c r="Y620" s="117"/>
      <c r="Z620" s="117"/>
      <c r="AA620" s="44"/>
      <c r="AB620" s="117"/>
      <c r="AC620" s="44"/>
      <c r="AD620" s="117"/>
    </row>
    <row r="621" spans="1:30" ht="14.25" customHeight="1">
      <c r="A621" s="189"/>
      <c r="B621" s="189"/>
      <c r="C621" s="44"/>
      <c r="D621" s="117"/>
      <c r="E621" s="44"/>
      <c r="F621" s="44"/>
      <c r="G621" s="117"/>
      <c r="H621" s="117"/>
      <c r="I621" s="117"/>
      <c r="J621" s="117"/>
      <c r="K621" s="117"/>
      <c r="L621" s="117"/>
      <c r="M621" s="117"/>
      <c r="N621" s="117"/>
      <c r="O621" s="117"/>
      <c r="P621" s="117"/>
      <c r="Q621" s="117"/>
      <c r="R621" s="117"/>
      <c r="S621" s="117"/>
      <c r="T621" s="117"/>
      <c r="U621" s="235"/>
      <c r="V621" s="117"/>
      <c r="W621" s="117"/>
      <c r="X621" s="117"/>
      <c r="Y621" s="117"/>
      <c r="Z621" s="117"/>
      <c r="AA621" s="44"/>
      <c r="AB621" s="117"/>
      <c r="AC621" s="44"/>
      <c r="AD621" s="117"/>
    </row>
    <row r="622" spans="1:30" ht="14.25" customHeight="1">
      <c r="A622" s="189"/>
      <c r="B622" s="189"/>
      <c r="C622" s="44"/>
      <c r="D622" s="117"/>
      <c r="E622" s="44"/>
      <c r="F622" s="44"/>
      <c r="G622" s="117"/>
      <c r="H622" s="117"/>
      <c r="I622" s="117"/>
      <c r="J622" s="117"/>
      <c r="K622" s="117"/>
      <c r="L622" s="117"/>
      <c r="M622" s="117"/>
      <c r="N622" s="117"/>
      <c r="O622" s="117"/>
      <c r="P622" s="117"/>
      <c r="Q622" s="117"/>
      <c r="R622" s="117"/>
      <c r="S622" s="117"/>
      <c r="T622" s="117"/>
      <c r="U622" s="235"/>
      <c r="V622" s="117"/>
      <c r="W622" s="117"/>
      <c r="X622" s="117"/>
      <c r="Y622" s="117"/>
      <c r="Z622" s="117"/>
      <c r="AA622" s="44"/>
      <c r="AB622" s="117"/>
      <c r="AC622" s="44"/>
      <c r="AD622" s="117"/>
    </row>
    <row r="623" spans="1:30" ht="14.25" customHeight="1">
      <c r="A623" s="189"/>
      <c r="B623" s="189"/>
      <c r="C623" s="44"/>
      <c r="D623" s="117"/>
      <c r="E623" s="44"/>
      <c r="F623" s="44"/>
      <c r="G623" s="117"/>
      <c r="H623" s="117"/>
      <c r="I623" s="117"/>
      <c r="J623" s="117"/>
      <c r="K623" s="117"/>
      <c r="L623" s="117"/>
      <c r="M623" s="117"/>
      <c r="N623" s="117"/>
      <c r="O623" s="117"/>
      <c r="P623" s="117"/>
      <c r="Q623" s="117"/>
      <c r="R623" s="117"/>
      <c r="S623" s="117"/>
      <c r="T623" s="117"/>
      <c r="U623" s="235"/>
      <c r="V623" s="117"/>
      <c r="W623" s="117"/>
      <c r="X623" s="117"/>
      <c r="Y623" s="117"/>
      <c r="Z623" s="117"/>
      <c r="AA623" s="44"/>
      <c r="AB623" s="117"/>
      <c r="AC623" s="44"/>
      <c r="AD623" s="117"/>
    </row>
    <row r="624" spans="1:30" ht="14.25" customHeight="1">
      <c r="A624" s="189"/>
      <c r="B624" s="189"/>
      <c r="C624" s="44"/>
      <c r="D624" s="117"/>
      <c r="E624" s="44"/>
      <c r="F624" s="44"/>
      <c r="G624" s="117"/>
      <c r="H624" s="117"/>
      <c r="I624" s="117"/>
      <c r="J624" s="117"/>
      <c r="K624" s="117"/>
      <c r="L624" s="117"/>
      <c r="M624" s="117"/>
      <c r="N624" s="117"/>
      <c r="O624" s="117"/>
      <c r="P624" s="117"/>
      <c r="Q624" s="117"/>
      <c r="R624" s="117"/>
      <c r="S624" s="117"/>
      <c r="T624" s="117"/>
      <c r="U624" s="235"/>
      <c r="V624" s="117"/>
      <c r="W624" s="117"/>
      <c r="X624" s="117"/>
      <c r="Y624" s="117"/>
      <c r="Z624" s="117"/>
      <c r="AA624" s="44"/>
      <c r="AB624" s="117"/>
      <c r="AC624" s="44"/>
      <c r="AD624" s="117"/>
    </row>
    <row r="625" spans="1:30" ht="14.25" customHeight="1">
      <c r="A625" s="189"/>
      <c r="B625" s="189"/>
      <c r="C625" s="44"/>
      <c r="D625" s="117"/>
      <c r="E625" s="44"/>
      <c r="F625" s="44"/>
      <c r="G625" s="117"/>
      <c r="H625" s="117"/>
      <c r="I625" s="117"/>
      <c r="J625" s="117"/>
      <c r="K625" s="117"/>
      <c r="L625" s="117"/>
      <c r="M625" s="117"/>
      <c r="N625" s="117"/>
      <c r="O625" s="117"/>
      <c r="P625" s="117"/>
      <c r="Q625" s="117"/>
      <c r="R625" s="117"/>
      <c r="S625" s="117"/>
      <c r="T625" s="117"/>
      <c r="U625" s="235"/>
      <c r="V625" s="117"/>
      <c r="W625" s="117"/>
      <c r="X625" s="117"/>
      <c r="Y625" s="117"/>
      <c r="Z625" s="117"/>
      <c r="AA625" s="44"/>
      <c r="AB625" s="117"/>
      <c r="AC625" s="44"/>
      <c r="AD625" s="117"/>
    </row>
    <row r="626" spans="1:30" ht="14.25" customHeight="1">
      <c r="A626" s="189"/>
      <c r="B626" s="189"/>
      <c r="C626" s="44"/>
      <c r="D626" s="117"/>
      <c r="E626" s="44"/>
      <c r="F626" s="44"/>
      <c r="G626" s="117"/>
      <c r="H626" s="117"/>
      <c r="I626" s="117"/>
      <c r="J626" s="117"/>
      <c r="K626" s="117"/>
      <c r="L626" s="117"/>
      <c r="M626" s="117"/>
      <c r="N626" s="117"/>
      <c r="O626" s="117"/>
      <c r="P626" s="117"/>
      <c r="Q626" s="117"/>
      <c r="R626" s="117"/>
      <c r="S626" s="117"/>
      <c r="T626" s="117"/>
      <c r="U626" s="235"/>
      <c r="V626" s="117"/>
      <c r="W626" s="117"/>
      <c r="X626" s="117"/>
      <c r="Y626" s="117"/>
      <c r="Z626" s="117"/>
      <c r="AA626" s="44"/>
      <c r="AB626" s="117"/>
      <c r="AC626" s="44"/>
      <c r="AD626" s="117"/>
    </row>
    <row r="627" spans="1:30" ht="14.25" customHeight="1">
      <c r="A627" s="189"/>
      <c r="B627" s="189"/>
      <c r="C627" s="44"/>
      <c r="D627" s="117"/>
      <c r="E627" s="44"/>
      <c r="F627" s="44"/>
      <c r="G627" s="117"/>
      <c r="H627" s="117"/>
      <c r="I627" s="117"/>
      <c r="J627" s="117"/>
      <c r="K627" s="117"/>
      <c r="L627" s="117"/>
      <c r="M627" s="117"/>
      <c r="N627" s="117"/>
      <c r="O627" s="117"/>
      <c r="P627" s="117"/>
      <c r="Q627" s="117"/>
      <c r="R627" s="117"/>
      <c r="S627" s="117"/>
      <c r="T627" s="117"/>
      <c r="U627" s="235"/>
      <c r="V627" s="117"/>
      <c r="W627" s="117"/>
      <c r="X627" s="117"/>
      <c r="Y627" s="117"/>
      <c r="Z627" s="117"/>
      <c r="AA627" s="44"/>
      <c r="AB627" s="117"/>
      <c r="AC627" s="44"/>
      <c r="AD627" s="117"/>
    </row>
    <row r="628" spans="1:30" ht="14.25" customHeight="1">
      <c r="A628" s="189"/>
      <c r="B628" s="189"/>
      <c r="C628" s="44"/>
      <c r="D628" s="117"/>
      <c r="E628" s="44"/>
      <c r="F628" s="44"/>
      <c r="G628" s="117"/>
      <c r="H628" s="117"/>
      <c r="I628" s="117"/>
      <c r="J628" s="117"/>
      <c r="K628" s="117"/>
      <c r="L628" s="117"/>
      <c r="M628" s="117"/>
      <c r="N628" s="117"/>
      <c r="O628" s="117"/>
      <c r="P628" s="117"/>
      <c r="Q628" s="117"/>
      <c r="R628" s="117"/>
      <c r="S628" s="117"/>
      <c r="T628" s="117"/>
      <c r="U628" s="235"/>
      <c r="V628" s="117"/>
      <c r="W628" s="117"/>
      <c r="X628" s="117"/>
      <c r="Y628" s="117"/>
      <c r="Z628" s="117"/>
      <c r="AA628" s="44"/>
      <c r="AB628" s="117"/>
      <c r="AC628" s="44"/>
      <c r="AD628" s="117"/>
    </row>
    <row r="629" spans="1:30" ht="14.25" customHeight="1">
      <c r="A629" s="189"/>
      <c r="B629" s="189"/>
      <c r="C629" s="44"/>
      <c r="D629" s="117"/>
      <c r="E629" s="44"/>
      <c r="F629" s="44"/>
      <c r="G629" s="117"/>
      <c r="H629" s="117"/>
      <c r="I629" s="117"/>
      <c r="J629" s="117"/>
      <c r="K629" s="117"/>
      <c r="L629" s="117"/>
      <c r="M629" s="117"/>
      <c r="N629" s="117"/>
      <c r="O629" s="117"/>
      <c r="P629" s="117"/>
      <c r="Q629" s="117"/>
      <c r="R629" s="117"/>
      <c r="S629" s="117"/>
      <c r="T629" s="117"/>
      <c r="U629" s="235"/>
      <c r="V629" s="117"/>
      <c r="W629" s="117"/>
      <c r="X629" s="117"/>
      <c r="Y629" s="117"/>
      <c r="Z629" s="117"/>
      <c r="AA629" s="44"/>
      <c r="AB629" s="117"/>
      <c r="AC629" s="44"/>
      <c r="AD629" s="117"/>
    </row>
    <row r="630" spans="1:30" ht="14.25" customHeight="1">
      <c r="A630" s="189"/>
      <c r="B630" s="189"/>
      <c r="C630" s="44"/>
      <c r="D630" s="117"/>
      <c r="E630" s="44"/>
      <c r="F630" s="44"/>
      <c r="G630" s="117"/>
      <c r="H630" s="117"/>
      <c r="I630" s="117"/>
      <c r="J630" s="117"/>
      <c r="K630" s="117"/>
      <c r="L630" s="117"/>
      <c r="M630" s="117"/>
      <c r="N630" s="117"/>
      <c r="O630" s="117"/>
      <c r="P630" s="117"/>
      <c r="Q630" s="117"/>
      <c r="R630" s="117"/>
      <c r="S630" s="117"/>
      <c r="T630" s="117"/>
      <c r="U630" s="235"/>
      <c r="V630" s="117"/>
      <c r="W630" s="117"/>
      <c r="X630" s="117"/>
      <c r="Y630" s="117"/>
      <c r="Z630" s="117"/>
      <c r="AA630" s="44"/>
      <c r="AB630" s="117"/>
      <c r="AC630" s="44"/>
      <c r="AD630" s="117"/>
    </row>
    <row r="631" spans="1:30" ht="14.25" customHeight="1">
      <c r="A631" s="189"/>
      <c r="B631" s="189"/>
      <c r="C631" s="44"/>
      <c r="D631" s="117"/>
      <c r="E631" s="44"/>
      <c r="F631" s="44"/>
      <c r="G631" s="117"/>
      <c r="H631" s="117"/>
      <c r="I631" s="117"/>
      <c r="J631" s="117"/>
      <c r="K631" s="117"/>
      <c r="L631" s="117"/>
      <c r="M631" s="117"/>
      <c r="N631" s="117"/>
      <c r="O631" s="117"/>
      <c r="P631" s="117"/>
      <c r="Q631" s="117"/>
      <c r="R631" s="117"/>
      <c r="S631" s="117"/>
      <c r="T631" s="117"/>
      <c r="U631" s="235"/>
      <c r="V631" s="117"/>
      <c r="W631" s="117"/>
      <c r="X631" s="117"/>
      <c r="Y631" s="117"/>
      <c r="Z631" s="117"/>
      <c r="AA631" s="44"/>
      <c r="AB631" s="117"/>
      <c r="AC631" s="44"/>
      <c r="AD631" s="117"/>
    </row>
    <row r="632" spans="1:30" ht="14.25" customHeight="1">
      <c r="A632" s="189"/>
      <c r="B632" s="189"/>
      <c r="C632" s="44"/>
      <c r="D632" s="117"/>
      <c r="E632" s="44"/>
      <c r="F632" s="44"/>
      <c r="G632" s="117"/>
      <c r="H632" s="117"/>
      <c r="I632" s="117"/>
      <c r="J632" s="117"/>
      <c r="K632" s="117"/>
      <c r="L632" s="117"/>
      <c r="M632" s="117"/>
      <c r="N632" s="117"/>
      <c r="O632" s="117"/>
      <c r="P632" s="117"/>
      <c r="Q632" s="117"/>
      <c r="R632" s="117"/>
      <c r="S632" s="117"/>
      <c r="T632" s="117"/>
      <c r="U632" s="235"/>
      <c r="V632" s="117"/>
      <c r="W632" s="117"/>
      <c r="X632" s="117"/>
      <c r="Y632" s="117"/>
      <c r="Z632" s="117"/>
      <c r="AA632" s="44"/>
      <c r="AB632" s="117"/>
      <c r="AC632" s="44"/>
      <c r="AD632" s="117"/>
    </row>
    <row r="633" spans="1:30" ht="14.25" customHeight="1">
      <c r="A633" s="189"/>
      <c r="B633" s="189"/>
      <c r="C633" s="44"/>
      <c r="D633" s="117"/>
      <c r="E633" s="44"/>
      <c r="F633" s="44"/>
      <c r="G633" s="117"/>
      <c r="H633" s="117"/>
      <c r="I633" s="117"/>
      <c r="J633" s="117"/>
      <c r="K633" s="117"/>
      <c r="L633" s="117"/>
      <c r="M633" s="117"/>
      <c r="N633" s="117"/>
      <c r="O633" s="117"/>
      <c r="P633" s="117"/>
      <c r="Q633" s="117"/>
      <c r="R633" s="117"/>
      <c r="S633" s="117"/>
      <c r="T633" s="117"/>
      <c r="U633" s="235"/>
      <c r="V633" s="117"/>
      <c r="W633" s="117"/>
      <c r="X633" s="117"/>
      <c r="Y633" s="117"/>
      <c r="Z633" s="117"/>
      <c r="AA633" s="44"/>
      <c r="AB633" s="117"/>
      <c r="AC633" s="44"/>
      <c r="AD633" s="117"/>
    </row>
    <row r="634" spans="1:30" ht="14.25" customHeight="1">
      <c r="A634" s="189"/>
      <c r="B634" s="189"/>
      <c r="C634" s="44"/>
      <c r="D634" s="117"/>
      <c r="E634" s="44"/>
      <c r="F634" s="44"/>
      <c r="G634" s="117"/>
      <c r="H634" s="117"/>
      <c r="I634" s="117"/>
      <c r="J634" s="117"/>
      <c r="K634" s="117"/>
      <c r="L634" s="117"/>
      <c r="M634" s="117"/>
      <c r="N634" s="117"/>
      <c r="O634" s="117"/>
      <c r="P634" s="117"/>
      <c r="Q634" s="117"/>
      <c r="R634" s="117"/>
      <c r="S634" s="117"/>
      <c r="T634" s="117"/>
      <c r="U634" s="235"/>
      <c r="V634" s="117"/>
      <c r="W634" s="117"/>
      <c r="X634" s="117"/>
      <c r="Y634" s="117"/>
      <c r="Z634" s="117"/>
      <c r="AA634" s="44"/>
      <c r="AB634" s="117"/>
      <c r="AC634" s="44"/>
      <c r="AD634" s="117"/>
    </row>
    <row r="635" spans="1:30" ht="14.25" customHeight="1">
      <c r="A635" s="189"/>
      <c r="B635" s="189"/>
      <c r="C635" s="44"/>
      <c r="D635" s="117"/>
      <c r="E635" s="44"/>
      <c r="F635" s="44"/>
      <c r="G635" s="117"/>
      <c r="H635" s="117"/>
      <c r="I635" s="117"/>
      <c r="J635" s="117"/>
      <c r="K635" s="117"/>
      <c r="L635" s="117"/>
      <c r="M635" s="117"/>
      <c r="N635" s="117"/>
      <c r="O635" s="117"/>
      <c r="P635" s="117"/>
      <c r="Q635" s="117"/>
      <c r="R635" s="117"/>
      <c r="S635" s="117"/>
      <c r="T635" s="117"/>
      <c r="U635" s="235"/>
      <c r="V635" s="117"/>
      <c r="W635" s="117"/>
      <c r="X635" s="117"/>
      <c r="Y635" s="117"/>
      <c r="Z635" s="117"/>
      <c r="AA635" s="44"/>
      <c r="AB635" s="117"/>
      <c r="AC635" s="44"/>
      <c r="AD635" s="117"/>
    </row>
    <row r="636" spans="1:30" ht="14.25" customHeight="1">
      <c r="A636" s="189"/>
      <c r="B636" s="189"/>
      <c r="C636" s="44"/>
      <c r="D636" s="117"/>
      <c r="E636" s="44"/>
      <c r="F636" s="44"/>
      <c r="G636" s="117"/>
      <c r="H636" s="117"/>
      <c r="I636" s="117"/>
      <c r="J636" s="117"/>
      <c r="K636" s="117"/>
      <c r="L636" s="117"/>
      <c r="M636" s="117"/>
      <c r="N636" s="117"/>
      <c r="O636" s="117"/>
      <c r="P636" s="117"/>
      <c r="Q636" s="117"/>
      <c r="R636" s="117"/>
      <c r="S636" s="117"/>
      <c r="T636" s="117"/>
      <c r="U636" s="235"/>
      <c r="V636" s="117"/>
      <c r="W636" s="117"/>
      <c r="X636" s="117"/>
      <c r="Y636" s="117"/>
      <c r="Z636" s="117"/>
      <c r="AA636" s="44"/>
      <c r="AB636" s="117"/>
      <c r="AC636" s="44"/>
      <c r="AD636" s="117"/>
    </row>
    <row r="637" spans="1:30" ht="14.25" customHeight="1">
      <c r="A637" s="189"/>
      <c r="B637" s="189"/>
      <c r="C637" s="44"/>
      <c r="D637" s="117"/>
      <c r="E637" s="44"/>
      <c r="F637" s="44"/>
      <c r="G637" s="117"/>
      <c r="H637" s="117"/>
      <c r="I637" s="117"/>
      <c r="J637" s="117"/>
      <c r="K637" s="117"/>
      <c r="L637" s="117"/>
      <c r="M637" s="117"/>
      <c r="N637" s="117"/>
      <c r="O637" s="117"/>
      <c r="P637" s="117"/>
      <c r="Q637" s="117"/>
      <c r="R637" s="117"/>
      <c r="S637" s="117"/>
      <c r="T637" s="117"/>
      <c r="U637" s="235"/>
      <c r="V637" s="117"/>
      <c r="W637" s="117"/>
      <c r="X637" s="117"/>
      <c r="Y637" s="117"/>
      <c r="Z637" s="117"/>
      <c r="AA637" s="44"/>
      <c r="AB637" s="117"/>
      <c r="AC637" s="44"/>
      <c r="AD637" s="117"/>
    </row>
    <row r="638" spans="1:30" ht="14.25" customHeight="1">
      <c r="A638" s="189"/>
      <c r="B638" s="189"/>
      <c r="C638" s="44"/>
      <c r="D638" s="117"/>
      <c r="E638" s="44"/>
      <c r="F638" s="44"/>
      <c r="G638" s="117"/>
      <c r="H638" s="117"/>
      <c r="I638" s="117"/>
      <c r="J638" s="117"/>
      <c r="K638" s="117"/>
      <c r="L638" s="117"/>
      <c r="M638" s="117"/>
      <c r="N638" s="117"/>
      <c r="O638" s="117"/>
      <c r="P638" s="117"/>
      <c r="Q638" s="117"/>
      <c r="R638" s="117"/>
      <c r="S638" s="117"/>
      <c r="T638" s="117"/>
      <c r="U638" s="235"/>
      <c r="V638" s="117"/>
      <c r="W638" s="117"/>
      <c r="X638" s="117"/>
      <c r="Y638" s="117"/>
      <c r="Z638" s="117"/>
      <c r="AA638" s="44"/>
      <c r="AB638" s="117"/>
      <c r="AC638" s="44"/>
      <c r="AD638" s="117"/>
    </row>
    <row r="639" spans="1:30" ht="14.25" customHeight="1">
      <c r="A639" s="189"/>
      <c r="B639" s="189"/>
      <c r="C639" s="44"/>
      <c r="D639" s="117"/>
      <c r="E639" s="44"/>
      <c r="F639" s="44"/>
      <c r="G639" s="117"/>
      <c r="H639" s="117"/>
      <c r="I639" s="117"/>
      <c r="J639" s="117"/>
      <c r="K639" s="117"/>
      <c r="L639" s="117"/>
      <c r="M639" s="117"/>
      <c r="N639" s="117"/>
      <c r="O639" s="117"/>
      <c r="P639" s="117"/>
      <c r="Q639" s="117"/>
      <c r="R639" s="117"/>
      <c r="S639" s="117"/>
      <c r="T639" s="117"/>
      <c r="U639" s="235"/>
      <c r="V639" s="117"/>
      <c r="W639" s="117"/>
      <c r="X639" s="117"/>
      <c r="Y639" s="117"/>
      <c r="Z639" s="117"/>
      <c r="AA639" s="44"/>
      <c r="AB639" s="117"/>
      <c r="AC639" s="44"/>
      <c r="AD639" s="117"/>
    </row>
    <row r="640" spans="1:30" ht="14.25" customHeight="1">
      <c r="A640" s="189"/>
      <c r="B640" s="189"/>
      <c r="C640" s="44"/>
      <c r="D640" s="117"/>
      <c r="E640" s="44"/>
      <c r="F640" s="44"/>
      <c r="G640" s="117"/>
      <c r="H640" s="117"/>
      <c r="I640" s="117"/>
      <c r="J640" s="117"/>
      <c r="K640" s="117"/>
      <c r="L640" s="117"/>
      <c r="M640" s="117"/>
      <c r="N640" s="117"/>
      <c r="O640" s="117"/>
      <c r="P640" s="117"/>
      <c r="Q640" s="117"/>
      <c r="R640" s="117"/>
      <c r="S640" s="117"/>
      <c r="T640" s="117"/>
      <c r="U640" s="235"/>
      <c r="V640" s="117"/>
      <c r="W640" s="117"/>
      <c r="X640" s="117"/>
      <c r="Y640" s="117"/>
      <c r="Z640" s="117"/>
      <c r="AA640" s="44"/>
      <c r="AB640" s="117"/>
      <c r="AC640" s="44"/>
      <c r="AD640" s="117"/>
    </row>
    <row r="641" spans="1:30" ht="14.25" customHeight="1">
      <c r="A641" s="189"/>
      <c r="B641" s="189"/>
      <c r="C641" s="44"/>
      <c r="D641" s="117"/>
      <c r="E641" s="44"/>
      <c r="F641" s="44"/>
      <c r="G641" s="117"/>
      <c r="H641" s="117"/>
      <c r="I641" s="117"/>
      <c r="J641" s="117"/>
      <c r="K641" s="117"/>
      <c r="L641" s="117"/>
      <c r="M641" s="117"/>
      <c r="N641" s="117"/>
      <c r="O641" s="117"/>
      <c r="P641" s="117"/>
      <c r="Q641" s="117"/>
      <c r="R641" s="117"/>
      <c r="S641" s="117"/>
      <c r="T641" s="117"/>
      <c r="U641" s="235"/>
      <c r="V641" s="117"/>
      <c r="W641" s="117"/>
      <c r="X641" s="117"/>
      <c r="Y641" s="117"/>
      <c r="Z641" s="117"/>
      <c r="AA641" s="44"/>
      <c r="AB641" s="117"/>
      <c r="AC641" s="44"/>
      <c r="AD641" s="117"/>
    </row>
    <row r="642" spans="1:30" ht="14.25" customHeight="1">
      <c r="A642" s="189"/>
      <c r="B642" s="189"/>
      <c r="C642" s="44"/>
      <c r="D642" s="117"/>
      <c r="E642" s="44"/>
      <c r="F642" s="44"/>
      <c r="G642" s="117"/>
      <c r="H642" s="117"/>
      <c r="I642" s="117"/>
      <c r="J642" s="117"/>
      <c r="K642" s="117"/>
      <c r="L642" s="117"/>
      <c r="M642" s="117"/>
      <c r="N642" s="117"/>
      <c r="O642" s="117"/>
      <c r="P642" s="117"/>
      <c r="Q642" s="117"/>
      <c r="R642" s="117"/>
      <c r="S642" s="117"/>
      <c r="T642" s="117"/>
      <c r="U642" s="235"/>
      <c r="V642" s="117"/>
      <c r="W642" s="117"/>
      <c r="X642" s="117"/>
      <c r="Y642" s="117"/>
      <c r="Z642" s="117"/>
      <c r="AA642" s="44"/>
      <c r="AB642" s="117"/>
      <c r="AC642" s="44"/>
      <c r="AD642" s="117"/>
    </row>
    <row r="643" spans="1:30" ht="14.25" customHeight="1">
      <c r="A643" s="189"/>
      <c r="B643" s="189"/>
      <c r="C643" s="44"/>
      <c r="D643" s="117"/>
      <c r="E643" s="44"/>
      <c r="F643" s="44"/>
      <c r="G643" s="117"/>
      <c r="H643" s="117"/>
      <c r="I643" s="117"/>
      <c r="J643" s="117"/>
      <c r="K643" s="117"/>
      <c r="L643" s="117"/>
      <c r="M643" s="117"/>
      <c r="N643" s="117"/>
      <c r="O643" s="117"/>
      <c r="P643" s="117"/>
      <c r="Q643" s="117"/>
      <c r="R643" s="117"/>
      <c r="S643" s="117"/>
      <c r="T643" s="117"/>
      <c r="U643" s="235"/>
      <c r="V643" s="117"/>
      <c r="W643" s="117"/>
      <c r="X643" s="117"/>
      <c r="Y643" s="117"/>
      <c r="Z643" s="117"/>
      <c r="AA643" s="44"/>
      <c r="AB643" s="117"/>
      <c r="AC643" s="44"/>
      <c r="AD643" s="117"/>
    </row>
    <row r="644" spans="1:30" ht="14.25" customHeight="1">
      <c r="A644" s="189"/>
      <c r="B644" s="189"/>
      <c r="C644" s="44"/>
      <c r="D644" s="117"/>
      <c r="E644" s="44"/>
      <c r="F644" s="44"/>
      <c r="G644" s="117"/>
      <c r="H644" s="117"/>
      <c r="I644" s="117"/>
      <c r="J644" s="117"/>
      <c r="K644" s="117"/>
      <c r="L644" s="117"/>
      <c r="M644" s="117"/>
      <c r="N644" s="117"/>
      <c r="O644" s="117"/>
      <c r="P644" s="117"/>
      <c r="Q644" s="117"/>
      <c r="R644" s="117"/>
      <c r="S644" s="117"/>
      <c r="T644" s="117"/>
      <c r="U644" s="235"/>
      <c r="V644" s="117"/>
      <c r="W644" s="117"/>
      <c r="X644" s="117"/>
      <c r="Y644" s="117"/>
      <c r="Z644" s="117"/>
      <c r="AA644" s="44"/>
      <c r="AB644" s="117"/>
      <c r="AC644" s="44"/>
      <c r="AD644" s="117"/>
    </row>
    <row r="645" spans="1:30" ht="14.25" customHeight="1">
      <c r="A645" s="189"/>
      <c r="B645" s="189"/>
      <c r="C645" s="44"/>
      <c r="D645" s="117"/>
      <c r="E645" s="44"/>
      <c r="F645" s="44"/>
      <c r="G645" s="117"/>
      <c r="H645" s="117"/>
      <c r="I645" s="117"/>
      <c r="J645" s="117"/>
      <c r="K645" s="117"/>
      <c r="L645" s="117"/>
      <c r="M645" s="117"/>
      <c r="N645" s="117"/>
      <c r="O645" s="117"/>
      <c r="P645" s="117"/>
      <c r="Q645" s="117"/>
      <c r="R645" s="117"/>
      <c r="S645" s="117"/>
      <c r="T645" s="117"/>
      <c r="U645" s="235"/>
      <c r="V645" s="117"/>
      <c r="W645" s="117"/>
      <c r="X645" s="117"/>
      <c r="Y645" s="117"/>
      <c r="Z645" s="117"/>
      <c r="AA645" s="44"/>
      <c r="AB645" s="117"/>
      <c r="AC645" s="44"/>
      <c r="AD645" s="117"/>
    </row>
    <row r="646" spans="1:30" ht="14.25" customHeight="1">
      <c r="A646" s="189"/>
      <c r="B646" s="189"/>
      <c r="C646" s="44"/>
      <c r="D646" s="117"/>
      <c r="E646" s="44"/>
      <c r="F646" s="44"/>
      <c r="G646" s="117"/>
      <c r="H646" s="117"/>
      <c r="I646" s="117"/>
      <c r="J646" s="117"/>
      <c r="K646" s="117"/>
      <c r="L646" s="117"/>
      <c r="M646" s="117"/>
      <c r="N646" s="117"/>
      <c r="O646" s="117"/>
      <c r="P646" s="117"/>
      <c r="Q646" s="117"/>
      <c r="R646" s="117"/>
      <c r="S646" s="117"/>
      <c r="T646" s="117"/>
      <c r="U646" s="235"/>
      <c r="V646" s="117"/>
      <c r="W646" s="117"/>
      <c r="X646" s="117"/>
      <c r="Y646" s="117"/>
      <c r="Z646" s="117"/>
      <c r="AA646" s="44"/>
      <c r="AB646" s="117"/>
      <c r="AC646" s="44"/>
      <c r="AD646" s="117"/>
    </row>
    <row r="647" spans="1:30" ht="14.25" customHeight="1">
      <c r="A647" s="189"/>
      <c r="B647" s="189"/>
      <c r="C647" s="44"/>
      <c r="D647" s="117"/>
      <c r="E647" s="44"/>
      <c r="F647" s="44"/>
      <c r="G647" s="117"/>
      <c r="H647" s="117"/>
      <c r="I647" s="117"/>
      <c r="J647" s="117"/>
      <c r="K647" s="117"/>
      <c r="L647" s="117"/>
      <c r="M647" s="117"/>
      <c r="N647" s="117"/>
      <c r="O647" s="117"/>
      <c r="P647" s="117"/>
      <c r="Q647" s="117"/>
      <c r="R647" s="117"/>
      <c r="S647" s="117"/>
      <c r="T647" s="117"/>
      <c r="U647" s="235"/>
      <c r="V647" s="117"/>
      <c r="W647" s="117"/>
      <c r="X647" s="117"/>
      <c r="Y647" s="117"/>
      <c r="Z647" s="117"/>
      <c r="AA647" s="44"/>
      <c r="AB647" s="117"/>
      <c r="AC647" s="44"/>
      <c r="AD647" s="117"/>
    </row>
    <row r="648" spans="1:30" ht="14.25" customHeight="1">
      <c r="A648" s="189"/>
      <c r="B648" s="189"/>
      <c r="C648" s="44"/>
      <c r="D648" s="117"/>
      <c r="E648" s="44"/>
      <c r="F648" s="44"/>
      <c r="G648" s="117"/>
      <c r="H648" s="117"/>
      <c r="I648" s="117"/>
      <c r="J648" s="117"/>
      <c r="K648" s="117"/>
      <c r="L648" s="117"/>
      <c r="M648" s="117"/>
      <c r="N648" s="117"/>
      <c r="O648" s="117"/>
      <c r="P648" s="117"/>
      <c r="Q648" s="117"/>
      <c r="R648" s="117"/>
      <c r="S648" s="117"/>
      <c r="T648" s="117"/>
      <c r="U648" s="235"/>
      <c r="V648" s="117"/>
      <c r="W648" s="117"/>
      <c r="X648" s="117"/>
      <c r="Y648" s="117"/>
      <c r="Z648" s="117"/>
      <c r="AA648" s="44"/>
      <c r="AB648" s="117"/>
      <c r="AC648" s="44"/>
      <c r="AD648" s="117"/>
    </row>
    <row r="649" spans="1:30" ht="14.25" customHeight="1">
      <c r="A649" s="189"/>
      <c r="B649" s="189"/>
      <c r="C649" s="44"/>
      <c r="D649" s="117"/>
      <c r="E649" s="44"/>
      <c r="F649" s="44"/>
      <c r="G649" s="117"/>
      <c r="H649" s="117"/>
      <c r="I649" s="117"/>
      <c r="J649" s="117"/>
      <c r="K649" s="117"/>
      <c r="L649" s="117"/>
      <c r="M649" s="117"/>
      <c r="N649" s="117"/>
      <c r="O649" s="117"/>
      <c r="P649" s="117"/>
      <c r="Q649" s="117"/>
      <c r="R649" s="117"/>
      <c r="S649" s="117"/>
      <c r="T649" s="117"/>
      <c r="U649" s="235"/>
      <c r="V649" s="117"/>
      <c r="W649" s="117"/>
      <c r="X649" s="117"/>
      <c r="Y649" s="117"/>
      <c r="Z649" s="117"/>
      <c r="AA649" s="44"/>
      <c r="AB649" s="117"/>
      <c r="AC649" s="44"/>
      <c r="AD649" s="117"/>
    </row>
    <row r="650" spans="1:30" ht="14.25" customHeight="1">
      <c r="A650" s="189"/>
      <c r="B650" s="189"/>
      <c r="C650" s="44"/>
      <c r="D650" s="117"/>
      <c r="E650" s="44"/>
      <c r="F650" s="44"/>
      <c r="G650" s="117"/>
      <c r="H650" s="117"/>
      <c r="I650" s="117"/>
      <c r="J650" s="117"/>
      <c r="K650" s="117"/>
      <c r="L650" s="117"/>
      <c r="M650" s="117"/>
      <c r="N650" s="117"/>
      <c r="O650" s="117"/>
      <c r="P650" s="117"/>
      <c r="Q650" s="117"/>
      <c r="R650" s="117"/>
      <c r="S650" s="117"/>
      <c r="T650" s="117"/>
      <c r="U650" s="235"/>
      <c r="V650" s="117"/>
      <c r="W650" s="117"/>
      <c r="X650" s="117"/>
      <c r="Y650" s="117"/>
      <c r="Z650" s="117"/>
      <c r="AA650" s="44"/>
      <c r="AB650" s="117"/>
      <c r="AC650" s="44"/>
      <c r="AD650" s="117"/>
    </row>
    <row r="651" spans="1:30" ht="14.25" customHeight="1">
      <c r="A651" s="189"/>
      <c r="B651" s="189"/>
      <c r="C651" s="44"/>
      <c r="D651" s="117"/>
      <c r="E651" s="44"/>
      <c r="F651" s="44"/>
      <c r="G651" s="117"/>
      <c r="H651" s="117"/>
      <c r="I651" s="117"/>
      <c r="J651" s="117"/>
      <c r="K651" s="117"/>
      <c r="L651" s="117"/>
      <c r="M651" s="117"/>
      <c r="N651" s="117"/>
      <c r="O651" s="117"/>
      <c r="P651" s="117"/>
      <c r="Q651" s="117"/>
      <c r="R651" s="117"/>
      <c r="S651" s="117"/>
      <c r="T651" s="117"/>
      <c r="U651" s="235"/>
      <c r="V651" s="117"/>
      <c r="W651" s="117"/>
      <c r="X651" s="117"/>
      <c r="Y651" s="117"/>
      <c r="Z651" s="117"/>
      <c r="AA651" s="44"/>
      <c r="AB651" s="117"/>
      <c r="AC651" s="44"/>
      <c r="AD651" s="117"/>
    </row>
    <row r="652" spans="1:30" ht="14.25" customHeight="1">
      <c r="A652" s="189"/>
      <c r="B652" s="189"/>
      <c r="C652" s="44"/>
      <c r="D652" s="117"/>
      <c r="E652" s="44"/>
      <c r="F652" s="44"/>
      <c r="G652" s="117"/>
      <c r="H652" s="117"/>
      <c r="I652" s="117"/>
      <c r="J652" s="117"/>
      <c r="K652" s="117"/>
      <c r="L652" s="117"/>
      <c r="M652" s="117"/>
      <c r="N652" s="117"/>
      <c r="O652" s="117"/>
      <c r="P652" s="117"/>
      <c r="Q652" s="117"/>
      <c r="R652" s="117"/>
      <c r="S652" s="117"/>
      <c r="T652" s="117"/>
      <c r="U652" s="235"/>
      <c r="V652" s="117"/>
      <c r="W652" s="117"/>
      <c r="X652" s="117"/>
      <c r="Y652" s="117"/>
      <c r="Z652" s="117"/>
      <c r="AA652" s="44"/>
      <c r="AB652" s="117"/>
      <c r="AC652" s="44"/>
      <c r="AD652" s="117"/>
    </row>
    <row r="653" spans="1:30" ht="14.25" customHeight="1">
      <c r="A653" s="189"/>
      <c r="B653" s="189"/>
      <c r="C653" s="44"/>
      <c r="D653" s="117"/>
      <c r="E653" s="44"/>
      <c r="F653" s="44"/>
      <c r="G653" s="117"/>
      <c r="H653" s="117"/>
      <c r="I653" s="117"/>
      <c r="J653" s="117"/>
      <c r="K653" s="117"/>
      <c r="L653" s="117"/>
      <c r="M653" s="117"/>
      <c r="N653" s="117"/>
      <c r="O653" s="117"/>
      <c r="P653" s="117"/>
      <c r="Q653" s="117"/>
      <c r="R653" s="117"/>
      <c r="S653" s="117"/>
      <c r="T653" s="117"/>
      <c r="U653" s="235"/>
      <c r="V653" s="117"/>
      <c r="W653" s="117"/>
      <c r="X653" s="117"/>
      <c r="Y653" s="117"/>
      <c r="Z653" s="117"/>
      <c r="AA653" s="44"/>
      <c r="AB653" s="117"/>
      <c r="AC653" s="44"/>
      <c r="AD653" s="117"/>
    </row>
    <row r="654" spans="1:30" ht="14.25" customHeight="1">
      <c r="A654" s="189"/>
      <c r="B654" s="189"/>
      <c r="C654" s="44"/>
      <c r="D654" s="117"/>
      <c r="E654" s="44"/>
      <c r="F654" s="44"/>
      <c r="G654" s="117"/>
      <c r="H654" s="117"/>
      <c r="I654" s="117"/>
      <c r="J654" s="117"/>
      <c r="K654" s="117"/>
      <c r="L654" s="117"/>
      <c r="M654" s="117"/>
      <c r="N654" s="117"/>
      <c r="O654" s="117"/>
      <c r="P654" s="117"/>
      <c r="Q654" s="117"/>
      <c r="R654" s="117"/>
      <c r="S654" s="117"/>
      <c r="T654" s="117"/>
      <c r="U654" s="235"/>
      <c r="V654" s="117"/>
      <c r="W654" s="117"/>
      <c r="X654" s="117"/>
      <c r="Y654" s="117"/>
      <c r="Z654" s="117"/>
      <c r="AA654" s="44"/>
      <c r="AB654" s="117"/>
      <c r="AC654" s="44"/>
      <c r="AD654" s="117"/>
    </row>
    <row r="655" spans="1:30" ht="14.25" customHeight="1">
      <c r="A655" s="189"/>
      <c r="B655" s="189"/>
      <c r="C655" s="44"/>
      <c r="D655" s="117"/>
      <c r="E655" s="44"/>
      <c r="F655" s="44"/>
      <c r="G655" s="117"/>
      <c r="H655" s="117"/>
      <c r="I655" s="117"/>
      <c r="J655" s="117"/>
      <c r="K655" s="117"/>
      <c r="L655" s="117"/>
      <c r="M655" s="117"/>
      <c r="N655" s="117"/>
      <c r="O655" s="117"/>
      <c r="P655" s="117"/>
      <c r="Q655" s="117"/>
      <c r="R655" s="117"/>
      <c r="S655" s="117"/>
      <c r="T655" s="117"/>
      <c r="U655" s="235"/>
      <c r="V655" s="117"/>
      <c r="W655" s="117"/>
      <c r="X655" s="117"/>
      <c r="Y655" s="117"/>
      <c r="Z655" s="117"/>
      <c r="AA655" s="44"/>
      <c r="AB655" s="117"/>
      <c r="AC655" s="44"/>
      <c r="AD655" s="117"/>
    </row>
    <row r="656" spans="1:30" ht="14.25" customHeight="1">
      <c r="A656" s="189"/>
      <c r="B656" s="189"/>
      <c r="C656" s="44"/>
      <c r="D656" s="117"/>
      <c r="E656" s="44"/>
      <c r="F656" s="44"/>
      <c r="G656" s="117"/>
      <c r="H656" s="117"/>
      <c r="I656" s="117"/>
      <c r="J656" s="117"/>
      <c r="K656" s="117"/>
      <c r="L656" s="117"/>
      <c r="M656" s="117"/>
      <c r="N656" s="117"/>
      <c r="O656" s="117"/>
      <c r="P656" s="117"/>
      <c r="Q656" s="117"/>
      <c r="R656" s="117"/>
      <c r="S656" s="117"/>
      <c r="T656" s="117"/>
      <c r="U656" s="235"/>
      <c r="V656" s="117"/>
      <c r="W656" s="117"/>
      <c r="X656" s="117"/>
      <c r="Y656" s="117"/>
      <c r="Z656" s="117"/>
      <c r="AA656" s="44"/>
      <c r="AB656" s="117"/>
      <c r="AC656" s="44"/>
      <c r="AD656" s="117"/>
    </row>
    <row r="657" spans="1:30" ht="14.25" customHeight="1">
      <c r="A657" s="189"/>
      <c r="B657" s="189"/>
      <c r="C657" s="44"/>
      <c r="D657" s="117"/>
      <c r="E657" s="44"/>
      <c r="F657" s="44"/>
      <c r="G657" s="117"/>
      <c r="H657" s="117"/>
      <c r="I657" s="117"/>
      <c r="J657" s="117"/>
      <c r="K657" s="117"/>
      <c r="L657" s="117"/>
      <c r="M657" s="117"/>
      <c r="N657" s="117"/>
      <c r="O657" s="117"/>
      <c r="P657" s="117"/>
      <c r="Q657" s="117"/>
      <c r="R657" s="117"/>
      <c r="S657" s="117"/>
      <c r="T657" s="117"/>
      <c r="U657" s="235"/>
      <c r="V657" s="117"/>
      <c r="W657" s="117"/>
      <c r="X657" s="117"/>
      <c r="Y657" s="117"/>
      <c r="Z657" s="117"/>
      <c r="AA657" s="44"/>
      <c r="AB657" s="117"/>
      <c r="AC657" s="44"/>
      <c r="AD657" s="117"/>
    </row>
    <row r="658" spans="1:30" ht="14.25" customHeight="1">
      <c r="A658" s="189"/>
      <c r="B658" s="189"/>
      <c r="C658" s="44"/>
      <c r="D658" s="117"/>
      <c r="E658" s="44"/>
      <c r="F658" s="44"/>
      <c r="G658" s="117"/>
      <c r="H658" s="117"/>
      <c r="I658" s="117"/>
      <c r="J658" s="117"/>
      <c r="K658" s="117"/>
      <c r="L658" s="117"/>
      <c r="M658" s="117"/>
      <c r="N658" s="117"/>
      <c r="O658" s="117"/>
      <c r="P658" s="117"/>
      <c r="Q658" s="117"/>
      <c r="R658" s="117"/>
      <c r="S658" s="117"/>
      <c r="T658" s="117"/>
      <c r="U658" s="235"/>
      <c r="V658" s="117"/>
      <c r="W658" s="117"/>
      <c r="X658" s="117"/>
      <c r="Y658" s="117"/>
      <c r="Z658" s="117"/>
      <c r="AA658" s="44"/>
      <c r="AB658" s="117"/>
      <c r="AC658" s="44"/>
      <c r="AD658" s="117"/>
    </row>
    <row r="659" spans="1:30" ht="14.25" customHeight="1">
      <c r="A659" s="189"/>
      <c r="B659" s="189"/>
      <c r="C659" s="44"/>
      <c r="D659" s="117"/>
      <c r="E659" s="44"/>
      <c r="F659" s="44"/>
      <c r="G659" s="117"/>
      <c r="H659" s="117"/>
      <c r="I659" s="117"/>
      <c r="J659" s="117"/>
      <c r="K659" s="117"/>
      <c r="L659" s="117"/>
      <c r="M659" s="117"/>
      <c r="N659" s="117"/>
      <c r="O659" s="117"/>
      <c r="P659" s="117"/>
      <c r="Q659" s="117"/>
      <c r="R659" s="117"/>
      <c r="S659" s="117"/>
      <c r="T659" s="117"/>
      <c r="U659" s="235"/>
      <c r="V659" s="117"/>
      <c r="W659" s="117"/>
      <c r="X659" s="117"/>
      <c r="Y659" s="117"/>
      <c r="Z659" s="117"/>
      <c r="AA659" s="44"/>
      <c r="AB659" s="117"/>
      <c r="AC659" s="44"/>
      <c r="AD659" s="117"/>
    </row>
    <row r="660" spans="1:30" ht="14.25" customHeight="1">
      <c r="A660" s="189"/>
      <c r="B660" s="189"/>
      <c r="C660" s="44"/>
      <c r="D660" s="117"/>
      <c r="E660" s="44"/>
      <c r="F660" s="44"/>
      <c r="G660" s="117"/>
      <c r="H660" s="117"/>
      <c r="I660" s="117"/>
      <c r="J660" s="117"/>
      <c r="K660" s="117"/>
      <c r="L660" s="117"/>
      <c r="M660" s="117"/>
      <c r="N660" s="117"/>
      <c r="O660" s="117"/>
      <c r="P660" s="117"/>
      <c r="Q660" s="117"/>
      <c r="R660" s="117"/>
      <c r="S660" s="117"/>
      <c r="T660" s="117"/>
      <c r="U660" s="235"/>
      <c r="V660" s="117"/>
      <c r="W660" s="117"/>
      <c r="X660" s="117"/>
      <c r="Y660" s="117"/>
      <c r="Z660" s="117"/>
      <c r="AA660" s="44"/>
      <c r="AB660" s="117"/>
      <c r="AC660" s="44"/>
      <c r="AD660" s="117"/>
    </row>
    <row r="661" spans="1:30" ht="14.25" customHeight="1">
      <c r="A661" s="189"/>
      <c r="B661" s="189"/>
      <c r="C661" s="44"/>
      <c r="D661" s="117"/>
      <c r="E661" s="44"/>
      <c r="F661" s="44"/>
      <c r="G661" s="117"/>
      <c r="H661" s="117"/>
      <c r="I661" s="117"/>
      <c r="J661" s="117"/>
      <c r="K661" s="117"/>
      <c r="L661" s="117"/>
      <c r="M661" s="117"/>
      <c r="N661" s="117"/>
      <c r="O661" s="117"/>
      <c r="P661" s="117"/>
      <c r="Q661" s="117"/>
      <c r="R661" s="117"/>
      <c r="S661" s="117"/>
      <c r="T661" s="117"/>
      <c r="U661" s="235"/>
      <c r="V661" s="117"/>
      <c r="W661" s="117"/>
      <c r="X661" s="117"/>
      <c r="Y661" s="117"/>
      <c r="Z661" s="117"/>
      <c r="AA661" s="44"/>
      <c r="AB661" s="117"/>
      <c r="AC661" s="44"/>
      <c r="AD661" s="117"/>
    </row>
    <row r="662" spans="1:30" ht="14.25" customHeight="1">
      <c r="A662" s="189"/>
      <c r="B662" s="189"/>
      <c r="C662" s="44"/>
      <c r="D662" s="117"/>
      <c r="E662" s="44"/>
      <c r="F662" s="44"/>
      <c r="G662" s="117"/>
      <c r="H662" s="117"/>
      <c r="I662" s="117"/>
      <c r="J662" s="117"/>
      <c r="K662" s="117"/>
      <c r="L662" s="117"/>
      <c r="M662" s="117"/>
      <c r="N662" s="117"/>
      <c r="O662" s="117"/>
      <c r="P662" s="117"/>
      <c r="Q662" s="117"/>
      <c r="R662" s="117"/>
      <c r="S662" s="117"/>
      <c r="T662" s="117"/>
      <c r="U662" s="235"/>
      <c r="V662" s="117"/>
      <c r="W662" s="117"/>
      <c r="X662" s="117"/>
      <c r="Y662" s="117"/>
      <c r="Z662" s="117"/>
      <c r="AA662" s="44"/>
      <c r="AB662" s="117"/>
      <c r="AC662" s="44"/>
      <c r="AD662" s="117"/>
    </row>
    <row r="663" spans="1:30" ht="14.25" customHeight="1">
      <c r="A663" s="189"/>
      <c r="B663" s="189"/>
      <c r="C663" s="44"/>
      <c r="D663" s="117"/>
      <c r="E663" s="44"/>
      <c r="F663" s="44"/>
      <c r="G663" s="117"/>
      <c r="H663" s="117"/>
      <c r="I663" s="117"/>
      <c r="J663" s="117"/>
      <c r="K663" s="117"/>
      <c r="L663" s="117"/>
      <c r="M663" s="117"/>
      <c r="N663" s="117"/>
      <c r="O663" s="117"/>
      <c r="P663" s="117"/>
      <c r="Q663" s="117"/>
      <c r="R663" s="117"/>
      <c r="S663" s="117"/>
      <c r="T663" s="117"/>
      <c r="U663" s="235"/>
      <c r="V663" s="117"/>
      <c r="W663" s="117"/>
      <c r="X663" s="117"/>
      <c r="Y663" s="117"/>
      <c r="Z663" s="117"/>
      <c r="AA663" s="44"/>
      <c r="AB663" s="117"/>
      <c r="AC663" s="44"/>
      <c r="AD663" s="117"/>
    </row>
    <row r="664" spans="1:30" ht="14.25" customHeight="1">
      <c r="A664" s="189"/>
      <c r="B664" s="189"/>
      <c r="C664" s="44"/>
      <c r="D664" s="117"/>
      <c r="E664" s="44"/>
      <c r="F664" s="44"/>
      <c r="G664" s="117"/>
      <c r="H664" s="117"/>
      <c r="I664" s="117"/>
      <c r="J664" s="117"/>
      <c r="K664" s="117"/>
      <c r="L664" s="117"/>
      <c r="M664" s="117"/>
      <c r="N664" s="117"/>
      <c r="O664" s="117"/>
      <c r="P664" s="117"/>
      <c r="Q664" s="117"/>
      <c r="R664" s="117"/>
      <c r="S664" s="117"/>
      <c r="T664" s="117"/>
      <c r="U664" s="235"/>
      <c r="V664" s="117"/>
      <c r="W664" s="117"/>
      <c r="X664" s="117"/>
      <c r="Y664" s="117"/>
      <c r="Z664" s="117"/>
      <c r="AA664" s="44"/>
      <c r="AB664" s="117"/>
      <c r="AC664" s="44"/>
      <c r="AD664" s="117"/>
    </row>
    <row r="665" spans="1:30" ht="14.25" customHeight="1">
      <c r="A665" s="189"/>
      <c r="B665" s="189"/>
      <c r="C665" s="44"/>
      <c r="D665" s="117"/>
      <c r="E665" s="44"/>
      <c r="F665" s="44"/>
      <c r="G665" s="117"/>
      <c r="H665" s="117"/>
      <c r="I665" s="117"/>
      <c r="J665" s="117"/>
      <c r="K665" s="117"/>
      <c r="L665" s="117"/>
      <c r="M665" s="117"/>
      <c r="N665" s="117"/>
      <c r="O665" s="117"/>
      <c r="P665" s="117"/>
      <c r="Q665" s="117"/>
      <c r="R665" s="117"/>
      <c r="S665" s="117"/>
      <c r="T665" s="117"/>
      <c r="U665" s="235"/>
      <c r="V665" s="117"/>
      <c r="W665" s="117"/>
      <c r="X665" s="117"/>
      <c r="Y665" s="117"/>
      <c r="Z665" s="117"/>
      <c r="AA665" s="44"/>
      <c r="AB665" s="117"/>
      <c r="AC665" s="44"/>
      <c r="AD665" s="117"/>
    </row>
    <row r="666" spans="1:30" ht="14.25" customHeight="1">
      <c r="A666" s="189"/>
      <c r="B666" s="189"/>
      <c r="C666" s="44"/>
      <c r="D666" s="117"/>
      <c r="E666" s="44"/>
      <c r="F666" s="44"/>
      <c r="G666" s="117"/>
      <c r="H666" s="117"/>
      <c r="I666" s="117"/>
      <c r="J666" s="117"/>
      <c r="K666" s="117"/>
      <c r="L666" s="117"/>
      <c r="M666" s="117"/>
      <c r="N666" s="117"/>
      <c r="O666" s="117"/>
      <c r="P666" s="117"/>
      <c r="Q666" s="117"/>
      <c r="R666" s="117"/>
      <c r="S666" s="117"/>
      <c r="T666" s="117"/>
      <c r="U666" s="235"/>
      <c r="V666" s="117"/>
      <c r="W666" s="117"/>
      <c r="X666" s="117"/>
      <c r="Y666" s="117"/>
      <c r="Z666" s="117"/>
      <c r="AA666" s="44"/>
      <c r="AB666" s="117"/>
      <c r="AC666" s="44"/>
      <c r="AD666" s="117"/>
    </row>
    <row r="667" spans="1:30" ht="14.25" customHeight="1">
      <c r="A667" s="189"/>
      <c r="B667" s="189"/>
      <c r="C667" s="44"/>
      <c r="D667" s="117"/>
      <c r="E667" s="44"/>
      <c r="F667" s="44"/>
      <c r="G667" s="117"/>
      <c r="H667" s="117"/>
      <c r="I667" s="117"/>
      <c r="J667" s="117"/>
      <c r="K667" s="117"/>
      <c r="L667" s="117"/>
      <c r="M667" s="117"/>
      <c r="N667" s="117"/>
      <c r="O667" s="117"/>
      <c r="P667" s="117"/>
      <c r="Q667" s="117"/>
      <c r="R667" s="117"/>
      <c r="S667" s="117"/>
      <c r="T667" s="117"/>
      <c r="U667" s="235"/>
      <c r="V667" s="117"/>
      <c r="W667" s="117"/>
      <c r="X667" s="117"/>
      <c r="Y667" s="117"/>
      <c r="Z667" s="117"/>
      <c r="AA667" s="44"/>
      <c r="AB667" s="117"/>
      <c r="AC667" s="44"/>
      <c r="AD667" s="117"/>
    </row>
    <row r="668" spans="1:30" ht="14.25" customHeight="1">
      <c r="A668" s="189"/>
      <c r="B668" s="189"/>
      <c r="C668" s="44"/>
      <c r="D668" s="117"/>
      <c r="E668" s="44"/>
      <c r="F668" s="44"/>
      <c r="G668" s="117"/>
      <c r="H668" s="117"/>
      <c r="I668" s="117"/>
      <c r="J668" s="117"/>
      <c r="K668" s="117"/>
      <c r="L668" s="117"/>
      <c r="M668" s="117"/>
      <c r="N668" s="117"/>
      <c r="O668" s="117"/>
      <c r="P668" s="117"/>
      <c r="Q668" s="117"/>
      <c r="R668" s="117"/>
      <c r="S668" s="117"/>
      <c r="T668" s="117"/>
      <c r="U668" s="235"/>
      <c r="V668" s="117"/>
      <c r="W668" s="117"/>
      <c r="X668" s="117"/>
      <c r="Y668" s="117"/>
      <c r="Z668" s="117"/>
      <c r="AA668" s="44"/>
      <c r="AB668" s="117"/>
      <c r="AC668" s="44"/>
      <c r="AD668" s="117"/>
    </row>
    <row r="669" spans="1:30" ht="14.25" customHeight="1">
      <c r="A669" s="189"/>
      <c r="B669" s="189"/>
      <c r="C669" s="44"/>
      <c r="D669" s="117"/>
      <c r="E669" s="44"/>
      <c r="F669" s="44"/>
      <c r="G669" s="117"/>
      <c r="H669" s="117"/>
      <c r="I669" s="117"/>
      <c r="J669" s="117"/>
      <c r="K669" s="117"/>
      <c r="L669" s="117"/>
      <c r="M669" s="117"/>
      <c r="N669" s="117"/>
      <c r="O669" s="117"/>
      <c r="P669" s="117"/>
      <c r="Q669" s="117"/>
      <c r="R669" s="117"/>
      <c r="S669" s="117"/>
      <c r="T669" s="117"/>
      <c r="U669" s="235"/>
      <c r="V669" s="117"/>
      <c r="W669" s="117"/>
      <c r="X669" s="117"/>
      <c r="Y669" s="117"/>
      <c r="Z669" s="117"/>
      <c r="AA669" s="44"/>
      <c r="AB669" s="117"/>
      <c r="AC669" s="44"/>
      <c r="AD669" s="117"/>
    </row>
    <row r="670" spans="1:30" ht="14.25" customHeight="1">
      <c r="A670" s="189"/>
      <c r="B670" s="189"/>
      <c r="C670" s="44"/>
      <c r="D670" s="117"/>
      <c r="E670" s="44"/>
      <c r="F670" s="44"/>
      <c r="G670" s="117"/>
      <c r="H670" s="117"/>
      <c r="I670" s="117"/>
      <c r="J670" s="117"/>
      <c r="K670" s="117"/>
      <c r="L670" s="117"/>
      <c r="M670" s="117"/>
      <c r="N670" s="117"/>
      <c r="O670" s="117"/>
      <c r="P670" s="117"/>
      <c r="Q670" s="117"/>
      <c r="R670" s="117"/>
      <c r="S670" s="117"/>
      <c r="T670" s="117"/>
      <c r="U670" s="235"/>
      <c r="V670" s="117"/>
      <c r="W670" s="117"/>
      <c r="X670" s="117"/>
      <c r="Y670" s="117"/>
      <c r="Z670" s="117"/>
      <c r="AA670" s="44"/>
      <c r="AB670" s="117"/>
      <c r="AC670" s="44"/>
      <c r="AD670" s="117"/>
    </row>
    <row r="671" spans="1:30" ht="14.25" customHeight="1">
      <c r="A671" s="189"/>
      <c r="B671" s="189"/>
      <c r="C671" s="44"/>
      <c r="D671" s="117"/>
      <c r="E671" s="44"/>
      <c r="F671" s="44"/>
      <c r="G671" s="117"/>
      <c r="H671" s="117"/>
      <c r="I671" s="117"/>
      <c r="J671" s="117"/>
      <c r="K671" s="117"/>
      <c r="L671" s="117"/>
      <c r="M671" s="117"/>
      <c r="N671" s="117"/>
      <c r="O671" s="117"/>
      <c r="P671" s="117"/>
      <c r="Q671" s="117"/>
      <c r="R671" s="117"/>
      <c r="S671" s="117"/>
      <c r="T671" s="117"/>
      <c r="U671" s="235"/>
      <c r="V671" s="117"/>
      <c r="W671" s="117"/>
      <c r="X671" s="117"/>
      <c r="Y671" s="117"/>
      <c r="Z671" s="117"/>
      <c r="AA671" s="44"/>
      <c r="AB671" s="117"/>
      <c r="AC671" s="44"/>
      <c r="AD671" s="117"/>
    </row>
    <row r="672" spans="1:30" ht="14.25" customHeight="1">
      <c r="A672" s="189"/>
      <c r="B672" s="189"/>
      <c r="C672" s="44"/>
      <c r="D672" s="117"/>
      <c r="E672" s="44"/>
      <c r="F672" s="44"/>
      <c r="G672" s="117"/>
      <c r="H672" s="117"/>
      <c r="I672" s="117"/>
      <c r="J672" s="117"/>
      <c r="K672" s="117"/>
      <c r="L672" s="117"/>
      <c r="M672" s="117"/>
      <c r="N672" s="117"/>
      <c r="O672" s="117"/>
      <c r="P672" s="117"/>
      <c r="Q672" s="117"/>
      <c r="R672" s="117"/>
      <c r="S672" s="117"/>
      <c r="T672" s="117"/>
      <c r="U672" s="235"/>
      <c r="V672" s="117"/>
      <c r="W672" s="117"/>
      <c r="X672" s="117"/>
      <c r="Y672" s="117"/>
      <c r="Z672" s="117"/>
      <c r="AA672" s="44"/>
      <c r="AB672" s="117"/>
      <c r="AC672" s="44"/>
      <c r="AD672" s="117"/>
    </row>
    <row r="673" spans="1:30" ht="14.25" customHeight="1">
      <c r="A673" s="189"/>
      <c r="B673" s="189"/>
      <c r="C673" s="44"/>
      <c r="D673" s="117"/>
      <c r="E673" s="44"/>
      <c r="F673" s="44"/>
      <c r="G673" s="117"/>
      <c r="H673" s="117"/>
      <c r="I673" s="117"/>
      <c r="J673" s="117"/>
      <c r="K673" s="117"/>
      <c r="L673" s="117"/>
      <c r="M673" s="117"/>
      <c r="N673" s="117"/>
      <c r="O673" s="117"/>
      <c r="P673" s="117"/>
      <c r="Q673" s="117"/>
      <c r="R673" s="117"/>
      <c r="S673" s="117"/>
      <c r="T673" s="117"/>
      <c r="U673" s="235"/>
      <c r="V673" s="117"/>
      <c r="W673" s="117"/>
      <c r="X673" s="117"/>
      <c r="Y673" s="117"/>
      <c r="Z673" s="117"/>
      <c r="AA673" s="44"/>
      <c r="AB673" s="117"/>
      <c r="AC673" s="44"/>
      <c r="AD673" s="117"/>
    </row>
    <row r="674" spans="1:30" ht="14.25" customHeight="1">
      <c r="A674" s="189"/>
      <c r="B674" s="189"/>
      <c r="C674" s="44"/>
      <c r="D674" s="117"/>
      <c r="E674" s="44"/>
      <c r="F674" s="44"/>
      <c r="G674" s="117"/>
      <c r="H674" s="117"/>
      <c r="I674" s="117"/>
      <c r="J674" s="117"/>
      <c r="K674" s="117"/>
      <c r="L674" s="117"/>
      <c r="M674" s="117"/>
      <c r="N674" s="117"/>
      <c r="O674" s="117"/>
      <c r="P674" s="117"/>
      <c r="Q674" s="117"/>
      <c r="R674" s="117"/>
      <c r="S674" s="117"/>
      <c r="T674" s="117"/>
      <c r="U674" s="235"/>
      <c r="V674" s="117"/>
      <c r="W674" s="117"/>
      <c r="X674" s="117"/>
      <c r="Y674" s="117"/>
      <c r="Z674" s="117"/>
      <c r="AA674" s="44"/>
      <c r="AB674" s="117"/>
      <c r="AC674" s="44"/>
      <c r="AD674" s="117"/>
    </row>
    <row r="675" spans="1:30" ht="14.25" customHeight="1">
      <c r="A675" s="189"/>
      <c r="B675" s="189"/>
      <c r="C675" s="44"/>
      <c r="D675" s="117"/>
      <c r="E675" s="44"/>
      <c r="F675" s="44"/>
      <c r="G675" s="117"/>
      <c r="H675" s="117"/>
      <c r="I675" s="117"/>
      <c r="J675" s="117"/>
      <c r="K675" s="117"/>
      <c r="L675" s="117"/>
      <c r="M675" s="117"/>
      <c r="N675" s="117"/>
      <c r="O675" s="117"/>
      <c r="P675" s="117"/>
      <c r="Q675" s="117"/>
      <c r="R675" s="117"/>
      <c r="S675" s="117"/>
      <c r="T675" s="117"/>
      <c r="U675" s="235"/>
      <c r="V675" s="117"/>
      <c r="W675" s="117"/>
      <c r="X675" s="117"/>
      <c r="Y675" s="117"/>
      <c r="Z675" s="117"/>
      <c r="AA675" s="44"/>
      <c r="AB675" s="117"/>
      <c r="AC675" s="44"/>
      <c r="AD675" s="117"/>
    </row>
    <row r="676" spans="1:30" ht="14.25" customHeight="1">
      <c r="A676" s="189"/>
      <c r="B676" s="189"/>
      <c r="C676" s="44"/>
      <c r="D676" s="117"/>
      <c r="E676" s="44"/>
      <c r="F676" s="44"/>
      <c r="G676" s="117"/>
      <c r="H676" s="117"/>
      <c r="I676" s="117"/>
      <c r="J676" s="117"/>
      <c r="K676" s="117"/>
      <c r="L676" s="117"/>
      <c r="M676" s="117"/>
      <c r="N676" s="117"/>
      <c r="O676" s="117"/>
      <c r="P676" s="117"/>
      <c r="Q676" s="117"/>
      <c r="R676" s="117"/>
      <c r="S676" s="117"/>
      <c r="T676" s="117"/>
      <c r="U676" s="235"/>
      <c r="V676" s="117"/>
      <c r="W676" s="117"/>
      <c r="X676" s="117"/>
      <c r="Y676" s="117"/>
      <c r="Z676" s="117"/>
      <c r="AA676" s="44"/>
      <c r="AB676" s="117"/>
      <c r="AC676" s="44"/>
      <c r="AD676" s="117"/>
    </row>
    <row r="677" spans="1:30" ht="14.25" customHeight="1">
      <c r="A677" s="189"/>
      <c r="B677" s="189"/>
      <c r="C677" s="44"/>
      <c r="D677" s="117"/>
      <c r="E677" s="44"/>
      <c r="F677" s="44"/>
      <c r="G677" s="117"/>
      <c r="H677" s="117"/>
      <c r="I677" s="117"/>
      <c r="J677" s="117"/>
      <c r="K677" s="117"/>
      <c r="L677" s="117"/>
      <c r="M677" s="117"/>
      <c r="N677" s="117"/>
      <c r="O677" s="117"/>
      <c r="P677" s="117"/>
      <c r="Q677" s="117"/>
      <c r="R677" s="117"/>
      <c r="S677" s="117"/>
      <c r="T677" s="117"/>
      <c r="U677" s="235"/>
      <c r="V677" s="117"/>
      <c r="W677" s="117"/>
      <c r="X677" s="117"/>
      <c r="Y677" s="117"/>
      <c r="Z677" s="117"/>
      <c r="AA677" s="44"/>
      <c r="AB677" s="117"/>
      <c r="AC677" s="44"/>
      <c r="AD677" s="117"/>
    </row>
    <row r="678" spans="1:30" ht="14.25" customHeight="1">
      <c r="A678" s="189"/>
      <c r="B678" s="189"/>
      <c r="C678" s="44"/>
      <c r="D678" s="117"/>
      <c r="E678" s="44"/>
      <c r="F678" s="44"/>
      <c r="G678" s="117"/>
      <c r="H678" s="117"/>
      <c r="I678" s="117"/>
      <c r="J678" s="117"/>
      <c r="K678" s="117"/>
      <c r="L678" s="117"/>
      <c r="M678" s="117"/>
      <c r="N678" s="117"/>
      <c r="O678" s="117"/>
      <c r="P678" s="117"/>
      <c r="Q678" s="117"/>
      <c r="R678" s="117"/>
      <c r="S678" s="117"/>
      <c r="T678" s="117"/>
      <c r="U678" s="235"/>
      <c r="V678" s="117"/>
      <c r="W678" s="117"/>
      <c r="X678" s="117"/>
      <c r="Y678" s="117"/>
      <c r="Z678" s="117"/>
      <c r="AA678" s="44"/>
      <c r="AB678" s="117"/>
      <c r="AC678" s="44"/>
      <c r="AD678" s="117"/>
    </row>
    <row r="679" spans="1:30" ht="14.25" customHeight="1">
      <c r="A679" s="189"/>
      <c r="B679" s="189"/>
      <c r="C679" s="44"/>
      <c r="D679" s="117"/>
      <c r="E679" s="44"/>
      <c r="F679" s="44"/>
      <c r="G679" s="117"/>
      <c r="H679" s="117"/>
      <c r="I679" s="117"/>
      <c r="J679" s="117"/>
      <c r="K679" s="117"/>
      <c r="L679" s="117"/>
      <c r="M679" s="117"/>
      <c r="N679" s="117"/>
      <c r="O679" s="117"/>
      <c r="P679" s="117"/>
      <c r="Q679" s="117"/>
      <c r="R679" s="117"/>
      <c r="S679" s="117"/>
      <c r="T679" s="117"/>
      <c r="U679" s="235"/>
      <c r="V679" s="117"/>
      <c r="W679" s="117"/>
      <c r="X679" s="117"/>
      <c r="Y679" s="117"/>
      <c r="Z679" s="117"/>
      <c r="AA679" s="44"/>
      <c r="AB679" s="117"/>
      <c r="AC679" s="44"/>
      <c r="AD679" s="117"/>
    </row>
    <row r="680" spans="1:30" ht="14.25" customHeight="1">
      <c r="A680" s="189"/>
      <c r="B680" s="189"/>
      <c r="C680" s="44"/>
      <c r="D680" s="117"/>
      <c r="E680" s="44"/>
      <c r="F680" s="44"/>
      <c r="G680" s="117"/>
      <c r="H680" s="117"/>
      <c r="I680" s="117"/>
      <c r="J680" s="117"/>
      <c r="K680" s="117"/>
      <c r="L680" s="117"/>
      <c r="M680" s="117"/>
      <c r="N680" s="117"/>
      <c r="O680" s="117"/>
      <c r="P680" s="117"/>
      <c r="Q680" s="117"/>
      <c r="R680" s="117"/>
      <c r="S680" s="117"/>
      <c r="T680" s="117"/>
      <c r="U680" s="235"/>
      <c r="V680" s="117"/>
      <c r="W680" s="117"/>
      <c r="X680" s="117"/>
      <c r="Y680" s="117"/>
      <c r="Z680" s="117"/>
      <c r="AA680" s="44"/>
      <c r="AB680" s="117"/>
      <c r="AC680" s="44"/>
      <c r="AD680" s="117"/>
    </row>
    <row r="681" spans="1:30" ht="14.25" customHeight="1">
      <c r="A681" s="189"/>
      <c r="B681" s="189"/>
      <c r="C681" s="44"/>
      <c r="D681" s="117"/>
      <c r="E681" s="44"/>
      <c r="F681" s="44"/>
      <c r="G681" s="117"/>
      <c r="H681" s="117"/>
      <c r="I681" s="117"/>
      <c r="J681" s="117"/>
      <c r="K681" s="117"/>
      <c r="L681" s="117"/>
      <c r="M681" s="117"/>
      <c r="N681" s="117"/>
      <c r="O681" s="117"/>
      <c r="P681" s="117"/>
      <c r="Q681" s="117"/>
      <c r="R681" s="117"/>
      <c r="S681" s="117"/>
      <c r="T681" s="117"/>
      <c r="U681" s="235"/>
      <c r="V681" s="117"/>
      <c r="W681" s="117"/>
      <c r="X681" s="117"/>
      <c r="Y681" s="117"/>
      <c r="Z681" s="117"/>
      <c r="AA681" s="44"/>
      <c r="AB681" s="117"/>
      <c r="AC681" s="44"/>
      <c r="AD681" s="117"/>
    </row>
    <row r="682" spans="1:30" ht="14.25" customHeight="1">
      <c r="A682" s="189"/>
      <c r="B682" s="189"/>
      <c r="C682" s="44"/>
      <c r="D682" s="117"/>
      <c r="E682" s="44"/>
      <c r="F682" s="44"/>
      <c r="G682" s="117"/>
      <c r="H682" s="117"/>
      <c r="I682" s="117"/>
      <c r="J682" s="117"/>
      <c r="K682" s="117"/>
      <c r="L682" s="117"/>
      <c r="M682" s="117"/>
      <c r="N682" s="117"/>
      <c r="O682" s="117"/>
      <c r="P682" s="117"/>
      <c r="Q682" s="117"/>
      <c r="R682" s="117"/>
      <c r="S682" s="117"/>
      <c r="T682" s="117"/>
      <c r="U682" s="235"/>
      <c r="V682" s="117"/>
      <c r="W682" s="117"/>
      <c r="X682" s="117"/>
      <c r="Y682" s="117"/>
      <c r="Z682" s="117"/>
      <c r="AA682" s="44"/>
      <c r="AB682" s="117"/>
      <c r="AC682" s="44"/>
      <c r="AD682" s="117"/>
    </row>
    <row r="683" spans="1:30" ht="14.25" customHeight="1">
      <c r="A683" s="189"/>
      <c r="B683" s="189"/>
      <c r="C683" s="44"/>
      <c r="D683" s="117"/>
      <c r="E683" s="44"/>
      <c r="F683" s="44"/>
      <c r="G683" s="117"/>
      <c r="H683" s="117"/>
      <c r="I683" s="117"/>
      <c r="J683" s="117"/>
      <c r="K683" s="117"/>
      <c r="L683" s="117"/>
      <c r="M683" s="117"/>
      <c r="N683" s="117"/>
      <c r="O683" s="117"/>
      <c r="P683" s="117"/>
      <c r="Q683" s="117"/>
      <c r="R683" s="117"/>
      <c r="S683" s="117"/>
      <c r="T683" s="117"/>
      <c r="U683" s="235"/>
      <c r="V683" s="117"/>
      <c r="W683" s="117"/>
      <c r="X683" s="117"/>
      <c r="Y683" s="117"/>
      <c r="Z683" s="117"/>
      <c r="AA683" s="44"/>
      <c r="AB683" s="117"/>
      <c r="AC683" s="44"/>
      <c r="AD683" s="117"/>
    </row>
    <row r="684" spans="1:30" ht="14.25" customHeight="1">
      <c r="A684" s="189"/>
      <c r="B684" s="189"/>
      <c r="C684" s="44"/>
      <c r="D684" s="117"/>
      <c r="E684" s="44"/>
      <c r="F684" s="44"/>
      <c r="G684" s="117"/>
      <c r="H684" s="117"/>
      <c r="I684" s="117"/>
      <c r="J684" s="117"/>
      <c r="K684" s="117"/>
      <c r="L684" s="117"/>
      <c r="M684" s="117"/>
      <c r="N684" s="117"/>
      <c r="O684" s="117"/>
      <c r="P684" s="117"/>
      <c r="Q684" s="117"/>
      <c r="R684" s="117"/>
      <c r="S684" s="117"/>
      <c r="T684" s="117"/>
      <c r="U684" s="235"/>
      <c r="V684" s="117"/>
      <c r="W684" s="117"/>
      <c r="X684" s="117"/>
      <c r="Y684" s="117"/>
      <c r="Z684" s="117"/>
      <c r="AA684" s="44"/>
      <c r="AB684" s="117"/>
      <c r="AC684" s="44"/>
      <c r="AD684" s="117"/>
    </row>
    <row r="685" spans="1:30" ht="14.25" customHeight="1">
      <c r="A685" s="189"/>
      <c r="B685" s="189"/>
      <c r="C685" s="44"/>
      <c r="D685" s="117"/>
      <c r="E685" s="44"/>
      <c r="F685" s="44"/>
      <c r="G685" s="117"/>
      <c r="H685" s="117"/>
      <c r="I685" s="117"/>
      <c r="J685" s="117"/>
      <c r="K685" s="117"/>
      <c r="L685" s="117"/>
      <c r="M685" s="117"/>
      <c r="N685" s="117"/>
      <c r="O685" s="117"/>
      <c r="P685" s="117"/>
      <c r="Q685" s="117"/>
      <c r="R685" s="117"/>
      <c r="S685" s="117"/>
      <c r="T685" s="117"/>
      <c r="U685" s="235"/>
      <c r="V685" s="117"/>
      <c r="W685" s="117"/>
      <c r="X685" s="117"/>
      <c r="Y685" s="117"/>
      <c r="Z685" s="117"/>
      <c r="AA685" s="44"/>
      <c r="AB685" s="117"/>
      <c r="AC685" s="44"/>
      <c r="AD685" s="117"/>
    </row>
    <row r="686" spans="1:30" ht="14.25" customHeight="1">
      <c r="A686" s="189"/>
      <c r="B686" s="189"/>
      <c r="C686" s="44"/>
      <c r="D686" s="117"/>
      <c r="E686" s="44"/>
      <c r="F686" s="44"/>
      <c r="G686" s="117"/>
      <c r="H686" s="117"/>
      <c r="I686" s="117"/>
      <c r="J686" s="117"/>
      <c r="K686" s="117"/>
      <c r="L686" s="117"/>
      <c r="M686" s="117"/>
      <c r="N686" s="117"/>
      <c r="O686" s="117"/>
      <c r="P686" s="117"/>
      <c r="Q686" s="117"/>
      <c r="R686" s="117"/>
      <c r="S686" s="117"/>
      <c r="T686" s="117"/>
      <c r="U686" s="235"/>
      <c r="V686" s="117"/>
      <c r="W686" s="117"/>
      <c r="X686" s="117"/>
      <c r="Y686" s="117"/>
      <c r="Z686" s="117"/>
      <c r="AA686" s="44"/>
      <c r="AB686" s="117"/>
      <c r="AC686" s="44"/>
      <c r="AD686" s="117"/>
    </row>
    <row r="687" spans="1:30" ht="14.25" customHeight="1">
      <c r="A687" s="189"/>
      <c r="B687" s="189"/>
      <c r="C687" s="44"/>
      <c r="D687" s="117"/>
      <c r="E687" s="44"/>
      <c r="F687" s="44"/>
      <c r="G687" s="117"/>
      <c r="H687" s="117"/>
      <c r="I687" s="117"/>
      <c r="J687" s="117"/>
      <c r="K687" s="117"/>
      <c r="L687" s="117"/>
      <c r="M687" s="117"/>
      <c r="N687" s="117"/>
      <c r="O687" s="117"/>
      <c r="P687" s="117"/>
      <c r="Q687" s="117"/>
      <c r="R687" s="117"/>
      <c r="S687" s="117"/>
      <c r="T687" s="117"/>
      <c r="U687" s="235"/>
      <c r="V687" s="117"/>
      <c r="W687" s="117"/>
      <c r="X687" s="117"/>
      <c r="Y687" s="117"/>
      <c r="Z687" s="117"/>
      <c r="AA687" s="44"/>
      <c r="AB687" s="117"/>
      <c r="AC687" s="44"/>
      <c r="AD687" s="117"/>
    </row>
    <row r="688" spans="1:30" ht="14.25" customHeight="1">
      <c r="A688" s="189"/>
      <c r="B688" s="189"/>
      <c r="C688" s="44"/>
      <c r="D688" s="117"/>
      <c r="E688" s="44"/>
      <c r="F688" s="44"/>
      <c r="G688" s="117"/>
      <c r="H688" s="117"/>
      <c r="I688" s="117"/>
      <c r="J688" s="117"/>
      <c r="K688" s="117"/>
      <c r="L688" s="117"/>
      <c r="M688" s="117"/>
      <c r="N688" s="117"/>
      <c r="O688" s="117"/>
      <c r="P688" s="117"/>
      <c r="Q688" s="117"/>
      <c r="R688" s="117"/>
      <c r="S688" s="117"/>
      <c r="T688" s="117"/>
      <c r="U688" s="235"/>
      <c r="V688" s="117"/>
      <c r="W688" s="117"/>
      <c r="X688" s="117"/>
      <c r="Y688" s="117"/>
      <c r="Z688" s="117"/>
      <c r="AA688" s="44"/>
      <c r="AB688" s="117"/>
      <c r="AC688" s="44"/>
      <c r="AD688" s="117"/>
    </row>
    <row r="689" spans="1:30" ht="14.25" customHeight="1">
      <c r="A689" s="189"/>
      <c r="B689" s="189"/>
      <c r="C689" s="44"/>
      <c r="D689" s="117"/>
      <c r="E689" s="44"/>
      <c r="F689" s="44"/>
      <c r="G689" s="117"/>
      <c r="H689" s="117"/>
      <c r="I689" s="117"/>
      <c r="J689" s="117"/>
      <c r="K689" s="117"/>
      <c r="L689" s="117"/>
      <c r="M689" s="117"/>
      <c r="N689" s="117"/>
      <c r="O689" s="117"/>
      <c r="P689" s="117"/>
      <c r="Q689" s="117"/>
      <c r="R689" s="117"/>
      <c r="S689" s="117"/>
      <c r="T689" s="117"/>
      <c r="U689" s="235"/>
      <c r="V689" s="117"/>
      <c r="W689" s="117"/>
      <c r="X689" s="117"/>
      <c r="Y689" s="117"/>
      <c r="Z689" s="117"/>
      <c r="AA689" s="44"/>
      <c r="AB689" s="117"/>
      <c r="AC689" s="44"/>
      <c r="AD689" s="117"/>
    </row>
    <row r="690" spans="1:30" ht="14.25" customHeight="1">
      <c r="A690" s="189"/>
      <c r="B690" s="189"/>
      <c r="C690" s="44"/>
      <c r="D690" s="117"/>
      <c r="E690" s="44"/>
      <c r="F690" s="44"/>
      <c r="G690" s="117"/>
      <c r="H690" s="117"/>
      <c r="I690" s="117"/>
      <c r="J690" s="117"/>
      <c r="K690" s="117"/>
      <c r="L690" s="117"/>
      <c r="M690" s="117"/>
      <c r="N690" s="117"/>
      <c r="O690" s="117"/>
      <c r="P690" s="117"/>
      <c r="Q690" s="117"/>
      <c r="R690" s="117"/>
      <c r="S690" s="117"/>
      <c r="T690" s="117"/>
      <c r="U690" s="235"/>
      <c r="V690" s="117"/>
      <c r="W690" s="117"/>
      <c r="X690" s="117"/>
      <c r="Y690" s="117"/>
      <c r="Z690" s="117"/>
      <c r="AA690" s="44"/>
      <c r="AB690" s="117"/>
      <c r="AC690" s="44"/>
      <c r="AD690" s="117"/>
    </row>
    <row r="691" spans="1:30" ht="14.25" customHeight="1">
      <c r="A691" s="189"/>
      <c r="B691" s="189"/>
      <c r="C691" s="44"/>
      <c r="D691" s="117"/>
      <c r="E691" s="44"/>
      <c r="F691" s="44"/>
      <c r="G691" s="117"/>
      <c r="H691" s="117"/>
      <c r="I691" s="117"/>
      <c r="J691" s="117"/>
      <c r="K691" s="117"/>
      <c r="L691" s="117"/>
      <c r="M691" s="117"/>
      <c r="N691" s="117"/>
      <c r="O691" s="117"/>
      <c r="P691" s="117"/>
      <c r="Q691" s="117"/>
      <c r="R691" s="117"/>
      <c r="S691" s="117"/>
      <c r="T691" s="117"/>
      <c r="U691" s="235"/>
      <c r="V691" s="117"/>
      <c r="W691" s="117"/>
      <c r="X691" s="117"/>
      <c r="Y691" s="117"/>
      <c r="Z691" s="117"/>
      <c r="AA691" s="44"/>
      <c r="AB691" s="117"/>
      <c r="AC691" s="44"/>
      <c r="AD691" s="117"/>
    </row>
    <row r="692" spans="1:30" ht="14.25" customHeight="1">
      <c r="A692" s="189"/>
      <c r="B692" s="189"/>
      <c r="C692" s="44"/>
      <c r="D692" s="117"/>
      <c r="E692" s="44"/>
      <c r="F692" s="44"/>
      <c r="G692" s="117"/>
      <c r="H692" s="117"/>
      <c r="I692" s="117"/>
      <c r="J692" s="117"/>
      <c r="K692" s="117"/>
      <c r="L692" s="117"/>
      <c r="M692" s="117"/>
      <c r="N692" s="117"/>
      <c r="O692" s="117"/>
      <c r="P692" s="117"/>
      <c r="Q692" s="117"/>
      <c r="R692" s="117"/>
      <c r="S692" s="117"/>
      <c r="T692" s="117"/>
      <c r="U692" s="235"/>
      <c r="V692" s="117"/>
      <c r="W692" s="117"/>
      <c r="X692" s="117"/>
      <c r="Y692" s="117"/>
      <c r="Z692" s="117"/>
      <c r="AA692" s="44"/>
      <c r="AB692" s="117"/>
      <c r="AC692" s="44"/>
      <c r="AD692" s="117"/>
    </row>
    <row r="693" spans="1:30" ht="14.25" customHeight="1">
      <c r="A693" s="189"/>
      <c r="B693" s="189"/>
      <c r="C693" s="44"/>
      <c r="D693" s="117"/>
      <c r="E693" s="44"/>
      <c r="F693" s="44"/>
      <c r="G693" s="117"/>
      <c r="H693" s="117"/>
      <c r="I693" s="117"/>
      <c r="J693" s="117"/>
      <c r="K693" s="117"/>
      <c r="L693" s="117"/>
      <c r="M693" s="117"/>
      <c r="N693" s="117"/>
      <c r="O693" s="117"/>
      <c r="P693" s="117"/>
      <c r="Q693" s="117"/>
      <c r="R693" s="117"/>
      <c r="S693" s="117"/>
      <c r="T693" s="117"/>
      <c r="U693" s="235"/>
      <c r="V693" s="117"/>
      <c r="W693" s="117"/>
      <c r="X693" s="117"/>
      <c r="Y693" s="117"/>
      <c r="Z693" s="117"/>
      <c r="AA693" s="44"/>
      <c r="AB693" s="117"/>
      <c r="AC693" s="44"/>
      <c r="AD693" s="117"/>
    </row>
    <row r="694" spans="1:30" ht="14.25" customHeight="1">
      <c r="A694" s="189"/>
      <c r="B694" s="189"/>
      <c r="C694" s="44"/>
      <c r="D694" s="117"/>
      <c r="E694" s="44"/>
      <c r="F694" s="44"/>
      <c r="G694" s="117"/>
      <c r="H694" s="117"/>
      <c r="I694" s="117"/>
      <c r="J694" s="117"/>
      <c r="K694" s="117"/>
      <c r="L694" s="117"/>
      <c r="M694" s="117"/>
      <c r="N694" s="117"/>
      <c r="O694" s="117"/>
      <c r="P694" s="117"/>
      <c r="Q694" s="117"/>
      <c r="R694" s="117"/>
      <c r="S694" s="117"/>
      <c r="T694" s="117"/>
      <c r="U694" s="235"/>
      <c r="V694" s="117"/>
      <c r="W694" s="117"/>
      <c r="X694" s="117"/>
      <c r="Y694" s="117"/>
      <c r="Z694" s="117"/>
      <c r="AA694" s="44"/>
      <c r="AB694" s="117"/>
      <c r="AC694" s="44"/>
      <c r="AD694" s="117"/>
    </row>
    <row r="695" spans="1:30" ht="14.25" customHeight="1">
      <c r="A695" s="189"/>
      <c r="B695" s="189"/>
      <c r="C695" s="44"/>
      <c r="D695" s="117"/>
      <c r="E695" s="44"/>
      <c r="F695" s="44"/>
      <c r="G695" s="117"/>
      <c r="H695" s="117"/>
      <c r="I695" s="117"/>
      <c r="J695" s="117"/>
      <c r="K695" s="117"/>
      <c r="L695" s="117"/>
      <c r="M695" s="117"/>
      <c r="N695" s="117"/>
      <c r="O695" s="117"/>
      <c r="P695" s="117"/>
      <c r="Q695" s="117"/>
      <c r="R695" s="117"/>
      <c r="S695" s="117"/>
      <c r="T695" s="117"/>
      <c r="U695" s="235"/>
      <c r="V695" s="117"/>
      <c r="W695" s="117"/>
      <c r="X695" s="117"/>
      <c r="Y695" s="117"/>
      <c r="Z695" s="117"/>
      <c r="AA695" s="44"/>
      <c r="AB695" s="117"/>
      <c r="AC695" s="44"/>
      <c r="AD695" s="117"/>
    </row>
    <row r="696" spans="1:30" ht="14.25" customHeight="1">
      <c r="A696" s="189"/>
      <c r="B696" s="189"/>
      <c r="C696" s="44"/>
      <c r="D696" s="117"/>
      <c r="E696" s="44"/>
      <c r="F696" s="44"/>
      <c r="G696" s="117"/>
      <c r="H696" s="117"/>
      <c r="I696" s="117"/>
      <c r="J696" s="117"/>
      <c r="K696" s="117"/>
      <c r="L696" s="117"/>
      <c r="M696" s="117"/>
      <c r="N696" s="117"/>
      <c r="O696" s="117"/>
      <c r="P696" s="117"/>
      <c r="Q696" s="117"/>
      <c r="R696" s="117"/>
      <c r="S696" s="117"/>
      <c r="T696" s="117"/>
      <c r="U696" s="235"/>
      <c r="V696" s="117"/>
      <c r="W696" s="117"/>
      <c r="X696" s="117"/>
      <c r="Y696" s="117"/>
      <c r="Z696" s="117"/>
      <c r="AA696" s="44"/>
      <c r="AB696" s="117"/>
      <c r="AC696" s="44"/>
      <c r="AD696" s="117"/>
    </row>
    <row r="697" spans="1:30" ht="14.25" customHeight="1">
      <c r="A697" s="189"/>
      <c r="B697" s="189"/>
      <c r="C697" s="44"/>
      <c r="D697" s="117"/>
      <c r="E697" s="44"/>
      <c r="F697" s="44"/>
      <c r="G697" s="117"/>
      <c r="H697" s="117"/>
      <c r="I697" s="117"/>
      <c r="J697" s="117"/>
      <c r="K697" s="117"/>
      <c r="L697" s="117"/>
      <c r="M697" s="117"/>
      <c r="N697" s="117"/>
      <c r="O697" s="117"/>
      <c r="P697" s="117"/>
      <c r="Q697" s="117"/>
      <c r="R697" s="117"/>
      <c r="S697" s="117"/>
      <c r="T697" s="117"/>
      <c r="U697" s="235"/>
      <c r="V697" s="117"/>
      <c r="W697" s="117"/>
      <c r="X697" s="117"/>
      <c r="Y697" s="117"/>
      <c r="Z697" s="117"/>
      <c r="AA697" s="44"/>
      <c r="AB697" s="117"/>
      <c r="AC697" s="44"/>
      <c r="AD697" s="117"/>
    </row>
    <row r="698" spans="1:30" ht="14.25" customHeight="1">
      <c r="A698" s="189"/>
      <c r="B698" s="189"/>
      <c r="C698" s="44"/>
      <c r="D698" s="117"/>
      <c r="E698" s="44"/>
      <c r="F698" s="44"/>
      <c r="G698" s="117"/>
      <c r="H698" s="117"/>
      <c r="I698" s="117"/>
      <c r="J698" s="117"/>
      <c r="K698" s="117"/>
      <c r="L698" s="117"/>
      <c r="M698" s="117"/>
      <c r="N698" s="117"/>
      <c r="O698" s="117"/>
      <c r="P698" s="117"/>
      <c r="Q698" s="117"/>
      <c r="R698" s="117"/>
      <c r="S698" s="117"/>
      <c r="T698" s="117"/>
      <c r="U698" s="235"/>
      <c r="V698" s="117"/>
      <c r="W698" s="117"/>
      <c r="X698" s="117"/>
      <c r="Y698" s="117"/>
      <c r="Z698" s="117"/>
      <c r="AA698" s="44"/>
      <c r="AB698" s="117"/>
      <c r="AC698" s="44"/>
      <c r="AD698" s="117"/>
    </row>
    <row r="699" spans="1:30" ht="14.25" customHeight="1">
      <c r="A699" s="189"/>
      <c r="B699" s="189"/>
      <c r="C699" s="44"/>
      <c r="D699" s="117"/>
      <c r="E699" s="44"/>
      <c r="F699" s="44"/>
      <c r="G699" s="117"/>
      <c r="H699" s="117"/>
      <c r="I699" s="117"/>
      <c r="J699" s="117"/>
      <c r="K699" s="117"/>
      <c r="L699" s="117"/>
      <c r="M699" s="117"/>
      <c r="N699" s="117"/>
      <c r="O699" s="117"/>
      <c r="P699" s="117"/>
      <c r="Q699" s="117"/>
      <c r="R699" s="117"/>
      <c r="S699" s="117"/>
      <c r="T699" s="117"/>
      <c r="U699" s="235"/>
      <c r="V699" s="117"/>
      <c r="W699" s="117"/>
      <c r="X699" s="117"/>
      <c r="Y699" s="117"/>
      <c r="Z699" s="117"/>
      <c r="AA699" s="44"/>
      <c r="AB699" s="117"/>
      <c r="AC699" s="44"/>
      <c r="AD699" s="117"/>
    </row>
    <row r="700" spans="1:30" ht="14.25" customHeight="1">
      <c r="A700" s="189"/>
      <c r="B700" s="189"/>
      <c r="C700" s="44"/>
      <c r="D700" s="117"/>
      <c r="E700" s="44"/>
      <c r="F700" s="44"/>
      <c r="G700" s="117"/>
      <c r="H700" s="117"/>
      <c r="I700" s="117"/>
      <c r="J700" s="117"/>
      <c r="K700" s="117"/>
      <c r="L700" s="117"/>
      <c r="M700" s="117"/>
      <c r="N700" s="117"/>
      <c r="O700" s="117"/>
      <c r="P700" s="117"/>
      <c r="Q700" s="117"/>
      <c r="R700" s="117"/>
      <c r="S700" s="117"/>
      <c r="T700" s="117"/>
      <c r="U700" s="235"/>
      <c r="V700" s="117"/>
      <c r="W700" s="117"/>
      <c r="X700" s="117"/>
      <c r="Y700" s="117"/>
      <c r="Z700" s="117"/>
      <c r="AA700" s="44"/>
      <c r="AB700" s="117"/>
      <c r="AC700" s="44"/>
      <c r="AD700" s="117"/>
    </row>
    <row r="701" spans="1:30" ht="14.25" customHeight="1">
      <c r="A701" s="189"/>
      <c r="B701" s="189"/>
      <c r="C701" s="44"/>
      <c r="D701" s="117"/>
      <c r="E701" s="44"/>
      <c r="F701" s="44"/>
      <c r="G701" s="117"/>
      <c r="H701" s="117"/>
      <c r="I701" s="117"/>
      <c r="J701" s="117"/>
      <c r="K701" s="117"/>
      <c r="L701" s="117"/>
      <c r="M701" s="117"/>
      <c r="N701" s="117"/>
      <c r="O701" s="117"/>
      <c r="P701" s="117"/>
      <c r="Q701" s="117"/>
      <c r="R701" s="117"/>
      <c r="S701" s="117"/>
      <c r="T701" s="117"/>
      <c r="U701" s="235"/>
      <c r="V701" s="117"/>
      <c r="W701" s="117"/>
      <c r="X701" s="117"/>
      <c r="Y701" s="117"/>
      <c r="Z701" s="117"/>
      <c r="AA701" s="44"/>
      <c r="AB701" s="117"/>
      <c r="AC701" s="44"/>
      <c r="AD701" s="117"/>
    </row>
    <row r="702" spans="1:30" ht="14.25" customHeight="1">
      <c r="A702" s="189"/>
      <c r="B702" s="189"/>
      <c r="C702" s="44"/>
      <c r="D702" s="117"/>
      <c r="E702" s="44"/>
      <c r="F702" s="44"/>
      <c r="G702" s="117"/>
      <c r="H702" s="117"/>
      <c r="I702" s="117"/>
      <c r="J702" s="117"/>
      <c r="K702" s="117"/>
      <c r="L702" s="117"/>
      <c r="M702" s="117"/>
      <c r="N702" s="117"/>
      <c r="O702" s="117"/>
      <c r="P702" s="117"/>
      <c r="Q702" s="117"/>
      <c r="R702" s="117"/>
      <c r="S702" s="117"/>
      <c r="T702" s="117"/>
      <c r="U702" s="235"/>
      <c r="V702" s="117"/>
      <c r="W702" s="117"/>
      <c r="X702" s="117"/>
      <c r="Y702" s="117"/>
      <c r="Z702" s="117"/>
      <c r="AA702" s="44"/>
      <c r="AB702" s="117"/>
      <c r="AC702" s="44"/>
      <c r="AD702" s="117"/>
    </row>
    <row r="703" spans="1:30" ht="14.25" customHeight="1">
      <c r="A703" s="189"/>
      <c r="B703" s="189"/>
      <c r="C703" s="44"/>
      <c r="D703" s="117"/>
      <c r="E703" s="44"/>
      <c r="F703" s="44"/>
      <c r="G703" s="117"/>
      <c r="H703" s="117"/>
      <c r="I703" s="117"/>
      <c r="J703" s="117"/>
      <c r="K703" s="117"/>
      <c r="L703" s="117"/>
      <c r="M703" s="117"/>
      <c r="N703" s="117"/>
      <c r="O703" s="117"/>
      <c r="P703" s="117"/>
      <c r="Q703" s="117"/>
      <c r="R703" s="117"/>
      <c r="S703" s="117"/>
      <c r="T703" s="117"/>
      <c r="U703" s="235"/>
      <c r="V703" s="117"/>
      <c r="W703" s="117"/>
      <c r="X703" s="117"/>
      <c r="Y703" s="117"/>
      <c r="Z703" s="117"/>
      <c r="AA703" s="44"/>
      <c r="AB703" s="117"/>
      <c r="AC703" s="44"/>
      <c r="AD703" s="117"/>
    </row>
    <row r="704" spans="1:30" ht="14.25" customHeight="1">
      <c r="A704" s="189"/>
      <c r="B704" s="189"/>
      <c r="C704" s="44"/>
      <c r="D704" s="117"/>
      <c r="E704" s="44"/>
      <c r="F704" s="44"/>
      <c r="G704" s="117"/>
      <c r="H704" s="117"/>
      <c r="I704" s="117"/>
      <c r="J704" s="117"/>
      <c r="K704" s="117"/>
      <c r="L704" s="117"/>
      <c r="M704" s="117"/>
      <c r="N704" s="117"/>
      <c r="O704" s="117"/>
      <c r="P704" s="117"/>
      <c r="Q704" s="117"/>
      <c r="R704" s="117"/>
      <c r="S704" s="117"/>
      <c r="T704" s="117"/>
      <c r="U704" s="235"/>
      <c r="V704" s="117"/>
      <c r="W704" s="117"/>
      <c r="X704" s="117"/>
      <c r="Y704" s="117"/>
      <c r="Z704" s="117"/>
      <c r="AA704" s="44"/>
      <c r="AB704" s="117"/>
      <c r="AC704" s="44"/>
      <c r="AD704" s="117"/>
    </row>
    <row r="705" spans="1:30" ht="14.25" customHeight="1">
      <c r="A705" s="189"/>
      <c r="B705" s="189"/>
      <c r="C705" s="44"/>
      <c r="D705" s="117"/>
      <c r="E705" s="44"/>
      <c r="F705" s="44"/>
      <c r="G705" s="117"/>
      <c r="H705" s="117"/>
      <c r="I705" s="117"/>
      <c r="J705" s="117"/>
      <c r="K705" s="117"/>
      <c r="L705" s="117"/>
      <c r="M705" s="117"/>
      <c r="N705" s="117"/>
      <c r="O705" s="117"/>
      <c r="P705" s="117"/>
      <c r="Q705" s="117"/>
      <c r="R705" s="117"/>
      <c r="S705" s="117"/>
      <c r="T705" s="117"/>
      <c r="U705" s="235"/>
      <c r="V705" s="117"/>
      <c r="W705" s="117"/>
      <c r="X705" s="117"/>
      <c r="Y705" s="117"/>
      <c r="Z705" s="117"/>
      <c r="AA705" s="44"/>
      <c r="AB705" s="117"/>
      <c r="AC705" s="44"/>
      <c r="AD705" s="117"/>
    </row>
    <row r="706" spans="1:30" ht="14.25" customHeight="1">
      <c r="A706" s="189"/>
      <c r="B706" s="189"/>
      <c r="C706" s="44"/>
      <c r="D706" s="117"/>
      <c r="E706" s="44"/>
      <c r="F706" s="44"/>
      <c r="G706" s="117"/>
      <c r="H706" s="117"/>
      <c r="I706" s="117"/>
      <c r="J706" s="117"/>
      <c r="K706" s="117"/>
      <c r="L706" s="117"/>
      <c r="M706" s="117"/>
      <c r="N706" s="117"/>
      <c r="O706" s="117"/>
      <c r="P706" s="117"/>
      <c r="Q706" s="117"/>
      <c r="R706" s="117"/>
      <c r="S706" s="117"/>
      <c r="T706" s="117"/>
      <c r="U706" s="235"/>
      <c r="V706" s="117"/>
      <c r="W706" s="117"/>
      <c r="X706" s="117"/>
      <c r="Y706" s="117"/>
      <c r="Z706" s="117"/>
      <c r="AA706" s="44"/>
      <c r="AB706" s="117"/>
      <c r="AC706" s="44"/>
      <c r="AD706" s="117"/>
    </row>
    <row r="707" spans="1:30" ht="14.25" customHeight="1">
      <c r="A707" s="189"/>
      <c r="B707" s="189"/>
      <c r="C707" s="44"/>
      <c r="D707" s="117"/>
      <c r="E707" s="44"/>
      <c r="F707" s="44"/>
      <c r="G707" s="117"/>
      <c r="H707" s="117"/>
      <c r="I707" s="117"/>
      <c r="J707" s="117"/>
      <c r="K707" s="117"/>
      <c r="L707" s="117"/>
      <c r="M707" s="117"/>
      <c r="N707" s="117"/>
      <c r="O707" s="117"/>
      <c r="P707" s="117"/>
      <c r="Q707" s="117"/>
      <c r="R707" s="117"/>
      <c r="S707" s="117"/>
      <c r="T707" s="117"/>
      <c r="U707" s="235"/>
      <c r="V707" s="117"/>
      <c r="W707" s="117"/>
      <c r="X707" s="117"/>
      <c r="Y707" s="117"/>
      <c r="Z707" s="117"/>
      <c r="AA707" s="44"/>
      <c r="AB707" s="117"/>
      <c r="AC707" s="44"/>
      <c r="AD707" s="117"/>
    </row>
    <row r="708" spans="1:30" ht="14.25" customHeight="1">
      <c r="A708" s="189"/>
      <c r="B708" s="189"/>
      <c r="C708" s="44"/>
      <c r="D708" s="117"/>
      <c r="E708" s="44"/>
      <c r="F708" s="44"/>
      <c r="G708" s="117"/>
      <c r="H708" s="117"/>
      <c r="I708" s="117"/>
      <c r="J708" s="117"/>
      <c r="K708" s="117"/>
      <c r="L708" s="117"/>
      <c r="M708" s="117"/>
      <c r="N708" s="117"/>
      <c r="O708" s="117"/>
      <c r="P708" s="117"/>
      <c r="Q708" s="117"/>
      <c r="R708" s="117"/>
      <c r="S708" s="117"/>
      <c r="T708" s="117"/>
      <c r="U708" s="235"/>
      <c r="V708" s="117"/>
      <c r="W708" s="117"/>
      <c r="X708" s="117"/>
      <c r="Y708" s="117"/>
      <c r="Z708" s="117"/>
      <c r="AA708" s="44"/>
      <c r="AB708" s="117"/>
      <c r="AC708" s="44"/>
      <c r="AD708" s="117"/>
    </row>
    <row r="709" spans="1:30" ht="14.25" customHeight="1">
      <c r="A709" s="189"/>
      <c r="B709" s="189"/>
      <c r="C709" s="44"/>
      <c r="D709" s="117"/>
      <c r="E709" s="44"/>
      <c r="F709" s="44"/>
      <c r="G709" s="117"/>
      <c r="H709" s="117"/>
      <c r="I709" s="117"/>
      <c r="J709" s="117"/>
      <c r="K709" s="117"/>
      <c r="L709" s="117"/>
      <c r="M709" s="117"/>
      <c r="N709" s="117"/>
      <c r="O709" s="117"/>
      <c r="P709" s="117"/>
      <c r="Q709" s="117"/>
      <c r="R709" s="117"/>
      <c r="S709" s="117"/>
      <c r="T709" s="117"/>
      <c r="U709" s="235"/>
      <c r="V709" s="117"/>
      <c r="W709" s="117"/>
      <c r="X709" s="117"/>
      <c r="Y709" s="117"/>
      <c r="Z709" s="117"/>
      <c r="AA709" s="44"/>
      <c r="AB709" s="117"/>
      <c r="AC709" s="44"/>
      <c r="AD709" s="117"/>
    </row>
    <row r="710" spans="1:30" ht="14.25" customHeight="1">
      <c r="A710" s="189"/>
      <c r="B710" s="189"/>
      <c r="C710" s="44"/>
      <c r="D710" s="117"/>
      <c r="E710" s="44"/>
      <c r="F710" s="44"/>
      <c r="G710" s="117"/>
      <c r="H710" s="117"/>
      <c r="I710" s="117"/>
      <c r="J710" s="117"/>
      <c r="K710" s="117"/>
      <c r="L710" s="117"/>
      <c r="M710" s="117"/>
      <c r="N710" s="117"/>
      <c r="O710" s="117"/>
      <c r="P710" s="117"/>
      <c r="Q710" s="117"/>
      <c r="R710" s="117"/>
      <c r="S710" s="117"/>
      <c r="T710" s="117"/>
      <c r="U710" s="235"/>
      <c r="V710" s="117"/>
      <c r="W710" s="117"/>
      <c r="X710" s="117"/>
      <c r="Y710" s="117"/>
      <c r="Z710" s="117"/>
      <c r="AA710" s="44"/>
      <c r="AB710" s="117"/>
      <c r="AC710" s="44"/>
      <c r="AD710" s="117"/>
    </row>
    <row r="711" spans="1:30" ht="14.25" customHeight="1">
      <c r="A711" s="189"/>
      <c r="B711" s="189"/>
      <c r="C711" s="44"/>
      <c r="D711" s="117"/>
      <c r="E711" s="44"/>
      <c r="F711" s="44"/>
      <c r="G711" s="117"/>
      <c r="H711" s="117"/>
      <c r="I711" s="117"/>
      <c r="J711" s="117"/>
      <c r="K711" s="117"/>
      <c r="L711" s="117"/>
      <c r="M711" s="117"/>
      <c r="N711" s="117"/>
      <c r="O711" s="117"/>
      <c r="P711" s="117"/>
      <c r="Q711" s="117"/>
      <c r="R711" s="117"/>
      <c r="S711" s="117"/>
      <c r="T711" s="117"/>
      <c r="U711" s="235"/>
      <c r="V711" s="117"/>
      <c r="W711" s="117"/>
      <c r="X711" s="117"/>
      <c r="Y711" s="117"/>
      <c r="Z711" s="117"/>
      <c r="AA711" s="44"/>
      <c r="AB711" s="117"/>
      <c r="AC711" s="44"/>
      <c r="AD711" s="117"/>
    </row>
    <row r="712" spans="1:30" ht="14.25" customHeight="1">
      <c r="A712" s="189"/>
      <c r="B712" s="189"/>
      <c r="C712" s="44"/>
      <c r="D712" s="117"/>
      <c r="E712" s="44"/>
      <c r="F712" s="44"/>
      <c r="G712" s="117"/>
      <c r="H712" s="117"/>
      <c r="I712" s="117"/>
      <c r="J712" s="117"/>
      <c r="K712" s="117"/>
      <c r="L712" s="117"/>
      <c r="M712" s="117"/>
      <c r="N712" s="117"/>
      <c r="O712" s="117"/>
      <c r="P712" s="117"/>
      <c r="Q712" s="117"/>
      <c r="R712" s="117"/>
      <c r="S712" s="117"/>
      <c r="T712" s="117"/>
      <c r="U712" s="235"/>
      <c r="V712" s="117"/>
      <c r="W712" s="117"/>
      <c r="X712" s="117"/>
      <c r="Y712" s="117"/>
      <c r="Z712" s="117"/>
      <c r="AA712" s="44"/>
      <c r="AB712" s="117"/>
      <c r="AC712" s="44"/>
      <c r="AD712" s="117"/>
    </row>
    <row r="713" spans="1:30" ht="14.25" customHeight="1">
      <c r="A713" s="189"/>
      <c r="B713" s="189"/>
      <c r="C713" s="44"/>
      <c r="D713" s="117"/>
      <c r="E713" s="44"/>
      <c r="F713" s="44"/>
      <c r="G713" s="117"/>
      <c r="H713" s="117"/>
      <c r="I713" s="117"/>
      <c r="J713" s="117"/>
      <c r="K713" s="117"/>
      <c r="L713" s="117"/>
      <c r="M713" s="117"/>
      <c r="N713" s="117"/>
      <c r="O713" s="117"/>
      <c r="P713" s="117"/>
      <c r="Q713" s="117"/>
      <c r="R713" s="117"/>
      <c r="S713" s="117"/>
      <c r="T713" s="117"/>
      <c r="U713" s="235"/>
      <c r="V713" s="117"/>
      <c r="W713" s="117"/>
      <c r="X713" s="117"/>
      <c r="Y713" s="117"/>
      <c r="Z713" s="117"/>
      <c r="AA713" s="44"/>
      <c r="AB713" s="117"/>
      <c r="AC713" s="44"/>
      <c r="AD713" s="117"/>
    </row>
    <row r="714" spans="1:30" ht="14.25" customHeight="1">
      <c r="A714" s="189"/>
      <c r="B714" s="189"/>
      <c r="C714" s="44"/>
      <c r="D714" s="117"/>
      <c r="E714" s="44"/>
      <c r="F714" s="44"/>
      <c r="G714" s="117"/>
      <c r="H714" s="117"/>
      <c r="I714" s="117"/>
      <c r="J714" s="117"/>
      <c r="K714" s="117"/>
      <c r="L714" s="117"/>
      <c r="M714" s="117"/>
      <c r="N714" s="117"/>
      <c r="O714" s="117"/>
      <c r="P714" s="117"/>
      <c r="Q714" s="117"/>
      <c r="R714" s="117"/>
      <c r="S714" s="117"/>
      <c r="T714" s="117"/>
      <c r="U714" s="235"/>
      <c r="V714" s="117"/>
      <c r="W714" s="117"/>
      <c r="X714" s="117"/>
      <c r="Y714" s="117"/>
      <c r="Z714" s="117"/>
      <c r="AA714" s="44"/>
      <c r="AB714" s="117"/>
      <c r="AC714" s="44"/>
      <c r="AD714" s="117"/>
    </row>
    <row r="715" spans="1:30" ht="14.25" customHeight="1">
      <c r="A715" s="189"/>
      <c r="B715" s="189"/>
      <c r="C715" s="44"/>
      <c r="D715" s="117"/>
      <c r="E715" s="44"/>
      <c r="F715" s="44"/>
      <c r="G715" s="117"/>
      <c r="H715" s="117"/>
      <c r="I715" s="117"/>
      <c r="J715" s="117"/>
      <c r="K715" s="117"/>
      <c r="L715" s="117"/>
      <c r="M715" s="117"/>
      <c r="N715" s="117"/>
      <c r="O715" s="117"/>
      <c r="P715" s="117"/>
      <c r="Q715" s="117"/>
      <c r="R715" s="117"/>
      <c r="S715" s="117"/>
      <c r="T715" s="117"/>
      <c r="U715" s="235"/>
      <c r="V715" s="117"/>
      <c r="W715" s="117"/>
      <c r="X715" s="117"/>
      <c r="Y715" s="117"/>
      <c r="Z715" s="117"/>
      <c r="AA715" s="44"/>
      <c r="AB715" s="117"/>
      <c r="AC715" s="44"/>
      <c r="AD715" s="117"/>
    </row>
    <row r="716" spans="1:30" ht="14.25" customHeight="1">
      <c r="A716" s="189"/>
      <c r="B716" s="189"/>
      <c r="C716" s="44"/>
      <c r="D716" s="117"/>
      <c r="E716" s="44"/>
      <c r="F716" s="44"/>
      <c r="G716" s="117"/>
      <c r="H716" s="117"/>
      <c r="I716" s="117"/>
      <c r="J716" s="117"/>
      <c r="K716" s="117"/>
      <c r="L716" s="117"/>
      <c r="M716" s="117"/>
      <c r="N716" s="117"/>
      <c r="O716" s="117"/>
      <c r="P716" s="117"/>
      <c r="Q716" s="117"/>
      <c r="R716" s="117"/>
      <c r="S716" s="117"/>
      <c r="T716" s="117"/>
      <c r="U716" s="235"/>
      <c r="V716" s="117"/>
      <c r="W716" s="117"/>
      <c r="X716" s="117"/>
      <c r="Y716" s="117"/>
      <c r="Z716" s="117"/>
      <c r="AA716" s="44"/>
      <c r="AB716" s="117"/>
      <c r="AC716" s="44"/>
      <c r="AD716" s="117"/>
    </row>
    <row r="717" spans="1:30" ht="14.25" customHeight="1">
      <c r="A717" s="189"/>
      <c r="B717" s="189"/>
      <c r="C717" s="44"/>
      <c r="D717" s="117"/>
      <c r="E717" s="44"/>
      <c r="F717" s="44"/>
      <c r="G717" s="117"/>
      <c r="H717" s="117"/>
      <c r="I717" s="117"/>
      <c r="J717" s="117"/>
      <c r="K717" s="117"/>
      <c r="L717" s="117"/>
      <c r="M717" s="117"/>
      <c r="N717" s="117"/>
      <c r="O717" s="117"/>
      <c r="P717" s="117"/>
      <c r="Q717" s="117"/>
      <c r="R717" s="117"/>
      <c r="S717" s="117"/>
      <c r="T717" s="117"/>
      <c r="U717" s="235"/>
      <c r="V717" s="117"/>
      <c r="W717" s="117"/>
      <c r="X717" s="117"/>
      <c r="Y717" s="117"/>
      <c r="Z717" s="117"/>
      <c r="AA717" s="44"/>
      <c r="AB717" s="117"/>
      <c r="AC717" s="44"/>
      <c r="AD717" s="117"/>
    </row>
    <row r="718" spans="1:30" ht="14.25" customHeight="1">
      <c r="A718" s="189"/>
      <c r="B718" s="189"/>
      <c r="C718" s="44"/>
      <c r="D718" s="117"/>
      <c r="E718" s="44"/>
      <c r="F718" s="44"/>
      <c r="G718" s="117"/>
      <c r="H718" s="117"/>
      <c r="I718" s="117"/>
      <c r="J718" s="117"/>
      <c r="K718" s="117"/>
      <c r="L718" s="117"/>
      <c r="M718" s="117"/>
      <c r="N718" s="117"/>
      <c r="O718" s="117"/>
      <c r="P718" s="117"/>
      <c r="Q718" s="117"/>
      <c r="R718" s="117"/>
      <c r="S718" s="117"/>
      <c r="T718" s="117"/>
      <c r="U718" s="235"/>
      <c r="V718" s="117"/>
      <c r="W718" s="117"/>
      <c r="X718" s="117"/>
      <c r="Y718" s="117"/>
      <c r="Z718" s="117"/>
      <c r="AA718" s="44"/>
      <c r="AB718" s="117"/>
      <c r="AC718" s="44"/>
      <c r="AD718" s="117"/>
    </row>
    <row r="719" spans="1:30" ht="14.25" customHeight="1">
      <c r="A719" s="189"/>
      <c r="B719" s="189"/>
      <c r="C719" s="44"/>
      <c r="D719" s="117"/>
      <c r="E719" s="44"/>
      <c r="F719" s="44"/>
      <c r="G719" s="117"/>
      <c r="H719" s="117"/>
      <c r="I719" s="117"/>
      <c r="J719" s="117"/>
      <c r="K719" s="117"/>
      <c r="L719" s="117"/>
      <c r="M719" s="117"/>
      <c r="N719" s="117"/>
      <c r="O719" s="117"/>
      <c r="P719" s="117"/>
      <c r="Q719" s="117"/>
      <c r="R719" s="117"/>
      <c r="S719" s="117"/>
      <c r="T719" s="117"/>
      <c r="U719" s="235"/>
      <c r="V719" s="117"/>
      <c r="W719" s="117"/>
      <c r="X719" s="117"/>
      <c r="Y719" s="117"/>
      <c r="Z719" s="117"/>
      <c r="AA719" s="44"/>
      <c r="AB719" s="117"/>
      <c r="AC719" s="44"/>
      <c r="AD719" s="117"/>
    </row>
    <row r="720" spans="1:30" ht="14.25" customHeight="1">
      <c r="A720" s="189"/>
      <c r="B720" s="189"/>
      <c r="C720" s="44"/>
      <c r="D720" s="117"/>
      <c r="E720" s="44"/>
      <c r="F720" s="44"/>
      <c r="G720" s="117"/>
      <c r="H720" s="117"/>
      <c r="I720" s="117"/>
      <c r="J720" s="117"/>
      <c r="K720" s="117"/>
      <c r="L720" s="117"/>
      <c r="M720" s="117"/>
      <c r="N720" s="117"/>
      <c r="O720" s="117"/>
      <c r="P720" s="117"/>
      <c r="Q720" s="117"/>
      <c r="R720" s="117"/>
      <c r="S720" s="117"/>
      <c r="T720" s="117"/>
      <c r="U720" s="235"/>
      <c r="V720" s="117"/>
      <c r="W720" s="117"/>
      <c r="X720" s="117"/>
      <c r="Y720" s="117"/>
      <c r="Z720" s="117"/>
      <c r="AA720" s="44"/>
      <c r="AB720" s="117"/>
      <c r="AC720" s="44"/>
      <c r="AD720" s="117"/>
    </row>
    <row r="721" spans="1:30" ht="14.25" customHeight="1">
      <c r="A721" s="189"/>
      <c r="B721" s="189"/>
      <c r="C721" s="44"/>
      <c r="D721" s="117"/>
      <c r="E721" s="44"/>
      <c r="F721" s="44"/>
      <c r="G721" s="117"/>
      <c r="H721" s="117"/>
      <c r="I721" s="117"/>
      <c r="J721" s="117"/>
      <c r="K721" s="117"/>
      <c r="L721" s="117"/>
      <c r="M721" s="117"/>
      <c r="N721" s="117"/>
      <c r="O721" s="117"/>
      <c r="P721" s="117"/>
      <c r="Q721" s="117"/>
      <c r="R721" s="117"/>
      <c r="S721" s="117"/>
      <c r="T721" s="117"/>
      <c r="U721" s="235"/>
      <c r="V721" s="117"/>
      <c r="W721" s="117"/>
      <c r="X721" s="117"/>
      <c r="Y721" s="117"/>
      <c r="Z721" s="117"/>
      <c r="AA721" s="44"/>
      <c r="AB721" s="117"/>
      <c r="AC721" s="44"/>
      <c r="AD721" s="117"/>
    </row>
    <row r="722" spans="1:30" ht="14.25" customHeight="1">
      <c r="A722" s="189"/>
      <c r="B722" s="189"/>
      <c r="C722" s="44"/>
      <c r="D722" s="117"/>
      <c r="E722" s="44"/>
      <c r="F722" s="44"/>
      <c r="G722" s="117"/>
      <c r="H722" s="117"/>
      <c r="I722" s="117"/>
      <c r="J722" s="117"/>
      <c r="K722" s="117"/>
      <c r="L722" s="117"/>
      <c r="M722" s="117"/>
      <c r="N722" s="117"/>
      <c r="O722" s="117"/>
      <c r="P722" s="117"/>
      <c r="Q722" s="117"/>
      <c r="R722" s="117"/>
      <c r="S722" s="117"/>
      <c r="T722" s="117"/>
      <c r="U722" s="235"/>
      <c r="V722" s="117"/>
      <c r="W722" s="117"/>
      <c r="X722" s="117"/>
      <c r="Y722" s="117"/>
      <c r="Z722" s="117"/>
      <c r="AA722" s="44"/>
      <c r="AB722" s="117"/>
      <c r="AC722" s="44"/>
      <c r="AD722" s="117"/>
    </row>
    <row r="723" spans="1:30" ht="14.25" customHeight="1">
      <c r="A723" s="189"/>
      <c r="B723" s="189"/>
      <c r="C723" s="44"/>
      <c r="D723" s="117"/>
      <c r="E723" s="44"/>
      <c r="F723" s="44"/>
      <c r="G723" s="117"/>
      <c r="H723" s="117"/>
      <c r="I723" s="117"/>
      <c r="J723" s="117"/>
      <c r="K723" s="117"/>
      <c r="L723" s="117"/>
      <c r="M723" s="117"/>
      <c r="N723" s="117"/>
      <c r="O723" s="117"/>
      <c r="P723" s="117"/>
      <c r="Q723" s="117"/>
      <c r="R723" s="117"/>
      <c r="S723" s="117"/>
      <c r="T723" s="117"/>
      <c r="U723" s="235"/>
      <c r="V723" s="117"/>
      <c r="W723" s="117"/>
      <c r="X723" s="117"/>
      <c r="Y723" s="117"/>
      <c r="Z723" s="117"/>
      <c r="AA723" s="44"/>
      <c r="AB723" s="117"/>
      <c r="AC723" s="44"/>
      <c r="AD723" s="117"/>
    </row>
    <row r="724" spans="1:30" ht="14.25" customHeight="1">
      <c r="A724" s="189"/>
      <c r="B724" s="189"/>
      <c r="C724" s="44"/>
      <c r="D724" s="117"/>
      <c r="E724" s="44"/>
      <c r="F724" s="44"/>
      <c r="G724" s="117"/>
      <c r="H724" s="117"/>
      <c r="I724" s="117"/>
      <c r="J724" s="117"/>
      <c r="K724" s="117"/>
      <c r="L724" s="117"/>
      <c r="M724" s="117"/>
      <c r="N724" s="117"/>
      <c r="O724" s="117"/>
      <c r="P724" s="117"/>
      <c r="Q724" s="117"/>
      <c r="R724" s="117"/>
      <c r="S724" s="117"/>
      <c r="T724" s="117"/>
      <c r="U724" s="235"/>
      <c r="V724" s="117"/>
      <c r="W724" s="117"/>
      <c r="X724" s="117"/>
      <c r="Y724" s="117"/>
      <c r="Z724" s="117"/>
      <c r="AA724" s="44"/>
      <c r="AB724" s="117"/>
      <c r="AC724" s="44"/>
      <c r="AD724" s="117"/>
    </row>
    <row r="725" spans="1:30" ht="14.25" customHeight="1">
      <c r="A725" s="189"/>
      <c r="B725" s="189"/>
      <c r="C725" s="44"/>
      <c r="D725" s="117"/>
      <c r="E725" s="44"/>
      <c r="F725" s="44"/>
      <c r="G725" s="117"/>
      <c r="H725" s="117"/>
      <c r="I725" s="117"/>
      <c r="J725" s="117"/>
      <c r="K725" s="117"/>
      <c r="L725" s="117"/>
      <c r="M725" s="117"/>
      <c r="N725" s="117"/>
      <c r="O725" s="117"/>
      <c r="P725" s="117"/>
      <c r="Q725" s="117"/>
      <c r="R725" s="117"/>
      <c r="S725" s="117"/>
      <c r="T725" s="117"/>
      <c r="U725" s="235"/>
      <c r="V725" s="117"/>
      <c r="W725" s="117"/>
      <c r="X725" s="117"/>
      <c r="Y725" s="117"/>
      <c r="Z725" s="117"/>
      <c r="AA725" s="44"/>
      <c r="AB725" s="117"/>
      <c r="AC725" s="44"/>
      <c r="AD725" s="117"/>
    </row>
    <row r="726" spans="1:30" ht="14.25" customHeight="1">
      <c r="A726" s="189"/>
      <c r="B726" s="189"/>
      <c r="C726" s="44"/>
      <c r="D726" s="117"/>
      <c r="E726" s="44"/>
      <c r="F726" s="44"/>
      <c r="G726" s="117"/>
      <c r="H726" s="117"/>
      <c r="I726" s="117"/>
      <c r="J726" s="117"/>
      <c r="K726" s="117"/>
      <c r="L726" s="117"/>
      <c r="M726" s="117"/>
      <c r="N726" s="117"/>
      <c r="O726" s="117"/>
      <c r="P726" s="117"/>
      <c r="Q726" s="117"/>
      <c r="R726" s="117"/>
      <c r="S726" s="117"/>
      <c r="T726" s="117"/>
      <c r="U726" s="235"/>
      <c r="V726" s="117"/>
      <c r="W726" s="117"/>
      <c r="X726" s="117"/>
      <c r="Y726" s="117"/>
      <c r="Z726" s="117"/>
      <c r="AA726" s="44"/>
      <c r="AB726" s="117"/>
      <c r="AC726" s="44"/>
      <c r="AD726" s="117"/>
    </row>
    <row r="727" spans="1:30" ht="14.25" customHeight="1">
      <c r="A727" s="189"/>
      <c r="B727" s="189"/>
      <c r="C727" s="44"/>
      <c r="D727" s="117"/>
      <c r="E727" s="44"/>
      <c r="F727" s="44"/>
      <c r="G727" s="117"/>
      <c r="H727" s="117"/>
      <c r="I727" s="117"/>
      <c r="J727" s="117"/>
      <c r="K727" s="117"/>
      <c r="L727" s="117"/>
      <c r="M727" s="117"/>
      <c r="N727" s="117"/>
      <c r="O727" s="117"/>
      <c r="P727" s="117"/>
      <c r="Q727" s="117"/>
      <c r="R727" s="117"/>
      <c r="S727" s="117"/>
      <c r="T727" s="117"/>
      <c r="U727" s="235"/>
      <c r="V727" s="117"/>
      <c r="W727" s="117"/>
      <c r="X727" s="117"/>
      <c r="Y727" s="117"/>
      <c r="Z727" s="117"/>
      <c r="AA727" s="44"/>
      <c r="AB727" s="117"/>
      <c r="AC727" s="44"/>
      <c r="AD727" s="117"/>
    </row>
    <row r="728" spans="1:30" ht="14.25" customHeight="1">
      <c r="A728" s="189"/>
      <c r="B728" s="189"/>
      <c r="C728" s="44"/>
      <c r="D728" s="117"/>
      <c r="E728" s="44"/>
      <c r="F728" s="44"/>
      <c r="G728" s="117"/>
      <c r="H728" s="117"/>
      <c r="I728" s="117"/>
      <c r="J728" s="117"/>
      <c r="K728" s="117"/>
      <c r="L728" s="117"/>
      <c r="M728" s="117"/>
      <c r="N728" s="117"/>
      <c r="O728" s="117"/>
      <c r="P728" s="117"/>
      <c r="Q728" s="117"/>
      <c r="R728" s="117"/>
      <c r="S728" s="117"/>
      <c r="T728" s="117"/>
      <c r="U728" s="235"/>
      <c r="V728" s="117"/>
      <c r="W728" s="117"/>
      <c r="X728" s="117"/>
      <c r="Y728" s="117"/>
      <c r="Z728" s="117"/>
      <c r="AA728" s="44"/>
      <c r="AB728" s="117"/>
      <c r="AC728" s="44"/>
      <c r="AD728" s="117"/>
    </row>
    <row r="729" spans="1:30" ht="14.25" customHeight="1">
      <c r="A729" s="189"/>
      <c r="B729" s="189"/>
      <c r="C729" s="44"/>
      <c r="D729" s="117"/>
      <c r="E729" s="44"/>
      <c r="F729" s="44"/>
      <c r="G729" s="117"/>
      <c r="H729" s="117"/>
      <c r="I729" s="117"/>
      <c r="J729" s="117"/>
      <c r="K729" s="117"/>
      <c r="L729" s="117"/>
      <c r="M729" s="117"/>
      <c r="N729" s="117"/>
      <c r="O729" s="117"/>
      <c r="P729" s="117"/>
      <c r="Q729" s="117"/>
      <c r="R729" s="117"/>
      <c r="S729" s="117"/>
      <c r="T729" s="117"/>
      <c r="U729" s="235"/>
      <c r="V729" s="117"/>
      <c r="W729" s="117"/>
      <c r="X729" s="117"/>
      <c r="Y729" s="117"/>
      <c r="Z729" s="117"/>
      <c r="AA729" s="44"/>
      <c r="AB729" s="117"/>
      <c r="AC729" s="44"/>
      <c r="AD729" s="117"/>
    </row>
    <row r="730" spans="1:30" ht="14.25" customHeight="1">
      <c r="A730" s="189"/>
      <c r="B730" s="189"/>
      <c r="C730" s="44"/>
      <c r="D730" s="117"/>
      <c r="E730" s="44"/>
      <c r="F730" s="44"/>
      <c r="G730" s="117"/>
      <c r="H730" s="117"/>
      <c r="I730" s="117"/>
      <c r="J730" s="117"/>
      <c r="K730" s="117"/>
      <c r="L730" s="117"/>
      <c r="M730" s="117"/>
      <c r="N730" s="117"/>
      <c r="O730" s="117"/>
      <c r="P730" s="117"/>
      <c r="Q730" s="117"/>
      <c r="R730" s="117"/>
      <c r="S730" s="117"/>
      <c r="T730" s="117"/>
      <c r="U730" s="235"/>
      <c r="V730" s="117"/>
      <c r="W730" s="117"/>
      <c r="X730" s="117"/>
      <c r="Y730" s="117"/>
      <c r="Z730" s="117"/>
      <c r="AA730" s="44"/>
      <c r="AB730" s="117"/>
      <c r="AC730" s="44"/>
      <c r="AD730" s="117"/>
    </row>
    <row r="731" spans="1:30" ht="14.25" customHeight="1">
      <c r="A731" s="189"/>
      <c r="B731" s="189"/>
      <c r="C731" s="44"/>
      <c r="D731" s="117"/>
      <c r="E731" s="44"/>
      <c r="F731" s="44"/>
      <c r="G731" s="117"/>
      <c r="H731" s="117"/>
      <c r="I731" s="117"/>
      <c r="J731" s="117"/>
      <c r="K731" s="117"/>
      <c r="L731" s="117"/>
      <c r="M731" s="117"/>
      <c r="N731" s="117"/>
      <c r="O731" s="117"/>
      <c r="P731" s="117"/>
      <c r="Q731" s="117"/>
      <c r="R731" s="117"/>
      <c r="S731" s="117"/>
      <c r="T731" s="117"/>
      <c r="U731" s="235"/>
      <c r="V731" s="117"/>
      <c r="W731" s="117"/>
      <c r="X731" s="117"/>
      <c r="Y731" s="117"/>
      <c r="Z731" s="117"/>
      <c r="AA731" s="44"/>
      <c r="AB731" s="117"/>
      <c r="AC731" s="44"/>
      <c r="AD731" s="117"/>
    </row>
    <row r="732" spans="1:30" ht="14.25" customHeight="1">
      <c r="A732" s="189"/>
      <c r="B732" s="189"/>
      <c r="C732" s="44"/>
      <c r="D732" s="117"/>
      <c r="E732" s="44"/>
      <c r="F732" s="44"/>
      <c r="G732" s="117"/>
      <c r="H732" s="117"/>
      <c r="I732" s="117"/>
      <c r="J732" s="117"/>
      <c r="K732" s="117"/>
      <c r="L732" s="117"/>
      <c r="M732" s="117"/>
      <c r="N732" s="117"/>
      <c r="O732" s="117"/>
      <c r="P732" s="117"/>
      <c r="Q732" s="117"/>
      <c r="R732" s="117"/>
      <c r="S732" s="117"/>
      <c r="T732" s="117"/>
      <c r="U732" s="235"/>
      <c r="V732" s="117"/>
      <c r="W732" s="117"/>
      <c r="X732" s="117"/>
      <c r="Y732" s="117"/>
      <c r="Z732" s="117"/>
      <c r="AA732" s="44"/>
      <c r="AB732" s="117"/>
      <c r="AC732" s="44"/>
      <c r="AD732" s="117"/>
    </row>
    <row r="733" spans="1:30" ht="14.25" customHeight="1">
      <c r="A733" s="189"/>
      <c r="B733" s="189"/>
      <c r="C733" s="44"/>
      <c r="D733" s="117"/>
      <c r="E733" s="44"/>
      <c r="F733" s="44"/>
      <c r="G733" s="117"/>
      <c r="H733" s="117"/>
      <c r="I733" s="117"/>
      <c r="J733" s="117"/>
      <c r="K733" s="117"/>
      <c r="L733" s="117"/>
      <c r="M733" s="117"/>
      <c r="N733" s="117"/>
      <c r="O733" s="117"/>
      <c r="P733" s="117"/>
      <c r="Q733" s="117"/>
      <c r="R733" s="117"/>
      <c r="S733" s="117"/>
      <c r="T733" s="117"/>
      <c r="U733" s="235"/>
      <c r="V733" s="117"/>
      <c r="W733" s="117"/>
      <c r="X733" s="117"/>
      <c r="Y733" s="117"/>
      <c r="Z733" s="117"/>
      <c r="AA733" s="44"/>
      <c r="AB733" s="117"/>
      <c r="AC733" s="44"/>
      <c r="AD733" s="117"/>
    </row>
    <row r="734" spans="1:30" ht="14.25" customHeight="1">
      <c r="A734" s="189"/>
      <c r="B734" s="189"/>
      <c r="C734" s="44"/>
      <c r="D734" s="117"/>
      <c r="E734" s="44"/>
      <c r="F734" s="44"/>
      <c r="G734" s="117"/>
      <c r="H734" s="117"/>
      <c r="I734" s="117"/>
      <c r="J734" s="117"/>
      <c r="K734" s="117"/>
      <c r="L734" s="117"/>
      <c r="M734" s="117"/>
      <c r="N734" s="117"/>
      <c r="O734" s="117"/>
      <c r="P734" s="117"/>
      <c r="Q734" s="117"/>
      <c r="R734" s="117"/>
      <c r="S734" s="117"/>
      <c r="T734" s="117"/>
      <c r="U734" s="235"/>
      <c r="V734" s="117"/>
      <c r="W734" s="117"/>
      <c r="X734" s="117"/>
      <c r="Y734" s="117"/>
      <c r="Z734" s="117"/>
      <c r="AA734" s="44"/>
      <c r="AB734" s="117"/>
      <c r="AC734" s="44"/>
      <c r="AD734" s="117"/>
    </row>
    <row r="735" spans="1:30" ht="14.25" customHeight="1">
      <c r="A735" s="189"/>
      <c r="B735" s="189"/>
      <c r="C735" s="44"/>
      <c r="D735" s="117"/>
      <c r="E735" s="44"/>
      <c r="F735" s="44"/>
      <c r="G735" s="117"/>
      <c r="H735" s="117"/>
      <c r="I735" s="117"/>
      <c r="J735" s="117"/>
      <c r="K735" s="117"/>
      <c r="L735" s="117"/>
      <c r="M735" s="117"/>
      <c r="N735" s="117"/>
      <c r="O735" s="117"/>
      <c r="P735" s="117"/>
      <c r="Q735" s="117"/>
      <c r="R735" s="117"/>
      <c r="S735" s="117"/>
      <c r="T735" s="117"/>
      <c r="U735" s="235"/>
      <c r="V735" s="117"/>
      <c r="W735" s="117"/>
      <c r="X735" s="117"/>
      <c r="Y735" s="117"/>
      <c r="Z735" s="117"/>
      <c r="AA735" s="44"/>
      <c r="AB735" s="117"/>
      <c r="AC735" s="44"/>
      <c r="AD735" s="117"/>
    </row>
    <row r="736" spans="1:30" ht="14.25" customHeight="1">
      <c r="A736" s="189"/>
      <c r="B736" s="189"/>
      <c r="C736" s="44"/>
      <c r="D736" s="117"/>
      <c r="E736" s="44"/>
      <c r="F736" s="44"/>
      <c r="G736" s="117"/>
      <c r="H736" s="117"/>
      <c r="I736" s="117"/>
      <c r="J736" s="117"/>
      <c r="K736" s="117"/>
      <c r="L736" s="117"/>
      <c r="M736" s="117"/>
      <c r="N736" s="117"/>
      <c r="O736" s="117"/>
      <c r="P736" s="117"/>
      <c r="Q736" s="117"/>
      <c r="R736" s="117"/>
      <c r="S736" s="117"/>
      <c r="T736" s="117"/>
      <c r="U736" s="235"/>
      <c r="V736" s="117"/>
      <c r="W736" s="117"/>
      <c r="X736" s="117"/>
      <c r="Y736" s="117"/>
      <c r="Z736" s="117"/>
      <c r="AA736" s="44"/>
      <c r="AB736" s="117"/>
      <c r="AC736" s="44"/>
      <c r="AD736" s="117"/>
    </row>
    <row r="737" spans="1:30" ht="14.25" customHeight="1">
      <c r="A737" s="189"/>
      <c r="B737" s="189"/>
      <c r="C737" s="44"/>
      <c r="D737" s="117"/>
      <c r="E737" s="44"/>
      <c r="F737" s="44"/>
      <c r="G737" s="117"/>
      <c r="H737" s="117"/>
      <c r="I737" s="117"/>
      <c r="J737" s="117"/>
      <c r="K737" s="117"/>
      <c r="L737" s="117"/>
      <c r="M737" s="117"/>
      <c r="N737" s="117"/>
      <c r="O737" s="117"/>
      <c r="P737" s="117"/>
      <c r="Q737" s="117"/>
      <c r="R737" s="117"/>
      <c r="S737" s="117"/>
      <c r="T737" s="117"/>
      <c r="U737" s="235"/>
      <c r="V737" s="117"/>
      <c r="W737" s="117"/>
      <c r="X737" s="117"/>
      <c r="Y737" s="117"/>
      <c r="Z737" s="117"/>
      <c r="AA737" s="44"/>
      <c r="AB737" s="117"/>
      <c r="AC737" s="44"/>
      <c r="AD737" s="117"/>
    </row>
    <row r="738" spans="1:30" ht="14.25" customHeight="1">
      <c r="A738" s="189"/>
      <c r="B738" s="189"/>
      <c r="C738" s="44"/>
      <c r="D738" s="117"/>
      <c r="E738" s="44"/>
      <c r="F738" s="44"/>
      <c r="G738" s="117"/>
      <c r="H738" s="117"/>
      <c r="I738" s="117"/>
      <c r="J738" s="117"/>
      <c r="K738" s="117"/>
      <c r="L738" s="117"/>
      <c r="M738" s="117"/>
      <c r="N738" s="117"/>
      <c r="O738" s="117"/>
      <c r="P738" s="117"/>
      <c r="Q738" s="117"/>
      <c r="R738" s="117"/>
      <c r="S738" s="117"/>
      <c r="T738" s="117"/>
      <c r="U738" s="235"/>
      <c r="V738" s="117"/>
      <c r="W738" s="117"/>
      <c r="X738" s="117"/>
      <c r="Y738" s="117"/>
      <c r="Z738" s="117"/>
      <c r="AA738" s="44"/>
      <c r="AB738" s="117"/>
      <c r="AC738" s="44"/>
      <c r="AD738" s="117"/>
    </row>
    <row r="739" spans="1:30" ht="14.25" customHeight="1">
      <c r="A739" s="189"/>
      <c r="B739" s="189"/>
      <c r="C739" s="44"/>
      <c r="D739" s="117"/>
      <c r="E739" s="44"/>
      <c r="F739" s="44"/>
      <c r="G739" s="117"/>
      <c r="H739" s="117"/>
      <c r="I739" s="117"/>
      <c r="J739" s="117"/>
      <c r="K739" s="117"/>
      <c r="L739" s="117"/>
      <c r="M739" s="117"/>
      <c r="N739" s="117"/>
      <c r="O739" s="117"/>
      <c r="P739" s="117"/>
      <c r="Q739" s="117"/>
      <c r="R739" s="117"/>
      <c r="S739" s="117"/>
      <c r="T739" s="117"/>
      <c r="U739" s="235"/>
      <c r="V739" s="117"/>
      <c r="W739" s="117"/>
      <c r="X739" s="117"/>
      <c r="Y739" s="117"/>
      <c r="Z739" s="117"/>
      <c r="AA739" s="44"/>
      <c r="AB739" s="117"/>
      <c r="AC739" s="44"/>
      <c r="AD739" s="117"/>
    </row>
    <row r="740" spans="1:30" ht="14.25" customHeight="1">
      <c r="A740" s="189"/>
      <c r="B740" s="189"/>
      <c r="C740" s="44"/>
      <c r="D740" s="117"/>
      <c r="E740" s="44"/>
      <c r="F740" s="44"/>
      <c r="G740" s="117"/>
      <c r="H740" s="117"/>
      <c r="I740" s="117"/>
      <c r="J740" s="117"/>
      <c r="K740" s="117"/>
      <c r="L740" s="117"/>
      <c r="M740" s="117"/>
      <c r="N740" s="117"/>
      <c r="O740" s="117"/>
      <c r="P740" s="117"/>
      <c r="Q740" s="117"/>
      <c r="R740" s="117"/>
      <c r="S740" s="117"/>
      <c r="T740" s="117"/>
      <c r="U740" s="235"/>
      <c r="V740" s="117"/>
      <c r="W740" s="117"/>
      <c r="X740" s="117"/>
      <c r="Y740" s="117"/>
      <c r="Z740" s="117"/>
      <c r="AA740" s="44"/>
      <c r="AB740" s="117"/>
      <c r="AC740" s="44"/>
      <c r="AD740" s="117"/>
    </row>
    <row r="741" spans="1:30" ht="14.25" customHeight="1">
      <c r="A741" s="189"/>
      <c r="B741" s="189"/>
      <c r="C741" s="44"/>
      <c r="D741" s="117"/>
      <c r="E741" s="44"/>
      <c r="F741" s="44"/>
      <c r="G741" s="117"/>
      <c r="H741" s="117"/>
      <c r="I741" s="117"/>
      <c r="J741" s="117"/>
      <c r="K741" s="117"/>
      <c r="L741" s="117"/>
      <c r="M741" s="117"/>
      <c r="N741" s="117"/>
      <c r="O741" s="117"/>
      <c r="P741" s="117"/>
      <c r="Q741" s="117"/>
      <c r="R741" s="117"/>
      <c r="S741" s="117"/>
      <c r="T741" s="117"/>
      <c r="U741" s="235"/>
      <c r="V741" s="117"/>
      <c r="W741" s="117"/>
      <c r="X741" s="117"/>
      <c r="Y741" s="117"/>
      <c r="Z741" s="117"/>
      <c r="AA741" s="44"/>
      <c r="AB741" s="117"/>
      <c r="AC741" s="44"/>
      <c r="AD741" s="117"/>
    </row>
    <row r="742" spans="1:30" ht="14.25" customHeight="1">
      <c r="A742" s="189"/>
      <c r="B742" s="189"/>
      <c r="C742" s="44"/>
      <c r="D742" s="117"/>
      <c r="E742" s="44"/>
      <c r="F742" s="44"/>
      <c r="G742" s="117"/>
      <c r="H742" s="117"/>
      <c r="I742" s="117"/>
      <c r="J742" s="117"/>
      <c r="K742" s="117"/>
      <c r="L742" s="117"/>
      <c r="M742" s="117"/>
      <c r="N742" s="117"/>
      <c r="O742" s="117"/>
      <c r="P742" s="117"/>
      <c r="Q742" s="117"/>
      <c r="R742" s="117"/>
      <c r="S742" s="117"/>
      <c r="T742" s="117"/>
      <c r="U742" s="235"/>
      <c r="V742" s="117"/>
      <c r="W742" s="117"/>
      <c r="X742" s="117"/>
      <c r="Y742" s="117"/>
      <c r="Z742" s="117"/>
      <c r="AA742" s="44"/>
      <c r="AB742" s="117"/>
      <c r="AC742" s="44"/>
      <c r="AD742" s="117"/>
    </row>
    <row r="743" spans="1:30" ht="14.25" customHeight="1">
      <c r="A743" s="189"/>
      <c r="B743" s="189"/>
      <c r="C743" s="44"/>
      <c r="D743" s="117"/>
      <c r="E743" s="44"/>
      <c r="F743" s="44"/>
      <c r="G743" s="117"/>
      <c r="H743" s="117"/>
      <c r="I743" s="117"/>
      <c r="J743" s="117"/>
      <c r="K743" s="117"/>
      <c r="L743" s="117"/>
      <c r="M743" s="117"/>
      <c r="N743" s="117"/>
      <c r="O743" s="117"/>
      <c r="P743" s="117"/>
      <c r="Q743" s="117"/>
      <c r="R743" s="117"/>
      <c r="S743" s="117"/>
      <c r="T743" s="117"/>
      <c r="U743" s="235"/>
      <c r="V743" s="117"/>
      <c r="W743" s="117"/>
      <c r="X743" s="117"/>
      <c r="Y743" s="117"/>
      <c r="Z743" s="117"/>
      <c r="AA743" s="44"/>
      <c r="AB743" s="117"/>
      <c r="AC743" s="44"/>
      <c r="AD743" s="117"/>
    </row>
    <row r="744" spans="1:30" ht="14.25" customHeight="1">
      <c r="A744" s="189"/>
      <c r="B744" s="189"/>
      <c r="C744" s="44"/>
      <c r="D744" s="117"/>
      <c r="E744" s="44"/>
      <c r="F744" s="44"/>
      <c r="G744" s="117"/>
      <c r="H744" s="117"/>
      <c r="I744" s="117"/>
      <c r="J744" s="117"/>
      <c r="K744" s="117"/>
      <c r="L744" s="117"/>
      <c r="M744" s="117"/>
      <c r="N744" s="117"/>
      <c r="O744" s="117"/>
      <c r="P744" s="117"/>
      <c r="Q744" s="117"/>
      <c r="R744" s="117"/>
      <c r="S744" s="117"/>
      <c r="T744" s="117"/>
      <c r="U744" s="235"/>
      <c r="V744" s="117"/>
      <c r="W744" s="117"/>
      <c r="X744" s="117"/>
      <c r="Y744" s="117"/>
      <c r="Z744" s="117"/>
      <c r="AA744" s="44"/>
      <c r="AB744" s="117"/>
      <c r="AC744" s="44"/>
      <c r="AD744" s="117"/>
    </row>
    <row r="745" spans="1:30" ht="14.25" customHeight="1">
      <c r="A745" s="189"/>
      <c r="B745" s="189"/>
      <c r="C745" s="44"/>
      <c r="D745" s="117"/>
      <c r="E745" s="44"/>
      <c r="F745" s="44"/>
      <c r="G745" s="117"/>
      <c r="H745" s="117"/>
      <c r="I745" s="117"/>
      <c r="J745" s="117"/>
      <c r="K745" s="117"/>
      <c r="L745" s="117"/>
      <c r="M745" s="117"/>
      <c r="N745" s="117"/>
      <c r="O745" s="117"/>
      <c r="P745" s="117"/>
      <c r="Q745" s="117"/>
      <c r="R745" s="117"/>
      <c r="S745" s="117"/>
      <c r="T745" s="117"/>
      <c r="U745" s="235"/>
      <c r="V745" s="117"/>
      <c r="W745" s="117"/>
      <c r="X745" s="117"/>
      <c r="Y745" s="117"/>
      <c r="Z745" s="117"/>
      <c r="AA745" s="44"/>
      <c r="AB745" s="117"/>
      <c r="AC745" s="44"/>
      <c r="AD745" s="117"/>
    </row>
    <row r="746" spans="1:30" ht="14.25" customHeight="1">
      <c r="A746" s="189"/>
      <c r="B746" s="189"/>
      <c r="C746" s="44"/>
      <c r="D746" s="117"/>
      <c r="E746" s="44"/>
      <c r="F746" s="44"/>
      <c r="G746" s="117"/>
      <c r="H746" s="117"/>
      <c r="I746" s="117"/>
      <c r="J746" s="117"/>
      <c r="K746" s="117"/>
      <c r="L746" s="117"/>
      <c r="M746" s="117"/>
      <c r="N746" s="117"/>
      <c r="O746" s="117"/>
      <c r="P746" s="117"/>
      <c r="Q746" s="117"/>
      <c r="R746" s="117"/>
      <c r="S746" s="117"/>
      <c r="T746" s="117"/>
      <c r="U746" s="235"/>
      <c r="V746" s="117"/>
      <c r="W746" s="117"/>
      <c r="X746" s="117"/>
      <c r="Y746" s="117"/>
      <c r="Z746" s="117"/>
      <c r="AA746" s="44"/>
      <c r="AB746" s="117"/>
      <c r="AC746" s="44"/>
      <c r="AD746" s="117"/>
    </row>
    <row r="747" spans="1:30" ht="14.25" customHeight="1">
      <c r="A747" s="189"/>
      <c r="B747" s="189"/>
      <c r="C747" s="44"/>
      <c r="D747" s="117"/>
      <c r="E747" s="44"/>
      <c r="F747" s="44"/>
      <c r="G747" s="117"/>
      <c r="H747" s="117"/>
      <c r="I747" s="117"/>
      <c r="J747" s="117"/>
      <c r="K747" s="117"/>
      <c r="L747" s="117"/>
      <c r="M747" s="117"/>
      <c r="N747" s="117"/>
      <c r="O747" s="117"/>
      <c r="P747" s="117"/>
      <c r="Q747" s="117"/>
      <c r="R747" s="117"/>
      <c r="S747" s="117"/>
      <c r="T747" s="117"/>
      <c r="U747" s="235"/>
      <c r="V747" s="117"/>
      <c r="W747" s="117"/>
      <c r="X747" s="117"/>
      <c r="Y747" s="117"/>
      <c r="Z747" s="117"/>
      <c r="AA747" s="44"/>
      <c r="AB747" s="117"/>
      <c r="AC747" s="44"/>
      <c r="AD747" s="117"/>
    </row>
    <row r="748" spans="1:30" ht="14.25" customHeight="1">
      <c r="A748" s="189"/>
      <c r="B748" s="189"/>
      <c r="C748" s="44"/>
      <c r="D748" s="117"/>
      <c r="E748" s="44"/>
      <c r="F748" s="44"/>
      <c r="G748" s="117"/>
      <c r="H748" s="117"/>
      <c r="I748" s="117"/>
      <c r="J748" s="117"/>
      <c r="K748" s="117"/>
      <c r="L748" s="117"/>
      <c r="M748" s="117"/>
      <c r="N748" s="117"/>
      <c r="O748" s="117"/>
      <c r="P748" s="117"/>
      <c r="Q748" s="117"/>
      <c r="R748" s="117"/>
      <c r="S748" s="117"/>
      <c r="T748" s="117"/>
      <c r="U748" s="235"/>
      <c r="V748" s="117"/>
      <c r="W748" s="117"/>
      <c r="X748" s="117"/>
      <c r="Y748" s="117"/>
      <c r="Z748" s="117"/>
      <c r="AA748" s="44"/>
      <c r="AB748" s="117"/>
      <c r="AC748" s="44"/>
      <c r="AD748" s="117"/>
    </row>
    <row r="749" spans="1:30" ht="14.25" customHeight="1">
      <c r="A749" s="189"/>
      <c r="B749" s="189"/>
      <c r="C749" s="44"/>
      <c r="D749" s="117"/>
      <c r="E749" s="44"/>
      <c r="F749" s="44"/>
      <c r="G749" s="117"/>
      <c r="H749" s="117"/>
      <c r="I749" s="117"/>
      <c r="J749" s="117"/>
      <c r="K749" s="117"/>
      <c r="L749" s="117"/>
      <c r="M749" s="117"/>
      <c r="N749" s="117"/>
      <c r="O749" s="117"/>
      <c r="P749" s="117"/>
      <c r="Q749" s="117"/>
      <c r="R749" s="117"/>
      <c r="S749" s="117"/>
      <c r="T749" s="117"/>
      <c r="U749" s="235"/>
      <c r="V749" s="117"/>
      <c r="W749" s="117"/>
      <c r="X749" s="117"/>
      <c r="Y749" s="117"/>
      <c r="Z749" s="117"/>
      <c r="AA749" s="44"/>
      <c r="AB749" s="117"/>
      <c r="AC749" s="44"/>
      <c r="AD749" s="117"/>
    </row>
    <row r="750" spans="1:30" ht="14.25" customHeight="1">
      <c r="A750" s="189"/>
      <c r="B750" s="189"/>
      <c r="C750" s="44"/>
      <c r="D750" s="117"/>
      <c r="E750" s="44"/>
      <c r="F750" s="44"/>
      <c r="G750" s="117"/>
      <c r="H750" s="117"/>
      <c r="I750" s="117"/>
      <c r="J750" s="117"/>
      <c r="K750" s="117"/>
      <c r="L750" s="117"/>
      <c r="M750" s="117"/>
      <c r="N750" s="117"/>
      <c r="O750" s="117"/>
      <c r="P750" s="117"/>
      <c r="Q750" s="117"/>
      <c r="R750" s="117"/>
      <c r="S750" s="117"/>
      <c r="T750" s="117"/>
      <c r="U750" s="235"/>
      <c r="V750" s="117"/>
      <c r="W750" s="117"/>
      <c r="X750" s="117"/>
      <c r="Y750" s="117"/>
      <c r="Z750" s="117"/>
      <c r="AA750" s="44"/>
      <c r="AB750" s="117"/>
      <c r="AC750" s="44"/>
      <c r="AD750" s="117"/>
    </row>
    <row r="751" spans="1:30" ht="14.25" customHeight="1">
      <c r="A751" s="189"/>
      <c r="B751" s="189"/>
      <c r="C751" s="44"/>
      <c r="D751" s="117"/>
      <c r="E751" s="44"/>
      <c r="F751" s="44"/>
      <c r="G751" s="117"/>
      <c r="H751" s="117"/>
      <c r="I751" s="117"/>
      <c r="J751" s="117"/>
      <c r="K751" s="117"/>
      <c r="L751" s="117"/>
      <c r="M751" s="117"/>
      <c r="N751" s="117"/>
      <c r="O751" s="117"/>
      <c r="P751" s="117"/>
      <c r="Q751" s="117"/>
      <c r="R751" s="117"/>
      <c r="S751" s="117"/>
      <c r="T751" s="117"/>
      <c r="U751" s="235"/>
      <c r="V751" s="117"/>
      <c r="W751" s="117"/>
      <c r="X751" s="117"/>
      <c r="Y751" s="117"/>
      <c r="Z751" s="117"/>
      <c r="AA751" s="44"/>
      <c r="AB751" s="117"/>
      <c r="AC751" s="44"/>
      <c r="AD751" s="117"/>
    </row>
    <row r="752" spans="1:30" ht="14.25" customHeight="1">
      <c r="A752" s="189"/>
      <c r="B752" s="189"/>
      <c r="C752" s="44"/>
      <c r="D752" s="117"/>
      <c r="E752" s="44"/>
      <c r="F752" s="44"/>
      <c r="G752" s="117"/>
      <c r="H752" s="117"/>
      <c r="I752" s="117"/>
      <c r="J752" s="117"/>
      <c r="K752" s="117"/>
      <c r="L752" s="117"/>
      <c r="M752" s="117"/>
      <c r="N752" s="117"/>
      <c r="O752" s="117"/>
      <c r="P752" s="117"/>
      <c r="Q752" s="117"/>
      <c r="R752" s="117"/>
      <c r="S752" s="117"/>
      <c r="T752" s="117"/>
      <c r="U752" s="235"/>
      <c r="V752" s="117"/>
      <c r="W752" s="117"/>
      <c r="X752" s="117"/>
      <c r="Y752" s="117"/>
      <c r="Z752" s="117"/>
      <c r="AA752" s="44"/>
      <c r="AB752" s="117"/>
      <c r="AC752" s="44"/>
      <c r="AD752" s="117"/>
    </row>
    <row r="753" spans="1:30" ht="14.25" customHeight="1">
      <c r="A753" s="189"/>
      <c r="B753" s="189"/>
      <c r="C753" s="44"/>
      <c r="D753" s="117"/>
      <c r="E753" s="44"/>
      <c r="F753" s="44"/>
      <c r="G753" s="117"/>
      <c r="H753" s="117"/>
      <c r="I753" s="117"/>
      <c r="J753" s="117"/>
      <c r="K753" s="117"/>
      <c r="L753" s="117"/>
      <c r="M753" s="117"/>
      <c r="N753" s="117"/>
      <c r="O753" s="117"/>
      <c r="P753" s="117"/>
      <c r="Q753" s="117"/>
      <c r="R753" s="117"/>
      <c r="S753" s="117"/>
      <c r="T753" s="117"/>
      <c r="U753" s="235"/>
      <c r="V753" s="117"/>
      <c r="W753" s="117"/>
      <c r="X753" s="117"/>
      <c r="Y753" s="117"/>
      <c r="Z753" s="117"/>
      <c r="AA753" s="44"/>
      <c r="AB753" s="117"/>
      <c r="AC753" s="44"/>
      <c r="AD753" s="117"/>
    </row>
    <row r="754" spans="1:30" ht="14.25" customHeight="1">
      <c r="A754" s="189"/>
      <c r="B754" s="189"/>
      <c r="C754" s="44"/>
      <c r="D754" s="117"/>
      <c r="E754" s="44"/>
      <c r="F754" s="44"/>
      <c r="G754" s="117"/>
      <c r="H754" s="117"/>
      <c r="I754" s="117"/>
      <c r="J754" s="117"/>
      <c r="K754" s="117"/>
      <c r="L754" s="117"/>
      <c r="M754" s="117"/>
      <c r="N754" s="117"/>
      <c r="O754" s="117"/>
      <c r="P754" s="117"/>
      <c r="Q754" s="117"/>
      <c r="R754" s="117"/>
      <c r="S754" s="117"/>
      <c r="T754" s="117"/>
      <c r="U754" s="235"/>
      <c r="V754" s="117"/>
      <c r="W754" s="117"/>
      <c r="X754" s="117"/>
      <c r="Y754" s="117"/>
      <c r="Z754" s="117"/>
      <c r="AA754" s="44"/>
      <c r="AB754" s="117"/>
      <c r="AC754" s="44"/>
      <c r="AD754" s="117"/>
    </row>
    <row r="755" spans="1:30" ht="14.25" customHeight="1">
      <c r="A755" s="189"/>
      <c r="B755" s="189"/>
      <c r="C755" s="44"/>
      <c r="D755" s="117"/>
      <c r="E755" s="44"/>
      <c r="F755" s="44"/>
      <c r="G755" s="117"/>
      <c r="H755" s="117"/>
      <c r="I755" s="117"/>
      <c r="J755" s="117"/>
      <c r="K755" s="117"/>
      <c r="L755" s="117"/>
      <c r="M755" s="117"/>
      <c r="N755" s="117"/>
      <c r="O755" s="117"/>
      <c r="P755" s="117"/>
      <c r="Q755" s="117"/>
      <c r="R755" s="117"/>
      <c r="S755" s="117"/>
      <c r="T755" s="117"/>
      <c r="U755" s="235"/>
      <c r="V755" s="117"/>
      <c r="W755" s="117"/>
      <c r="X755" s="117"/>
      <c r="Y755" s="117"/>
      <c r="Z755" s="117"/>
      <c r="AA755" s="44"/>
      <c r="AB755" s="117"/>
      <c r="AC755" s="44"/>
      <c r="AD755" s="117"/>
    </row>
    <row r="756" spans="1:30" ht="14.25" customHeight="1">
      <c r="A756" s="189"/>
      <c r="B756" s="189"/>
      <c r="C756" s="44"/>
      <c r="D756" s="117"/>
      <c r="E756" s="44"/>
      <c r="F756" s="44"/>
      <c r="G756" s="117"/>
      <c r="H756" s="117"/>
      <c r="I756" s="117"/>
      <c r="J756" s="117"/>
      <c r="K756" s="117"/>
      <c r="L756" s="117"/>
      <c r="M756" s="117"/>
      <c r="N756" s="117"/>
      <c r="O756" s="117"/>
      <c r="P756" s="117"/>
      <c r="Q756" s="117"/>
      <c r="R756" s="117"/>
      <c r="S756" s="117"/>
      <c r="T756" s="117"/>
      <c r="U756" s="235"/>
      <c r="V756" s="117"/>
      <c r="W756" s="117"/>
      <c r="X756" s="117"/>
      <c r="Y756" s="117"/>
      <c r="Z756" s="117"/>
      <c r="AA756" s="44"/>
      <c r="AB756" s="117"/>
      <c r="AC756" s="44"/>
      <c r="AD756" s="117"/>
    </row>
    <row r="757" spans="1:30" ht="14.25" customHeight="1">
      <c r="A757" s="189"/>
      <c r="B757" s="189"/>
      <c r="C757" s="44"/>
      <c r="D757" s="117"/>
      <c r="E757" s="44"/>
      <c r="F757" s="44"/>
      <c r="G757" s="117"/>
      <c r="H757" s="117"/>
      <c r="I757" s="117"/>
      <c r="J757" s="117"/>
      <c r="K757" s="117"/>
      <c r="L757" s="117"/>
      <c r="M757" s="117"/>
      <c r="N757" s="117"/>
      <c r="O757" s="117"/>
      <c r="P757" s="117"/>
      <c r="Q757" s="117"/>
      <c r="R757" s="117"/>
      <c r="S757" s="117"/>
      <c r="T757" s="117"/>
      <c r="U757" s="235"/>
      <c r="V757" s="117"/>
      <c r="W757" s="117"/>
      <c r="X757" s="117"/>
      <c r="Y757" s="117"/>
      <c r="Z757" s="117"/>
      <c r="AA757" s="44"/>
      <c r="AB757" s="117"/>
      <c r="AC757" s="44"/>
      <c r="AD757" s="117"/>
    </row>
    <row r="758" spans="1:30" ht="14.25" customHeight="1">
      <c r="A758" s="189"/>
      <c r="B758" s="189"/>
      <c r="C758" s="44"/>
      <c r="D758" s="117"/>
      <c r="E758" s="44"/>
      <c r="F758" s="44"/>
      <c r="G758" s="117"/>
      <c r="H758" s="117"/>
      <c r="I758" s="117"/>
      <c r="J758" s="117"/>
      <c r="K758" s="117"/>
      <c r="L758" s="117"/>
      <c r="M758" s="117"/>
      <c r="N758" s="117"/>
      <c r="O758" s="117"/>
      <c r="P758" s="117"/>
      <c r="Q758" s="117"/>
      <c r="R758" s="117"/>
      <c r="S758" s="117"/>
      <c r="T758" s="117"/>
      <c r="U758" s="235"/>
      <c r="V758" s="117"/>
      <c r="W758" s="117"/>
      <c r="X758" s="117"/>
      <c r="Y758" s="117"/>
      <c r="Z758" s="117"/>
      <c r="AA758" s="44"/>
      <c r="AB758" s="117"/>
      <c r="AC758" s="44"/>
      <c r="AD758" s="117"/>
    </row>
    <row r="759" spans="1:30" ht="14.25" customHeight="1">
      <c r="A759" s="189"/>
      <c r="B759" s="189"/>
      <c r="C759" s="44"/>
      <c r="D759" s="117"/>
      <c r="E759" s="44"/>
      <c r="F759" s="44"/>
      <c r="G759" s="117"/>
      <c r="H759" s="117"/>
      <c r="I759" s="117"/>
      <c r="J759" s="117"/>
      <c r="K759" s="117"/>
      <c r="L759" s="117"/>
      <c r="M759" s="117"/>
      <c r="N759" s="117"/>
      <c r="O759" s="117"/>
      <c r="P759" s="117"/>
      <c r="Q759" s="117"/>
      <c r="R759" s="117"/>
      <c r="S759" s="117"/>
      <c r="T759" s="117"/>
      <c r="U759" s="235"/>
      <c r="V759" s="117"/>
      <c r="W759" s="117"/>
      <c r="X759" s="117"/>
      <c r="Y759" s="117"/>
      <c r="Z759" s="117"/>
      <c r="AA759" s="44"/>
      <c r="AB759" s="117"/>
      <c r="AC759" s="44"/>
      <c r="AD759" s="117"/>
    </row>
    <row r="760" spans="1:30" ht="14.25" customHeight="1">
      <c r="A760" s="189"/>
      <c r="B760" s="189"/>
      <c r="C760" s="44"/>
      <c r="D760" s="117"/>
      <c r="E760" s="44"/>
      <c r="F760" s="44"/>
      <c r="G760" s="117"/>
      <c r="H760" s="117"/>
      <c r="I760" s="117"/>
      <c r="J760" s="117"/>
      <c r="K760" s="117"/>
      <c r="L760" s="117"/>
      <c r="M760" s="117"/>
      <c r="N760" s="117"/>
      <c r="O760" s="117"/>
      <c r="P760" s="117"/>
      <c r="Q760" s="117"/>
      <c r="R760" s="117"/>
      <c r="S760" s="117"/>
      <c r="T760" s="117"/>
      <c r="U760" s="235"/>
      <c r="V760" s="117"/>
      <c r="W760" s="117"/>
      <c r="X760" s="117"/>
      <c r="Y760" s="117"/>
      <c r="Z760" s="117"/>
      <c r="AA760" s="44"/>
      <c r="AB760" s="117"/>
      <c r="AC760" s="44"/>
      <c r="AD760" s="117"/>
    </row>
    <row r="761" spans="1:30" ht="14.25" customHeight="1">
      <c r="A761" s="189"/>
      <c r="B761" s="189"/>
      <c r="C761" s="44"/>
      <c r="D761" s="117"/>
      <c r="E761" s="44"/>
      <c r="F761" s="44"/>
      <c r="G761" s="117"/>
      <c r="H761" s="117"/>
      <c r="I761" s="117"/>
      <c r="J761" s="117"/>
      <c r="K761" s="117"/>
      <c r="L761" s="117"/>
      <c r="M761" s="117"/>
      <c r="N761" s="117"/>
      <c r="O761" s="117"/>
      <c r="P761" s="117"/>
      <c r="Q761" s="117"/>
      <c r="R761" s="117"/>
      <c r="S761" s="117"/>
      <c r="T761" s="117"/>
      <c r="U761" s="235"/>
      <c r="V761" s="117"/>
      <c r="W761" s="117"/>
      <c r="X761" s="117"/>
      <c r="Y761" s="117"/>
      <c r="Z761" s="117"/>
      <c r="AA761" s="44"/>
      <c r="AB761" s="117"/>
      <c r="AC761" s="44"/>
      <c r="AD761" s="117"/>
    </row>
    <row r="762" spans="1:30" ht="14.25" customHeight="1">
      <c r="A762" s="189"/>
      <c r="B762" s="189"/>
      <c r="C762" s="44"/>
      <c r="D762" s="117"/>
      <c r="E762" s="44"/>
      <c r="F762" s="44"/>
      <c r="G762" s="117"/>
      <c r="H762" s="117"/>
      <c r="I762" s="117"/>
      <c r="J762" s="117"/>
      <c r="K762" s="117"/>
      <c r="L762" s="117"/>
      <c r="M762" s="117"/>
      <c r="N762" s="117"/>
      <c r="O762" s="117"/>
      <c r="P762" s="117"/>
      <c r="Q762" s="117"/>
      <c r="R762" s="117"/>
      <c r="S762" s="117"/>
      <c r="T762" s="117"/>
      <c r="U762" s="235"/>
      <c r="V762" s="117"/>
      <c r="W762" s="117"/>
      <c r="X762" s="117"/>
      <c r="Y762" s="117"/>
      <c r="Z762" s="117"/>
      <c r="AA762" s="44"/>
      <c r="AB762" s="117"/>
      <c r="AC762" s="44"/>
      <c r="AD762" s="117"/>
    </row>
    <row r="763" spans="1:30" ht="14.25" customHeight="1">
      <c r="A763" s="189"/>
      <c r="B763" s="189"/>
      <c r="C763" s="44"/>
      <c r="D763" s="117"/>
      <c r="E763" s="44"/>
      <c r="F763" s="44"/>
      <c r="G763" s="117"/>
      <c r="H763" s="117"/>
      <c r="I763" s="117"/>
      <c r="J763" s="117"/>
      <c r="K763" s="117"/>
      <c r="L763" s="117"/>
      <c r="M763" s="117"/>
      <c r="N763" s="117"/>
      <c r="O763" s="117"/>
      <c r="P763" s="117"/>
      <c r="Q763" s="117"/>
      <c r="R763" s="117"/>
      <c r="S763" s="117"/>
      <c r="T763" s="117"/>
      <c r="U763" s="235"/>
      <c r="V763" s="117"/>
      <c r="W763" s="117"/>
      <c r="X763" s="117"/>
      <c r="Y763" s="117"/>
      <c r="Z763" s="117"/>
      <c r="AA763" s="44"/>
      <c r="AB763" s="117"/>
      <c r="AC763" s="44"/>
      <c r="AD763" s="117"/>
    </row>
    <row r="764" spans="1:30" ht="14.25" customHeight="1">
      <c r="A764" s="189"/>
      <c r="B764" s="189"/>
      <c r="C764" s="44"/>
      <c r="D764" s="117"/>
      <c r="E764" s="44"/>
      <c r="F764" s="44"/>
      <c r="G764" s="117"/>
      <c r="H764" s="117"/>
      <c r="I764" s="117"/>
      <c r="J764" s="117"/>
      <c r="K764" s="117"/>
      <c r="L764" s="117"/>
      <c r="M764" s="117"/>
      <c r="N764" s="117"/>
      <c r="O764" s="117"/>
      <c r="P764" s="117"/>
      <c r="Q764" s="117"/>
      <c r="R764" s="117"/>
      <c r="S764" s="117"/>
      <c r="T764" s="117"/>
      <c r="U764" s="235"/>
      <c r="V764" s="117"/>
      <c r="W764" s="117"/>
      <c r="X764" s="117"/>
      <c r="Y764" s="117"/>
      <c r="Z764" s="117"/>
      <c r="AA764" s="44"/>
      <c r="AB764" s="117"/>
      <c r="AC764" s="44"/>
      <c r="AD764" s="117"/>
    </row>
    <row r="765" spans="1:30" ht="14.25" customHeight="1">
      <c r="A765" s="189"/>
      <c r="B765" s="189"/>
      <c r="C765" s="44"/>
      <c r="D765" s="117"/>
      <c r="E765" s="44"/>
      <c r="F765" s="44"/>
      <c r="G765" s="117"/>
      <c r="H765" s="117"/>
      <c r="I765" s="117"/>
      <c r="J765" s="117"/>
      <c r="K765" s="117"/>
      <c r="L765" s="117"/>
      <c r="M765" s="117"/>
      <c r="N765" s="117"/>
      <c r="O765" s="117"/>
      <c r="P765" s="117"/>
      <c r="Q765" s="117"/>
      <c r="R765" s="117"/>
      <c r="S765" s="117"/>
      <c r="T765" s="117"/>
      <c r="U765" s="235"/>
      <c r="V765" s="117"/>
      <c r="W765" s="117"/>
      <c r="X765" s="117"/>
      <c r="Y765" s="117"/>
      <c r="Z765" s="117"/>
      <c r="AA765" s="44"/>
      <c r="AB765" s="117"/>
      <c r="AC765" s="44"/>
      <c r="AD765" s="117"/>
    </row>
    <row r="766" spans="1:30" ht="14.25" customHeight="1">
      <c r="A766" s="189"/>
      <c r="B766" s="189"/>
      <c r="C766" s="44"/>
      <c r="D766" s="117"/>
      <c r="E766" s="44"/>
      <c r="F766" s="44"/>
      <c r="G766" s="117"/>
      <c r="H766" s="117"/>
      <c r="I766" s="117"/>
      <c r="J766" s="117"/>
      <c r="K766" s="117"/>
      <c r="L766" s="117"/>
      <c r="M766" s="117"/>
      <c r="N766" s="117"/>
      <c r="O766" s="117"/>
      <c r="P766" s="117"/>
      <c r="Q766" s="117"/>
      <c r="R766" s="117"/>
      <c r="S766" s="117"/>
      <c r="T766" s="117"/>
      <c r="U766" s="235"/>
      <c r="V766" s="117"/>
      <c r="W766" s="117"/>
      <c r="X766" s="117"/>
      <c r="Y766" s="117"/>
      <c r="Z766" s="117"/>
      <c r="AA766" s="44"/>
      <c r="AB766" s="117"/>
      <c r="AC766" s="44"/>
      <c r="AD766" s="117"/>
    </row>
    <row r="767" spans="1:30" ht="14.25" customHeight="1">
      <c r="A767" s="189"/>
      <c r="B767" s="189"/>
      <c r="C767" s="44"/>
      <c r="D767" s="117"/>
      <c r="E767" s="44"/>
      <c r="F767" s="44"/>
      <c r="G767" s="117"/>
      <c r="H767" s="117"/>
      <c r="I767" s="117"/>
      <c r="J767" s="117"/>
      <c r="K767" s="117"/>
      <c r="L767" s="117"/>
      <c r="M767" s="117"/>
      <c r="N767" s="117"/>
      <c r="O767" s="117"/>
      <c r="P767" s="117"/>
      <c r="Q767" s="117"/>
      <c r="R767" s="117"/>
      <c r="S767" s="117"/>
      <c r="T767" s="117"/>
      <c r="U767" s="235"/>
      <c r="V767" s="117"/>
      <c r="W767" s="117"/>
      <c r="X767" s="117"/>
      <c r="Y767" s="117"/>
      <c r="Z767" s="117"/>
      <c r="AA767" s="44"/>
      <c r="AB767" s="117"/>
      <c r="AC767" s="44"/>
      <c r="AD767" s="117"/>
    </row>
    <row r="768" spans="1:30" ht="14.25" customHeight="1">
      <c r="A768" s="189"/>
      <c r="B768" s="189"/>
      <c r="C768" s="44"/>
      <c r="D768" s="117"/>
      <c r="E768" s="44"/>
      <c r="F768" s="44"/>
      <c r="G768" s="117"/>
      <c r="H768" s="117"/>
      <c r="I768" s="117"/>
      <c r="J768" s="117"/>
      <c r="K768" s="117"/>
      <c r="L768" s="117"/>
      <c r="M768" s="117"/>
      <c r="N768" s="117"/>
      <c r="O768" s="117"/>
      <c r="P768" s="117"/>
      <c r="Q768" s="117"/>
      <c r="R768" s="117"/>
      <c r="S768" s="117"/>
      <c r="T768" s="117"/>
      <c r="U768" s="235"/>
      <c r="V768" s="117"/>
      <c r="W768" s="117"/>
      <c r="X768" s="117"/>
      <c r="Y768" s="117"/>
      <c r="Z768" s="117"/>
      <c r="AA768" s="44"/>
      <c r="AB768" s="117"/>
      <c r="AC768" s="44"/>
      <c r="AD768" s="117"/>
    </row>
    <row r="769" spans="1:30" ht="14.25" customHeight="1">
      <c r="A769" s="189"/>
      <c r="B769" s="189"/>
      <c r="C769" s="44"/>
      <c r="D769" s="117"/>
      <c r="E769" s="44"/>
      <c r="F769" s="44"/>
      <c r="G769" s="117"/>
      <c r="H769" s="117"/>
      <c r="I769" s="117"/>
      <c r="J769" s="117"/>
      <c r="K769" s="117"/>
      <c r="L769" s="117"/>
      <c r="M769" s="117"/>
      <c r="N769" s="117"/>
      <c r="O769" s="117"/>
      <c r="P769" s="117"/>
      <c r="Q769" s="117"/>
      <c r="R769" s="117"/>
      <c r="S769" s="117"/>
      <c r="T769" s="117"/>
      <c r="U769" s="235"/>
      <c r="V769" s="117"/>
      <c r="W769" s="117"/>
      <c r="X769" s="117"/>
      <c r="Y769" s="117"/>
      <c r="Z769" s="117"/>
      <c r="AA769" s="44"/>
      <c r="AB769" s="117"/>
      <c r="AC769" s="44"/>
      <c r="AD769" s="117"/>
    </row>
    <row r="770" spans="1:30" ht="14.25" customHeight="1">
      <c r="A770" s="189"/>
      <c r="B770" s="189"/>
      <c r="C770" s="44"/>
      <c r="D770" s="117"/>
      <c r="E770" s="44"/>
      <c r="F770" s="44"/>
      <c r="G770" s="117"/>
      <c r="H770" s="117"/>
      <c r="I770" s="117"/>
      <c r="J770" s="117"/>
      <c r="K770" s="117"/>
      <c r="L770" s="117"/>
      <c r="M770" s="117"/>
      <c r="N770" s="117"/>
      <c r="O770" s="117"/>
      <c r="P770" s="117"/>
      <c r="Q770" s="117"/>
      <c r="R770" s="117"/>
      <c r="S770" s="117"/>
      <c r="T770" s="117"/>
      <c r="U770" s="235"/>
      <c r="V770" s="117"/>
      <c r="W770" s="117"/>
      <c r="X770" s="117"/>
      <c r="Y770" s="117"/>
      <c r="Z770" s="117"/>
      <c r="AA770" s="44"/>
      <c r="AB770" s="117"/>
      <c r="AC770" s="44"/>
      <c r="AD770" s="117"/>
    </row>
    <row r="771" spans="1:30" ht="14.25" customHeight="1">
      <c r="A771" s="189"/>
      <c r="B771" s="189"/>
      <c r="C771" s="44"/>
      <c r="D771" s="117"/>
      <c r="E771" s="44"/>
      <c r="F771" s="44"/>
      <c r="G771" s="117"/>
      <c r="H771" s="117"/>
      <c r="I771" s="117"/>
      <c r="J771" s="117"/>
      <c r="K771" s="117"/>
      <c r="L771" s="117"/>
      <c r="M771" s="117"/>
      <c r="N771" s="117"/>
      <c r="O771" s="117"/>
      <c r="P771" s="117"/>
      <c r="Q771" s="117"/>
      <c r="R771" s="117"/>
      <c r="S771" s="117"/>
      <c r="T771" s="117"/>
      <c r="U771" s="235"/>
      <c r="V771" s="117"/>
      <c r="W771" s="117"/>
      <c r="X771" s="117"/>
      <c r="Y771" s="117"/>
      <c r="Z771" s="117"/>
      <c r="AA771" s="44"/>
      <c r="AB771" s="117"/>
      <c r="AC771" s="44"/>
      <c r="AD771" s="117"/>
    </row>
    <row r="772" spans="1:30" ht="14.25" customHeight="1">
      <c r="A772" s="189"/>
      <c r="B772" s="189"/>
      <c r="C772" s="44"/>
      <c r="D772" s="117"/>
      <c r="E772" s="44"/>
      <c r="F772" s="44"/>
      <c r="G772" s="117"/>
      <c r="H772" s="117"/>
      <c r="I772" s="117"/>
      <c r="J772" s="117"/>
      <c r="K772" s="117"/>
      <c r="L772" s="117"/>
      <c r="M772" s="117"/>
      <c r="N772" s="117"/>
      <c r="O772" s="117"/>
      <c r="P772" s="117"/>
      <c r="Q772" s="117"/>
      <c r="R772" s="117"/>
      <c r="S772" s="117"/>
      <c r="T772" s="117"/>
      <c r="U772" s="235"/>
      <c r="V772" s="117"/>
      <c r="W772" s="117"/>
      <c r="X772" s="117"/>
      <c r="Y772" s="117"/>
      <c r="Z772" s="117"/>
      <c r="AA772" s="44"/>
      <c r="AB772" s="117"/>
      <c r="AC772" s="44"/>
      <c r="AD772" s="117"/>
    </row>
    <row r="773" spans="1:30" ht="14.25" customHeight="1">
      <c r="A773" s="189"/>
      <c r="B773" s="189"/>
      <c r="C773" s="44"/>
      <c r="D773" s="117"/>
      <c r="E773" s="44"/>
      <c r="F773" s="44"/>
      <c r="G773" s="117"/>
      <c r="H773" s="117"/>
      <c r="I773" s="117"/>
      <c r="J773" s="117"/>
      <c r="K773" s="117"/>
      <c r="L773" s="117"/>
      <c r="M773" s="117"/>
      <c r="N773" s="117"/>
      <c r="O773" s="117"/>
      <c r="P773" s="117"/>
      <c r="Q773" s="117"/>
      <c r="R773" s="117"/>
      <c r="S773" s="117"/>
      <c r="T773" s="117"/>
      <c r="U773" s="235"/>
      <c r="V773" s="117"/>
      <c r="W773" s="117"/>
      <c r="X773" s="117"/>
      <c r="Y773" s="117"/>
      <c r="Z773" s="117"/>
      <c r="AA773" s="44"/>
      <c r="AB773" s="117"/>
      <c r="AC773" s="44"/>
      <c r="AD773" s="117"/>
    </row>
    <row r="774" spans="1:30" ht="14.25" customHeight="1">
      <c r="A774" s="189"/>
      <c r="B774" s="189"/>
      <c r="C774" s="44"/>
      <c r="D774" s="117"/>
      <c r="E774" s="44"/>
      <c r="F774" s="44"/>
      <c r="G774" s="117"/>
      <c r="H774" s="117"/>
      <c r="I774" s="117"/>
      <c r="J774" s="117"/>
      <c r="K774" s="117"/>
      <c r="L774" s="117"/>
      <c r="M774" s="117"/>
      <c r="N774" s="117"/>
      <c r="O774" s="117"/>
      <c r="P774" s="117"/>
      <c r="Q774" s="117"/>
      <c r="R774" s="117"/>
      <c r="S774" s="117"/>
      <c r="T774" s="117"/>
      <c r="U774" s="235"/>
      <c r="V774" s="117"/>
      <c r="W774" s="117"/>
      <c r="X774" s="117"/>
      <c r="Y774" s="117"/>
      <c r="Z774" s="117"/>
      <c r="AA774" s="44"/>
      <c r="AB774" s="117"/>
      <c r="AC774" s="44"/>
      <c r="AD774" s="117"/>
    </row>
    <row r="775" spans="1:30" ht="14.25" customHeight="1">
      <c r="A775" s="189"/>
      <c r="B775" s="189"/>
      <c r="C775" s="44"/>
      <c r="D775" s="117"/>
      <c r="E775" s="44"/>
      <c r="F775" s="44"/>
      <c r="G775" s="117"/>
      <c r="H775" s="117"/>
      <c r="I775" s="117"/>
      <c r="J775" s="117"/>
      <c r="K775" s="117"/>
      <c r="L775" s="117"/>
      <c r="M775" s="117"/>
      <c r="N775" s="117"/>
      <c r="O775" s="117"/>
      <c r="P775" s="117"/>
      <c r="Q775" s="117"/>
      <c r="R775" s="117"/>
      <c r="S775" s="117"/>
      <c r="T775" s="117"/>
      <c r="U775" s="235"/>
      <c r="V775" s="117"/>
      <c r="W775" s="117"/>
      <c r="X775" s="117"/>
      <c r="Y775" s="117"/>
      <c r="Z775" s="117"/>
      <c r="AA775" s="44"/>
      <c r="AB775" s="117"/>
      <c r="AC775" s="44"/>
      <c r="AD775" s="117"/>
    </row>
    <row r="776" spans="1:30" ht="14.25" customHeight="1">
      <c r="A776" s="189"/>
      <c r="B776" s="189"/>
      <c r="C776" s="44"/>
      <c r="D776" s="117"/>
      <c r="E776" s="44"/>
      <c r="F776" s="44"/>
      <c r="G776" s="117"/>
      <c r="H776" s="117"/>
      <c r="I776" s="117"/>
      <c r="J776" s="117"/>
      <c r="K776" s="117"/>
      <c r="L776" s="117"/>
      <c r="M776" s="117"/>
      <c r="N776" s="117"/>
      <c r="O776" s="117"/>
      <c r="P776" s="117"/>
      <c r="Q776" s="117"/>
      <c r="R776" s="117"/>
      <c r="S776" s="117"/>
      <c r="T776" s="117"/>
      <c r="U776" s="235"/>
      <c r="V776" s="117"/>
      <c r="W776" s="117"/>
      <c r="X776" s="117"/>
      <c r="Y776" s="117"/>
      <c r="Z776" s="117"/>
      <c r="AA776" s="44"/>
      <c r="AB776" s="117"/>
      <c r="AC776" s="44"/>
      <c r="AD776" s="117"/>
    </row>
    <row r="777" spans="1:30" ht="14.25" customHeight="1">
      <c r="A777" s="189"/>
      <c r="B777" s="189"/>
      <c r="C777" s="44"/>
      <c r="D777" s="117"/>
      <c r="E777" s="44"/>
      <c r="F777" s="44"/>
      <c r="G777" s="117"/>
      <c r="H777" s="117"/>
      <c r="I777" s="117"/>
      <c r="J777" s="117"/>
      <c r="K777" s="117"/>
      <c r="L777" s="117"/>
      <c r="M777" s="117"/>
      <c r="N777" s="117"/>
      <c r="O777" s="117"/>
      <c r="P777" s="117"/>
      <c r="Q777" s="117"/>
      <c r="R777" s="117"/>
      <c r="S777" s="117"/>
      <c r="T777" s="117"/>
      <c r="U777" s="235"/>
      <c r="V777" s="117"/>
      <c r="W777" s="117"/>
      <c r="X777" s="117"/>
      <c r="Y777" s="117"/>
      <c r="Z777" s="117"/>
      <c r="AA777" s="44"/>
      <c r="AB777" s="117"/>
      <c r="AC777" s="44"/>
      <c r="AD777" s="117"/>
    </row>
    <row r="778" spans="1:30" ht="14.25" customHeight="1">
      <c r="A778" s="189"/>
      <c r="B778" s="189"/>
      <c r="C778" s="44"/>
      <c r="D778" s="117"/>
      <c r="E778" s="44"/>
      <c r="F778" s="44"/>
      <c r="G778" s="117"/>
      <c r="H778" s="117"/>
      <c r="I778" s="117"/>
      <c r="J778" s="117"/>
      <c r="K778" s="117"/>
      <c r="L778" s="117"/>
      <c r="M778" s="117"/>
      <c r="N778" s="117"/>
      <c r="O778" s="117"/>
      <c r="P778" s="117"/>
      <c r="Q778" s="117"/>
      <c r="R778" s="117"/>
      <c r="S778" s="117"/>
      <c r="T778" s="117"/>
      <c r="U778" s="235"/>
      <c r="V778" s="117"/>
      <c r="W778" s="117"/>
      <c r="X778" s="117"/>
      <c r="Y778" s="117"/>
      <c r="Z778" s="117"/>
      <c r="AA778" s="44"/>
      <c r="AB778" s="117"/>
      <c r="AC778" s="44"/>
      <c r="AD778" s="117"/>
    </row>
    <row r="779" spans="1:30" ht="14.25" customHeight="1">
      <c r="A779" s="189"/>
      <c r="B779" s="189"/>
      <c r="C779" s="44"/>
      <c r="D779" s="117"/>
      <c r="E779" s="44"/>
      <c r="F779" s="44"/>
      <c r="G779" s="117"/>
      <c r="H779" s="117"/>
      <c r="I779" s="117"/>
      <c r="J779" s="117"/>
      <c r="K779" s="117"/>
      <c r="L779" s="117"/>
      <c r="M779" s="117"/>
      <c r="N779" s="117"/>
      <c r="O779" s="117"/>
      <c r="P779" s="117"/>
      <c r="Q779" s="117"/>
      <c r="R779" s="117"/>
      <c r="S779" s="117"/>
      <c r="T779" s="117"/>
      <c r="U779" s="235"/>
      <c r="V779" s="117"/>
      <c r="W779" s="117"/>
      <c r="X779" s="117"/>
      <c r="Y779" s="117"/>
      <c r="Z779" s="117"/>
      <c r="AA779" s="44"/>
      <c r="AB779" s="117"/>
      <c r="AC779" s="44"/>
      <c r="AD779" s="117"/>
    </row>
    <row r="780" spans="1:30" ht="14.25" customHeight="1">
      <c r="A780" s="189"/>
      <c r="B780" s="189"/>
      <c r="C780" s="44"/>
      <c r="D780" s="117"/>
      <c r="E780" s="44"/>
      <c r="F780" s="44"/>
      <c r="G780" s="117"/>
      <c r="H780" s="117"/>
      <c r="I780" s="117"/>
      <c r="J780" s="117"/>
      <c r="K780" s="117"/>
      <c r="L780" s="117"/>
      <c r="M780" s="117"/>
      <c r="N780" s="117"/>
      <c r="O780" s="117"/>
      <c r="P780" s="117"/>
      <c r="Q780" s="117"/>
      <c r="R780" s="117"/>
      <c r="S780" s="117"/>
      <c r="T780" s="117"/>
      <c r="U780" s="235"/>
      <c r="V780" s="117"/>
      <c r="W780" s="117"/>
      <c r="X780" s="117"/>
      <c r="Y780" s="117"/>
      <c r="Z780" s="117"/>
      <c r="AA780" s="44"/>
      <c r="AB780" s="117"/>
      <c r="AC780" s="44"/>
      <c r="AD780" s="117"/>
    </row>
    <row r="781" spans="1:30" ht="14.25" customHeight="1">
      <c r="A781" s="189"/>
      <c r="B781" s="189"/>
      <c r="C781" s="44"/>
      <c r="D781" s="117"/>
      <c r="E781" s="44"/>
      <c r="F781" s="44"/>
      <c r="G781" s="117"/>
      <c r="H781" s="117"/>
      <c r="I781" s="117"/>
      <c r="J781" s="117"/>
      <c r="K781" s="117"/>
      <c r="L781" s="117"/>
      <c r="M781" s="117"/>
      <c r="N781" s="117"/>
      <c r="O781" s="117"/>
      <c r="P781" s="117"/>
      <c r="Q781" s="117"/>
      <c r="R781" s="117"/>
      <c r="S781" s="117"/>
      <c r="T781" s="117"/>
      <c r="U781" s="235"/>
      <c r="V781" s="117"/>
      <c r="W781" s="117"/>
      <c r="X781" s="117"/>
      <c r="Y781" s="117"/>
      <c r="Z781" s="117"/>
      <c r="AA781" s="44"/>
      <c r="AB781" s="117"/>
      <c r="AC781" s="44"/>
      <c r="AD781" s="117"/>
    </row>
    <row r="782" spans="1:30" ht="14.25" customHeight="1">
      <c r="A782" s="189"/>
      <c r="B782" s="189"/>
      <c r="C782" s="44"/>
      <c r="D782" s="117"/>
      <c r="E782" s="44"/>
      <c r="F782" s="44"/>
      <c r="G782" s="117"/>
      <c r="H782" s="117"/>
      <c r="I782" s="117"/>
      <c r="J782" s="117"/>
      <c r="K782" s="117"/>
      <c r="L782" s="117"/>
      <c r="M782" s="117"/>
      <c r="N782" s="117"/>
      <c r="O782" s="117"/>
      <c r="P782" s="117"/>
      <c r="Q782" s="117"/>
      <c r="R782" s="117"/>
      <c r="S782" s="117"/>
      <c r="T782" s="117"/>
      <c r="U782" s="235"/>
      <c r="V782" s="117"/>
      <c r="W782" s="117"/>
      <c r="X782" s="117"/>
      <c r="Y782" s="117"/>
      <c r="Z782" s="117"/>
      <c r="AA782" s="44"/>
      <c r="AB782" s="117"/>
      <c r="AC782" s="44"/>
      <c r="AD782" s="117"/>
    </row>
    <row r="783" spans="1:30" ht="14.25" customHeight="1">
      <c r="A783" s="189"/>
      <c r="B783" s="189"/>
      <c r="C783" s="44"/>
      <c r="D783" s="117"/>
      <c r="E783" s="44"/>
      <c r="F783" s="44"/>
      <c r="G783" s="117"/>
      <c r="H783" s="117"/>
      <c r="I783" s="117"/>
      <c r="J783" s="117"/>
      <c r="K783" s="117"/>
      <c r="L783" s="117"/>
      <c r="M783" s="117"/>
      <c r="N783" s="117"/>
      <c r="O783" s="117"/>
      <c r="P783" s="117"/>
      <c r="Q783" s="117"/>
      <c r="R783" s="117"/>
      <c r="S783" s="117"/>
      <c r="T783" s="117"/>
      <c r="U783" s="235"/>
      <c r="V783" s="117"/>
      <c r="W783" s="117"/>
      <c r="X783" s="117"/>
      <c r="Y783" s="117"/>
      <c r="Z783" s="117"/>
      <c r="AA783" s="44"/>
      <c r="AB783" s="117"/>
      <c r="AC783" s="44"/>
      <c r="AD783" s="117"/>
    </row>
    <row r="784" spans="1:30" ht="14.25" customHeight="1">
      <c r="A784" s="189"/>
      <c r="B784" s="189"/>
      <c r="C784" s="44"/>
      <c r="D784" s="117"/>
      <c r="E784" s="44"/>
      <c r="F784" s="44"/>
      <c r="G784" s="117"/>
      <c r="H784" s="117"/>
      <c r="I784" s="117"/>
      <c r="J784" s="117"/>
      <c r="K784" s="117"/>
      <c r="L784" s="117"/>
      <c r="M784" s="117"/>
      <c r="N784" s="117"/>
      <c r="O784" s="117"/>
      <c r="P784" s="117"/>
      <c r="Q784" s="117"/>
      <c r="R784" s="117"/>
      <c r="S784" s="117"/>
      <c r="T784" s="117"/>
      <c r="U784" s="235"/>
      <c r="V784" s="117"/>
      <c r="W784" s="117"/>
      <c r="X784" s="117"/>
      <c r="Y784" s="117"/>
      <c r="Z784" s="117"/>
      <c r="AA784" s="44"/>
      <c r="AB784" s="117"/>
      <c r="AC784" s="44"/>
      <c r="AD784" s="117"/>
    </row>
    <row r="785" spans="1:30" ht="14.25" customHeight="1">
      <c r="A785" s="189"/>
      <c r="B785" s="189"/>
      <c r="C785" s="44"/>
      <c r="D785" s="117"/>
      <c r="E785" s="44"/>
      <c r="F785" s="44"/>
      <c r="G785" s="117"/>
      <c r="H785" s="117"/>
      <c r="I785" s="117"/>
      <c r="J785" s="117"/>
      <c r="K785" s="117"/>
      <c r="L785" s="117"/>
      <c r="M785" s="117"/>
      <c r="N785" s="117"/>
      <c r="O785" s="117"/>
      <c r="P785" s="117"/>
      <c r="Q785" s="117"/>
      <c r="R785" s="117"/>
      <c r="S785" s="117"/>
      <c r="T785" s="117"/>
      <c r="U785" s="235"/>
      <c r="V785" s="117"/>
      <c r="W785" s="117"/>
      <c r="X785" s="117"/>
      <c r="Y785" s="117"/>
      <c r="Z785" s="117"/>
      <c r="AA785" s="44"/>
      <c r="AB785" s="117"/>
      <c r="AC785" s="44"/>
      <c r="AD785" s="117"/>
    </row>
    <row r="786" spans="1:30" ht="14.25" customHeight="1">
      <c r="A786" s="189"/>
      <c r="B786" s="189"/>
      <c r="C786" s="44"/>
      <c r="D786" s="117"/>
      <c r="E786" s="44"/>
      <c r="F786" s="44"/>
      <c r="G786" s="117"/>
      <c r="H786" s="117"/>
      <c r="I786" s="117"/>
      <c r="J786" s="117"/>
      <c r="K786" s="117"/>
      <c r="L786" s="117"/>
      <c r="M786" s="117"/>
      <c r="N786" s="117"/>
      <c r="O786" s="117"/>
      <c r="P786" s="117"/>
      <c r="Q786" s="117"/>
      <c r="R786" s="117"/>
      <c r="S786" s="117"/>
      <c r="T786" s="117"/>
      <c r="U786" s="235"/>
      <c r="V786" s="117"/>
      <c r="W786" s="117"/>
      <c r="X786" s="117"/>
      <c r="Y786" s="117"/>
      <c r="Z786" s="117"/>
      <c r="AA786" s="44"/>
      <c r="AB786" s="117"/>
      <c r="AC786" s="44"/>
      <c r="AD786" s="117"/>
    </row>
    <row r="787" spans="1:30" ht="14.25" customHeight="1">
      <c r="A787" s="189"/>
      <c r="B787" s="189"/>
      <c r="C787" s="44"/>
      <c r="D787" s="117"/>
      <c r="E787" s="44"/>
      <c r="F787" s="44"/>
      <c r="G787" s="117"/>
      <c r="H787" s="117"/>
      <c r="I787" s="117"/>
      <c r="J787" s="117"/>
      <c r="K787" s="117"/>
      <c r="L787" s="117"/>
      <c r="M787" s="117"/>
      <c r="N787" s="117"/>
      <c r="O787" s="117"/>
      <c r="P787" s="117"/>
      <c r="Q787" s="117"/>
      <c r="R787" s="117"/>
      <c r="S787" s="117"/>
      <c r="T787" s="117"/>
      <c r="U787" s="235"/>
      <c r="V787" s="117"/>
      <c r="W787" s="117"/>
      <c r="X787" s="117"/>
      <c r="Y787" s="117"/>
      <c r="Z787" s="117"/>
      <c r="AA787" s="44"/>
      <c r="AB787" s="117"/>
      <c r="AC787" s="44"/>
      <c r="AD787" s="117"/>
    </row>
    <row r="788" spans="1:30" ht="14.25" customHeight="1">
      <c r="A788" s="189"/>
      <c r="B788" s="189"/>
      <c r="C788" s="44"/>
      <c r="D788" s="117"/>
      <c r="E788" s="44"/>
      <c r="F788" s="44"/>
      <c r="G788" s="117"/>
      <c r="H788" s="117"/>
      <c r="I788" s="117"/>
      <c r="J788" s="117"/>
      <c r="K788" s="117"/>
      <c r="L788" s="117"/>
      <c r="M788" s="117"/>
      <c r="N788" s="117"/>
      <c r="O788" s="117"/>
      <c r="P788" s="117"/>
      <c r="Q788" s="117"/>
      <c r="R788" s="117"/>
      <c r="S788" s="117"/>
      <c r="T788" s="117"/>
      <c r="U788" s="235"/>
      <c r="V788" s="117"/>
      <c r="W788" s="117"/>
      <c r="X788" s="117"/>
      <c r="Y788" s="117"/>
      <c r="Z788" s="117"/>
      <c r="AA788" s="44"/>
      <c r="AB788" s="117"/>
      <c r="AC788" s="44"/>
      <c r="AD788" s="117"/>
    </row>
    <row r="789" spans="1:30" ht="14.25" customHeight="1">
      <c r="A789" s="189"/>
      <c r="B789" s="189"/>
      <c r="C789" s="44"/>
      <c r="D789" s="117"/>
      <c r="E789" s="44"/>
      <c r="F789" s="44"/>
      <c r="G789" s="117"/>
      <c r="H789" s="117"/>
      <c r="I789" s="117"/>
      <c r="J789" s="117"/>
      <c r="K789" s="117"/>
      <c r="L789" s="117"/>
      <c r="M789" s="117"/>
      <c r="N789" s="117"/>
      <c r="O789" s="117"/>
      <c r="P789" s="117"/>
      <c r="Q789" s="117"/>
      <c r="R789" s="117"/>
      <c r="S789" s="117"/>
      <c r="T789" s="117"/>
      <c r="U789" s="235"/>
      <c r="V789" s="117"/>
      <c r="W789" s="117"/>
      <c r="X789" s="117"/>
      <c r="Y789" s="117"/>
      <c r="Z789" s="117"/>
      <c r="AA789" s="44"/>
      <c r="AB789" s="117"/>
      <c r="AC789" s="44"/>
      <c r="AD789" s="117"/>
    </row>
    <row r="790" spans="1:30" ht="14.25" customHeight="1">
      <c r="A790" s="189"/>
      <c r="B790" s="189"/>
      <c r="C790" s="44"/>
      <c r="D790" s="117"/>
      <c r="E790" s="44"/>
      <c r="F790" s="44"/>
      <c r="G790" s="117"/>
      <c r="H790" s="117"/>
      <c r="I790" s="117"/>
      <c r="J790" s="117"/>
      <c r="K790" s="117"/>
      <c r="L790" s="117"/>
      <c r="M790" s="117"/>
      <c r="N790" s="117"/>
      <c r="O790" s="117"/>
      <c r="P790" s="117"/>
      <c r="Q790" s="117"/>
      <c r="R790" s="117"/>
      <c r="S790" s="117"/>
      <c r="T790" s="117"/>
      <c r="U790" s="235"/>
      <c r="V790" s="117"/>
      <c r="W790" s="117"/>
      <c r="X790" s="117"/>
      <c r="Y790" s="117"/>
      <c r="Z790" s="117"/>
      <c r="AA790" s="44"/>
      <c r="AB790" s="117"/>
      <c r="AC790" s="44"/>
      <c r="AD790" s="117"/>
    </row>
    <row r="791" spans="1:30" ht="14.25" customHeight="1">
      <c r="A791" s="189"/>
      <c r="B791" s="189"/>
      <c r="C791" s="44"/>
      <c r="D791" s="117"/>
      <c r="E791" s="44"/>
      <c r="F791" s="44"/>
      <c r="G791" s="117"/>
      <c r="H791" s="117"/>
      <c r="I791" s="117"/>
      <c r="J791" s="117"/>
      <c r="K791" s="117"/>
      <c r="L791" s="117"/>
      <c r="M791" s="117"/>
      <c r="N791" s="117"/>
      <c r="O791" s="117"/>
      <c r="P791" s="117"/>
      <c r="Q791" s="117"/>
      <c r="R791" s="117"/>
      <c r="S791" s="117"/>
      <c r="T791" s="117"/>
      <c r="U791" s="235"/>
      <c r="V791" s="117"/>
      <c r="W791" s="117"/>
      <c r="X791" s="117"/>
      <c r="Y791" s="117"/>
      <c r="Z791" s="117"/>
      <c r="AA791" s="44"/>
      <c r="AB791" s="117"/>
      <c r="AC791" s="44"/>
      <c r="AD791" s="117"/>
    </row>
    <row r="792" spans="1:30" ht="14.25" customHeight="1">
      <c r="A792" s="189"/>
      <c r="B792" s="189"/>
      <c r="C792" s="44"/>
      <c r="D792" s="117"/>
      <c r="E792" s="44"/>
      <c r="F792" s="44"/>
      <c r="G792" s="117"/>
      <c r="H792" s="117"/>
      <c r="I792" s="117"/>
      <c r="J792" s="117"/>
      <c r="K792" s="117"/>
      <c r="L792" s="117"/>
      <c r="M792" s="117"/>
      <c r="N792" s="117"/>
      <c r="O792" s="117"/>
      <c r="P792" s="117"/>
      <c r="Q792" s="117"/>
      <c r="R792" s="117"/>
      <c r="S792" s="117"/>
      <c r="T792" s="117"/>
      <c r="U792" s="235"/>
      <c r="V792" s="117"/>
      <c r="W792" s="117"/>
      <c r="X792" s="117"/>
      <c r="Y792" s="117"/>
      <c r="Z792" s="117"/>
      <c r="AA792" s="44"/>
      <c r="AB792" s="117"/>
      <c r="AC792" s="44"/>
      <c r="AD792" s="117"/>
    </row>
    <row r="793" spans="1:30" ht="14.25" customHeight="1">
      <c r="A793" s="189"/>
      <c r="B793" s="189"/>
      <c r="C793" s="44"/>
      <c r="D793" s="117"/>
      <c r="E793" s="44"/>
      <c r="F793" s="44"/>
      <c r="G793" s="117"/>
      <c r="H793" s="117"/>
      <c r="I793" s="117"/>
      <c r="J793" s="117"/>
      <c r="K793" s="117"/>
      <c r="L793" s="117"/>
      <c r="M793" s="117"/>
      <c r="N793" s="117"/>
      <c r="O793" s="117"/>
      <c r="P793" s="117"/>
      <c r="Q793" s="117"/>
      <c r="R793" s="117"/>
      <c r="S793" s="117"/>
      <c r="T793" s="117"/>
      <c r="U793" s="235"/>
      <c r="V793" s="117"/>
      <c r="W793" s="117"/>
      <c r="X793" s="117"/>
      <c r="Y793" s="117"/>
      <c r="Z793" s="117"/>
      <c r="AA793" s="44"/>
      <c r="AB793" s="117"/>
      <c r="AC793" s="44"/>
      <c r="AD793" s="117"/>
    </row>
    <row r="794" spans="1:30" ht="14.25" customHeight="1">
      <c r="A794" s="189"/>
      <c r="B794" s="189"/>
      <c r="C794" s="44"/>
      <c r="D794" s="117"/>
      <c r="E794" s="44"/>
      <c r="F794" s="44"/>
      <c r="G794" s="117"/>
      <c r="H794" s="117"/>
      <c r="I794" s="117"/>
      <c r="J794" s="117"/>
      <c r="K794" s="117"/>
      <c r="L794" s="117"/>
      <c r="M794" s="117"/>
      <c r="N794" s="117"/>
      <c r="O794" s="117"/>
      <c r="P794" s="117"/>
      <c r="Q794" s="117"/>
      <c r="R794" s="117"/>
      <c r="S794" s="117"/>
      <c r="T794" s="117"/>
      <c r="U794" s="235"/>
      <c r="V794" s="117"/>
      <c r="W794" s="117"/>
      <c r="X794" s="117"/>
      <c r="Y794" s="117"/>
      <c r="Z794" s="117"/>
      <c r="AA794" s="44"/>
      <c r="AB794" s="117"/>
      <c r="AC794" s="44"/>
      <c r="AD794" s="117"/>
    </row>
    <row r="795" spans="1:30" ht="14.25" customHeight="1">
      <c r="A795" s="189"/>
      <c r="B795" s="189"/>
      <c r="C795" s="44"/>
      <c r="D795" s="117"/>
      <c r="E795" s="44"/>
      <c r="F795" s="44"/>
      <c r="G795" s="117"/>
      <c r="H795" s="117"/>
      <c r="I795" s="117"/>
      <c r="J795" s="117"/>
      <c r="K795" s="117"/>
      <c r="L795" s="117"/>
      <c r="M795" s="117"/>
      <c r="N795" s="117"/>
      <c r="O795" s="117"/>
      <c r="P795" s="117"/>
      <c r="Q795" s="117"/>
      <c r="R795" s="117"/>
      <c r="S795" s="117"/>
      <c r="T795" s="117"/>
      <c r="U795" s="235"/>
      <c r="V795" s="117"/>
      <c r="W795" s="117"/>
      <c r="X795" s="117"/>
      <c r="Y795" s="117"/>
      <c r="Z795" s="117"/>
      <c r="AA795" s="44"/>
      <c r="AB795" s="117"/>
      <c r="AC795" s="44"/>
      <c r="AD795" s="117"/>
    </row>
    <row r="796" spans="1:30" ht="14.25" customHeight="1">
      <c r="A796" s="189"/>
      <c r="B796" s="189"/>
      <c r="C796" s="44"/>
      <c r="D796" s="117"/>
      <c r="E796" s="44"/>
      <c r="F796" s="44"/>
      <c r="G796" s="117"/>
      <c r="H796" s="117"/>
      <c r="I796" s="117"/>
      <c r="J796" s="117"/>
      <c r="K796" s="117"/>
      <c r="L796" s="117"/>
      <c r="M796" s="117"/>
      <c r="N796" s="117"/>
      <c r="O796" s="117"/>
      <c r="P796" s="117"/>
      <c r="Q796" s="117"/>
      <c r="R796" s="117"/>
      <c r="S796" s="117"/>
      <c r="T796" s="117"/>
      <c r="U796" s="235"/>
      <c r="V796" s="117"/>
      <c r="W796" s="117"/>
      <c r="X796" s="117"/>
      <c r="Y796" s="117"/>
      <c r="Z796" s="117"/>
      <c r="AA796" s="44"/>
      <c r="AB796" s="117"/>
      <c r="AC796" s="44"/>
      <c r="AD796" s="117"/>
    </row>
    <row r="797" spans="1:30" ht="14.25" customHeight="1">
      <c r="A797" s="189"/>
      <c r="B797" s="189"/>
      <c r="C797" s="44"/>
      <c r="D797" s="117"/>
      <c r="E797" s="44"/>
      <c r="F797" s="44"/>
      <c r="G797" s="117"/>
      <c r="H797" s="117"/>
      <c r="I797" s="117"/>
      <c r="J797" s="117"/>
      <c r="K797" s="117"/>
      <c r="L797" s="117"/>
      <c r="M797" s="117"/>
      <c r="N797" s="117"/>
      <c r="O797" s="117"/>
      <c r="P797" s="117"/>
      <c r="Q797" s="117"/>
      <c r="R797" s="117"/>
      <c r="S797" s="117"/>
      <c r="T797" s="117"/>
      <c r="U797" s="235"/>
      <c r="V797" s="117"/>
      <c r="W797" s="117"/>
      <c r="X797" s="117"/>
      <c r="Y797" s="117"/>
      <c r="Z797" s="117"/>
      <c r="AA797" s="44"/>
      <c r="AB797" s="117"/>
      <c r="AC797" s="44"/>
      <c r="AD797" s="117"/>
    </row>
    <row r="798" spans="1:30" ht="14.25" customHeight="1">
      <c r="A798" s="189"/>
      <c r="B798" s="189"/>
      <c r="C798" s="44"/>
      <c r="D798" s="117"/>
      <c r="E798" s="44"/>
      <c r="F798" s="44"/>
      <c r="G798" s="117"/>
      <c r="H798" s="117"/>
      <c r="I798" s="117"/>
      <c r="J798" s="117"/>
      <c r="K798" s="117"/>
      <c r="L798" s="117"/>
      <c r="M798" s="117"/>
      <c r="N798" s="117"/>
      <c r="O798" s="117"/>
      <c r="P798" s="117"/>
      <c r="Q798" s="117"/>
      <c r="R798" s="117"/>
      <c r="S798" s="117"/>
      <c r="T798" s="117"/>
      <c r="U798" s="235"/>
      <c r="V798" s="117"/>
      <c r="W798" s="117"/>
      <c r="X798" s="117"/>
      <c r="Y798" s="117"/>
      <c r="Z798" s="117"/>
      <c r="AA798" s="44"/>
      <c r="AB798" s="117"/>
      <c r="AC798" s="44"/>
      <c r="AD798" s="117"/>
    </row>
    <row r="799" spans="1:30" ht="14.25" customHeight="1">
      <c r="A799" s="189"/>
      <c r="B799" s="189"/>
      <c r="C799" s="44"/>
      <c r="D799" s="117"/>
      <c r="E799" s="44"/>
      <c r="F799" s="44"/>
      <c r="G799" s="117"/>
      <c r="H799" s="117"/>
      <c r="I799" s="117"/>
      <c r="J799" s="117"/>
      <c r="K799" s="117"/>
      <c r="L799" s="117"/>
      <c r="M799" s="117"/>
      <c r="N799" s="117"/>
      <c r="O799" s="117"/>
      <c r="P799" s="117"/>
      <c r="Q799" s="117"/>
      <c r="R799" s="117"/>
      <c r="S799" s="117"/>
      <c r="T799" s="117"/>
      <c r="U799" s="235"/>
      <c r="V799" s="117"/>
      <c r="W799" s="117"/>
      <c r="X799" s="117"/>
      <c r="Y799" s="117"/>
      <c r="Z799" s="117"/>
      <c r="AA799" s="44"/>
      <c r="AB799" s="117"/>
      <c r="AC799" s="44"/>
      <c r="AD799" s="117"/>
    </row>
    <row r="800" spans="1:30" ht="14.25" customHeight="1">
      <c r="A800" s="189"/>
      <c r="B800" s="189"/>
      <c r="C800" s="44"/>
      <c r="D800" s="117"/>
      <c r="E800" s="44"/>
      <c r="F800" s="44"/>
      <c r="G800" s="117"/>
      <c r="H800" s="117"/>
      <c r="I800" s="117"/>
      <c r="J800" s="117"/>
      <c r="K800" s="117"/>
      <c r="L800" s="117"/>
      <c r="M800" s="117"/>
      <c r="N800" s="117"/>
      <c r="O800" s="117"/>
      <c r="P800" s="117"/>
      <c r="Q800" s="117"/>
      <c r="R800" s="117"/>
      <c r="S800" s="117"/>
      <c r="T800" s="117"/>
      <c r="U800" s="235"/>
      <c r="V800" s="117"/>
      <c r="W800" s="117"/>
      <c r="X800" s="117"/>
      <c r="Y800" s="117"/>
      <c r="Z800" s="117"/>
      <c r="AA800" s="44"/>
      <c r="AB800" s="117"/>
      <c r="AC800" s="44"/>
      <c r="AD800" s="117"/>
    </row>
    <row r="801" spans="1:30" ht="14.25" customHeight="1">
      <c r="A801" s="189"/>
      <c r="B801" s="189"/>
      <c r="C801" s="44"/>
      <c r="D801" s="117"/>
      <c r="E801" s="44"/>
      <c r="F801" s="44"/>
      <c r="G801" s="117"/>
      <c r="H801" s="117"/>
      <c r="I801" s="117"/>
      <c r="J801" s="117"/>
      <c r="K801" s="117"/>
      <c r="L801" s="117"/>
      <c r="M801" s="117"/>
      <c r="N801" s="117"/>
      <c r="O801" s="117"/>
      <c r="P801" s="117"/>
      <c r="Q801" s="117"/>
      <c r="R801" s="117"/>
      <c r="S801" s="117"/>
      <c r="T801" s="117"/>
      <c r="U801" s="235"/>
      <c r="V801" s="117"/>
      <c r="W801" s="117"/>
      <c r="X801" s="117"/>
      <c r="Y801" s="117"/>
      <c r="Z801" s="117"/>
      <c r="AA801" s="44"/>
      <c r="AB801" s="117"/>
      <c r="AC801" s="44"/>
      <c r="AD801" s="117"/>
    </row>
    <row r="802" spans="1:30" ht="14.25" customHeight="1">
      <c r="A802" s="189"/>
      <c r="B802" s="189"/>
      <c r="C802" s="44"/>
      <c r="D802" s="117"/>
      <c r="E802" s="44"/>
      <c r="F802" s="44"/>
      <c r="G802" s="117"/>
      <c r="H802" s="117"/>
      <c r="I802" s="117"/>
      <c r="J802" s="117"/>
      <c r="K802" s="117"/>
      <c r="L802" s="117"/>
      <c r="M802" s="117"/>
      <c r="N802" s="117"/>
      <c r="O802" s="117"/>
      <c r="P802" s="117"/>
      <c r="Q802" s="117"/>
      <c r="R802" s="117"/>
      <c r="S802" s="117"/>
      <c r="T802" s="117"/>
      <c r="U802" s="235"/>
      <c r="V802" s="117"/>
      <c r="W802" s="117"/>
      <c r="X802" s="117"/>
      <c r="Y802" s="117"/>
      <c r="Z802" s="117"/>
      <c r="AA802" s="44"/>
      <c r="AB802" s="117"/>
      <c r="AC802" s="44"/>
      <c r="AD802" s="117"/>
    </row>
    <row r="803" spans="1:30" ht="14.25" customHeight="1">
      <c r="A803" s="189"/>
      <c r="B803" s="189"/>
      <c r="C803" s="44"/>
      <c r="D803" s="117"/>
      <c r="E803" s="44"/>
      <c r="F803" s="44"/>
      <c r="G803" s="117"/>
      <c r="H803" s="117"/>
      <c r="I803" s="117"/>
      <c r="J803" s="117"/>
      <c r="K803" s="117"/>
      <c r="L803" s="117"/>
      <c r="M803" s="117"/>
      <c r="N803" s="117"/>
      <c r="O803" s="117"/>
      <c r="P803" s="117"/>
      <c r="Q803" s="117"/>
      <c r="R803" s="117"/>
      <c r="S803" s="117"/>
      <c r="T803" s="117"/>
      <c r="U803" s="235"/>
      <c r="V803" s="117"/>
      <c r="W803" s="117"/>
      <c r="X803" s="117"/>
      <c r="Y803" s="117"/>
      <c r="Z803" s="117"/>
      <c r="AA803" s="44"/>
      <c r="AB803" s="117"/>
      <c r="AC803" s="44"/>
      <c r="AD803" s="117"/>
    </row>
    <row r="804" spans="1:30" ht="14.25" customHeight="1">
      <c r="A804" s="189"/>
      <c r="B804" s="189"/>
      <c r="C804" s="44"/>
      <c r="D804" s="117"/>
      <c r="E804" s="44"/>
      <c r="F804" s="44"/>
      <c r="G804" s="117"/>
      <c r="H804" s="117"/>
      <c r="I804" s="117"/>
      <c r="J804" s="117"/>
      <c r="K804" s="117"/>
      <c r="L804" s="117"/>
      <c r="M804" s="117"/>
      <c r="N804" s="117"/>
      <c r="O804" s="117"/>
      <c r="P804" s="117"/>
      <c r="Q804" s="117"/>
      <c r="R804" s="117"/>
      <c r="S804" s="117"/>
      <c r="T804" s="117"/>
      <c r="U804" s="235"/>
      <c r="V804" s="117"/>
      <c r="W804" s="117"/>
      <c r="X804" s="117"/>
      <c r="Y804" s="117"/>
      <c r="Z804" s="117"/>
      <c r="AA804" s="44"/>
      <c r="AB804" s="117"/>
      <c r="AC804" s="44"/>
      <c r="AD804" s="117"/>
    </row>
    <row r="805" spans="1:30" ht="14.25" customHeight="1">
      <c r="A805" s="189"/>
      <c r="B805" s="189"/>
      <c r="C805" s="44"/>
      <c r="D805" s="117"/>
      <c r="E805" s="44"/>
      <c r="F805" s="44"/>
      <c r="G805" s="117"/>
      <c r="H805" s="117"/>
      <c r="I805" s="117"/>
      <c r="J805" s="117"/>
      <c r="K805" s="117"/>
      <c r="L805" s="117"/>
      <c r="M805" s="117"/>
      <c r="N805" s="117"/>
      <c r="O805" s="117"/>
      <c r="P805" s="117"/>
      <c r="Q805" s="117"/>
      <c r="R805" s="117"/>
      <c r="S805" s="117"/>
      <c r="T805" s="117"/>
      <c r="U805" s="235"/>
      <c r="V805" s="117"/>
      <c r="W805" s="117"/>
      <c r="X805" s="117"/>
      <c r="Y805" s="117"/>
      <c r="Z805" s="117"/>
      <c r="AA805" s="44"/>
      <c r="AB805" s="117"/>
      <c r="AC805" s="44"/>
      <c r="AD805" s="117"/>
    </row>
    <row r="806" spans="1:30" ht="14.25" customHeight="1">
      <c r="A806" s="189"/>
      <c r="B806" s="189"/>
      <c r="C806" s="44"/>
      <c r="D806" s="117"/>
      <c r="E806" s="44"/>
      <c r="F806" s="44"/>
      <c r="G806" s="117"/>
      <c r="H806" s="117"/>
      <c r="I806" s="117"/>
      <c r="J806" s="117"/>
      <c r="K806" s="117"/>
      <c r="L806" s="117"/>
      <c r="M806" s="117"/>
      <c r="N806" s="117"/>
      <c r="O806" s="117"/>
      <c r="P806" s="117"/>
      <c r="Q806" s="117"/>
      <c r="R806" s="117"/>
      <c r="S806" s="117"/>
      <c r="T806" s="117"/>
      <c r="U806" s="235"/>
      <c r="V806" s="117"/>
      <c r="W806" s="117"/>
      <c r="X806" s="117"/>
      <c r="Y806" s="117"/>
      <c r="Z806" s="117"/>
      <c r="AA806" s="44"/>
      <c r="AB806" s="117"/>
      <c r="AC806" s="44"/>
      <c r="AD806" s="117"/>
    </row>
    <row r="807" spans="1:30" ht="14.25" customHeight="1">
      <c r="A807" s="189"/>
      <c r="B807" s="189"/>
      <c r="C807" s="44"/>
      <c r="D807" s="117"/>
      <c r="E807" s="44"/>
      <c r="F807" s="44"/>
      <c r="G807" s="117"/>
      <c r="H807" s="117"/>
      <c r="I807" s="117"/>
      <c r="J807" s="117"/>
      <c r="K807" s="117"/>
      <c r="L807" s="117"/>
      <c r="M807" s="117"/>
      <c r="N807" s="117"/>
      <c r="O807" s="117"/>
      <c r="P807" s="117"/>
      <c r="Q807" s="117"/>
      <c r="R807" s="117"/>
      <c r="S807" s="117"/>
      <c r="T807" s="117"/>
      <c r="U807" s="235"/>
      <c r="V807" s="117"/>
      <c r="W807" s="117"/>
      <c r="X807" s="117"/>
      <c r="Y807" s="117"/>
      <c r="Z807" s="117"/>
      <c r="AA807" s="44"/>
      <c r="AB807" s="117"/>
      <c r="AC807" s="44"/>
      <c r="AD807" s="117"/>
    </row>
    <row r="808" spans="1:30" ht="14.25" customHeight="1">
      <c r="A808" s="189"/>
      <c r="B808" s="189"/>
      <c r="C808" s="44"/>
      <c r="D808" s="117"/>
      <c r="E808" s="44"/>
      <c r="F808" s="44"/>
      <c r="G808" s="117"/>
      <c r="H808" s="117"/>
      <c r="I808" s="117"/>
      <c r="J808" s="117"/>
      <c r="K808" s="117"/>
      <c r="L808" s="117"/>
      <c r="M808" s="117"/>
      <c r="N808" s="117"/>
      <c r="O808" s="117"/>
      <c r="P808" s="117"/>
      <c r="Q808" s="117"/>
      <c r="R808" s="117"/>
      <c r="S808" s="117"/>
      <c r="T808" s="117"/>
      <c r="U808" s="235"/>
      <c r="V808" s="117"/>
      <c r="W808" s="117"/>
      <c r="X808" s="117"/>
      <c r="Y808" s="117"/>
      <c r="Z808" s="117"/>
      <c r="AA808" s="44"/>
      <c r="AB808" s="117"/>
      <c r="AC808" s="44"/>
      <c r="AD808" s="117"/>
    </row>
    <row r="809" spans="1:30" ht="14.25" customHeight="1">
      <c r="A809" s="189"/>
      <c r="B809" s="189"/>
      <c r="C809" s="44"/>
      <c r="D809" s="117"/>
      <c r="E809" s="44"/>
      <c r="F809" s="44"/>
      <c r="G809" s="117"/>
      <c r="H809" s="117"/>
      <c r="I809" s="117"/>
      <c r="J809" s="117"/>
      <c r="K809" s="117"/>
      <c r="L809" s="117"/>
      <c r="M809" s="117"/>
      <c r="N809" s="117"/>
      <c r="O809" s="117"/>
      <c r="P809" s="117"/>
      <c r="Q809" s="117"/>
      <c r="R809" s="117"/>
      <c r="S809" s="117"/>
      <c r="T809" s="117"/>
      <c r="U809" s="235"/>
      <c r="V809" s="117"/>
      <c r="W809" s="117"/>
      <c r="X809" s="117"/>
      <c r="Y809" s="117"/>
      <c r="Z809" s="117"/>
      <c r="AA809" s="44"/>
      <c r="AB809" s="117"/>
      <c r="AC809" s="44"/>
      <c r="AD809" s="117"/>
    </row>
    <row r="810" spans="1:30" ht="14.25" customHeight="1">
      <c r="A810" s="189"/>
      <c r="B810" s="189"/>
      <c r="C810" s="44"/>
      <c r="D810" s="117"/>
      <c r="E810" s="44"/>
      <c r="F810" s="44"/>
      <c r="G810" s="117"/>
      <c r="H810" s="117"/>
      <c r="I810" s="117"/>
      <c r="J810" s="117"/>
      <c r="K810" s="117"/>
      <c r="L810" s="117"/>
      <c r="M810" s="117"/>
      <c r="N810" s="117"/>
      <c r="O810" s="117"/>
      <c r="P810" s="117"/>
      <c r="Q810" s="117"/>
      <c r="R810" s="117"/>
      <c r="S810" s="117"/>
      <c r="T810" s="117"/>
      <c r="U810" s="235"/>
      <c r="V810" s="117"/>
      <c r="W810" s="117"/>
      <c r="X810" s="117"/>
      <c r="Y810" s="117"/>
      <c r="Z810" s="117"/>
      <c r="AA810" s="44"/>
      <c r="AB810" s="117"/>
      <c r="AC810" s="44"/>
      <c r="AD810" s="117"/>
    </row>
    <row r="811" spans="1:30" ht="14.25" customHeight="1">
      <c r="A811" s="189"/>
      <c r="B811" s="189"/>
      <c r="C811" s="44"/>
      <c r="D811" s="117"/>
      <c r="E811" s="44"/>
      <c r="F811" s="44"/>
      <c r="G811" s="117"/>
      <c r="H811" s="117"/>
      <c r="I811" s="117"/>
      <c r="J811" s="117"/>
      <c r="K811" s="117"/>
      <c r="L811" s="117"/>
      <c r="M811" s="117"/>
      <c r="N811" s="117"/>
      <c r="O811" s="117"/>
      <c r="P811" s="117"/>
      <c r="Q811" s="117"/>
      <c r="R811" s="117"/>
      <c r="S811" s="117"/>
      <c r="T811" s="117"/>
      <c r="U811" s="235"/>
      <c r="V811" s="117"/>
      <c r="W811" s="117"/>
      <c r="X811" s="117"/>
      <c r="Y811" s="117"/>
      <c r="Z811" s="117"/>
      <c r="AA811" s="44"/>
      <c r="AB811" s="117"/>
      <c r="AC811" s="44"/>
      <c r="AD811" s="117"/>
    </row>
    <row r="812" spans="1:30" ht="14.25" customHeight="1">
      <c r="A812" s="189"/>
      <c r="B812" s="189"/>
      <c r="C812" s="44"/>
      <c r="D812" s="117"/>
      <c r="E812" s="44"/>
      <c r="F812" s="44"/>
      <c r="G812" s="117"/>
      <c r="H812" s="117"/>
      <c r="I812" s="117"/>
      <c r="J812" s="117"/>
      <c r="K812" s="117"/>
      <c r="L812" s="117"/>
      <c r="M812" s="117"/>
      <c r="N812" s="117"/>
      <c r="O812" s="117"/>
      <c r="P812" s="117"/>
      <c r="Q812" s="117"/>
      <c r="R812" s="117"/>
      <c r="S812" s="117"/>
      <c r="T812" s="117"/>
      <c r="U812" s="235"/>
      <c r="V812" s="117"/>
      <c r="W812" s="117"/>
      <c r="X812" s="117"/>
      <c r="Y812" s="117"/>
      <c r="Z812" s="117"/>
      <c r="AA812" s="44"/>
      <c r="AB812" s="117"/>
      <c r="AC812" s="44"/>
      <c r="AD812" s="117"/>
    </row>
    <row r="813" spans="1:30" ht="14.25" customHeight="1">
      <c r="A813" s="189"/>
      <c r="B813" s="189"/>
      <c r="C813" s="44"/>
      <c r="D813" s="117"/>
      <c r="E813" s="44"/>
      <c r="F813" s="44"/>
      <c r="G813" s="117"/>
      <c r="H813" s="117"/>
      <c r="I813" s="117"/>
      <c r="J813" s="117"/>
      <c r="K813" s="117"/>
      <c r="L813" s="117"/>
      <c r="M813" s="117"/>
      <c r="N813" s="117"/>
      <c r="O813" s="117"/>
      <c r="P813" s="117"/>
      <c r="Q813" s="117"/>
      <c r="R813" s="117"/>
      <c r="S813" s="117"/>
      <c r="T813" s="117"/>
      <c r="U813" s="235"/>
      <c r="V813" s="117"/>
      <c r="W813" s="117"/>
      <c r="X813" s="117"/>
      <c r="Y813" s="117"/>
      <c r="Z813" s="117"/>
      <c r="AA813" s="44"/>
      <c r="AB813" s="117"/>
      <c r="AC813" s="44"/>
      <c r="AD813" s="117"/>
    </row>
    <row r="814" spans="1:30" ht="14.25" customHeight="1">
      <c r="A814" s="189"/>
      <c r="B814" s="189"/>
      <c r="C814" s="44"/>
      <c r="D814" s="117"/>
      <c r="E814" s="44"/>
      <c r="F814" s="44"/>
      <c r="G814" s="117"/>
      <c r="H814" s="117"/>
      <c r="I814" s="117"/>
      <c r="J814" s="117"/>
      <c r="K814" s="117"/>
      <c r="L814" s="117"/>
      <c r="M814" s="117"/>
      <c r="N814" s="117"/>
      <c r="O814" s="117"/>
      <c r="P814" s="117"/>
      <c r="Q814" s="117"/>
      <c r="R814" s="117"/>
      <c r="S814" s="117"/>
      <c r="T814" s="117"/>
      <c r="U814" s="235"/>
      <c r="V814" s="117"/>
      <c r="W814" s="117"/>
      <c r="X814" s="117"/>
      <c r="Y814" s="117"/>
      <c r="Z814" s="117"/>
      <c r="AA814" s="44"/>
      <c r="AB814" s="117"/>
      <c r="AC814" s="44"/>
      <c r="AD814" s="117"/>
    </row>
    <row r="815" spans="1:30" ht="14.25" customHeight="1">
      <c r="A815" s="189"/>
      <c r="B815" s="189"/>
      <c r="C815" s="44"/>
      <c r="D815" s="117"/>
      <c r="E815" s="44"/>
      <c r="F815" s="44"/>
      <c r="G815" s="117"/>
      <c r="H815" s="117"/>
      <c r="I815" s="117"/>
      <c r="J815" s="117"/>
      <c r="K815" s="117"/>
      <c r="L815" s="117"/>
      <c r="M815" s="117"/>
      <c r="N815" s="117"/>
      <c r="O815" s="117"/>
      <c r="P815" s="117"/>
      <c r="Q815" s="117"/>
      <c r="R815" s="117"/>
      <c r="S815" s="117"/>
      <c r="T815" s="117"/>
      <c r="U815" s="235"/>
      <c r="V815" s="117"/>
      <c r="W815" s="117"/>
      <c r="X815" s="117"/>
      <c r="Y815" s="117"/>
      <c r="Z815" s="117"/>
      <c r="AA815" s="44"/>
      <c r="AB815" s="117"/>
      <c r="AC815" s="44"/>
      <c r="AD815" s="117"/>
    </row>
    <row r="816" spans="1:30" ht="14.25" customHeight="1">
      <c r="A816" s="189"/>
      <c r="B816" s="189"/>
      <c r="C816" s="44"/>
      <c r="D816" s="117"/>
      <c r="E816" s="44"/>
      <c r="F816" s="44"/>
      <c r="G816" s="117"/>
      <c r="H816" s="117"/>
      <c r="I816" s="117"/>
      <c r="J816" s="117"/>
      <c r="K816" s="117"/>
      <c r="L816" s="117"/>
      <c r="M816" s="117"/>
      <c r="N816" s="117"/>
      <c r="O816" s="117"/>
      <c r="P816" s="117"/>
      <c r="Q816" s="117"/>
      <c r="R816" s="117"/>
      <c r="S816" s="117"/>
      <c r="T816" s="117"/>
      <c r="U816" s="235"/>
      <c r="V816" s="117"/>
      <c r="W816" s="117"/>
      <c r="X816" s="117"/>
      <c r="Y816" s="117"/>
      <c r="Z816" s="117"/>
      <c r="AA816" s="44"/>
      <c r="AB816" s="117"/>
      <c r="AC816" s="44"/>
      <c r="AD816" s="117"/>
    </row>
    <row r="817" spans="1:30" ht="14.25" customHeight="1">
      <c r="A817" s="189"/>
      <c r="B817" s="189"/>
      <c r="C817" s="44"/>
      <c r="D817" s="117"/>
      <c r="E817" s="44"/>
      <c r="F817" s="44"/>
      <c r="G817" s="117"/>
      <c r="H817" s="117"/>
      <c r="I817" s="117"/>
      <c r="J817" s="117"/>
      <c r="K817" s="117"/>
      <c r="L817" s="117"/>
      <c r="M817" s="117"/>
      <c r="N817" s="117"/>
      <c r="O817" s="117"/>
      <c r="P817" s="117"/>
      <c r="Q817" s="117"/>
      <c r="R817" s="117"/>
      <c r="S817" s="117"/>
      <c r="T817" s="117"/>
      <c r="U817" s="235"/>
      <c r="V817" s="117"/>
      <c r="W817" s="117"/>
      <c r="X817" s="117"/>
      <c r="Y817" s="117"/>
      <c r="Z817" s="117"/>
      <c r="AA817" s="44"/>
      <c r="AB817" s="117"/>
      <c r="AC817" s="44"/>
      <c r="AD817" s="117"/>
    </row>
    <row r="818" spans="1:30" ht="14.25" customHeight="1">
      <c r="A818" s="189"/>
      <c r="B818" s="189"/>
      <c r="C818" s="44"/>
      <c r="D818" s="117"/>
      <c r="E818" s="44"/>
      <c r="F818" s="44"/>
      <c r="G818" s="117"/>
      <c r="H818" s="117"/>
      <c r="I818" s="117"/>
      <c r="J818" s="117"/>
      <c r="K818" s="117"/>
      <c r="L818" s="117"/>
      <c r="M818" s="117"/>
      <c r="N818" s="117"/>
      <c r="O818" s="117"/>
      <c r="P818" s="117"/>
      <c r="Q818" s="117"/>
      <c r="R818" s="117"/>
      <c r="S818" s="117"/>
      <c r="T818" s="117"/>
      <c r="U818" s="235"/>
      <c r="V818" s="117"/>
      <c r="W818" s="117"/>
      <c r="X818" s="117"/>
      <c r="Y818" s="117"/>
      <c r="Z818" s="117"/>
      <c r="AA818" s="44"/>
      <c r="AB818" s="117"/>
      <c r="AC818" s="44"/>
      <c r="AD818" s="117"/>
    </row>
    <row r="819" spans="1:30" ht="14.25" customHeight="1">
      <c r="A819" s="189"/>
      <c r="B819" s="189"/>
      <c r="C819" s="44"/>
      <c r="D819" s="117"/>
      <c r="E819" s="44"/>
      <c r="F819" s="44"/>
      <c r="G819" s="117"/>
      <c r="H819" s="117"/>
      <c r="I819" s="117"/>
      <c r="J819" s="117"/>
      <c r="K819" s="117"/>
      <c r="L819" s="117"/>
      <c r="M819" s="117"/>
      <c r="N819" s="117"/>
      <c r="O819" s="117"/>
      <c r="P819" s="117"/>
      <c r="Q819" s="117"/>
      <c r="R819" s="117"/>
      <c r="S819" s="117"/>
      <c r="T819" s="117"/>
      <c r="U819" s="235"/>
      <c r="V819" s="117"/>
      <c r="W819" s="117"/>
      <c r="X819" s="117"/>
      <c r="Y819" s="117"/>
      <c r="Z819" s="117"/>
      <c r="AA819" s="44"/>
      <c r="AB819" s="117"/>
      <c r="AC819" s="44"/>
      <c r="AD819" s="117"/>
    </row>
    <row r="820" spans="1:30" ht="14.25" customHeight="1">
      <c r="A820" s="189"/>
      <c r="B820" s="189"/>
      <c r="C820" s="44"/>
      <c r="D820" s="117"/>
      <c r="E820" s="44"/>
      <c r="F820" s="44"/>
      <c r="G820" s="117"/>
      <c r="H820" s="117"/>
      <c r="I820" s="117"/>
      <c r="J820" s="117"/>
      <c r="K820" s="117"/>
      <c r="L820" s="117"/>
      <c r="M820" s="117"/>
      <c r="N820" s="117"/>
      <c r="O820" s="117"/>
      <c r="P820" s="117"/>
      <c r="Q820" s="117"/>
      <c r="R820" s="117"/>
      <c r="S820" s="117"/>
      <c r="T820" s="117"/>
      <c r="U820" s="235"/>
      <c r="V820" s="117"/>
      <c r="W820" s="117"/>
      <c r="X820" s="117"/>
      <c r="Y820" s="117"/>
      <c r="Z820" s="117"/>
      <c r="AA820" s="44"/>
      <c r="AB820" s="117"/>
      <c r="AC820" s="44"/>
      <c r="AD820" s="117"/>
    </row>
    <row r="821" spans="1:30" ht="14.25" customHeight="1">
      <c r="A821" s="189"/>
      <c r="B821" s="189"/>
      <c r="C821" s="44"/>
      <c r="D821" s="117"/>
      <c r="E821" s="44"/>
      <c r="F821" s="44"/>
      <c r="G821" s="117"/>
      <c r="H821" s="117"/>
      <c r="I821" s="117"/>
      <c r="J821" s="117"/>
      <c r="K821" s="117"/>
      <c r="L821" s="117"/>
      <c r="M821" s="117"/>
      <c r="N821" s="117"/>
      <c r="O821" s="117"/>
      <c r="P821" s="117"/>
      <c r="Q821" s="117"/>
      <c r="R821" s="117"/>
      <c r="S821" s="117"/>
      <c r="T821" s="117"/>
      <c r="U821" s="235"/>
      <c r="V821" s="117"/>
      <c r="W821" s="117"/>
      <c r="X821" s="117"/>
      <c r="Y821" s="117"/>
      <c r="Z821" s="117"/>
      <c r="AA821" s="44"/>
      <c r="AB821" s="117"/>
      <c r="AC821" s="44"/>
      <c r="AD821" s="117"/>
    </row>
    <row r="822" spans="1:30" ht="14.25" customHeight="1">
      <c r="A822" s="189"/>
      <c r="B822" s="189"/>
      <c r="C822" s="44"/>
      <c r="D822" s="117"/>
      <c r="E822" s="44"/>
      <c r="F822" s="44"/>
      <c r="G822" s="117"/>
      <c r="H822" s="117"/>
      <c r="I822" s="117"/>
      <c r="J822" s="117"/>
      <c r="K822" s="117"/>
      <c r="L822" s="117"/>
      <c r="M822" s="117"/>
      <c r="N822" s="117"/>
      <c r="O822" s="117"/>
      <c r="P822" s="117"/>
      <c r="Q822" s="117"/>
      <c r="R822" s="117"/>
      <c r="S822" s="117"/>
      <c r="T822" s="117"/>
      <c r="U822" s="235"/>
      <c r="V822" s="117"/>
      <c r="W822" s="117"/>
      <c r="X822" s="117"/>
      <c r="Y822" s="117"/>
      <c r="Z822" s="117"/>
      <c r="AA822" s="44"/>
      <c r="AB822" s="117"/>
      <c r="AC822" s="44"/>
      <c r="AD822" s="117"/>
    </row>
    <row r="823" spans="1:30" ht="14.25" customHeight="1">
      <c r="A823" s="189"/>
      <c r="B823" s="189"/>
      <c r="C823" s="44"/>
      <c r="D823" s="117"/>
      <c r="E823" s="44"/>
      <c r="F823" s="44"/>
      <c r="G823" s="117"/>
      <c r="H823" s="117"/>
      <c r="I823" s="117"/>
      <c r="J823" s="117"/>
      <c r="K823" s="117"/>
      <c r="L823" s="117"/>
      <c r="M823" s="117"/>
      <c r="N823" s="117"/>
      <c r="O823" s="117"/>
      <c r="P823" s="117"/>
      <c r="Q823" s="117"/>
      <c r="R823" s="117"/>
      <c r="S823" s="117"/>
      <c r="T823" s="117"/>
      <c r="U823" s="235"/>
      <c r="V823" s="117"/>
      <c r="W823" s="117"/>
      <c r="X823" s="117"/>
      <c r="Y823" s="117"/>
      <c r="Z823" s="117"/>
      <c r="AA823" s="44"/>
      <c r="AB823" s="117"/>
      <c r="AC823" s="44"/>
      <c r="AD823" s="117"/>
    </row>
    <row r="824" spans="1:30" ht="14.25" customHeight="1">
      <c r="A824" s="189"/>
      <c r="B824" s="189"/>
      <c r="C824" s="44"/>
      <c r="D824" s="117"/>
      <c r="E824" s="44"/>
      <c r="F824" s="44"/>
      <c r="G824" s="117"/>
      <c r="H824" s="117"/>
      <c r="I824" s="117"/>
      <c r="J824" s="117"/>
      <c r="K824" s="117"/>
      <c r="L824" s="117"/>
      <c r="M824" s="117"/>
      <c r="N824" s="117"/>
      <c r="O824" s="117"/>
      <c r="P824" s="117"/>
      <c r="Q824" s="117"/>
      <c r="R824" s="117"/>
      <c r="S824" s="117"/>
      <c r="T824" s="117"/>
      <c r="U824" s="235"/>
      <c r="V824" s="117"/>
      <c r="W824" s="117"/>
      <c r="X824" s="117"/>
      <c r="Y824" s="117"/>
      <c r="Z824" s="117"/>
      <c r="AA824" s="44"/>
      <c r="AB824" s="117"/>
      <c r="AC824" s="44"/>
      <c r="AD824" s="117"/>
    </row>
    <row r="825" spans="1:30" ht="14.25" customHeight="1">
      <c r="A825" s="189"/>
      <c r="B825" s="189"/>
      <c r="C825" s="44"/>
      <c r="D825" s="117"/>
      <c r="E825" s="44"/>
      <c r="F825" s="44"/>
      <c r="G825" s="117"/>
      <c r="H825" s="117"/>
      <c r="I825" s="117"/>
      <c r="J825" s="117"/>
      <c r="K825" s="117"/>
      <c r="L825" s="117"/>
      <c r="M825" s="117"/>
      <c r="N825" s="117"/>
      <c r="O825" s="117"/>
      <c r="P825" s="117"/>
      <c r="Q825" s="117"/>
      <c r="R825" s="117"/>
      <c r="S825" s="117"/>
      <c r="T825" s="117"/>
      <c r="U825" s="235"/>
      <c r="V825" s="117"/>
      <c r="W825" s="117"/>
      <c r="X825" s="117"/>
      <c r="Y825" s="117"/>
      <c r="Z825" s="117"/>
      <c r="AA825" s="44"/>
      <c r="AB825" s="117"/>
      <c r="AC825" s="44"/>
      <c r="AD825" s="117"/>
    </row>
    <row r="826" spans="1:30" ht="14.25" customHeight="1">
      <c r="A826" s="189"/>
      <c r="B826" s="189"/>
      <c r="C826" s="44"/>
      <c r="D826" s="117"/>
      <c r="E826" s="44"/>
      <c r="F826" s="44"/>
      <c r="G826" s="117"/>
      <c r="H826" s="117"/>
      <c r="I826" s="117"/>
      <c r="J826" s="117"/>
      <c r="K826" s="117"/>
      <c r="L826" s="117"/>
      <c r="M826" s="117"/>
      <c r="N826" s="117"/>
      <c r="O826" s="117"/>
      <c r="P826" s="117"/>
      <c r="Q826" s="117"/>
      <c r="R826" s="117"/>
      <c r="S826" s="117"/>
      <c r="T826" s="117"/>
      <c r="U826" s="235"/>
      <c r="V826" s="117"/>
      <c r="W826" s="117"/>
      <c r="X826" s="117"/>
      <c r="Y826" s="117"/>
      <c r="Z826" s="117"/>
      <c r="AA826" s="44"/>
      <c r="AB826" s="117"/>
      <c r="AC826" s="44"/>
      <c r="AD826" s="117"/>
    </row>
    <row r="827" spans="1:30" ht="14.25" customHeight="1">
      <c r="A827" s="189"/>
      <c r="B827" s="189"/>
      <c r="C827" s="44"/>
      <c r="D827" s="117"/>
      <c r="E827" s="44"/>
      <c r="F827" s="44"/>
      <c r="G827" s="117"/>
      <c r="H827" s="117"/>
      <c r="I827" s="117"/>
      <c r="J827" s="117"/>
      <c r="K827" s="117"/>
      <c r="L827" s="117"/>
      <c r="M827" s="117"/>
      <c r="N827" s="117"/>
      <c r="O827" s="117"/>
      <c r="P827" s="117"/>
      <c r="Q827" s="117"/>
      <c r="R827" s="117"/>
      <c r="S827" s="117"/>
      <c r="T827" s="117"/>
      <c r="U827" s="235"/>
      <c r="V827" s="117"/>
      <c r="W827" s="117"/>
      <c r="X827" s="117"/>
      <c r="Y827" s="117"/>
      <c r="Z827" s="117"/>
      <c r="AA827" s="44"/>
      <c r="AB827" s="117"/>
      <c r="AC827" s="44"/>
      <c r="AD827" s="117"/>
    </row>
    <row r="828" spans="1:30" ht="14.25" customHeight="1">
      <c r="A828" s="189"/>
      <c r="B828" s="189"/>
      <c r="C828" s="44"/>
      <c r="D828" s="117"/>
      <c r="E828" s="44"/>
      <c r="F828" s="44"/>
      <c r="G828" s="117"/>
      <c r="H828" s="117"/>
      <c r="I828" s="117"/>
      <c r="J828" s="117"/>
      <c r="K828" s="117"/>
      <c r="L828" s="117"/>
      <c r="M828" s="117"/>
      <c r="N828" s="117"/>
      <c r="O828" s="117"/>
      <c r="P828" s="117"/>
      <c r="Q828" s="117"/>
      <c r="R828" s="117"/>
      <c r="S828" s="117"/>
      <c r="T828" s="117"/>
      <c r="U828" s="235"/>
      <c r="V828" s="117"/>
      <c r="W828" s="117"/>
      <c r="X828" s="117"/>
      <c r="Y828" s="117"/>
      <c r="Z828" s="117"/>
      <c r="AA828" s="44"/>
      <c r="AB828" s="117"/>
      <c r="AC828" s="44"/>
      <c r="AD828" s="117"/>
    </row>
    <row r="829" spans="1:30" ht="14.25" customHeight="1">
      <c r="A829" s="189"/>
      <c r="B829" s="189"/>
      <c r="C829" s="44"/>
      <c r="D829" s="117"/>
      <c r="E829" s="44"/>
      <c r="F829" s="44"/>
      <c r="G829" s="117"/>
      <c r="H829" s="117"/>
      <c r="I829" s="117"/>
      <c r="J829" s="117"/>
      <c r="K829" s="117"/>
      <c r="L829" s="117"/>
      <c r="M829" s="117"/>
      <c r="N829" s="117"/>
      <c r="O829" s="117"/>
      <c r="P829" s="117"/>
      <c r="Q829" s="117"/>
      <c r="R829" s="117"/>
      <c r="S829" s="117"/>
      <c r="T829" s="117"/>
      <c r="U829" s="235"/>
      <c r="V829" s="117"/>
      <c r="W829" s="117"/>
      <c r="X829" s="117"/>
      <c r="Y829" s="117"/>
      <c r="Z829" s="117"/>
      <c r="AA829" s="44"/>
      <c r="AB829" s="117"/>
      <c r="AC829" s="44"/>
      <c r="AD829" s="117"/>
    </row>
    <row r="830" spans="1:30" ht="14.25" customHeight="1">
      <c r="A830" s="189"/>
      <c r="B830" s="189"/>
      <c r="C830" s="44"/>
      <c r="D830" s="117"/>
      <c r="E830" s="44"/>
      <c r="F830" s="44"/>
      <c r="G830" s="117"/>
      <c r="H830" s="117"/>
      <c r="I830" s="117"/>
      <c r="J830" s="117"/>
      <c r="K830" s="117"/>
      <c r="L830" s="117"/>
      <c r="M830" s="117"/>
      <c r="N830" s="117"/>
      <c r="O830" s="117"/>
      <c r="P830" s="117"/>
      <c r="Q830" s="117"/>
      <c r="R830" s="117"/>
      <c r="S830" s="117"/>
      <c r="T830" s="117"/>
      <c r="U830" s="235"/>
      <c r="V830" s="117"/>
      <c r="W830" s="117"/>
      <c r="X830" s="117"/>
      <c r="Y830" s="117"/>
      <c r="Z830" s="117"/>
      <c r="AA830" s="44"/>
      <c r="AB830" s="117"/>
      <c r="AC830" s="44"/>
      <c r="AD830" s="117"/>
    </row>
    <row r="831" spans="1:30" ht="14.25" customHeight="1">
      <c r="A831" s="189"/>
      <c r="B831" s="189"/>
      <c r="C831" s="44"/>
      <c r="D831" s="117"/>
      <c r="E831" s="44"/>
      <c r="F831" s="44"/>
      <c r="G831" s="117"/>
      <c r="H831" s="117"/>
      <c r="I831" s="117"/>
      <c r="J831" s="117"/>
      <c r="K831" s="117"/>
      <c r="L831" s="117"/>
      <c r="M831" s="117"/>
      <c r="N831" s="117"/>
      <c r="O831" s="117"/>
      <c r="P831" s="117"/>
      <c r="Q831" s="117"/>
      <c r="R831" s="117"/>
      <c r="S831" s="117"/>
      <c r="T831" s="117"/>
      <c r="U831" s="235"/>
      <c r="V831" s="117"/>
      <c r="W831" s="117"/>
      <c r="X831" s="117"/>
      <c r="Y831" s="117"/>
      <c r="Z831" s="117"/>
      <c r="AA831" s="44"/>
      <c r="AB831" s="117"/>
      <c r="AC831" s="44"/>
      <c r="AD831" s="117"/>
    </row>
    <row r="832" spans="1:30" ht="14.25" customHeight="1">
      <c r="A832" s="189"/>
      <c r="B832" s="189"/>
      <c r="C832" s="44"/>
      <c r="D832" s="117"/>
      <c r="E832" s="44"/>
      <c r="F832" s="44"/>
      <c r="G832" s="117"/>
      <c r="H832" s="117"/>
      <c r="I832" s="117"/>
      <c r="J832" s="117"/>
      <c r="K832" s="117"/>
      <c r="L832" s="117"/>
      <c r="M832" s="117"/>
      <c r="N832" s="117"/>
      <c r="O832" s="117"/>
      <c r="P832" s="117"/>
      <c r="Q832" s="117"/>
      <c r="R832" s="117"/>
      <c r="S832" s="117"/>
      <c r="T832" s="117"/>
      <c r="U832" s="235"/>
      <c r="V832" s="117"/>
      <c r="W832" s="117"/>
      <c r="X832" s="117"/>
      <c r="Y832" s="117"/>
      <c r="Z832" s="117"/>
      <c r="AA832" s="44"/>
      <c r="AB832" s="117"/>
      <c r="AC832" s="44"/>
      <c r="AD832" s="117"/>
    </row>
    <row r="833" spans="1:30" ht="14.25" customHeight="1">
      <c r="A833" s="189"/>
      <c r="B833" s="189"/>
      <c r="C833" s="44"/>
      <c r="D833" s="117"/>
      <c r="E833" s="44"/>
      <c r="F833" s="44"/>
      <c r="G833" s="117"/>
      <c r="H833" s="117"/>
      <c r="I833" s="117"/>
      <c r="J833" s="117"/>
      <c r="K833" s="117"/>
      <c r="L833" s="117"/>
      <c r="M833" s="117"/>
      <c r="N833" s="117"/>
      <c r="O833" s="117"/>
      <c r="P833" s="117"/>
      <c r="Q833" s="117"/>
      <c r="R833" s="117"/>
      <c r="S833" s="117"/>
      <c r="T833" s="117"/>
      <c r="U833" s="235"/>
      <c r="V833" s="117"/>
      <c r="W833" s="117"/>
      <c r="X833" s="117"/>
      <c r="Y833" s="117"/>
      <c r="Z833" s="117"/>
      <c r="AA833" s="44"/>
      <c r="AB833" s="117"/>
      <c r="AC833" s="44"/>
      <c r="AD833" s="117"/>
    </row>
    <row r="834" spans="1:30" ht="14.25" customHeight="1">
      <c r="A834" s="189"/>
      <c r="B834" s="189"/>
      <c r="C834" s="44"/>
      <c r="D834" s="117"/>
      <c r="E834" s="44"/>
      <c r="F834" s="44"/>
      <c r="G834" s="117"/>
      <c r="H834" s="117"/>
      <c r="I834" s="117"/>
      <c r="J834" s="117"/>
      <c r="K834" s="117"/>
      <c r="L834" s="117"/>
      <c r="M834" s="117"/>
      <c r="N834" s="117"/>
      <c r="O834" s="117"/>
      <c r="P834" s="117"/>
      <c r="Q834" s="117"/>
      <c r="R834" s="117"/>
      <c r="S834" s="117"/>
      <c r="T834" s="117"/>
      <c r="U834" s="235"/>
      <c r="V834" s="117"/>
      <c r="W834" s="117"/>
      <c r="X834" s="117"/>
      <c r="Y834" s="117"/>
      <c r="Z834" s="117"/>
      <c r="AA834" s="44"/>
      <c r="AB834" s="117"/>
      <c r="AC834" s="44"/>
      <c r="AD834" s="117"/>
    </row>
    <row r="835" spans="1:30" ht="14.25" customHeight="1">
      <c r="A835" s="189"/>
      <c r="B835" s="189"/>
      <c r="C835" s="44"/>
      <c r="D835" s="117"/>
      <c r="E835" s="44"/>
      <c r="F835" s="44"/>
      <c r="G835" s="117"/>
      <c r="H835" s="117"/>
      <c r="I835" s="117"/>
      <c r="J835" s="117"/>
      <c r="K835" s="117"/>
      <c r="L835" s="117"/>
      <c r="M835" s="117"/>
      <c r="N835" s="117"/>
      <c r="O835" s="117"/>
      <c r="P835" s="117"/>
      <c r="Q835" s="117"/>
      <c r="R835" s="117"/>
      <c r="S835" s="117"/>
      <c r="T835" s="117"/>
      <c r="U835" s="235"/>
      <c r="V835" s="117"/>
      <c r="W835" s="117"/>
      <c r="X835" s="117"/>
      <c r="Y835" s="117"/>
      <c r="Z835" s="117"/>
      <c r="AA835" s="44"/>
      <c r="AB835" s="117"/>
      <c r="AC835" s="44"/>
      <c r="AD835" s="117"/>
    </row>
    <row r="836" spans="1:30" ht="14.25" customHeight="1">
      <c r="A836" s="189"/>
      <c r="B836" s="189"/>
      <c r="C836" s="44"/>
      <c r="D836" s="117"/>
      <c r="E836" s="44"/>
      <c r="F836" s="44"/>
      <c r="G836" s="117"/>
      <c r="H836" s="117"/>
      <c r="I836" s="117"/>
      <c r="J836" s="117"/>
      <c r="K836" s="117"/>
      <c r="L836" s="117"/>
      <c r="M836" s="117"/>
      <c r="N836" s="117"/>
      <c r="O836" s="117"/>
      <c r="P836" s="117"/>
      <c r="Q836" s="117"/>
      <c r="R836" s="117"/>
      <c r="S836" s="117"/>
      <c r="T836" s="117"/>
      <c r="U836" s="235"/>
      <c r="V836" s="117"/>
      <c r="W836" s="117"/>
      <c r="X836" s="117"/>
      <c r="Y836" s="117"/>
      <c r="Z836" s="117"/>
      <c r="AA836" s="44"/>
      <c r="AB836" s="117"/>
      <c r="AC836" s="44"/>
      <c r="AD836" s="117"/>
    </row>
    <row r="837" spans="1:30" ht="14.25" customHeight="1">
      <c r="A837" s="189"/>
      <c r="B837" s="189"/>
      <c r="C837" s="44"/>
      <c r="D837" s="117"/>
      <c r="E837" s="44"/>
      <c r="F837" s="44"/>
      <c r="G837" s="117"/>
      <c r="H837" s="117"/>
      <c r="I837" s="117"/>
      <c r="J837" s="117"/>
      <c r="K837" s="117"/>
      <c r="L837" s="117"/>
      <c r="M837" s="117"/>
      <c r="N837" s="117"/>
      <c r="O837" s="117"/>
      <c r="P837" s="117"/>
      <c r="Q837" s="117"/>
      <c r="R837" s="117"/>
      <c r="S837" s="117"/>
      <c r="T837" s="117"/>
      <c r="U837" s="235"/>
      <c r="V837" s="117"/>
      <c r="W837" s="117"/>
      <c r="X837" s="117"/>
      <c r="Y837" s="117"/>
      <c r="Z837" s="117"/>
      <c r="AA837" s="44"/>
      <c r="AB837" s="117"/>
      <c r="AC837" s="44"/>
      <c r="AD837" s="117"/>
    </row>
    <row r="838" spans="1:30" ht="14.25" customHeight="1">
      <c r="A838" s="189"/>
      <c r="B838" s="189"/>
      <c r="C838" s="44"/>
      <c r="D838" s="117"/>
      <c r="E838" s="44"/>
      <c r="F838" s="44"/>
      <c r="G838" s="117"/>
      <c r="H838" s="117"/>
      <c r="I838" s="117"/>
      <c r="J838" s="117"/>
      <c r="K838" s="117"/>
      <c r="L838" s="117"/>
      <c r="M838" s="117"/>
      <c r="N838" s="117"/>
      <c r="O838" s="117"/>
      <c r="P838" s="117"/>
      <c r="Q838" s="117"/>
      <c r="R838" s="117"/>
      <c r="S838" s="117"/>
      <c r="T838" s="117"/>
      <c r="U838" s="235"/>
      <c r="V838" s="117"/>
      <c r="W838" s="117"/>
      <c r="X838" s="117"/>
      <c r="Y838" s="117"/>
      <c r="Z838" s="117"/>
      <c r="AA838" s="44"/>
      <c r="AB838" s="117"/>
      <c r="AC838" s="44"/>
      <c r="AD838" s="117"/>
    </row>
    <row r="839" spans="1:30" ht="14.25" customHeight="1">
      <c r="A839" s="189"/>
      <c r="B839" s="189"/>
      <c r="C839" s="44"/>
      <c r="D839" s="117"/>
      <c r="E839" s="44"/>
      <c r="F839" s="44"/>
      <c r="G839" s="117"/>
      <c r="H839" s="117"/>
      <c r="I839" s="117"/>
      <c r="J839" s="117"/>
      <c r="K839" s="117"/>
      <c r="L839" s="117"/>
      <c r="M839" s="117"/>
      <c r="N839" s="117"/>
      <c r="O839" s="117"/>
      <c r="P839" s="117"/>
      <c r="Q839" s="117"/>
      <c r="R839" s="117"/>
      <c r="S839" s="117"/>
      <c r="T839" s="117"/>
      <c r="U839" s="235"/>
      <c r="V839" s="117"/>
      <c r="W839" s="117"/>
      <c r="X839" s="117"/>
      <c r="Y839" s="117"/>
      <c r="Z839" s="117"/>
      <c r="AA839" s="44"/>
      <c r="AB839" s="117"/>
      <c r="AC839" s="44"/>
      <c r="AD839" s="117"/>
    </row>
    <row r="840" spans="1:30" ht="14.25" customHeight="1">
      <c r="A840" s="189"/>
      <c r="B840" s="189"/>
      <c r="C840" s="44"/>
      <c r="D840" s="117"/>
      <c r="E840" s="44"/>
      <c r="F840" s="44"/>
      <c r="G840" s="117"/>
      <c r="H840" s="117"/>
      <c r="I840" s="117"/>
      <c r="J840" s="117"/>
      <c r="K840" s="117"/>
      <c r="L840" s="117"/>
      <c r="M840" s="117"/>
      <c r="N840" s="117"/>
      <c r="O840" s="117"/>
      <c r="P840" s="117"/>
      <c r="Q840" s="117"/>
      <c r="R840" s="117"/>
      <c r="S840" s="117"/>
      <c r="T840" s="117"/>
      <c r="U840" s="235"/>
      <c r="V840" s="117"/>
      <c r="W840" s="117"/>
      <c r="X840" s="117"/>
      <c r="Y840" s="117"/>
      <c r="Z840" s="117"/>
      <c r="AA840" s="44"/>
      <c r="AB840" s="117"/>
      <c r="AC840" s="44"/>
      <c r="AD840" s="117"/>
    </row>
    <row r="841" spans="1:30" ht="14.25" customHeight="1">
      <c r="A841" s="189"/>
      <c r="B841" s="189"/>
      <c r="C841" s="44"/>
      <c r="D841" s="117"/>
      <c r="E841" s="44"/>
      <c r="F841" s="44"/>
      <c r="G841" s="117"/>
      <c r="H841" s="117"/>
      <c r="I841" s="117"/>
      <c r="J841" s="117"/>
      <c r="K841" s="117"/>
      <c r="L841" s="117"/>
      <c r="M841" s="117"/>
      <c r="N841" s="117"/>
      <c r="O841" s="117"/>
      <c r="P841" s="117"/>
      <c r="Q841" s="117"/>
      <c r="R841" s="117"/>
      <c r="S841" s="117"/>
      <c r="T841" s="117"/>
      <c r="U841" s="235"/>
      <c r="V841" s="117"/>
      <c r="W841" s="117"/>
      <c r="X841" s="117"/>
      <c r="Y841" s="117"/>
      <c r="Z841" s="117"/>
      <c r="AA841" s="44"/>
      <c r="AB841" s="117"/>
      <c r="AC841" s="44"/>
      <c r="AD841" s="117"/>
    </row>
    <row r="842" spans="1:30" ht="14.25" customHeight="1">
      <c r="A842" s="189"/>
      <c r="B842" s="189"/>
      <c r="C842" s="44"/>
      <c r="D842" s="117"/>
      <c r="E842" s="44"/>
      <c r="F842" s="44"/>
      <c r="G842" s="117"/>
      <c r="H842" s="117"/>
      <c r="I842" s="117"/>
      <c r="J842" s="117"/>
      <c r="K842" s="117"/>
      <c r="L842" s="117"/>
      <c r="M842" s="117"/>
      <c r="N842" s="117"/>
      <c r="O842" s="117"/>
      <c r="P842" s="117"/>
      <c r="Q842" s="117"/>
      <c r="R842" s="117"/>
      <c r="S842" s="117"/>
      <c r="T842" s="117"/>
      <c r="U842" s="235"/>
      <c r="V842" s="117"/>
      <c r="W842" s="117"/>
      <c r="X842" s="117"/>
      <c r="Y842" s="117"/>
      <c r="Z842" s="117"/>
      <c r="AA842" s="44"/>
      <c r="AB842" s="117"/>
      <c r="AC842" s="44"/>
      <c r="AD842" s="117"/>
    </row>
    <row r="843" spans="1:30" ht="14.25" customHeight="1">
      <c r="A843" s="189"/>
      <c r="B843" s="189"/>
      <c r="C843" s="44"/>
      <c r="D843" s="117"/>
      <c r="E843" s="44"/>
      <c r="F843" s="44"/>
      <c r="G843" s="117"/>
      <c r="H843" s="117"/>
      <c r="I843" s="117"/>
      <c r="J843" s="117"/>
      <c r="K843" s="117"/>
      <c r="L843" s="117"/>
      <c r="M843" s="117"/>
      <c r="N843" s="117"/>
      <c r="O843" s="117"/>
      <c r="P843" s="117"/>
      <c r="Q843" s="117"/>
      <c r="R843" s="117"/>
      <c r="S843" s="117"/>
      <c r="T843" s="117"/>
      <c r="U843" s="235"/>
      <c r="V843" s="117"/>
      <c r="W843" s="117"/>
      <c r="X843" s="117"/>
      <c r="Y843" s="117"/>
      <c r="Z843" s="117"/>
      <c r="AA843" s="44"/>
      <c r="AB843" s="117"/>
      <c r="AC843" s="44"/>
      <c r="AD843" s="117"/>
    </row>
    <row r="844" spans="1:30" ht="14.25" customHeight="1">
      <c r="A844" s="189"/>
      <c r="B844" s="189"/>
      <c r="C844" s="44"/>
      <c r="D844" s="117"/>
      <c r="E844" s="44"/>
      <c r="F844" s="44"/>
      <c r="G844" s="117"/>
      <c r="H844" s="117"/>
      <c r="I844" s="117"/>
      <c r="J844" s="117"/>
      <c r="K844" s="117"/>
      <c r="L844" s="117"/>
      <c r="M844" s="117"/>
      <c r="N844" s="117"/>
      <c r="O844" s="117"/>
      <c r="P844" s="117"/>
      <c r="Q844" s="117"/>
      <c r="R844" s="117"/>
      <c r="S844" s="117"/>
      <c r="T844" s="117"/>
      <c r="U844" s="235"/>
      <c r="V844" s="117"/>
      <c r="W844" s="117"/>
      <c r="X844" s="117"/>
      <c r="Y844" s="117"/>
      <c r="Z844" s="117"/>
      <c r="AA844" s="44"/>
      <c r="AB844" s="117"/>
      <c r="AC844" s="44"/>
      <c r="AD844" s="117"/>
    </row>
    <row r="845" spans="1:30" ht="14.25" customHeight="1">
      <c r="A845" s="189"/>
      <c r="B845" s="189"/>
      <c r="C845" s="44"/>
      <c r="D845" s="117"/>
      <c r="E845" s="44"/>
      <c r="F845" s="44"/>
      <c r="G845" s="117"/>
      <c r="H845" s="117"/>
      <c r="I845" s="117"/>
      <c r="J845" s="117"/>
      <c r="K845" s="117"/>
      <c r="L845" s="117"/>
      <c r="M845" s="117"/>
      <c r="N845" s="117"/>
      <c r="O845" s="117"/>
      <c r="P845" s="117"/>
      <c r="Q845" s="117"/>
      <c r="R845" s="117"/>
      <c r="S845" s="117"/>
      <c r="T845" s="117"/>
      <c r="U845" s="235"/>
      <c r="V845" s="117"/>
      <c r="W845" s="117"/>
      <c r="X845" s="117"/>
      <c r="Y845" s="117"/>
      <c r="Z845" s="117"/>
      <c r="AA845" s="44"/>
      <c r="AB845" s="117"/>
      <c r="AC845" s="44"/>
      <c r="AD845" s="117"/>
    </row>
    <row r="846" spans="1:30" ht="14.25" customHeight="1">
      <c r="A846" s="189"/>
      <c r="B846" s="189"/>
      <c r="C846" s="44"/>
      <c r="D846" s="117"/>
      <c r="E846" s="44"/>
      <c r="F846" s="44"/>
      <c r="G846" s="117"/>
      <c r="H846" s="117"/>
      <c r="I846" s="117"/>
      <c r="J846" s="117"/>
      <c r="K846" s="117"/>
      <c r="L846" s="117"/>
      <c r="M846" s="117"/>
      <c r="N846" s="117"/>
      <c r="O846" s="117"/>
      <c r="P846" s="117"/>
      <c r="Q846" s="117"/>
      <c r="R846" s="117"/>
      <c r="S846" s="117"/>
      <c r="T846" s="117"/>
      <c r="U846" s="235"/>
      <c r="V846" s="117"/>
      <c r="W846" s="117"/>
      <c r="X846" s="117"/>
      <c r="Y846" s="117"/>
      <c r="Z846" s="117"/>
      <c r="AA846" s="44"/>
      <c r="AB846" s="117"/>
      <c r="AC846" s="44"/>
      <c r="AD846" s="117"/>
    </row>
    <row r="847" spans="1:30" ht="14.25" customHeight="1">
      <c r="A847" s="189"/>
      <c r="B847" s="189"/>
      <c r="C847" s="44"/>
      <c r="D847" s="117"/>
      <c r="E847" s="44"/>
      <c r="F847" s="44"/>
      <c r="G847" s="117"/>
      <c r="H847" s="117"/>
      <c r="I847" s="117"/>
      <c r="J847" s="117"/>
      <c r="K847" s="117"/>
      <c r="L847" s="117"/>
      <c r="M847" s="117"/>
      <c r="N847" s="117"/>
      <c r="O847" s="117"/>
      <c r="P847" s="117"/>
      <c r="Q847" s="117"/>
      <c r="R847" s="117"/>
      <c r="S847" s="117"/>
      <c r="T847" s="117"/>
      <c r="U847" s="235"/>
      <c r="V847" s="117"/>
      <c r="W847" s="117"/>
      <c r="X847" s="117"/>
      <c r="Y847" s="117"/>
      <c r="Z847" s="117"/>
      <c r="AA847" s="44"/>
      <c r="AB847" s="117"/>
      <c r="AC847" s="44"/>
      <c r="AD847" s="117"/>
    </row>
    <row r="848" spans="1:30" ht="14.25" customHeight="1">
      <c r="A848" s="189"/>
      <c r="B848" s="189"/>
      <c r="C848" s="44"/>
      <c r="D848" s="117"/>
      <c r="E848" s="44"/>
      <c r="F848" s="44"/>
      <c r="G848" s="117"/>
      <c r="H848" s="117"/>
      <c r="I848" s="117"/>
      <c r="J848" s="117"/>
      <c r="K848" s="117"/>
      <c r="L848" s="117"/>
      <c r="M848" s="117"/>
      <c r="N848" s="117"/>
      <c r="O848" s="117"/>
      <c r="P848" s="117"/>
      <c r="Q848" s="117"/>
      <c r="R848" s="117"/>
      <c r="S848" s="117"/>
      <c r="T848" s="117"/>
      <c r="U848" s="235"/>
      <c r="V848" s="117"/>
      <c r="W848" s="117"/>
      <c r="X848" s="117"/>
      <c r="Y848" s="117"/>
      <c r="Z848" s="117"/>
      <c r="AA848" s="44"/>
      <c r="AB848" s="117"/>
      <c r="AC848" s="44"/>
      <c r="AD848" s="117"/>
    </row>
    <row r="849" spans="1:30" ht="14.25" customHeight="1">
      <c r="A849" s="189"/>
      <c r="B849" s="189"/>
      <c r="C849" s="44"/>
      <c r="D849" s="117"/>
      <c r="E849" s="44"/>
      <c r="F849" s="44"/>
      <c r="G849" s="117"/>
      <c r="H849" s="117"/>
      <c r="I849" s="117"/>
      <c r="J849" s="117"/>
      <c r="K849" s="117"/>
      <c r="L849" s="117"/>
      <c r="M849" s="117"/>
      <c r="N849" s="117"/>
      <c r="O849" s="117"/>
      <c r="P849" s="117"/>
      <c r="Q849" s="117"/>
      <c r="R849" s="117"/>
      <c r="S849" s="117"/>
      <c r="T849" s="117"/>
      <c r="U849" s="235"/>
      <c r="V849" s="117"/>
      <c r="W849" s="117"/>
      <c r="X849" s="117"/>
      <c r="Y849" s="117"/>
      <c r="Z849" s="117"/>
      <c r="AA849" s="44"/>
      <c r="AB849" s="117"/>
      <c r="AC849" s="44"/>
      <c r="AD849" s="117"/>
    </row>
    <row r="850" spans="1:30" ht="14.25" customHeight="1">
      <c r="A850" s="189"/>
      <c r="B850" s="189"/>
      <c r="C850" s="44"/>
      <c r="D850" s="117"/>
      <c r="E850" s="44"/>
      <c r="F850" s="44"/>
      <c r="G850" s="117"/>
      <c r="H850" s="117"/>
      <c r="I850" s="117"/>
      <c r="J850" s="117"/>
      <c r="K850" s="117"/>
      <c r="L850" s="117"/>
      <c r="M850" s="117"/>
      <c r="N850" s="117"/>
      <c r="O850" s="117"/>
      <c r="P850" s="117"/>
      <c r="Q850" s="117"/>
      <c r="R850" s="117"/>
      <c r="S850" s="117"/>
      <c r="T850" s="117"/>
      <c r="U850" s="235"/>
      <c r="V850" s="117"/>
      <c r="W850" s="117"/>
      <c r="X850" s="117"/>
      <c r="Y850" s="117"/>
      <c r="Z850" s="117"/>
      <c r="AA850" s="44"/>
      <c r="AB850" s="117"/>
      <c r="AC850" s="44"/>
      <c r="AD850" s="117"/>
    </row>
    <row r="851" spans="1:30" ht="14.25" customHeight="1">
      <c r="A851" s="189"/>
      <c r="B851" s="189"/>
      <c r="C851" s="44"/>
      <c r="D851" s="117"/>
      <c r="E851" s="44"/>
      <c r="F851" s="44"/>
      <c r="G851" s="117"/>
      <c r="H851" s="117"/>
      <c r="I851" s="117"/>
      <c r="J851" s="117"/>
      <c r="K851" s="117"/>
      <c r="L851" s="117"/>
      <c r="M851" s="117"/>
      <c r="N851" s="117"/>
      <c r="O851" s="117"/>
      <c r="P851" s="117"/>
      <c r="Q851" s="117"/>
      <c r="R851" s="117"/>
      <c r="S851" s="117"/>
      <c r="T851" s="117"/>
      <c r="U851" s="235"/>
      <c r="V851" s="117"/>
      <c r="W851" s="117"/>
      <c r="X851" s="117"/>
      <c r="Y851" s="117"/>
      <c r="Z851" s="117"/>
      <c r="AA851" s="44"/>
      <c r="AB851" s="117"/>
      <c r="AC851" s="44"/>
      <c r="AD851" s="117"/>
    </row>
    <row r="852" spans="1:30" ht="14.25" customHeight="1">
      <c r="A852" s="189"/>
      <c r="B852" s="189"/>
      <c r="C852" s="44"/>
      <c r="D852" s="117"/>
      <c r="E852" s="44"/>
      <c r="F852" s="44"/>
      <c r="G852" s="117"/>
      <c r="H852" s="117"/>
      <c r="I852" s="117"/>
      <c r="J852" s="117"/>
      <c r="K852" s="117"/>
      <c r="L852" s="117"/>
      <c r="M852" s="117"/>
      <c r="N852" s="117"/>
      <c r="O852" s="117"/>
      <c r="P852" s="117"/>
      <c r="Q852" s="117"/>
      <c r="R852" s="117"/>
      <c r="S852" s="117"/>
      <c r="T852" s="117"/>
      <c r="U852" s="235"/>
      <c r="V852" s="117"/>
      <c r="W852" s="117"/>
      <c r="X852" s="117"/>
      <c r="Y852" s="117"/>
      <c r="Z852" s="117"/>
      <c r="AA852" s="44"/>
      <c r="AB852" s="117"/>
      <c r="AC852" s="44"/>
      <c r="AD852" s="117"/>
    </row>
    <row r="853" spans="1:30" ht="14.25" customHeight="1">
      <c r="A853" s="189"/>
      <c r="B853" s="189"/>
      <c r="C853" s="44"/>
      <c r="D853" s="117"/>
      <c r="E853" s="44"/>
      <c r="F853" s="44"/>
      <c r="G853" s="117"/>
      <c r="H853" s="117"/>
      <c r="I853" s="117"/>
      <c r="J853" s="117"/>
      <c r="K853" s="117"/>
      <c r="L853" s="117"/>
      <c r="M853" s="117"/>
      <c r="N853" s="117"/>
      <c r="O853" s="117"/>
      <c r="P853" s="117"/>
      <c r="Q853" s="117"/>
      <c r="R853" s="117"/>
      <c r="S853" s="117"/>
      <c r="T853" s="117"/>
      <c r="U853" s="235"/>
      <c r="V853" s="117"/>
      <c r="W853" s="117"/>
      <c r="X853" s="117"/>
      <c r="Y853" s="117"/>
      <c r="Z853" s="117"/>
      <c r="AA853" s="44"/>
      <c r="AB853" s="117"/>
      <c r="AC853" s="44"/>
      <c r="AD853" s="117"/>
    </row>
    <row r="854" spans="1:30" ht="14.25" customHeight="1">
      <c r="A854" s="189"/>
      <c r="B854" s="189"/>
      <c r="C854" s="44"/>
      <c r="D854" s="117"/>
      <c r="E854" s="44"/>
      <c r="F854" s="44"/>
      <c r="G854" s="117"/>
      <c r="H854" s="117"/>
      <c r="I854" s="117"/>
      <c r="J854" s="117"/>
      <c r="K854" s="117"/>
      <c r="L854" s="117"/>
      <c r="M854" s="117"/>
      <c r="N854" s="117"/>
      <c r="O854" s="117"/>
      <c r="P854" s="117"/>
      <c r="Q854" s="117"/>
      <c r="R854" s="117"/>
      <c r="S854" s="117"/>
      <c r="T854" s="117"/>
      <c r="U854" s="235"/>
      <c r="V854" s="117"/>
      <c r="W854" s="117"/>
      <c r="X854" s="117"/>
      <c r="Y854" s="117"/>
      <c r="Z854" s="117"/>
      <c r="AA854" s="44"/>
      <c r="AB854" s="117"/>
      <c r="AC854" s="44"/>
      <c r="AD854" s="117"/>
    </row>
    <row r="855" spans="1:30" ht="14.25" customHeight="1">
      <c r="A855" s="189"/>
      <c r="B855" s="189"/>
      <c r="C855" s="44"/>
      <c r="D855" s="117"/>
      <c r="E855" s="44"/>
      <c r="F855" s="44"/>
      <c r="G855" s="117"/>
      <c r="H855" s="117"/>
      <c r="I855" s="117"/>
      <c r="J855" s="117"/>
      <c r="K855" s="117"/>
      <c r="L855" s="117"/>
      <c r="M855" s="117"/>
      <c r="N855" s="117"/>
      <c r="O855" s="117"/>
      <c r="P855" s="117"/>
      <c r="Q855" s="117"/>
      <c r="R855" s="117"/>
      <c r="S855" s="117"/>
      <c r="T855" s="117"/>
      <c r="U855" s="235"/>
      <c r="V855" s="117"/>
      <c r="W855" s="117"/>
      <c r="X855" s="117"/>
      <c r="Y855" s="117"/>
      <c r="Z855" s="117"/>
      <c r="AA855" s="44"/>
      <c r="AB855" s="117"/>
      <c r="AC855" s="44"/>
      <c r="AD855" s="117"/>
    </row>
    <row r="856" spans="1:30" ht="14.25" customHeight="1">
      <c r="A856" s="189"/>
      <c r="B856" s="189"/>
      <c r="C856" s="44"/>
      <c r="D856" s="117"/>
      <c r="E856" s="44"/>
      <c r="F856" s="44"/>
      <c r="G856" s="117"/>
      <c r="H856" s="117"/>
      <c r="I856" s="117"/>
      <c r="J856" s="117"/>
      <c r="K856" s="117"/>
      <c r="L856" s="117"/>
      <c r="M856" s="117"/>
      <c r="N856" s="117"/>
      <c r="O856" s="117"/>
      <c r="P856" s="117"/>
      <c r="Q856" s="117"/>
      <c r="R856" s="117"/>
      <c r="S856" s="117"/>
      <c r="T856" s="117"/>
      <c r="U856" s="235"/>
      <c r="V856" s="117"/>
      <c r="W856" s="117"/>
      <c r="X856" s="117"/>
      <c r="Y856" s="117"/>
      <c r="Z856" s="117"/>
      <c r="AA856" s="44"/>
      <c r="AB856" s="117"/>
      <c r="AC856" s="44"/>
      <c r="AD856" s="117"/>
    </row>
    <row r="857" spans="1:30" ht="14.25" customHeight="1">
      <c r="A857" s="189"/>
      <c r="B857" s="189"/>
      <c r="C857" s="44"/>
      <c r="D857" s="117"/>
      <c r="E857" s="44"/>
      <c r="F857" s="44"/>
      <c r="G857" s="117"/>
      <c r="H857" s="117"/>
      <c r="I857" s="117"/>
      <c r="J857" s="117"/>
      <c r="K857" s="117"/>
      <c r="L857" s="117"/>
      <c r="M857" s="117"/>
      <c r="N857" s="117"/>
      <c r="O857" s="117"/>
      <c r="P857" s="117"/>
      <c r="Q857" s="117"/>
      <c r="R857" s="117"/>
      <c r="S857" s="117"/>
      <c r="T857" s="117"/>
      <c r="U857" s="235"/>
      <c r="V857" s="117"/>
      <c r="W857" s="117"/>
      <c r="X857" s="117"/>
      <c r="Y857" s="117"/>
      <c r="Z857" s="117"/>
      <c r="AA857" s="44"/>
      <c r="AB857" s="117"/>
      <c r="AC857" s="44"/>
      <c r="AD857" s="117"/>
    </row>
    <row r="858" spans="1:30" ht="14.25" customHeight="1">
      <c r="A858" s="189"/>
      <c r="B858" s="189"/>
      <c r="C858" s="44"/>
      <c r="D858" s="117"/>
      <c r="E858" s="44"/>
      <c r="F858" s="44"/>
      <c r="G858" s="117"/>
      <c r="H858" s="117"/>
      <c r="I858" s="117"/>
      <c r="J858" s="117"/>
      <c r="K858" s="117"/>
      <c r="L858" s="117"/>
      <c r="M858" s="117"/>
      <c r="N858" s="117"/>
      <c r="O858" s="117"/>
      <c r="P858" s="117"/>
      <c r="Q858" s="117"/>
      <c r="R858" s="117"/>
      <c r="S858" s="117"/>
      <c r="T858" s="117"/>
      <c r="U858" s="235"/>
      <c r="V858" s="117"/>
      <c r="W858" s="117"/>
      <c r="X858" s="117"/>
      <c r="Y858" s="117"/>
      <c r="Z858" s="117"/>
      <c r="AA858" s="44"/>
      <c r="AB858" s="117"/>
      <c r="AC858" s="44"/>
      <c r="AD858" s="117"/>
    </row>
    <row r="859" spans="1:30" ht="14.25" customHeight="1">
      <c r="A859" s="189"/>
      <c r="B859" s="189"/>
      <c r="C859" s="44"/>
      <c r="D859" s="117"/>
      <c r="E859" s="44"/>
      <c r="F859" s="44"/>
      <c r="G859" s="117"/>
      <c r="H859" s="117"/>
      <c r="I859" s="117"/>
      <c r="J859" s="117"/>
      <c r="K859" s="117"/>
      <c r="L859" s="117"/>
      <c r="M859" s="117"/>
      <c r="N859" s="117"/>
      <c r="O859" s="117"/>
      <c r="P859" s="117"/>
      <c r="Q859" s="117"/>
      <c r="R859" s="117"/>
      <c r="S859" s="117"/>
      <c r="T859" s="117"/>
      <c r="U859" s="235"/>
      <c r="V859" s="117"/>
      <c r="W859" s="117"/>
      <c r="X859" s="117"/>
      <c r="Y859" s="117"/>
      <c r="Z859" s="117"/>
      <c r="AA859" s="44"/>
      <c r="AB859" s="117"/>
      <c r="AC859" s="44"/>
      <c r="AD859" s="117"/>
    </row>
    <row r="860" spans="1:30" ht="14.25" customHeight="1">
      <c r="A860" s="189"/>
      <c r="B860" s="189"/>
      <c r="C860" s="44"/>
      <c r="D860" s="117"/>
      <c r="E860" s="44"/>
      <c r="F860" s="44"/>
      <c r="G860" s="117"/>
      <c r="H860" s="117"/>
      <c r="I860" s="117"/>
      <c r="J860" s="117"/>
      <c r="K860" s="117"/>
      <c r="L860" s="117"/>
      <c r="M860" s="117"/>
      <c r="N860" s="117"/>
      <c r="O860" s="117"/>
      <c r="P860" s="117"/>
      <c r="Q860" s="117"/>
      <c r="R860" s="117"/>
      <c r="S860" s="117"/>
      <c r="T860" s="117"/>
      <c r="U860" s="235"/>
      <c r="V860" s="117"/>
      <c r="W860" s="117"/>
      <c r="X860" s="117"/>
      <c r="Y860" s="117"/>
      <c r="Z860" s="117"/>
      <c r="AA860" s="44"/>
      <c r="AB860" s="117"/>
      <c r="AC860" s="44"/>
      <c r="AD860" s="117"/>
    </row>
    <row r="861" spans="1:30" ht="14.25" customHeight="1">
      <c r="A861" s="189"/>
      <c r="B861" s="189"/>
      <c r="C861" s="44"/>
      <c r="D861" s="117"/>
      <c r="E861" s="44"/>
      <c r="F861" s="44"/>
      <c r="G861" s="117"/>
      <c r="H861" s="117"/>
      <c r="I861" s="117"/>
      <c r="J861" s="117"/>
      <c r="K861" s="117"/>
      <c r="L861" s="117"/>
      <c r="M861" s="117"/>
      <c r="N861" s="117"/>
      <c r="O861" s="117"/>
      <c r="P861" s="117"/>
      <c r="Q861" s="117"/>
      <c r="R861" s="117"/>
      <c r="S861" s="117"/>
      <c r="T861" s="117"/>
      <c r="U861" s="235"/>
      <c r="V861" s="117"/>
      <c r="W861" s="117"/>
      <c r="X861" s="117"/>
      <c r="Y861" s="117"/>
      <c r="Z861" s="117"/>
      <c r="AA861" s="44"/>
      <c r="AB861" s="117"/>
      <c r="AC861" s="44"/>
      <c r="AD861" s="117"/>
    </row>
    <row r="862" spans="1:30" ht="14.25" customHeight="1">
      <c r="A862" s="189"/>
      <c r="B862" s="189"/>
      <c r="C862" s="44"/>
      <c r="D862" s="117"/>
      <c r="E862" s="44"/>
      <c r="F862" s="44"/>
      <c r="G862" s="117"/>
      <c r="H862" s="117"/>
      <c r="I862" s="117"/>
      <c r="J862" s="117"/>
      <c r="K862" s="117"/>
      <c r="L862" s="117"/>
      <c r="M862" s="117"/>
      <c r="N862" s="117"/>
      <c r="O862" s="117"/>
      <c r="P862" s="117"/>
      <c r="Q862" s="117"/>
      <c r="R862" s="117"/>
      <c r="S862" s="117"/>
      <c r="T862" s="117"/>
      <c r="U862" s="235"/>
      <c r="V862" s="117"/>
      <c r="W862" s="117"/>
      <c r="X862" s="117"/>
      <c r="Y862" s="117"/>
      <c r="Z862" s="117"/>
      <c r="AA862" s="44"/>
      <c r="AB862" s="117"/>
      <c r="AC862" s="44"/>
      <c r="AD862" s="117"/>
    </row>
    <row r="863" spans="1:30" ht="14.25" customHeight="1">
      <c r="A863" s="189"/>
      <c r="B863" s="189"/>
      <c r="C863" s="44"/>
      <c r="D863" s="117"/>
      <c r="E863" s="44"/>
      <c r="F863" s="44"/>
      <c r="G863" s="117"/>
      <c r="H863" s="117"/>
      <c r="I863" s="117"/>
      <c r="J863" s="117"/>
      <c r="K863" s="117"/>
      <c r="L863" s="117"/>
      <c r="M863" s="117"/>
      <c r="N863" s="117"/>
      <c r="O863" s="117"/>
      <c r="P863" s="117"/>
      <c r="Q863" s="117"/>
      <c r="R863" s="117"/>
      <c r="S863" s="117"/>
      <c r="T863" s="117"/>
      <c r="U863" s="235"/>
      <c r="V863" s="117"/>
      <c r="W863" s="117"/>
      <c r="X863" s="117"/>
      <c r="Y863" s="117"/>
      <c r="Z863" s="117"/>
      <c r="AA863" s="44"/>
      <c r="AB863" s="117"/>
      <c r="AC863" s="44"/>
      <c r="AD863" s="117"/>
    </row>
    <row r="864" spans="1:30" ht="14.25" customHeight="1">
      <c r="A864" s="189"/>
      <c r="B864" s="189"/>
      <c r="C864" s="44"/>
      <c r="D864" s="117"/>
      <c r="E864" s="44"/>
      <c r="F864" s="44"/>
      <c r="G864" s="117"/>
      <c r="H864" s="117"/>
      <c r="I864" s="117"/>
      <c r="J864" s="117"/>
      <c r="K864" s="117"/>
      <c r="L864" s="117"/>
      <c r="M864" s="117"/>
      <c r="N864" s="117"/>
      <c r="O864" s="117"/>
      <c r="P864" s="117"/>
      <c r="Q864" s="117"/>
      <c r="R864" s="117"/>
      <c r="S864" s="117"/>
      <c r="T864" s="117"/>
      <c r="U864" s="235"/>
      <c r="V864" s="117"/>
      <c r="W864" s="117"/>
      <c r="X864" s="117"/>
      <c r="Y864" s="117"/>
      <c r="Z864" s="117"/>
      <c r="AA864" s="44"/>
      <c r="AB864" s="117"/>
      <c r="AC864" s="44"/>
      <c r="AD864" s="117"/>
    </row>
    <row r="865" spans="1:30" ht="14.25" customHeight="1">
      <c r="A865" s="189"/>
      <c r="B865" s="189"/>
      <c r="C865" s="44"/>
      <c r="D865" s="117"/>
      <c r="E865" s="44"/>
      <c r="F865" s="44"/>
      <c r="G865" s="117"/>
      <c r="H865" s="117"/>
      <c r="I865" s="117"/>
      <c r="J865" s="117"/>
      <c r="K865" s="117"/>
      <c r="L865" s="117"/>
      <c r="M865" s="117"/>
      <c r="N865" s="117"/>
      <c r="O865" s="117"/>
      <c r="P865" s="117"/>
      <c r="Q865" s="117"/>
      <c r="R865" s="117"/>
      <c r="S865" s="117"/>
      <c r="T865" s="117"/>
      <c r="U865" s="235"/>
      <c r="V865" s="117"/>
      <c r="W865" s="117"/>
      <c r="X865" s="117"/>
      <c r="Y865" s="117"/>
      <c r="Z865" s="117"/>
      <c r="AA865" s="44"/>
      <c r="AB865" s="117"/>
      <c r="AC865" s="44"/>
      <c r="AD865" s="117"/>
    </row>
    <row r="866" spans="1:30" ht="14.25" customHeight="1">
      <c r="A866" s="189"/>
      <c r="B866" s="189"/>
      <c r="C866" s="44"/>
      <c r="D866" s="117"/>
      <c r="E866" s="44"/>
      <c r="F866" s="44"/>
      <c r="G866" s="117"/>
      <c r="H866" s="117"/>
      <c r="I866" s="117"/>
      <c r="J866" s="117"/>
      <c r="K866" s="117"/>
      <c r="L866" s="117"/>
      <c r="M866" s="117"/>
      <c r="N866" s="117"/>
      <c r="O866" s="117"/>
      <c r="P866" s="117"/>
      <c r="Q866" s="117"/>
      <c r="R866" s="117"/>
      <c r="S866" s="117"/>
      <c r="T866" s="117"/>
      <c r="U866" s="235"/>
      <c r="V866" s="117"/>
      <c r="W866" s="117"/>
      <c r="X866" s="117"/>
      <c r="Y866" s="117"/>
      <c r="Z866" s="117"/>
      <c r="AA866" s="44"/>
      <c r="AB866" s="117"/>
      <c r="AC866" s="44"/>
      <c r="AD866" s="117"/>
    </row>
    <row r="867" spans="1:30" ht="14.25" customHeight="1">
      <c r="A867" s="189"/>
      <c r="B867" s="189"/>
      <c r="C867" s="44"/>
      <c r="D867" s="117"/>
      <c r="E867" s="44"/>
      <c r="F867" s="44"/>
      <c r="G867" s="117"/>
      <c r="H867" s="117"/>
      <c r="I867" s="117"/>
      <c r="J867" s="117"/>
      <c r="K867" s="117"/>
      <c r="L867" s="117"/>
      <c r="M867" s="117"/>
      <c r="N867" s="117"/>
      <c r="O867" s="117"/>
      <c r="P867" s="117"/>
      <c r="Q867" s="117"/>
      <c r="R867" s="117"/>
      <c r="S867" s="117"/>
      <c r="T867" s="117"/>
      <c r="U867" s="235"/>
      <c r="V867" s="117"/>
      <c r="W867" s="117"/>
      <c r="X867" s="117"/>
      <c r="Y867" s="117"/>
      <c r="Z867" s="117"/>
      <c r="AA867" s="44"/>
      <c r="AB867" s="117"/>
      <c r="AC867" s="44"/>
      <c r="AD867" s="117"/>
    </row>
    <row r="868" spans="1:30" ht="14.25" customHeight="1">
      <c r="A868" s="189"/>
      <c r="B868" s="189"/>
      <c r="C868" s="44"/>
      <c r="D868" s="117"/>
      <c r="E868" s="44"/>
      <c r="F868" s="44"/>
      <c r="G868" s="117"/>
      <c r="H868" s="117"/>
      <c r="I868" s="117"/>
      <c r="J868" s="117"/>
      <c r="K868" s="117"/>
      <c r="L868" s="117"/>
      <c r="M868" s="117"/>
      <c r="N868" s="117"/>
      <c r="O868" s="117"/>
      <c r="P868" s="117"/>
      <c r="Q868" s="117"/>
      <c r="R868" s="117"/>
      <c r="S868" s="117"/>
      <c r="T868" s="117"/>
      <c r="U868" s="235"/>
      <c r="V868" s="117"/>
      <c r="W868" s="117"/>
      <c r="X868" s="117"/>
      <c r="Y868" s="117"/>
      <c r="Z868" s="117"/>
      <c r="AA868" s="44"/>
      <c r="AB868" s="117"/>
      <c r="AC868" s="44"/>
      <c r="AD868" s="117"/>
    </row>
    <row r="869" spans="1:30" ht="14.25" customHeight="1">
      <c r="A869" s="189"/>
      <c r="B869" s="189"/>
      <c r="C869" s="44"/>
      <c r="D869" s="117"/>
      <c r="E869" s="44"/>
      <c r="F869" s="44"/>
      <c r="G869" s="117"/>
      <c r="H869" s="117"/>
      <c r="I869" s="117"/>
      <c r="J869" s="117"/>
      <c r="K869" s="117"/>
      <c r="L869" s="117"/>
      <c r="M869" s="117"/>
      <c r="N869" s="117"/>
      <c r="O869" s="117"/>
      <c r="P869" s="117"/>
      <c r="Q869" s="117"/>
      <c r="R869" s="117"/>
      <c r="S869" s="117"/>
      <c r="T869" s="117"/>
      <c r="U869" s="235"/>
      <c r="V869" s="117"/>
      <c r="W869" s="117"/>
      <c r="X869" s="117"/>
      <c r="Y869" s="117"/>
      <c r="Z869" s="117"/>
      <c r="AA869" s="44"/>
      <c r="AB869" s="117"/>
      <c r="AC869" s="44"/>
      <c r="AD869" s="117"/>
    </row>
    <row r="870" spans="1:30" ht="14.25" customHeight="1">
      <c r="A870" s="189"/>
      <c r="B870" s="189"/>
      <c r="C870" s="44"/>
      <c r="D870" s="117"/>
      <c r="E870" s="44"/>
      <c r="F870" s="44"/>
      <c r="G870" s="117"/>
      <c r="H870" s="117"/>
      <c r="I870" s="117"/>
      <c r="J870" s="117"/>
      <c r="K870" s="117"/>
      <c r="L870" s="117"/>
      <c r="M870" s="117"/>
      <c r="N870" s="117"/>
      <c r="O870" s="117"/>
      <c r="P870" s="117"/>
      <c r="Q870" s="117"/>
      <c r="R870" s="117"/>
      <c r="S870" s="117"/>
      <c r="T870" s="117"/>
      <c r="U870" s="235"/>
      <c r="V870" s="117"/>
      <c r="W870" s="117"/>
      <c r="X870" s="117"/>
      <c r="Y870" s="117"/>
      <c r="Z870" s="117"/>
      <c r="AA870" s="44"/>
      <c r="AB870" s="117"/>
      <c r="AC870" s="44"/>
      <c r="AD870" s="117"/>
    </row>
    <row r="871" spans="1:30" ht="14.25" customHeight="1">
      <c r="A871" s="189"/>
      <c r="B871" s="189"/>
      <c r="C871" s="44"/>
      <c r="D871" s="117"/>
      <c r="E871" s="44"/>
      <c r="F871" s="44"/>
      <c r="G871" s="117"/>
      <c r="H871" s="117"/>
      <c r="I871" s="117"/>
      <c r="J871" s="117"/>
      <c r="K871" s="117"/>
      <c r="L871" s="117"/>
      <c r="M871" s="117"/>
      <c r="N871" s="117"/>
      <c r="O871" s="117"/>
      <c r="P871" s="117"/>
      <c r="Q871" s="117"/>
      <c r="R871" s="117"/>
      <c r="S871" s="117"/>
      <c r="T871" s="117"/>
      <c r="U871" s="235"/>
      <c r="V871" s="117"/>
      <c r="W871" s="117"/>
      <c r="X871" s="117"/>
      <c r="Y871" s="117"/>
      <c r="Z871" s="117"/>
      <c r="AA871" s="44"/>
      <c r="AB871" s="117"/>
      <c r="AC871" s="44"/>
      <c r="AD871" s="117"/>
    </row>
    <row r="872" spans="1:30" ht="14.25" customHeight="1">
      <c r="A872" s="189"/>
      <c r="B872" s="189"/>
      <c r="C872" s="44"/>
      <c r="D872" s="117"/>
      <c r="E872" s="44"/>
      <c r="F872" s="44"/>
      <c r="G872" s="117"/>
      <c r="H872" s="117"/>
      <c r="I872" s="117"/>
      <c r="J872" s="117"/>
      <c r="K872" s="117"/>
      <c r="L872" s="117"/>
      <c r="M872" s="117"/>
      <c r="N872" s="117"/>
      <c r="O872" s="117"/>
      <c r="P872" s="117"/>
      <c r="Q872" s="117"/>
      <c r="R872" s="117"/>
      <c r="S872" s="117"/>
      <c r="T872" s="117"/>
      <c r="U872" s="235"/>
      <c r="V872" s="117"/>
      <c r="W872" s="117"/>
      <c r="X872" s="117"/>
      <c r="Y872" s="117"/>
      <c r="Z872" s="117"/>
      <c r="AA872" s="44"/>
      <c r="AB872" s="117"/>
      <c r="AC872" s="44"/>
      <c r="AD872" s="117"/>
    </row>
    <row r="873" spans="1:30" ht="14.25" customHeight="1">
      <c r="A873" s="189"/>
      <c r="B873" s="189"/>
      <c r="C873" s="44"/>
      <c r="D873" s="117"/>
      <c r="E873" s="44"/>
      <c r="F873" s="44"/>
      <c r="G873" s="117"/>
      <c r="H873" s="117"/>
      <c r="I873" s="117"/>
      <c r="J873" s="117"/>
      <c r="K873" s="117"/>
      <c r="L873" s="117"/>
      <c r="M873" s="117"/>
      <c r="N873" s="117"/>
      <c r="O873" s="117"/>
      <c r="P873" s="117"/>
      <c r="Q873" s="117"/>
      <c r="R873" s="117"/>
      <c r="S873" s="117"/>
      <c r="T873" s="117"/>
      <c r="U873" s="235"/>
      <c r="V873" s="117"/>
      <c r="W873" s="117"/>
      <c r="X873" s="117"/>
      <c r="Y873" s="117"/>
      <c r="Z873" s="117"/>
      <c r="AA873" s="44"/>
      <c r="AB873" s="117"/>
      <c r="AC873" s="44"/>
      <c r="AD873" s="117"/>
    </row>
    <row r="874" spans="1:30" ht="14.25" customHeight="1">
      <c r="A874" s="189"/>
      <c r="B874" s="189"/>
      <c r="C874" s="44"/>
      <c r="D874" s="117"/>
      <c r="E874" s="44"/>
      <c r="F874" s="44"/>
      <c r="G874" s="117"/>
      <c r="H874" s="117"/>
      <c r="I874" s="117"/>
      <c r="J874" s="117"/>
      <c r="K874" s="117"/>
      <c r="L874" s="117"/>
      <c r="M874" s="117"/>
      <c r="N874" s="117"/>
      <c r="O874" s="117"/>
      <c r="P874" s="117"/>
      <c r="Q874" s="117"/>
      <c r="R874" s="117"/>
      <c r="S874" s="117"/>
      <c r="T874" s="117"/>
      <c r="U874" s="235"/>
      <c r="V874" s="117"/>
      <c r="W874" s="117"/>
      <c r="X874" s="117"/>
      <c r="Y874" s="117"/>
      <c r="Z874" s="117"/>
      <c r="AA874" s="44"/>
      <c r="AB874" s="117"/>
      <c r="AC874" s="44"/>
      <c r="AD874" s="117"/>
    </row>
    <row r="875" spans="1:30" ht="14.25" customHeight="1">
      <c r="A875" s="189"/>
      <c r="B875" s="189"/>
      <c r="C875" s="44"/>
      <c r="D875" s="117"/>
      <c r="E875" s="44"/>
      <c r="F875" s="44"/>
      <c r="G875" s="117"/>
      <c r="H875" s="117"/>
      <c r="I875" s="117"/>
      <c r="J875" s="117"/>
      <c r="K875" s="117"/>
      <c r="L875" s="117"/>
      <c r="M875" s="117"/>
      <c r="N875" s="117"/>
      <c r="O875" s="117"/>
      <c r="P875" s="117"/>
      <c r="Q875" s="117"/>
      <c r="R875" s="117"/>
      <c r="S875" s="117"/>
      <c r="T875" s="117"/>
      <c r="U875" s="235"/>
      <c r="V875" s="117"/>
      <c r="W875" s="117"/>
      <c r="X875" s="117"/>
      <c r="Y875" s="117"/>
      <c r="Z875" s="117"/>
      <c r="AA875" s="44"/>
      <c r="AB875" s="117"/>
      <c r="AC875" s="44"/>
      <c r="AD875" s="117"/>
    </row>
    <row r="876" spans="1:30" ht="14.25" customHeight="1">
      <c r="A876" s="189"/>
      <c r="B876" s="189"/>
      <c r="C876" s="44"/>
      <c r="D876" s="117"/>
      <c r="E876" s="44"/>
      <c r="F876" s="44"/>
      <c r="G876" s="117"/>
      <c r="H876" s="117"/>
      <c r="I876" s="117"/>
      <c r="J876" s="117"/>
      <c r="K876" s="117"/>
      <c r="L876" s="117"/>
      <c r="M876" s="117"/>
      <c r="N876" s="117"/>
      <c r="O876" s="117"/>
      <c r="P876" s="117"/>
      <c r="Q876" s="117"/>
      <c r="R876" s="117"/>
      <c r="S876" s="117"/>
      <c r="T876" s="117"/>
      <c r="U876" s="235"/>
      <c r="V876" s="117"/>
      <c r="W876" s="117"/>
      <c r="X876" s="117"/>
      <c r="Y876" s="117"/>
      <c r="Z876" s="117"/>
      <c r="AA876" s="44"/>
      <c r="AB876" s="117"/>
      <c r="AC876" s="44"/>
      <c r="AD876" s="117"/>
    </row>
    <row r="877" spans="1:30" ht="14.25" customHeight="1">
      <c r="A877" s="189"/>
      <c r="B877" s="189"/>
      <c r="C877" s="44"/>
      <c r="D877" s="117"/>
      <c r="E877" s="44"/>
      <c r="F877" s="44"/>
      <c r="G877" s="117"/>
      <c r="H877" s="117"/>
      <c r="I877" s="117"/>
      <c r="J877" s="117"/>
      <c r="K877" s="117"/>
      <c r="L877" s="117"/>
      <c r="M877" s="117"/>
      <c r="N877" s="117"/>
      <c r="O877" s="117"/>
      <c r="P877" s="117"/>
      <c r="Q877" s="117"/>
      <c r="R877" s="117"/>
      <c r="S877" s="117"/>
      <c r="T877" s="117"/>
      <c r="U877" s="235"/>
      <c r="V877" s="117"/>
      <c r="W877" s="117"/>
      <c r="X877" s="117"/>
      <c r="Y877" s="117"/>
      <c r="Z877" s="117"/>
      <c r="AA877" s="44"/>
      <c r="AB877" s="117"/>
      <c r="AC877" s="44"/>
      <c r="AD877" s="117"/>
    </row>
    <row r="878" spans="1:30" ht="14.25" customHeight="1">
      <c r="A878" s="189"/>
      <c r="B878" s="189"/>
      <c r="C878" s="44"/>
      <c r="D878" s="117"/>
      <c r="E878" s="44"/>
      <c r="F878" s="44"/>
      <c r="G878" s="117"/>
      <c r="H878" s="117"/>
      <c r="I878" s="117"/>
      <c r="J878" s="117"/>
      <c r="K878" s="117"/>
      <c r="L878" s="117"/>
      <c r="M878" s="117"/>
      <c r="N878" s="117"/>
      <c r="O878" s="117"/>
      <c r="P878" s="117"/>
      <c r="Q878" s="117"/>
      <c r="R878" s="117"/>
      <c r="S878" s="117"/>
      <c r="T878" s="117"/>
      <c r="U878" s="235"/>
      <c r="V878" s="117"/>
      <c r="W878" s="117"/>
      <c r="X878" s="117"/>
      <c r="Y878" s="117"/>
      <c r="Z878" s="117"/>
      <c r="AA878" s="44"/>
      <c r="AB878" s="117"/>
      <c r="AC878" s="44"/>
      <c r="AD878" s="117"/>
    </row>
    <row r="879" spans="1:30" ht="14.25" customHeight="1">
      <c r="A879" s="189"/>
      <c r="B879" s="189"/>
      <c r="C879" s="44"/>
      <c r="D879" s="117"/>
      <c r="E879" s="44"/>
      <c r="F879" s="44"/>
      <c r="G879" s="117"/>
      <c r="H879" s="117"/>
      <c r="I879" s="117"/>
      <c r="J879" s="117"/>
      <c r="K879" s="117"/>
      <c r="L879" s="117"/>
      <c r="M879" s="117"/>
      <c r="N879" s="117"/>
      <c r="O879" s="117"/>
      <c r="P879" s="117"/>
      <c r="Q879" s="117"/>
      <c r="R879" s="117"/>
      <c r="S879" s="117"/>
      <c r="T879" s="117"/>
      <c r="U879" s="235"/>
      <c r="V879" s="117"/>
      <c r="W879" s="117"/>
      <c r="X879" s="117"/>
      <c r="Y879" s="117"/>
      <c r="Z879" s="117"/>
      <c r="AA879" s="44"/>
      <c r="AB879" s="117"/>
      <c r="AC879" s="44"/>
      <c r="AD879" s="117"/>
    </row>
    <row r="880" spans="1:30" ht="14.25" customHeight="1">
      <c r="A880" s="189"/>
      <c r="B880" s="189"/>
      <c r="C880" s="44"/>
      <c r="D880" s="117"/>
      <c r="E880" s="44"/>
      <c r="F880" s="44"/>
      <c r="G880" s="117"/>
      <c r="H880" s="117"/>
      <c r="I880" s="117"/>
      <c r="J880" s="117"/>
      <c r="K880" s="117"/>
      <c r="L880" s="117"/>
      <c r="M880" s="117"/>
      <c r="N880" s="117"/>
      <c r="O880" s="117"/>
      <c r="P880" s="117"/>
      <c r="Q880" s="117"/>
      <c r="R880" s="117"/>
      <c r="S880" s="117"/>
      <c r="T880" s="117"/>
      <c r="U880" s="235"/>
      <c r="V880" s="117"/>
      <c r="W880" s="117"/>
      <c r="X880" s="117"/>
      <c r="Y880" s="117"/>
      <c r="Z880" s="117"/>
      <c r="AA880" s="44"/>
      <c r="AB880" s="117"/>
      <c r="AC880" s="44"/>
      <c r="AD880" s="117"/>
    </row>
    <row r="881" spans="1:30" ht="14.25" customHeight="1">
      <c r="A881" s="189"/>
      <c r="B881" s="189"/>
      <c r="C881" s="44"/>
      <c r="D881" s="117"/>
      <c r="E881" s="44"/>
      <c r="F881" s="44"/>
      <c r="G881" s="117"/>
      <c r="H881" s="117"/>
      <c r="I881" s="117"/>
      <c r="J881" s="117"/>
      <c r="K881" s="117"/>
      <c r="L881" s="117"/>
      <c r="M881" s="117"/>
      <c r="N881" s="117"/>
      <c r="O881" s="117"/>
      <c r="P881" s="117"/>
      <c r="Q881" s="117"/>
      <c r="R881" s="117"/>
      <c r="S881" s="117"/>
      <c r="T881" s="117"/>
      <c r="U881" s="235"/>
      <c r="V881" s="117"/>
      <c r="W881" s="117"/>
      <c r="X881" s="117"/>
      <c r="Y881" s="117"/>
      <c r="Z881" s="117"/>
      <c r="AA881" s="44"/>
      <c r="AB881" s="117"/>
      <c r="AC881" s="44"/>
      <c r="AD881" s="117"/>
    </row>
    <row r="882" spans="1:30" ht="14.25" customHeight="1">
      <c r="A882" s="189"/>
      <c r="B882" s="189"/>
      <c r="C882" s="44"/>
      <c r="D882" s="117"/>
      <c r="E882" s="44"/>
      <c r="F882" s="44"/>
      <c r="G882" s="117"/>
      <c r="H882" s="117"/>
      <c r="I882" s="117"/>
      <c r="J882" s="117"/>
      <c r="K882" s="117"/>
      <c r="L882" s="117"/>
      <c r="M882" s="117"/>
      <c r="N882" s="117"/>
      <c r="O882" s="117"/>
      <c r="P882" s="117"/>
      <c r="Q882" s="117"/>
      <c r="R882" s="117"/>
      <c r="S882" s="117"/>
      <c r="T882" s="117"/>
      <c r="U882" s="235"/>
      <c r="V882" s="117"/>
      <c r="W882" s="117"/>
      <c r="X882" s="117"/>
      <c r="Y882" s="117"/>
      <c r="Z882" s="117"/>
      <c r="AA882" s="44"/>
      <c r="AB882" s="117"/>
      <c r="AC882" s="44"/>
      <c r="AD882" s="117"/>
    </row>
    <row r="883" spans="1:30" ht="14.25" customHeight="1">
      <c r="A883" s="189"/>
      <c r="B883" s="189"/>
      <c r="C883" s="44"/>
      <c r="D883" s="117"/>
      <c r="E883" s="44"/>
      <c r="F883" s="44"/>
      <c r="G883" s="117"/>
      <c r="H883" s="117"/>
      <c r="I883" s="117"/>
      <c r="J883" s="117"/>
      <c r="K883" s="117"/>
      <c r="L883" s="117"/>
      <c r="M883" s="117"/>
      <c r="N883" s="117"/>
      <c r="O883" s="117"/>
      <c r="P883" s="117"/>
      <c r="Q883" s="117"/>
      <c r="R883" s="117"/>
      <c r="S883" s="117"/>
      <c r="T883" s="117"/>
      <c r="U883" s="235"/>
      <c r="V883" s="117"/>
      <c r="W883" s="117"/>
      <c r="X883" s="117"/>
      <c r="Y883" s="117"/>
      <c r="Z883" s="117"/>
      <c r="AA883" s="44"/>
      <c r="AB883" s="117"/>
      <c r="AC883" s="44"/>
      <c r="AD883" s="117"/>
    </row>
    <row r="884" spans="1:30" ht="14.25" customHeight="1">
      <c r="A884" s="189"/>
      <c r="B884" s="189"/>
      <c r="C884" s="44"/>
      <c r="D884" s="117"/>
      <c r="E884" s="44"/>
      <c r="F884" s="44"/>
      <c r="G884" s="117"/>
      <c r="H884" s="117"/>
      <c r="I884" s="117"/>
      <c r="J884" s="117"/>
      <c r="K884" s="117"/>
      <c r="L884" s="117"/>
      <c r="M884" s="117"/>
      <c r="N884" s="117"/>
      <c r="O884" s="117"/>
      <c r="P884" s="117"/>
      <c r="Q884" s="117"/>
      <c r="R884" s="117"/>
      <c r="S884" s="117"/>
      <c r="T884" s="117"/>
      <c r="U884" s="235"/>
      <c r="V884" s="117"/>
      <c r="W884" s="117"/>
      <c r="X884" s="117"/>
      <c r="Y884" s="117"/>
      <c r="Z884" s="117"/>
      <c r="AA884" s="44"/>
      <c r="AB884" s="117"/>
      <c r="AC884" s="44"/>
      <c r="AD884" s="117"/>
    </row>
    <row r="885" spans="1:30" ht="14.25" customHeight="1">
      <c r="A885" s="189"/>
      <c r="B885" s="189"/>
      <c r="C885" s="44"/>
      <c r="D885" s="117"/>
      <c r="E885" s="44"/>
      <c r="F885" s="44"/>
      <c r="G885" s="117"/>
      <c r="H885" s="117"/>
      <c r="I885" s="117"/>
      <c r="J885" s="117"/>
      <c r="K885" s="117"/>
      <c r="L885" s="117"/>
      <c r="M885" s="117"/>
      <c r="N885" s="117"/>
      <c r="O885" s="117"/>
      <c r="P885" s="117"/>
      <c r="Q885" s="117"/>
      <c r="R885" s="117"/>
      <c r="S885" s="117"/>
      <c r="T885" s="117"/>
      <c r="U885" s="235"/>
      <c r="V885" s="117"/>
      <c r="W885" s="117"/>
      <c r="X885" s="117"/>
      <c r="Y885" s="117"/>
      <c r="Z885" s="117"/>
      <c r="AA885" s="44"/>
      <c r="AB885" s="117"/>
      <c r="AC885" s="44"/>
      <c r="AD885" s="117"/>
    </row>
    <row r="886" spans="1:30" ht="14.25" customHeight="1">
      <c r="A886" s="189"/>
      <c r="B886" s="189"/>
      <c r="C886" s="44"/>
      <c r="D886" s="117"/>
      <c r="E886" s="44"/>
      <c r="F886" s="44"/>
      <c r="G886" s="117"/>
      <c r="H886" s="117"/>
      <c r="I886" s="117"/>
      <c r="J886" s="117"/>
      <c r="K886" s="117"/>
      <c r="L886" s="117"/>
      <c r="M886" s="117"/>
      <c r="N886" s="117"/>
      <c r="O886" s="117"/>
      <c r="P886" s="117"/>
      <c r="Q886" s="117"/>
      <c r="R886" s="117"/>
      <c r="S886" s="117"/>
      <c r="T886" s="117"/>
      <c r="U886" s="235"/>
      <c r="V886" s="117"/>
      <c r="W886" s="117"/>
      <c r="X886" s="117"/>
      <c r="Y886" s="117"/>
      <c r="Z886" s="117"/>
      <c r="AA886" s="44"/>
      <c r="AB886" s="117"/>
      <c r="AC886" s="44"/>
      <c r="AD886" s="117"/>
    </row>
    <row r="887" spans="1:30" ht="14.25" customHeight="1">
      <c r="A887" s="189"/>
      <c r="B887" s="189"/>
      <c r="C887" s="44"/>
      <c r="D887" s="117"/>
      <c r="E887" s="44"/>
      <c r="F887" s="44"/>
      <c r="G887" s="117"/>
      <c r="H887" s="117"/>
      <c r="I887" s="117"/>
      <c r="J887" s="117"/>
      <c r="K887" s="117"/>
      <c r="L887" s="117"/>
      <c r="M887" s="117"/>
      <c r="N887" s="117"/>
      <c r="O887" s="117"/>
      <c r="P887" s="117"/>
      <c r="Q887" s="117"/>
      <c r="R887" s="117"/>
      <c r="S887" s="117"/>
      <c r="T887" s="117"/>
      <c r="U887" s="235"/>
      <c r="V887" s="117"/>
      <c r="W887" s="117"/>
      <c r="X887" s="117"/>
      <c r="Y887" s="117"/>
      <c r="Z887" s="117"/>
      <c r="AA887" s="44"/>
      <c r="AB887" s="117"/>
      <c r="AC887" s="44"/>
      <c r="AD887" s="117"/>
    </row>
    <row r="888" spans="1:30" ht="14.25" customHeight="1">
      <c r="A888" s="189"/>
      <c r="B888" s="189"/>
      <c r="C888" s="44"/>
      <c r="D888" s="117"/>
      <c r="E888" s="44"/>
      <c r="F888" s="44"/>
      <c r="G888" s="117"/>
      <c r="H888" s="117"/>
      <c r="I888" s="117"/>
      <c r="J888" s="117"/>
      <c r="K888" s="117"/>
      <c r="L888" s="117"/>
      <c r="M888" s="117"/>
      <c r="N888" s="117"/>
      <c r="O888" s="117"/>
      <c r="P888" s="117"/>
      <c r="Q888" s="117"/>
      <c r="R888" s="117"/>
      <c r="S888" s="117"/>
      <c r="T888" s="117"/>
      <c r="U888" s="235"/>
      <c r="V888" s="117"/>
      <c r="W888" s="117"/>
      <c r="X888" s="117"/>
      <c r="Y888" s="117"/>
      <c r="Z888" s="117"/>
      <c r="AA888" s="44"/>
      <c r="AB888" s="117"/>
      <c r="AC888" s="44"/>
      <c r="AD888" s="117"/>
    </row>
    <row r="889" spans="1:30" ht="14.25" customHeight="1">
      <c r="A889" s="189"/>
      <c r="B889" s="189"/>
      <c r="C889" s="44"/>
      <c r="D889" s="117"/>
      <c r="E889" s="44"/>
      <c r="F889" s="44"/>
      <c r="G889" s="117"/>
      <c r="H889" s="117"/>
      <c r="I889" s="117"/>
      <c r="J889" s="117"/>
      <c r="K889" s="117"/>
      <c r="L889" s="117"/>
      <c r="M889" s="117"/>
      <c r="N889" s="117"/>
      <c r="O889" s="117"/>
      <c r="P889" s="117"/>
      <c r="Q889" s="117"/>
      <c r="R889" s="117"/>
      <c r="S889" s="117"/>
      <c r="T889" s="117"/>
      <c r="U889" s="235"/>
      <c r="V889" s="117"/>
      <c r="W889" s="117"/>
      <c r="X889" s="117"/>
      <c r="Y889" s="117"/>
      <c r="Z889" s="117"/>
      <c r="AA889" s="44"/>
      <c r="AB889" s="117"/>
      <c r="AC889" s="44"/>
      <c r="AD889" s="117"/>
    </row>
    <row r="890" spans="1:30" ht="14.25" customHeight="1">
      <c r="A890" s="189"/>
      <c r="B890" s="189"/>
      <c r="C890" s="44"/>
      <c r="D890" s="117"/>
      <c r="E890" s="44"/>
      <c r="F890" s="44"/>
      <c r="G890" s="117"/>
      <c r="H890" s="117"/>
      <c r="I890" s="117"/>
      <c r="J890" s="117"/>
      <c r="K890" s="117"/>
      <c r="L890" s="117"/>
      <c r="M890" s="117"/>
      <c r="N890" s="117"/>
      <c r="O890" s="117"/>
      <c r="P890" s="117"/>
      <c r="Q890" s="117"/>
      <c r="R890" s="117"/>
      <c r="S890" s="117"/>
      <c r="T890" s="117"/>
      <c r="U890" s="235"/>
      <c r="V890" s="117"/>
      <c r="W890" s="117"/>
      <c r="X890" s="117"/>
      <c r="Y890" s="117"/>
      <c r="Z890" s="117"/>
      <c r="AA890" s="44"/>
      <c r="AB890" s="117"/>
      <c r="AC890" s="44"/>
      <c r="AD890" s="117"/>
    </row>
    <row r="891" spans="1:30" ht="14.25" customHeight="1">
      <c r="A891" s="189"/>
      <c r="B891" s="189"/>
      <c r="C891" s="44"/>
      <c r="D891" s="117"/>
      <c r="E891" s="44"/>
      <c r="F891" s="44"/>
      <c r="G891" s="117"/>
      <c r="H891" s="117"/>
      <c r="I891" s="117"/>
      <c r="J891" s="117"/>
      <c r="K891" s="117"/>
      <c r="L891" s="117"/>
      <c r="M891" s="117"/>
      <c r="N891" s="117"/>
      <c r="O891" s="117"/>
      <c r="P891" s="117"/>
      <c r="Q891" s="117"/>
      <c r="R891" s="117"/>
      <c r="S891" s="117"/>
      <c r="T891" s="117"/>
      <c r="U891" s="235"/>
      <c r="V891" s="117"/>
      <c r="W891" s="117"/>
      <c r="X891" s="117"/>
      <c r="Y891" s="117"/>
      <c r="Z891" s="117"/>
      <c r="AA891" s="44"/>
      <c r="AB891" s="117"/>
      <c r="AC891" s="44"/>
      <c r="AD891" s="117"/>
    </row>
    <row r="892" spans="1:30" ht="14.25" customHeight="1">
      <c r="A892" s="189"/>
      <c r="B892" s="189"/>
      <c r="C892" s="44"/>
      <c r="D892" s="117"/>
      <c r="E892" s="44"/>
      <c r="F892" s="44"/>
      <c r="G892" s="117"/>
      <c r="H892" s="117"/>
      <c r="I892" s="117"/>
      <c r="J892" s="117"/>
      <c r="K892" s="117"/>
      <c r="L892" s="117"/>
      <c r="M892" s="117"/>
      <c r="N892" s="117"/>
      <c r="O892" s="117"/>
      <c r="P892" s="117"/>
      <c r="Q892" s="117"/>
      <c r="R892" s="117"/>
      <c r="S892" s="117"/>
      <c r="T892" s="117"/>
      <c r="U892" s="235"/>
      <c r="V892" s="117"/>
      <c r="W892" s="117"/>
      <c r="X892" s="117"/>
      <c r="Y892" s="117"/>
      <c r="Z892" s="117"/>
      <c r="AA892" s="44"/>
      <c r="AB892" s="117"/>
      <c r="AC892" s="44"/>
      <c r="AD892" s="117"/>
    </row>
    <row r="893" spans="1:30" ht="14.25" customHeight="1">
      <c r="A893" s="189"/>
      <c r="B893" s="189"/>
      <c r="C893" s="44"/>
      <c r="D893" s="117"/>
      <c r="E893" s="44"/>
      <c r="F893" s="44"/>
      <c r="G893" s="117"/>
      <c r="H893" s="117"/>
      <c r="I893" s="117"/>
      <c r="J893" s="117"/>
      <c r="K893" s="117"/>
      <c r="L893" s="117"/>
      <c r="M893" s="117"/>
      <c r="N893" s="117"/>
      <c r="O893" s="117"/>
      <c r="P893" s="117"/>
      <c r="Q893" s="117"/>
      <c r="R893" s="117"/>
      <c r="S893" s="117"/>
      <c r="T893" s="117"/>
      <c r="U893" s="235"/>
      <c r="V893" s="117"/>
      <c r="W893" s="117"/>
      <c r="X893" s="117"/>
      <c r="Y893" s="117"/>
      <c r="Z893" s="117"/>
      <c r="AA893" s="44"/>
      <c r="AB893" s="117"/>
      <c r="AC893" s="44"/>
      <c r="AD893" s="117"/>
    </row>
    <row r="894" spans="1:30" ht="14.25" customHeight="1">
      <c r="A894" s="189"/>
      <c r="B894" s="189"/>
      <c r="C894" s="44"/>
      <c r="D894" s="117"/>
      <c r="E894" s="44"/>
      <c r="F894" s="44"/>
      <c r="G894" s="117"/>
      <c r="H894" s="117"/>
      <c r="I894" s="117"/>
      <c r="J894" s="117"/>
      <c r="K894" s="117"/>
      <c r="L894" s="117"/>
      <c r="M894" s="117"/>
      <c r="N894" s="117"/>
      <c r="O894" s="117"/>
      <c r="P894" s="117"/>
      <c r="Q894" s="117"/>
      <c r="R894" s="117"/>
      <c r="S894" s="117"/>
      <c r="T894" s="117"/>
      <c r="U894" s="235"/>
      <c r="V894" s="117"/>
      <c r="W894" s="117"/>
      <c r="X894" s="117"/>
      <c r="Y894" s="117"/>
      <c r="Z894" s="117"/>
      <c r="AA894" s="44"/>
      <c r="AB894" s="117"/>
      <c r="AC894" s="44"/>
      <c r="AD894" s="117"/>
    </row>
    <row r="895" spans="1:30" ht="14.25" customHeight="1">
      <c r="A895" s="189"/>
      <c r="B895" s="189"/>
      <c r="C895" s="44"/>
      <c r="D895" s="117"/>
      <c r="E895" s="44"/>
      <c r="F895" s="44"/>
      <c r="G895" s="117"/>
      <c r="H895" s="117"/>
      <c r="I895" s="117"/>
      <c r="J895" s="117"/>
      <c r="K895" s="117"/>
      <c r="L895" s="117"/>
      <c r="M895" s="117"/>
      <c r="N895" s="117"/>
      <c r="O895" s="117"/>
      <c r="P895" s="117"/>
      <c r="Q895" s="117"/>
      <c r="R895" s="117"/>
      <c r="S895" s="117"/>
      <c r="T895" s="117"/>
      <c r="U895" s="235"/>
      <c r="V895" s="117"/>
      <c r="W895" s="117"/>
      <c r="X895" s="117"/>
      <c r="Y895" s="117"/>
      <c r="Z895" s="117"/>
      <c r="AA895" s="44"/>
      <c r="AB895" s="117"/>
      <c r="AC895" s="44"/>
      <c r="AD895" s="117"/>
    </row>
    <row r="896" spans="1:30" ht="14.25" customHeight="1">
      <c r="A896" s="189"/>
      <c r="B896" s="189"/>
      <c r="C896" s="44"/>
      <c r="D896" s="117"/>
      <c r="E896" s="44"/>
      <c r="F896" s="44"/>
      <c r="G896" s="117"/>
      <c r="H896" s="117"/>
      <c r="I896" s="117"/>
      <c r="J896" s="117"/>
      <c r="K896" s="117"/>
      <c r="L896" s="117"/>
      <c r="M896" s="117"/>
      <c r="N896" s="117"/>
      <c r="O896" s="117"/>
      <c r="P896" s="117"/>
      <c r="Q896" s="117"/>
      <c r="R896" s="117"/>
      <c r="S896" s="117"/>
      <c r="T896" s="117"/>
      <c r="U896" s="235"/>
      <c r="V896" s="117"/>
      <c r="W896" s="117"/>
      <c r="X896" s="117"/>
      <c r="Y896" s="117"/>
      <c r="Z896" s="117"/>
      <c r="AA896" s="44"/>
      <c r="AB896" s="117"/>
      <c r="AC896" s="44"/>
      <c r="AD896" s="117"/>
    </row>
    <row r="897" spans="1:30" ht="14.25" customHeight="1">
      <c r="A897" s="189"/>
      <c r="B897" s="189"/>
      <c r="C897" s="44"/>
      <c r="D897" s="117"/>
      <c r="E897" s="44"/>
      <c r="F897" s="44"/>
      <c r="G897" s="117"/>
      <c r="H897" s="117"/>
      <c r="I897" s="117"/>
      <c r="J897" s="117"/>
      <c r="K897" s="117"/>
      <c r="L897" s="117"/>
      <c r="M897" s="117"/>
      <c r="N897" s="117"/>
      <c r="O897" s="117"/>
      <c r="P897" s="117"/>
      <c r="Q897" s="117"/>
      <c r="R897" s="117"/>
      <c r="S897" s="117"/>
      <c r="T897" s="117"/>
      <c r="U897" s="235"/>
      <c r="V897" s="117"/>
      <c r="W897" s="117"/>
      <c r="X897" s="117"/>
      <c r="Y897" s="117"/>
      <c r="Z897" s="117"/>
      <c r="AA897" s="44"/>
      <c r="AB897" s="117"/>
      <c r="AC897" s="44"/>
      <c r="AD897" s="117"/>
    </row>
    <row r="898" spans="1:30" ht="14.25" customHeight="1">
      <c r="A898" s="189"/>
      <c r="B898" s="189"/>
      <c r="C898" s="44"/>
      <c r="D898" s="117"/>
      <c r="E898" s="44"/>
      <c r="F898" s="44"/>
      <c r="G898" s="117"/>
      <c r="H898" s="117"/>
      <c r="I898" s="117"/>
      <c r="J898" s="117"/>
      <c r="K898" s="117"/>
      <c r="L898" s="117"/>
      <c r="M898" s="117"/>
      <c r="N898" s="117"/>
      <c r="O898" s="117"/>
      <c r="P898" s="117"/>
      <c r="Q898" s="117"/>
      <c r="R898" s="117"/>
      <c r="S898" s="117"/>
      <c r="T898" s="117"/>
      <c r="U898" s="235"/>
      <c r="V898" s="117"/>
      <c r="W898" s="117"/>
      <c r="X898" s="117"/>
      <c r="Y898" s="117"/>
      <c r="Z898" s="117"/>
      <c r="AA898" s="44"/>
      <c r="AB898" s="117"/>
      <c r="AC898" s="44"/>
      <c r="AD898" s="117"/>
    </row>
    <row r="899" spans="1:30" ht="14.25" customHeight="1">
      <c r="A899" s="189"/>
      <c r="B899" s="189"/>
      <c r="C899" s="44"/>
      <c r="D899" s="117"/>
      <c r="E899" s="44"/>
      <c r="F899" s="44"/>
      <c r="G899" s="117"/>
      <c r="H899" s="117"/>
      <c r="I899" s="117"/>
      <c r="J899" s="117"/>
      <c r="K899" s="117"/>
      <c r="L899" s="117"/>
      <c r="M899" s="117"/>
      <c r="N899" s="117"/>
      <c r="O899" s="117"/>
      <c r="P899" s="117"/>
      <c r="Q899" s="117"/>
      <c r="R899" s="117"/>
      <c r="S899" s="117"/>
      <c r="T899" s="117"/>
      <c r="U899" s="235"/>
      <c r="V899" s="117"/>
      <c r="W899" s="117"/>
      <c r="X899" s="117"/>
      <c r="Y899" s="117"/>
      <c r="Z899" s="117"/>
      <c r="AA899" s="44"/>
      <c r="AB899" s="117"/>
      <c r="AC899" s="44"/>
      <c r="AD899" s="117"/>
    </row>
    <row r="900" spans="1:30" ht="14.25" customHeight="1">
      <c r="A900" s="189"/>
      <c r="B900" s="189"/>
      <c r="C900" s="44"/>
      <c r="D900" s="117"/>
      <c r="E900" s="44"/>
      <c r="F900" s="44"/>
      <c r="G900" s="117"/>
      <c r="H900" s="117"/>
      <c r="I900" s="117"/>
      <c r="J900" s="117"/>
      <c r="K900" s="117"/>
      <c r="L900" s="117"/>
      <c r="M900" s="117"/>
      <c r="N900" s="117"/>
      <c r="O900" s="117"/>
      <c r="P900" s="117"/>
      <c r="Q900" s="117"/>
      <c r="R900" s="117"/>
      <c r="S900" s="117"/>
      <c r="T900" s="117"/>
      <c r="U900" s="235"/>
      <c r="V900" s="117"/>
      <c r="W900" s="117"/>
      <c r="X900" s="117"/>
      <c r="Y900" s="117"/>
      <c r="Z900" s="117"/>
      <c r="AA900" s="44"/>
      <c r="AB900" s="117"/>
      <c r="AC900" s="44"/>
      <c r="AD900" s="117"/>
    </row>
    <row r="901" spans="1:30" ht="14.25" customHeight="1">
      <c r="A901" s="189"/>
      <c r="B901" s="189"/>
      <c r="C901" s="44"/>
      <c r="D901" s="117"/>
      <c r="E901" s="44"/>
      <c r="F901" s="44"/>
      <c r="G901" s="117"/>
      <c r="H901" s="117"/>
      <c r="I901" s="117"/>
      <c r="J901" s="117"/>
      <c r="K901" s="117"/>
      <c r="L901" s="117"/>
      <c r="M901" s="117"/>
      <c r="N901" s="117"/>
      <c r="O901" s="117"/>
      <c r="P901" s="117"/>
      <c r="Q901" s="117"/>
      <c r="R901" s="117"/>
      <c r="S901" s="117"/>
      <c r="T901" s="117"/>
      <c r="U901" s="235"/>
      <c r="V901" s="117"/>
      <c r="W901" s="117"/>
      <c r="X901" s="117"/>
      <c r="Y901" s="117"/>
      <c r="Z901" s="117"/>
      <c r="AA901" s="44"/>
      <c r="AB901" s="117"/>
      <c r="AC901" s="44"/>
      <c r="AD901" s="117"/>
    </row>
    <row r="902" spans="1:30" ht="14.25" customHeight="1">
      <c r="A902" s="189"/>
      <c r="B902" s="189"/>
      <c r="C902" s="44"/>
      <c r="D902" s="117"/>
      <c r="E902" s="44"/>
      <c r="F902" s="44"/>
      <c r="G902" s="117"/>
      <c r="H902" s="117"/>
      <c r="I902" s="117"/>
      <c r="J902" s="117"/>
      <c r="K902" s="117"/>
      <c r="L902" s="117"/>
      <c r="M902" s="117"/>
      <c r="N902" s="117"/>
      <c r="O902" s="117"/>
      <c r="P902" s="117"/>
      <c r="Q902" s="117"/>
      <c r="R902" s="117"/>
      <c r="S902" s="117"/>
      <c r="T902" s="117"/>
      <c r="U902" s="235"/>
      <c r="V902" s="117"/>
      <c r="W902" s="117"/>
      <c r="X902" s="117"/>
      <c r="Y902" s="117"/>
      <c r="Z902" s="117"/>
      <c r="AA902" s="44"/>
      <c r="AB902" s="117"/>
      <c r="AC902" s="44"/>
      <c r="AD902" s="117"/>
    </row>
    <row r="903" spans="1:30" ht="14.25" customHeight="1">
      <c r="A903" s="189"/>
      <c r="B903" s="189"/>
      <c r="C903" s="44"/>
      <c r="D903" s="117"/>
      <c r="E903" s="44"/>
      <c r="F903" s="44"/>
      <c r="G903" s="117"/>
      <c r="H903" s="117"/>
      <c r="I903" s="117"/>
      <c r="J903" s="117"/>
      <c r="K903" s="117"/>
      <c r="L903" s="117"/>
      <c r="M903" s="117"/>
      <c r="N903" s="117"/>
      <c r="O903" s="117"/>
      <c r="P903" s="117"/>
      <c r="Q903" s="117"/>
      <c r="R903" s="117"/>
      <c r="S903" s="117"/>
      <c r="T903" s="117"/>
      <c r="U903" s="235"/>
      <c r="V903" s="117"/>
      <c r="W903" s="117"/>
      <c r="X903" s="117"/>
      <c r="Y903" s="117"/>
      <c r="Z903" s="117"/>
      <c r="AA903" s="44"/>
      <c r="AB903" s="117"/>
      <c r="AC903" s="44"/>
      <c r="AD903" s="117"/>
    </row>
    <row r="904" spans="1:30" ht="14.25" customHeight="1">
      <c r="A904" s="189"/>
      <c r="B904" s="189"/>
      <c r="C904" s="44"/>
      <c r="D904" s="117"/>
      <c r="E904" s="44"/>
      <c r="F904" s="44"/>
      <c r="G904" s="117"/>
      <c r="H904" s="117"/>
      <c r="I904" s="117"/>
      <c r="J904" s="117"/>
      <c r="K904" s="117"/>
      <c r="L904" s="117"/>
      <c r="M904" s="117"/>
      <c r="N904" s="117"/>
      <c r="O904" s="117"/>
      <c r="P904" s="117"/>
      <c r="Q904" s="117"/>
      <c r="R904" s="117"/>
      <c r="S904" s="117"/>
      <c r="T904" s="117"/>
      <c r="U904" s="235"/>
      <c r="V904" s="117"/>
      <c r="W904" s="117"/>
      <c r="X904" s="117"/>
      <c r="Y904" s="117"/>
      <c r="Z904" s="117"/>
      <c r="AA904" s="44"/>
      <c r="AB904" s="117"/>
      <c r="AC904" s="44"/>
      <c r="AD904" s="117"/>
    </row>
    <row r="905" spans="1:30" ht="14.25" customHeight="1">
      <c r="A905" s="189"/>
      <c r="B905" s="189"/>
      <c r="C905" s="44"/>
      <c r="D905" s="117"/>
      <c r="E905" s="44"/>
      <c r="F905" s="44"/>
      <c r="G905" s="117"/>
      <c r="H905" s="117"/>
      <c r="I905" s="117"/>
      <c r="J905" s="117"/>
      <c r="K905" s="117"/>
      <c r="L905" s="117"/>
      <c r="M905" s="117"/>
      <c r="N905" s="117"/>
      <c r="O905" s="117"/>
      <c r="P905" s="117"/>
      <c r="Q905" s="117"/>
      <c r="R905" s="117"/>
      <c r="S905" s="117"/>
      <c r="T905" s="117"/>
      <c r="U905" s="235"/>
      <c r="V905" s="117"/>
      <c r="W905" s="117"/>
      <c r="X905" s="117"/>
      <c r="Y905" s="117"/>
      <c r="Z905" s="117"/>
      <c r="AA905" s="44"/>
      <c r="AB905" s="117"/>
      <c r="AC905" s="44"/>
      <c r="AD905" s="117"/>
    </row>
    <row r="906" spans="1:30" ht="14.25" customHeight="1">
      <c r="A906" s="189"/>
      <c r="B906" s="189"/>
      <c r="C906" s="44"/>
      <c r="D906" s="117"/>
      <c r="E906" s="44"/>
      <c r="F906" s="44"/>
      <c r="G906" s="117"/>
      <c r="H906" s="117"/>
      <c r="I906" s="117"/>
      <c r="J906" s="117"/>
      <c r="K906" s="117"/>
      <c r="L906" s="117"/>
      <c r="M906" s="117"/>
      <c r="N906" s="117"/>
      <c r="O906" s="117"/>
      <c r="P906" s="117"/>
      <c r="Q906" s="117"/>
      <c r="R906" s="117"/>
      <c r="S906" s="117"/>
      <c r="T906" s="117"/>
      <c r="U906" s="235"/>
      <c r="V906" s="117"/>
      <c r="W906" s="117"/>
      <c r="X906" s="117"/>
      <c r="Y906" s="117"/>
      <c r="Z906" s="117"/>
      <c r="AA906" s="44"/>
      <c r="AB906" s="117"/>
      <c r="AC906" s="44"/>
      <c r="AD906" s="117"/>
    </row>
    <row r="907" spans="1:30" ht="14.25" customHeight="1">
      <c r="A907" s="189"/>
      <c r="B907" s="189"/>
      <c r="C907" s="44"/>
      <c r="D907" s="117"/>
      <c r="E907" s="44"/>
      <c r="F907" s="44"/>
      <c r="G907" s="117"/>
      <c r="H907" s="117"/>
      <c r="I907" s="117"/>
      <c r="J907" s="117"/>
      <c r="K907" s="117"/>
      <c r="L907" s="117"/>
      <c r="M907" s="117"/>
      <c r="N907" s="117"/>
      <c r="O907" s="117"/>
      <c r="P907" s="117"/>
      <c r="Q907" s="117"/>
      <c r="R907" s="117"/>
      <c r="S907" s="117"/>
      <c r="T907" s="117"/>
      <c r="U907" s="235"/>
      <c r="V907" s="117"/>
      <c r="W907" s="117"/>
      <c r="X907" s="117"/>
      <c r="Y907" s="117"/>
      <c r="Z907" s="117"/>
      <c r="AA907" s="44"/>
      <c r="AB907" s="117"/>
      <c r="AC907" s="44"/>
      <c r="AD907" s="117"/>
    </row>
    <row r="908" spans="1:30" ht="14.25" customHeight="1">
      <c r="A908" s="189"/>
      <c r="B908" s="189"/>
      <c r="C908" s="44"/>
      <c r="D908" s="117"/>
      <c r="E908" s="44"/>
      <c r="F908" s="44"/>
      <c r="G908" s="117"/>
      <c r="H908" s="117"/>
      <c r="I908" s="117"/>
      <c r="J908" s="117"/>
      <c r="K908" s="117"/>
      <c r="L908" s="117"/>
      <c r="M908" s="117"/>
      <c r="N908" s="117"/>
      <c r="O908" s="117"/>
      <c r="P908" s="117"/>
      <c r="Q908" s="117"/>
      <c r="R908" s="117"/>
      <c r="S908" s="117"/>
      <c r="T908" s="117"/>
      <c r="U908" s="235"/>
      <c r="V908" s="117"/>
      <c r="W908" s="117"/>
      <c r="X908" s="117"/>
      <c r="Y908" s="117"/>
      <c r="Z908" s="117"/>
      <c r="AA908" s="44"/>
      <c r="AB908" s="117"/>
      <c r="AC908" s="44"/>
      <c r="AD908" s="117"/>
    </row>
    <row r="909" spans="1:30" ht="14.25" customHeight="1">
      <c r="A909" s="189"/>
      <c r="B909" s="189"/>
      <c r="C909" s="44"/>
      <c r="D909" s="117"/>
      <c r="E909" s="44"/>
      <c r="F909" s="44"/>
      <c r="G909" s="117"/>
      <c r="H909" s="117"/>
      <c r="I909" s="117"/>
      <c r="J909" s="117"/>
      <c r="K909" s="117"/>
      <c r="L909" s="117"/>
      <c r="M909" s="117"/>
      <c r="N909" s="117"/>
      <c r="O909" s="117"/>
      <c r="P909" s="117"/>
      <c r="Q909" s="117"/>
      <c r="R909" s="117"/>
      <c r="S909" s="117"/>
      <c r="T909" s="117"/>
      <c r="U909" s="235"/>
      <c r="V909" s="117"/>
      <c r="W909" s="117"/>
      <c r="X909" s="117"/>
      <c r="Y909" s="117"/>
      <c r="Z909" s="117"/>
      <c r="AA909" s="44"/>
      <c r="AB909" s="117"/>
      <c r="AC909" s="44"/>
      <c r="AD909" s="117"/>
    </row>
    <row r="910" spans="1:30" ht="14.25" customHeight="1">
      <c r="A910" s="189"/>
      <c r="B910" s="189"/>
      <c r="C910" s="44"/>
      <c r="D910" s="117"/>
      <c r="E910" s="44"/>
      <c r="F910" s="44"/>
      <c r="G910" s="117"/>
      <c r="H910" s="117"/>
      <c r="I910" s="117"/>
      <c r="J910" s="117"/>
      <c r="K910" s="117"/>
      <c r="L910" s="117"/>
      <c r="M910" s="117"/>
      <c r="N910" s="117"/>
      <c r="O910" s="117"/>
      <c r="P910" s="117"/>
      <c r="Q910" s="117"/>
      <c r="R910" s="117"/>
      <c r="S910" s="117"/>
      <c r="T910" s="117"/>
      <c r="U910" s="235"/>
      <c r="V910" s="117"/>
      <c r="W910" s="117"/>
      <c r="X910" s="117"/>
      <c r="Y910" s="117"/>
      <c r="Z910" s="117"/>
      <c r="AA910" s="44"/>
      <c r="AB910" s="117"/>
      <c r="AC910" s="44"/>
      <c r="AD910" s="117"/>
    </row>
    <row r="911" spans="1:30" ht="14.25" customHeight="1">
      <c r="A911" s="189"/>
      <c r="B911" s="189"/>
      <c r="C911" s="44"/>
      <c r="D911" s="117"/>
      <c r="E911" s="44"/>
      <c r="F911" s="44"/>
      <c r="G911" s="117"/>
      <c r="H911" s="117"/>
      <c r="I911" s="117"/>
      <c r="J911" s="117"/>
      <c r="K911" s="117"/>
      <c r="L911" s="117"/>
      <c r="M911" s="117"/>
      <c r="N911" s="117"/>
      <c r="O911" s="117"/>
      <c r="P911" s="117"/>
      <c r="Q911" s="117"/>
      <c r="R911" s="117"/>
      <c r="S911" s="117"/>
      <c r="T911" s="117"/>
      <c r="U911" s="235"/>
      <c r="V911" s="117"/>
      <c r="W911" s="117"/>
      <c r="X911" s="117"/>
      <c r="Y911" s="117"/>
      <c r="Z911" s="117"/>
      <c r="AA911" s="44"/>
      <c r="AB911" s="117"/>
      <c r="AC911" s="44"/>
      <c r="AD911" s="117"/>
    </row>
    <row r="912" spans="1:30" ht="14.25" customHeight="1">
      <c r="A912" s="189"/>
      <c r="B912" s="189"/>
      <c r="C912" s="44"/>
      <c r="D912" s="117"/>
      <c r="E912" s="44"/>
      <c r="F912" s="44"/>
      <c r="G912" s="117"/>
      <c r="H912" s="117"/>
      <c r="I912" s="117"/>
      <c r="J912" s="117"/>
      <c r="K912" s="117"/>
      <c r="L912" s="117"/>
      <c r="M912" s="117"/>
      <c r="N912" s="117"/>
      <c r="O912" s="117"/>
      <c r="P912" s="117"/>
      <c r="Q912" s="117"/>
      <c r="R912" s="117"/>
      <c r="S912" s="117"/>
      <c r="T912" s="117"/>
      <c r="U912" s="235"/>
      <c r="V912" s="117"/>
      <c r="W912" s="117"/>
      <c r="X912" s="117"/>
      <c r="Y912" s="117"/>
      <c r="Z912" s="117"/>
      <c r="AA912" s="44"/>
      <c r="AB912" s="117"/>
      <c r="AC912" s="44"/>
      <c r="AD912" s="117"/>
    </row>
    <row r="913" spans="1:30" ht="14.25" customHeight="1">
      <c r="A913" s="189"/>
      <c r="B913" s="189"/>
      <c r="C913" s="44"/>
      <c r="D913" s="117"/>
      <c r="E913" s="44"/>
      <c r="F913" s="44"/>
      <c r="G913" s="117"/>
      <c r="H913" s="117"/>
      <c r="I913" s="117"/>
      <c r="J913" s="117"/>
      <c r="K913" s="117"/>
      <c r="L913" s="117"/>
      <c r="M913" s="117"/>
      <c r="N913" s="117"/>
      <c r="O913" s="117"/>
      <c r="P913" s="117"/>
      <c r="Q913" s="117"/>
      <c r="R913" s="117"/>
      <c r="S913" s="117"/>
      <c r="T913" s="117"/>
      <c r="U913" s="235"/>
      <c r="V913" s="117"/>
      <c r="W913" s="117"/>
      <c r="X913" s="117"/>
      <c r="Y913" s="117"/>
      <c r="Z913" s="117"/>
      <c r="AA913" s="44"/>
      <c r="AB913" s="117"/>
      <c r="AC913" s="44"/>
      <c r="AD913" s="117"/>
    </row>
    <row r="914" spans="1:30" ht="14.25" customHeight="1">
      <c r="A914" s="189"/>
      <c r="B914" s="189"/>
      <c r="C914" s="44"/>
      <c r="D914" s="117"/>
      <c r="E914" s="44"/>
      <c r="F914" s="44"/>
      <c r="G914" s="117"/>
      <c r="H914" s="117"/>
      <c r="I914" s="117"/>
      <c r="J914" s="117"/>
      <c r="K914" s="117"/>
      <c r="L914" s="117"/>
      <c r="M914" s="117"/>
      <c r="N914" s="117"/>
      <c r="O914" s="117"/>
      <c r="P914" s="117"/>
      <c r="Q914" s="117"/>
      <c r="R914" s="117"/>
      <c r="S914" s="117"/>
      <c r="T914" s="117"/>
      <c r="U914" s="235"/>
      <c r="V914" s="117"/>
      <c r="W914" s="117"/>
      <c r="X914" s="117"/>
      <c r="Y914" s="117"/>
      <c r="Z914" s="117"/>
      <c r="AA914" s="44"/>
      <c r="AB914" s="117"/>
      <c r="AC914" s="44"/>
      <c r="AD914" s="117"/>
    </row>
    <row r="915" spans="1:30" ht="14.25" customHeight="1">
      <c r="A915" s="189"/>
      <c r="B915" s="189"/>
      <c r="C915" s="44"/>
      <c r="D915" s="117"/>
      <c r="E915" s="44"/>
      <c r="F915" s="44"/>
      <c r="G915" s="117"/>
      <c r="H915" s="117"/>
      <c r="I915" s="117"/>
      <c r="J915" s="117"/>
      <c r="K915" s="117"/>
      <c r="L915" s="117"/>
      <c r="M915" s="117"/>
      <c r="N915" s="117"/>
      <c r="O915" s="117"/>
      <c r="P915" s="117"/>
      <c r="Q915" s="117"/>
      <c r="R915" s="117"/>
      <c r="S915" s="117"/>
      <c r="T915" s="117"/>
      <c r="U915" s="235"/>
      <c r="V915" s="117"/>
      <c r="W915" s="117"/>
      <c r="X915" s="117"/>
      <c r="Y915" s="117"/>
      <c r="Z915" s="117"/>
      <c r="AA915" s="44"/>
      <c r="AB915" s="117"/>
      <c r="AC915" s="44"/>
      <c r="AD915" s="117"/>
    </row>
    <row r="916" spans="1:30" ht="14.25" customHeight="1">
      <c r="A916" s="189"/>
      <c r="B916" s="189"/>
      <c r="C916" s="44"/>
      <c r="D916" s="117"/>
      <c r="E916" s="44"/>
      <c r="F916" s="44"/>
      <c r="G916" s="117"/>
      <c r="H916" s="117"/>
      <c r="I916" s="117"/>
      <c r="J916" s="117"/>
      <c r="K916" s="117"/>
      <c r="L916" s="117"/>
      <c r="M916" s="117"/>
      <c r="N916" s="117"/>
      <c r="O916" s="117"/>
      <c r="P916" s="117"/>
      <c r="Q916" s="117"/>
      <c r="R916" s="117"/>
      <c r="S916" s="117"/>
      <c r="T916" s="117"/>
      <c r="U916" s="235"/>
      <c r="V916" s="117"/>
      <c r="W916" s="117"/>
      <c r="X916" s="117"/>
      <c r="Y916" s="117"/>
      <c r="Z916" s="117"/>
      <c r="AA916" s="44"/>
      <c r="AB916" s="117"/>
      <c r="AC916" s="44"/>
      <c r="AD916" s="117"/>
    </row>
    <row r="917" spans="1:30" ht="14.25" customHeight="1">
      <c r="A917" s="189"/>
      <c r="B917" s="189"/>
      <c r="C917" s="44"/>
      <c r="D917" s="117"/>
      <c r="E917" s="44"/>
      <c r="F917" s="44"/>
      <c r="G917" s="117"/>
      <c r="H917" s="117"/>
      <c r="I917" s="117"/>
      <c r="J917" s="117"/>
      <c r="K917" s="117"/>
      <c r="L917" s="117"/>
      <c r="M917" s="117"/>
      <c r="N917" s="117"/>
      <c r="O917" s="117"/>
      <c r="P917" s="117"/>
      <c r="Q917" s="117"/>
      <c r="R917" s="117"/>
      <c r="S917" s="117"/>
      <c r="T917" s="117"/>
      <c r="U917" s="235"/>
      <c r="V917" s="117"/>
      <c r="W917" s="117"/>
      <c r="X917" s="117"/>
      <c r="Y917" s="117"/>
      <c r="Z917" s="117"/>
      <c r="AA917" s="44"/>
      <c r="AB917" s="117"/>
      <c r="AC917" s="44"/>
      <c r="AD917" s="117"/>
    </row>
    <row r="918" spans="1:30" ht="14.25" customHeight="1">
      <c r="A918" s="189"/>
      <c r="B918" s="189"/>
      <c r="C918" s="44"/>
      <c r="D918" s="117"/>
      <c r="E918" s="44"/>
      <c r="F918" s="44"/>
      <c r="G918" s="117"/>
      <c r="H918" s="117"/>
      <c r="I918" s="117"/>
      <c r="J918" s="117"/>
      <c r="K918" s="117"/>
      <c r="L918" s="117"/>
      <c r="M918" s="117"/>
      <c r="N918" s="117"/>
      <c r="O918" s="117"/>
      <c r="P918" s="117"/>
      <c r="Q918" s="117"/>
      <c r="R918" s="117"/>
      <c r="S918" s="117"/>
      <c r="T918" s="117"/>
      <c r="U918" s="235"/>
      <c r="V918" s="117"/>
      <c r="W918" s="117"/>
      <c r="X918" s="117"/>
      <c r="Y918" s="117"/>
      <c r="Z918" s="117"/>
      <c r="AA918" s="44"/>
      <c r="AB918" s="117"/>
      <c r="AC918" s="44"/>
      <c r="AD918" s="117"/>
    </row>
    <row r="919" spans="1:30" ht="14.25" customHeight="1">
      <c r="A919" s="189"/>
      <c r="B919" s="189"/>
      <c r="C919" s="44"/>
      <c r="D919" s="117"/>
      <c r="E919" s="44"/>
      <c r="F919" s="44"/>
      <c r="G919" s="117"/>
      <c r="H919" s="117"/>
      <c r="I919" s="117"/>
      <c r="J919" s="117"/>
      <c r="K919" s="117"/>
      <c r="L919" s="117"/>
      <c r="M919" s="117"/>
      <c r="N919" s="117"/>
      <c r="O919" s="117"/>
      <c r="P919" s="117"/>
      <c r="Q919" s="117"/>
      <c r="R919" s="117"/>
      <c r="S919" s="117"/>
      <c r="T919" s="117"/>
      <c r="U919" s="235"/>
      <c r="V919" s="117"/>
      <c r="W919" s="117"/>
      <c r="X919" s="117"/>
      <c r="Y919" s="117"/>
      <c r="Z919" s="117"/>
      <c r="AA919" s="44"/>
      <c r="AB919" s="117"/>
      <c r="AC919" s="44"/>
      <c r="AD919" s="117"/>
    </row>
    <row r="920" spans="1:30" ht="14.25" customHeight="1">
      <c r="A920" s="189"/>
      <c r="B920" s="189"/>
      <c r="C920" s="44"/>
      <c r="D920" s="117"/>
      <c r="E920" s="44"/>
      <c r="F920" s="44"/>
      <c r="G920" s="117"/>
      <c r="H920" s="117"/>
      <c r="I920" s="117"/>
      <c r="J920" s="117"/>
      <c r="K920" s="117"/>
      <c r="L920" s="117"/>
      <c r="M920" s="117"/>
      <c r="N920" s="117"/>
      <c r="O920" s="117"/>
      <c r="P920" s="117"/>
      <c r="Q920" s="117"/>
      <c r="R920" s="117"/>
      <c r="S920" s="117"/>
      <c r="T920" s="117"/>
      <c r="U920" s="235"/>
      <c r="V920" s="117"/>
      <c r="W920" s="117"/>
      <c r="X920" s="117"/>
      <c r="Y920" s="117"/>
      <c r="Z920" s="117"/>
      <c r="AA920" s="44"/>
      <c r="AB920" s="117"/>
      <c r="AC920" s="44"/>
      <c r="AD920" s="117"/>
    </row>
    <row r="921" spans="1:30" ht="14.25" customHeight="1">
      <c r="A921" s="189"/>
      <c r="B921" s="189"/>
      <c r="C921" s="44"/>
      <c r="D921" s="117"/>
      <c r="E921" s="44"/>
      <c r="F921" s="44"/>
      <c r="G921" s="117"/>
      <c r="H921" s="117"/>
      <c r="I921" s="117"/>
      <c r="J921" s="117"/>
      <c r="K921" s="117"/>
      <c r="L921" s="117"/>
      <c r="M921" s="117"/>
      <c r="N921" s="117"/>
      <c r="O921" s="117"/>
      <c r="P921" s="117"/>
      <c r="Q921" s="117"/>
      <c r="R921" s="117"/>
      <c r="S921" s="117"/>
      <c r="T921" s="117"/>
      <c r="U921" s="235"/>
      <c r="V921" s="117"/>
      <c r="W921" s="117"/>
      <c r="X921" s="117"/>
      <c r="Y921" s="117"/>
      <c r="Z921" s="117"/>
      <c r="AA921" s="44"/>
      <c r="AB921" s="117"/>
      <c r="AC921" s="44"/>
      <c r="AD921" s="117"/>
    </row>
    <row r="922" spans="1:30" ht="14.25" customHeight="1">
      <c r="A922" s="189"/>
      <c r="B922" s="189"/>
      <c r="C922" s="44"/>
      <c r="D922" s="117"/>
      <c r="E922" s="44"/>
      <c r="F922" s="44"/>
      <c r="G922" s="117"/>
      <c r="H922" s="117"/>
      <c r="I922" s="117"/>
      <c r="J922" s="117"/>
      <c r="K922" s="117"/>
      <c r="L922" s="117"/>
      <c r="M922" s="117"/>
      <c r="N922" s="117"/>
      <c r="O922" s="117"/>
      <c r="P922" s="117"/>
      <c r="Q922" s="117"/>
      <c r="R922" s="117"/>
      <c r="S922" s="117"/>
      <c r="T922" s="117"/>
      <c r="U922" s="235"/>
      <c r="V922" s="117"/>
      <c r="W922" s="117"/>
      <c r="X922" s="117"/>
      <c r="Y922" s="117"/>
      <c r="Z922" s="117"/>
      <c r="AA922" s="44"/>
      <c r="AB922" s="117"/>
      <c r="AC922" s="44"/>
      <c r="AD922" s="117"/>
    </row>
    <row r="923" spans="1:30" ht="14.25" customHeight="1">
      <c r="A923" s="189"/>
      <c r="B923" s="189"/>
      <c r="C923" s="44"/>
      <c r="D923" s="117"/>
      <c r="E923" s="44"/>
      <c r="F923" s="44"/>
      <c r="G923" s="117"/>
      <c r="H923" s="117"/>
      <c r="I923" s="117"/>
      <c r="J923" s="117"/>
      <c r="K923" s="117"/>
      <c r="L923" s="117"/>
      <c r="M923" s="117"/>
      <c r="N923" s="117"/>
      <c r="O923" s="117"/>
      <c r="P923" s="117"/>
      <c r="Q923" s="117"/>
      <c r="R923" s="117"/>
      <c r="S923" s="117"/>
      <c r="T923" s="117"/>
      <c r="U923" s="235"/>
      <c r="V923" s="117"/>
      <c r="W923" s="117"/>
      <c r="X923" s="117"/>
      <c r="Y923" s="117"/>
      <c r="Z923" s="117"/>
      <c r="AA923" s="44"/>
      <c r="AB923" s="117"/>
      <c r="AC923" s="44"/>
      <c r="AD923" s="117"/>
    </row>
    <row r="924" spans="1:30" ht="14.25" customHeight="1">
      <c r="A924" s="189"/>
      <c r="B924" s="189"/>
      <c r="C924" s="44"/>
      <c r="D924" s="117"/>
      <c r="E924" s="44"/>
      <c r="F924" s="44"/>
      <c r="G924" s="117"/>
      <c r="H924" s="117"/>
      <c r="I924" s="117"/>
      <c r="J924" s="117"/>
      <c r="K924" s="117"/>
      <c r="L924" s="117"/>
      <c r="M924" s="117"/>
      <c r="N924" s="117"/>
      <c r="O924" s="117"/>
      <c r="P924" s="117"/>
      <c r="Q924" s="117"/>
      <c r="R924" s="117"/>
      <c r="S924" s="117"/>
      <c r="T924" s="117"/>
      <c r="U924" s="235"/>
      <c r="V924" s="117"/>
      <c r="W924" s="117"/>
      <c r="X924" s="117"/>
      <c r="Y924" s="117"/>
      <c r="Z924" s="117"/>
      <c r="AA924" s="44"/>
      <c r="AB924" s="117"/>
      <c r="AC924" s="44"/>
      <c r="AD924" s="117"/>
    </row>
    <row r="925" spans="1:30" ht="14.25" customHeight="1">
      <c r="A925" s="189"/>
      <c r="B925" s="189"/>
      <c r="C925" s="44"/>
      <c r="D925" s="117"/>
      <c r="E925" s="44"/>
      <c r="F925" s="44"/>
      <c r="G925" s="117"/>
      <c r="H925" s="117"/>
      <c r="I925" s="117"/>
      <c r="J925" s="117"/>
      <c r="K925" s="117"/>
      <c r="L925" s="117"/>
      <c r="M925" s="117"/>
      <c r="N925" s="117"/>
      <c r="O925" s="117"/>
      <c r="P925" s="117"/>
      <c r="Q925" s="117"/>
      <c r="R925" s="117"/>
      <c r="S925" s="117"/>
      <c r="T925" s="117"/>
      <c r="U925" s="235"/>
      <c r="V925" s="117"/>
      <c r="W925" s="117"/>
      <c r="X925" s="117"/>
      <c r="Y925" s="117"/>
      <c r="Z925" s="117"/>
      <c r="AA925" s="44"/>
      <c r="AB925" s="117"/>
      <c r="AC925" s="44"/>
      <c r="AD925" s="117"/>
    </row>
    <row r="926" spans="1:30" ht="14.25" customHeight="1">
      <c r="A926" s="189"/>
      <c r="B926" s="189"/>
      <c r="C926" s="44"/>
      <c r="D926" s="117"/>
      <c r="E926" s="44"/>
      <c r="F926" s="44"/>
      <c r="G926" s="117"/>
      <c r="H926" s="117"/>
      <c r="I926" s="117"/>
      <c r="J926" s="117"/>
      <c r="K926" s="117"/>
      <c r="L926" s="117"/>
      <c r="M926" s="117"/>
      <c r="N926" s="117"/>
      <c r="O926" s="117"/>
      <c r="P926" s="117"/>
      <c r="Q926" s="117"/>
      <c r="R926" s="117"/>
      <c r="S926" s="117"/>
      <c r="T926" s="117"/>
      <c r="U926" s="235"/>
      <c r="V926" s="117"/>
      <c r="W926" s="117"/>
      <c r="X926" s="117"/>
      <c r="Y926" s="117"/>
      <c r="Z926" s="117"/>
      <c r="AA926" s="44"/>
      <c r="AB926" s="117"/>
      <c r="AC926" s="44"/>
      <c r="AD926" s="117"/>
    </row>
    <row r="927" spans="1:30" ht="14.25" customHeight="1">
      <c r="A927" s="189"/>
      <c r="B927" s="189"/>
      <c r="C927" s="44"/>
      <c r="D927" s="117"/>
      <c r="E927" s="44"/>
      <c r="F927" s="44"/>
      <c r="G927" s="117"/>
      <c r="H927" s="117"/>
      <c r="I927" s="117"/>
      <c r="J927" s="117"/>
      <c r="K927" s="117"/>
      <c r="L927" s="117"/>
      <c r="M927" s="117"/>
      <c r="N927" s="117"/>
      <c r="O927" s="117"/>
      <c r="P927" s="117"/>
      <c r="Q927" s="117"/>
      <c r="R927" s="117"/>
      <c r="S927" s="117"/>
      <c r="T927" s="117"/>
      <c r="U927" s="235"/>
      <c r="V927" s="117"/>
      <c r="W927" s="117"/>
      <c r="X927" s="117"/>
      <c r="Y927" s="117"/>
      <c r="Z927" s="117"/>
      <c r="AA927" s="44"/>
      <c r="AB927" s="117"/>
      <c r="AC927" s="44"/>
      <c r="AD927" s="117"/>
    </row>
    <row r="928" spans="1:30" ht="14.25" customHeight="1">
      <c r="A928" s="189"/>
      <c r="B928" s="189"/>
      <c r="C928" s="44"/>
      <c r="D928" s="117"/>
      <c r="E928" s="44"/>
      <c r="F928" s="44"/>
      <c r="G928" s="117"/>
      <c r="H928" s="117"/>
      <c r="I928" s="117"/>
      <c r="J928" s="117"/>
      <c r="K928" s="117"/>
      <c r="L928" s="117"/>
      <c r="M928" s="117"/>
      <c r="N928" s="117"/>
      <c r="O928" s="117"/>
      <c r="P928" s="117"/>
      <c r="Q928" s="117"/>
      <c r="R928" s="117"/>
      <c r="S928" s="117"/>
      <c r="T928" s="117"/>
      <c r="U928" s="235"/>
      <c r="V928" s="117"/>
      <c r="W928" s="117"/>
      <c r="X928" s="117"/>
      <c r="Y928" s="117"/>
      <c r="Z928" s="117"/>
      <c r="AA928" s="44"/>
      <c r="AB928" s="117"/>
      <c r="AC928" s="44"/>
      <c r="AD928" s="117"/>
    </row>
    <row r="929" spans="1:30" ht="14.25" customHeight="1">
      <c r="A929" s="189"/>
      <c r="B929" s="189"/>
      <c r="C929" s="44"/>
      <c r="D929" s="117"/>
      <c r="E929" s="44"/>
      <c r="F929" s="44"/>
      <c r="G929" s="117"/>
      <c r="H929" s="117"/>
      <c r="I929" s="117"/>
      <c r="J929" s="117"/>
      <c r="K929" s="117"/>
      <c r="L929" s="117"/>
      <c r="M929" s="117"/>
      <c r="N929" s="117"/>
      <c r="O929" s="117"/>
      <c r="P929" s="117"/>
      <c r="Q929" s="117"/>
      <c r="R929" s="117"/>
      <c r="S929" s="117"/>
      <c r="T929" s="117"/>
      <c r="U929" s="235"/>
      <c r="V929" s="117"/>
      <c r="W929" s="117"/>
      <c r="X929" s="117"/>
      <c r="Y929" s="117"/>
      <c r="Z929" s="117"/>
      <c r="AA929" s="44"/>
      <c r="AB929" s="117"/>
      <c r="AC929" s="44"/>
      <c r="AD929" s="117"/>
    </row>
    <row r="930" spans="1:30" ht="14.25" customHeight="1">
      <c r="A930" s="189"/>
      <c r="B930" s="189"/>
      <c r="C930" s="44"/>
      <c r="D930" s="117"/>
      <c r="E930" s="44"/>
      <c r="F930" s="44"/>
      <c r="G930" s="117"/>
      <c r="H930" s="117"/>
      <c r="I930" s="117"/>
      <c r="J930" s="117"/>
      <c r="K930" s="117"/>
      <c r="L930" s="117"/>
      <c r="M930" s="117"/>
      <c r="N930" s="117"/>
      <c r="O930" s="117"/>
      <c r="P930" s="117"/>
      <c r="Q930" s="117"/>
      <c r="R930" s="117"/>
      <c r="S930" s="117"/>
      <c r="T930" s="117"/>
      <c r="U930" s="235"/>
      <c r="V930" s="117"/>
      <c r="W930" s="117"/>
      <c r="X930" s="117"/>
      <c r="Y930" s="117"/>
      <c r="Z930" s="117"/>
      <c r="AA930" s="44"/>
      <c r="AB930" s="117"/>
      <c r="AC930" s="44"/>
      <c r="AD930" s="117"/>
    </row>
    <row r="931" spans="1:30" ht="14.25" customHeight="1">
      <c r="A931" s="189"/>
      <c r="B931" s="189"/>
      <c r="C931" s="44"/>
      <c r="D931" s="117"/>
      <c r="E931" s="44"/>
      <c r="F931" s="44"/>
      <c r="G931" s="117"/>
      <c r="H931" s="117"/>
      <c r="I931" s="117"/>
      <c r="J931" s="117"/>
      <c r="K931" s="117"/>
      <c r="L931" s="117"/>
      <c r="M931" s="117"/>
      <c r="N931" s="117"/>
      <c r="O931" s="117"/>
      <c r="P931" s="117"/>
      <c r="Q931" s="117"/>
      <c r="R931" s="117"/>
      <c r="S931" s="117"/>
      <c r="T931" s="117"/>
      <c r="U931" s="235"/>
      <c r="V931" s="117"/>
      <c r="W931" s="117"/>
      <c r="X931" s="117"/>
      <c r="Y931" s="117"/>
      <c r="Z931" s="117"/>
      <c r="AA931" s="44"/>
      <c r="AB931" s="117"/>
      <c r="AC931" s="44"/>
      <c r="AD931" s="117"/>
    </row>
    <row r="932" spans="1:30" ht="14.25" customHeight="1">
      <c r="A932" s="189"/>
      <c r="B932" s="189"/>
      <c r="C932" s="44"/>
      <c r="D932" s="117"/>
      <c r="E932" s="44"/>
      <c r="F932" s="44"/>
      <c r="G932" s="117"/>
      <c r="H932" s="117"/>
      <c r="I932" s="117"/>
      <c r="J932" s="117"/>
      <c r="K932" s="117"/>
      <c r="L932" s="117"/>
      <c r="M932" s="117"/>
      <c r="N932" s="117"/>
      <c r="O932" s="117"/>
      <c r="P932" s="117"/>
      <c r="Q932" s="117"/>
      <c r="R932" s="117"/>
      <c r="S932" s="117"/>
      <c r="T932" s="117"/>
      <c r="U932" s="235"/>
      <c r="V932" s="117"/>
      <c r="W932" s="117"/>
      <c r="X932" s="117"/>
      <c r="Y932" s="117"/>
      <c r="Z932" s="117"/>
      <c r="AA932" s="44"/>
      <c r="AB932" s="117"/>
      <c r="AC932" s="44"/>
      <c r="AD932" s="117"/>
    </row>
    <row r="933" spans="1:30" ht="14.25" customHeight="1">
      <c r="A933" s="189"/>
      <c r="B933" s="189"/>
      <c r="C933" s="44"/>
      <c r="D933" s="117"/>
      <c r="E933" s="44"/>
      <c r="F933" s="44"/>
      <c r="G933" s="117"/>
      <c r="H933" s="117"/>
      <c r="I933" s="117"/>
      <c r="J933" s="117"/>
      <c r="K933" s="117"/>
      <c r="L933" s="117"/>
      <c r="M933" s="117"/>
      <c r="N933" s="117"/>
      <c r="O933" s="117"/>
      <c r="P933" s="117"/>
      <c r="Q933" s="117"/>
      <c r="R933" s="117"/>
      <c r="S933" s="117"/>
      <c r="T933" s="117"/>
      <c r="U933" s="235"/>
      <c r="V933" s="117"/>
      <c r="W933" s="117"/>
      <c r="X933" s="117"/>
      <c r="Y933" s="117"/>
      <c r="Z933" s="117"/>
      <c r="AA933" s="44"/>
      <c r="AB933" s="117"/>
      <c r="AC933" s="44"/>
      <c r="AD933" s="117"/>
    </row>
    <row r="934" spans="1:30" ht="14.25" customHeight="1">
      <c r="A934" s="189"/>
      <c r="B934" s="189"/>
      <c r="C934" s="44"/>
      <c r="D934" s="117"/>
      <c r="E934" s="44"/>
      <c r="F934" s="44"/>
      <c r="G934" s="117"/>
      <c r="H934" s="117"/>
      <c r="I934" s="117"/>
      <c r="J934" s="117"/>
      <c r="K934" s="117"/>
      <c r="L934" s="117"/>
      <c r="M934" s="117"/>
      <c r="N934" s="117"/>
      <c r="O934" s="117"/>
      <c r="P934" s="117"/>
      <c r="Q934" s="117"/>
      <c r="R934" s="117"/>
      <c r="S934" s="117"/>
      <c r="T934" s="117"/>
      <c r="U934" s="235"/>
      <c r="V934" s="117"/>
      <c r="W934" s="117"/>
      <c r="X934" s="117"/>
      <c r="Y934" s="117"/>
      <c r="Z934" s="117"/>
      <c r="AA934" s="44"/>
      <c r="AB934" s="117"/>
      <c r="AC934" s="44"/>
      <c r="AD934" s="117"/>
    </row>
    <row r="935" spans="1:30" ht="14.25" customHeight="1">
      <c r="A935" s="189"/>
      <c r="B935" s="189"/>
      <c r="C935" s="44"/>
      <c r="D935" s="117"/>
      <c r="E935" s="44"/>
      <c r="F935" s="44"/>
      <c r="G935" s="117"/>
      <c r="H935" s="117"/>
      <c r="I935" s="117"/>
      <c r="J935" s="117"/>
      <c r="K935" s="117"/>
      <c r="L935" s="117"/>
      <c r="M935" s="117"/>
      <c r="N935" s="117"/>
      <c r="O935" s="117"/>
      <c r="P935" s="117"/>
      <c r="Q935" s="117"/>
      <c r="R935" s="117"/>
      <c r="S935" s="117"/>
      <c r="T935" s="117"/>
      <c r="U935" s="235"/>
      <c r="V935" s="117"/>
      <c r="W935" s="117"/>
      <c r="X935" s="117"/>
      <c r="Y935" s="117"/>
      <c r="Z935" s="117"/>
      <c r="AA935" s="44"/>
      <c r="AB935" s="117"/>
      <c r="AC935" s="44"/>
      <c r="AD935" s="117"/>
    </row>
    <row r="936" spans="1:30" ht="14.25" customHeight="1">
      <c r="A936" s="189"/>
      <c r="B936" s="189"/>
      <c r="C936" s="44"/>
      <c r="D936" s="117"/>
      <c r="E936" s="44"/>
      <c r="F936" s="44"/>
      <c r="G936" s="117"/>
      <c r="H936" s="117"/>
      <c r="I936" s="117"/>
      <c r="J936" s="117"/>
      <c r="K936" s="117"/>
      <c r="L936" s="117"/>
      <c r="M936" s="117"/>
      <c r="N936" s="117"/>
      <c r="O936" s="117"/>
      <c r="P936" s="117"/>
      <c r="Q936" s="117"/>
      <c r="R936" s="117"/>
      <c r="S936" s="117"/>
      <c r="T936" s="117"/>
      <c r="U936" s="235"/>
      <c r="V936" s="117"/>
      <c r="W936" s="117"/>
      <c r="X936" s="117"/>
      <c r="Y936" s="117"/>
      <c r="Z936" s="117"/>
      <c r="AA936" s="44"/>
      <c r="AB936" s="117"/>
      <c r="AC936" s="44"/>
      <c r="AD936" s="117"/>
    </row>
    <row r="937" spans="1:30" ht="14.25" customHeight="1">
      <c r="A937" s="189"/>
      <c r="B937" s="189"/>
      <c r="C937" s="44"/>
      <c r="D937" s="117"/>
      <c r="E937" s="44"/>
      <c r="F937" s="44"/>
      <c r="G937" s="117"/>
      <c r="H937" s="117"/>
      <c r="I937" s="117"/>
      <c r="J937" s="117"/>
      <c r="K937" s="117"/>
      <c r="L937" s="117"/>
      <c r="M937" s="117"/>
      <c r="N937" s="117"/>
      <c r="O937" s="117"/>
      <c r="P937" s="117"/>
      <c r="Q937" s="117"/>
      <c r="R937" s="117"/>
      <c r="S937" s="117"/>
      <c r="T937" s="117"/>
      <c r="U937" s="235"/>
      <c r="V937" s="117"/>
      <c r="W937" s="117"/>
      <c r="X937" s="117"/>
      <c r="Y937" s="117"/>
      <c r="Z937" s="117"/>
      <c r="AA937" s="44"/>
      <c r="AB937" s="117"/>
      <c r="AC937" s="44"/>
      <c r="AD937" s="117"/>
    </row>
    <row r="938" spans="1:30" ht="14.25" customHeight="1">
      <c r="A938" s="189"/>
      <c r="B938" s="189"/>
      <c r="C938" s="44"/>
      <c r="D938" s="117"/>
      <c r="E938" s="44"/>
      <c r="F938" s="44"/>
      <c r="G938" s="117"/>
      <c r="H938" s="117"/>
      <c r="I938" s="117"/>
      <c r="J938" s="117"/>
      <c r="K938" s="117"/>
      <c r="L938" s="117"/>
      <c r="M938" s="117"/>
      <c r="N938" s="117"/>
      <c r="O938" s="117"/>
      <c r="P938" s="117"/>
      <c r="Q938" s="117"/>
      <c r="R938" s="117"/>
      <c r="S938" s="117"/>
      <c r="T938" s="117"/>
      <c r="U938" s="235"/>
      <c r="V938" s="117"/>
      <c r="W938" s="117"/>
      <c r="X938" s="117"/>
      <c r="Y938" s="117"/>
      <c r="Z938" s="117"/>
      <c r="AA938" s="44"/>
      <c r="AB938" s="117"/>
      <c r="AC938" s="44"/>
      <c r="AD938" s="117"/>
    </row>
    <row r="939" spans="1:30" ht="14.25" customHeight="1">
      <c r="A939" s="189"/>
      <c r="B939" s="189"/>
      <c r="C939" s="44"/>
      <c r="D939" s="117"/>
      <c r="E939" s="44"/>
      <c r="F939" s="44"/>
      <c r="G939" s="117"/>
      <c r="H939" s="117"/>
      <c r="I939" s="117"/>
      <c r="J939" s="117"/>
      <c r="K939" s="117"/>
      <c r="L939" s="117"/>
      <c r="M939" s="117"/>
      <c r="N939" s="117"/>
      <c r="O939" s="117"/>
      <c r="P939" s="117"/>
      <c r="Q939" s="117"/>
      <c r="R939" s="117"/>
      <c r="S939" s="117"/>
      <c r="T939" s="117"/>
      <c r="U939" s="235"/>
      <c r="V939" s="117"/>
      <c r="W939" s="117"/>
      <c r="X939" s="117"/>
      <c r="Y939" s="117"/>
      <c r="Z939" s="117"/>
      <c r="AA939" s="44"/>
      <c r="AB939" s="117"/>
      <c r="AC939" s="44"/>
      <c r="AD939" s="117"/>
    </row>
    <row r="940" spans="1:30" ht="14.25" customHeight="1">
      <c r="A940" s="189"/>
      <c r="B940" s="189"/>
      <c r="C940" s="44"/>
      <c r="D940" s="117"/>
      <c r="E940" s="44"/>
      <c r="F940" s="44"/>
      <c r="G940" s="117"/>
      <c r="H940" s="117"/>
      <c r="I940" s="117"/>
      <c r="J940" s="117"/>
      <c r="K940" s="117"/>
      <c r="L940" s="117"/>
      <c r="M940" s="117"/>
      <c r="N940" s="117"/>
      <c r="O940" s="117"/>
      <c r="P940" s="117"/>
      <c r="Q940" s="117"/>
      <c r="R940" s="117"/>
      <c r="S940" s="117"/>
      <c r="T940" s="117"/>
      <c r="U940" s="235"/>
      <c r="V940" s="117"/>
      <c r="W940" s="117"/>
      <c r="X940" s="117"/>
      <c r="Y940" s="117"/>
      <c r="Z940" s="117"/>
      <c r="AA940" s="44"/>
      <c r="AB940" s="117"/>
      <c r="AC940" s="44"/>
      <c r="AD940" s="117"/>
    </row>
    <row r="941" spans="1:30" ht="14.25" customHeight="1">
      <c r="A941" s="189"/>
      <c r="B941" s="189"/>
      <c r="C941" s="44"/>
      <c r="D941" s="117"/>
      <c r="E941" s="44"/>
      <c r="F941" s="44"/>
      <c r="G941" s="117"/>
      <c r="H941" s="117"/>
      <c r="I941" s="117"/>
      <c r="J941" s="117"/>
      <c r="K941" s="117"/>
      <c r="L941" s="117"/>
      <c r="M941" s="117"/>
      <c r="N941" s="117"/>
      <c r="O941" s="117"/>
      <c r="P941" s="117"/>
      <c r="Q941" s="117"/>
      <c r="R941" s="117"/>
      <c r="S941" s="117"/>
      <c r="T941" s="117"/>
      <c r="U941" s="235"/>
      <c r="V941" s="117"/>
      <c r="W941" s="117"/>
      <c r="X941" s="117"/>
      <c r="Y941" s="117"/>
      <c r="Z941" s="117"/>
      <c r="AA941" s="44"/>
      <c r="AB941" s="117"/>
      <c r="AC941" s="44"/>
      <c r="AD941" s="117"/>
    </row>
    <row r="942" spans="1:30" ht="14.25" customHeight="1">
      <c r="A942" s="189"/>
      <c r="B942" s="189"/>
      <c r="C942" s="44"/>
      <c r="D942" s="117"/>
      <c r="E942" s="44"/>
      <c r="F942" s="44"/>
      <c r="G942" s="117"/>
      <c r="H942" s="117"/>
      <c r="I942" s="117"/>
      <c r="J942" s="117"/>
      <c r="K942" s="117"/>
      <c r="L942" s="117"/>
      <c r="M942" s="117"/>
      <c r="N942" s="117"/>
      <c r="O942" s="117"/>
      <c r="P942" s="117"/>
      <c r="Q942" s="117"/>
      <c r="R942" s="117"/>
      <c r="S942" s="117"/>
      <c r="T942" s="117"/>
      <c r="U942" s="235"/>
      <c r="V942" s="117"/>
      <c r="W942" s="117"/>
      <c r="X942" s="117"/>
      <c r="Y942" s="117"/>
      <c r="Z942" s="117"/>
      <c r="AA942" s="44"/>
      <c r="AB942" s="117"/>
      <c r="AC942" s="44"/>
      <c r="AD942" s="117"/>
    </row>
    <row r="943" spans="1:30" ht="14.25" customHeight="1">
      <c r="A943" s="189"/>
      <c r="B943" s="189"/>
      <c r="C943" s="44"/>
      <c r="D943" s="117"/>
      <c r="E943" s="44"/>
      <c r="F943" s="44"/>
      <c r="G943" s="117"/>
      <c r="H943" s="117"/>
      <c r="I943" s="117"/>
      <c r="J943" s="117"/>
      <c r="K943" s="117"/>
      <c r="L943" s="117"/>
      <c r="M943" s="117"/>
      <c r="N943" s="117"/>
      <c r="O943" s="117"/>
      <c r="P943" s="117"/>
      <c r="Q943" s="117"/>
      <c r="R943" s="117"/>
      <c r="S943" s="117"/>
      <c r="T943" s="117"/>
      <c r="U943" s="235"/>
      <c r="V943" s="117"/>
      <c r="W943" s="117"/>
      <c r="X943" s="117"/>
      <c r="Y943" s="117"/>
      <c r="Z943" s="117"/>
      <c r="AA943" s="44"/>
      <c r="AB943" s="117"/>
      <c r="AC943" s="44"/>
      <c r="AD943" s="117"/>
    </row>
    <row r="944" spans="1:30" ht="14.25" customHeight="1">
      <c r="A944" s="189"/>
      <c r="B944" s="189"/>
      <c r="C944" s="44"/>
      <c r="D944" s="117"/>
      <c r="E944" s="44"/>
      <c r="F944" s="44"/>
      <c r="G944" s="117"/>
      <c r="H944" s="117"/>
      <c r="I944" s="117"/>
      <c r="J944" s="117"/>
      <c r="K944" s="117"/>
      <c r="L944" s="117"/>
      <c r="M944" s="117"/>
      <c r="N944" s="117"/>
      <c r="O944" s="117"/>
      <c r="P944" s="117"/>
      <c r="Q944" s="117"/>
      <c r="R944" s="117"/>
      <c r="S944" s="117"/>
      <c r="T944" s="117"/>
      <c r="U944" s="235"/>
      <c r="V944" s="117"/>
      <c r="W944" s="117"/>
      <c r="X944" s="117"/>
      <c r="Y944" s="117"/>
      <c r="Z944" s="117"/>
      <c r="AA944" s="44"/>
      <c r="AB944" s="117"/>
      <c r="AC944" s="44"/>
      <c r="AD944" s="117"/>
    </row>
    <row r="945" spans="1:30" ht="14.25" customHeight="1">
      <c r="A945" s="189"/>
      <c r="B945" s="189"/>
      <c r="C945" s="44"/>
      <c r="D945" s="117"/>
      <c r="E945" s="44"/>
      <c r="F945" s="44"/>
      <c r="G945" s="117"/>
      <c r="H945" s="117"/>
      <c r="I945" s="117"/>
      <c r="J945" s="117"/>
      <c r="K945" s="117"/>
      <c r="L945" s="117"/>
      <c r="M945" s="117"/>
      <c r="N945" s="117"/>
      <c r="O945" s="117"/>
      <c r="P945" s="117"/>
      <c r="Q945" s="117"/>
      <c r="R945" s="117"/>
      <c r="S945" s="117"/>
      <c r="T945" s="117"/>
      <c r="U945" s="235"/>
      <c r="V945" s="117"/>
      <c r="W945" s="117"/>
      <c r="X945" s="117"/>
      <c r="Y945" s="117"/>
      <c r="Z945" s="117"/>
      <c r="AA945" s="44"/>
      <c r="AB945" s="117"/>
      <c r="AC945" s="44"/>
      <c r="AD945" s="117"/>
    </row>
    <row r="946" spans="1:30" ht="14.25" customHeight="1">
      <c r="A946" s="189"/>
      <c r="B946" s="189"/>
      <c r="C946" s="44"/>
      <c r="D946" s="117"/>
      <c r="E946" s="44"/>
      <c r="F946" s="44"/>
      <c r="G946" s="117"/>
      <c r="H946" s="117"/>
      <c r="I946" s="117"/>
      <c r="J946" s="117"/>
      <c r="K946" s="117"/>
      <c r="L946" s="117"/>
      <c r="M946" s="117"/>
      <c r="N946" s="117"/>
      <c r="O946" s="117"/>
      <c r="P946" s="117"/>
      <c r="Q946" s="117"/>
      <c r="R946" s="117"/>
      <c r="S946" s="117"/>
      <c r="T946" s="117"/>
      <c r="U946" s="235"/>
      <c r="V946" s="117"/>
      <c r="W946" s="117"/>
      <c r="X946" s="117"/>
      <c r="Y946" s="117"/>
      <c r="Z946" s="117"/>
      <c r="AA946" s="44"/>
      <c r="AB946" s="117"/>
      <c r="AC946" s="44"/>
      <c r="AD946" s="117"/>
    </row>
    <row r="947" spans="1:30" ht="14.25" customHeight="1">
      <c r="A947" s="189"/>
      <c r="B947" s="189"/>
      <c r="C947" s="44"/>
      <c r="D947" s="117"/>
      <c r="E947" s="44"/>
      <c r="F947" s="44"/>
      <c r="G947" s="117"/>
      <c r="H947" s="117"/>
      <c r="I947" s="117"/>
      <c r="J947" s="117"/>
      <c r="K947" s="117"/>
      <c r="L947" s="117"/>
      <c r="M947" s="117"/>
      <c r="N947" s="117"/>
      <c r="O947" s="117"/>
      <c r="P947" s="117"/>
      <c r="Q947" s="117"/>
      <c r="R947" s="117"/>
      <c r="S947" s="117"/>
      <c r="T947" s="117"/>
      <c r="U947" s="235"/>
      <c r="V947" s="117"/>
      <c r="W947" s="117"/>
      <c r="X947" s="117"/>
      <c r="Y947" s="117"/>
      <c r="Z947" s="117"/>
      <c r="AA947" s="44"/>
      <c r="AB947" s="117"/>
      <c r="AC947" s="44"/>
      <c r="AD947" s="117"/>
    </row>
    <row r="948" spans="1:30" ht="14.25" customHeight="1">
      <c r="A948" s="189"/>
      <c r="B948" s="189"/>
      <c r="C948" s="44"/>
      <c r="D948" s="117"/>
      <c r="E948" s="44"/>
      <c r="F948" s="44"/>
      <c r="G948" s="117"/>
      <c r="H948" s="117"/>
      <c r="I948" s="117"/>
      <c r="J948" s="117"/>
      <c r="K948" s="117"/>
      <c r="L948" s="117"/>
      <c r="M948" s="117"/>
      <c r="N948" s="117"/>
      <c r="O948" s="117"/>
      <c r="P948" s="117"/>
      <c r="Q948" s="117"/>
      <c r="R948" s="117"/>
      <c r="S948" s="117"/>
      <c r="T948" s="117"/>
      <c r="U948" s="235"/>
      <c r="V948" s="117"/>
      <c r="W948" s="117"/>
      <c r="X948" s="117"/>
      <c r="Y948" s="117"/>
      <c r="Z948" s="117"/>
      <c r="AA948" s="44"/>
      <c r="AB948" s="117"/>
      <c r="AC948" s="44"/>
      <c r="AD948" s="117"/>
    </row>
    <row r="949" spans="1:30" ht="14.25" customHeight="1">
      <c r="A949" s="189"/>
      <c r="B949" s="189"/>
      <c r="C949" s="44"/>
      <c r="D949" s="117"/>
      <c r="E949" s="44"/>
      <c r="F949" s="44"/>
      <c r="G949" s="117"/>
      <c r="H949" s="117"/>
      <c r="I949" s="117"/>
      <c r="J949" s="117"/>
      <c r="K949" s="117"/>
      <c r="L949" s="117"/>
      <c r="M949" s="117"/>
      <c r="N949" s="117"/>
      <c r="O949" s="117"/>
      <c r="P949" s="117"/>
      <c r="Q949" s="117"/>
      <c r="R949" s="117"/>
      <c r="S949" s="117"/>
      <c r="T949" s="117"/>
      <c r="U949" s="235"/>
      <c r="V949" s="117"/>
      <c r="W949" s="117"/>
      <c r="X949" s="117"/>
      <c r="Y949" s="117"/>
      <c r="Z949" s="117"/>
      <c r="AA949" s="44"/>
      <c r="AB949" s="117"/>
      <c r="AC949" s="44"/>
      <c r="AD949" s="117"/>
    </row>
    <row r="950" spans="1:30" ht="14.25" customHeight="1">
      <c r="A950" s="189"/>
      <c r="B950" s="189"/>
      <c r="C950" s="44"/>
      <c r="D950" s="117"/>
      <c r="E950" s="44"/>
      <c r="F950" s="44"/>
      <c r="G950" s="117"/>
      <c r="H950" s="117"/>
      <c r="I950" s="117"/>
      <c r="J950" s="117"/>
      <c r="K950" s="117"/>
      <c r="L950" s="117"/>
      <c r="M950" s="117"/>
      <c r="N950" s="117"/>
      <c r="O950" s="117"/>
      <c r="P950" s="117"/>
      <c r="Q950" s="117"/>
      <c r="R950" s="117"/>
      <c r="S950" s="117"/>
      <c r="T950" s="117"/>
      <c r="U950" s="235"/>
      <c r="V950" s="117"/>
      <c r="W950" s="117"/>
      <c r="X950" s="117"/>
      <c r="Y950" s="117"/>
      <c r="Z950" s="117"/>
      <c r="AA950" s="44"/>
      <c r="AB950" s="117"/>
      <c r="AC950" s="44"/>
      <c r="AD950" s="117"/>
    </row>
    <row r="951" spans="1:30" ht="14.25" customHeight="1">
      <c r="A951" s="189"/>
      <c r="B951" s="189"/>
      <c r="C951" s="44"/>
      <c r="D951" s="117"/>
      <c r="E951" s="44"/>
      <c r="F951" s="44"/>
      <c r="G951" s="117"/>
      <c r="H951" s="117"/>
      <c r="I951" s="117"/>
      <c r="J951" s="117"/>
      <c r="K951" s="117"/>
      <c r="L951" s="117"/>
      <c r="M951" s="117"/>
      <c r="N951" s="117"/>
      <c r="O951" s="117"/>
      <c r="P951" s="117"/>
      <c r="Q951" s="117"/>
      <c r="R951" s="117"/>
      <c r="S951" s="117"/>
      <c r="T951" s="117"/>
      <c r="U951" s="235"/>
      <c r="V951" s="117"/>
      <c r="W951" s="117"/>
      <c r="X951" s="117"/>
      <c r="Y951" s="117"/>
      <c r="Z951" s="117"/>
      <c r="AA951" s="44"/>
      <c r="AB951" s="117"/>
      <c r="AC951" s="44"/>
      <c r="AD951" s="117"/>
    </row>
    <row r="952" spans="1:30" ht="14.25" customHeight="1">
      <c r="A952" s="189"/>
      <c r="B952" s="189"/>
      <c r="C952" s="44"/>
      <c r="D952" s="117"/>
      <c r="E952" s="44"/>
      <c r="F952" s="44"/>
      <c r="G952" s="117"/>
      <c r="H952" s="117"/>
      <c r="I952" s="117"/>
      <c r="J952" s="117"/>
      <c r="K952" s="117"/>
      <c r="L952" s="117"/>
      <c r="M952" s="117"/>
      <c r="N952" s="117"/>
      <c r="O952" s="117"/>
      <c r="P952" s="117"/>
      <c r="Q952" s="117"/>
      <c r="R952" s="117"/>
      <c r="S952" s="117"/>
      <c r="T952" s="117"/>
      <c r="U952" s="235"/>
      <c r="V952" s="117"/>
      <c r="W952" s="117"/>
      <c r="X952" s="117"/>
      <c r="Y952" s="117"/>
      <c r="Z952" s="117"/>
      <c r="AA952" s="44"/>
      <c r="AB952" s="117"/>
      <c r="AC952" s="44"/>
      <c r="AD952" s="117"/>
    </row>
    <row r="953" spans="1:30" ht="14.25" customHeight="1">
      <c r="A953" s="189"/>
      <c r="B953" s="189"/>
      <c r="C953" s="44"/>
      <c r="D953" s="117"/>
      <c r="E953" s="44"/>
      <c r="F953" s="44"/>
      <c r="G953" s="117"/>
      <c r="H953" s="117"/>
      <c r="I953" s="117"/>
      <c r="J953" s="117"/>
      <c r="K953" s="117"/>
      <c r="L953" s="117"/>
      <c r="M953" s="117"/>
      <c r="N953" s="117"/>
      <c r="O953" s="117"/>
      <c r="P953" s="117"/>
      <c r="Q953" s="117"/>
      <c r="R953" s="117"/>
      <c r="S953" s="117"/>
      <c r="T953" s="117"/>
      <c r="U953" s="235"/>
      <c r="V953" s="117"/>
      <c r="W953" s="117"/>
      <c r="X953" s="117"/>
      <c r="Y953" s="117"/>
      <c r="Z953" s="117"/>
      <c r="AA953" s="44"/>
      <c r="AB953" s="117"/>
      <c r="AC953" s="44"/>
      <c r="AD953" s="117"/>
    </row>
    <row r="954" spans="1:30" ht="14.25" customHeight="1">
      <c r="A954" s="189"/>
      <c r="B954" s="189"/>
      <c r="C954" s="44"/>
      <c r="D954" s="117"/>
      <c r="E954" s="44"/>
      <c r="F954" s="44"/>
      <c r="G954" s="117"/>
      <c r="H954" s="117"/>
      <c r="I954" s="117"/>
      <c r="J954" s="117"/>
      <c r="K954" s="117"/>
      <c r="L954" s="117"/>
      <c r="M954" s="117"/>
      <c r="N954" s="117"/>
      <c r="O954" s="117"/>
      <c r="P954" s="117"/>
      <c r="Q954" s="117"/>
      <c r="R954" s="117"/>
      <c r="S954" s="117"/>
      <c r="T954" s="117"/>
      <c r="U954" s="235"/>
      <c r="V954" s="117"/>
      <c r="W954" s="117"/>
      <c r="X954" s="117"/>
      <c r="Y954" s="117"/>
      <c r="Z954" s="117"/>
      <c r="AA954" s="44"/>
      <c r="AB954" s="117"/>
      <c r="AC954" s="44"/>
      <c r="AD954" s="117"/>
    </row>
    <row r="955" spans="1:30" ht="14.25"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235"/>
      <c r="V955" s="117"/>
      <c r="W955" s="117"/>
      <c r="X955" s="117"/>
      <c r="Y955" s="117"/>
      <c r="Z955" s="117"/>
      <c r="AA955" s="117"/>
      <c r="AB955" s="117"/>
      <c r="AC955" s="117"/>
      <c r="AD955" s="117"/>
    </row>
    <row r="956" spans="1:30" ht="14.25"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235"/>
      <c r="V956" s="117"/>
      <c r="W956" s="117"/>
      <c r="X956" s="117"/>
      <c r="Y956" s="117"/>
      <c r="Z956" s="117"/>
      <c r="AA956" s="117"/>
      <c r="AB956" s="117"/>
      <c r="AC956" s="117"/>
      <c r="AD956" s="117"/>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870"/>
  <sheetViews>
    <sheetView workbookViewId="0">
      <pane ySplit="1" topLeftCell="A2" activePane="bottomLeft" state="frozen"/>
      <selection pane="bottomLeft" activeCell="B3" sqref="B3"/>
    </sheetView>
  </sheetViews>
  <sheetFormatPr defaultColWidth="14.44140625" defaultRowHeight="15" customHeight="1"/>
  <cols>
    <col min="1" max="1" width="9.109375" customWidth="1"/>
    <col min="2" max="2" width="9.44140625" customWidth="1"/>
    <col min="3" max="3" width="9.88671875" customWidth="1"/>
    <col min="4" max="4" width="13.88671875" customWidth="1"/>
    <col min="5" max="5" width="12.6640625" customWidth="1"/>
    <col min="6" max="6" width="14" customWidth="1"/>
    <col min="7" max="7" width="59.33203125" customWidth="1"/>
    <col min="8" max="8" width="10.88671875" customWidth="1"/>
    <col min="9" max="9" width="8.5546875" customWidth="1"/>
    <col min="10" max="10" width="10.88671875" customWidth="1"/>
    <col min="11" max="11" width="11.5546875" customWidth="1"/>
    <col min="12" max="12" width="13.6640625" customWidth="1"/>
    <col min="13" max="13" width="10.6640625" customWidth="1"/>
    <col min="14" max="14" width="12.88671875" customWidth="1"/>
    <col min="15" max="15" width="10.5546875" customWidth="1"/>
    <col min="16" max="16" width="19.33203125" customWidth="1"/>
    <col min="17" max="17" width="16.5546875" customWidth="1"/>
    <col min="18" max="18" width="14.6640625" customWidth="1"/>
    <col min="19" max="19" width="13.88671875" customWidth="1"/>
    <col min="20" max="20" width="12.44140625" customWidth="1"/>
    <col min="21" max="21" width="7.33203125" customWidth="1"/>
    <col min="22" max="22" width="10.33203125" customWidth="1"/>
    <col min="23" max="23" width="13.44140625" customWidth="1"/>
    <col min="24" max="24" width="20.5546875" customWidth="1"/>
    <col min="25" max="25" width="22.109375" customWidth="1"/>
    <col min="26" max="26" width="15.33203125" customWidth="1"/>
    <col min="27" max="27" width="8.5546875" customWidth="1"/>
  </cols>
  <sheetData>
    <row r="1" spans="1:34">
      <c r="A1" s="237" t="s">
        <v>1068</v>
      </c>
      <c r="B1" s="237" t="s">
        <v>160</v>
      </c>
      <c r="C1" s="237" t="s">
        <v>1</v>
      </c>
      <c r="D1" s="237" t="s">
        <v>4</v>
      </c>
      <c r="E1" s="237" t="s">
        <v>1069</v>
      </c>
      <c r="F1" s="237" t="s">
        <v>1070</v>
      </c>
      <c r="G1" s="237" t="s">
        <v>965</v>
      </c>
      <c r="H1" s="238" t="s">
        <v>1071</v>
      </c>
      <c r="I1" s="238" t="s">
        <v>174</v>
      </c>
      <c r="J1" s="238" t="s">
        <v>1072</v>
      </c>
      <c r="K1" s="238" t="s">
        <v>958</v>
      </c>
      <c r="L1" s="238" t="s">
        <v>1073</v>
      </c>
      <c r="M1" s="238" t="s">
        <v>1074</v>
      </c>
      <c r="N1" s="238" t="s">
        <v>1075</v>
      </c>
      <c r="O1" s="238" t="s">
        <v>1076</v>
      </c>
      <c r="P1" s="238" t="s">
        <v>1077</v>
      </c>
      <c r="Q1" s="239" t="s">
        <v>1078</v>
      </c>
      <c r="R1" s="238" t="s">
        <v>930</v>
      </c>
      <c r="S1" s="238" t="s">
        <v>1079</v>
      </c>
      <c r="T1" s="238" t="s">
        <v>931</v>
      </c>
      <c r="U1" s="238" t="s">
        <v>11</v>
      </c>
      <c r="V1" s="240" t="s">
        <v>186</v>
      </c>
      <c r="W1" s="241" t="s">
        <v>961</v>
      </c>
      <c r="X1" s="242" t="s">
        <v>1080</v>
      </c>
      <c r="Y1" s="243" t="s">
        <v>1081</v>
      </c>
      <c r="Z1" s="238" t="s">
        <v>1082</v>
      </c>
      <c r="AA1" s="238" t="s">
        <v>9</v>
      </c>
      <c r="AB1" s="43"/>
      <c r="AC1" s="43"/>
      <c r="AD1" s="43"/>
      <c r="AE1" s="43"/>
      <c r="AF1" s="43"/>
      <c r="AG1" s="140"/>
      <c r="AH1" s="140"/>
    </row>
    <row r="2" spans="1:34">
      <c r="A2" s="43">
        <v>1</v>
      </c>
      <c r="B2" s="43" t="s">
        <v>934</v>
      </c>
      <c r="C2" s="43" t="s">
        <v>311</v>
      </c>
      <c r="D2" s="43" t="str">
        <f>VLOOKUP(C2,'Amazon Live Products'!E:F,2,0)</f>
        <v>B0CW1JJP9S</v>
      </c>
      <c r="E2" s="43">
        <v>33539801</v>
      </c>
      <c r="F2" s="69" t="str">
        <f>VLOOKUP(C2,'Margin Calculation'!F:H,3,0)</f>
        <v>DF-01-BK</v>
      </c>
      <c r="G2" s="69" t="str">
        <f>VLOOKUP(C2,'Margin Calculation'!F:M,8,0)</f>
        <v>Nexlev Dental Flosser (Black)</v>
      </c>
      <c r="H2" s="244">
        <f>VLOOKUP(C2,'Margin Calculation'!F:Y,20,0)</f>
        <v>911.25499500000001</v>
      </c>
      <c r="I2" s="244">
        <f>VLOOKUP(C2,'Margin Calculation'!$F:$Z,21)</f>
        <v>1075.2808940999998</v>
      </c>
      <c r="J2" s="244">
        <f t="shared" ref="J2:J91" si="0">X2*10%</f>
        <v>154.4</v>
      </c>
      <c r="K2" s="244">
        <f t="shared" ref="K2:K91" si="1">X2*6%</f>
        <v>92.64</v>
      </c>
      <c r="L2" s="244">
        <f t="shared" ref="L2:L91" si="2">X2*5%</f>
        <v>77.2</v>
      </c>
      <c r="M2" s="244">
        <f t="shared" ref="M2:M91" si="3">X2*2%</f>
        <v>30.88</v>
      </c>
      <c r="N2" s="244">
        <f t="shared" ref="N2:N91" si="4">IF(X2&lt;=500,9, IF(X2&lt;=750,17,IF(X2&lt;=1000,21,IF(X2&lt;=2000,57,IF(X2&gt;2000,63)))))</f>
        <v>57</v>
      </c>
      <c r="O2" s="244">
        <f t="shared" ref="O2:O91" si="5">X2*10%</f>
        <v>154.4</v>
      </c>
      <c r="P2" s="244">
        <f t="shared" ref="P2:P91" si="6">K2+M2+N2</f>
        <v>180.51999999999998</v>
      </c>
      <c r="Q2" s="245">
        <f t="shared" ref="Q2:Q91" si="7">P2/X2</f>
        <v>0.11691709844559585</v>
      </c>
      <c r="R2" s="244">
        <f t="shared" ref="R2:R91" si="8">I2*5%</f>
        <v>53.764044704999996</v>
      </c>
      <c r="S2" s="244">
        <f t="shared" ref="S2:S91" si="9">I2*2%</f>
        <v>21.505617881999996</v>
      </c>
      <c r="T2" s="244">
        <f t="shared" ref="T2:T91" si="10">H2+J2+K2+L2+O2+R2+S2+M2+N2</f>
        <v>1553.0446575870005</v>
      </c>
      <c r="U2" s="244">
        <f t="shared" ref="U2:U91" si="11">X2-(X2/1.12)</f>
        <v>165.42857142857156</v>
      </c>
      <c r="V2" s="246">
        <f t="shared" ref="V2:V91" si="12">X2-T2-U2</f>
        <v>-174.47322901557209</v>
      </c>
      <c r="W2" s="247">
        <f t="shared" ref="W2:W91" si="13">V2/X2</f>
        <v>-0.11300079599454151</v>
      </c>
      <c r="X2" s="248">
        <v>1544</v>
      </c>
      <c r="Y2" s="183">
        <f t="shared" ref="Y2:Y47" si="14">Z2*(1+0.03)</f>
        <v>1574.8700000000001</v>
      </c>
      <c r="Z2" s="179">
        <f>VLOOKUP(C2,'Amazon Live Products'!E:AF,28,0)</f>
        <v>1529</v>
      </c>
      <c r="AA2" s="244">
        <f>VLOOKUP(D2,'Amazon Live Products'!F:AI,29,0)</f>
        <v>0</v>
      </c>
      <c r="AB2" s="43"/>
      <c r="AC2" s="43"/>
      <c r="AD2" s="43"/>
      <c r="AE2" s="43"/>
      <c r="AF2" s="43"/>
      <c r="AG2" s="44"/>
      <c r="AH2" s="44"/>
    </row>
    <row r="3" spans="1:34">
      <c r="A3" s="43">
        <f t="shared" ref="A3:A91" si="15">A2+1</f>
        <v>2</v>
      </c>
      <c r="B3" s="69" t="s">
        <v>934</v>
      </c>
      <c r="C3" s="69" t="s">
        <v>329</v>
      </c>
      <c r="D3" s="43" t="str">
        <f>VLOOKUP(C3,'Amazon Live Products'!E:F,2,0)</f>
        <v>B0CS69T7HF</v>
      </c>
      <c r="E3" s="69">
        <v>33536445</v>
      </c>
      <c r="F3" s="69" t="str">
        <f>VLOOKUP(C3,'Margin Calculation'!F:H,3,0)</f>
        <v>ET-01-BK</v>
      </c>
      <c r="G3" s="69" t="str">
        <f>VLOOKUP(C3,'Margin Calculation'!F:M,8,0)</f>
        <v>Electric Toothbrush - Black - Humm</v>
      </c>
      <c r="H3" s="244">
        <f>VLOOKUP(C3,'Margin Calculation'!F:Y,20,0)</f>
        <v>240.79140000000001</v>
      </c>
      <c r="I3" s="244">
        <f>VLOOKUP(C3,'Margin Calculation'!$F:$Z,21)</f>
        <v>284.13385199999999</v>
      </c>
      <c r="J3" s="244">
        <f t="shared" si="0"/>
        <v>41.1</v>
      </c>
      <c r="K3" s="244">
        <f t="shared" si="1"/>
        <v>24.66</v>
      </c>
      <c r="L3" s="244">
        <f t="shared" si="2"/>
        <v>20.55</v>
      </c>
      <c r="M3" s="244">
        <f t="shared" si="3"/>
        <v>8.2200000000000006</v>
      </c>
      <c r="N3" s="244">
        <f t="shared" si="4"/>
        <v>9</v>
      </c>
      <c r="O3" s="244">
        <f t="shared" si="5"/>
        <v>41.1</v>
      </c>
      <c r="P3" s="244">
        <f t="shared" si="6"/>
        <v>41.88</v>
      </c>
      <c r="Q3" s="245">
        <f t="shared" si="7"/>
        <v>0.1018978102189781</v>
      </c>
      <c r="R3" s="244">
        <f t="shared" si="8"/>
        <v>14.2066926</v>
      </c>
      <c r="S3" s="244">
        <f t="shared" si="9"/>
        <v>5.6826770399999997</v>
      </c>
      <c r="T3" s="244">
        <f t="shared" si="10"/>
        <v>405.3107696400001</v>
      </c>
      <c r="U3" s="244">
        <f t="shared" si="11"/>
        <v>44.035714285714334</v>
      </c>
      <c r="V3" s="246">
        <f t="shared" si="12"/>
        <v>-38.346483925714438</v>
      </c>
      <c r="W3" s="247">
        <f t="shared" si="13"/>
        <v>-9.3300447507821016E-2</v>
      </c>
      <c r="X3" s="248">
        <v>411</v>
      </c>
      <c r="Y3" s="183">
        <f t="shared" si="14"/>
        <v>307.97000000000003</v>
      </c>
      <c r="Z3" s="179">
        <f>VLOOKUP(C3,'Amazon Live Products'!E:AF,28,0)</f>
        <v>299</v>
      </c>
      <c r="AA3" s="244">
        <f>VLOOKUP(D3,'Amazon Live Products'!F:AI,29,0)</f>
        <v>0</v>
      </c>
      <c r="AB3" s="43"/>
      <c r="AC3" s="43"/>
      <c r="AD3" s="43"/>
      <c r="AE3" s="43"/>
      <c r="AF3" s="43"/>
      <c r="AG3" s="44"/>
      <c r="AH3" s="44"/>
    </row>
    <row r="4" spans="1:34">
      <c r="A4" s="43">
        <f t="shared" si="15"/>
        <v>3</v>
      </c>
      <c r="B4" s="69" t="s">
        <v>953</v>
      </c>
      <c r="C4" s="69" t="s">
        <v>335</v>
      </c>
      <c r="D4" s="43" t="str">
        <f>VLOOKUP(C4,'Amazon Live Products'!E:F,2,0)</f>
        <v>B0CSG2JZ19</v>
      </c>
      <c r="E4" s="43" t="e">
        <v>#N/A</v>
      </c>
      <c r="F4" s="69" t="str">
        <f>VLOOKUP(C4,'Margin Calculation'!F:H,3,0)</f>
        <v>ET-02-GN</v>
      </c>
      <c r="G4" s="69" t="str">
        <f>VLOOKUP(C4,'Margin Calculation'!F:M,8,0)</f>
        <v>Electric Toothbrush - Green - Humm</v>
      </c>
      <c r="H4" s="244">
        <f>VLOOKUP(C4,'Margin Calculation'!F:Y,20,0)</f>
        <v>240.79140000000001</v>
      </c>
      <c r="I4" s="244">
        <f>VLOOKUP(C4,'Margin Calculation'!$F:$Z,21)</f>
        <v>284.13385199999999</v>
      </c>
      <c r="J4" s="244">
        <f t="shared" si="0"/>
        <v>41.1</v>
      </c>
      <c r="K4" s="244">
        <f t="shared" si="1"/>
        <v>24.66</v>
      </c>
      <c r="L4" s="244">
        <f t="shared" si="2"/>
        <v>20.55</v>
      </c>
      <c r="M4" s="244">
        <f t="shared" si="3"/>
        <v>8.2200000000000006</v>
      </c>
      <c r="N4" s="244">
        <f t="shared" si="4"/>
        <v>9</v>
      </c>
      <c r="O4" s="244">
        <f t="shared" si="5"/>
        <v>41.1</v>
      </c>
      <c r="P4" s="244">
        <f t="shared" si="6"/>
        <v>41.88</v>
      </c>
      <c r="Q4" s="245">
        <f t="shared" si="7"/>
        <v>0.1018978102189781</v>
      </c>
      <c r="R4" s="244">
        <f t="shared" si="8"/>
        <v>14.2066926</v>
      </c>
      <c r="S4" s="244">
        <f t="shared" si="9"/>
        <v>5.6826770399999997</v>
      </c>
      <c r="T4" s="244">
        <f t="shared" si="10"/>
        <v>405.3107696400001</v>
      </c>
      <c r="U4" s="244">
        <f t="shared" si="11"/>
        <v>44.035714285714334</v>
      </c>
      <c r="V4" s="246">
        <f t="shared" si="12"/>
        <v>-38.346483925714438</v>
      </c>
      <c r="W4" s="247">
        <f t="shared" si="13"/>
        <v>-9.3300447507821016E-2</v>
      </c>
      <c r="X4" s="248">
        <v>411</v>
      </c>
      <c r="Y4" s="183">
        <f t="shared" si="14"/>
        <v>307.97000000000003</v>
      </c>
      <c r="Z4" s="179">
        <f>VLOOKUP(C4,'Amazon Live Products'!E:AF,28,0)</f>
        <v>299</v>
      </c>
      <c r="AA4" s="244">
        <f>VLOOKUP(D4,'Amazon Live Products'!F:AI,29,0)</f>
        <v>0</v>
      </c>
      <c r="AB4" s="43"/>
      <c r="AC4" s="43"/>
      <c r="AD4" s="43"/>
      <c r="AE4" s="43"/>
      <c r="AF4" s="43"/>
      <c r="AG4" s="44"/>
      <c r="AH4" s="44"/>
    </row>
    <row r="5" spans="1:34">
      <c r="A5" s="43">
        <f t="shared" si="15"/>
        <v>4</v>
      </c>
      <c r="B5" s="69" t="s">
        <v>934</v>
      </c>
      <c r="C5" s="69" t="s">
        <v>340</v>
      </c>
      <c r="D5" s="43" t="e">
        <f>VLOOKUP(C5,'Amazon Live Products'!E:F,2,0)</f>
        <v>#N/A</v>
      </c>
      <c r="E5" s="43">
        <v>34688750</v>
      </c>
      <c r="F5" s="69" t="str">
        <f>VLOOKUP(C5,'Margin Calculation'!F:H,3,0)</f>
        <v>ET-03-BL</v>
      </c>
      <c r="G5" s="69" t="str">
        <f>VLOOKUP(C5,'Margin Calculation'!F:M,8,0)</f>
        <v>Electric Toothbrush - Blue-One Mode-Sparkle</v>
      </c>
      <c r="H5" s="244">
        <f>VLOOKUP(C5,'Margin Calculation'!F:Y,20,0)</f>
        <v>165.75408000000002</v>
      </c>
      <c r="I5" s="244">
        <f>VLOOKUP(C5,'Margin Calculation'!$F:$Z,21)</f>
        <v>195.58981439999999</v>
      </c>
      <c r="J5" s="244">
        <f t="shared" si="0"/>
        <v>41.1</v>
      </c>
      <c r="K5" s="244">
        <f t="shared" si="1"/>
        <v>24.66</v>
      </c>
      <c r="L5" s="244">
        <f t="shared" si="2"/>
        <v>20.55</v>
      </c>
      <c r="M5" s="244">
        <f t="shared" si="3"/>
        <v>8.2200000000000006</v>
      </c>
      <c r="N5" s="244">
        <f t="shared" si="4"/>
        <v>9</v>
      </c>
      <c r="O5" s="244">
        <f t="shared" si="5"/>
        <v>41.1</v>
      </c>
      <c r="P5" s="244">
        <f t="shared" si="6"/>
        <v>41.88</v>
      </c>
      <c r="Q5" s="245">
        <f t="shared" si="7"/>
        <v>0.1018978102189781</v>
      </c>
      <c r="R5" s="244">
        <f t="shared" si="8"/>
        <v>9.7794907200000001</v>
      </c>
      <c r="S5" s="244">
        <f t="shared" si="9"/>
        <v>3.9117962880000001</v>
      </c>
      <c r="T5" s="244">
        <f t="shared" si="10"/>
        <v>324.07536700800006</v>
      </c>
      <c r="U5" s="244">
        <f t="shared" si="11"/>
        <v>44.035714285714334</v>
      </c>
      <c r="V5" s="246">
        <f t="shared" si="12"/>
        <v>42.888918706285608</v>
      </c>
      <c r="W5" s="247">
        <f t="shared" si="13"/>
        <v>0.10435260025860245</v>
      </c>
      <c r="X5" s="248">
        <v>411</v>
      </c>
      <c r="Y5" s="183" t="e">
        <f t="shared" si="14"/>
        <v>#N/A</v>
      </c>
      <c r="Z5" s="179" t="e">
        <f>VLOOKUP(C5,'Amazon Live Products'!E:AF,28,0)</f>
        <v>#N/A</v>
      </c>
      <c r="AA5" s="244" t="e">
        <f>VLOOKUP(D5,'Amazon Live Products'!F:AI,29,0)</f>
        <v>#N/A</v>
      </c>
      <c r="AB5" s="43"/>
      <c r="AC5" s="43"/>
      <c r="AD5" s="43"/>
      <c r="AE5" s="43"/>
      <c r="AF5" s="43"/>
      <c r="AG5" s="44"/>
      <c r="AH5" s="44"/>
    </row>
    <row r="6" spans="1:34">
      <c r="A6" s="43">
        <f t="shared" si="15"/>
        <v>5</v>
      </c>
      <c r="B6" s="69" t="s">
        <v>934</v>
      </c>
      <c r="C6" s="69" t="s">
        <v>434</v>
      </c>
      <c r="D6" s="43" t="str">
        <f>VLOOKUP(C6,'Amazon Live Products'!E:F,2,0)</f>
        <v>B0D2LHNS9B</v>
      </c>
      <c r="E6" s="43">
        <v>33543114</v>
      </c>
      <c r="F6" s="69" t="str">
        <f>VLOOKUP(C6,'Margin Calculation'!F:H,3,0)</f>
        <v>CR-01</v>
      </c>
      <c r="G6" s="69" t="str">
        <f>VLOOKUP(C6,'Margin Calculation'!F:M,8,0)</f>
        <v>Smooth Sole Callus Remover</v>
      </c>
      <c r="H6" s="244">
        <f>VLOOKUP(C6,'Margin Calculation'!F:Y,20,0)</f>
        <v>456.50304000000006</v>
      </c>
      <c r="I6" s="244">
        <f>VLOOKUP(C6,'Margin Calculation'!F:Z,21,0)</f>
        <v>538.67358720000004</v>
      </c>
      <c r="J6" s="244">
        <f t="shared" si="0"/>
        <v>92.600000000000009</v>
      </c>
      <c r="K6" s="244">
        <f t="shared" si="1"/>
        <v>55.559999999999995</v>
      </c>
      <c r="L6" s="244">
        <f t="shared" si="2"/>
        <v>46.300000000000004</v>
      </c>
      <c r="M6" s="244">
        <f t="shared" si="3"/>
        <v>18.52</v>
      </c>
      <c r="N6" s="244">
        <f t="shared" si="4"/>
        <v>21</v>
      </c>
      <c r="O6" s="244">
        <f t="shared" si="5"/>
        <v>92.600000000000009</v>
      </c>
      <c r="P6" s="244">
        <f t="shared" si="6"/>
        <v>95.08</v>
      </c>
      <c r="Q6" s="245">
        <f t="shared" si="7"/>
        <v>0.10267818574514039</v>
      </c>
      <c r="R6" s="244">
        <f t="shared" si="8"/>
        <v>26.933679360000003</v>
      </c>
      <c r="S6" s="244">
        <f t="shared" si="9"/>
        <v>10.773471744000002</v>
      </c>
      <c r="T6" s="244">
        <f t="shared" si="10"/>
        <v>820.79019110399997</v>
      </c>
      <c r="U6" s="244">
        <f t="shared" si="11"/>
        <v>99.214285714285779</v>
      </c>
      <c r="V6" s="246">
        <f t="shared" si="12"/>
        <v>5.9955231817142476</v>
      </c>
      <c r="W6" s="247">
        <f t="shared" si="13"/>
        <v>6.4746470644862289E-3</v>
      </c>
      <c r="X6" s="248">
        <v>926</v>
      </c>
      <c r="Y6" s="183">
        <f t="shared" si="14"/>
        <v>802.37</v>
      </c>
      <c r="Z6" s="179">
        <f>VLOOKUP(C6,'Amazon Live Products'!E:AF,28,0)</f>
        <v>779</v>
      </c>
      <c r="AA6" s="244">
        <f>VLOOKUP(D6,'Amazon Live Products'!F:AI,29,0)</f>
        <v>0</v>
      </c>
      <c r="AB6" s="43"/>
      <c r="AC6" s="43"/>
      <c r="AD6" s="43"/>
      <c r="AE6" s="43"/>
      <c r="AF6" s="43"/>
      <c r="AG6" s="44"/>
      <c r="AH6" s="44"/>
    </row>
    <row r="7" spans="1:34">
      <c r="A7" s="43">
        <f t="shared" si="15"/>
        <v>6</v>
      </c>
      <c r="B7" s="69" t="s">
        <v>934</v>
      </c>
      <c r="C7" s="69" t="s">
        <v>441</v>
      </c>
      <c r="D7" s="43" t="str">
        <f>VLOOKUP(C7,'Amazon Live Products'!E:F,2,0)</f>
        <v>B0D2LGR3GG</v>
      </c>
      <c r="E7" s="43">
        <v>33203081</v>
      </c>
      <c r="F7" s="69" t="str">
        <f>VLOOKUP(C7,'Margin Calculation'!F:H,3,0)</f>
        <v>T-01</v>
      </c>
      <c r="G7" s="69" t="str">
        <f>VLOOKUP(C7,'Margin Calculation'!F:M,8,0)</f>
        <v>Velvet Vibe Multi-Trimmer</v>
      </c>
      <c r="H7" s="244">
        <f>VLOOKUP(C7,'Margin Calculation'!F:Y,20,0)</f>
        <v>443.50416000000001</v>
      </c>
      <c r="I7" s="244">
        <f>VLOOKUP(C7,'Margin Calculation'!F:Z,21,0)</f>
        <v>523.33490879999999</v>
      </c>
      <c r="J7" s="244">
        <f t="shared" si="0"/>
        <v>92.600000000000009</v>
      </c>
      <c r="K7" s="244">
        <f t="shared" si="1"/>
        <v>55.559999999999995</v>
      </c>
      <c r="L7" s="244">
        <f t="shared" si="2"/>
        <v>46.300000000000004</v>
      </c>
      <c r="M7" s="244">
        <f t="shared" si="3"/>
        <v>18.52</v>
      </c>
      <c r="N7" s="244">
        <f t="shared" si="4"/>
        <v>21</v>
      </c>
      <c r="O7" s="244">
        <f t="shared" si="5"/>
        <v>92.600000000000009</v>
      </c>
      <c r="P7" s="244">
        <f t="shared" si="6"/>
        <v>95.08</v>
      </c>
      <c r="Q7" s="245">
        <f t="shared" si="7"/>
        <v>0.10267818574514039</v>
      </c>
      <c r="R7" s="244">
        <f t="shared" si="8"/>
        <v>26.16674544</v>
      </c>
      <c r="S7" s="244">
        <f t="shared" si="9"/>
        <v>10.466698176</v>
      </c>
      <c r="T7" s="244">
        <f t="shared" si="10"/>
        <v>806.71760361599991</v>
      </c>
      <c r="U7" s="244">
        <f t="shared" si="11"/>
        <v>99.214285714285779</v>
      </c>
      <c r="V7" s="246">
        <f t="shared" si="12"/>
        <v>20.068110669714315</v>
      </c>
      <c r="W7" s="247">
        <f t="shared" si="13"/>
        <v>2.1671825777229283E-2</v>
      </c>
      <c r="X7" s="248">
        <v>926</v>
      </c>
      <c r="Y7" s="183">
        <f t="shared" si="14"/>
        <v>1028.97</v>
      </c>
      <c r="Z7" s="179">
        <f>VLOOKUP(C7,'Amazon Live Products'!E:AF,28,0)</f>
        <v>999</v>
      </c>
      <c r="AA7" s="244">
        <f>VLOOKUP(D7,'Amazon Live Products'!F:AI,29,0)</f>
        <v>0</v>
      </c>
      <c r="AB7" s="43"/>
      <c r="AC7" s="43"/>
      <c r="AD7" s="43"/>
      <c r="AE7" s="43"/>
      <c r="AF7" s="43"/>
      <c r="AG7" s="44"/>
      <c r="AH7" s="44"/>
    </row>
    <row r="8" spans="1:34">
      <c r="A8" s="43">
        <f t="shared" si="15"/>
        <v>7</v>
      </c>
      <c r="B8" s="69" t="s">
        <v>934</v>
      </c>
      <c r="C8" s="69" t="s">
        <v>448</v>
      </c>
      <c r="D8" s="43" t="str">
        <f>VLOOKUP(C8,'Amazon Live Products'!E:F,2,0)</f>
        <v>B0D2LD6BYJ</v>
      </c>
      <c r="E8" s="43">
        <v>108105487</v>
      </c>
      <c r="F8" s="69" t="str">
        <f>VLOOKUP(C8,'Margin Calculation'!F:H,3,0)</f>
        <v>T-02</v>
      </c>
      <c r="G8" s="69" t="str">
        <f>VLOOKUP(C8,'Margin Calculation'!F:M,8,0)</f>
        <v>Velvet Vibe Plus Multi-Trimmer</v>
      </c>
      <c r="H8" s="244">
        <f>VLOOKUP(C8,'Margin Calculation'!F:Y,20,0)</f>
        <v>520.78140000000008</v>
      </c>
      <c r="I8" s="244">
        <f>VLOOKUP(C8,'Margin Calculation'!F:Z,21,0)</f>
        <v>614.52205200000003</v>
      </c>
      <c r="J8" s="244">
        <f t="shared" si="0"/>
        <v>144.1</v>
      </c>
      <c r="K8" s="244">
        <f t="shared" si="1"/>
        <v>86.46</v>
      </c>
      <c r="L8" s="244">
        <f t="shared" si="2"/>
        <v>72.05</v>
      </c>
      <c r="M8" s="244">
        <f t="shared" si="3"/>
        <v>28.82</v>
      </c>
      <c r="N8" s="244">
        <f t="shared" si="4"/>
        <v>57</v>
      </c>
      <c r="O8" s="244">
        <f t="shared" si="5"/>
        <v>144.1</v>
      </c>
      <c r="P8" s="244">
        <f t="shared" si="6"/>
        <v>172.28</v>
      </c>
      <c r="Q8" s="245">
        <f t="shared" si="7"/>
        <v>0.1195558639833449</v>
      </c>
      <c r="R8" s="244">
        <f t="shared" si="8"/>
        <v>30.726102600000004</v>
      </c>
      <c r="S8" s="244">
        <f t="shared" si="9"/>
        <v>12.290441040000001</v>
      </c>
      <c r="T8" s="244">
        <f t="shared" si="10"/>
        <v>1096.3279436400001</v>
      </c>
      <c r="U8" s="244">
        <f t="shared" si="11"/>
        <v>154.39285714285734</v>
      </c>
      <c r="V8" s="246">
        <f t="shared" si="12"/>
        <v>190.2791992171426</v>
      </c>
      <c r="W8" s="247">
        <f t="shared" si="13"/>
        <v>0.13204663373847508</v>
      </c>
      <c r="X8" s="248">
        <v>1441</v>
      </c>
      <c r="Y8" s="183">
        <f t="shared" si="14"/>
        <v>1131.97</v>
      </c>
      <c r="Z8" s="179">
        <f>VLOOKUP(C8,'Amazon Live Products'!E:AF,28,0)</f>
        <v>1099</v>
      </c>
      <c r="AA8" s="244">
        <f>VLOOKUP(D8,'Amazon Live Products'!F:AI,29,0)</f>
        <v>0</v>
      </c>
      <c r="AB8" s="43"/>
      <c r="AC8" s="43"/>
      <c r="AD8" s="43"/>
      <c r="AE8" s="43"/>
      <c r="AF8" s="43"/>
      <c r="AG8" s="44"/>
      <c r="AH8" s="44"/>
    </row>
    <row r="9" spans="1:34">
      <c r="A9" s="43">
        <f t="shared" si="15"/>
        <v>8</v>
      </c>
      <c r="B9" s="69" t="s">
        <v>934</v>
      </c>
      <c r="C9" s="69" t="s">
        <v>462</v>
      </c>
      <c r="D9" s="43" t="str">
        <f>VLOOKUP(C9,'Amazon Live Products'!E:F,2,0)</f>
        <v>B0D83Q7L8W</v>
      </c>
      <c r="E9" s="43">
        <v>33119190</v>
      </c>
      <c r="F9" s="69" t="str">
        <f>VLOOKUP(C9,'Margin Calculation'!F:H,3,0)</f>
        <v>V-01</v>
      </c>
      <c r="G9" s="69" t="str">
        <f>VLOOKUP(C9,'Margin Calculation'!F:M,8,0)</f>
        <v>Nexlev Volumizer</v>
      </c>
      <c r="H9" s="244">
        <f>VLOOKUP(C9,'Margin Calculation'!F:Y,20,0)</f>
        <v>615.97800000000007</v>
      </c>
      <c r="I9" s="244">
        <f>VLOOKUP(C9,'Margin Calculation'!F:Z,21,0)</f>
        <v>726.85404000000005</v>
      </c>
      <c r="J9" s="244">
        <f t="shared" si="0"/>
        <v>128.64700000000002</v>
      </c>
      <c r="K9" s="244">
        <f t="shared" si="1"/>
        <v>77.188199999999995</v>
      </c>
      <c r="L9" s="244">
        <f t="shared" si="2"/>
        <v>64.32350000000001</v>
      </c>
      <c r="M9" s="244">
        <f t="shared" si="3"/>
        <v>25.729400000000002</v>
      </c>
      <c r="N9" s="244">
        <f t="shared" si="4"/>
        <v>57</v>
      </c>
      <c r="O9" s="244">
        <f t="shared" si="5"/>
        <v>128.64700000000002</v>
      </c>
      <c r="P9" s="244">
        <f t="shared" si="6"/>
        <v>159.91759999999999</v>
      </c>
      <c r="Q9" s="245">
        <f t="shared" si="7"/>
        <v>0.12430729049258823</v>
      </c>
      <c r="R9" s="244">
        <f t="shared" si="8"/>
        <v>36.342702000000003</v>
      </c>
      <c r="S9" s="244">
        <f t="shared" si="9"/>
        <v>14.537080800000002</v>
      </c>
      <c r="T9" s="244">
        <f t="shared" si="10"/>
        <v>1148.3928828000001</v>
      </c>
      <c r="U9" s="244">
        <f t="shared" si="11"/>
        <v>137.83607142857159</v>
      </c>
      <c r="V9" s="246">
        <f t="shared" si="12"/>
        <v>0.24104577142838934</v>
      </c>
      <c r="W9" s="247">
        <f t="shared" si="13"/>
        <v>1.8736991257346797E-4</v>
      </c>
      <c r="X9" s="248">
        <f>Z9*(1+0.03)</f>
        <v>1286.47</v>
      </c>
      <c r="Y9" s="183">
        <f t="shared" si="14"/>
        <v>1286.47</v>
      </c>
      <c r="Z9" s="179">
        <f>VLOOKUP(C9,'Amazon Live Products'!E:AF,28,0)</f>
        <v>1249</v>
      </c>
      <c r="AA9" s="244">
        <f>VLOOKUP(D9,'Amazon Live Products'!F:AI,29,0)</f>
        <v>0</v>
      </c>
      <c r="AB9" s="43"/>
      <c r="AC9" s="43"/>
      <c r="AD9" s="43"/>
      <c r="AE9" s="43"/>
      <c r="AF9" s="43"/>
      <c r="AG9" s="44"/>
      <c r="AH9" s="44"/>
    </row>
    <row r="10" spans="1:34">
      <c r="A10" s="43">
        <f t="shared" si="15"/>
        <v>9</v>
      </c>
      <c r="B10" s="69"/>
      <c r="C10" s="69" t="s">
        <v>468</v>
      </c>
      <c r="D10" s="43" t="str">
        <f>VLOOKUP(C10,'Amazon Live Products'!E:F,2,0)</f>
        <v>B0DQ8W1RBV</v>
      </c>
      <c r="E10" s="43">
        <v>34688052</v>
      </c>
      <c r="F10" s="69" t="str">
        <f>VLOOKUP(C10,'Margin Calculation'!F:H,3,0)</f>
        <v>V-01 Rose Gold</v>
      </c>
      <c r="G10" s="69" t="str">
        <f>VLOOKUP(C10,'Margin Calculation'!F:M,8,0)</f>
        <v>Nexlev Volumizer</v>
      </c>
      <c r="H10" s="244">
        <f>VLOOKUP(C10,'Margin Calculation'!F:Y,20,0)</f>
        <v>559.9799999999999</v>
      </c>
      <c r="I10" s="244">
        <f>VLOOKUP(C10,'Margin Calculation'!F:Z,21,0)</f>
        <v>660.77639999999985</v>
      </c>
      <c r="J10" s="244">
        <f t="shared" si="0"/>
        <v>139</v>
      </c>
      <c r="K10" s="244">
        <f t="shared" si="1"/>
        <v>83.399999999999991</v>
      </c>
      <c r="L10" s="244">
        <f t="shared" si="2"/>
        <v>69.5</v>
      </c>
      <c r="M10" s="244">
        <f t="shared" si="3"/>
        <v>27.8</v>
      </c>
      <c r="N10" s="244">
        <f t="shared" si="4"/>
        <v>57</v>
      </c>
      <c r="O10" s="244">
        <f t="shared" si="5"/>
        <v>139</v>
      </c>
      <c r="P10" s="244">
        <f t="shared" si="6"/>
        <v>168.2</v>
      </c>
      <c r="Q10" s="245">
        <f t="shared" si="7"/>
        <v>0.12100719424460431</v>
      </c>
      <c r="R10" s="244">
        <f t="shared" si="8"/>
        <v>33.038819999999994</v>
      </c>
      <c r="S10" s="244">
        <f t="shared" si="9"/>
        <v>13.215527999999997</v>
      </c>
      <c r="T10" s="244">
        <f t="shared" si="10"/>
        <v>1121.9343479999998</v>
      </c>
      <c r="U10" s="244">
        <f t="shared" si="11"/>
        <v>148.92857142857156</v>
      </c>
      <c r="V10" s="246">
        <f t="shared" si="12"/>
        <v>119.13708057142867</v>
      </c>
      <c r="W10" s="247">
        <f t="shared" si="13"/>
        <v>8.5710129907502638E-2</v>
      </c>
      <c r="X10" s="248">
        <v>1390</v>
      </c>
      <c r="Y10" s="183">
        <f t="shared" si="14"/>
        <v>1543.97</v>
      </c>
      <c r="Z10" s="179">
        <f>VLOOKUP(C10,'Amazon Live Products'!E:AF,28,0)</f>
        <v>1499</v>
      </c>
      <c r="AA10" s="244">
        <f>VLOOKUP(D10,'Amazon Live Products'!F:AI,29,0)</f>
        <v>0</v>
      </c>
      <c r="AB10" s="43"/>
      <c r="AC10" s="43"/>
      <c r="AD10" s="43"/>
      <c r="AE10" s="43"/>
      <c r="AF10" s="43"/>
      <c r="AG10" s="44"/>
      <c r="AH10" s="44"/>
    </row>
    <row r="11" spans="1:34">
      <c r="A11" s="43">
        <f t="shared" si="15"/>
        <v>10</v>
      </c>
      <c r="B11" s="102" t="s">
        <v>934</v>
      </c>
      <c r="C11" s="44" t="s">
        <v>485</v>
      </c>
      <c r="D11" s="43" t="str">
        <f>VLOOKUP(C11,'Amazon Live Products'!E:F,2,0)</f>
        <v>B0D2LFMY48</v>
      </c>
      <c r="E11" s="43">
        <v>33088733</v>
      </c>
      <c r="F11" s="69" t="str">
        <f>VLOOKUP(C11,'Margin Calculation'!F:H,3,0)</f>
        <v>HS-01_NE</v>
      </c>
      <c r="G11" s="69" t="str">
        <f>VLOOKUP(C11,'Margin Calculation'!F:M,8,0)</f>
        <v>Nexlev Hair Straightener - Black New</v>
      </c>
      <c r="H11" s="244">
        <f>VLOOKUP(C11,'Margin Calculation'!F:Y,20,0)</f>
        <v>321.42851999999999</v>
      </c>
      <c r="I11" s="244">
        <f>VLOOKUP(C11,'Margin Calculation'!F:Z,21,0)</f>
        <v>379.28565359999999</v>
      </c>
      <c r="J11" s="244">
        <f t="shared" si="0"/>
        <v>72</v>
      </c>
      <c r="K11" s="244">
        <f t="shared" si="1"/>
        <v>43.199999999999996</v>
      </c>
      <c r="L11" s="244">
        <f t="shared" si="2"/>
        <v>36</v>
      </c>
      <c r="M11" s="244">
        <f t="shared" si="3"/>
        <v>14.4</v>
      </c>
      <c r="N11" s="244">
        <f t="shared" si="4"/>
        <v>17</v>
      </c>
      <c r="O11" s="244">
        <f t="shared" si="5"/>
        <v>72</v>
      </c>
      <c r="P11" s="244">
        <f t="shared" si="6"/>
        <v>74.599999999999994</v>
      </c>
      <c r="Q11" s="245">
        <f t="shared" si="7"/>
        <v>0.1036111111111111</v>
      </c>
      <c r="R11" s="244">
        <f t="shared" si="8"/>
        <v>18.96428268</v>
      </c>
      <c r="S11" s="244">
        <f t="shared" si="9"/>
        <v>7.5857130719999999</v>
      </c>
      <c r="T11" s="244">
        <f t="shared" si="10"/>
        <v>602.57851575199993</v>
      </c>
      <c r="U11" s="244">
        <f t="shared" si="11"/>
        <v>77.142857142857224</v>
      </c>
      <c r="V11" s="246">
        <f t="shared" si="12"/>
        <v>40.278627105142846</v>
      </c>
      <c r="W11" s="247">
        <f t="shared" si="13"/>
        <v>5.5942537646031729E-2</v>
      </c>
      <c r="X11" s="248">
        <v>720</v>
      </c>
      <c r="Y11" s="183">
        <f t="shared" si="14"/>
        <v>822.97</v>
      </c>
      <c r="Z11" s="179">
        <f>VLOOKUP(C11,'Amazon Live Products'!E:AF,28,0)</f>
        <v>799</v>
      </c>
      <c r="AA11" s="244">
        <f>VLOOKUP(D11,'Amazon Live Products'!F:AI,29,0)</f>
        <v>0</v>
      </c>
      <c r="AB11" s="43"/>
      <c r="AC11" s="43"/>
      <c r="AD11" s="43"/>
      <c r="AE11" s="43"/>
      <c r="AF11" s="43"/>
      <c r="AG11" s="44"/>
      <c r="AH11" s="44"/>
    </row>
    <row r="12" spans="1:34">
      <c r="A12" s="43">
        <f t="shared" si="15"/>
        <v>11</v>
      </c>
      <c r="B12" s="102" t="s">
        <v>934</v>
      </c>
      <c r="C12" s="44" t="s">
        <v>488</v>
      </c>
      <c r="D12" s="43" t="str">
        <f>VLOOKUP(C12,'Amazon Live Products'!E:F,2,0)</f>
        <v>B0D2LKB4BJ</v>
      </c>
      <c r="E12" s="43">
        <v>33093072</v>
      </c>
      <c r="F12" s="69" t="str">
        <f>VLOOKUP(C12,'Margin Calculation'!F:H,3,0)</f>
        <v>HS-02_NE</v>
      </c>
      <c r="G12" s="69" t="str">
        <f>VLOOKUP(C12,'Margin Calculation'!F:M,8,0)</f>
        <v>Nexlev Hair Straightener - Purple New</v>
      </c>
      <c r="H12" s="244">
        <f>VLOOKUP(C12,'Margin Calculation'!F:Y,20,0)</f>
        <v>331.50816000000003</v>
      </c>
      <c r="I12" s="244">
        <f>VLOOKUP(C12,'Margin Calculation'!F:Z,21,0)</f>
        <v>391.17962879999999</v>
      </c>
      <c r="J12" s="244">
        <f t="shared" si="0"/>
        <v>82.300000000000011</v>
      </c>
      <c r="K12" s="244">
        <f t="shared" si="1"/>
        <v>49.379999999999995</v>
      </c>
      <c r="L12" s="244">
        <f t="shared" si="2"/>
        <v>41.150000000000006</v>
      </c>
      <c r="M12" s="244">
        <f t="shared" si="3"/>
        <v>16.46</v>
      </c>
      <c r="N12" s="244">
        <f t="shared" si="4"/>
        <v>21</v>
      </c>
      <c r="O12" s="244">
        <f t="shared" si="5"/>
        <v>82.300000000000011</v>
      </c>
      <c r="P12" s="244">
        <f t="shared" si="6"/>
        <v>86.84</v>
      </c>
      <c r="Q12" s="245">
        <f t="shared" si="7"/>
        <v>0.10551640340218713</v>
      </c>
      <c r="R12" s="244">
        <f t="shared" si="8"/>
        <v>19.55898144</v>
      </c>
      <c r="S12" s="244">
        <f t="shared" si="9"/>
        <v>7.8235925760000002</v>
      </c>
      <c r="T12" s="244">
        <f t="shared" si="10"/>
        <v>651.48073401600004</v>
      </c>
      <c r="U12" s="244">
        <f t="shared" si="11"/>
        <v>88.178571428571445</v>
      </c>
      <c r="V12" s="246">
        <f t="shared" si="12"/>
        <v>83.340694555428513</v>
      </c>
      <c r="W12" s="247">
        <f t="shared" si="13"/>
        <v>0.10126451343308446</v>
      </c>
      <c r="X12" s="248">
        <v>823</v>
      </c>
      <c r="Y12" s="183">
        <f t="shared" si="14"/>
        <v>874.47</v>
      </c>
      <c r="Z12" s="179">
        <f>VLOOKUP(C12,'Amazon Live Products'!E:AF,28,0)</f>
        <v>849</v>
      </c>
      <c r="AA12" s="244">
        <f>VLOOKUP(D12,'Amazon Live Products'!F:AI,29,0)</f>
        <v>0</v>
      </c>
      <c r="AB12" s="43"/>
      <c r="AC12" s="43"/>
      <c r="AD12" s="43"/>
      <c r="AE12" s="43"/>
      <c r="AF12" s="43"/>
      <c r="AG12" s="44"/>
      <c r="AH12" s="44"/>
    </row>
    <row r="13" spans="1:34">
      <c r="A13" s="43">
        <f t="shared" si="15"/>
        <v>12</v>
      </c>
      <c r="B13" s="102" t="s">
        <v>934</v>
      </c>
      <c r="C13" s="69" t="s">
        <v>508</v>
      </c>
      <c r="D13" s="43" t="str">
        <f>VLOOKUP(C13,'Amazon Live Products'!E:F,2,0)</f>
        <v>B0D86ZC9YT</v>
      </c>
      <c r="E13" s="43">
        <v>33107975</v>
      </c>
      <c r="F13" s="69" t="str">
        <f>VLOOKUP(C13,'Margin Calculation'!F:H,3,0)</f>
        <v>HD-01</v>
      </c>
      <c r="G13" s="69" t="str">
        <f>VLOOKUP(C13,'Margin Calculation'!F:M,8,0)</f>
        <v>Nexlev Hair Dryer</v>
      </c>
      <c r="H13" s="244">
        <f>VLOOKUP(C13,'Margin Calculation'!F:Y,20,0)</f>
        <v>655.17660000000001</v>
      </c>
      <c r="I13" s="244">
        <f>VLOOKUP(C13,'Margin Calculation'!F:Z,21,0)</f>
        <v>773.10838799999999</v>
      </c>
      <c r="J13" s="244">
        <f t="shared" si="0"/>
        <v>154.4</v>
      </c>
      <c r="K13" s="244">
        <f t="shared" si="1"/>
        <v>92.64</v>
      </c>
      <c r="L13" s="244">
        <f t="shared" si="2"/>
        <v>77.2</v>
      </c>
      <c r="M13" s="244">
        <f t="shared" si="3"/>
        <v>30.88</v>
      </c>
      <c r="N13" s="244">
        <f t="shared" si="4"/>
        <v>57</v>
      </c>
      <c r="O13" s="244">
        <f t="shared" si="5"/>
        <v>154.4</v>
      </c>
      <c r="P13" s="244">
        <f t="shared" si="6"/>
        <v>180.51999999999998</v>
      </c>
      <c r="Q13" s="245">
        <f t="shared" si="7"/>
        <v>0.11691709844559585</v>
      </c>
      <c r="R13" s="244">
        <f t="shared" si="8"/>
        <v>38.6554194</v>
      </c>
      <c r="S13" s="244">
        <f t="shared" si="9"/>
        <v>15.46216776</v>
      </c>
      <c r="T13" s="244">
        <f t="shared" si="10"/>
        <v>1275.8141871600003</v>
      </c>
      <c r="U13" s="244">
        <f t="shared" si="11"/>
        <v>165.42857142857156</v>
      </c>
      <c r="V13" s="246">
        <f t="shared" si="12"/>
        <v>102.75724141142814</v>
      </c>
      <c r="W13" s="247">
        <f t="shared" si="13"/>
        <v>6.6552617494448282E-2</v>
      </c>
      <c r="X13" s="248">
        <v>1544</v>
      </c>
      <c r="Y13" s="183">
        <f t="shared" si="14"/>
        <v>1280.29</v>
      </c>
      <c r="Z13" s="179">
        <f>VLOOKUP(C13,'Amazon Live Products'!E:AF,28,0)</f>
        <v>1243</v>
      </c>
      <c r="AA13" s="244">
        <v>2499</v>
      </c>
      <c r="AB13" s="43"/>
      <c r="AC13" s="43"/>
      <c r="AD13" s="43"/>
      <c r="AE13" s="43"/>
      <c r="AF13" s="43"/>
      <c r="AG13" s="44"/>
      <c r="AH13" s="44"/>
    </row>
    <row r="14" spans="1:34">
      <c r="A14" s="43">
        <f t="shared" si="15"/>
        <v>13</v>
      </c>
      <c r="B14" s="102" t="s">
        <v>934</v>
      </c>
      <c r="C14" s="102" t="s">
        <v>538</v>
      </c>
      <c r="D14" s="43" t="str">
        <f>VLOOKUP(C14,'Amazon Live Products'!E:F,2,0)</f>
        <v>B0D81DLSFT</v>
      </c>
      <c r="E14" s="43">
        <v>33108818</v>
      </c>
      <c r="F14" s="69" t="str">
        <f>VLOOKUP(C14,'Margin Calculation'!F:H,3,0)</f>
        <v>HD-02</v>
      </c>
      <c r="G14" s="69" t="str">
        <f>VLOOKUP(C14,'Margin Calculation'!F:M,8,0)</f>
        <v>Nexlev Hair Dryer 1500W - Women</v>
      </c>
      <c r="H14" s="244">
        <f>VLOOKUP(C14,'Margin Calculation'!F:Y,20,0)</f>
        <v>379.66644000000002</v>
      </c>
      <c r="I14" s="244">
        <f>VLOOKUP(C14,'Margin Calculation'!F:Z,21,0)</f>
        <v>448.00639919999998</v>
      </c>
      <c r="J14" s="244">
        <f t="shared" si="0"/>
        <v>102.9</v>
      </c>
      <c r="K14" s="244">
        <f t="shared" si="1"/>
        <v>61.739999999999995</v>
      </c>
      <c r="L14" s="244">
        <f t="shared" si="2"/>
        <v>51.45</v>
      </c>
      <c r="M14" s="244">
        <f t="shared" si="3"/>
        <v>20.580000000000002</v>
      </c>
      <c r="N14" s="244">
        <f t="shared" si="4"/>
        <v>57</v>
      </c>
      <c r="O14" s="244">
        <f t="shared" si="5"/>
        <v>102.9</v>
      </c>
      <c r="P14" s="244">
        <f t="shared" si="6"/>
        <v>139.32</v>
      </c>
      <c r="Q14" s="245">
        <f t="shared" si="7"/>
        <v>0.1353935860058309</v>
      </c>
      <c r="R14" s="244">
        <f t="shared" si="8"/>
        <v>22.400319960000001</v>
      </c>
      <c r="S14" s="244">
        <f t="shared" si="9"/>
        <v>8.9601279839999997</v>
      </c>
      <c r="T14" s="244">
        <f t="shared" si="10"/>
        <v>807.59688794400017</v>
      </c>
      <c r="U14" s="244">
        <f t="shared" si="11"/>
        <v>110.25000000000011</v>
      </c>
      <c r="V14" s="246">
        <f t="shared" si="12"/>
        <v>111.15311205599971</v>
      </c>
      <c r="W14" s="247">
        <f t="shared" si="13"/>
        <v>0.10802051706122422</v>
      </c>
      <c r="X14" s="248">
        <v>1029</v>
      </c>
      <c r="Y14" s="183">
        <f t="shared" si="14"/>
        <v>848.72</v>
      </c>
      <c r="Z14" s="179">
        <f>VLOOKUP(C14,'Amazon Live Products'!E:AF,28,0)</f>
        <v>824</v>
      </c>
      <c r="AA14" s="244">
        <v>1999</v>
      </c>
      <c r="AB14" s="43"/>
      <c r="AC14" s="43"/>
      <c r="AD14" s="43"/>
      <c r="AE14" s="43"/>
      <c r="AF14" s="43"/>
      <c r="AG14" s="44"/>
      <c r="AH14" s="44"/>
    </row>
    <row r="15" spans="1:34">
      <c r="A15" s="43">
        <f t="shared" si="15"/>
        <v>14</v>
      </c>
      <c r="B15" s="102" t="s">
        <v>934</v>
      </c>
      <c r="C15" s="102" t="s">
        <v>512</v>
      </c>
      <c r="D15" s="43" t="str">
        <f>VLOOKUP(C15,'Amazon Live Products'!E:F,2,0)</f>
        <v>B0D63FKYZ5</v>
      </c>
      <c r="E15" s="43">
        <v>33734281</v>
      </c>
      <c r="F15" s="69" t="str">
        <f>VLOOKUP(C15,'Margin Calculation'!F:H,3,0)</f>
        <v>HM-01</v>
      </c>
      <c r="G15" s="69" t="str">
        <f>VLOOKUP(C15,'Margin Calculation'!F:M,8,0)</f>
        <v>Scalp Massager</v>
      </c>
      <c r="H15" s="244">
        <f>VLOOKUP(C15,'Margin Calculation'!F:Y,20,0)</f>
        <v>458.541</v>
      </c>
      <c r="I15" s="244">
        <f>VLOOKUP(C15,'Margin Calculation'!F:Z,21,0)</f>
        <v>513.56592000000001</v>
      </c>
      <c r="J15" s="244">
        <f t="shared" si="0"/>
        <v>102.9</v>
      </c>
      <c r="K15" s="244">
        <f t="shared" si="1"/>
        <v>61.739999999999995</v>
      </c>
      <c r="L15" s="244">
        <f t="shared" si="2"/>
        <v>51.45</v>
      </c>
      <c r="M15" s="244">
        <f t="shared" si="3"/>
        <v>20.580000000000002</v>
      </c>
      <c r="N15" s="244">
        <f t="shared" si="4"/>
        <v>57</v>
      </c>
      <c r="O15" s="244">
        <f t="shared" si="5"/>
        <v>102.9</v>
      </c>
      <c r="P15" s="244">
        <f t="shared" si="6"/>
        <v>139.32</v>
      </c>
      <c r="Q15" s="245">
        <f t="shared" si="7"/>
        <v>0.1353935860058309</v>
      </c>
      <c r="R15" s="244">
        <f t="shared" si="8"/>
        <v>25.678296000000003</v>
      </c>
      <c r="S15" s="244">
        <f t="shared" si="9"/>
        <v>10.2713184</v>
      </c>
      <c r="T15" s="244">
        <f t="shared" si="10"/>
        <v>891.06061440000019</v>
      </c>
      <c r="U15" s="244">
        <f t="shared" si="11"/>
        <v>110.25000000000011</v>
      </c>
      <c r="V15" s="246">
        <f t="shared" si="12"/>
        <v>27.689385599999696</v>
      </c>
      <c r="W15" s="247">
        <f t="shared" si="13"/>
        <v>2.6909023906705243E-2</v>
      </c>
      <c r="X15" s="248">
        <v>1029</v>
      </c>
      <c r="Y15" s="183">
        <f t="shared" si="14"/>
        <v>967.17000000000007</v>
      </c>
      <c r="Z15" s="179">
        <f>VLOOKUP(C15,'Amazon Live Products'!E:AF,28,0)</f>
        <v>939</v>
      </c>
      <c r="AA15" s="244">
        <f>VLOOKUP(D15,'Amazon Live Products'!F:AI,29,0)</f>
        <v>0</v>
      </c>
      <c r="AB15" s="43"/>
      <c r="AC15" s="43"/>
      <c r="AD15" s="43"/>
      <c r="AE15" s="43"/>
      <c r="AF15" s="43"/>
      <c r="AG15" s="44"/>
      <c r="AH15" s="44"/>
    </row>
    <row r="16" spans="1:34">
      <c r="A16" s="43">
        <f t="shared" si="15"/>
        <v>15</v>
      </c>
      <c r="B16" s="69" t="s">
        <v>934</v>
      </c>
      <c r="C16" s="69" t="s">
        <v>520</v>
      </c>
      <c r="D16" s="43" t="str">
        <f>VLOOKUP(C16,'Amazon Live Products'!E:F,2,0)</f>
        <v>B0D63DTKQB</v>
      </c>
      <c r="E16" s="43">
        <v>33211474</v>
      </c>
      <c r="F16" s="69" t="str">
        <f>VLOOKUP(C16,'Margin Calculation'!F:H,3,0)</f>
        <v>HM-02</v>
      </c>
      <c r="G16" s="69" t="str">
        <f>VLOOKUP(C16,'Margin Calculation'!F:M,8,0)</f>
        <v>Scalp Massager Pro</v>
      </c>
      <c r="H16" s="244">
        <f>VLOOKUP(C16,'Margin Calculation'!F:Y,20,0)</f>
        <v>611.38800000000003</v>
      </c>
      <c r="I16" s="244">
        <f>VLOOKUP(C16,'Margin Calculation'!F:Z,21,0)</f>
        <v>684.75456000000008</v>
      </c>
      <c r="J16" s="244">
        <f t="shared" si="0"/>
        <v>144.1</v>
      </c>
      <c r="K16" s="244">
        <f t="shared" si="1"/>
        <v>86.46</v>
      </c>
      <c r="L16" s="244">
        <f t="shared" si="2"/>
        <v>72.05</v>
      </c>
      <c r="M16" s="244">
        <f t="shared" si="3"/>
        <v>28.82</v>
      </c>
      <c r="N16" s="244">
        <f t="shared" si="4"/>
        <v>57</v>
      </c>
      <c r="O16" s="244">
        <f t="shared" si="5"/>
        <v>144.1</v>
      </c>
      <c r="P16" s="244">
        <f t="shared" si="6"/>
        <v>172.28</v>
      </c>
      <c r="Q16" s="245">
        <f t="shared" si="7"/>
        <v>0.1195558639833449</v>
      </c>
      <c r="R16" s="244">
        <f t="shared" si="8"/>
        <v>34.237728000000004</v>
      </c>
      <c r="S16" s="244">
        <f t="shared" si="9"/>
        <v>13.695091200000002</v>
      </c>
      <c r="T16" s="244">
        <f t="shared" si="10"/>
        <v>1191.8508191999999</v>
      </c>
      <c r="U16" s="244">
        <f t="shared" si="11"/>
        <v>154.39285714285734</v>
      </c>
      <c r="V16" s="246">
        <f t="shared" si="12"/>
        <v>94.75632365714273</v>
      </c>
      <c r="W16" s="247">
        <f t="shared" si="13"/>
        <v>6.5757337721820075E-2</v>
      </c>
      <c r="X16" s="248">
        <v>1441</v>
      </c>
      <c r="Y16" s="183">
        <f t="shared" si="14"/>
        <v>1440.97</v>
      </c>
      <c r="Z16" s="179">
        <f>VLOOKUP(C16,'Amazon Live Products'!E:AF,28,0)</f>
        <v>1399</v>
      </c>
      <c r="AA16" s="244">
        <f>VLOOKUP(D16,'Amazon Live Products'!F:AI,29,0)</f>
        <v>0</v>
      </c>
      <c r="AB16" s="43"/>
      <c r="AC16" s="43"/>
      <c r="AD16" s="43"/>
      <c r="AE16" s="43"/>
      <c r="AF16" s="43"/>
      <c r="AG16" s="44"/>
      <c r="AH16" s="44"/>
    </row>
    <row r="17" spans="1:34">
      <c r="A17" s="43">
        <f t="shared" si="15"/>
        <v>16</v>
      </c>
      <c r="B17" s="69" t="s">
        <v>934</v>
      </c>
      <c r="C17" s="69" t="s">
        <v>525</v>
      </c>
      <c r="D17" s="43" t="str">
        <f>VLOOKUP(C17,'Amazon Live Products'!E:F,2,0)</f>
        <v>B0D25LNDSY</v>
      </c>
      <c r="E17" s="43">
        <v>33536449</v>
      </c>
      <c r="F17" s="69" t="str">
        <f>VLOOKUP(C17,'Margin Calculation'!F:H,3,0)</f>
        <v>ETC-04-WH</v>
      </c>
      <c r="G17" s="69" t="str">
        <f>VLOOKUP(C17,'Margin Calculation'!F:M,8,0)</f>
        <v>Electric Toothbrush - C Type - White-Sparkle Pro</v>
      </c>
      <c r="H17" s="244">
        <f>VLOOKUP(C17,'Margin Calculation'!F:Y,20,0)</f>
        <v>346.06763999999998</v>
      </c>
      <c r="I17" s="244">
        <f>VLOOKUP(C17,'Margin Calculation'!F:Z,21,0)</f>
        <v>408.35981519999996</v>
      </c>
      <c r="J17" s="244">
        <f t="shared" si="0"/>
        <v>77.100000000000009</v>
      </c>
      <c r="K17" s="244">
        <f t="shared" si="1"/>
        <v>46.26</v>
      </c>
      <c r="L17" s="244">
        <f t="shared" si="2"/>
        <v>38.550000000000004</v>
      </c>
      <c r="M17" s="244">
        <f t="shared" si="3"/>
        <v>15.42</v>
      </c>
      <c r="N17" s="244">
        <f t="shared" si="4"/>
        <v>21</v>
      </c>
      <c r="O17" s="244">
        <f t="shared" si="5"/>
        <v>77.100000000000009</v>
      </c>
      <c r="P17" s="244">
        <f t="shared" si="6"/>
        <v>82.68</v>
      </c>
      <c r="Q17" s="245">
        <f t="shared" si="7"/>
        <v>0.10723735408560311</v>
      </c>
      <c r="R17" s="244">
        <f t="shared" si="8"/>
        <v>20.417990759999999</v>
      </c>
      <c r="S17" s="244">
        <f t="shared" si="9"/>
        <v>8.1671963039999991</v>
      </c>
      <c r="T17" s="244">
        <f t="shared" si="10"/>
        <v>650.08282706399984</v>
      </c>
      <c r="U17" s="244">
        <f t="shared" si="11"/>
        <v>82.60714285714289</v>
      </c>
      <c r="V17" s="246">
        <f t="shared" si="12"/>
        <v>38.310030078857267</v>
      </c>
      <c r="W17" s="247">
        <f t="shared" si="13"/>
        <v>4.9688754966092437E-2</v>
      </c>
      <c r="X17" s="248">
        <v>771</v>
      </c>
      <c r="Y17" s="183">
        <f t="shared" si="14"/>
        <v>822.97</v>
      </c>
      <c r="Z17" s="179">
        <f>VLOOKUP(C17,'Amazon Live Products'!E:AF,28,0)</f>
        <v>799</v>
      </c>
      <c r="AA17" s="244">
        <f>VLOOKUP(D17,'Amazon Live Products'!F:AI,29,0)</f>
        <v>0</v>
      </c>
      <c r="AB17" s="12"/>
      <c r="AC17" s="43"/>
      <c r="AD17" s="43"/>
      <c r="AE17" s="43"/>
      <c r="AF17" s="43"/>
      <c r="AG17" s="44"/>
      <c r="AH17" s="44"/>
    </row>
    <row r="18" spans="1:34">
      <c r="A18" s="43">
        <f t="shared" si="15"/>
        <v>17</v>
      </c>
      <c r="B18" s="69" t="s">
        <v>934</v>
      </c>
      <c r="C18" s="69" t="s">
        <v>529</v>
      </c>
      <c r="D18" s="43" t="str">
        <f>VLOOKUP(C18,'Amazon Live Products'!E:F,2,0)</f>
        <v>B0D842173P</v>
      </c>
      <c r="E18" s="43">
        <v>33536451</v>
      </c>
      <c r="F18" s="69" t="str">
        <f>VLOOKUP(C18,'Margin Calculation'!F:H,3,0)</f>
        <v>ETC-05-PI</v>
      </c>
      <c r="G18" s="69" t="str">
        <f>VLOOKUP(C18,'Margin Calculation'!F:M,8,0)</f>
        <v>Electric Toothbrush - C Type - Pink-Sparkle Pro</v>
      </c>
      <c r="H18" s="244">
        <f>VLOOKUP(C18,'Margin Calculation'!F:Y,20,0)</f>
        <v>352.78740000000005</v>
      </c>
      <c r="I18" s="244">
        <f>VLOOKUP(C18,'Margin Calculation'!F:Z,21,0)</f>
        <v>416.28913200000005</v>
      </c>
      <c r="J18" s="244">
        <f t="shared" si="0"/>
        <v>72</v>
      </c>
      <c r="K18" s="244">
        <f t="shared" si="1"/>
        <v>43.199999999999996</v>
      </c>
      <c r="L18" s="244">
        <f t="shared" si="2"/>
        <v>36</v>
      </c>
      <c r="M18" s="244">
        <f t="shared" si="3"/>
        <v>14.4</v>
      </c>
      <c r="N18" s="244">
        <f t="shared" si="4"/>
        <v>17</v>
      </c>
      <c r="O18" s="244">
        <f t="shared" si="5"/>
        <v>72</v>
      </c>
      <c r="P18" s="244">
        <f t="shared" si="6"/>
        <v>74.599999999999994</v>
      </c>
      <c r="Q18" s="245">
        <f t="shared" si="7"/>
        <v>0.1036111111111111</v>
      </c>
      <c r="R18" s="244">
        <f t="shared" si="8"/>
        <v>20.814456600000003</v>
      </c>
      <c r="S18" s="244">
        <f t="shared" si="9"/>
        <v>8.3257826400000017</v>
      </c>
      <c r="T18" s="244">
        <f t="shared" si="10"/>
        <v>636.52763923999998</v>
      </c>
      <c r="U18" s="244">
        <f t="shared" si="11"/>
        <v>77.142857142857224</v>
      </c>
      <c r="V18" s="246">
        <f t="shared" si="12"/>
        <v>6.329503617142791</v>
      </c>
      <c r="W18" s="247">
        <f t="shared" si="13"/>
        <v>8.7909772460316535E-3</v>
      </c>
      <c r="X18" s="248">
        <v>720</v>
      </c>
      <c r="Y18" s="183">
        <f t="shared" si="14"/>
        <v>725.12</v>
      </c>
      <c r="Z18" s="179">
        <f>VLOOKUP(C18,'Amazon Live Products'!E:AF,28,0)</f>
        <v>704</v>
      </c>
      <c r="AA18" s="244">
        <f>VLOOKUP(D18,'Amazon Live Products'!F:AI,29,0)</f>
        <v>0</v>
      </c>
      <c r="AB18" s="43"/>
      <c r="AC18" s="43"/>
      <c r="AD18" s="43"/>
      <c r="AE18" s="43"/>
      <c r="AF18" s="43"/>
      <c r="AG18" s="44"/>
      <c r="AH18" s="44"/>
    </row>
    <row r="19" spans="1:34">
      <c r="A19" s="43">
        <f t="shared" si="15"/>
        <v>18</v>
      </c>
      <c r="B19" s="102" t="s">
        <v>934</v>
      </c>
      <c r="C19" s="102" t="s">
        <v>543</v>
      </c>
      <c r="D19" s="43" t="str">
        <f>VLOOKUP(C19,'Amazon Live Products'!E:F,2,0)</f>
        <v>B0D67727VG</v>
      </c>
      <c r="E19" s="43">
        <v>33209111</v>
      </c>
      <c r="F19" s="69" t="str">
        <f>VLOOKUP(C19,'Margin Calculation'!F:H,3,0)</f>
        <v>EA-01</v>
      </c>
      <c r="G19" s="69" t="str">
        <f>VLOOKUP(C19,'Margin Calculation'!F:M,8,0)</f>
        <v>Electric Oil Applicator</v>
      </c>
      <c r="H19" s="244">
        <f>VLOOKUP(C19,'Margin Calculation'!F:Y,20,0)</f>
        <v>611.38800000000003</v>
      </c>
      <c r="I19" s="244">
        <f>VLOOKUP(C19,'Margin Calculation'!F:Z,21,0)</f>
        <v>721.43784000000005</v>
      </c>
      <c r="J19" s="244">
        <f t="shared" si="0"/>
        <v>102.9</v>
      </c>
      <c r="K19" s="244">
        <f t="shared" si="1"/>
        <v>61.739999999999995</v>
      </c>
      <c r="L19" s="244">
        <f t="shared" si="2"/>
        <v>51.45</v>
      </c>
      <c r="M19" s="244">
        <f t="shared" si="3"/>
        <v>20.580000000000002</v>
      </c>
      <c r="N19" s="244">
        <f t="shared" si="4"/>
        <v>57</v>
      </c>
      <c r="O19" s="244">
        <f t="shared" si="5"/>
        <v>102.9</v>
      </c>
      <c r="P19" s="244">
        <f t="shared" si="6"/>
        <v>139.32</v>
      </c>
      <c r="Q19" s="245">
        <f t="shared" si="7"/>
        <v>0.1353935860058309</v>
      </c>
      <c r="R19" s="244">
        <f t="shared" si="8"/>
        <v>36.071892000000005</v>
      </c>
      <c r="S19" s="244">
        <f t="shared" si="9"/>
        <v>14.428756800000002</v>
      </c>
      <c r="T19" s="244">
        <f t="shared" si="10"/>
        <v>1058.4586488</v>
      </c>
      <c r="U19" s="244">
        <f t="shared" si="11"/>
        <v>110.25000000000011</v>
      </c>
      <c r="V19" s="246">
        <f t="shared" si="12"/>
        <v>-139.70864880000011</v>
      </c>
      <c r="W19" s="247">
        <f t="shared" si="13"/>
        <v>-0.13577128163265317</v>
      </c>
      <c r="X19" s="248">
        <v>1029</v>
      </c>
      <c r="Y19" s="183">
        <f t="shared" si="14"/>
        <v>1131.97</v>
      </c>
      <c r="Z19" s="179">
        <f>VLOOKUP(C19,'Amazon Live Products'!E:AF,28,0)</f>
        <v>1099</v>
      </c>
      <c r="AA19" s="244">
        <f>VLOOKUP(D19,'Amazon Live Products'!F:AI,29,0)</f>
        <v>0</v>
      </c>
      <c r="AB19" s="43"/>
      <c r="AC19" s="43"/>
      <c r="AD19" s="43"/>
      <c r="AE19" s="43"/>
      <c r="AF19" s="43"/>
      <c r="AG19" s="44"/>
      <c r="AH19" s="44"/>
    </row>
    <row r="20" spans="1:34">
      <c r="A20" s="43">
        <f t="shared" si="15"/>
        <v>19</v>
      </c>
      <c r="B20" s="102" t="s">
        <v>934</v>
      </c>
      <c r="C20" s="44" t="s">
        <v>562</v>
      </c>
      <c r="D20" s="43" t="str">
        <f>VLOOKUP(C20,'Amazon Live Products'!E:F,2,0)</f>
        <v>B0D9KCNVNM</v>
      </c>
      <c r="E20" s="43">
        <v>33536447</v>
      </c>
      <c r="F20" s="69" t="str">
        <f>VLOOKUP(C20,'Margin Calculation'!F:H,3,0)</f>
        <v>ETR-06</v>
      </c>
      <c r="G20" s="69" t="str">
        <f>VLOOKUP(C20,'Margin Calculation'!F:M,8,0)</f>
        <v>Oscillating Electric Toothbrush Sparkle Plus</v>
      </c>
      <c r="H20" s="244">
        <f>VLOOKUP(C20,'Margin Calculation'!F:Y,20,0)</f>
        <v>577.89936</v>
      </c>
      <c r="I20" s="244">
        <f>VLOOKUP(C20,'Margin Calculation'!F:Z,21,0)</f>
        <v>681.92124479999995</v>
      </c>
      <c r="J20" s="244">
        <f t="shared" si="0"/>
        <v>154.4</v>
      </c>
      <c r="K20" s="244">
        <f t="shared" si="1"/>
        <v>92.64</v>
      </c>
      <c r="L20" s="244">
        <f t="shared" si="2"/>
        <v>77.2</v>
      </c>
      <c r="M20" s="244">
        <f t="shared" si="3"/>
        <v>30.88</v>
      </c>
      <c r="N20" s="244">
        <f t="shared" si="4"/>
        <v>57</v>
      </c>
      <c r="O20" s="244">
        <f t="shared" si="5"/>
        <v>154.4</v>
      </c>
      <c r="P20" s="244">
        <f t="shared" si="6"/>
        <v>180.51999999999998</v>
      </c>
      <c r="Q20" s="245">
        <f t="shared" si="7"/>
        <v>0.11691709844559585</v>
      </c>
      <c r="R20" s="244">
        <f t="shared" si="8"/>
        <v>34.096062240000002</v>
      </c>
      <c r="S20" s="244">
        <f t="shared" si="9"/>
        <v>13.638424896</v>
      </c>
      <c r="T20" s="244">
        <f t="shared" si="10"/>
        <v>1192.1538471360002</v>
      </c>
      <c r="U20" s="244">
        <f t="shared" si="11"/>
        <v>165.42857142857156</v>
      </c>
      <c r="V20" s="246">
        <f t="shared" si="12"/>
        <v>186.41758143542825</v>
      </c>
      <c r="W20" s="247">
        <f t="shared" si="13"/>
        <v>0.12073677554108048</v>
      </c>
      <c r="X20" s="248">
        <v>1544</v>
      </c>
      <c r="Y20" s="183">
        <f t="shared" si="14"/>
        <v>1234.97</v>
      </c>
      <c r="Z20" s="179">
        <f>VLOOKUP(C20,'Amazon Live Products'!E:AF,28,0)</f>
        <v>1199</v>
      </c>
      <c r="AA20" s="244">
        <f>VLOOKUP(D20,'Amazon Live Products'!F:AI,29,0)</f>
        <v>0</v>
      </c>
      <c r="AB20" s="12"/>
      <c r="AC20" s="43"/>
      <c r="AD20" s="43"/>
      <c r="AE20" s="43"/>
      <c r="AF20" s="43"/>
      <c r="AG20" s="44"/>
      <c r="AH20" s="44"/>
    </row>
    <row r="21" spans="1:34">
      <c r="A21" s="43">
        <f t="shared" si="15"/>
        <v>20</v>
      </c>
      <c r="B21" s="44" t="s">
        <v>934</v>
      </c>
      <c r="C21" s="44" t="s">
        <v>570</v>
      </c>
      <c r="D21" s="43" t="str">
        <f>VLOOKUP(C21,'Amazon Live Products'!E:F,2,0)</f>
        <v>B0D9KFZYG8</v>
      </c>
      <c r="E21" s="43">
        <v>33536845</v>
      </c>
      <c r="F21" s="69" t="str">
        <f>VLOOKUP(C21,'Margin Calculation'!F:H,3,0)</f>
        <v>FS-01</v>
      </c>
      <c r="G21" s="69" t="str">
        <f>VLOOKUP(C21,'Margin Calculation'!F:M,8,0)</f>
        <v>Nexlev Face Steamer</v>
      </c>
      <c r="H21" s="244">
        <f>VLOOKUP(C21,'Margin Calculation'!F:Y,20,0)</f>
        <v>744.77340000000015</v>
      </c>
      <c r="I21" s="244">
        <f>VLOOKUP(C21,'Margin Calculation'!F:Z,21,0)</f>
        <v>878.83261200000015</v>
      </c>
      <c r="J21" s="244">
        <f t="shared" si="0"/>
        <v>164.70000000000002</v>
      </c>
      <c r="K21" s="244">
        <f t="shared" si="1"/>
        <v>98.82</v>
      </c>
      <c r="L21" s="244">
        <f t="shared" si="2"/>
        <v>82.350000000000009</v>
      </c>
      <c r="M21" s="244">
        <f t="shared" si="3"/>
        <v>32.94</v>
      </c>
      <c r="N21" s="244">
        <f t="shared" si="4"/>
        <v>57</v>
      </c>
      <c r="O21" s="244">
        <f t="shared" si="5"/>
        <v>164.70000000000002</v>
      </c>
      <c r="P21" s="244">
        <f t="shared" si="6"/>
        <v>188.76</v>
      </c>
      <c r="Q21" s="245">
        <f t="shared" si="7"/>
        <v>0.11460837887067395</v>
      </c>
      <c r="R21" s="244">
        <f t="shared" si="8"/>
        <v>43.941630600000011</v>
      </c>
      <c r="S21" s="244">
        <f t="shared" si="9"/>
        <v>17.576652240000005</v>
      </c>
      <c r="T21" s="244">
        <f t="shared" si="10"/>
        <v>1406.8016828400002</v>
      </c>
      <c r="U21" s="244">
        <f t="shared" si="11"/>
        <v>176.46428571428578</v>
      </c>
      <c r="V21" s="246">
        <f t="shared" si="12"/>
        <v>63.734031445713981</v>
      </c>
      <c r="W21" s="247">
        <f t="shared" si="13"/>
        <v>3.869704398646872E-2</v>
      </c>
      <c r="X21" s="248">
        <v>1647</v>
      </c>
      <c r="Y21" s="183">
        <f t="shared" si="14"/>
        <v>1749.97</v>
      </c>
      <c r="Z21" s="179">
        <f>VLOOKUP(C21,'Amazon Live Products'!E:AF,28,0)</f>
        <v>1699</v>
      </c>
      <c r="AA21" s="244">
        <f>VLOOKUP(D21,'Amazon Live Products'!F:AI,29,0)</f>
        <v>0</v>
      </c>
      <c r="AB21" s="43"/>
      <c r="AC21" s="43"/>
      <c r="AD21" s="43"/>
      <c r="AE21" s="43"/>
      <c r="AF21" s="43"/>
      <c r="AG21" s="44"/>
      <c r="AH21" s="44"/>
    </row>
    <row r="22" spans="1:34">
      <c r="A22" s="43">
        <f t="shared" si="15"/>
        <v>21</v>
      </c>
      <c r="B22" s="44" t="s">
        <v>934</v>
      </c>
      <c r="C22" s="44" t="s">
        <v>575</v>
      </c>
      <c r="D22" s="43" t="str">
        <f>VLOOKUP(C22,'Amazon Live Products'!E:F,2,0)</f>
        <v>B0D9KFP4MG</v>
      </c>
      <c r="E22" s="43">
        <v>33198671</v>
      </c>
      <c r="F22" s="69" t="str">
        <f>VLOOKUP(C22,'Margin Calculation'!F:H,3,0)</f>
        <v>HSB-03</v>
      </c>
      <c r="G22" s="69" t="str">
        <f>VLOOKUP(C22,'Margin Calculation'!F:M,8,0)</f>
        <v>Nexlev Hair Straightener Brush</v>
      </c>
      <c r="H22" s="244">
        <f>VLOOKUP(C22,'Margin Calculation'!F:Y,20,0)</f>
        <v>710.05464000000006</v>
      </c>
      <c r="I22" s="244">
        <f>VLOOKUP(C22,'Margin Calculation'!F:Z,21,0)</f>
        <v>837.86447520000002</v>
      </c>
      <c r="J22" s="244">
        <f t="shared" si="0"/>
        <v>226.5</v>
      </c>
      <c r="K22" s="244">
        <f t="shared" si="1"/>
        <v>135.9</v>
      </c>
      <c r="L22" s="244">
        <f t="shared" si="2"/>
        <v>113.25</v>
      </c>
      <c r="M22" s="244">
        <f t="shared" si="3"/>
        <v>45.300000000000004</v>
      </c>
      <c r="N22" s="244">
        <f t="shared" si="4"/>
        <v>63</v>
      </c>
      <c r="O22" s="244">
        <f t="shared" si="5"/>
        <v>226.5</v>
      </c>
      <c r="P22" s="244">
        <f t="shared" si="6"/>
        <v>244.20000000000002</v>
      </c>
      <c r="Q22" s="245">
        <f t="shared" si="7"/>
        <v>0.10781456953642385</v>
      </c>
      <c r="R22" s="244">
        <f t="shared" si="8"/>
        <v>41.893223760000005</v>
      </c>
      <c r="S22" s="244">
        <f t="shared" si="9"/>
        <v>16.757289503999999</v>
      </c>
      <c r="T22" s="244">
        <f t="shared" si="10"/>
        <v>1579.1551532640001</v>
      </c>
      <c r="U22" s="244">
        <f t="shared" si="11"/>
        <v>242.67857142857156</v>
      </c>
      <c r="V22" s="246">
        <f t="shared" si="12"/>
        <v>443.16627530742835</v>
      </c>
      <c r="W22" s="247">
        <f t="shared" si="13"/>
        <v>0.19565839969422885</v>
      </c>
      <c r="X22" s="248">
        <v>2265</v>
      </c>
      <c r="Y22" s="183">
        <f t="shared" si="14"/>
        <v>1955.97</v>
      </c>
      <c r="Z22" s="179">
        <f>VLOOKUP(C22,'Amazon Live Products'!E:AF,28,0)</f>
        <v>1899</v>
      </c>
      <c r="AA22" s="244">
        <f>VLOOKUP(D22,'Amazon Live Products'!F:AI,29,0)</f>
        <v>0</v>
      </c>
      <c r="AB22" s="12"/>
      <c r="AC22" s="43"/>
      <c r="AD22" s="43"/>
      <c r="AE22" s="43"/>
      <c r="AF22" s="43"/>
      <c r="AG22" s="44"/>
      <c r="AH22" s="44"/>
    </row>
    <row r="23" spans="1:34">
      <c r="A23" s="43">
        <f t="shared" si="15"/>
        <v>22</v>
      </c>
      <c r="B23" s="44" t="s">
        <v>934</v>
      </c>
      <c r="C23" s="44" t="s">
        <v>580</v>
      </c>
      <c r="D23" s="43" t="str">
        <f>VLOOKUP(C23,'Amazon Live Products'!E:F,2,0)</f>
        <v>B0DCK3N2JJ</v>
      </c>
      <c r="E23" s="43">
        <v>33198675</v>
      </c>
      <c r="F23" s="69" t="str">
        <f>VLOOKUP(C23,'Margin Calculation'!F:H,3,0)</f>
        <v>HSB-04</v>
      </c>
      <c r="G23" s="69" t="str">
        <f>VLOOKUP(C23,'Margin Calculation'!F:M,8,0)</f>
        <v>Nexlev Hair Straightener Brush - Portable</v>
      </c>
      <c r="H23" s="244">
        <f>VLOOKUP(C23,'Margin Calculation'!F:Y,20,0)</f>
        <v>827.65044</v>
      </c>
      <c r="I23" s="244">
        <f>VLOOKUP(C23,'Margin Calculation'!F:Z,21,0)</f>
        <v>976.62751919999994</v>
      </c>
      <c r="J23" s="244">
        <f t="shared" si="0"/>
        <v>257.40000000000003</v>
      </c>
      <c r="K23" s="244">
        <f t="shared" si="1"/>
        <v>154.44</v>
      </c>
      <c r="L23" s="244">
        <f t="shared" si="2"/>
        <v>128.70000000000002</v>
      </c>
      <c r="M23" s="244">
        <f t="shared" si="3"/>
        <v>51.480000000000004</v>
      </c>
      <c r="N23" s="244">
        <f t="shared" si="4"/>
        <v>63</v>
      </c>
      <c r="O23" s="244">
        <f t="shared" si="5"/>
        <v>257.40000000000003</v>
      </c>
      <c r="P23" s="244">
        <f t="shared" si="6"/>
        <v>268.92</v>
      </c>
      <c r="Q23" s="245">
        <f t="shared" si="7"/>
        <v>0.10447552447552448</v>
      </c>
      <c r="R23" s="244">
        <f t="shared" si="8"/>
        <v>48.831375960000003</v>
      </c>
      <c r="S23" s="244">
        <f t="shared" si="9"/>
        <v>19.532550384</v>
      </c>
      <c r="T23" s="244">
        <f t="shared" si="10"/>
        <v>1808.4343663440002</v>
      </c>
      <c r="U23" s="244">
        <f t="shared" si="11"/>
        <v>275.78571428571468</v>
      </c>
      <c r="V23" s="246">
        <f t="shared" si="12"/>
        <v>489.77991937028514</v>
      </c>
      <c r="W23" s="247">
        <f t="shared" si="13"/>
        <v>0.19027968895504474</v>
      </c>
      <c r="X23" s="248">
        <v>2574</v>
      </c>
      <c r="Y23" s="183">
        <f t="shared" si="14"/>
        <v>2573.9700000000003</v>
      </c>
      <c r="Z23" s="179">
        <f>VLOOKUP(C23,'Amazon Live Products'!E:AF,28,0)</f>
        <v>2499</v>
      </c>
      <c r="AA23" s="244">
        <f>VLOOKUP(D23,'Amazon Live Products'!F:AI,29,0)</f>
        <v>0</v>
      </c>
      <c r="AB23" s="43"/>
      <c r="AC23" s="43"/>
      <c r="AD23" s="43"/>
      <c r="AE23" s="43"/>
      <c r="AF23" s="43"/>
      <c r="AG23" s="44"/>
      <c r="AH23" s="44"/>
    </row>
    <row r="24" spans="1:34">
      <c r="A24" s="43">
        <f t="shared" si="15"/>
        <v>23</v>
      </c>
      <c r="B24" s="44" t="s">
        <v>934</v>
      </c>
      <c r="C24" s="44" t="s">
        <v>589</v>
      </c>
      <c r="D24" s="43" t="str">
        <f>VLOOKUP(C24,'Amazon Live Products'!E:F,2,0)</f>
        <v>B0DCGHKRXX</v>
      </c>
      <c r="E24" s="43">
        <v>33540039</v>
      </c>
      <c r="F24" s="69" t="str">
        <f>VLOOKUP(C24,'Margin Calculation'!F:H,3,0)</f>
        <v>LE-02</v>
      </c>
      <c r="G24" s="69" t="str">
        <f>VLOOKUP(C24,'Margin Calculation'!F:M,8,0)</f>
        <v>NEXLEV LED Light Therapy Comb</v>
      </c>
      <c r="H24" s="244">
        <f>VLOOKUP(C24,'Margin Calculation'!F:Y,20,0)</f>
        <v>540.05939999999998</v>
      </c>
      <c r="I24" s="244">
        <f>VLOOKUP(C24,'Margin Calculation'!F:Z,21,0)</f>
        <v>637.27009199999998</v>
      </c>
      <c r="J24" s="244">
        <f t="shared" si="0"/>
        <v>211</v>
      </c>
      <c r="K24" s="244">
        <f t="shared" si="1"/>
        <v>126.6</v>
      </c>
      <c r="L24" s="244">
        <f t="shared" si="2"/>
        <v>105.5</v>
      </c>
      <c r="M24" s="244">
        <f t="shared" si="3"/>
        <v>42.2</v>
      </c>
      <c r="N24" s="244">
        <f t="shared" si="4"/>
        <v>63</v>
      </c>
      <c r="O24" s="244">
        <f t="shared" si="5"/>
        <v>211</v>
      </c>
      <c r="P24" s="244">
        <f t="shared" si="6"/>
        <v>231.8</v>
      </c>
      <c r="Q24" s="245">
        <f t="shared" si="7"/>
        <v>0.10985781990521327</v>
      </c>
      <c r="R24" s="244">
        <f t="shared" si="8"/>
        <v>31.863504599999999</v>
      </c>
      <c r="S24" s="244">
        <f t="shared" si="9"/>
        <v>12.74540184</v>
      </c>
      <c r="T24" s="244">
        <f t="shared" si="10"/>
        <v>1343.9683064399999</v>
      </c>
      <c r="U24" s="244">
        <f t="shared" si="11"/>
        <v>226.07142857142867</v>
      </c>
      <c r="V24" s="246">
        <f t="shared" si="12"/>
        <v>539.96026498857145</v>
      </c>
      <c r="W24" s="247">
        <f t="shared" si="13"/>
        <v>0.25590533885714289</v>
      </c>
      <c r="X24" s="248">
        <v>2110</v>
      </c>
      <c r="Y24" s="183">
        <f t="shared" si="14"/>
        <v>2058.9700000000003</v>
      </c>
      <c r="Z24" s="179">
        <f>VLOOKUP(C24,'Amazon Live Products'!E:AF,28,0)</f>
        <v>1999</v>
      </c>
      <c r="AA24" s="244">
        <f>VLOOKUP(D24,'Amazon Live Products'!F:AI,29,0)</f>
        <v>0</v>
      </c>
      <c r="AB24" s="43"/>
      <c r="AC24" s="43"/>
      <c r="AD24" s="43"/>
      <c r="AE24" s="43"/>
      <c r="AF24" s="43"/>
      <c r="AG24" s="44"/>
      <c r="AH24" s="44"/>
    </row>
    <row r="25" spans="1:34">
      <c r="A25" s="43">
        <f t="shared" si="15"/>
        <v>24</v>
      </c>
      <c r="B25" s="44"/>
      <c r="C25" s="44" t="s">
        <v>594</v>
      </c>
      <c r="D25" s="43" t="str">
        <f>VLOOKUP(C25,'Amazon Live Products'!E:F,2,0)</f>
        <v>B0D9KFQG8Q</v>
      </c>
      <c r="E25" s="43">
        <v>33734295</v>
      </c>
      <c r="F25" s="69" t="str">
        <f>VLOOKUP(C25,'Margin Calculation'!F:H,3,0)</f>
        <v>LE-03</v>
      </c>
      <c r="G25" s="69" t="str">
        <f>VLOOKUP(C25,'Margin Calculation'!F:M,8,0)</f>
        <v>NEXLEV Light Therapy Skin Scrubber</v>
      </c>
      <c r="H25" s="244">
        <f>VLOOKUP(C25,'Margin Calculation'!F:Y,20,0)</f>
        <v>864.54944999999998</v>
      </c>
      <c r="I25" s="244">
        <f>VLOOKUP(C25,'Margin Calculation'!F:Z,21,0)</f>
        <v>1020.1683509999999</v>
      </c>
      <c r="J25" s="244">
        <f t="shared" si="0"/>
        <v>174.99700000000001</v>
      </c>
      <c r="K25" s="244">
        <f t="shared" si="1"/>
        <v>104.9982</v>
      </c>
      <c r="L25" s="244">
        <f t="shared" si="2"/>
        <v>87.498500000000007</v>
      </c>
      <c r="M25" s="244">
        <f t="shared" si="3"/>
        <v>34.999400000000001</v>
      </c>
      <c r="N25" s="244">
        <f t="shared" si="4"/>
        <v>57</v>
      </c>
      <c r="O25" s="244">
        <f t="shared" si="5"/>
        <v>174.99700000000001</v>
      </c>
      <c r="P25" s="244">
        <f t="shared" si="6"/>
        <v>196.99760000000001</v>
      </c>
      <c r="Q25" s="245">
        <f t="shared" si="7"/>
        <v>0.11257198694834769</v>
      </c>
      <c r="R25" s="244">
        <f t="shared" si="8"/>
        <v>51.008417549999997</v>
      </c>
      <c r="S25" s="244">
        <f t="shared" si="9"/>
        <v>20.403367019999997</v>
      </c>
      <c r="T25" s="244">
        <f t="shared" si="10"/>
        <v>1570.45133457</v>
      </c>
      <c r="U25" s="244">
        <f t="shared" si="11"/>
        <v>187.49678571428581</v>
      </c>
      <c r="V25" s="246">
        <f t="shared" si="12"/>
        <v>-7.978120284285751</v>
      </c>
      <c r="W25" s="247">
        <f t="shared" si="13"/>
        <v>-4.5590040310895339E-3</v>
      </c>
      <c r="X25" s="248">
        <f>Z25*(1+0.03)</f>
        <v>1749.97</v>
      </c>
      <c r="Y25" s="183">
        <f t="shared" si="14"/>
        <v>1749.97</v>
      </c>
      <c r="Z25" s="179">
        <f>VLOOKUP(C25,'Amazon Live Products'!E:AF,28,0)</f>
        <v>1699</v>
      </c>
      <c r="AA25" s="244">
        <f>VLOOKUP(D25,'Amazon Live Products'!F:AI,29,0)</f>
        <v>0</v>
      </c>
      <c r="AB25" s="43"/>
      <c r="AC25" s="43"/>
      <c r="AD25" s="43"/>
      <c r="AE25" s="43"/>
      <c r="AF25" s="43"/>
      <c r="AG25" s="44"/>
      <c r="AH25" s="44"/>
    </row>
    <row r="26" spans="1:34">
      <c r="A26" s="43">
        <f t="shared" si="15"/>
        <v>25</v>
      </c>
      <c r="B26" s="44" t="s">
        <v>934</v>
      </c>
      <c r="C26" s="44" t="s">
        <v>615</v>
      </c>
      <c r="D26" s="43" t="str">
        <f>VLOOKUP(C26,'Amazon Live Products'!E:F,2,0)</f>
        <v>B0DFCDKMWR</v>
      </c>
      <c r="E26" s="43">
        <v>33734279</v>
      </c>
      <c r="F26" s="69" t="str">
        <f>VLOOKUP(C26,'Margin Calculation'!F:H,3,0)</f>
        <v>CM-01-BL</v>
      </c>
      <c r="G26" s="69" t="str">
        <f>VLOOKUP(C26,'Margin Calculation'!F:M,8,0)</f>
        <v>Nexlev Cramp Massager Blue</v>
      </c>
      <c r="H26" s="244">
        <f>VLOOKUP(C26,'Margin Calculation'!F:Y,20,0)</f>
        <v>478.92060000000009</v>
      </c>
      <c r="I26" s="244">
        <f>VLOOKUP(C26,'Margin Calculation'!F:Z,21,0)</f>
        <v>536.39107200000012</v>
      </c>
      <c r="J26" s="244">
        <f t="shared" si="0"/>
        <v>144.1</v>
      </c>
      <c r="K26" s="244">
        <f t="shared" si="1"/>
        <v>86.46</v>
      </c>
      <c r="L26" s="244">
        <f t="shared" si="2"/>
        <v>72.05</v>
      </c>
      <c r="M26" s="244">
        <f t="shared" si="3"/>
        <v>28.82</v>
      </c>
      <c r="N26" s="244">
        <f t="shared" si="4"/>
        <v>57</v>
      </c>
      <c r="O26" s="244">
        <f t="shared" si="5"/>
        <v>144.1</v>
      </c>
      <c r="P26" s="244">
        <f t="shared" si="6"/>
        <v>172.28</v>
      </c>
      <c r="Q26" s="245">
        <f t="shared" si="7"/>
        <v>0.1195558639833449</v>
      </c>
      <c r="R26" s="244">
        <f t="shared" si="8"/>
        <v>26.819553600000006</v>
      </c>
      <c r="S26" s="244">
        <f t="shared" si="9"/>
        <v>10.727821440000003</v>
      </c>
      <c r="T26" s="244">
        <f t="shared" si="10"/>
        <v>1048.99797504</v>
      </c>
      <c r="U26" s="244">
        <f t="shared" si="11"/>
        <v>154.39285714285734</v>
      </c>
      <c r="V26" s="246">
        <f t="shared" si="12"/>
        <v>237.60916781714263</v>
      </c>
      <c r="W26" s="247">
        <f t="shared" si="13"/>
        <v>0.16489185830474853</v>
      </c>
      <c r="X26" s="248">
        <v>1441</v>
      </c>
      <c r="Y26" s="183">
        <f t="shared" si="14"/>
        <v>1313.25</v>
      </c>
      <c r="Z26" s="179">
        <f>VLOOKUP(C26,'Amazon Live Products'!E:AF,28,0)</f>
        <v>1275</v>
      </c>
      <c r="AA26" s="244">
        <f>VLOOKUP(D26,'Amazon Live Products'!F:AI,29,0)</f>
        <v>0</v>
      </c>
      <c r="AB26" s="43"/>
      <c r="AC26" s="43"/>
      <c r="AD26" s="43"/>
      <c r="AE26" s="43"/>
      <c r="AF26" s="43"/>
      <c r="AG26" s="44"/>
      <c r="AH26" s="44"/>
    </row>
    <row r="27" spans="1:34">
      <c r="A27" s="43">
        <f t="shared" si="15"/>
        <v>26</v>
      </c>
      <c r="B27" s="44" t="s">
        <v>934</v>
      </c>
      <c r="C27" s="44" t="s">
        <v>621</v>
      </c>
      <c r="D27" s="43" t="str">
        <f>VLOOKUP(C27,'Amazon Live Products'!E:F,2,0)</f>
        <v>B0DFCDZWND</v>
      </c>
      <c r="E27" s="43">
        <v>33734290</v>
      </c>
      <c r="F27" s="69" t="str">
        <f>VLOOKUP(C27,'Margin Calculation'!F:H,3,0)</f>
        <v>CM-02-PR</v>
      </c>
      <c r="G27" s="69" t="str">
        <f>VLOOKUP(C27,'Margin Calculation'!F:M,8,0)</f>
        <v>Nexlev Cramp Massager Purple</v>
      </c>
      <c r="H27" s="244">
        <f>VLOOKUP(C27,'Margin Calculation'!F:Y,20,0)</f>
        <v>478.92060000000009</v>
      </c>
      <c r="I27" s="244">
        <f>VLOOKUP(C27,'Margin Calculation'!F:Z,21,0)</f>
        <v>536.39107200000012</v>
      </c>
      <c r="J27" s="244">
        <f t="shared" si="0"/>
        <v>144.1</v>
      </c>
      <c r="K27" s="244">
        <f t="shared" si="1"/>
        <v>86.46</v>
      </c>
      <c r="L27" s="244">
        <f t="shared" si="2"/>
        <v>72.05</v>
      </c>
      <c r="M27" s="244">
        <f t="shared" si="3"/>
        <v>28.82</v>
      </c>
      <c r="N27" s="244">
        <f t="shared" si="4"/>
        <v>57</v>
      </c>
      <c r="O27" s="244">
        <f t="shared" si="5"/>
        <v>144.1</v>
      </c>
      <c r="P27" s="244">
        <f t="shared" si="6"/>
        <v>172.28</v>
      </c>
      <c r="Q27" s="245">
        <f t="shared" si="7"/>
        <v>0.1195558639833449</v>
      </c>
      <c r="R27" s="244">
        <f t="shared" si="8"/>
        <v>26.819553600000006</v>
      </c>
      <c r="S27" s="244">
        <f t="shared" si="9"/>
        <v>10.727821440000003</v>
      </c>
      <c r="T27" s="244">
        <f t="shared" si="10"/>
        <v>1048.99797504</v>
      </c>
      <c r="U27" s="244">
        <f t="shared" si="11"/>
        <v>154.39285714285734</v>
      </c>
      <c r="V27" s="246">
        <f t="shared" si="12"/>
        <v>237.60916781714263</v>
      </c>
      <c r="W27" s="247">
        <f t="shared" si="13"/>
        <v>0.16489185830474853</v>
      </c>
      <c r="X27" s="248">
        <v>1441</v>
      </c>
      <c r="Y27" s="183">
        <f t="shared" si="14"/>
        <v>1337.97</v>
      </c>
      <c r="Z27" s="179">
        <f>VLOOKUP(C27,'Amazon Live Products'!E:AF,28,0)</f>
        <v>1299</v>
      </c>
      <c r="AA27" s="244">
        <f>VLOOKUP(D27,'Amazon Live Products'!F:AI,29,0)</f>
        <v>0</v>
      </c>
      <c r="AB27" s="43"/>
      <c r="AC27" s="43"/>
      <c r="AD27" s="43"/>
      <c r="AE27" s="43"/>
      <c r="AF27" s="43"/>
      <c r="AG27" s="44"/>
      <c r="AH27" s="44"/>
    </row>
    <row r="28" spans="1:34">
      <c r="A28" s="43">
        <f t="shared" si="15"/>
        <v>27</v>
      </c>
      <c r="B28" s="44" t="s">
        <v>934</v>
      </c>
      <c r="C28" s="44" t="s">
        <v>632</v>
      </c>
      <c r="D28" s="43" t="str">
        <f>VLOOKUP(C28,'Amazon Live Products'!E:F,2,0)</f>
        <v>B0DK9LYT4P</v>
      </c>
      <c r="E28" s="43">
        <v>33203077</v>
      </c>
      <c r="F28" s="69" t="str">
        <f>VLOOKUP(C28,'Margin Calculation'!F:H,3,0)</f>
        <v>TM-01</v>
      </c>
      <c r="G28" s="69" t="str">
        <f>VLOOKUP(C28,'Margin Calculation'!F:M,8,0)</f>
        <v>Beard Boss Men Beard Trimmer</v>
      </c>
      <c r="H28" s="244">
        <f>VLOOKUP(C28,'Margin Calculation'!F:Y,20,0)</f>
        <v>414.3852</v>
      </c>
      <c r="I28" s="244">
        <f>VLOOKUP(C28,'Margin Calculation'!F:Z,21,0)</f>
        <v>488.97453599999994</v>
      </c>
      <c r="J28" s="244">
        <f t="shared" si="0"/>
        <v>102.9</v>
      </c>
      <c r="K28" s="244">
        <f t="shared" si="1"/>
        <v>61.739999999999995</v>
      </c>
      <c r="L28" s="244">
        <f t="shared" si="2"/>
        <v>51.45</v>
      </c>
      <c r="M28" s="244">
        <f t="shared" si="3"/>
        <v>20.580000000000002</v>
      </c>
      <c r="N28" s="244">
        <f t="shared" si="4"/>
        <v>57</v>
      </c>
      <c r="O28" s="244">
        <f t="shared" si="5"/>
        <v>102.9</v>
      </c>
      <c r="P28" s="244">
        <f t="shared" si="6"/>
        <v>139.32</v>
      </c>
      <c r="Q28" s="245">
        <f t="shared" si="7"/>
        <v>0.1353935860058309</v>
      </c>
      <c r="R28" s="244">
        <f t="shared" si="8"/>
        <v>24.448726799999999</v>
      </c>
      <c r="S28" s="244">
        <f t="shared" si="9"/>
        <v>9.7794907199999983</v>
      </c>
      <c r="T28" s="244">
        <f t="shared" si="10"/>
        <v>845.18341752000015</v>
      </c>
      <c r="U28" s="244">
        <f t="shared" si="11"/>
        <v>110.25000000000011</v>
      </c>
      <c r="V28" s="246">
        <f t="shared" si="12"/>
        <v>73.566582479999738</v>
      </c>
      <c r="W28" s="247">
        <f t="shared" si="13"/>
        <v>7.1493277434402078E-2</v>
      </c>
      <c r="X28" s="248">
        <v>1029</v>
      </c>
      <c r="Y28" s="183">
        <f t="shared" si="14"/>
        <v>813.7</v>
      </c>
      <c r="Z28" s="179">
        <f>VLOOKUP(C28,'Amazon Live Products'!E:AF,28,0)</f>
        <v>790</v>
      </c>
      <c r="AA28" s="244">
        <f>VLOOKUP(D28,'Amazon Live Products'!F:AI,29,0)</f>
        <v>0</v>
      </c>
      <c r="AB28" s="43"/>
      <c r="AC28" s="43"/>
      <c r="AD28" s="43"/>
      <c r="AE28" s="43"/>
      <c r="AF28" s="43"/>
      <c r="AG28" s="44"/>
      <c r="AH28" s="44"/>
    </row>
    <row r="29" spans="1:34">
      <c r="A29" s="43">
        <f t="shared" si="15"/>
        <v>28</v>
      </c>
      <c r="B29" s="44" t="s">
        <v>934</v>
      </c>
      <c r="C29" s="44" t="s">
        <v>642</v>
      </c>
      <c r="D29" s="43" t="str">
        <f>VLOOKUP(C29,'Amazon Live Products'!E:F,2,0)</f>
        <v>B0DCK4DR1B</v>
      </c>
      <c r="E29" s="43">
        <v>33734291</v>
      </c>
      <c r="F29" s="69" t="str">
        <f>VLOOKUP(C29,'Margin Calculation'!F:H,3,0)</f>
        <v>LE-04</v>
      </c>
      <c r="G29" s="69" t="str">
        <f>VLOOKUP(C29,'Margin Calculation'!F:M,8,0)</f>
        <v>Nexlev Skin Lift Device</v>
      </c>
      <c r="H29" s="244">
        <f>VLOOKUP(C29,'Margin Calculation'!F:Y,20,0)</f>
        <v>509.48999999999995</v>
      </c>
      <c r="I29" s="244">
        <f>VLOOKUP(C29,'Margin Calculation'!F:Z,21,0)</f>
        <v>601.19819999999993</v>
      </c>
      <c r="J29" s="244">
        <f t="shared" si="0"/>
        <v>154.4</v>
      </c>
      <c r="K29" s="244">
        <f t="shared" si="1"/>
        <v>92.64</v>
      </c>
      <c r="L29" s="244">
        <f t="shared" si="2"/>
        <v>77.2</v>
      </c>
      <c r="M29" s="244">
        <f t="shared" si="3"/>
        <v>30.88</v>
      </c>
      <c r="N29" s="244">
        <f t="shared" si="4"/>
        <v>57</v>
      </c>
      <c r="O29" s="244">
        <f t="shared" si="5"/>
        <v>154.4</v>
      </c>
      <c r="P29" s="244">
        <f t="shared" si="6"/>
        <v>180.51999999999998</v>
      </c>
      <c r="Q29" s="245">
        <f t="shared" si="7"/>
        <v>0.11691709844559585</v>
      </c>
      <c r="R29" s="244">
        <f t="shared" si="8"/>
        <v>30.059909999999999</v>
      </c>
      <c r="S29" s="244">
        <f t="shared" si="9"/>
        <v>12.023963999999999</v>
      </c>
      <c r="T29" s="244">
        <f t="shared" si="10"/>
        <v>1118.0938740000001</v>
      </c>
      <c r="U29" s="244">
        <f t="shared" si="11"/>
        <v>165.42857142857156</v>
      </c>
      <c r="V29" s="246">
        <f t="shared" si="12"/>
        <v>260.4775545714283</v>
      </c>
      <c r="W29" s="247">
        <f t="shared" si="13"/>
        <v>0.16870307938564008</v>
      </c>
      <c r="X29" s="248">
        <v>1544</v>
      </c>
      <c r="Y29" s="183">
        <f t="shared" si="14"/>
        <v>1543.97</v>
      </c>
      <c r="Z29" s="179">
        <f>VLOOKUP(C29,'Amazon Live Products'!E:AF,28,0)</f>
        <v>1499</v>
      </c>
      <c r="AA29" s="244">
        <f>VLOOKUP(D29,'Amazon Live Products'!F:AI,29,0)</f>
        <v>0</v>
      </c>
      <c r="AB29" s="43"/>
      <c r="AC29" s="43"/>
      <c r="AD29" s="43"/>
      <c r="AE29" s="43"/>
      <c r="AF29" s="43"/>
      <c r="AG29" s="44"/>
      <c r="AH29" s="44"/>
    </row>
    <row r="30" spans="1:34">
      <c r="A30" s="43">
        <f t="shared" si="15"/>
        <v>29</v>
      </c>
      <c r="B30" s="44" t="s">
        <v>934</v>
      </c>
      <c r="C30" s="44" t="s">
        <v>663</v>
      </c>
      <c r="D30" s="43" t="str">
        <f>VLOOKUP(C30,'Amazon Live Products'!E:F,2,0)</f>
        <v>B0DFMRG2K4</v>
      </c>
      <c r="E30" s="43">
        <v>33203074</v>
      </c>
      <c r="F30" s="69" t="str">
        <f>VLOOKUP(C30,'Margin Calculation'!F:H,3,0)</f>
        <v>TM-02</v>
      </c>
      <c r="G30" s="69" t="str">
        <f>VLOOKUP(C30,'Margin Calculation'!F:M,8,0)</f>
        <v>NexLev Multi-Trimmer for Men</v>
      </c>
      <c r="H30" s="244">
        <f>VLOOKUP(C30,'Margin Calculation'!F:Y,20,0)</f>
        <v>1119.9599999999998</v>
      </c>
      <c r="I30" s="244">
        <f>VLOOKUP(C30,'Margin Calculation'!F:Z,21,0)</f>
        <v>1321.5527999999997</v>
      </c>
      <c r="J30" s="244">
        <f t="shared" si="0"/>
        <v>308.90000000000003</v>
      </c>
      <c r="K30" s="244">
        <f t="shared" si="1"/>
        <v>185.34</v>
      </c>
      <c r="L30" s="244">
        <f t="shared" si="2"/>
        <v>154.45000000000002</v>
      </c>
      <c r="M30" s="244">
        <f t="shared" si="3"/>
        <v>61.78</v>
      </c>
      <c r="N30" s="244">
        <f t="shared" si="4"/>
        <v>63</v>
      </c>
      <c r="O30" s="244">
        <f t="shared" si="5"/>
        <v>308.90000000000003</v>
      </c>
      <c r="P30" s="244">
        <f t="shared" si="6"/>
        <v>310.12</v>
      </c>
      <c r="Q30" s="245">
        <f t="shared" si="7"/>
        <v>0.10039494982194885</v>
      </c>
      <c r="R30" s="244">
        <f t="shared" si="8"/>
        <v>66.077639999999988</v>
      </c>
      <c r="S30" s="244">
        <f t="shared" si="9"/>
        <v>26.431055999999995</v>
      </c>
      <c r="T30" s="244">
        <f t="shared" si="10"/>
        <v>2294.8386959999998</v>
      </c>
      <c r="U30" s="244">
        <f t="shared" si="11"/>
        <v>330.96428571428578</v>
      </c>
      <c r="V30" s="246">
        <f t="shared" si="12"/>
        <v>463.19701828571442</v>
      </c>
      <c r="W30" s="247">
        <f t="shared" si="13"/>
        <v>0.14995047532719794</v>
      </c>
      <c r="X30" s="248">
        <v>3089</v>
      </c>
      <c r="Y30" s="183">
        <f t="shared" si="14"/>
        <v>2264.9700000000003</v>
      </c>
      <c r="Z30" s="179">
        <f>VLOOKUP(C30,'Amazon Live Products'!E:AF,28,0)</f>
        <v>2199</v>
      </c>
      <c r="AA30" s="244">
        <f>VLOOKUP(D30,'Amazon Live Products'!F:AI,29,0)</f>
        <v>0</v>
      </c>
      <c r="AB30" s="43"/>
      <c r="AC30" s="43"/>
      <c r="AD30" s="43"/>
      <c r="AE30" s="43"/>
      <c r="AF30" s="43"/>
      <c r="AG30" s="44"/>
      <c r="AH30" s="44"/>
    </row>
    <row r="31" spans="1:34">
      <c r="A31" s="43">
        <f t="shared" si="15"/>
        <v>30</v>
      </c>
      <c r="B31" s="44" t="s">
        <v>934</v>
      </c>
      <c r="C31" s="44" t="s">
        <v>675</v>
      </c>
      <c r="D31" s="43" t="str">
        <f>VLOOKUP(C31,'Amazon Live Products'!E:F,2,0)</f>
        <v>B0DK9NRBWJ</v>
      </c>
      <c r="E31" s="43">
        <v>33477981</v>
      </c>
      <c r="F31" s="69" t="str">
        <f>VLOOKUP(C31,'Margin Calculation'!F:H,3,0)</f>
        <v>TM-03</v>
      </c>
      <c r="G31" s="69" t="str">
        <f>VLOOKUP(C31,'Margin Calculation'!F:M,8,0)</f>
        <v>Nexlev Intimate Body Trimmer With Charging Base, Display and Light</v>
      </c>
      <c r="H31" s="244">
        <f>VLOOKUP(C31,'Margin Calculation'!F:Y,20,0)</f>
        <v>509.58179999999999</v>
      </c>
      <c r="I31" s="244">
        <f>VLOOKUP(C31,'Margin Calculation'!F:Z,21,0)</f>
        <v>601.30652399999997</v>
      </c>
      <c r="J31" s="244">
        <f t="shared" si="0"/>
        <v>164.70000000000002</v>
      </c>
      <c r="K31" s="244">
        <f t="shared" si="1"/>
        <v>98.82</v>
      </c>
      <c r="L31" s="244">
        <f t="shared" si="2"/>
        <v>82.350000000000009</v>
      </c>
      <c r="M31" s="244">
        <f t="shared" si="3"/>
        <v>32.94</v>
      </c>
      <c r="N31" s="244">
        <f t="shared" si="4"/>
        <v>57</v>
      </c>
      <c r="O31" s="244">
        <f t="shared" si="5"/>
        <v>164.70000000000002</v>
      </c>
      <c r="P31" s="244">
        <f t="shared" si="6"/>
        <v>188.76</v>
      </c>
      <c r="Q31" s="245">
        <f t="shared" si="7"/>
        <v>0.11460837887067395</v>
      </c>
      <c r="R31" s="244">
        <f t="shared" si="8"/>
        <v>30.065326200000001</v>
      </c>
      <c r="S31" s="244">
        <f t="shared" si="9"/>
        <v>12.026130479999999</v>
      </c>
      <c r="T31" s="244">
        <f t="shared" si="10"/>
        <v>1152.1832566799999</v>
      </c>
      <c r="U31" s="244">
        <f t="shared" si="11"/>
        <v>176.46428571428578</v>
      </c>
      <c r="V31" s="246">
        <f t="shared" si="12"/>
        <v>318.35245760571433</v>
      </c>
      <c r="W31" s="247">
        <f t="shared" si="13"/>
        <v>0.19329232398646892</v>
      </c>
      <c r="X31" s="248">
        <v>1647</v>
      </c>
      <c r="Y31" s="183">
        <f t="shared" si="14"/>
        <v>1166.99</v>
      </c>
      <c r="Z31" s="179">
        <f>VLOOKUP(C31,'Amazon Live Products'!E:AF,28,0)</f>
        <v>1133</v>
      </c>
      <c r="AA31" s="244">
        <f>VLOOKUP(D31,'Amazon Live Products'!F:AI,29,0)</f>
        <v>0</v>
      </c>
      <c r="AB31" s="43"/>
      <c r="AC31" s="43"/>
      <c r="AD31" s="43"/>
      <c r="AE31" s="43"/>
      <c r="AF31" s="43"/>
      <c r="AG31" s="44"/>
      <c r="AH31" s="44"/>
    </row>
    <row r="32" spans="1:34">
      <c r="A32" s="43">
        <f t="shared" si="15"/>
        <v>31</v>
      </c>
      <c r="B32" s="44" t="s">
        <v>934</v>
      </c>
      <c r="C32" s="44" t="s">
        <v>679</v>
      </c>
      <c r="D32" s="43" t="str">
        <f>VLOOKUP(C32,'Amazon Live Products'!E:F,2,0)</f>
        <v>B0DK9QNKK8</v>
      </c>
      <c r="E32" s="43">
        <v>33294126</v>
      </c>
      <c r="F32" s="69" t="str">
        <f>VLOOKUP(C32,'Margin Calculation'!F:H,3,0)</f>
        <v>TM-04</v>
      </c>
      <c r="G32" s="69" t="str">
        <f>VLOOKUP(C32,'Margin Calculation'!F:M,8,0)</f>
        <v>Nexlev Intimate Body Trimmer and Nose Trimmer</v>
      </c>
      <c r="H32" s="244">
        <f>VLOOKUP(C32,'Margin Calculation'!F:Y,20,0)</f>
        <v>394.22592000000003</v>
      </c>
      <c r="I32" s="244">
        <f>VLOOKUP(C32,'Margin Calculation'!F:Z,21,0)</f>
        <v>465.1865856</v>
      </c>
      <c r="J32" s="244">
        <f t="shared" si="0"/>
        <v>119.4</v>
      </c>
      <c r="K32" s="244">
        <f t="shared" si="1"/>
        <v>71.64</v>
      </c>
      <c r="L32" s="244">
        <f t="shared" si="2"/>
        <v>59.7</v>
      </c>
      <c r="M32" s="244">
        <f t="shared" si="3"/>
        <v>23.88</v>
      </c>
      <c r="N32" s="244">
        <f t="shared" si="4"/>
        <v>57</v>
      </c>
      <c r="O32" s="244">
        <f t="shared" si="5"/>
        <v>119.4</v>
      </c>
      <c r="P32" s="244">
        <f t="shared" si="6"/>
        <v>152.51999999999998</v>
      </c>
      <c r="Q32" s="245">
        <f t="shared" si="7"/>
        <v>0.12773869346733666</v>
      </c>
      <c r="R32" s="244">
        <f t="shared" si="8"/>
        <v>23.259329280000003</v>
      </c>
      <c r="S32" s="244">
        <f t="shared" si="9"/>
        <v>9.3037317119999994</v>
      </c>
      <c r="T32" s="244">
        <f t="shared" si="10"/>
        <v>877.80898099199999</v>
      </c>
      <c r="U32" s="244">
        <f t="shared" si="11"/>
        <v>127.92857142857156</v>
      </c>
      <c r="V32" s="246">
        <f t="shared" si="12"/>
        <v>188.26244757942845</v>
      </c>
      <c r="W32" s="247">
        <f t="shared" si="13"/>
        <v>0.15767374169131362</v>
      </c>
      <c r="X32" s="248">
        <v>1194</v>
      </c>
      <c r="Y32" s="183">
        <f t="shared" si="14"/>
        <v>1028.97</v>
      </c>
      <c r="Z32" s="179">
        <f>VLOOKUP(C32,'Amazon Live Products'!E:AF,28,0)</f>
        <v>999</v>
      </c>
      <c r="AA32" s="244">
        <f>VLOOKUP(D32,'Amazon Live Products'!F:AI,29,0)</f>
        <v>0</v>
      </c>
      <c r="AB32" s="43"/>
      <c r="AC32" s="43"/>
      <c r="AD32" s="43"/>
      <c r="AE32" s="43"/>
      <c r="AF32" s="43"/>
      <c r="AG32" s="44"/>
      <c r="AH32" s="44"/>
    </row>
    <row r="33" spans="1:34">
      <c r="A33" s="43">
        <f t="shared" si="15"/>
        <v>32</v>
      </c>
      <c r="B33" s="44" t="s">
        <v>934</v>
      </c>
      <c r="C33" s="44" t="s">
        <v>695</v>
      </c>
      <c r="D33" s="43" t="str">
        <f>VLOOKUP(C33,'Amazon Live Products'!E:F,2,0)</f>
        <v>B0DT6Y7KJM</v>
      </c>
      <c r="E33" s="43">
        <v>33131984</v>
      </c>
      <c r="F33" s="69" t="str">
        <f>VLOOKUP(C33,'Margin Calculation'!F:H,3,0)</f>
        <v>V-02</v>
      </c>
      <c r="G33" s="69" t="str">
        <f>VLOOKUP(C33,'Margin Calculation'!F:M,8,0)</f>
        <v>Nexlev Volumizer Straightener</v>
      </c>
      <c r="H33" s="244">
        <f>VLOOKUP(C33,'Margin Calculation'!F:Y,20,0)</f>
        <v>931.80672000000004</v>
      </c>
      <c r="I33" s="244">
        <f>VLOOKUP(C33,'Margin Calculation'!F:Z,21,0)</f>
        <v>1099.5319296</v>
      </c>
      <c r="J33" s="244">
        <f t="shared" si="0"/>
        <v>308.90000000000003</v>
      </c>
      <c r="K33" s="244">
        <f t="shared" si="1"/>
        <v>185.34</v>
      </c>
      <c r="L33" s="244">
        <f t="shared" si="2"/>
        <v>154.45000000000002</v>
      </c>
      <c r="M33" s="244">
        <f t="shared" si="3"/>
        <v>61.78</v>
      </c>
      <c r="N33" s="244">
        <f t="shared" si="4"/>
        <v>63</v>
      </c>
      <c r="O33" s="244">
        <f t="shared" si="5"/>
        <v>308.90000000000003</v>
      </c>
      <c r="P33" s="244">
        <f t="shared" si="6"/>
        <v>310.12</v>
      </c>
      <c r="Q33" s="245">
        <f t="shared" si="7"/>
        <v>0.10039494982194885</v>
      </c>
      <c r="R33" s="244">
        <f t="shared" si="8"/>
        <v>54.976596480000005</v>
      </c>
      <c r="S33" s="244">
        <f t="shared" si="9"/>
        <v>21.990638592</v>
      </c>
      <c r="T33" s="244">
        <f t="shared" si="10"/>
        <v>2091.1439550720002</v>
      </c>
      <c r="U33" s="244">
        <f t="shared" si="11"/>
        <v>330.96428571428578</v>
      </c>
      <c r="V33" s="246">
        <f t="shared" si="12"/>
        <v>666.89175921371407</v>
      </c>
      <c r="W33" s="247">
        <f t="shared" si="13"/>
        <v>0.21589244390214116</v>
      </c>
      <c r="X33" s="248">
        <v>3089</v>
      </c>
      <c r="Y33" s="183">
        <f t="shared" si="14"/>
        <v>2058.9700000000003</v>
      </c>
      <c r="Z33" s="179">
        <f>VLOOKUP(C33,'Amazon Live Products'!E:AF,28,0)</f>
        <v>1999</v>
      </c>
      <c r="AA33" s="244">
        <f>VLOOKUP(D33,'Amazon Live Products'!F:AI,29,0)</f>
        <v>0</v>
      </c>
      <c r="AB33" s="43"/>
      <c r="AC33" s="43"/>
      <c r="AD33" s="43"/>
      <c r="AE33" s="43"/>
      <c r="AF33" s="43"/>
      <c r="AG33" s="44"/>
      <c r="AH33" s="44"/>
    </row>
    <row r="34" spans="1:34">
      <c r="A34" s="43">
        <f t="shared" si="15"/>
        <v>33</v>
      </c>
      <c r="B34" s="44" t="s">
        <v>934</v>
      </c>
      <c r="C34" s="44" t="s">
        <v>700</v>
      </c>
      <c r="D34" s="43" t="str">
        <f>VLOOKUP(C34,'Amazon Live Products'!E:F,2,0)</f>
        <v>B0DQCWRG3H</v>
      </c>
      <c r="E34" s="43">
        <v>33210575</v>
      </c>
      <c r="F34" s="69" t="str">
        <f>VLOOKUP(C34,'Margin Calculation'!F:H,3,0)</f>
        <v>V-03</v>
      </c>
      <c r="G34" s="69" t="str">
        <f>VLOOKUP(C34,'Margin Calculation'!F:M,8,0)</f>
        <v>Nexlev Volumizer Dryer</v>
      </c>
      <c r="H34" s="244">
        <f>VLOOKUP(C34,'Margin Calculation'!F:Y,20,0)</f>
        <v>724.61412000000007</v>
      </c>
      <c r="I34" s="244">
        <f>VLOOKUP(C34,'Margin Calculation'!F:Z,21,0)</f>
        <v>855.04466160000004</v>
      </c>
      <c r="J34" s="244">
        <f t="shared" si="0"/>
        <v>205.9</v>
      </c>
      <c r="K34" s="244">
        <f t="shared" si="1"/>
        <v>123.53999999999999</v>
      </c>
      <c r="L34" s="244">
        <f t="shared" si="2"/>
        <v>102.95</v>
      </c>
      <c r="M34" s="244">
        <f t="shared" si="3"/>
        <v>41.18</v>
      </c>
      <c r="N34" s="244">
        <f t="shared" si="4"/>
        <v>63</v>
      </c>
      <c r="O34" s="244">
        <f t="shared" si="5"/>
        <v>205.9</v>
      </c>
      <c r="P34" s="244">
        <f t="shared" si="6"/>
        <v>227.72</v>
      </c>
      <c r="Q34" s="245">
        <f t="shared" si="7"/>
        <v>0.1105973773676542</v>
      </c>
      <c r="R34" s="244">
        <f t="shared" si="8"/>
        <v>42.752233080000003</v>
      </c>
      <c r="S34" s="244">
        <f t="shared" si="9"/>
        <v>17.100893232000001</v>
      </c>
      <c r="T34" s="244">
        <f t="shared" si="10"/>
        <v>1526.9372463120003</v>
      </c>
      <c r="U34" s="244">
        <f t="shared" si="11"/>
        <v>220.60714285714312</v>
      </c>
      <c r="V34" s="246">
        <f t="shared" si="12"/>
        <v>311.45561083085659</v>
      </c>
      <c r="W34" s="247">
        <f t="shared" si="13"/>
        <v>0.15126547393436454</v>
      </c>
      <c r="X34" s="248">
        <v>2059</v>
      </c>
      <c r="Y34" s="183">
        <f t="shared" si="14"/>
        <v>2057.94</v>
      </c>
      <c r="Z34" s="179">
        <f>VLOOKUP(C34,'Amazon Live Products'!E:AF,28,0)</f>
        <v>1998</v>
      </c>
      <c r="AA34" s="244">
        <f>VLOOKUP(D34,'Amazon Live Products'!F:AI,29,0)</f>
        <v>0</v>
      </c>
      <c r="AB34" s="43"/>
      <c r="AC34" s="43"/>
      <c r="AD34" s="43"/>
      <c r="AE34" s="43"/>
      <c r="AF34" s="43"/>
      <c r="AG34" s="44"/>
      <c r="AH34" s="44"/>
    </row>
    <row r="35" spans="1:34">
      <c r="A35" s="43">
        <f t="shared" si="15"/>
        <v>34</v>
      </c>
      <c r="B35" s="44" t="s">
        <v>934</v>
      </c>
      <c r="C35" s="44" t="s">
        <v>724</v>
      </c>
      <c r="D35" s="43" t="str">
        <f>VLOOKUP(C35,'Amazon Live Products'!E:F,2,0)</f>
        <v>B0DKJXRXKM</v>
      </c>
      <c r="E35" s="43">
        <v>33484355</v>
      </c>
      <c r="F35" s="69" t="str">
        <f>VLOOKUP(C35,'Margin Calculation'!F:H,3,0)</f>
        <v>BR-01</v>
      </c>
      <c r="G35" s="69" t="str">
        <f>VLOOKUP(C35,'Margin Calculation'!F:M,8,0)</f>
        <v>Nexlev Black Head Remover</v>
      </c>
      <c r="H35" s="244">
        <f>VLOOKUP(C35,'Margin Calculation'!F:Y,20,0)</f>
        <v>458.541</v>
      </c>
      <c r="I35" s="244">
        <f>VLOOKUP(C35,'Margin Calculation'!F:Z,21,0)</f>
        <v>541.07837999999992</v>
      </c>
      <c r="J35" s="244">
        <f t="shared" si="0"/>
        <v>144.1</v>
      </c>
      <c r="K35" s="244">
        <f t="shared" si="1"/>
        <v>86.46</v>
      </c>
      <c r="L35" s="244">
        <f t="shared" si="2"/>
        <v>72.05</v>
      </c>
      <c r="M35" s="244">
        <f t="shared" si="3"/>
        <v>28.82</v>
      </c>
      <c r="N35" s="244">
        <f t="shared" si="4"/>
        <v>57</v>
      </c>
      <c r="O35" s="244">
        <f t="shared" si="5"/>
        <v>144.1</v>
      </c>
      <c r="P35" s="244">
        <f t="shared" si="6"/>
        <v>172.28</v>
      </c>
      <c r="Q35" s="245">
        <f t="shared" si="7"/>
        <v>0.1195558639833449</v>
      </c>
      <c r="R35" s="244">
        <f t="shared" si="8"/>
        <v>27.053918999999997</v>
      </c>
      <c r="S35" s="244">
        <f t="shared" si="9"/>
        <v>10.821567599999998</v>
      </c>
      <c r="T35" s="244">
        <f t="shared" si="10"/>
        <v>1028.9464865999998</v>
      </c>
      <c r="U35" s="244">
        <f t="shared" si="11"/>
        <v>154.39285714285734</v>
      </c>
      <c r="V35" s="246">
        <f t="shared" si="12"/>
        <v>257.66065625714282</v>
      </c>
      <c r="W35" s="247">
        <f t="shared" si="13"/>
        <v>0.17880683987310397</v>
      </c>
      <c r="X35" s="248">
        <v>1441</v>
      </c>
      <c r="Y35" s="183">
        <f t="shared" si="14"/>
        <v>1595.47</v>
      </c>
      <c r="Z35" s="179">
        <f>VLOOKUP(C35,'Amazon Live Products'!E:AF,28,0)</f>
        <v>1549</v>
      </c>
      <c r="AA35" s="244">
        <f>VLOOKUP(D35,'Amazon Live Products'!F:AI,29,0)</f>
        <v>0</v>
      </c>
      <c r="AB35" s="43"/>
      <c r="AC35" s="43"/>
      <c r="AD35" s="43"/>
      <c r="AE35" s="43"/>
      <c r="AF35" s="43"/>
      <c r="AG35" s="44"/>
      <c r="AH35" s="44"/>
    </row>
    <row r="36" spans="1:34">
      <c r="A36" s="43">
        <f t="shared" si="15"/>
        <v>35</v>
      </c>
      <c r="B36" s="44"/>
      <c r="C36" s="44" t="s">
        <v>728</v>
      </c>
      <c r="D36" s="43" t="str">
        <f>VLOOKUP(C36,'Amazon Live Products'!E:F,2,0)</f>
        <v>B0DKK12XWR</v>
      </c>
      <c r="E36" s="43">
        <v>33536684</v>
      </c>
      <c r="F36" s="69" t="str">
        <f>VLOOKUP(C36,'Margin Calculation'!F:H,3,0)</f>
        <v>IPL-01</v>
      </c>
      <c r="G36" s="69" t="str">
        <f>VLOOKUP(C36,'Margin Calculation'!F:M,8,0)</f>
        <v>Nexlev IPL Hair Removal Device</v>
      </c>
      <c r="H36" s="244">
        <f>VLOOKUP(C36,'Margin Calculation'!F:Y,20,0)</f>
        <v>1120.8779999999999</v>
      </c>
      <c r="I36" s="244">
        <f>VLOOKUP(C36,'Margin Calculation'!F:Z,21,0)</f>
        <v>1322.6360399999999</v>
      </c>
      <c r="J36" s="244">
        <f t="shared" si="0"/>
        <v>339.79700000000003</v>
      </c>
      <c r="K36" s="244">
        <f t="shared" si="1"/>
        <v>203.87820000000002</v>
      </c>
      <c r="L36" s="244">
        <f t="shared" si="2"/>
        <v>169.89850000000001</v>
      </c>
      <c r="M36" s="244">
        <f t="shared" si="3"/>
        <v>67.959400000000002</v>
      </c>
      <c r="N36" s="244">
        <f t="shared" si="4"/>
        <v>63</v>
      </c>
      <c r="O36" s="244">
        <f t="shared" si="5"/>
        <v>339.79700000000003</v>
      </c>
      <c r="P36" s="244">
        <f t="shared" si="6"/>
        <v>334.83760000000001</v>
      </c>
      <c r="Q36" s="245">
        <f t="shared" si="7"/>
        <v>9.8540481522791545E-2</v>
      </c>
      <c r="R36" s="244">
        <f t="shared" si="8"/>
        <v>66.131801999999993</v>
      </c>
      <c r="S36" s="244">
        <f t="shared" si="9"/>
        <v>26.452720799999998</v>
      </c>
      <c r="T36" s="244">
        <f t="shared" si="10"/>
        <v>2397.7926228000001</v>
      </c>
      <c r="U36" s="244">
        <f t="shared" si="11"/>
        <v>364.06821428571448</v>
      </c>
      <c r="V36" s="246">
        <f t="shared" si="12"/>
        <v>636.10916291428566</v>
      </c>
      <c r="W36" s="247">
        <f t="shared" si="13"/>
        <v>0.18720270129350336</v>
      </c>
      <c r="X36" s="248">
        <f t="shared" ref="X36:X38" si="16">Z36*(1+0.03)</f>
        <v>3397.9700000000003</v>
      </c>
      <c r="Y36" s="183">
        <f t="shared" si="14"/>
        <v>3397.9700000000003</v>
      </c>
      <c r="Z36" s="179">
        <f>VLOOKUP(C36,'Amazon Live Products'!E:AF,28,0)</f>
        <v>3299</v>
      </c>
      <c r="AA36" s="244">
        <f>VLOOKUP(D36,'Amazon Live Products'!F:AI,29,0)</f>
        <v>0</v>
      </c>
      <c r="AB36" s="43"/>
      <c r="AC36" s="43"/>
      <c r="AD36" s="43"/>
      <c r="AE36" s="43"/>
      <c r="AF36" s="43"/>
      <c r="AG36" s="44"/>
      <c r="AH36" s="44"/>
    </row>
    <row r="37" spans="1:34">
      <c r="A37" s="43">
        <f t="shared" si="15"/>
        <v>36</v>
      </c>
      <c r="B37" s="44" t="s">
        <v>953</v>
      </c>
      <c r="C37" s="44" t="s">
        <v>736</v>
      </c>
      <c r="D37" s="43" t="str">
        <f>VLOOKUP(C37,'Amazon Live Products'!E:F,2,0)</f>
        <v>B0DKK15YNJ</v>
      </c>
      <c r="E37" s="43">
        <v>33734289</v>
      </c>
      <c r="F37" s="69" t="str">
        <f>VLOOKUP(C37,'Margin Calculation'!F:H,3,0)</f>
        <v>EA-02</v>
      </c>
      <c r="G37" s="69" t="str">
        <f>VLOOKUP(C37,'Margin Calculation'!F:M,8,0)</f>
        <v>Nexlev Oil Applicator Comb</v>
      </c>
      <c r="H37" s="244">
        <f>VLOOKUP(C37,'Margin Calculation'!F:Y,20,0)</f>
        <v>1034.2646999999999</v>
      </c>
      <c r="I37" s="244">
        <f>VLOOKUP(C37,'Margin Calculation'!F:Z,21,0)</f>
        <v>1220.4323459999998</v>
      </c>
      <c r="J37" s="244">
        <f t="shared" si="0"/>
        <v>267.69700000000006</v>
      </c>
      <c r="K37" s="244">
        <f t="shared" si="1"/>
        <v>160.6182</v>
      </c>
      <c r="L37" s="244">
        <f t="shared" si="2"/>
        <v>133.84850000000003</v>
      </c>
      <c r="M37" s="244">
        <f t="shared" si="3"/>
        <v>53.539400000000008</v>
      </c>
      <c r="N37" s="244">
        <f t="shared" si="4"/>
        <v>63</v>
      </c>
      <c r="O37" s="244">
        <f t="shared" si="5"/>
        <v>267.69700000000006</v>
      </c>
      <c r="P37" s="244">
        <f t="shared" si="6"/>
        <v>277.1576</v>
      </c>
      <c r="Q37" s="245">
        <f t="shared" si="7"/>
        <v>0.10353407023612517</v>
      </c>
      <c r="R37" s="244">
        <f t="shared" si="8"/>
        <v>61.021617299999996</v>
      </c>
      <c r="S37" s="244">
        <f t="shared" si="9"/>
        <v>24.408646919999995</v>
      </c>
      <c r="T37" s="244">
        <f t="shared" si="10"/>
        <v>2066.0950642200005</v>
      </c>
      <c r="U37" s="244">
        <f t="shared" si="11"/>
        <v>286.81821428571448</v>
      </c>
      <c r="V37" s="246">
        <f t="shared" si="12"/>
        <v>324.05672149428528</v>
      </c>
      <c r="W37" s="247">
        <f t="shared" si="13"/>
        <v>0.12105354990690417</v>
      </c>
      <c r="X37" s="248">
        <f t="shared" si="16"/>
        <v>2676.9700000000003</v>
      </c>
      <c r="Y37" s="183">
        <f t="shared" si="14"/>
        <v>2676.9700000000003</v>
      </c>
      <c r="Z37" s="179">
        <f>VLOOKUP(C37,'Amazon Live Products'!E:AF,28,0)</f>
        <v>2599</v>
      </c>
      <c r="AA37" s="244">
        <f>VLOOKUP(D37,'Amazon Live Products'!F:AI,29,0)</f>
        <v>0</v>
      </c>
      <c r="AB37" s="43"/>
      <c r="AC37" s="43"/>
      <c r="AD37" s="43"/>
      <c r="AE37" s="43"/>
      <c r="AF37" s="43"/>
      <c r="AG37" s="44"/>
      <c r="AH37" s="44"/>
    </row>
    <row r="38" spans="1:34">
      <c r="A38" s="43">
        <f t="shared" si="15"/>
        <v>37</v>
      </c>
      <c r="B38" s="44" t="s">
        <v>953</v>
      </c>
      <c r="C38" s="44" t="s">
        <v>744</v>
      </c>
      <c r="D38" s="43" t="str">
        <f>VLOOKUP(C38,'Amazon Live Products'!E:F,2,0)</f>
        <v>B0DM6BB3VT</v>
      </c>
      <c r="E38" s="43">
        <v>33734294</v>
      </c>
      <c r="F38" s="69" t="str">
        <f>VLOOKUP(C38,'Margin Calculation'!F:H,3,0)</f>
        <v>CFM-01</v>
      </c>
      <c r="G38" s="69" t="str">
        <f>VLOOKUP(C38,'Margin Calculation'!F:M,8,0)</f>
        <v>NexLev Calf Massager</v>
      </c>
      <c r="H38" s="244">
        <f>VLOOKUP(C38,'Margin Calculation'!F:Y,20,0)</f>
        <v>855.94319999999993</v>
      </c>
      <c r="I38" s="244">
        <f>VLOOKUP(C38,'Margin Calculation'!F:Z,21,0)</f>
        <v>1010.0129759999999</v>
      </c>
      <c r="J38" s="244">
        <f t="shared" si="0"/>
        <v>276.96700000000004</v>
      </c>
      <c r="K38" s="244">
        <f t="shared" si="1"/>
        <v>166.18019999999999</v>
      </c>
      <c r="L38" s="244">
        <f t="shared" si="2"/>
        <v>138.48350000000002</v>
      </c>
      <c r="M38" s="244">
        <f t="shared" si="3"/>
        <v>55.3934</v>
      </c>
      <c r="N38" s="244">
        <f t="shared" si="4"/>
        <v>63</v>
      </c>
      <c r="O38" s="244">
        <f t="shared" si="5"/>
        <v>276.96700000000004</v>
      </c>
      <c r="P38" s="244">
        <f t="shared" si="6"/>
        <v>284.5736</v>
      </c>
      <c r="Q38" s="245">
        <f t="shared" si="7"/>
        <v>0.10274639216946423</v>
      </c>
      <c r="R38" s="244">
        <f t="shared" si="8"/>
        <v>50.500648799999993</v>
      </c>
      <c r="S38" s="244">
        <f t="shared" si="9"/>
        <v>20.200259519999999</v>
      </c>
      <c r="T38" s="244">
        <f t="shared" si="10"/>
        <v>1903.6352083199999</v>
      </c>
      <c r="U38" s="244">
        <f t="shared" si="11"/>
        <v>296.75035714285741</v>
      </c>
      <c r="V38" s="246">
        <f t="shared" si="12"/>
        <v>569.28443453714272</v>
      </c>
      <c r="W38" s="247">
        <f t="shared" si="13"/>
        <v>0.20554233339608788</v>
      </c>
      <c r="X38" s="248">
        <f t="shared" si="16"/>
        <v>2769.67</v>
      </c>
      <c r="Y38" s="183">
        <f t="shared" si="14"/>
        <v>2769.67</v>
      </c>
      <c r="Z38" s="179">
        <f>VLOOKUP(C38,'Amazon Live Products'!E:AF,28,0)</f>
        <v>2689</v>
      </c>
      <c r="AA38" s="244">
        <f>VLOOKUP(D38,'Amazon Live Products'!F:AI,29,0)</f>
        <v>0</v>
      </c>
      <c r="AB38" s="43"/>
      <c r="AC38" s="43"/>
      <c r="AD38" s="43"/>
      <c r="AE38" s="43"/>
      <c r="AF38" s="43"/>
      <c r="AG38" s="44"/>
      <c r="AH38" s="44"/>
    </row>
    <row r="39" spans="1:34">
      <c r="A39" s="43">
        <f t="shared" si="15"/>
        <v>38</v>
      </c>
      <c r="B39" s="44" t="s">
        <v>934</v>
      </c>
      <c r="C39" s="44" t="s">
        <v>749</v>
      </c>
      <c r="D39" s="43" t="str">
        <f>VLOOKUP(C39,'Amazon Live Products'!E:F,2,0)</f>
        <v>B0DM66B2DW</v>
      </c>
      <c r="E39" s="43">
        <v>33734274</v>
      </c>
      <c r="F39" s="69" t="str">
        <f>VLOOKUP(C39,'Margin Calculation'!F:H,3,0)</f>
        <v>KM-01</v>
      </c>
      <c r="G39" s="69" t="str">
        <f>VLOOKUP(C39,'Margin Calculation'!F:M,8,0)</f>
        <v>NexLev Knee Massager</v>
      </c>
      <c r="H39" s="244">
        <f>VLOOKUP(C39,'Margin Calculation'!F:Y,20,0)</f>
        <v>881.41770000000008</v>
      </c>
      <c r="I39" s="244">
        <f>VLOOKUP(C39,'Margin Calculation'!F:Z,21,0)</f>
        <v>1040.0728860000002</v>
      </c>
      <c r="J39" s="244">
        <f t="shared" si="0"/>
        <v>159.5</v>
      </c>
      <c r="K39" s="244">
        <f t="shared" si="1"/>
        <v>95.7</v>
      </c>
      <c r="L39" s="244">
        <f t="shared" si="2"/>
        <v>79.75</v>
      </c>
      <c r="M39" s="244">
        <f t="shared" si="3"/>
        <v>31.900000000000002</v>
      </c>
      <c r="N39" s="244">
        <f t="shared" si="4"/>
        <v>57</v>
      </c>
      <c r="O39" s="244">
        <f t="shared" si="5"/>
        <v>159.5</v>
      </c>
      <c r="P39" s="244">
        <f t="shared" si="6"/>
        <v>184.60000000000002</v>
      </c>
      <c r="Q39" s="245">
        <f t="shared" si="7"/>
        <v>0.11573667711598748</v>
      </c>
      <c r="R39" s="244">
        <f t="shared" si="8"/>
        <v>52.003644300000012</v>
      </c>
      <c r="S39" s="244">
        <f t="shared" si="9"/>
        <v>20.801457720000002</v>
      </c>
      <c r="T39" s="244">
        <f t="shared" si="10"/>
        <v>1537.5728020199999</v>
      </c>
      <c r="U39" s="244">
        <f t="shared" si="11"/>
        <v>170.89285714285734</v>
      </c>
      <c r="V39" s="246">
        <f t="shared" si="12"/>
        <v>-113.46565916285726</v>
      </c>
      <c r="W39" s="247">
        <f t="shared" si="13"/>
        <v>-7.1138344302731832E-2</v>
      </c>
      <c r="X39" s="248">
        <v>1595</v>
      </c>
      <c r="Y39" s="183">
        <f t="shared" si="14"/>
        <v>1492.47</v>
      </c>
      <c r="Z39" s="179">
        <f>VLOOKUP(C39,'Amazon Live Products'!E:AF,28,0)</f>
        <v>1449</v>
      </c>
      <c r="AA39" s="244">
        <f>VLOOKUP(D39,'Amazon Live Products'!F:AI,29,0)</f>
        <v>0</v>
      </c>
      <c r="AB39" s="43"/>
      <c r="AC39" s="43"/>
      <c r="AD39" s="43"/>
      <c r="AE39" s="43"/>
      <c r="AF39" s="43"/>
      <c r="AG39" s="44"/>
      <c r="AH39" s="44"/>
    </row>
    <row r="40" spans="1:34">
      <c r="A40" s="43">
        <f t="shared" si="15"/>
        <v>39</v>
      </c>
      <c r="B40" s="44" t="s">
        <v>934</v>
      </c>
      <c r="C40" s="44" t="s">
        <v>764</v>
      </c>
      <c r="D40" s="43" t="str">
        <f>VLOOKUP(C40,'Amazon Live Products'!E:F,2,0)</f>
        <v>B0DMSHZXG2</v>
      </c>
      <c r="E40" s="43">
        <v>33734273</v>
      </c>
      <c r="F40" s="69" t="str">
        <f>VLOOKUP(C40,'Margin Calculation'!F:H,3,0)</f>
        <v>EM-02</v>
      </c>
      <c r="G40" s="69" t="str">
        <f>VLOOKUP(C40,'Margin Calculation'!F:M,8,0)</f>
        <v>NexLev Eye Massager - Pro</v>
      </c>
      <c r="H40" s="244">
        <f>VLOOKUP(C40,'Margin Calculation'!F:Y,20,0)</f>
        <v>1222.7760000000001</v>
      </c>
      <c r="I40" s="244">
        <f>VLOOKUP(C40,'Margin Calculation'!F:Z,21,0)</f>
        <v>1442.8756800000001</v>
      </c>
      <c r="J40" s="244">
        <f t="shared" si="0"/>
        <v>185.3</v>
      </c>
      <c r="K40" s="244">
        <f t="shared" si="1"/>
        <v>111.17999999999999</v>
      </c>
      <c r="L40" s="244">
        <f t="shared" si="2"/>
        <v>92.65</v>
      </c>
      <c r="M40" s="244">
        <f t="shared" si="3"/>
        <v>37.06</v>
      </c>
      <c r="N40" s="244">
        <f t="shared" si="4"/>
        <v>57</v>
      </c>
      <c r="O40" s="244">
        <f t="shared" si="5"/>
        <v>185.3</v>
      </c>
      <c r="P40" s="244">
        <f t="shared" si="6"/>
        <v>205.24</v>
      </c>
      <c r="Q40" s="245">
        <f t="shared" si="7"/>
        <v>0.11076092822450082</v>
      </c>
      <c r="R40" s="244">
        <f t="shared" si="8"/>
        <v>72.143784000000011</v>
      </c>
      <c r="S40" s="244">
        <f t="shared" si="9"/>
        <v>28.857513600000004</v>
      </c>
      <c r="T40" s="244">
        <f t="shared" si="10"/>
        <v>1992.2672976000001</v>
      </c>
      <c r="U40" s="244">
        <f t="shared" si="11"/>
        <v>198.53571428571445</v>
      </c>
      <c r="V40" s="246">
        <f t="shared" si="12"/>
        <v>-337.80301188571457</v>
      </c>
      <c r="W40" s="247">
        <f t="shared" si="13"/>
        <v>-0.1823006000462572</v>
      </c>
      <c r="X40" s="248">
        <v>1853</v>
      </c>
      <c r="Y40" s="183">
        <f t="shared" si="14"/>
        <v>1815.89</v>
      </c>
      <c r="Z40" s="179">
        <f>VLOOKUP(C40,'Amazon Live Products'!E:AF,28,0)</f>
        <v>1763</v>
      </c>
      <c r="AA40" s="244">
        <f>VLOOKUP(D40,'Amazon Live Products'!F:AI,29,0)</f>
        <v>0</v>
      </c>
      <c r="AB40" s="43"/>
      <c r="AC40" s="43"/>
      <c r="AD40" s="43"/>
      <c r="AE40" s="43"/>
      <c r="AF40" s="43"/>
      <c r="AG40" s="44"/>
      <c r="AH40" s="44"/>
    </row>
    <row r="41" spans="1:34">
      <c r="A41" s="43">
        <f t="shared" si="15"/>
        <v>40</v>
      </c>
      <c r="B41" s="44" t="s">
        <v>934</v>
      </c>
      <c r="C41" s="44" t="s">
        <v>775</v>
      </c>
      <c r="D41" s="43" t="str">
        <f>VLOOKUP(C41,'Amazon Live Products'!E:F,2,0)</f>
        <v>B0DNJJKBKG</v>
      </c>
      <c r="E41" s="43">
        <v>33734283</v>
      </c>
      <c r="F41" s="69" t="str">
        <f>VLOOKUP(C41,'Margin Calculation'!F:H,3,0)</f>
        <v>BM-02</v>
      </c>
      <c r="G41" s="69" t="str">
        <f>VLOOKUP(C41,'Margin Calculation'!F:M,8,0)</f>
        <v>NexLev Back and Shoulder Massager</v>
      </c>
      <c r="H41" s="244">
        <f>VLOOKUP(C41,'Margin Calculation'!F:Y,20,0)</f>
        <v>946.84235999999999</v>
      </c>
      <c r="I41" s="244">
        <f>VLOOKUP(C41,'Margin Calculation'!F:Z,21,0)</f>
        <v>1117.2739847999999</v>
      </c>
      <c r="J41" s="244">
        <f t="shared" si="0"/>
        <v>205.9</v>
      </c>
      <c r="K41" s="244">
        <f t="shared" si="1"/>
        <v>123.53999999999999</v>
      </c>
      <c r="L41" s="244">
        <f t="shared" si="2"/>
        <v>102.95</v>
      </c>
      <c r="M41" s="244">
        <f t="shared" si="3"/>
        <v>41.18</v>
      </c>
      <c r="N41" s="244">
        <f t="shared" si="4"/>
        <v>63</v>
      </c>
      <c r="O41" s="244">
        <f t="shared" si="5"/>
        <v>205.9</v>
      </c>
      <c r="P41" s="244">
        <f t="shared" si="6"/>
        <v>227.72</v>
      </c>
      <c r="Q41" s="245">
        <f t="shared" si="7"/>
        <v>0.1105973773676542</v>
      </c>
      <c r="R41" s="244">
        <f t="shared" si="8"/>
        <v>55.863699239999995</v>
      </c>
      <c r="S41" s="244">
        <f t="shared" si="9"/>
        <v>22.345479695999998</v>
      </c>
      <c r="T41" s="244">
        <f t="shared" si="10"/>
        <v>1767.5215389360001</v>
      </c>
      <c r="U41" s="244">
        <f t="shared" si="11"/>
        <v>220.60714285714312</v>
      </c>
      <c r="V41" s="246">
        <f t="shared" si="12"/>
        <v>70.871318206856813</v>
      </c>
      <c r="W41" s="247">
        <f t="shared" si="13"/>
        <v>3.4420261392353962E-2</v>
      </c>
      <c r="X41" s="248">
        <v>2059</v>
      </c>
      <c r="Y41" s="183">
        <f t="shared" si="14"/>
        <v>1914.77</v>
      </c>
      <c r="Z41" s="179">
        <f>VLOOKUP(C41,'Amazon Live Products'!E:AF,28,0)</f>
        <v>1859</v>
      </c>
      <c r="AA41" s="244">
        <f>VLOOKUP(D41,'Amazon Live Products'!F:AI,29,0)</f>
        <v>0</v>
      </c>
      <c r="AB41" s="43"/>
      <c r="AC41" s="43"/>
      <c r="AD41" s="43"/>
      <c r="AE41" s="43"/>
      <c r="AF41" s="43"/>
      <c r="AG41" s="44"/>
      <c r="AH41" s="44"/>
    </row>
    <row r="42" spans="1:34">
      <c r="A42" s="43">
        <f t="shared" si="15"/>
        <v>41</v>
      </c>
      <c r="B42" s="44" t="s">
        <v>934</v>
      </c>
      <c r="C42" s="44" t="s">
        <v>797</v>
      </c>
      <c r="D42" s="43" t="str">
        <f>VLOOKUP(C42,'Amazon Live Products'!E:F,2,0)</f>
        <v>B0DV8XH455</v>
      </c>
      <c r="E42" s="43">
        <v>33734300</v>
      </c>
      <c r="F42" s="69" t="str">
        <f>VLOOKUP(C42,'Margin Calculation'!F:H,3,0)</f>
        <v>BM-03</v>
      </c>
      <c r="G42" s="69" t="str">
        <f>VLOOKUP(C42,'Margin Calculation'!F:M,8,0)</f>
        <v>Back and Shoulder Massager Pro</v>
      </c>
      <c r="H42" s="244">
        <f>VLOOKUP(C42,'Margin Calculation'!F:Y,20,0)</f>
        <v>815.18400000000008</v>
      </c>
      <c r="I42" s="244">
        <f>VLOOKUP(C42,'Margin Calculation'!F:Z,21,0)</f>
        <v>961.91712000000007</v>
      </c>
      <c r="J42" s="244">
        <f t="shared" si="0"/>
        <v>195.60000000000002</v>
      </c>
      <c r="K42" s="244">
        <f t="shared" si="1"/>
        <v>117.36</v>
      </c>
      <c r="L42" s="244">
        <f t="shared" si="2"/>
        <v>97.800000000000011</v>
      </c>
      <c r="M42" s="244">
        <f t="shared" si="3"/>
        <v>39.119999999999997</v>
      </c>
      <c r="N42" s="244">
        <f t="shared" si="4"/>
        <v>57</v>
      </c>
      <c r="O42" s="244">
        <f t="shared" si="5"/>
        <v>195.60000000000002</v>
      </c>
      <c r="P42" s="244">
        <f t="shared" si="6"/>
        <v>213.48</v>
      </c>
      <c r="Q42" s="245">
        <f t="shared" si="7"/>
        <v>0.10914110429447853</v>
      </c>
      <c r="R42" s="244">
        <f t="shared" si="8"/>
        <v>48.095856000000005</v>
      </c>
      <c r="S42" s="244">
        <f t="shared" si="9"/>
        <v>19.238342400000001</v>
      </c>
      <c r="T42" s="244">
        <f t="shared" si="10"/>
        <v>1584.9981983999996</v>
      </c>
      <c r="U42" s="244">
        <f t="shared" si="11"/>
        <v>209.57142857142867</v>
      </c>
      <c r="V42" s="246">
        <f t="shared" si="12"/>
        <v>161.43037302857169</v>
      </c>
      <c r="W42" s="247">
        <f t="shared" si="13"/>
        <v>8.2530865556529498E-2</v>
      </c>
      <c r="X42" s="248">
        <v>1956</v>
      </c>
      <c r="Y42" s="183">
        <f t="shared" si="14"/>
        <v>2106.35</v>
      </c>
      <c r="Z42" s="179">
        <f>VLOOKUP(C42,'Amazon Live Products'!E:AF,28,0)</f>
        <v>2045</v>
      </c>
      <c r="AA42" s="244">
        <f>VLOOKUP(D42,'Amazon Live Products'!F:AI,29,0)</f>
        <v>0</v>
      </c>
      <c r="AB42" s="43"/>
      <c r="AC42" s="43"/>
      <c r="AD42" s="43"/>
      <c r="AE42" s="43"/>
      <c r="AF42" s="43"/>
      <c r="AG42" s="44"/>
      <c r="AH42" s="44"/>
    </row>
    <row r="43" spans="1:34">
      <c r="A43" s="43">
        <f t="shared" si="15"/>
        <v>42</v>
      </c>
      <c r="B43" s="44" t="s">
        <v>934</v>
      </c>
      <c r="C43" s="44" t="s">
        <v>802</v>
      </c>
      <c r="D43" s="43" t="str">
        <f>VLOOKUP(C43,'Amazon Live Products'!E:F,2,0)</f>
        <v>B0DV9MYK6S</v>
      </c>
      <c r="E43" s="43">
        <v>33734276</v>
      </c>
      <c r="F43" s="69" t="str">
        <f>VLOOKUP(C43,'Margin Calculation'!F:H,3,0)</f>
        <v>PM-01</v>
      </c>
      <c r="G43" s="69" t="str">
        <f>VLOOKUP(C43,'Margin Calculation'!F:M,8,0)</f>
        <v>Handheld Percussion Massager</v>
      </c>
      <c r="H43" s="244">
        <f>VLOOKUP(C43,'Margin Calculation'!F:Y,20,0)</f>
        <v>804.99420000000009</v>
      </c>
      <c r="I43" s="244">
        <f>VLOOKUP(C43,'Margin Calculation'!F:Z,21,0)</f>
        <v>949.89315600000009</v>
      </c>
      <c r="J43" s="244">
        <f t="shared" si="0"/>
        <v>205.9</v>
      </c>
      <c r="K43" s="244">
        <f t="shared" si="1"/>
        <v>123.53999999999999</v>
      </c>
      <c r="L43" s="244">
        <f t="shared" si="2"/>
        <v>102.95</v>
      </c>
      <c r="M43" s="244">
        <f t="shared" si="3"/>
        <v>41.18</v>
      </c>
      <c r="N43" s="244">
        <f t="shared" si="4"/>
        <v>63</v>
      </c>
      <c r="O43" s="244">
        <f t="shared" si="5"/>
        <v>205.9</v>
      </c>
      <c r="P43" s="244">
        <f t="shared" si="6"/>
        <v>227.72</v>
      </c>
      <c r="Q43" s="245">
        <f t="shared" si="7"/>
        <v>0.1105973773676542</v>
      </c>
      <c r="R43" s="244">
        <f t="shared" si="8"/>
        <v>47.494657800000006</v>
      </c>
      <c r="S43" s="244">
        <f t="shared" si="9"/>
        <v>18.997863120000002</v>
      </c>
      <c r="T43" s="244">
        <f t="shared" si="10"/>
        <v>1613.9567209200002</v>
      </c>
      <c r="U43" s="244">
        <f t="shared" si="11"/>
        <v>220.60714285714312</v>
      </c>
      <c r="V43" s="246">
        <f t="shared" si="12"/>
        <v>224.4361362228567</v>
      </c>
      <c r="W43" s="247">
        <f t="shared" si="13"/>
        <v>0.10900249452299986</v>
      </c>
      <c r="X43" s="248">
        <v>2059</v>
      </c>
      <c r="Y43" s="183">
        <f t="shared" si="14"/>
        <v>2248.4900000000002</v>
      </c>
      <c r="Z43" s="179">
        <f>VLOOKUP(C43,'Amazon Live Products'!E:AF,28,0)</f>
        <v>2183</v>
      </c>
      <c r="AA43" s="244">
        <f>VLOOKUP(D43,'Amazon Live Products'!F:AI,29,0)</f>
        <v>0</v>
      </c>
      <c r="AB43" s="43"/>
      <c r="AC43" s="43"/>
      <c r="AD43" s="43"/>
      <c r="AE43" s="43"/>
      <c r="AF43" s="43"/>
      <c r="AG43" s="44"/>
      <c r="AH43" s="44"/>
    </row>
    <row r="44" spans="1:34">
      <c r="A44" s="43">
        <f t="shared" si="15"/>
        <v>43</v>
      </c>
      <c r="B44" s="44"/>
      <c r="C44" s="44" t="s">
        <v>855</v>
      </c>
      <c r="D44" s="43" t="str">
        <f>VLOOKUP(C44,'Amazon Live Products'!E:F,2,0)</f>
        <v>B0DV931G48</v>
      </c>
      <c r="E44" s="43">
        <v>33734299</v>
      </c>
      <c r="F44" s="69" t="str">
        <f>VLOOKUP(C44,'Margin Calculation'!F:H,3,0)</f>
        <v>PM-02</v>
      </c>
      <c r="G44" s="69" t="str">
        <f>VLOOKUP(C44,'Margin Calculation'!F:M,8,0)</f>
        <v>Percussion Massager - Mini</v>
      </c>
      <c r="H44" s="244">
        <f>VLOOKUP(C44,'Margin Calculation'!F:Y,20,0)</f>
        <v>815.18400000000008</v>
      </c>
      <c r="I44" s="244">
        <f>VLOOKUP(C44,'Margin Calculation'!F:Z,21,0)</f>
        <v>961.91712000000007</v>
      </c>
      <c r="J44" s="244">
        <f t="shared" si="0"/>
        <v>192.50700000000001</v>
      </c>
      <c r="K44" s="244">
        <f t="shared" si="1"/>
        <v>115.5042</v>
      </c>
      <c r="L44" s="244">
        <f t="shared" si="2"/>
        <v>96.253500000000003</v>
      </c>
      <c r="M44" s="244">
        <f t="shared" si="3"/>
        <v>38.501399999999997</v>
      </c>
      <c r="N44" s="244">
        <f t="shared" si="4"/>
        <v>57</v>
      </c>
      <c r="O44" s="244">
        <f t="shared" si="5"/>
        <v>192.50700000000001</v>
      </c>
      <c r="P44" s="244">
        <f t="shared" si="6"/>
        <v>211.00559999999999</v>
      </c>
      <c r="Q44" s="245">
        <f t="shared" si="7"/>
        <v>0.10960931290810204</v>
      </c>
      <c r="R44" s="244">
        <f t="shared" si="8"/>
        <v>48.095856000000005</v>
      </c>
      <c r="S44" s="244">
        <f t="shared" si="9"/>
        <v>19.238342400000001</v>
      </c>
      <c r="T44" s="244">
        <f t="shared" si="10"/>
        <v>1574.7912984000002</v>
      </c>
      <c r="U44" s="244">
        <f t="shared" si="11"/>
        <v>206.25750000000016</v>
      </c>
      <c r="V44" s="246">
        <f t="shared" si="12"/>
        <v>144.02120159999959</v>
      </c>
      <c r="W44" s="247">
        <f t="shared" si="13"/>
        <v>7.4813488132898856E-2</v>
      </c>
      <c r="X44" s="248">
        <f>Z44*(1+0.03)</f>
        <v>1925.07</v>
      </c>
      <c r="Y44" s="183">
        <f t="shared" si="14"/>
        <v>1925.07</v>
      </c>
      <c r="Z44" s="179">
        <f>VLOOKUP(C44,'Amazon Live Products'!E:AF,28,0)</f>
        <v>1869</v>
      </c>
      <c r="AA44" s="244">
        <f>VLOOKUP(D44,'Amazon Live Products'!F:AI,29,0)</f>
        <v>0</v>
      </c>
      <c r="AB44" s="43"/>
      <c r="AC44" s="43"/>
      <c r="AD44" s="43"/>
      <c r="AE44" s="43"/>
      <c r="AF44" s="43"/>
      <c r="AG44" s="44"/>
      <c r="AH44" s="44"/>
    </row>
    <row r="45" spans="1:34">
      <c r="A45" s="43">
        <f t="shared" si="15"/>
        <v>44</v>
      </c>
      <c r="B45" s="44" t="s">
        <v>934</v>
      </c>
      <c r="C45" s="44" t="s">
        <v>863</v>
      </c>
      <c r="D45" s="43" t="str">
        <f>VLOOKUP(C45,'Amazon Live Products'!E:F,2,0)</f>
        <v>B0DVC91Q7J</v>
      </c>
      <c r="E45" s="43">
        <v>33203080</v>
      </c>
      <c r="F45" s="69" t="str">
        <f>VLOOKUP(C45,'Margin Calculation'!F:H,3,0)</f>
        <v>TM-05</v>
      </c>
      <c r="G45" s="69" t="str">
        <f>VLOOKUP(C45,'Margin Calculation'!F:M,8,0)</f>
        <v>Vacuum Trimmer</v>
      </c>
      <c r="H45" s="244">
        <f>VLOOKUP(C45,'Margin Calculation'!F:Y,20,0)</f>
        <v>1007.9640000000001</v>
      </c>
      <c r="I45" s="244">
        <f>VLOOKUP(C45,'Margin Calculation'!F:Z,21,0)</f>
        <v>1189.39752</v>
      </c>
      <c r="J45" s="244">
        <f t="shared" si="0"/>
        <v>308.90000000000003</v>
      </c>
      <c r="K45" s="244">
        <f t="shared" si="1"/>
        <v>185.34</v>
      </c>
      <c r="L45" s="244">
        <f t="shared" si="2"/>
        <v>154.45000000000002</v>
      </c>
      <c r="M45" s="244">
        <f t="shared" si="3"/>
        <v>61.78</v>
      </c>
      <c r="N45" s="244">
        <f t="shared" si="4"/>
        <v>63</v>
      </c>
      <c r="O45" s="244">
        <f t="shared" si="5"/>
        <v>308.90000000000003</v>
      </c>
      <c r="P45" s="244">
        <f t="shared" si="6"/>
        <v>310.12</v>
      </c>
      <c r="Q45" s="245">
        <f t="shared" si="7"/>
        <v>0.10039494982194885</v>
      </c>
      <c r="R45" s="244">
        <f t="shared" si="8"/>
        <v>59.469875999999999</v>
      </c>
      <c r="S45" s="244">
        <f t="shared" si="9"/>
        <v>23.7879504</v>
      </c>
      <c r="T45" s="244">
        <f t="shared" si="10"/>
        <v>2173.5918264000006</v>
      </c>
      <c r="U45" s="244">
        <f t="shared" si="11"/>
        <v>330.96428571428578</v>
      </c>
      <c r="V45" s="246">
        <f t="shared" si="12"/>
        <v>584.44388788571359</v>
      </c>
      <c r="W45" s="247">
        <f t="shared" si="13"/>
        <v>0.18920164709799728</v>
      </c>
      <c r="X45" s="248">
        <v>3089</v>
      </c>
      <c r="Y45" s="183">
        <f t="shared" si="14"/>
        <v>2573.9700000000003</v>
      </c>
      <c r="Z45" s="179">
        <f>VLOOKUP(C45,'Amazon Live Products'!E:AF,28,0)</f>
        <v>2499</v>
      </c>
      <c r="AA45" s="244">
        <f>VLOOKUP(D45,'Amazon Live Products'!F:AI,29,0)</f>
        <v>0</v>
      </c>
      <c r="AB45" s="43"/>
      <c r="AC45" s="43"/>
      <c r="AD45" s="43"/>
      <c r="AE45" s="43"/>
      <c r="AF45" s="43"/>
      <c r="AG45" s="44"/>
      <c r="AH45" s="44"/>
    </row>
    <row r="46" spans="1:34">
      <c r="A46" s="43">
        <f t="shared" si="15"/>
        <v>45</v>
      </c>
      <c r="B46" s="43" t="s">
        <v>934</v>
      </c>
      <c r="C46" s="69" t="s">
        <v>552</v>
      </c>
      <c r="D46" s="249" t="s">
        <v>553</v>
      </c>
      <c r="E46" s="43">
        <v>33734296</v>
      </c>
      <c r="F46" s="69" t="s">
        <v>554</v>
      </c>
      <c r="G46" s="69" t="str">
        <f>VLOOKUP(C46,'Margin Calculation'!F:M,8,0)</f>
        <v>LED Face &amp; Skin Care Massager</v>
      </c>
      <c r="H46" s="244">
        <f>VLOOKUP(C46,'Margin Calculation'!F:Y,20,0)</f>
        <v>320.9787</v>
      </c>
      <c r="I46" s="244">
        <f>VLOOKUP(C46,'Margin Calculation'!F:Z,21,0)</f>
        <v>378.75486599999999</v>
      </c>
      <c r="J46" s="244">
        <f t="shared" si="0"/>
        <v>72</v>
      </c>
      <c r="K46" s="244">
        <f t="shared" si="1"/>
        <v>43.199999999999996</v>
      </c>
      <c r="L46" s="244">
        <f t="shared" si="2"/>
        <v>36</v>
      </c>
      <c r="M46" s="244">
        <f t="shared" si="3"/>
        <v>14.4</v>
      </c>
      <c r="N46" s="244">
        <f t="shared" si="4"/>
        <v>17</v>
      </c>
      <c r="O46" s="244">
        <f t="shared" si="5"/>
        <v>72</v>
      </c>
      <c r="P46" s="244">
        <f t="shared" si="6"/>
        <v>74.599999999999994</v>
      </c>
      <c r="Q46" s="245">
        <f t="shared" si="7"/>
        <v>0.1036111111111111</v>
      </c>
      <c r="R46" s="244">
        <f t="shared" si="8"/>
        <v>18.937743300000001</v>
      </c>
      <c r="S46" s="244">
        <f t="shared" si="9"/>
        <v>7.5750973200000002</v>
      </c>
      <c r="T46" s="244">
        <f t="shared" si="10"/>
        <v>602.09154061999993</v>
      </c>
      <c r="U46" s="244">
        <f t="shared" si="11"/>
        <v>77.142857142857224</v>
      </c>
      <c r="V46" s="246">
        <f t="shared" si="12"/>
        <v>40.765602237142843</v>
      </c>
      <c r="W46" s="247">
        <f t="shared" si="13"/>
        <v>5.6618891996031727E-2</v>
      </c>
      <c r="X46" s="248">
        <v>720</v>
      </c>
      <c r="Y46" s="183" t="e">
        <f t="shared" si="14"/>
        <v>#N/A</v>
      </c>
      <c r="Z46" s="179" t="e">
        <f>VLOOKUP(C46,'Amazon Live Products'!E:AF,28,0)</f>
        <v>#N/A</v>
      </c>
      <c r="AA46" s="244">
        <v>999</v>
      </c>
      <c r="AB46" s="43"/>
      <c r="AC46" s="43"/>
      <c r="AD46" s="43"/>
      <c r="AE46" s="43"/>
      <c r="AF46" s="43"/>
      <c r="AG46" s="44"/>
      <c r="AH46" s="44"/>
    </row>
    <row r="47" spans="1:34">
      <c r="A47" s="43">
        <f t="shared" si="15"/>
        <v>46</v>
      </c>
      <c r="B47" s="43" t="s">
        <v>934</v>
      </c>
      <c r="C47" s="44" t="s">
        <v>835</v>
      </c>
      <c r="D47" s="75" t="s">
        <v>836</v>
      </c>
      <c r="E47" s="43">
        <v>33734293</v>
      </c>
      <c r="F47" s="43" t="s">
        <v>837</v>
      </c>
      <c r="G47" s="69" t="str">
        <f>VLOOKUP(C47,'Margin Calculation'!F:M,8,0)</f>
        <v>Microcurrent Facial Massager</v>
      </c>
      <c r="H47" s="244">
        <f>VLOOKUP(C47,'Margin Calculation'!F:Y,20,0)</f>
        <v>662.33699999999999</v>
      </c>
      <c r="I47" s="244">
        <f>VLOOKUP(C47,'Margin Calculation'!F:Z,21,0)</f>
        <v>781.55765999999994</v>
      </c>
      <c r="J47" s="244">
        <f t="shared" si="0"/>
        <v>72</v>
      </c>
      <c r="K47" s="244">
        <f t="shared" si="1"/>
        <v>43.199999999999996</v>
      </c>
      <c r="L47" s="244">
        <f t="shared" si="2"/>
        <v>36</v>
      </c>
      <c r="M47" s="244">
        <f t="shared" si="3"/>
        <v>14.4</v>
      </c>
      <c r="N47" s="244">
        <f t="shared" si="4"/>
        <v>17</v>
      </c>
      <c r="O47" s="244">
        <f t="shared" si="5"/>
        <v>72</v>
      </c>
      <c r="P47" s="244">
        <f t="shared" si="6"/>
        <v>74.599999999999994</v>
      </c>
      <c r="Q47" s="245">
        <f t="shared" si="7"/>
        <v>0.1036111111111111</v>
      </c>
      <c r="R47" s="244">
        <f t="shared" si="8"/>
        <v>39.077883</v>
      </c>
      <c r="S47" s="244">
        <f t="shared" si="9"/>
        <v>15.6311532</v>
      </c>
      <c r="T47" s="244">
        <f t="shared" si="10"/>
        <v>971.64603620000003</v>
      </c>
      <c r="U47" s="244">
        <f t="shared" si="11"/>
        <v>77.142857142857224</v>
      </c>
      <c r="V47" s="246">
        <f t="shared" si="12"/>
        <v>-328.78889334285725</v>
      </c>
      <c r="W47" s="247">
        <f t="shared" si="13"/>
        <v>-0.4566512407539684</v>
      </c>
      <c r="X47" s="248">
        <v>720</v>
      </c>
      <c r="Y47" s="183">
        <f t="shared" si="14"/>
        <v>1543.97</v>
      </c>
      <c r="Z47" s="179">
        <f>VLOOKUP(C47,'Amazon Live Products'!E:AF,28,0)</f>
        <v>1499</v>
      </c>
      <c r="AA47" s="244">
        <v>999</v>
      </c>
      <c r="AB47" s="43"/>
      <c r="AC47" s="43"/>
      <c r="AD47" s="43"/>
      <c r="AE47" s="43"/>
      <c r="AF47" s="43"/>
      <c r="AG47" s="44"/>
      <c r="AH47" s="44"/>
    </row>
    <row r="48" spans="1:34">
      <c r="A48" s="43">
        <f t="shared" si="15"/>
        <v>47</v>
      </c>
      <c r="B48" s="43"/>
      <c r="C48" s="140" t="s">
        <v>231</v>
      </c>
      <c r="D48" s="140" t="s">
        <v>232</v>
      </c>
      <c r="F48" s="140" t="s">
        <v>233</v>
      </c>
      <c r="G48" s="140" t="s">
        <v>238</v>
      </c>
      <c r="H48" s="244">
        <f>VLOOKUP(C48,'Margin Calculation'!F:Y,20,0)</f>
        <v>1311.1911936000001</v>
      </c>
      <c r="I48" s="244">
        <f>VLOOKUP(C48,'Margin Calculation'!F:Z,21,0)</f>
        <v>1547.205608448</v>
      </c>
      <c r="J48" s="244" t="e">
        <f t="shared" si="0"/>
        <v>#N/A</v>
      </c>
      <c r="K48" s="244" t="e">
        <f t="shared" si="1"/>
        <v>#N/A</v>
      </c>
      <c r="L48" s="244" t="e">
        <f t="shared" si="2"/>
        <v>#N/A</v>
      </c>
      <c r="M48" s="244" t="e">
        <f t="shared" si="3"/>
        <v>#N/A</v>
      </c>
      <c r="N48" s="244" t="e">
        <f t="shared" si="4"/>
        <v>#N/A</v>
      </c>
      <c r="O48" s="244" t="e">
        <f t="shared" si="5"/>
        <v>#N/A</v>
      </c>
      <c r="P48" s="244" t="e">
        <f t="shared" si="6"/>
        <v>#N/A</v>
      </c>
      <c r="Q48" s="245" t="e">
        <f t="shared" si="7"/>
        <v>#N/A</v>
      </c>
      <c r="R48" s="244">
        <f t="shared" si="8"/>
        <v>77.36028042240001</v>
      </c>
      <c r="S48" s="244">
        <f t="shared" si="9"/>
        <v>30.94411216896</v>
      </c>
      <c r="T48" s="244" t="e">
        <f t="shared" si="10"/>
        <v>#N/A</v>
      </c>
      <c r="U48" s="244" t="e">
        <f t="shared" si="11"/>
        <v>#N/A</v>
      </c>
      <c r="V48" s="246" t="e">
        <f t="shared" si="12"/>
        <v>#N/A</v>
      </c>
      <c r="W48" s="247" t="e">
        <f t="shared" si="13"/>
        <v>#N/A</v>
      </c>
      <c r="X48" s="250" t="e">
        <f t="shared" ref="X48:Y48" si="17">Y48*(1+0.03)</f>
        <v>#N/A</v>
      </c>
      <c r="Y48" s="183" t="e">
        <f t="shared" si="17"/>
        <v>#N/A</v>
      </c>
      <c r="Z48" s="179" t="e">
        <f>VLOOKUP(C48,'Amazon Live Products'!E:AF,28,0)</f>
        <v>#N/A</v>
      </c>
      <c r="AA48" s="251">
        <v>5999</v>
      </c>
      <c r="AB48" s="43"/>
      <c r="AC48" s="43"/>
      <c r="AD48" s="43"/>
      <c r="AE48" s="43"/>
      <c r="AF48" s="43"/>
      <c r="AG48" s="44"/>
      <c r="AH48" s="44"/>
    </row>
    <row r="49" spans="1:34">
      <c r="A49" s="43">
        <f t="shared" si="15"/>
        <v>48</v>
      </c>
      <c r="B49" s="43"/>
      <c r="C49" s="140" t="s">
        <v>240</v>
      </c>
      <c r="D49" s="140" t="s">
        <v>241</v>
      </c>
      <c r="F49" s="140" t="s">
        <v>242</v>
      </c>
      <c r="G49" s="140" t="s">
        <v>244</v>
      </c>
      <c r="H49" s="244">
        <f>VLOOKUP(C49,'Margin Calculation'!F:Y,20,0)</f>
        <v>1066.3371935999999</v>
      </c>
      <c r="I49" s="244">
        <f>VLOOKUP(C49,'Margin Calculation'!F:Z,21,0)</f>
        <v>1258.2778884479999</v>
      </c>
      <c r="J49" s="244">
        <f t="shared" si="0"/>
        <v>217.37841000000003</v>
      </c>
      <c r="K49" s="244">
        <f t="shared" si="1"/>
        <v>130.42704600000002</v>
      </c>
      <c r="L49" s="244">
        <f t="shared" si="2"/>
        <v>108.68920500000002</v>
      </c>
      <c r="M49" s="244">
        <f t="shared" si="3"/>
        <v>43.475682000000006</v>
      </c>
      <c r="N49" s="244">
        <f t="shared" si="4"/>
        <v>63</v>
      </c>
      <c r="O49" s="244">
        <f t="shared" si="5"/>
        <v>217.37841000000003</v>
      </c>
      <c r="P49" s="244">
        <f t="shared" si="6"/>
        <v>236.90272800000002</v>
      </c>
      <c r="Q49" s="245">
        <f t="shared" si="7"/>
        <v>0.10898171902168205</v>
      </c>
      <c r="R49" s="244">
        <f t="shared" si="8"/>
        <v>62.913894422399999</v>
      </c>
      <c r="S49" s="244">
        <f t="shared" si="9"/>
        <v>25.165557768959999</v>
      </c>
      <c r="T49" s="244">
        <f t="shared" si="10"/>
        <v>1934.7653987913602</v>
      </c>
      <c r="U49" s="244">
        <f t="shared" si="11"/>
        <v>232.90543928571446</v>
      </c>
      <c r="V49" s="246">
        <f t="shared" si="12"/>
        <v>6.1132619229256306</v>
      </c>
      <c r="W49" s="247">
        <f t="shared" si="13"/>
        <v>2.8122672913679101E-3</v>
      </c>
      <c r="X49" s="250">
        <f t="shared" ref="X49:Y49" si="18">Y49*(1+0.03)</f>
        <v>2173.7841000000003</v>
      </c>
      <c r="Y49" s="183">
        <f t="shared" si="18"/>
        <v>2110.4700000000003</v>
      </c>
      <c r="Z49" s="179">
        <f>VLOOKUP(C49,'Amazon Live Products'!E:AF,28,0)</f>
        <v>2049</v>
      </c>
      <c r="AA49" s="251">
        <v>4999</v>
      </c>
      <c r="AB49" s="43"/>
      <c r="AC49" s="43"/>
      <c r="AD49" s="43"/>
      <c r="AE49" s="43"/>
      <c r="AF49" s="43"/>
      <c r="AG49" s="44"/>
      <c r="AH49" s="44"/>
    </row>
    <row r="50" spans="1:34">
      <c r="A50" s="43">
        <f t="shared" si="15"/>
        <v>49</v>
      </c>
      <c r="B50" s="43"/>
      <c r="C50" s="140" t="s">
        <v>246</v>
      </c>
      <c r="D50" s="140" t="s">
        <v>247</v>
      </c>
      <c r="F50" s="140" t="s">
        <v>248</v>
      </c>
      <c r="G50" s="140" t="s">
        <v>251</v>
      </c>
      <c r="H50" s="244">
        <f>VLOOKUP(C50,'Margin Calculation'!F:Y,20,0)</f>
        <v>1521.9733235294116</v>
      </c>
      <c r="I50" s="244">
        <f>VLOOKUP(C50,'Margin Calculation'!F:Z,21,0)</f>
        <v>1795.9285217647055</v>
      </c>
      <c r="J50" s="244">
        <f t="shared" si="0"/>
        <v>360.59991000000008</v>
      </c>
      <c r="K50" s="244">
        <f t="shared" si="1"/>
        <v>216.35994600000001</v>
      </c>
      <c r="L50" s="244">
        <f t="shared" si="2"/>
        <v>180.29995500000004</v>
      </c>
      <c r="M50" s="244">
        <f t="shared" si="3"/>
        <v>72.119982000000007</v>
      </c>
      <c r="N50" s="244">
        <f t="shared" si="4"/>
        <v>63</v>
      </c>
      <c r="O50" s="244">
        <f t="shared" si="5"/>
        <v>360.59991000000008</v>
      </c>
      <c r="P50" s="244">
        <f t="shared" si="6"/>
        <v>351.47992800000003</v>
      </c>
      <c r="Q50" s="245">
        <f t="shared" si="7"/>
        <v>9.7470886224014855E-2</v>
      </c>
      <c r="R50" s="244">
        <f t="shared" si="8"/>
        <v>89.796426088235279</v>
      </c>
      <c r="S50" s="244">
        <f t="shared" si="9"/>
        <v>35.918570435294107</v>
      </c>
      <c r="T50" s="244">
        <f t="shared" si="10"/>
        <v>2900.668023052941</v>
      </c>
      <c r="U50" s="244">
        <f t="shared" si="11"/>
        <v>386.35704642857172</v>
      </c>
      <c r="V50" s="246">
        <f t="shared" si="12"/>
        <v>318.97403051848778</v>
      </c>
      <c r="W50" s="247">
        <f t="shared" si="13"/>
        <v>8.8456491993713401E-2</v>
      </c>
      <c r="X50" s="250">
        <f t="shared" ref="X50:Y50" si="19">Y50*(1+0.03)</f>
        <v>3605.9991000000005</v>
      </c>
      <c r="Y50" s="183">
        <f t="shared" si="19"/>
        <v>3500.9700000000003</v>
      </c>
      <c r="Z50" s="179">
        <f>VLOOKUP(C50,'Amazon Live Products'!E:AF,28,0)</f>
        <v>3399</v>
      </c>
      <c r="AA50" s="251">
        <v>9999</v>
      </c>
      <c r="AB50" s="43"/>
      <c r="AC50" s="43"/>
      <c r="AD50" s="43"/>
      <c r="AE50" s="43"/>
      <c r="AF50" s="43"/>
      <c r="AG50" s="44"/>
      <c r="AH50" s="44"/>
    </row>
    <row r="51" spans="1:34">
      <c r="A51" s="43">
        <f t="shared" si="15"/>
        <v>50</v>
      </c>
      <c r="B51" s="43"/>
      <c r="C51" s="140" t="s">
        <v>253</v>
      </c>
      <c r="D51" s="140" t="s">
        <v>254</v>
      </c>
      <c r="F51" s="140" t="s">
        <v>255</v>
      </c>
      <c r="G51" s="140" t="s">
        <v>259</v>
      </c>
      <c r="H51" s="244">
        <f>VLOOKUP(C51,'Margin Calculation'!F:Y,20,0)</f>
        <v>355.33344600000004</v>
      </c>
      <c r="I51" s="244">
        <f>VLOOKUP(C51,'Margin Calculation'!F:Z,21,0)</f>
        <v>397.97345952000006</v>
      </c>
      <c r="J51" s="244">
        <f t="shared" si="0"/>
        <v>74.156910000000011</v>
      </c>
      <c r="K51" s="244">
        <f t="shared" si="1"/>
        <v>44.494146000000001</v>
      </c>
      <c r="L51" s="244">
        <f t="shared" si="2"/>
        <v>37.078455000000005</v>
      </c>
      <c r="M51" s="244">
        <f t="shared" si="3"/>
        <v>14.831382000000001</v>
      </c>
      <c r="N51" s="244">
        <f t="shared" si="4"/>
        <v>17</v>
      </c>
      <c r="O51" s="244">
        <f t="shared" si="5"/>
        <v>74.156910000000011</v>
      </c>
      <c r="P51" s="244">
        <f t="shared" si="6"/>
        <v>76.325528000000006</v>
      </c>
      <c r="Q51" s="245">
        <f t="shared" si="7"/>
        <v>0.10292436402757342</v>
      </c>
      <c r="R51" s="244">
        <f t="shared" si="8"/>
        <v>19.898672976000004</v>
      </c>
      <c r="S51" s="244">
        <f t="shared" si="9"/>
        <v>7.959469190400001</v>
      </c>
      <c r="T51" s="244">
        <f t="shared" si="10"/>
        <v>644.90939116640004</v>
      </c>
      <c r="U51" s="244">
        <f t="shared" si="11"/>
        <v>79.453832142857209</v>
      </c>
      <c r="V51" s="246">
        <f t="shared" si="12"/>
        <v>17.205876690742798</v>
      </c>
      <c r="W51" s="247">
        <f t="shared" si="13"/>
        <v>2.3201987098360487E-2</v>
      </c>
      <c r="X51" s="250">
        <f t="shared" ref="X51:Y51" si="20">Y51*(1+0.03)</f>
        <v>741.56910000000005</v>
      </c>
      <c r="Y51" s="183">
        <f t="shared" si="20"/>
        <v>719.97</v>
      </c>
      <c r="Z51" s="179">
        <f>VLOOKUP(C51,'Amazon Live Products'!E:AF,28,0)</f>
        <v>699</v>
      </c>
      <c r="AA51" s="251">
        <v>1499</v>
      </c>
      <c r="AB51" s="43"/>
      <c r="AC51" s="43"/>
      <c r="AD51" s="43"/>
      <c r="AE51" s="43"/>
      <c r="AF51" s="43"/>
      <c r="AG51" s="44"/>
      <c r="AH51" s="44"/>
    </row>
    <row r="52" spans="1:34">
      <c r="A52" s="43">
        <f t="shared" si="15"/>
        <v>51</v>
      </c>
      <c r="B52" s="43"/>
      <c r="C52" s="140" t="s">
        <v>262</v>
      </c>
      <c r="D52" s="140" t="s">
        <v>263</v>
      </c>
      <c r="F52" s="140" t="s">
        <v>264</v>
      </c>
      <c r="G52" s="140" t="s">
        <v>265</v>
      </c>
      <c r="H52" s="244">
        <f>VLOOKUP(C52,'Margin Calculation'!F:Y,20,0)</f>
        <v>355.33344600000004</v>
      </c>
      <c r="I52" s="244">
        <f>VLOOKUP(C52,'Margin Calculation'!F:Z,21,0)</f>
        <v>397.97345952000006</v>
      </c>
      <c r="J52" s="244">
        <f t="shared" si="0"/>
        <v>74.156910000000011</v>
      </c>
      <c r="K52" s="244">
        <f t="shared" si="1"/>
        <v>44.494146000000001</v>
      </c>
      <c r="L52" s="244">
        <f t="shared" si="2"/>
        <v>37.078455000000005</v>
      </c>
      <c r="M52" s="244">
        <f t="shared" si="3"/>
        <v>14.831382000000001</v>
      </c>
      <c r="N52" s="244">
        <f t="shared" si="4"/>
        <v>17</v>
      </c>
      <c r="O52" s="244">
        <f t="shared" si="5"/>
        <v>74.156910000000011</v>
      </c>
      <c r="P52" s="244">
        <f t="shared" si="6"/>
        <v>76.325528000000006</v>
      </c>
      <c r="Q52" s="245">
        <f t="shared" si="7"/>
        <v>0.10292436402757342</v>
      </c>
      <c r="R52" s="244">
        <f t="shared" si="8"/>
        <v>19.898672976000004</v>
      </c>
      <c r="S52" s="244">
        <f t="shared" si="9"/>
        <v>7.959469190400001</v>
      </c>
      <c r="T52" s="244">
        <f t="shared" si="10"/>
        <v>644.90939116640004</v>
      </c>
      <c r="U52" s="244">
        <f t="shared" si="11"/>
        <v>79.453832142857209</v>
      </c>
      <c r="V52" s="246">
        <f t="shared" si="12"/>
        <v>17.205876690742798</v>
      </c>
      <c r="W52" s="247">
        <f t="shared" si="13"/>
        <v>2.3201987098360487E-2</v>
      </c>
      <c r="X52" s="250">
        <f t="shared" ref="X52:Y52" si="21">Y52*(1+0.03)</f>
        <v>741.56910000000005</v>
      </c>
      <c r="Y52" s="183">
        <f t="shared" si="21"/>
        <v>719.97</v>
      </c>
      <c r="Z52" s="179">
        <f>VLOOKUP(C52,'Amazon Live Products'!E:AF,28,0)</f>
        <v>699</v>
      </c>
      <c r="AA52" s="251">
        <v>1999</v>
      </c>
      <c r="AB52" s="43"/>
      <c r="AC52" s="43"/>
      <c r="AD52" s="43"/>
      <c r="AE52" s="43"/>
      <c r="AF52" s="43"/>
      <c r="AG52" s="44"/>
      <c r="AH52" s="44"/>
    </row>
    <row r="53" spans="1:34">
      <c r="A53" s="43">
        <f t="shared" si="15"/>
        <v>52</v>
      </c>
      <c r="B53" s="43"/>
      <c r="C53" s="140" t="s">
        <v>267</v>
      </c>
      <c r="D53" s="212" t="s">
        <v>268</v>
      </c>
      <c r="F53" s="212" t="s">
        <v>269</v>
      </c>
      <c r="G53" s="140" t="s">
        <v>936</v>
      </c>
      <c r="H53" s="244">
        <f>VLOOKUP(C53,'Margin Calculation'!F:Y,20,0)</f>
        <v>355.33344600000004</v>
      </c>
      <c r="I53" s="244">
        <f>VLOOKUP(C53,'Margin Calculation'!F:Z,21,0)</f>
        <v>397.97345952000006</v>
      </c>
      <c r="J53" s="244">
        <f t="shared" si="0"/>
        <v>74.156910000000011</v>
      </c>
      <c r="K53" s="244">
        <f t="shared" si="1"/>
        <v>44.494146000000001</v>
      </c>
      <c r="L53" s="244">
        <f t="shared" si="2"/>
        <v>37.078455000000005</v>
      </c>
      <c r="M53" s="244">
        <f t="shared" si="3"/>
        <v>14.831382000000001</v>
      </c>
      <c r="N53" s="244">
        <f t="shared" si="4"/>
        <v>17</v>
      </c>
      <c r="O53" s="244">
        <f t="shared" si="5"/>
        <v>74.156910000000011</v>
      </c>
      <c r="P53" s="244">
        <f t="shared" si="6"/>
        <v>76.325528000000006</v>
      </c>
      <c r="Q53" s="245">
        <f t="shared" si="7"/>
        <v>0.10292436402757342</v>
      </c>
      <c r="R53" s="244">
        <f t="shared" si="8"/>
        <v>19.898672976000004</v>
      </c>
      <c r="S53" s="244">
        <f t="shared" si="9"/>
        <v>7.959469190400001</v>
      </c>
      <c r="T53" s="244">
        <f t="shared" si="10"/>
        <v>644.90939116640004</v>
      </c>
      <c r="U53" s="244">
        <f t="shared" si="11"/>
        <v>79.453832142857209</v>
      </c>
      <c r="V53" s="246">
        <f t="shared" si="12"/>
        <v>17.205876690742798</v>
      </c>
      <c r="W53" s="247">
        <f t="shared" si="13"/>
        <v>2.3201987098360487E-2</v>
      </c>
      <c r="X53" s="250">
        <f t="shared" ref="X53:Y53" si="22">Y53*(1+0.03)</f>
        <v>741.56910000000005</v>
      </c>
      <c r="Y53" s="183">
        <f t="shared" si="22"/>
        <v>719.97</v>
      </c>
      <c r="Z53" s="179">
        <f>VLOOKUP(C53,'Amazon Live Products'!E:AF,28,0)</f>
        <v>699</v>
      </c>
      <c r="AA53" s="251">
        <v>1999</v>
      </c>
      <c r="AB53" s="43"/>
      <c r="AC53" s="43"/>
      <c r="AD53" s="43"/>
      <c r="AE53" s="43"/>
      <c r="AF53" s="43"/>
      <c r="AG53" s="44"/>
      <c r="AH53" s="44"/>
    </row>
    <row r="54" spans="1:34">
      <c r="A54" s="43">
        <f t="shared" si="15"/>
        <v>53</v>
      </c>
      <c r="B54" s="43"/>
      <c r="C54" s="140" t="s">
        <v>324</v>
      </c>
      <c r="D54" s="140" t="s">
        <v>325</v>
      </c>
      <c r="F54" s="140" t="s">
        <v>326</v>
      </c>
      <c r="G54" s="140" t="s">
        <v>327</v>
      </c>
      <c r="H54" s="244">
        <f>VLOOKUP(C54,'Margin Calculation'!F:Y,20,0)</f>
        <v>1278.2511936000001</v>
      </c>
      <c r="I54" s="244">
        <f>VLOOKUP(C54,'Margin Calculation'!F:Z,21,0)</f>
        <v>1508.3364084479999</v>
      </c>
      <c r="J54" s="244">
        <f t="shared" si="0"/>
        <v>233.29191000000006</v>
      </c>
      <c r="K54" s="244">
        <f t="shared" si="1"/>
        <v>139.97514600000002</v>
      </c>
      <c r="L54" s="244">
        <f t="shared" si="2"/>
        <v>116.64595500000003</v>
      </c>
      <c r="M54" s="244">
        <f t="shared" si="3"/>
        <v>46.65838200000001</v>
      </c>
      <c r="N54" s="244">
        <f t="shared" si="4"/>
        <v>63</v>
      </c>
      <c r="O54" s="244">
        <f t="shared" si="5"/>
        <v>233.29191000000006</v>
      </c>
      <c r="P54" s="244">
        <f t="shared" si="6"/>
        <v>249.63352800000004</v>
      </c>
      <c r="Q54" s="245">
        <f t="shared" si="7"/>
        <v>0.10700479412252228</v>
      </c>
      <c r="R54" s="244">
        <f t="shared" si="8"/>
        <v>75.416820422399994</v>
      </c>
      <c r="S54" s="244">
        <f t="shared" si="9"/>
        <v>30.166728168959999</v>
      </c>
      <c r="T54" s="244">
        <f t="shared" si="10"/>
        <v>2216.6980451913605</v>
      </c>
      <c r="U54" s="244">
        <f t="shared" si="11"/>
        <v>249.9556178571429</v>
      </c>
      <c r="V54" s="246">
        <f t="shared" si="12"/>
        <v>-133.73456304850288</v>
      </c>
      <c r="W54" s="247">
        <f t="shared" si="13"/>
        <v>-5.7324989558576143E-2</v>
      </c>
      <c r="X54" s="250">
        <f t="shared" ref="X54:Y54" si="23">Y54*(1+0.03)</f>
        <v>2332.9191000000005</v>
      </c>
      <c r="Y54" s="183">
        <f t="shared" si="23"/>
        <v>2264.9700000000003</v>
      </c>
      <c r="Z54" s="179">
        <f>VLOOKUP(C54,'Amazon Live Products'!E:AF,28,0)</f>
        <v>2199</v>
      </c>
      <c r="AA54" s="251">
        <v>5999</v>
      </c>
      <c r="AB54" s="43"/>
      <c r="AC54" s="43"/>
      <c r="AD54" s="43"/>
      <c r="AE54" s="43"/>
      <c r="AF54" s="43"/>
      <c r="AG54" s="44"/>
      <c r="AH54" s="44"/>
    </row>
    <row r="55" spans="1:34">
      <c r="A55" s="43">
        <f t="shared" si="15"/>
        <v>54</v>
      </c>
      <c r="B55" s="43"/>
      <c r="C55" s="140" t="s">
        <v>418</v>
      </c>
      <c r="D55" s="140" t="s">
        <v>419</v>
      </c>
      <c r="F55" s="140" t="s">
        <v>420</v>
      </c>
      <c r="G55" s="140" t="s">
        <v>422</v>
      </c>
      <c r="H55" s="244">
        <f>VLOOKUP(C55,'Margin Calculation'!F:Y,20,0)</f>
        <v>1159.1586</v>
      </c>
      <c r="I55" s="244">
        <f>VLOOKUP(C55,'Margin Calculation'!F:Z,21,0)</f>
        <v>1367.8071479999999</v>
      </c>
      <c r="J55" s="244">
        <f t="shared" si="0"/>
        <v>259.81441000000007</v>
      </c>
      <c r="K55" s="244">
        <f t="shared" si="1"/>
        <v>155.88864600000002</v>
      </c>
      <c r="L55" s="244">
        <f t="shared" si="2"/>
        <v>129.90720500000003</v>
      </c>
      <c r="M55" s="244">
        <f t="shared" si="3"/>
        <v>51.962882000000008</v>
      </c>
      <c r="N55" s="244">
        <f t="shared" si="4"/>
        <v>63</v>
      </c>
      <c r="O55" s="244">
        <f t="shared" si="5"/>
        <v>259.81441000000007</v>
      </c>
      <c r="P55" s="244">
        <f t="shared" si="6"/>
        <v>270.85152800000003</v>
      </c>
      <c r="Q55" s="245">
        <f t="shared" si="7"/>
        <v>0.10424807769515169</v>
      </c>
      <c r="R55" s="244">
        <f t="shared" si="8"/>
        <v>68.390357399999999</v>
      </c>
      <c r="S55" s="244">
        <f t="shared" si="9"/>
        <v>27.35614296</v>
      </c>
      <c r="T55" s="244">
        <f t="shared" si="10"/>
        <v>2175.2926533600003</v>
      </c>
      <c r="U55" s="244">
        <f t="shared" si="11"/>
        <v>278.37258214285748</v>
      </c>
      <c r="V55" s="246">
        <f t="shared" si="12"/>
        <v>144.47886449714269</v>
      </c>
      <c r="W55" s="247">
        <f t="shared" si="13"/>
        <v>5.5608487803714454E-2</v>
      </c>
      <c r="X55" s="250">
        <f t="shared" ref="X55:Y55" si="24">Y55*(1+0.03)</f>
        <v>2598.1441000000004</v>
      </c>
      <c r="Y55" s="183">
        <f t="shared" si="24"/>
        <v>2522.4700000000003</v>
      </c>
      <c r="Z55" s="179">
        <f>VLOOKUP(C55,'Amazon Live Products'!E:AF,28,0)</f>
        <v>2449</v>
      </c>
      <c r="AA55" s="251">
        <v>6999</v>
      </c>
      <c r="AB55" s="43"/>
      <c r="AC55" s="43"/>
      <c r="AD55" s="43"/>
      <c r="AE55" s="43"/>
      <c r="AF55" s="43"/>
      <c r="AG55" s="44"/>
      <c r="AH55" s="44"/>
    </row>
    <row r="56" spans="1:34">
      <c r="A56" s="43">
        <f t="shared" si="15"/>
        <v>55</v>
      </c>
      <c r="B56" s="43"/>
      <c r="C56" s="140" t="s">
        <v>424</v>
      </c>
      <c r="D56" s="140" t="s">
        <v>425</v>
      </c>
      <c r="F56" s="140" t="s">
        <v>426</v>
      </c>
      <c r="G56" s="140" t="s">
        <v>427</v>
      </c>
      <c r="H56" s="244">
        <f>VLOOKUP(C56,'Margin Calculation'!F:Y,20,0)</f>
        <v>957.84120000000019</v>
      </c>
      <c r="I56" s="244">
        <f>VLOOKUP(C56,'Margin Calculation'!F:Z,21,0)</f>
        <v>1130.2526160000002</v>
      </c>
      <c r="J56" s="244">
        <f t="shared" si="0"/>
        <v>307.55491000000006</v>
      </c>
      <c r="K56" s="244">
        <f t="shared" si="1"/>
        <v>184.53294600000001</v>
      </c>
      <c r="L56" s="244">
        <f t="shared" si="2"/>
        <v>153.77745500000003</v>
      </c>
      <c r="M56" s="244">
        <f t="shared" si="3"/>
        <v>61.510982000000006</v>
      </c>
      <c r="N56" s="244">
        <f t="shared" si="4"/>
        <v>63</v>
      </c>
      <c r="O56" s="244">
        <f t="shared" si="5"/>
        <v>307.55491000000006</v>
      </c>
      <c r="P56" s="244">
        <f t="shared" si="6"/>
        <v>309.04392800000005</v>
      </c>
      <c r="Q56" s="245">
        <f t="shared" si="7"/>
        <v>0.10048414704223062</v>
      </c>
      <c r="R56" s="244">
        <f t="shared" si="8"/>
        <v>56.512630800000011</v>
      </c>
      <c r="S56" s="244">
        <f t="shared" si="9"/>
        <v>22.605052320000006</v>
      </c>
      <c r="T56" s="244">
        <f t="shared" si="10"/>
        <v>2114.8900861200004</v>
      </c>
      <c r="U56" s="244">
        <f t="shared" si="11"/>
        <v>329.52311785714301</v>
      </c>
      <c r="V56" s="246">
        <f t="shared" si="12"/>
        <v>631.13589602285674</v>
      </c>
      <c r="W56" s="247">
        <f t="shared" si="13"/>
        <v>0.20521080155178037</v>
      </c>
      <c r="X56" s="250">
        <f t="shared" ref="X56:Y56" si="25">Y56*(1+0.03)</f>
        <v>3075.5491000000002</v>
      </c>
      <c r="Y56" s="183">
        <f t="shared" si="25"/>
        <v>2985.9700000000003</v>
      </c>
      <c r="Z56" s="179">
        <f>VLOOKUP(C56,'Amazon Live Products'!E:AF,28,0)</f>
        <v>2899</v>
      </c>
      <c r="AA56" s="251">
        <v>5499</v>
      </c>
      <c r="AB56" s="43"/>
      <c r="AC56" s="43"/>
      <c r="AD56" s="43"/>
      <c r="AE56" s="43"/>
      <c r="AF56" s="43"/>
      <c r="AG56" s="44"/>
      <c r="AH56" s="44"/>
    </row>
    <row r="57" spans="1:34">
      <c r="A57" s="43">
        <f t="shared" si="15"/>
        <v>56</v>
      </c>
      <c r="B57" s="43"/>
      <c r="C57" s="140" t="s">
        <v>454</v>
      </c>
      <c r="D57" s="140" t="s">
        <v>455</v>
      </c>
      <c r="F57" s="140" t="s">
        <v>456</v>
      </c>
      <c r="G57" s="140" t="s">
        <v>457</v>
      </c>
      <c r="H57" s="244">
        <f>VLOOKUP(C57,'Margin Calculation'!F:Y,20,0)</f>
        <v>839.97</v>
      </c>
      <c r="I57" s="244">
        <f>VLOOKUP(C57,'Margin Calculation'!F:Z,21,0)</f>
        <v>991.16459999999995</v>
      </c>
      <c r="J57" s="244">
        <f t="shared" si="0"/>
        <v>212.07391000000004</v>
      </c>
      <c r="K57" s="244">
        <f t="shared" si="1"/>
        <v>127.24434600000001</v>
      </c>
      <c r="L57" s="244">
        <f t="shared" si="2"/>
        <v>106.03695500000002</v>
      </c>
      <c r="M57" s="244">
        <f t="shared" si="3"/>
        <v>42.414782000000002</v>
      </c>
      <c r="N57" s="244">
        <f t="shared" si="4"/>
        <v>63</v>
      </c>
      <c r="O57" s="244">
        <f t="shared" si="5"/>
        <v>212.07391000000004</v>
      </c>
      <c r="P57" s="244">
        <f t="shared" si="6"/>
        <v>232.65912800000001</v>
      </c>
      <c r="Q57" s="245">
        <f t="shared" si="7"/>
        <v>0.10970662444993823</v>
      </c>
      <c r="R57" s="244">
        <f t="shared" si="8"/>
        <v>49.558230000000002</v>
      </c>
      <c r="S57" s="244">
        <f t="shared" si="9"/>
        <v>19.823291999999999</v>
      </c>
      <c r="T57" s="244">
        <f t="shared" si="10"/>
        <v>1672.1954250000003</v>
      </c>
      <c r="U57" s="244">
        <f t="shared" si="11"/>
        <v>227.22204642857173</v>
      </c>
      <c r="V57" s="246">
        <f t="shared" si="12"/>
        <v>221.32162857142816</v>
      </c>
      <c r="W57" s="247">
        <f t="shared" si="13"/>
        <v>0.10436061115270055</v>
      </c>
      <c r="X57" s="250">
        <f t="shared" ref="X57:Y57" si="26">Y57*(1+0.03)</f>
        <v>2120.7391000000002</v>
      </c>
      <c r="Y57" s="183">
        <f t="shared" si="26"/>
        <v>2058.9700000000003</v>
      </c>
      <c r="Z57" s="179">
        <f>VLOOKUP(C57,'Amazon Live Products'!E:AF,28,0)</f>
        <v>1999</v>
      </c>
      <c r="AA57" s="251">
        <v>3999</v>
      </c>
      <c r="AB57" s="43"/>
      <c r="AC57" s="43"/>
      <c r="AD57" s="43"/>
      <c r="AE57" s="43"/>
      <c r="AF57" s="43"/>
      <c r="AG57" s="44"/>
      <c r="AH57" s="44"/>
    </row>
    <row r="58" spans="1:34">
      <c r="A58" s="43">
        <f t="shared" si="15"/>
        <v>57</v>
      </c>
      <c r="B58" s="43"/>
      <c r="C58" s="140" t="s">
        <v>488</v>
      </c>
      <c r="D58" s="140" t="s">
        <v>476</v>
      </c>
      <c r="F58" s="140" t="s">
        <v>477</v>
      </c>
      <c r="G58" s="140" t="s">
        <v>478</v>
      </c>
      <c r="H58" s="244">
        <f>VLOOKUP(C58,'Margin Calculation'!F:Y,20,0)</f>
        <v>331.50816000000003</v>
      </c>
      <c r="I58" s="244">
        <f>VLOOKUP(C58,'Margin Calculation'!F:Z,21,0)</f>
        <v>391.17962879999999</v>
      </c>
      <c r="J58" s="244">
        <f t="shared" si="0"/>
        <v>90.07041000000001</v>
      </c>
      <c r="K58" s="244">
        <f t="shared" si="1"/>
        <v>54.042245999999999</v>
      </c>
      <c r="L58" s="244">
        <f t="shared" si="2"/>
        <v>45.035205000000005</v>
      </c>
      <c r="M58" s="244">
        <f t="shared" si="3"/>
        <v>18.014082000000002</v>
      </c>
      <c r="N58" s="244">
        <f t="shared" si="4"/>
        <v>21</v>
      </c>
      <c r="O58" s="244">
        <f t="shared" si="5"/>
        <v>90.07041000000001</v>
      </c>
      <c r="P58" s="244">
        <f t="shared" si="6"/>
        <v>93.056328000000008</v>
      </c>
      <c r="Q58" s="245">
        <f t="shared" si="7"/>
        <v>0.10331509315878545</v>
      </c>
      <c r="R58" s="244">
        <f t="shared" si="8"/>
        <v>19.55898144</v>
      </c>
      <c r="S58" s="244">
        <f t="shared" si="9"/>
        <v>7.8235925760000002</v>
      </c>
      <c r="T58" s="244">
        <f t="shared" si="10"/>
        <v>677.12308701600011</v>
      </c>
      <c r="U58" s="244">
        <f t="shared" si="11"/>
        <v>96.504010714285755</v>
      </c>
      <c r="V58" s="246">
        <f t="shared" si="12"/>
        <v>127.07700226971417</v>
      </c>
      <c r="W58" s="247">
        <f t="shared" si="13"/>
        <v>0.14108629267893213</v>
      </c>
      <c r="X58" s="250">
        <f t="shared" ref="X58:Y58" si="27">Y58*(1+0.03)</f>
        <v>900.70410000000004</v>
      </c>
      <c r="Y58" s="183">
        <f t="shared" si="27"/>
        <v>874.47</v>
      </c>
      <c r="Z58" s="179">
        <f>VLOOKUP(C58,'Amazon Live Products'!E:AF,28,0)</f>
        <v>849</v>
      </c>
      <c r="AA58" s="251">
        <v>1499</v>
      </c>
      <c r="AB58" s="43"/>
      <c r="AC58" s="43"/>
      <c r="AD58" s="43"/>
      <c r="AE58" s="43"/>
      <c r="AF58" s="43"/>
      <c r="AG58" s="43"/>
      <c r="AH58" s="43"/>
    </row>
    <row r="59" spans="1:34">
      <c r="A59" s="43">
        <f t="shared" si="15"/>
        <v>58</v>
      </c>
      <c r="B59" s="43"/>
      <c r="C59" s="140" t="s">
        <v>491</v>
      </c>
      <c r="D59" s="140" t="s">
        <v>492</v>
      </c>
      <c r="F59" s="140" t="s">
        <v>493</v>
      </c>
      <c r="G59" s="140" t="s">
        <v>494</v>
      </c>
      <c r="H59" s="244">
        <f>VLOOKUP(C59,'Margin Calculation'!F:Y,20,0)</f>
        <v>1959.93</v>
      </c>
      <c r="I59" s="244">
        <f>VLOOKUP(C59,'Margin Calculation'!F:Z,21,0)</f>
        <v>2312.7174</v>
      </c>
      <c r="J59" s="244">
        <f t="shared" si="0"/>
        <v>403.03591000000006</v>
      </c>
      <c r="K59" s="244">
        <f t="shared" si="1"/>
        <v>241.82154600000001</v>
      </c>
      <c r="L59" s="244">
        <f t="shared" si="2"/>
        <v>201.51795500000003</v>
      </c>
      <c r="M59" s="244">
        <f t="shared" si="3"/>
        <v>80.607182000000009</v>
      </c>
      <c r="N59" s="244">
        <f t="shared" si="4"/>
        <v>63</v>
      </c>
      <c r="O59" s="244">
        <f t="shared" si="5"/>
        <v>403.03591000000006</v>
      </c>
      <c r="P59" s="244">
        <f t="shared" si="6"/>
        <v>385.42872800000004</v>
      </c>
      <c r="Q59" s="245">
        <f t="shared" si="7"/>
        <v>9.5631361483397348E-2</v>
      </c>
      <c r="R59" s="244">
        <f t="shared" si="8"/>
        <v>115.63587000000001</v>
      </c>
      <c r="S59" s="244">
        <f t="shared" si="9"/>
        <v>46.254348</v>
      </c>
      <c r="T59" s="244">
        <f t="shared" si="10"/>
        <v>3514.8387210000005</v>
      </c>
      <c r="U59" s="244">
        <f t="shared" si="11"/>
        <v>431.82418928571451</v>
      </c>
      <c r="V59" s="246">
        <f t="shared" si="12"/>
        <v>83.696189714285538</v>
      </c>
      <c r="W59" s="247">
        <f t="shared" si="13"/>
        <v>2.0766434860428572E-2</v>
      </c>
      <c r="X59" s="250">
        <f t="shared" ref="X59:Y59" si="28">Y59*(1+0.03)</f>
        <v>4030.3591000000006</v>
      </c>
      <c r="Y59" s="183">
        <f t="shared" si="28"/>
        <v>3912.9700000000003</v>
      </c>
      <c r="Z59" s="179">
        <f>VLOOKUP(C59,'Amazon Live Products'!E:AF,28,0)</f>
        <v>3799</v>
      </c>
      <c r="AA59" s="251">
        <v>8999</v>
      </c>
      <c r="AB59" s="43"/>
      <c r="AC59" s="43"/>
      <c r="AD59" s="43"/>
      <c r="AE59" s="43"/>
      <c r="AF59" s="43"/>
      <c r="AG59" s="43"/>
      <c r="AH59" s="43"/>
    </row>
    <row r="60" spans="1:34">
      <c r="A60" s="43">
        <f t="shared" si="15"/>
        <v>59</v>
      </c>
      <c r="B60" s="43"/>
      <c r="C60" s="140" t="s">
        <v>496</v>
      </c>
      <c r="D60" s="140" t="s">
        <v>497</v>
      </c>
      <c r="F60" s="140" t="s">
        <v>498</v>
      </c>
      <c r="G60" s="140" t="s">
        <v>499</v>
      </c>
      <c r="H60" s="244">
        <f>VLOOKUP(C60,'Margin Calculation'!F:Y,20,0)</f>
        <v>3303.8820000000001</v>
      </c>
      <c r="I60" s="244">
        <f>VLOOKUP(C60,'Margin Calculation'!F:Z,21,0)</f>
        <v>3898.5807599999998</v>
      </c>
      <c r="J60" s="244">
        <f t="shared" si="0"/>
        <v>742.52391000000011</v>
      </c>
      <c r="K60" s="244">
        <f t="shared" si="1"/>
        <v>445.51434600000005</v>
      </c>
      <c r="L60" s="244">
        <f t="shared" si="2"/>
        <v>371.26195500000006</v>
      </c>
      <c r="M60" s="244">
        <f t="shared" si="3"/>
        <v>148.50478200000001</v>
      </c>
      <c r="N60" s="244">
        <f t="shared" si="4"/>
        <v>63</v>
      </c>
      <c r="O60" s="244">
        <f t="shared" si="5"/>
        <v>742.52391000000011</v>
      </c>
      <c r="P60" s="244">
        <f t="shared" si="6"/>
        <v>657.01912800000002</v>
      </c>
      <c r="Q60" s="245">
        <f t="shared" si="7"/>
        <v>8.8484575264384413E-2</v>
      </c>
      <c r="R60" s="244">
        <f t="shared" si="8"/>
        <v>194.92903799999999</v>
      </c>
      <c r="S60" s="244">
        <f t="shared" si="9"/>
        <v>77.971615200000002</v>
      </c>
      <c r="T60" s="244">
        <f t="shared" si="10"/>
        <v>6090.1115562000005</v>
      </c>
      <c r="U60" s="244">
        <f t="shared" si="11"/>
        <v>795.56133214285819</v>
      </c>
      <c r="V60" s="246">
        <f t="shared" si="12"/>
        <v>539.56621165714205</v>
      </c>
      <c r="W60" s="247">
        <f t="shared" si="13"/>
        <v>7.2666510046409408E-2</v>
      </c>
      <c r="X60" s="250">
        <f t="shared" ref="X60:Y60" si="29">Y60*(1+0.03)</f>
        <v>7425.2391000000007</v>
      </c>
      <c r="Y60" s="183">
        <f t="shared" si="29"/>
        <v>7208.97</v>
      </c>
      <c r="Z60" s="179">
        <f>VLOOKUP(C60,'Amazon Live Products'!E:AF,28,0)</f>
        <v>6999</v>
      </c>
      <c r="AA60" s="251">
        <v>11999</v>
      </c>
      <c r="AB60" s="43"/>
      <c r="AC60" s="43"/>
      <c r="AD60" s="43"/>
      <c r="AE60" s="43"/>
      <c r="AF60" s="43"/>
      <c r="AG60" s="43"/>
      <c r="AH60" s="43"/>
    </row>
    <row r="61" spans="1:34">
      <c r="A61" s="43">
        <f t="shared" si="15"/>
        <v>60</v>
      </c>
      <c r="B61" s="43"/>
      <c r="C61" s="140" t="s">
        <v>500</v>
      </c>
      <c r="D61" s="140" t="s">
        <v>501</v>
      </c>
      <c r="F61" s="140" t="s">
        <v>459</v>
      </c>
      <c r="G61" s="140" t="s">
        <v>503</v>
      </c>
      <c r="H61" s="244">
        <f>VLOOKUP(C61,'Margin Calculation'!F:Y,20,0)</f>
        <v>380.78639999999996</v>
      </c>
      <c r="I61" s="244">
        <f>VLOOKUP(C61,'Margin Calculation'!F:Z,21,0)</f>
        <v>449.32795199999993</v>
      </c>
      <c r="J61" s="244">
        <f t="shared" si="0"/>
        <v>105.98391000000002</v>
      </c>
      <c r="K61" s="244">
        <f t="shared" si="1"/>
        <v>63.590346000000004</v>
      </c>
      <c r="L61" s="244">
        <f t="shared" si="2"/>
        <v>52.991955000000011</v>
      </c>
      <c r="M61" s="244">
        <f t="shared" si="3"/>
        <v>21.196782000000002</v>
      </c>
      <c r="N61" s="244">
        <f t="shared" si="4"/>
        <v>57</v>
      </c>
      <c r="O61" s="244">
        <f t="shared" si="5"/>
        <v>105.98391000000002</v>
      </c>
      <c r="P61" s="244">
        <f t="shared" si="6"/>
        <v>141.787128</v>
      </c>
      <c r="Q61" s="245">
        <f t="shared" si="7"/>
        <v>0.13378174856919317</v>
      </c>
      <c r="R61" s="244">
        <f t="shared" si="8"/>
        <v>22.466397599999997</v>
      </c>
      <c r="S61" s="244">
        <f t="shared" si="9"/>
        <v>8.9865590399999995</v>
      </c>
      <c r="T61" s="244">
        <f t="shared" si="10"/>
        <v>818.98625963999996</v>
      </c>
      <c r="U61" s="244">
        <f t="shared" si="11"/>
        <v>113.55418928571441</v>
      </c>
      <c r="V61" s="246">
        <f t="shared" si="12"/>
        <v>127.29865107428577</v>
      </c>
      <c r="W61" s="247">
        <f t="shared" si="13"/>
        <v>0.12011129903990686</v>
      </c>
      <c r="X61" s="250">
        <f t="shared" ref="X61:Y61" si="30">Y61*(1+0.03)</f>
        <v>1059.8391000000001</v>
      </c>
      <c r="Y61" s="183">
        <f t="shared" si="30"/>
        <v>1028.97</v>
      </c>
      <c r="Z61" s="179">
        <f>VLOOKUP(C61,'Amazon Live Products'!E:AF,28,0)</f>
        <v>999</v>
      </c>
      <c r="AA61" s="251">
        <v>1499</v>
      </c>
      <c r="AB61" s="43"/>
      <c r="AC61" s="43"/>
      <c r="AD61" s="43"/>
      <c r="AE61" s="43"/>
      <c r="AF61" s="43"/>
      <c r="AG61" s="43"/>
      <c r="AH61" s="43"/>
    </row>
    <row r="62" spans="1:34">
      <c r="A62" s="43">
        <f t="shared" si="15"/>
        <v>61</v>
      </c>
      <c r="B62" s="43"/>
      <c r="C62" s="140" t="s">
        <v>504</v>
      </c>
      <c r="D62" s="140" t="s">
        <v>505</v>
      </c>
      <c r="F62" s="140" t="s">
        <v>506</v>
      </c>
      <c r="G62" s="140" t="s">
        <v>939</v>
      </c>
      <c r="H62" s="244">
        <f>VLOOKUP(C62,'Margin Calculation'!F:Y,20,0)</f>
        <v>761.57279999999992</v>
      </c>
      <c r="I62" s="244">
        <f>VLOOKUP(C62,'Margin Calculation'!F:Z,21,0)</f>
        <v>898.65590399999985</v>
      </c>
      <c r="J62" s="244">
        <f t="shared" si="0"/>
        <v>159.02891</v>
      </c>
      <c r="K62" s="244">
        <f t="shared" si="1"/>
        <v>95.417345999999995</v>
      </c>
      <c r="L62" s="244">
        <f t="shared" si="2"/>
        <v>79.514454999999998</v>
      </c>
      <c r="M62" s="244">
        <f t="shared" si="3"/>
        <v>31.805782000000001</v>
      </c>
      <c r="N62" s="244">
        <f t="shared" si="4"/>
        <v>57</v>
      </c>
      <c r="O62" s="244">
        <f t="shared" si="5"/>
        <v>159.02891</v>
      </c>
      <c r="P62" s="244">
        <f t="shared" si="6"/>
        <v>184.223128</v>
      </c>
      <c r="Q62" s="245">
        <f t="shared" si="7"/>
        <v>0.11584253957346498</v>
      </c>
      <c r="R62" s="244">
        <f t="shared" si="8"/>
        <v>44.932795199999994</v>
      </c>
      <c r="S62" s="244">
        <f t="shared" si="9"/>
        <v>17.973118079999999</v>
      </c>
      <c r="T62" s="244">
        <f t="shared" si="10"/>
        <v>1406.2741162799998</v>
      </c>
      <c r="U62" s="244">
        <f t="shared" si="11"/>
        <v>170.38811785714302</v>
      </c>
      <c r="V62" s="246">
        <f t="shared" si="12"/>
        <v>13.62686586285713</v>
      </c>
      <c r="W62" s="247">
        <f t="shared" si="13"/>
        <v>8.5687978763465903E-3</v>
      </c>
      <c r="X62" s="250">
        <f t="shared" ref="X62:Y62" si="31">Y62*(1+0.03)</f>
        <v>1590.2891</v>
      </c>
      <c r="Y62" s="183">
        <f t="shared" si="31"/>
        <v>1543.97</v>
      </c>
      <c r="Z62" s="179">
        <f>VLOOKUP(C62,'Amazon Live Products'!E:AF,28,0)</f>
        <v>1499</v>
      </c>
      <c r="AA62" s="251">
        <v>2999</v>
      </c>
      <c r="AB62" s="43"/>
      <c r="AC62" s="43"/>
      <c r="AD62" s="43"/>
      <c r="AE62" s="43"/>
      <c r="AF62" s="43"/>
      <c r="AG62" s="43"/>
      <c r="AH62" s="43"/>
    </row>
    <row r="63" spans="1:34">
      <c r="A63" s="43">
        <f t="shared" si="15"/>
        <v>62</v>
      </c>
      <c r="B63" s="43"/>
      <c r="C63" s="140" t="s">
        <v>533</v>
      </c>
      <c r="D63" s="140" t="s">
        <v>534</v>
      </c>
      <c r="F63" s="140" t="s">
        <v>535</v>
      </c>
      <c r="G63" s="140" t="s">
        <v>537</v>
      </c>
      <c r="H63" s="244">
        <f>VLOOKUP(C63,'Margin Calculation'!F:Y,20,0)</f>
        <v>352.56708000000003</v>
      </c>
      <c r="I63" s="244">
        <f>VLOOKUP(C63,'Margin Calculation'!F:Z,21,0)</f>
        <v>394.87512960000009</v>
      </c>
      <c r="J63" s="244">
        <f t="shared" si="0"/>
        <v>116.59291000000002</v>
      </c>
      <c r="K63" s="244">
        <f t="shared" si="1"/>
        <v>69.955746000000005</v>
      </c>
      <c r="L63" s="244">
        <f t="shared" si="2"/>
        <v>58.296455000000009</v>
      </c>
      <c r="M63" s="244">
        <f t="shared" si="3"/>
        <v>23.318582000000003</v>
      </c>
      <c r="N63" s="244">
        <f t="shared" si="4"/>
        <v>57</v>
      </c>
      <c r="O63" s="244">
        <f t="shared" si="5"/>
        <v>116.59291000000002</v>
      </c>
      <c r="P63" s="244">
        <f t="shared" si="6"/>
        <v>150.27432800000003</v>
      </c>
      <c r="Q63" s="245">
        <f t="shared" si="7"/>
        <v>0.12888804988227845</v>
      </c>
      <c r="R63" s="244">
        <f t="shared" si="8"/>
        <v>19.743756480000005</v>
      </c>
      <c r="S63" s="244">
        <f t="shared" si="9"/>
        <v>7.8975025920000022</v>
      </c>
      <c r="T63" s="244">
        <f t="shared" si="10"/>
        <v>821.96494207200021</v>
      </c>
      <c r="U63" s="244">
        <f t="shared" si="11"/>
        <v>124.920975</v>
      </c>
      <c r="V63" s="246">
        <f t="shared" si="12"/>
        <v>219.04318292799985</v>
      </c>
      <c r="W63" s="247">
        <f t="shared" si="13"/>
        <v>0.18787007111152801</v>
      </c>
      <c r="X63" s="250">
        <f t="shared" ref="X63:Y63" si="32">Y63*(1+0.03)</f>
        <v>1165.9291000000001</v>
      </c>
      <c r="Y63" s="183">
        <f t="shared" si="32"/>
        <v>1131.97</v>
      </c>
      <c r="Z63" s="179">
        <f>VLOOKUP(C63,'Amazon Live Products'!E:AF,28,0)</f>
        <v>1099</v>
      </c>
      <c r="AA63" s="251">
        <v>1299</v>
      </c>
      <c r="AB63" s="43"/>
      <c r="AC63" s="43"/>
      <c r="AD63" s="43"/>
      <c r="AE63" s="43"/>
      <c r="AF63" s="43"/>
      <c r="AG63" s="43"/>
      <c r="AH63" s="43"/>
    </row>
    <row r="64" spans="1:34">
      <c r="A64" s="43">
        <f t="shared" si="15"/>
        <v>63</v>
      </c>
      <c r="B64" s="43"/>
      <c r="C64" s="140" t="s">
        <v>557</v>
      </c>
      <c r="D64" s="140" t="s">
        <v>558</v>
      </c>
      <c r="F64" s="140" t="s">
        <v>559</v>
      </c>
      <c r="G64" s="140" t="s">
        <v>561</v>
      </c>
      <c r="H64" s="244">
        <f>VLOOKUP(C64,'Margin Calculation'!F:Y,20,0)</f>
        <v>447.18074999999999</v>
      </c>
      <c r="I64" s="244">
        <f>VLOOKUP(C64,'Margin Calculation'!F:Z,21,0)</f>
        <v>527.67328499999996</v>
      </c>
      <c r="J64" s="244">
        <f t="shared" si="0"/>
        <v>132.50641000000002</v>
      </c>
      <c r="K64" s="244">
        <f t="shared" si="1"/>
        <v>79.503845999999996</v>
      </c>
      <c r="L64" s="244">
        <f t="shared" si="2"/>
        <v>66.253205000000008</v>
      </c>
      <c r="M64" s="244">
        <f t="shared" si="3"/>
        <v>26.501282000000003</v>
      </c>
      <c r="N64" s="244">
        <f t="shared" si="4"/>
        <v>57</v>
      </c>
      <c r="O64" s="244">
        <f t="shared" si="5"/>
        <v>132.50641000000002</v>
      </c>
      <c r="P64" s="244">
        <f t="shared" si="6"/>
        <v>163.00512800000001</v>
      </c>
      <c r="Q64" s="245">
        <f t="shared" si="7"/>
        <v>0.12301678688600801</v>
      </c>
      <c r="R64" s="244">
        <f t="shared" si="8"/>
        <v>26.383664249999999</v>
      </c>
      <c r="S64" s="244">
        <f t="shared" si="9"/>
        <v>10.5534657</v>
      </c>
      <c r="T64" s="244">
        <f t="shared" si="10"/>
        <v>978.38903295</v>
      </c>
      <c r="U64" s="244">
        <f t="shared" si="11"/>
        <v>141.97115357142866</v>
      </c>
      <c r="V64" s="246">
        <f t="shared" si="12"/>
        <v>204.70391347857139</v>
      </c>
      <c r="W64" s="247">
        <f t="shared" si="13"/>
        <v>0.15448604597964083</v>
      </c>
      <c r="X64" s="250">
        <f t="shared" ref="X64:Y64" si="33">Y64*(1+0.03)</f>
        <v>1325.0641000000001</v>
      </c>
      <c r="Y64" s="183">
        <f t="shared" si="33"/>
        <v>1286.47</v>
      </c>
      <c r="Z64" s="179">
        <f>VLOOKUP(C64,'Amazon Live Products'!E:AF,28,0)</f>
        <v>1249</v>
      </c>
      <c r="AA64" s="251">
        <v>2999</v>
      </c>
      <c r="AB64" s="43"/>
      <c r="AC64" s="43"/>
      <c r="AD64" s="43"/>
      <c r="AE64" s="43"/>
      <c r="AF64" s="43"/>
      <c r="AG64" s="43"/>
      <c r="AH64" s="43"/>
    </row>
    <row r="65" spans="1:34">
      <c r="A65" s="43">
        <f t="shared" si="15"/>
        <v>64</v>
      </c>
      <c r="B65" s="43"/>
      <c r="C65" s="140" t="s">
        <v>584</v>
      </c>
      <c r="D65" s="140" t="s">
        <v>585</v>
      </c>
      <c r="F65" s="140" t="s">
        <v>586</v>
      </c>
      <c r="G65" s="140" t="s">
        <v>945</v>
      </c>
      <c r="H65" s="244">
        <f>VLOOKUP(C65,'Margin Calculation'!F:Y,20,0)</f>
        <v>1151.4474000000002</v>
      </c>
      <c r="I65" s="244">
        <f>VLOOKUP(C65,'Margin Calculation'!F:Z,21,0)</f>
        <v>1358.7079320000003</v>
      </c>
      <c r="J65" s="244">
        <f t="shared" si="0"/>
        <v>349.99091000000004</v>
      </c>
      <c r="K65" s="244">
        <f t="shared" si="1"/>
        <v>209.99454600000001</v>
      </c>
      <c r="L65" s="244">
        <f t="shared" si="2"/>
        <v>174.99545500000002</v>
      </c>
      <c r="M65" s="244">
        <f t="shared" si="3"/>
        <v>69.998182000000014</v>
      </c>
      <c r="N65" s="244">
        <f t="shared" si="4"/>
        <v>63</v>
      </c>
      <c r="O65" s="244">
        <f t="shared" si="5"/>
        <v>349.99091000000004</v>
      </c>
      <c r="P65" s="244">
        <f t="shared" si="6"/>
        <v>342.99272800000006</v>
      </c>
      <c r="Q65" s="245">
        <f t="shared" si="7"/>
        <v>9.8000467497855875E-2</v>
      </c>
      <c r="R65" s="244">
        <f t="shared" si="8"/>
        <v>67.935396600000018</v>
      </c>
      <c r="S65" s="244">
        <f t="shared" si="9"/>
        <v>27.174158640000005</v>
      </c>
      <c r="T65" s="244">
        <f t="shared" si="10"/>
        <v>2464.5269582400001</v>
      </c>
      <c r="U65" s="244">
        <f t="shared" si="11"/>
        <v>374.99026071428625</v>
      </c>
      <c r="V65" s="246">
        <f t="shared" si="12"/>
        <v>660.39188104571394</v>
      </c>
      <c r="W65" s="247">
        <f t="shared" si="13"/>
        <v>0.18868829508906784</v>
      </c>
      <c r="X65" s="250">
        <f t="shared" ref="X65:Y65" si="34">Y65*(1+0.03)</f>
        <v>3499.9091000000003</v>
      </c>
      <c r="Y65" s="183">
        <f t="shared" si="34"/>
        <v>3397.9700000000003</v>
      </c>
      <c r="Z65" s="179">
        <f>VLOOKUP(C65,'Amazon Live Products'!E:AF,28,0)</f>
        <v>3299</v>
      </c>
      <c r="AA65" s="251">
        <v>6599</v>
      </c>
      <c r="AB65" s="43"/>
      <c r="AC65" s="43"/>
      <c r="AD65" s="43"/>
      <c r="AE65" s="43"/>
      <c r="AF65" s="43"/>
      <c r="AG65" s="43"/>
      <c r="AH65" s="43"/>
    </row>
    <row r="66" spans="1:34">
      <c r="A66" s="43">
        <f t="shared" si="15"/>
        <v>65</v>
      </c>
      <c r="B66" s="43"/>
      <c r="C66" s="140" t="s">
        <v>599</v>
      </c>
      <c r="D66" s="140" t="s">
        <v>600</v>
      </c>
      <c r="F66" s="140" t="s">
        <v>601</v>
      </c>
      <c r="G66" s="140" t="s">
        <v>602</v>
      </c>
      <c r="H66" s="244">
        <f>VLOOKUP(C66,'Margin Calculation'!F:Y,20,0)</f>
        <v>845.75340000000006</v>
      </c>
      <c r="I66" s="244">
        <f>VLOOKUP(C66,'Margin Calculation'!F:Z,21,0)</f>
        <v>997.989012</v>
      </c>
      <c r="J66" s="244">
        <f t="shared" si="0"/>
        <v>212.07391000000004</v>
      </c>
      <c r="K66" s="244">
        <f t="shared" si="1"/>
        <v>127.24434600000001</v>
      </c>
      <c r="L66" s="244">
        <f t="shared" si="2"/>
        <v>106.03695500000002</v>
      </c>
      <c r="M66" s="244">
        <f t="shared" si="3"/>
        <v>42.414782000000002</v>
      </c>
      <c r="N66" s="244">
        <f t="shared" si="4"/>
        <v>63</v>
      </c>
      <c r="O66" s="244">
        <f t="shared" si="5"/>
        <v>212.07391000000004</v>
      </c>
      <c r="P66" s="244">
        <f t="shared" si="6"/>
        <v>232.65912800000001</v>
      </c>
      <c r="Q66" s="245">
        <f t="shared" si="7"/>
        <v>0.10970662444993823</v>
      </c>
      <c r="R66" s="244">
        <f t="shared" si="8"/>
        <v>49.899450600000002</v>
      </c>
      <c r="S66" s="244">
        <f t="shared" si="9"/>
        <v>19.959780240000001</v>
      </c>
      <c r="T66" s="244">
        <f t="shared" si="10"/>
        <v>1678.4565338400002</v>
      </c>
      <c r="U66" s="244">
        <f t="shared" si="11"/>
        <v>227.22204642857173</v>
      </c>
      <c r="V66" s="246">
        <f t="shared" si="12"/>
        <v>215.06051973142826</v>
      </c>
      <c r="W66" s="247">
        <f t="shared" si="13"/>
        <v>0.10140828720111221</v>
      </c>
      <c r="X66" s="250">
        <f t="shared" ref="X66:Y66" si="35">Y66*(1+0.03)</f>
        <v>2120.7391000000002</v>
      </c>
      <c r="Y66" s="183">
        <f t="shared" si="35"/>
        <v>2058.9700000000003</v>
      </c>
      <c r="Z66" s="179">
        <f>VLOOKUP(C66,'Amazon Live Products'!E:AF,28,0)</f>
        <v>1999</v>
      </c>
      <c r="AA66" s="251">
        <v>3699</v>
      </c>
      <c r="AB66" s="43"/>
      <c r="AC66" s="43"/>
      <c r="AD66" s="43"/>
      <c r="AE66" s="43"/>
      <c r="AF66" s="43"/>
      <c r="AG66" s="43"/>
      <c r="AH66" s="43"/>
    </row>
    <row r="67" spans="1:34">
      <c r="A67" s="43">
        <f t="shared" si="15"/>
        <v>66</v>
      </c>
      <c r="B67" s="43"/>
      <c r="C67" s="140" t="s">
        <v>603</v>
      </c>
      <c r="D67" s="140" t="s">
        <v>937</v>
      </c>
      <c r="F67" s="140" t="s">
        <v>605</v>
      </c>
      <c r="G67" s="140" t="s">
        <v>607</v>
      </c>
      <c r="H67" s="244">
        <f>VLOOKUP(C67,'Margin Calculation'!F:Y,20,0)</f>
        <v>1040.4428399999999</v>
      </c>
      <c r="I67" s="244">
        <f>VLOOKUP(C67,'Margin Calculation'!F:Z,21,0)</f>
        <v>1227.7225511999998</v>
      </c>
      <c r="J67" s="244">
        <f t="shared" si="0"/>
        <v>286.33691000000005</v>
      </c>
      <c r="K67" s="244">
        <f t="shared" si="1"/>
        <v>171.80214600000002</v>
      </c>
      <c r="L67" s="244">
        <f t="shared" si="2"/>
        <v>143.16845500000002</v>
      </c>
      <c r="M67" s="244">
        <f t="shared" si="3"/>
        <v>57.267382000000005</v>
      </c>
      <c r="N67" s="244">
        <f t="shared" si="4"/>
        <v>63</v>
      </c>
      <c r="O67" s="244">
        <f t="shared" si="5"/>
        <v>286.33691000000005</v>
      </c>
      <c r="P67" s="244">
        <f t="shared" si="6"/>
        <v>292.06952799999999</v>
      </c>
      <c r="Q67" s="245">
        <f t="shared" si="7"/>
        <v>0.10200205345514134</v>
      </c>
      <c r="R67" s="244">
        <f t="shared" si="8"/>
        <v>61.386127559999991</v>
      </c>
      <c r="S67" s="244">
        <f t="shared" si="9"/>
        <v>24.554451023999995</v>
      </c>
      <c r="T67" s="244">
        <f t="shared" si="10"/>
        <v>2134.295221584</v>
      </c>
      <c r="U67" s="244">
        <f t="shared" si="11"/>
        <v>306.78954642857161</v>
      </c>
      <c r="V67" s="246">
        <f t="shared" si="12"/>
        <v>422.28433198742869</v>
      </c>
      <c r="W67" s="247">
        <f t="shared" si="13"/>
        <v>0.14747813405803276</v>
      </c>
      <c r="X67" s="250">
        <f t="shared" ref="X67:Y67" si="36">Y67*(1+0.03)</f>
        <v>2863.3691000000003</v>
      </c>
      <c r="Y67" s="183">
        <f t="shared" si="36"/>
        <v>2779.9700000000003</v>
      </c>
      <c r="Z67" s="179">
        <f>VLOOKUP(C67,'Amazon Live Products'!E:AF,28,0)</f>
        <v>2699</v>
      </c>
      <c r="AA67" s="251">
        <v>4999</v>
      </c>
      <c r="AB67" s="43"/>
      <c r="AC67" s="43"/>
      <c r="AD67" s="43"/>
      <c r="AE67" s="43"/>
      <c r="AF67" s="43"/>
      <c r="AG67" s="43"/>
      <c r="AH67" s="43"/>
    </row>
    <row r="68" spans="1:34">
      <c r="A68" s="43">
        <f t="shared" si="15"/>
        <v>67</v>
      </c>
      <c r="B68" s="43"/>
      <c r="C68" s="140" t="s">
        <v>608</v>
      </c>
      <c r="D68" s="140" t="s">
        <v>609</v>
      </c>
      <c r="F68" s="140" t="s">
        <v>610</v>
      </c>
      <c r="G68" s="140" t="s">
        <v>612</v>
      </c>
      <c r="H68" s="244">
        <f>VLOOKUP(C68,'Margin Calculation'!F:Y,20,0)</f>
        <v>1205.0769600000001</v>
      </c>
      <c r="I68" s="244">
        <f>VLOOKUP(C68,'Margin Calculation'!F:Z,21,0)</f>
        <v>1421.9908128</v>
      </c>
      <c r="J68" s="244">
        <f t="shared" si="0"/>
        <v>265.11891000000008</v>
      </c>
      <c r="K68" s="244">
        <f t="shared" si="1"/>
        <v>159.07134600000003</v>
      </c>
      <c r="L68" s="244">
        <f t="shared" si="2"/>
        <v>132.55945500000004</v>
      </c>
      <c r="M68" s="244">
        <f t="shared" si="3"/>
        <v>53.023782000000011</v>
      </c>
      <c r="N68" s="244">
        <f t="shared" si="4"/>
        <v>63</v>
      </c>
      <c r="O68" s="244">
        <f t="shared" si="5"/>
        <v>265.11891000000008</v>
      </c>
      <c r="P68" s="244">
        <f t="shared" si="6"/>
        <v>275.09512800000005</v>
      </c>
      <c r="Q68" s="245">
        <f t="shared" si="7"/>
        <v>0.1037629220790022</v>
      </c>
      <c r="R68" s="244">
        <f t="shared" si="8"/>
        <v>71.099540640000001</v>
      </c>
      <c r="S68" s="244">
        <f t="shared" si="9"/>
        <v>28.439816256</v>
      </c>
      <c r="T68" s="244">
        <f t="shared" si="10"/>
        <v>2242.5087198960009</v>
      </c>
      <c r="U68" s="244">
        <f t="shared" si="11"/>
        <v>284.05597500000022</v>
      </c>
      <c r="V68" s="246">
        <f t="shared" si="12"/>
        <v>124.62440510399938</v>
      </c>
      <c r="W68" s="247">
        <f t="shared" si="13"/>
        <v>4.7006984565529236E-2</v>
      </c>
      <c r="X68" s="250">
        <f t="shared" ref="X68:Y68" si="37">Y68*(1+0.03)</f>
        <v>2651.1891000000005</v>
      </c>
      <c r="Y68" s="183">
        <f t="shared" si="37"/>
        <v>2573.9700000000003</v>
      </c>
      <c r="Z68" s="179">
        <f>VLOOKUP(C68,'Amazon Live Products'!E:AF,28,0)</f>
        <v>2499</v>
      </c>
      <c r="AA68" s="251">
        <v>4299</v>
      </c>
      <c r="AB68" s="43"/>
      <c r="AC68" s="43"/>
      <c r="AD68" s="43"/>
      <c r="AE68" s="43"/>
      <c r="AF68" s="43"/>
      <c r="AG68" s="43"/>
      <c r="AH68" s="43"/>
    </row>
    <row r="69" spans="1:34">
      <c r="A69" s="43">
        <f t="shared" si="15"/>
        <v>68</v>
      </c>
      <c r="B69" s="43"/>
      <c r="C69" s="140" t="s">
        <v>625</v>
      </c>
      <c r="D69" s="140" t="s">
        <v>626</v>
      </c>
      <c r="F69" s="140" t="s">
        <v>627</v>
      </c>
      <c r="G69" s="140" t="s">
        <v>631</v>
      </c>
      <c r="H69" s="244">
        <f>VLOOKUP(C69,'Margin Calculation'!F:Y,20,0)</f>
        <v>1063.2964499999998</v>
      </c>
      <c r="I69" s="244">
        <f>VLOOKUP(C69,'Margin Calculation'!F:Z,21,0)</f>
        <v>1254.6898109999997</v>
      </c>
      <c r="J69" s="244">
        <f t="shared" si="0"/>
        <v>243.90091000000004</v>
      </c>
      <c r="K69" s="244">
        <f t="shared" si="1"/>
        <v>146.34054600000002</v>
      </c>
      <c r="L69" s="244">
        <f t="shared" si="2"/>
        <v>121.95045500000002</v>
      </c>
      <c r="M69" s="244">
        <f t="shared" si="3"/>
        <v>48.780182000000003</v>
      </c>
      <c r="N69" s="244">
        <f t="shared" si="4"/>
        <v>63</v>
      </c>
      <c r="O69" s="244">
        <f t="shared" si="5"/>
        <v>243.90091000000004</v>
      </c>
      <c r="P69" s="244">
        <f t="shared" si="6"/>
        <v>258.12072799999999</v>
      </c>
      <c r="Q69" s="245">
        <f t="shared" si="7"/>
        <v>0.10583016192928511</v>
      </c>
      <c r="R69" s="244">
        <f t="shared" si="8"/>
        <v>62.73449054999999</v>
      </c>
      <c r="S69" s="244">
        <f t="shared" si="9"/>
        <v>25.093796219999994</v>
      </c>
      <c r="T69" s="244">
        <f t="shared" si="10"/>
        <v>2018.99773977</v>
      </c>
      <c r="U69" s="244">
        <f t="shared" si="11"/>
        <v>261.32240357142882</v>
      </c>
      <c r="V69" s="246">
        <f t="shared" si="12"/>
        <v>158.68895665857144</v>
      </c>
      <c r="W69" s="247">
        <f t="shared" si="13"/>
        <v>6.5062880109209686E-2</v>
      </c>
      <c r="X69" s="250">
        <f t="shared" ref="X69:Y69" si="38">Y69*(1+0.03)</f>
        <v>2439.0091000000002</v>
      </c>
      <c r="Y69" s="183">
        <f t="shared" si="38"/>
        <v>2367.9700000000003</v>
      </c>
      <c r="Z69" s="179">
        <f>VLOOKUP(C69,'Amazon Live Products'!E:AF,28,0)</f>
        <v>2299</v>
      </c>
      <c r="AA69" s="251">
        <v>4199</v>
      </c>
      <c r="AB69" s="43"/>
      <c r="AC69" s="43"/>
      <c r="AD69" s="43"/>
      <c r="AE69" s="43"/>
      <c r="AF69" s="43"/>
      <c r="AG69" s="43"/>
      <c r="AH69" s="43"/>
    </row>
    <row r="70" spans="1:34">
      <c r="A70" s="43">
        <f t="shared" si="15"/>
        <v>69</v>
      </c>
      <c r="B70" s="43"/>
      <c r="C70" s="140" t="s">
        <v>947</v>
      </c>
      <c r="D70" s="140" t="s">
        <v>938</v>
      </c>
      <c r="F70" s="140" t="s">
        <v>639</v>
      </c>
      <c r="G70" s="140" t="s">
        <v>948</v>
      </c>
      <c r="H70" s="244" t="e">
        <f>VLOOKUP(C70,'Margin Calculation'!F:Y,20,0)</f>
        <v>#N/A</v>
      </c>
      <c r="I70" s="244" t="e">
        <f>VLOOKUP(C70,'Margin Calculation'!F:Z,21,0)</f>
        <v>#N/A</v>
      </c>
      <c r="J70" s="244">
        <f t="shared" si="0"/>
        <v>424.25391000000002</v>
      </c>
      <c r="K70" s="244">
        <f t="shared" si="1"/>
        <v>254.552346</v>
      </c>
      <c r="L70" s="244">
        <f t="shared" si="2"/>
        <v>212.12695500000001</v>
      </c>
      <c r="M70" s="244">
        <f t="shared" si="3"/>
        <v>84.850781999999995</v>
      </c>
      <c r="N70" s="244">
        <f t="shared" si="4"/>
        <v>63</v>
      </c>
      <c r="O70" s="244">
        <f t="shared" si="5"/>
        <v>424.25391000000002</v>
      </c>
      <c r="P70" s="244">
        <f t="shared" si="6"/>
        <v>402.40312799999998</v>
      </c>
      <c r="Q70" s="245">
        <f t="shared" si="7"/>
        <v>9.4849597968348714E-2</v>
      </c>
      <c r="R70" s="244" t="e">
        <f t="shared" si="8"/>
        <v>#N/A</v>
      </c>
      <c r="S70" s="244" t="e">
        <f t="shared" si="9"/>
        <v>#N/A</v>
      </c>
      <c r="T70" s="244" t="e">
        <f t="shared" si="10"/>
        <v>#N/A</v>
      </c>
      <c r="U70" s="244">
        <f t="shared" si="11"/>
        <v>454.55776071428591</v>
      </c>
      <c r="V70" s="246" t="e">
        <f t="shared" si="12"/>
        <v>#N/A</v>
      </c>
      <c r="W70" s="247" t="e">
        <f t="shared" si="13"/>
        <v>#N/A</v>
      </c>
      <c r="X70" s="250">
        <f t="shared" ref="X70:Y70" si="39">Y70*(1+0.03)</f>
        <v>4242.5391</v>
      </c>
      <c r="Y70" s="183">
        <f t="shared" si="39"/>
        <v>4118.97</v>
      </c>
      <c r="Z70" s="179">
        <f>VLOOKUP(C70,'Amazon Live Products'!E:AF,28,0)</f>
        <v>3999</v>
      </c>
      <c r="AA70" s="251">
        <v>7499</v>
      </c>
      <c r="AB70" s="43"/>
      <c r="AC70" s="43"/>
      <c r="AD70" s="43"/>
      <c r="AE70" s="43"/>
      <c r="AF70" s="43"/>
      <c r="AG70" s="43"/>
      <c r="AH70" s="43"/>
    </row>
    <row r="71" spans="1:34">
      <c r="A71" s="43">
        <f t="shared" si="15"/>
        <v>70</v>
      </c>
      <c r="B71" s="43"/>
      <c r="C71" s="140" t="s">
        <v>646</v>
      </c>
      <c r="D71" s="140" t="s">
        <v>647</v>
      </c>
      <c r="F71" s="140" t="s">
        <v>648</v>
      </c>
      <c r="G71" s="140" t="s">
        <v>949</v>
      </c>
      <c r="H71" s="244">
        <f>VLOOKUP(C71,'Margin Calculation'!F:Y,20,0)</f>
        <v>695.61449999999991</v>
      </c>
      <c r="I71" s="244">
        <f>VLOOKUP(C71,'Margin Calculation'!F:Z,21,0)</f>
        <v>820.82510999999988</v>
      </c>
      <c r="J71" s="244">
        <f t="shared" si="0"/>
        <v>159.02891</v>
      </c>
      <c r="K71" s="244">
        <f t="shared" si="1"/>
        <v>95.417345999999995</v>
      </c>
      <c r="L71" s="244">
        <f t="shared" si="2"/>
        <v>79.514454999999998</v>
      </c>
      <c r="M71" s="244">
        <f t="shared" si="3"/>
        <v>31.805782000000001</v>
      </c>
      <c r="N71" s="244">
        <f t="shared" si="4"/>
        <v>57</v>
      </c>
      <c r="O71" s="244">
        <f t="shared" si="5"/>
        <v>159.02891</v>
      </c>
      <c r="P71" s="244">
        <f t="shared" si="6"/>
        <v>184.223128</v>
      </c>
      <c r="Q71" s="245">
        <f t="shared" si="7"/>
        <v>0.11584253957346498</v>
      </c>
      <c r="R71" s="244">
        <f t="shared" si="8"/>
        <v>41.041255499999998</v>
      </c>
      <c r="S71" s="244">
        <f t="shared" si="9"/>
        <v>16.416502199999996</v>
      </c>
      <c r="T71" s="244">
        <f t="shared" si="10"/>
        <v>1334.8676606999998</v>
      </c>
      <c r="U71" s="244">
        <f t="shared" si="11"/>
        <v>170.38811785714302</v>
      </c>
      <c r="V71" s="246">
        <f t="shared" si="12"/>
        <v>85.033321442857186</v>
      </c>
      <c r="W71" s="247">
        <f t="shared" si="13"/>
        <v>5.3470354190855732E-2</v>
      </c>
      <c r="X71" s="250">
        <f t="shared" ref="X71:Y71" si="40">Y71*(1+0.03)</f>
        <v>1590.2891</v>
      </c>
      <c r="Y71" s="183">
        <f t="shared" si="40"/>
        <v>1543.97</v>
      </c>
      <c r="Z71" s="179">
        <f>VLOOKUP(C71,'Amazon Live Products'!E:AF,28,0)</f>
        <v>1499</v>
      </c>
      <c r="AA71" s="251">
        <v>2799</v>
      </c>
      <c r="AB71" s="43"/>
      <c r="AC71" s="43"/>
      <c r="AD71" s="43"/>
      <c r="AE71" s="43"/>
      <c r="AF71" s="43"/>
      <c r="AG71" s="43"/>
      <c r="AH71" s="43"/>
    </row>
    <row r="72" spans="1:34">
      <c r="A72" s="43">
        <f t="shared" si="15"/>
        <v>71</v>
      </c>
      <c r="B72" s="43"/>
      <c r="C72" s="140" t="s">
        <v>651</v>
      </c>
      <c r="D72" s="140" t="s">
        <v>652</v>
      </c>
      <c r="F72" s="140" t="s">
        <v>653</v>
      </c>
      <c r="G72" s="140" t="s">
        <v>654</v>
      </c>
      <c r="H72" s="244">
        <f>VLOOKUP(C72,'Margin Calculation'!F:Y,20,0)</f>
        <v>695.61449999999991</v>
      </c>
      <c r="I72" s="244">
        <f>VLOOKUP(C72,'Margin Calculation'!F:Z,21,0)</f>
        <v>820.82510999999988</v>
      </c>
      <c r="J72" s="244">
        <f t="shared" si="0"/>
        <v>206.76941000000002</v>
      </c>
      <c r="K72" s="244">
        <f t="shared" si="1"/>
        <v>124.06164600000001</v>
      </c>
      <c r="L72" s="244">
        <f t="shared" si="2"/>
        <v>103.38470500000001</v>
      </c>
      <c r="M72" s="244">
        <f t="shared" si="3"/>
        <v>41.353882000000006</v>
      </c>
      <c r="N72" s="244">
        <f t="shared" si="4"/>
        <v>63</v>
      </c>
      <c r="O72" s="244">
        <f t="shared" si="5"/>
        <v>206.76941000000002</v>
      </c>
      <c r="P72" s="244">
        <f t="shared" si="6"/>
        <v>228.41552800000002</v>
      </c>
      <c r="Q72" s="245">
        <f t="shared" si="7"/>
        <v>0.11046872358923886</v>
      </c>
      <c r="R72" s="244">
        <f t="shared" si="8"/>
        <v>41.041255499999998</v>
      </c>
      <c r="S72" s="244">
        <f t="shared" si="9"/>
        <v>16.416502199999996</v>
      </c>
      <c r="T72" s="244">
        <f t="shared" si="10"/>
        <v>1498.4113107000001</v>
      </c>
      <c r="U72" s="244">
        <f t="shared" si="11"/>
        <v>221.53865357142877</v>
      </c>
      <c r="V72" s="246">
        <f t="shared" si="12"/>
        <v>347.74413572857134</v>
      </c>
      <c r="W72" s="247">
        <f t="shared" si="13"/>
        <v>0.16817968176654918</v>
      </c>
      <c r="X72" s="250">
        <f t="shared" ref="X72:Y72" si="41">Y72*(1+0.03)</f>
        <v>2067.6941000000002</v>
      </c>
      <c r="Y72" s="183">
        <f t="shared" si="41"/>
        <v>2007.47</v>
      </c>
      <c r="Z72" s="179">
        <f>VLOOKUP(C72,'Amazon Live Products'!E:AF,28,0)</f>
        <v>1949</v>
      </c>
      <c r="AA72" s="251">
        <v>3699</v>
      </c>
      <c r="AB72" s="43"/>
      <c r="AC72" s="43"/>
      <c r="AD72" s="43"/>
      <c r="AE72" s="43"/>
      <c r="AF72" s="43"/>
      <c r="AG72" s="43"/>
      <c r="AH72" s="43"/>
    </row>
    <row r="73" spans="1:34">
      <c r="A73" s="43">
        <f t="shared" si="15"/>
        <v>72</v>
      </c>
      <c r="B73" s="43"/>
      <c r="C73" s="140" t="s">
        <v>655</v>
      </c>
      <c r="D73" s="140" t="s">
        <v>656</v>
      </c>
      <c r="F73" s="140" t="s">
        <v>657</v>
      </c>
      <c r="G73" s="140" t="s">
        <v>658</v>
      </c>
      <c r="H73" s="244">
        <f>VLOOKUP(C73,'Margin Calculation'!F:Y,20,0)</f>
        <v>936.09836999999993</v>
      </c>
      <c r="I73" s="244">
        <f>VLOOKUP(C73,'Margin Calculation'!F:Z,21,0)</f>
        <v>1104.5960765999998</v>
      </c>
      <c r="J73" s="244">
        <f t="shared" si="0"/>
        <v>243.90091000000004</v>
      </c>
      <c r="K73" s="244">
        <f t="shared" si="1"/>
        <v>146.34054600000002</v>
      </c>
      <c r="L73" s="244">
        <f t="shared" si="2"/>
        <v>121.95045500000002</v>
      </c>
      <c r="M73" s="244">
        <f t="shared" si="3"/>
        <v>48.780182000000003</v>
      </c>
      <c r="N73" s="244">
        <f t="shared" si="4"/>
        <v>63</v>
      </c>
      <c r="O73" s="244">
        <f t="shared" si="5"/>
        <v>243.90091000000004</v>
      </c>
      <c r="P73" s="244">
        <f t="shared" si="6"/>
        <v>258.12072799999999</v>
      </c>
      <c r="Q73" s="245">
        <f t="shared" si="7"/>
        <v>0.10583016192928511</v>
      </c>
      <c r="R73" s="244">
        <f t="shared" si="8"/>
        <v>55.229803829999994</v>
      </c>
      <c r="S73" s="244">
        <f t="shared" si="9"/>
        <v>22.091921531999997</v>
      </c>
      <c r="T73" s="244">
        <f t="shared" si="10"/>
        <v>1881.2930983619999</v>
      </c>
      <c r="U73" s="244">
        <f t="shared" si="11"/>
        <v>261.32240357142882</v>
      </c>
      <c r="V73" s="246">
        <f t="shared" si="12"/>
        <v>296.39359806657149</v>
      </c>
      <c r="W73" s="247">
        <f t="shared" si="13"/>
        <v>0.12152213702957133</v>
      </c>
      <c r="X73" s="250">
        <f t="shared" ref="X73:Y73" si="42">Y73*(1+0.03)</f>
        <v>2439.0091000000002</v>
      </c>
      <c r="Y73" s="183">
        <f t="shared" si="42"/>
        <v>2367.9700000000003</v>
      </c>
      <c r="Z73" s="179">
        <f>VLOOKUP(C73,'Amazon Live Products'!E:AF,28,0)</f>
        <v>2299</v>
      </c>
      <c r="AA73" s="251">
        <v>4699</v>
      </c>
      <c r="AB73" s="43"/>
      <c r="AC73" s="43"/>
      <c r="AD73" s="43"/>
      <c r="AE73" s="43"/>
      <c r="AF73" s="43"/>
      <c r="AG73" s="43"/>
      <c r="AH73" s="43"/>
    </row>
    <row r="74" spans="1:34">
      <c r="A74" s="43">
        <f t="shared" si="15"/>
        <v>73</v>
      </c>
      <c r="B74" s="43"/>
      <c r="C74" s="140" t="s">
        <v>659</v>
      </c>
      <c r="D74" s="140" t="s">
        <v>660</v>
      </c>
      <c r="F74" s="140" t="s">
        <v>661</v>
      </c>
      <c r="G74" s="140" t="s">
        <v>662</v>
      </c>
      <c r="H74" s="244">
        <f>VLOOKUP(C74,'Margin Calculation'!F:Y,20,0)</f>
        <v>753.73308000000009</v>
      </c>
      <c r="I74" s="244">
        <f>VLOOKUP(C74,'Margin Calculation'!F:Z,21,0)</f>
        <v>889.40503440000009</v>
      </c>
      <c r="J74" s="244">
        <f t="shared" si="0"/>
        <v>212.07391000000004</v>
      </c>
      <c r="K74" s="244">
        <f t="shared" si="1"/>
        <v>127.24434600000001</v>
      </c>
      <c r="L74" s="244">
        <f t="shared" si="2"/>
        <v>106.03695500000002</v>
      </c>
      <c r="M74" s="244">
        <f t="shared" si="3"/>
        <v>42.414782000000002</v>
      </c>
      <c r="N74" s="244">
        <f t="shared" si="4"/>
        <v>63</v>
      </c>
      <c r="O74" s="244">
        <f t="shared" si="5"/>
        <v>212.07391000000004</v>
      </c>
      <c r="P74" s="244">
        <f t="shared" si="6"/>
        <v>232.65912800000001</v>
      </c>
      <c r="Q74" s="245">
        <f t="shared" si="7"/>
        <v>0.10970662444993823</v>
      </c>
      <c r="R74" s="244">
        <f t="shared" si="8"/>
        <v>44.470251720000007</v>
      </c>
      <c r="S74" s="244">
        <f t="shared" si="9"/>
        <v>17.788100688000004</v>
      </c>
      <c r="T74" s="244">
        <f t="shared" si="10"/>
        <v>1578.8353354080004</v>
      </c>
      <c r="U74" s="244">
        <f t="shared" si="11"/>
        <v>227.22204642857173</v>
      </c>
      <c r="V74" s="246">
        <f t="shared" si="12"/>
        <v>314.68171816342806</v>
      </c>
      <c r="W74" s="247">
        <f t="shared" si="13"/>
        <v>0.14838304163082958</v>
      </c>
      <c r="X74" s="250">
        <f t="shared" ref="X74:Y74" si="43">Y74*(1+0.03)</f>
        <v>2120.7391000000002</v>
      </c>
      <c r="Y74" s="183">
        <f t="shared" si="43"/>
        <v>2058.9700000000003</v>
      </c>
      <c r="Z74" s="179">
        <f>VLOOKUP(C74,'Amazon Live Products'!E:AF,28,0)</f>
        <v>1999</v>
      </c>
      <c r="AA74" s="251">
        <v>3999</v>
      </c>
      <c r="AB74" s="43"/>
      <c r="AC74" s="43"/>
      <c r="AD74" s="43"/>
      <c r="AE74" s="43"/>
      <c r="AF74" s="43"/>
      <c r="AG74" s="43"/>
      <c r="AH74" s="43"/>
    </row>
    <row r="75" spans="1:34">
      <c r="A75" s="43">
        <f t="shared" si="15"/>
        <v>74</v>
      </c>
      <c r="B75" s="43"/>
      <c r="C75" s="140" t="s">
        <v>668</v>
      </c>
      <c r="D75" s="140" t="s">
        <v>944</v>
      </c>
      <c r="F75" s="140" t="s">
        <v>670</v>
      </c>
      <c r="G75" s="140" t="s">
        <v>673</v>
      </c>
      <c r="H75" s="244">
        <f>VLOOKUP(C75,'Margin Calculation'!F:Y,20,0)</f>
        <v>582.37919999999997</v>
      </c>
      <c r="I75" s="244">
        <f>VLOOKUP(C75,'Margin Calculation'!F:Z,21,0)</f>
        <v>687.20745599999998</v>
      </c>
      <c r="J75" s="244">
        <f t="shared" si="0"/>
        <v>159.02891</v>
      </c>
      <c r="K75" s="244">
        <f t="shared" si="1"/>
        <v>95.417345999999995</v>
      </c>
      <c r="L75" s="244">
        <f t="shared" si="2"/>
        <v>79.514454999999998</v>
      </c>
      <c r="M75" s="244">
        <f t="shared" si="3"/>
        <v>31.805782000000001</v>
      </c>
      <c r="N75" s="244">
        <f t="shared" si="4"/>
        <v>57</v>
      </c>
      <c r="O75" s="244">
        <f t="shared" si="5"/>
        <v>159.02891</v>
      </c>
      <c r="P75" s="244">
        <f t="shared" si="6"/>
        <v>184.223128</v>
      </c>
      <c r="Q75" s="245">
        <f t="shared" si="7"/>
        <v>0.11584253957346498</v>
      </c>
      <c r="R75" s="244">
        <f t="shared" si="8"/>
        <v>34.3603728</v>
      </c>
      <c r="S75" s="244">
        <f t="shared" si="9"/>
        <v>13.744149119999999</v>
      </c>
      <c r="T75" s="244">
        <f t="shared" si="10"/>
        <v>1212.27912492</v>
      </c>
      <c r="U75" s="244">
        <f t="shared" si="11"/>
        <v>170.38811785714302</v>
      </c>
      <c r="V75" s="246">
        <f t="shared" si="12"/>
        <v>207.62185722285699</v>
      </c>
      <c r="W75" s="247">
        <f t="shared" si="13"/>
        <v>0.13055604620748329</v>
      </c>
      <c r="X75" s="250">
        <f t="shared" ref="X75:Y75" si="44">Y75*(1+0.03)</f>
        <v>1590.2891</v>
      </c>
      <c r="Y75" s="183">
        <f t="shared" si="44"/>
        <v>1543.97</v>
      </c>
      <c r="Z75" s="179">
        <f>VLOOKUP(C75,'Amazon Live Products'!E:AF,28,0)</f>
        <v>1499</v>
      </c>
      <c r="AA75" s="251">
        <v>2699</v>
      </c>
      <c r="AB75" s="43"/>
      <c r="AC75" s="43"/>
      <c r="AD75" s="43"/>
      <c r="AE75" s="43"/>
      <c r="AF75" s="43"/>
      <c r="AG75" s="43"/>
      <c r="AH75" s="43"/>
    </row>
    <row r="76" spans="1:34">
      <c r="A76" s="43">
        <f t="shared" si="15"/>
        <v>75</v>
      </c>
      <c r="B76" s="43"/>
      <c r="C76" s="140" t="s">
        <v>683</v>
      </c>
      <c r="D76" s="140" t="s">
        <v>684</v>
      </c>
      <c r="F76" s="140" t="s">
        <v>685</v>
      </c>
      <c r="G76" s="140" t="s">
        <v>687</v>
      </c>
      <c r="H76" s="244">
        <f>VLOOKUP(C76,'Margin Calculation'!F:Y,20,0)</f>
        <v>811.97099999999989</v>
      </c>
      <c r="I76" s="244">
        <f>VLOOKUP(C76,'Margin Calculation'!F:Z,21,0)</f>
        <v>958.12577999999985</v>
      </c>
      <c r="J76" s="244">
        <f t="shared" si="0"/>
        <v>180.24691000000001</v>
      </c>
      <c r="K76" s="244">
        <f t="shared" si="1"/>
        <v>108.148146</v>
      </c>
      <c r="L76" s="244">
        <f t="shared" si="2"/>
        <v>90.123455000000007</v>
      </c>
      <c r="M76" s="244">
        <f t="shared" si="3"/>
        <v>36.049382000000001</v>
      </c>
      <c r="N76" s="244">
        <f t="shared" si="4"/>
        <v>57</v>
      </c>
      <c r="O76" s="244">
        <f t="shared" si="5"/>
        <v>180.24691000000001</v>
      </c>
      <c r="P76" s="244">
        <f t="shared" si="6"/>
        <v>201.19752800000001</v>
      </c>
      <c r="Q76" s="245">
        <f t="shared" si="7"/>
        <v>0.11162328829936669</v>
      </c>
      <c r="R76" s="244">
        <f t="shared" si="8"/>
        <v>47.906288999999994</v>
      </c>
      <c r="S76" s="244">
        <f t="shared" si="9"/>
        <v>19.162515599999999</v>
      </c>
      <c r="T76" s="244">
        <f t="shared" si="10"/>
        <v>1530.8546075999998</v>
      </c>
      <c r="U76" s="244">
        <f t="shared" si="11"/>
        <v>193.12168928571441</v>
      </c>
      <c r="V76" s="246">
        <f t="shared" si="12"/>
        <v>78.492803114285834</v>
      </c>
      <c r="W76" s="247">
        <f t="shared" si="13"/>
        <v>4.3547377935236636E-2</v>
      </c>
      <c r="X76" s="250">
        <f t="shared" ref="X76:Y76" si="45">Y76*(1+0.03)</f>
        <v>1802.4691</v>
      </c>
      <c r="Y76" s="183">
        <f t="shared" si="45"/>
        <v>1749.97</v>
      </c>
      <c r="Z76" s="179">
        <f>VLOOKUP(C76,'Amazon Live Products'!E:AF,28,0)</f>
        <v>1699</v>
      </c>
      <c r="AA76" s="251">
        <v>2799</v>
      </c>
      <c r="AB76" s="43"/>
      <c r="AC76" s="43"/>
      <c r="AD76" s="43"/>
      <c r="AE76" s="43"/>
      <c r="AF76" s="43"/>
      <c r="AG76" s="43"/>
      <c r="AH76" s="43"/>
    </row>
    <row r="77" spans="1:34">
      <c r="A77" s="43">
        <f t="shared" si="15"/>
        <v>76</v>
      </c>
      <c r="B77" s="43"/>
      <c r="C77" s="140" t="s">
        <v>688</v>
      </c>
      <c r="D77" s="140" t="s">
        <v>689</v>
      </c>
      <c r="F77" s="140" t="s">
        <v>690</v>
      </c>
      <c r="G77" s="140" t="s">
        <v>691</v>
      </c>
      <c r="H77" s="244">
        <f>VLOOKUP(C77,'Margin Calculation'!F:Y,20,0)</f>
        <v>811.97099999999989</v>
      </c>
      <c r="I77" s="244">
        <f>VLOOKUP(C77,'Margin Calculation'!F:Z,21,0)</f>
        <v>958.12577999999985</v>
      </c>
      <c r="J77" s="244">
        <f t="shared" si="0"/>
        <v>159.02891</v>
      </c>
      <c r="K77" s="244">
        <f t="shared" si="1"/>
        <v>95.417345999999995</v>
      </c>
      <c r="L77" s="244">
        <f t="shared" si="2"/>
        <v>79.514454999999998</v>
      </c>
      <c r="M77" s="244">
        <f t="shared" si="3"/>
        <v>31.805782000000001</v>
      </c>
      <c r="N77" s="244">
        <f t="shared" si="4"/>
        <v>57</v>
      </c>
      <c r="O77" s="244">
        <f t="shared" si="5"/>
        <v>159.02891</v>
      </c>
      <c r="P77" s="244">
        <f t="shared" si="6"/>
        <v>184.223128</v>
      </c>
      <c r="Q77" s="245">
        <f t="shared" si="7"/>
        <v>0.11584253957346498</v>
      </c>
      <c r="R77" s="244">
        <f t="shared" si="8"/>
        <v>47.906288999999994</v>
      </c>
      <c r="S77" s="244">
        <f t="shared" si="9"/>
        <v>19.162515599999999</v>
      </c>
      <c r="T77" s="244">
        <f t="shared" si="10"/>
        <v>1460.8352075999999</v>
      </c>
      <c r="U77" s="244">
        <f t="shared" si="11"/>
        <v>170.38811785714302</v>
      </c>
      <c r="V77" s="246">
        <f t="shared" si="12"/>
        <v>-40.934225457142929</v>
      </c>
      <c r="W77" s="247">
        <f t="shared" si="13"/>
        <v>-2.5740115716785666E-2</v>
      </c>
      <c r="X77" s="250">
        <f t="shared" ref="X77:Y77" si="46">Y77*(1+0.03)</f>
        <v>1590.2891</v>
      </c>
      <c r="Y77" s="183">
        <f t="shared" si="46"/>
        <v>1543.97</v>
      </c>
      <c r="Z77" s="179">
        <f>VLOOKUP(C77,'Amazon Live Products'!E:AF,28,0)</f>
        <v>1499</v>
      </c>
      <c r="AA77" s="251">
        <v>2799</v>
      </c>
      <c r="AB77" s="43"/>
      <c r="AC77" s="43"/>
      <c r="AD77" s="43"/>
      <c r="AE77" s="43"/>
      <c r="AF77" s="43"/>
      <c r="AG77" s="43"/>
      <c r="AH77" s="43"/>
    </row>
    <row r="78" spans="1:34">
      <c r="A78" s="43">
        <f t="shared" si="15"/>
        <v>77</v>
      </c>
      <c r="B78" s="43"/>
      <c r="C78" s="140" t="s">
        <v>704</v>
      </c>
      <c r="D78" s="140" t="s">
        <v>705</v>
      </c>
      <c r="F78" s="140" t="s">
        <v>706</v>
      </c>
      <c r="G78" s="140" t="s">
        <v>708</v>
      </c>
      <c r="H78" s="244">
        <f>VLOOKUP(C78,'Margin Calculation'!F:Y,20,0)</f>
        <v>2239.9199999999996</v>
      </c>
      <c r="I78" s="244">
        <f>VLOOKUP(C78,'Margin Calculation'!F:Z,21,0)</f>
        <v>2643.1055999999994</v>
      </c>
      <c r="J78" s="244">
        <f t="shared" si="0"/>
        <v>615.21591000000012</v>
      </c>
      <c r="K78" s="244">
        <f t="shared" si="1"/>
        <v>369.129546</v>
      </c>
      <c r="L78" s="244">
        <f t="shared" si="2"/>
        <v>307.60795500000006</v>
      </c>
      <c r="M78" s="244">
        <f t="shared" si="3"/>
        <v>123.04318200000002</v>
      </c>
      <c r="N78" s="244">
        <f t="shared" si="4"/>
        <v>63</v>
      </c>
      <c r="O78" s="244">
        <f t="shared" si="5"/>
        <v>615.21591000000012</v>
      </c>
      <c r="P78" s="244">
        <f t="shared" si="6"/>
        <v>555.17272800000001</v>
      </c>
      <c r="Q78" s="245">
        <f t="shared" si="7"/>
        <v>9.0240307341856604E-2</v>
      </c>
      <c r="R78" s="244">
        <f t="shared" si="8"/>
        <v>132.15527999999998</v>
      </c>
      <c r="S78" s="244">
        <f t="shared" si="9"/>
        <v>52.862111999999989</v>
      </c>
      <c r="T78" s="244">
        <f t="shared" si="10"/>
        <v>4518.1498950000005</v>
      </c>
      <c r="U78" s="244">
        <f t="shared" si="11"/>
        <v>659.15990357142891</v>
      </c>
      <c r="V78" s="246">
        <f t="shared" si="12"/>
        <v>974.84930142857138</v>
      </c>
      <c r="W78" s="247">
        <f t="shared" si="13"/>
        <v>0.1584564517241713</v>
      </c>
      <c r="X78" s="250">
        <f t="shared" ref="X78:Y78" si="47">Y78*(1+0.03)</f>
        <v>6152.1591000000008</v>
      </c>
      <c r="Y78" s="183">
        <f t="shared" si="47"/>
        <v>5972.97</v>
      </c>
      <c r="Z78" s="179">
        <f>VLOOKUP(C78,'Amazon Live Products'!E:AF,28,0)</f>
        <v>5799</v>
      </c>
      <c r="AA78" s="251">
        <v>8299</v>
      </c>
      <c r="AB78" s="43"/>
      <c r="AC78" s="43"/>
      <c r="AD78" s="43"/>
      <c r="AE78" s="43"/>
      <c r="AF78" s="43"/>
      <c r="AG78" s="43"/>
      <c r="AH78" s="43"/>
    </row>
    <row r="79" spans="1:34">
      <c r="A79" s="43">
        <f t="shared" si="15"/>
        <v>78</v>
      </c>
      <c r="B79" s="43"/>
      <c r="C79" s="140" t="s">
        <v>712</v>
      </c>
      <c r="D79" s="140" t="s">
        <v>713</v>
      </c>
      <c r="F79" s="140" t="s">
        <v>714</v>
      </c>
      <c r="G79" s="140" t="s">
        <v>716</v>
      </c>
      <c r="H79" s="244">
        <f>VLOOKUP(C79,'Margin Calculation'!F:Y,20,0)</f>
        <v>988.92468000000008</v>
      </c>
      <c r="I79" s="244">
        <f>VLOOKUP(C79,'Margin Calculation'!F:Z,21,0)</f>
        <v>1166.9311224</v>
      </c>
      <c r="J79" s="244">
        <f t="shared" si="0"/>
        <v>243.90091000000004</v>
      </c>
      <c r="K79" s="244">
        <f t="shared" si="1"/>
        <v>146.34054600000002</v>
      </c>
      <c r="L79" s="244">
        <f t="shared" si="2"/>
        <v>121.95045500000002</v>
      </c>
      <c r="M79" s="244">
        <f t="shared" si="3"/>
        <v>48.780182000000003</v>
      </c>
      <c r="N79" s="244">
        <f t="shared" si="4"/>
        <v>63</v>
      </c>
      <c r="O79" s="244">
        <f t="shared" si="5"/>
        <v>243.90091000000004</v>
      </c>
      <c r="P79" s="244">
        <f t="shared" si="6"/>
        <v>258.12072799999999</v>
      </c>
      <c r="Q79" s="245">
        <f t="shared" si="7"/>
        <v>0.10583016192928511</v>
      </c>
      <c r="R79" s="244">
        <f t="shared" si="8"/>
        <v>58.346556120000002</v>
      </c>
      <c r="S79" s="244">
        <f t="shared" si="9"/>
        <v>23.338622448000002</v>
      </c>
      <c r="T79" s="244">
        <f t="shared" si="10"/>
        <v>1938.4828615680003</v>
      </c>
      <c r="U79" s="244">
        <f t="shared" si="11"/>
        <v>261.32240357142882</v>
      </c>
      <c r="V79" s="246">
        <f t="shared" si="12"/>
        <v>239.20383486057108</v>
      </c>
      <c r="W79" s="247">
        <f t="shared" si="13"/>
        <v>9.8074187119913184E-2</v>
      </c>
      <c r="X79" s="250">
        <f t="shared" ref="X79:Y79" si="48">Y79*(1+0.03)</f>
        <v>2439.0091000000002</v>
      </c>
      <c r="Y79" s="183">
        <f t="shared" si="48"/>
        <v>2367.9700000000003</v>
      </c>
      <c r="Z79" s="179">
        <f>VLOOKUP(C79,'Amazon Live Products'!E:AF,28,0)</f>
        <v>2299</v>
      </c>
      <c r="AA79" s="251">
        <v>4499</v>
      </c>
      <c r="AB79" s="43"/>
      <c r="AC79" s="43"/>
      <c r="AD79" s="43"/>
      <c r="AE79" s="43"/>
      <c r="AF79" s="43"/>
      <c r="AG79" s="43"/>
      <c r="AH79" s="43"/>
    </row>
    <row r="80" spans="1:34">
      <c r="A80" s="43">
        <f t="shared" si="15"/>
        <v>79</v>
      </c>
      <c r="B80" s="43"/>
      <c r="C80" s="140" t="s">
        <v>717</v>
      </c>
      <c r="D80" s="140" t="s">
        <v>718</v>
      </c>
      <c r="F80" s="140" t="s">
        <v>719</v>
      </c>
      <c r="G80" s="140" t="s">
        <v>716</v>
      </c>
      <c r="H80" s="244">
        <f>VLOOKUP(C80,'Margin Calculation'!F:Y,20,0)</f>
        <v>1047.1625999999999</v>
      </c>
      <c r="I80" s="244">
        <f>VLOOKUP(C80,'Margin Calculation'!F:Z,21,0)</f>
        <v>1235.6518679999997</v>
      </c>
      <c r="J80" s="244">
        <f t="shared" si="0"/>
        <v>265.11891000000008</v>
      </c>
      <c r="K80" s="244">
        <f t="shared" si="1"/>
        <v>159.07134600000003</v>
      </c>
      <c r="L80" s="244">
        <f t="shared" si="2"/>
        <v>132.55945500000004</v>
      </c>
      <c r="M80" s="244">
        <f t="shared" si="3"/>
        <v>53.023782000000011</v>
      </c>
      <c r="N80" s="244">
        <f t="shared" si="4"/>
        <v>63</v>
      </c>
      <c r="O80" s="244">
        <f t="shared" si="5"/>
        <v>265.11891000000008</v>
      </c>
      <c r="P80" s="244">
        <f t="shared" si="6"/>
        <v>275.09512800000005</v>
      </c>
      <c r="Q80" s="245">
        <f t="shared" si="7"/>
        <v>0.1037629220790022</v>
      </c>
      <c r="R80" s="244">
        <f t="shared" si="8"/>
        <v>61.782593399999989</v>
      </c>
      <c r="S80" s="244">
        <f t="shared" si="9"/>
        <v>24.713037359999994</v>
      </c>
      <c r="T80" s="244">
        <f t="shared" si="10"/>
        <v>2071.55063376</v>
      </c>
      <c r="U80" s="244">
        <f t="shared" si="11"/>
        <v>284.05597500000022</v>
      </c>
      <c r="V80" s="246">
        <f t="shared" si="12"/>
        <v>295.58249124000031</v>
      </c>
      <c r="W80" s="247">
        <f t="shared" si="13"/>
        <v>0.11149053503576951</v>
      </c>
      <c r="X80" s="250">
        <f t="shared" ref="X80:Y80" si="49">Y80*(1+0.03)</f>
        <v>2651.1891000000005</v>
      </c>
      <c r="Y80" s="183">
        <f t="shared" si="49"/>
        <v>2573.9700000000003</v>
      </c>
      <c r="Z80" s="179">
        <f>VLOOKUP(C80,'Amazon Live Products'!E:AF,28,0)</f>
        <v>2499</v>
      </c>
      <c r="AA80" s="251">
        <v>4499</v>
      </c>
      <c r="AB80" s="43"/>
      <c r="AC80" s="43"/>
      <c r="AD80" s="43"/>
      <c r="AE80" s="43"/>
      <c r="AF80" s="43"/>
      <c r="AG80" s="43"/>
      <c r="AH80" s="43"/>
    </row>
    <row r="81" spans="1:34">
      <c r="A81" s="43">
        <f t="shared" si="15"/>
        <v>80</v>
      </c>
      <c r="B81" s="43"/>
      <c r="C81" s="140" t="s">
        <v>740</v>
      </c>
      <c r="D81" s="140" t="s">
        <v>946</v>
      </c>
      <c r="F81" s="140" t="s">
        <v>742</v>
      </c>
      <c r="G81" s="140" t="s">
        <v>743</v>
      </c>
      <c r="H81" s="244">
        <f>VLOOKUP(C81,'Margin Calculation'!F:Y,20,0)</f>
        <v>917.08199999999999</v>
      </c>
      <c r="I81" s="244">
        <f>VLOOKUP(C81,'Margin Calculation'!F:Z,21,0)</f>
        <v>1082.1567599999998</v>
      </c>
      <c r="J81" s="244">
        <f t="shared" si="0"/>
        <v>222.68291000000005</v>
      </c>
      <c r="K81" s="244">
        <f t="shared" si="1"/>
        <v>133.60974600000003</v>
      </c>
      <c r="L81" s="244">
        <f t="shared" si="2"/>
        <v>111.34145500000002</v>
      </c>
      <c r="M81" s="244">
        <f t="shared" si="3"/>
        <v>44.53658200000001</v>
      </c>
      <c r="N81" s="244">
        <f t="shared" si="4"/>
        <v>63</v>
      </c>
      <c r="O81" s="244">
        <f t="shared" si="5"/>
        <v>222.68291000000005</v>
      </c>
      <c r="P81" s="244">
        <f t="shared" si="6"/>
        <v>241.14632800000004</v>
      </c>
      <c r="Q81" s="245">
        <f t="shared" si="7"/>
        <v>0.10829134934512936</v>
      </c>
      <c r="R81" s="244">
        <f t="shared" si="8"/>
        <v>54.107837999999994</v>
      </c>
      <c r="S81" s="244">
        <f t="shared" si="9"/>
        <v>21.643135199999996</v>
      </c>
      <c r="T81" s="244">
        <f t="shared" si="10"/>
        <v>1790.6865762</v>
      </c>
      <c r="U81" s="244">
        <f t="shared" si="11"/>
        <v>238.58883214285743</v>
      </c>
      <c r="V81" s="246">
        <f t="shared" si="12"/>
        <v>197.55369165714296</v>
      </c>
      <c r="W81" s="247">
        <f t="shared" si="13"/>
        <v>8.8715246112574572E-2</v>
      </c>
      <c r="X81" s="250">
        <f t="shared" ref="X81:Y81" si="50">Y81*(1+0.03)</f>
        <v>2226.8291000000004</v>
      </c>
      <c r="Y81" s="183">
        <f t="shared" si="50"/>
        <v>2161.9700000000003</v>
      </c>
      <c r="Z81" s="179">
        <f>VLOOKUP(C81,'Amazon Live Products'!E:AF,28,0)</f>
        <v>2099</v>
      </c>
      <c r="AA81" s="251">
        <v>4999</v>
      </c>
      <c r="AB81" s="43"/>
      <c r="AC81" s="43"/>
      <c r="AD81" s="43"/>
      <c r="AE81" s="43"/>
      <c r="AF81" s="43"/>
      <c r="AG81" s="43"/>
      <c r="AH81" s="43"/>
    </row>
    <row r="82" spans="1:34">
      <c r="A82" s="43">
        <f t="shared" si="15"/>
        <v>81</v>
      </c>
      <c r="B82" s="43"/>
      <c r="C82" s="140" t="s">
        <v>779</v>
      </c>
      <c r="D82" s="140" t="s">
        <v>780</v>
      </c>
      <c r="F82" s="140" t="s">
        <v>781</v>
      </c>
      <c r="G82" s="140" t="s">
        <v>782</v>
      </c>
      <c r="H82" s="244">
        <f>VLOOKUP(C82,'Margin Calculation'!F:Y,20,0)</f>
        <v>754.04520000000002</v>
      </c>
      <c r="I82" s="244">
        <f>VLOOKUP(C82,'Margin Calculation'!F:Z,21,0)</f>
        <v>889.77333599999997</v>
      </c>
      <c r="J82" s="244">
        <f t="shared" si="0"/>
        <v>148.41991000000002</v>
      </c>
      <c r="K82" s="244">
        <f t="shared" si="1"/>
        <v>89.051946000000001</v>
      </c>
      <c r="L82" s="244">
        <f t="shared" si="2"/>
        <v>74.209955000000008</v>
      </c>
      <c r="M82" s="244">
        <f t="shared" si="3"/>
        <v>29.683982</v>
      </c>
      <c r="N82" s="244">
        <f t="shared" si="4"/>
        <v>57</v>
      </c>
      <c r="O82" s="244">
        <f t="shared" si="5"/>
        <v>148.41991000000002</v>
      </c>
      <c r="P82" s="244">
        <f t="shared" si="6"/>
        <v>175.735928</v>
      </c>
      <c r="Q82" s="245">
        <f t="shared" si="7"/>
        <v>0.11840455097971694</v>
      </c>
      <c r="R82" s="244">
        <f t="shared" si="8"/>
        <v>44.488666800000004</v>
      </c>
      <c r="S82" s="244">
        <f t="shared" si="9"/>
        <v>17.79546672</v>
      </c>
      <c r="T82" s="244">
        <f t="shared" si="10"/>
        <v>1363.1150365200001</v>
      </c>
      <c r="U82" s="244">
        <f t="shared" si="11"/>
        <v>159.02133214285732</v>
      </c>
      <c r="V82" s="246">
        <f t="shared" si="12"/>
        <v>-37.937268662857377</v>
      </c>
      <c r="W82" s="247">
        <f t="shared" si="13"/>
        <v>-2.5560767866560072E-2</v>
      </c>
      <c r="X82" s="250">
        <f t="shared" ref="X82:Y82" si="51">Y82*(1+0.03)</f>
        <v>1484.1991</v>
      </c>
      <c r="Y82" s="183">
        <f t="shared" si="51"/>
        <v>1440.97</v>
      </c>
      <c r="Z82" s="179">
        <f>VLOOKUP(C82,'Amazon Live Products'!E:AF,28,0)</f>
        <v>1399</v>
      </c>
      <c r="AA82" s="251">
        <v>3699</v>
      </c>
      <c r="AB82" s="43"/>
      <c r="AC82" s="43"/>
      <c r="AD82" s="43"/>
      <c r="AE82" s="43"/>
      <c r="AF82" s="43"/>
      <c r="AG82" s="43"/>
      <c r="AH82" s="43"/>
    </row>
    <row r="83" spans="1:34">
      <c r="A83" s="43">
        <f t="shared" si="15"/>
        <v>82</v>
      </c>
      <c r="B83" s="43"/>
      <c r="C83" s="140" t="s">
        <v>783</v>
      </c>
      <c r="D83" s="140" t="s">
        <v>784</v>
      </c>
      <c r="F83" s="140" t="s">
        <v>785</v>
      </c>
      <c r="G83" s="140" t="s">
        <v>787</v>
      </c>
      <c r="H83" s="244">
        <f>VLOOKUP(C83,'Margin Calculation'!F:Y,20,0)</f>
        <v>1209.5568000000001</v>
      </c>
      <c r="I83" s="244">
        <f>VLOOKUP(C83,'Margin Calculation'!F:Z,21,0)</f>
        <v>1427.277024</v>
      </c>
      <c r="J83" s="244">
        <f t="shared" si="0"/>
        <v>296.94591000000008</v>
      </c>
      <c r="K83" s="244">
        <f t="shared" si="1"/>
        <v>178.16754600000002</v>
      </c>
      <c r="L83" s="244">
        <f t="shared" si="2"/>
        <v>148.47295500000004</v>
      </c>
      <c r="M83" s="244">
        <f t="shared" si="3"/>
        <v>59.389182000000012</v>
      </c>
      <c r="N83" s="244">
        <f t="shared" si="4"/>
        <v>63</v>
      </c>
      <c r="O83" s="244">
        <f t="shared" si="5"/>
        <v>296.94591000000008</v>
      </c>
      <c r="P83" s="244">
        <f t="shared" si="6"/>
        <v>300.55672800000002</v>
      </c>
      <c r="Q83" s="245">
        <f t="shared" si="7"/>
        <v>0.10121598509304269</v>
      </c>
      <c r="R83" s="244">
        <f t="shared" si="8"/>
        <v>71.363851199999999</v>
      </c>
      <c r="S83" s="244">
        <f t="shared" si="9"/>
        <v>28.54554048</v>
      </c>
      <c r="T83" s="244">
        <f t="shared" si="10"/>
        <v>2352.3876946800005</v>
      </c>
      <c r="U83" s="244">
        <f t="shared" si="11"/>
        <v>318.15633214285754</v>
      </c>
      <c r="V83" s="246">
        <f t="shared" si="12"/>
        <v>298.9150731771424</v>
      </c>
      <c r="W83" s="247">
        <f t="shared" si="13"/>
        <v>0.10066313867638128</v>
      </c>
      <c r="X83" s="250">
        <f t="shared" ref="X83:Y83" si="52">Y83*(1+0.03)</f>
        <v>2969.4591000000005</v>
      </c>
      <c r="Y83" s="183">
        <f t="shared" si="52"/>
        <v>2882.9700000000003</v>
      </c>
      <c r="Z83" s="179">
        <f>VLOOKUP(C83,'Amazon Live Products'!E:AF,28,0)</f>
        <v>2799</v>
      </c>
      <c r="AA83" s="251">
        <v>5499</v>
      </c>
      <c r="AB83" s="43"/>
      <c r="AC83" s="43"/>
      <c r="AD83" s="43"/>
      <c r="AE83" s="43"/>
      <c r="AF83" s="43"/>
      <c r="AG83" s="43"/>
      <c r="AH83" s="43"/>
    </row>
    <row r="84" spans="1:34">
      <c r="A84" s="43">
        <f t="shared" si="15"/>
        <v>83</v>
      </c>
      <c r="B84" s="43"/>
      <c r="C84" s="140" t="s">
        <v>788</v>
      </c>
      <c r="D84" s="140" t="s">
        <v>789</v>
      </c>
      <c r="F84" s="140" t="s">
        <v>790</v>
      </c>
      <c r="G84" s="140" t="s">
        <v>791</v>
      </c>
      <c r="H84" s="244">
        <f>VLOOKUP(C84,'Margin Calculation'!F:Y,20,0)</f>
        <v>2855.8980000000001</v>
      </c>
      <c r="I84" s="244">
        <f>VLOOKUP(C84,'Margin Calculation'!F:Z,21,0)</f>
        <v>3369.95964</v>
      </c>
      <c r="J84" s="244">
        <f t="shared" si="0"/>
        <v>636.43391000000008</v>
      </c>
      <c r="K84" s="244">
        <f t="shared" si="1"/>
        <v>381.86034599999999</v>
      </c>
      <c r="L84" s="244">
        <f t="shared" si="2"/>
        <v>318.21695500000004</v>
      </c>
      <c r="M84" s="244">
        <f t="shared" si="3"/>
        <v>127.286782</v>
      </c>
      <c r="N84" s="244">
        <f t="shared" si="4"/>
        <v>63</v>
      </c>
      <c r="O84" s="244">
        <f t="shared" si="5"/>
        <v>636.43391000000008</v>
      </c>
      <c r="P84" s="244">
        <f t="shared" si="6"/>
        <v>572.14712800000007</v>
      </c>
      <c r="Q84" s="245">
        <f t="shared" si="7"/>
        <v>8.9898906863715045E-2</v>
      </c>
      <c r="R84" s="244">
        <f t="shared" si="8"/>
        <v>168.49798200000001</v>
      </c>
      <c r="S84" s="244">
        <f t="shared" si="9"/>
        <v>67.399192800000009</v>
      </c>
      <c r="T84" s="244">
        <f t="shared" si="10"/>
        <v>5255.0270777999995</v>
      </c>
      <c r="U84" s="244">
        <f t="shared" si="11"/>
        <v>681.89347500000076</v>
      </c>
      <c r="V84" s="246">
        <f t="shared" si="12"/>
        <v>427.41854719999992</v>
      </c>
      <c r="W84" s="247">
        <f t="shared" si="13"/>
        <v>6.7158355405669681E-2</v>
      </c>
      <c r="X84" s="250">
        <f t="shared" ref="X84:Y84" si="53">Y84*(1+0.03)</f>
        <v>6364.3391000000001</v>
      </c>
      <c r="Y84" s="183">
        <f t="shared" si="53"/>
        <v>6178.97</v>
      </c>
      <c r="Z84" s="179">
        <f>VLOOKUP(C84,'Amazon Live Products'!E:AF,28,0)</f>
        <v>5999</v>
      </c>
      <c r="AA84" s="251">
        <v>10999</v>
      </c>
      <c r="AB84" s="43"/>
      <c r="AC84" s="43"/>
      <c r="AD84" s="43"/>
      <c r="AE84" s="43"/>
      <c r="AF84" s="43"/>
      <c r="AG84" s="43"/>
      <c r="AH84" s="43"/>
    </row>
    <row r="85" spans="1:34">
      <c r="A85" s="43">
        <f t="shared" si="15"/>
        <v>84</v>
      </c>
      <c r="B85" s="43"/>
      <c r="C85" s="140" t="s">
        <v>810</v>
      </c>
      <c r="D85" s="140" t="s">
        <v>811</v>
      </c>
      <c r="F85" s="140" t="s">
        <v>812</v>
      </c>
      <c r="G85" s="140" t="s">
        <v>814</v>
      </c>
      <c r="H85" s="244">
        <f>VLOOKUP(C85,'Margin Calculation'!F:Y,20,0)</f>
        <v>429.92094600000001</v>
      </c>
      <c r="I85" s="244">
        <f>VLOOKUP(C85,'Margin Calculation'!F:Z,21,0)</f>
        <v>481.51145952000007</v>
      </c>
      <c r="J85" s="244">
        <f t="shared" si="0"/>
        <v>116.59291000000002</v>
      </c>
      <c r="K85" s="244">
        <f t="shared" si="1"/>
        <v>69.955746000000005</v>
      </c>
      <c r="L85" s="244">
        <f t="shared" si="2"/>
        <v>58.296455000000009</v>
      </c>
      <c r="M85" s="244">
        <f t="shared" si="3"/>
        <v>23.318582000000003</v>
      </c>
      <c r="N85" s="244">
        <f t="shared" si="4"/>
        <v>57</v>
      </c>
      <c r="O85" s="244">
        <f t="shared" si="5"/>
        <v>116.59291000000002</v>
      </c>
      <c r="P85" s="244">
        <f t="shared" si="6"/>
        <v>150.27432800000003</v>
      </c>
      <c r="Q85" s="245">
        <f t="shared" si="7"/>
        <v>0.12888804988227845</v>
      </c>
      <c r="R85" s="244">
        <f t="shared" si="8"/>
        <v>24.075572976000004</v>
      </c>
      <c r="S85" s="244">
        <f t="shared" si="9"/>
        <v>9.6302291904000015</v>
      </c>
      <c r="T85" s="244">
        <f t="shared" si="10"/>
        <v>905.38335116640008</v>
      </c>
      <c r="U85" s="244">
        <f t="shared" si="11"/>
        <v>124.920975</v>
      </c>
      <c r="V85" s="246">
        <f t="shared" si="12"/>
        <v>135.62477383359999</v>
      </c>
      <c r="W85" s="247">
        <f t="shared" si="13"/>
        <v>0.11632334576227661</v>
      </c>
      <c r="X85" s="250">
        <f t="shared" ref="X85:Y85" si="54">Y85*(1+0.03)</f>
        <v>1165.9291000000001</v>
      </c>
      <c r="Y85" s="183">
        <f t="shared" si="54"/>
        <v>1131.97</v>
      </c>
      <c r="Z85" s="179">
        <f>VLOOKUP(C85,'Amazon Live Products'!E:AF,28,0)</f>
        <v>1099</v>
      </c>
      <c r="AA85" s="251">
        <v>1899</v>
      </c>
      <c r="AB85" s="43"/>
      <c r="AC85" s="43"/>
      <c r="AD85" s="43"/>
      <c r="AE85" s="43"/>
      <c r="AF85" s="43"/>
      <c r="AG85" s="43"/>
      <c r="AH85" s="43"/>
    </row>
    <row r="86" spans="1:34">
      <c r="A86" s="43">
        <f t="shared" si="15"/>
        <v>85</v>
      </c>
      <c r="B86" s="43"/>
      <c r="C86" s="140" t="s">
        <v>815</v>
      </c>
      <c r="D86" s="140" t="s">
        <v>816</v>
      </c>
      <c r="F86" s="140" t="s">
        <v>817</v>
      </c>
      <c r="G86" s="140" t="s">
        <v>818</v>
      </c>
      <c r="H86" s="244">
        <f>VLOOKUP(C86,'Margin Calculation'!F:Y,20,0)</f>
        <v>429.92094600000001</v>
      </c>
      <c r="I86" s="244">
        <f>VLOOKUP(C86,'Margin Calculation'!F:Z,21,0)</f>
        <v>481.51145952000007</v>
      </c>
      <c r="J86" s="244">
        <f t="shared" si="0"/>
        <v>116.59291000000002</v>
      </c>
      <c r="K86" s="244">
        <f t="shared" si="1"/>
        <v>69.955746000000005</v>
      </c>
      <c r="L86" s="244">
        <f t="shared" si="2"/>
        <v>58.296455000000009</v>
      </c>
      <c r="M86" s="244">
        <f t="shared" si="3"/>
        <v>23.318582000000003</v>
      </c>
      <c r="N86" s="244">
        <f t="shared" si="4"/>
        <v>57</v>
      </c>
      <c r="O86" s="244">
        <f t="shared" si="5"/>
        <v>116.59291000000002</v>
      </c>
      <c r="P86" s="244">
        <f t="shared" si="6"/>
        <v>150.27432800000003</v>
      </c>
      <c r="Q86" s="245">
        <f t="shared" si="7"/>
        <v>0.12888804988227845</v>
      </c>
      <c r="R86" s="244">
        <f t="shared" si="8"/>
        <v>24.075572976000004</v>
      </c>
      <c r="S86" s="244">
        <f t="shared" si="9"/>
        <v>9.6302291904000015</v>
      </c>
      <c r="T86" s="244">
        <f t="shared" si="10"/>
        <v>905.38335116640008</v>
      </c>
      <c r="U86" s="244">
        <f t="shared" si="11"/>
        <v>124.920975</v>
      </c>
      <c r="V86" s="246">
        <f t="shared" si="12"/>
        <v>135.62477383359999</v>
      </c>
      <c r="W86" s="247">
        <f t="shared" si="13"/>
        <v>0.11632334576227661</v>
      </c>
      <c r="X86" s="250">
        <f t="shared" ref="X86:Y86" si="55">Y86*(1+0.03)</f>
        <v>1165.9291000000001</v>
      </c>
      <c r="Y86" s="183">
        <f t="shared" si="55"/>
        <v>1131.97</v>
      </c>
      <c r="Z86" s="179">
        <f>VLOOKUP(C86,'Amazon Live Products'!E:AF,28,0)</f>
        <v>1099</v>
      </c>
      <c r="AA86" s="251">
        <v>1899</v>
      </c>
      <c r="AB86" s="43"/>
      <c r="AC86" s="43"/>
      <c r="AD86" s="43"/>
      <c r="AE86" s="43"/>
      <c r="AF86" s="43"/>
      <c r="AG86" s="43"/>
      <c r="AH86" s="43"/>
    </row>
    <row r="87" spans="1:34">
      <c r="A87" s="43">
        <f t="shared" si="15"/>
        <v>86</v>
      </c>
      <c r="B87" s="43"/>
      <c r="C87" s="140" t="s">
        <v>819</v>
      </c>
      <c r="D87" s="140" t="s">
        <v>820</v>
      </c>
      <c r="F87" s="140" t="s">
        <v>821</v>
      </c>
      <c r="G87" s="140" t="s">
        <v>822</v>
      </c>
      <c r="H87" s="244">
        <f>VLOOKUP(C87,'Margin Calculation'!F:Y,20,0)</f>
        <v>8295.4063129764709</v>
      </c>
      <c r="I87" s="244">
        <f>VLOOKUP(C87,'Margin Calculation'!F:Z,21,0)</f>
        <v>9290.8550705336474</v>
      </c>
      <c r="J87" s="244">
        <f t="shared" si="0"/>
        <v>1696.3791000000001</v>
      </c>
      <c r="K87" s="244">
        <f t="shared" si="1"/>
        <v>1017.82746</v>
      </c>
      <c r="L87" s="244">
        <f t="shared" si="2"/>
        <v>848.18955000000005</v>
      </c>
      <c r="M87" s="244">
        <f t="shared" si="3"/>
        <v>339.27582000000001</v>
      </c>
      <c r="N87" s="244">
        <f t="shared" si="4"/>
        <v>63</v>
      </c>
      <c r="O87" s="244">
        <f t="shared" si="5"/>
        <v>1696.3791000000001</v>
      </c>
      <c r="P87" s="244">
        <f t="shared" si="6"/>
        <v>1420.10328</v>
      </c>
      <c r="Q87" s="245">
        <f t="shared" si="7"/>
        <v>8.3713792512534482E-2</v>
      </c>
      <c r="R87" s="244">
        <f t="shared" si="8"/>
        <v>464.54275352668242</v>
      </c>
      <c r="S87" s="244">
        <f t="shared" si="9"/>
        <v>185.81710141067296</v>
      </c>
      <c r="T87" s="244">
        <f t="shared" si="10"/>
        <v>14606.817197913828</v>
      </c>
      <c r="U87" s="244">
        <f t="shared" si="11"/>
        <v>1817.549035714288</v>
      </c>
      <c r="V87" s="246">
        <f t="shared" si="12"/>
        <v>539.4247663718852</v>
      </c>
      <c r="W87" s="247">
        <f t="shared" si="13"/>
        <v>3.1798597752818646E-2</v>
      </c>
      <c r="X87" s="250">
        <f t="shared" ref="X87:Y87" si="56">Y87*(1+0.03)</f>
        <v>16963.791000000001</v>
      </c>
      <c r="Y87" s="183">
        <f t="shared" si="56"/>
        <v>16469.7</v>
      </c>
      <c r="Z87" s="179">
        <f>VLOOKUP(C87,'Amazon Live Products'!E:AF,28,0)</f>
        <v>15990</v>
      </c>
      <c r="AA87" s="251">
        <v>29999</v>
      </c>
      <c r="AB87" s="43"/>
      <c r="AC87" s="43"/>
      <c r="AD87" s="43"/>
      <c r="AE87" s="43"/>
      <c r="AF87" s="43"/>
      <c r="AG87" s="43"/>
      <c r="AH87" s="43"/>
    </row>
    <row r="88" spans="1:34">
      <c r="A88" s="43">
        <f t="shared" si="15"/>
        <v>87</v>
      </c>
      <c r="B88" s="43"/>
      <c r="C88" s="140" t="s">
        <v>827</v>
      </c>
      <c r="D88" s="140" t="s">
        <v>828</v>
      </c>
      <c r="F88" s="140" t="s">
        <v>829</v>
      </c>
      <c r="G88" s="140" t="s">
        <v>830</v>
      </c>
      <c r="H88" s="244">
        <f>VLOOKUP(C88,'Margin Calculation'!F:Y,20,0)</f>
        <v>674.89533656470587</v>
      </c>
      <c r="I88" s="244">
        <f>VLOOKUP(C88,'Margin Calculation'!F:Z,21,0)</f>
        <v>755.88277695247064</v>
      </c>
      <c r="J88" s="244">
        <f t="shared" si="0"/>
        <v>196.16041000000001</v>
      </c>
      <c r="K88" s="244">
        <f t="shared" si="1"/>
        <v>117.696246</v>
      </c>
      <c r="L88" s="244">
        <f t="shared" si="2"/>
        <v>98.080205000000007</v>
      </c>
      <c r="M88" s="244">
        <f t="shared" si="3"/>
        <v>39.232081999999998</v>
      </c>
      <c r="N88" s="244">
        <f t="shared" si="4"/>
        <v>57</v>
      </c>
      <c r="O88" s="244">
        <f t="shared" si="5"/>
        <v>196.16041000000001</v>
      </c>
      <c r="P88" s="244">
        <f t="shared" si="6"/>
        <v>213.92832799999999</v>
      </c>
      <c r="Q88" s="245">
        <f t="shared" si="7"/>
        <v>0.10905785117394483</v>
      </c>
      <c r="R88" s="244">
        <f t="shared" si="8"/>
        <v>37.794138847623536</v>
      </c>
      <c r="S88" s="244">
        <f t="shared" si="9"/>
        <v>15.117655539049412</v>
      </c>
      <c r="T88" s="244">
        <f t="shared" si="10"/>
        <v>1432.1364839513788</v>
      </c>
      <c r="U88" s="244">
        <f t="shared" si="11"/>
        <v>210.17186785714307</v>
      </c>
      <c r="V88" s="246">
        <f t="shared" si="12"/>
        <v>319.2957481914782</v>
      </c>
      <c r="W88" s="247">
        <f t="shared" si="13"/>
        <v>0.16277277774423402</v>
      </c>
      <c r="X88" s="250">
        <f t="shared" ref="X88:Y88" si="57">Y88*(1+0.03)</f>
        <v>1961.6041</v>
      </c>
      <c r="Y88" s="183">
        <f t="shared" si="57"/>
        <v>1904.47</v>
      </c>
      <c r="Z88" s="179">
        <f>VLOOKUP(C88,'Amazon Live Products'!E:AF,28,0)</f>
        <v>1849</v>
      </c>
      <c r="AA88" s="251">
        <v>3599</v>
      </c>
      <c r="AB88" s="43"/>
      <c r="AC88" s="43"/>
      <c r="AD88" s="43"/>
      <c r="AE88" s="43"/>
      <c r="AF88" s="43"/>
      <c r="AG88" s="43"/>
      <c r="AH88" s="43"/>
    </row>
    <row r="89" spans="1:34">
      <c r="A89" s="43">
        <f t="shared" si="15"/>
        <v>88</v>
      </c>
      <c r="B89" s="43"/>
      <c r="C89" s="140" t="s">
        <v>831</v>
      </c>
      <c r="D89" s="140" t="s">
        <v>832</v>
      </c>
      <c r="F89" s="140" t="s">
        <v>833</v>
      </c>
      <c r="G89" s="140" t="s">
        <v>834</v>
      </c>
      <c r="H89" s="244">
        <f>VLOOKUP(C89,'Margin Calculation'!F:Y,20,0)</f>
        <v>674.89533656470587</v>
      </c>
      <c r="I89" s="244">
        <f>VLOOKUP(C89,'Margin Calculation'!F:Z,21,0)</f>
        <v>755.88277695247064</v>
      </c>
      <c r="J89" s="244">
        <f t="shared" si="0"/>
        <v>190.85591000000002</v>
      </c>
      <c r="K89" s="244">
        <f t="shared" si="1"/>
        <v>114.51354600000001</v>
      </c>
      <c r="L89" s="244">
        <f t="shared" si="2"/>
        <v>95.427955000000011</v>
      </c>
      <c r="M89" s="244">
        <f t="shared" si="3"/>
        <v>38.171182000000002</v>
      </c>
      <c r="N89" s="244">
        <f t="shared" si="4"/>
        <v>57</v>
      </c>
      <c r="O89" s="244">
        <f t="shared" si="5"/>
        <v>190.85591000000002</v>
      </c>
      <c r="P89" s="244">
        <f t="shared" si="6"/>
        <v>209.68472800000001</v>
      </c>
      <c r="Q89" s="245">
        <f t="shared" si="7"/>
        <v>0.10986546237944635</v>
      </c>
      <c r="R89" s="244">
        <f t="shared" si="8"/>
        <v>37.794138847623536</v>
      </c>
      <c r="S89" s="244">
        <f t="shared" si="9"/>
        <v>15.117655539049412</v>
      </c>
      <c r="T89" s="244">
        <f t="shared" si="10"/>
        <v>1414.6316339513789</v>
      </c>
      <c r="U89" s="244">
        <f t="shared" si="11"/>
        <v>204.48847500000011</v>
      </c>
      <c r="V89" s="246">
        <f t="shared" si="12"/>
        <v>289.43899104862112</v>
      </c>
      <c r="W89" s="247">
        <f t="shared" si="13"/>
        <v>0.15165314558434217</v>
      </c>
      <c r="X89" s="250">
        <f t="shared" ref="X89:Y89" si="58">Y89*(1+0.03)</f>
        <v>1908.5591000000002</v>
      </c>
      <c r="Y89" s="183">
        <f t="shared" si="58"/>
        <v>1852.97</v>
      </c>
      <c r="Z89" s="179">
        <f>VLOOKUP(C89,'Amazon Live Products'!E:AF,28,0)</f>
        <v>1799</v>
      </c>
      <c r="AA89" s="251">
        <v>2899</v>
      </c>
      <c r="AB89" s="43"/>
      <c r="AC89" s="43"/>
      <c r="AD89" s="43"/>
      <c r="AE89" s="43"/>
      <c r="AF89" s="43"/>
      <c r="AG89" s="43"/>
      <c r="AH89" s="43"/>
    </row>
    <row r="90" spans="1:34">
      <c r="A90" s="43">
        <f t="shared" si="15"/>
        <v>89</v>
      </c>
      <c r="B90" s="43"/>
      <c r="C90" s="140" t="s">
        <v>859</v>
      </c>
      <c r="D90" s="140" t="s">
        <v>860</v>
      </c>
      <c r="F90" s="140" t="s">
        <v>861</v>
      </c>
      <c r="G90" s="140" t="s">
        <v>862</v>
      </c>
      <c r="H90" s="244">
        <f>VLOOKUP(C90,'Margin Calculation'!F:Y,20,0)</f>
        <v>1783.2150000000001</v>
      </c>
      <c r="I90" s="244">
        <f>VLOOKUP(C90,'Margin Calculation'!F:Z,21,0)</f>
        <v>2104.1937000000003</v>
      </c>
      <c r="J90" s="244">
        <f t="shared" si="0"/>
        <v>381.81791000000004</v>
      </c>
      <c r="K90" s="244">
        <f t="shared" si="1"/>
        <v>229.090746</v>
      </c>
      <c r="L90" s="244">
        <f t="shared" si="2"/>
        <v>190.90895500000002</v>
      </c>
      <c r="M90" s="244">
        <f t="shared" si="3"/>
        <v>76.363582000000008</v>
      </c>
      <c r="N90" s="244">
        <f t="shared" si="4"/>
        <v>63</v>
      </c>
      <c r="O90" s="244">
        <f t="shared" si="5"/>
        <v>381.81791000000004</v>
      </c>
      <c r="P90" s="244">
        <f t="shared" si="6"/>
        <v>368.45432800000003</v>
      </c>
      <c r="Q90" s="245">
        <f t="shared" si="7"/>
        <v>9.6500011746436937E-2</v>
      </c>
      <c r="R90" s="244">
        <f t="shared" si="8"/>
        <v>105.20968500000002</v>
      </c>
      <c r="S90" s="244">
        <f t="shared" si="9"/>
        <v>42.083874000000009</v>
      </c>
      <c r="T90" s="244">
        <f t="shared" si="10"/>
        <v>3253.507662</v>
      </c>
      <c r="U90" s="244">
        <f t="shared" si="11"/>
        <v>409.09061785714312</v>
      </c>
      <c r="V90" s="246">
        <f t="shared" si="12"/>
        <v>155.58082014285719</v>
      </c>
      <c r="W90" s="247">
        <f t="shared" si="13"/>
        <v>4.0747386664721198E-2</v>
      </c>
      <c r="X90" s="250">
        <f t="shared" ref="X90:Y90" si="59">Y90*(1+0.03)</f>
        <v>3818.1791000000003</v>
      </c>
      <c r="Y90" s="183">
        <f t="shared" si="59"/>
        <v>3706.9700000000003</v>
      </c>
      <c r="Z90" s="179">
        <f>VLOOKUP(C90,'Amazon Live Products'!E:AF,28,0)</f>
        <v>3599</v>
      </c>
      <c r="AA90" s="251">
        <v>6499</v>
      </c>
      <c r="AB90" s="43"/>
      <c r="AC90" s="43"/>
      <c r="AD90" s="43"/>
      <c r="AE90" s="43"/>
      <c r="AF90" s="43"/>
      <c r="AG90" s="43"/>
      <c r="AH90" s="43"/>
    </row>
    <row r="91" spans="1:34">
      <c r="A91" s="43">
        <f t="shared" si="15"/>
        <v>90</v>
      </c>
      <c r="B91" s="43"/>
      <c r="C91" s="140" t="s">
        <v>874</v>
      </c>
      <c r="D91" s="252"/>
      <c r="F91" s="140" t="s">
        <v>876</v>
      </c>
      <c r="G91" s="140" t="s">
        <v>878</v>
      </c>
      <c r="H91" s="244">
        <f>VLOOKUP(C91,'Margin Calculation'!F:Y,20,0)</f>
        <v>275</v>
      </c>
      <c r="I91" s="244">
        <f>VLOOKUP(C91,'Margin Calculation'!F:Z,21,0)</f>
        <v>324.5</v>
      </c>
      <c r="J91" s="244">
        <f t="shared" si="0"/>
        <v>74.156910000000011</v>
      </c>
      <c r="K91" s="244">
        <f t="shared" si="1"/>
        <v>44.494146000000001</v>
      </c>
      <c r="L91" s="244">
        <f t="shared" si="2"/>
        <v>37.078455000000005</v>
      </c>
      <c r="M91" s="244">
        <f t="shared" si="3"/>
        <v>14.831382000000001</v>
      </c>
      <c r="N91" s="244">
        <f t="shared" si="4"/>
        <v>17</v>
      </c>
      <c r="O91" s="244">
        <f t="shared" si="5"/>
        <v>74.156910000000011</v>
      </c>
      <c r="P91" s="244">
        <f t="shared" si="6"/>
        <v>76.325528000000006</v>
      </c>
      <c r="Q91" s="245">
        <f t="shared" si="7"/>
        <v>0.10292436402757342</v>
      </c>
      <c r="R91" s="244">
        <f t="shared" si="8"/>
        <v>16.225000000000001</v>
      </c>
      <c r="S91" s="244">
        <f t="shared" si="9"/>
        <v>6.49</v>
      </c>
      <c r="T91" s="244">
        <f t="shared" si="10"/>
        <v>559.43280300000004</v>
      </c>
      <c r="U91" s="244">
        <f t="shared" si="11"/>
        <v>79.453832142857209</v>
      </c>
      <c r="V91" s="246">
        <f t="shared" si="12"/>
        <v>102.6824648571428</v>
      </c>
      <c r="W91" s="247">
        <f t="shared" si="13"/>
        <v>0.1384664825666857</v>
      </c>
      <c r="X91" s="250">
        <f t="shared" ref="X91:Y91" si="60">Y91*(1+0.03)</f>
        <v>741.56910000000005</v>
      </c>
      <c r="Y91" s="183">
        <f t="shared" si="60"/>
        <v>719.97</v>
      </c>
      <c r="Z91" s="179">
        <f>VLOOKUP(C91,'Amazon Live Products'!E:AF,28,0)</f>
        <v>699</v>
      </c>
      <c r="AA91" s="251">
        <v>1499</v>
      </c>
      <c r="AB91" s="43"/>
      <c r="AC91" s="43"/>
      <c r="AD91" s="43"/>
      <c r="AE91" s="43"/>
      <c r="AF91" s="43"/>
      <c r="AG91" s="43"/>
      <c r="AH91" s="43"/>
    </row>
    <row r="92" spans="1:34">
      <c r="A92" s="43"/>
      <c r="B92" s="43"/>
      <c r="C92" s="43"/>
      <c r="D92" s="43"/>
      <c r="E92" s="43"/>
      <c r="F92" s="43"/>
      <c r="G92" s="43"/>
      <c r="H92" s="244"/>
      <c r="I92" s="244"/>
      <c r="J92" s="244"/>
      <c r="K92" s="244"/>
      <c r="L92" s="244"/>
      <c r="M92" s="244"/>
      <c r="N92" s="244"/>
      <c r="O92" s="244"/>
      <c r="P92" s="244"/>
      <c r="Q92" s="245"/>
      <c r="R92" s="244"/>
      <c r="S92" s="244"/>
      <c r="T92" s="244"/>
      <c r="U92" s="244"/>
      <c r="V92" s="244"/>
      <c r="W92" s="245"/>
      <c r="X92" s="253"/>
      <c r="Y92" s="253"/>
      <c r="Z92" s="244"/>
      <c r="AA92" s="244"/>
      <c r="AB92" s="43"/>
      <c r="AC92" s="43"/>
      <c r="AD92" s="43"/>
      <c r="AE92" s="43"/>
      <c r="AF92" s="43"/>
      <c r="AG92" s="43"/>
      <c r="AH92" s="43"/>
    </row>
    <row r="93" spans="1:34">
      <c r="A93" s="43"/>
      <c r="B93" s="43"/>
      <c r="C93" s="43"/>
      <c r="D93" s="43"/>
      <c r="E93" s="43"/>
      <c r="F93" s="43"/>
      <c r="G93" s="43"/>
      <c r="H93" s="244"/>
      <c r="I93" s="244"/>
      <c r="J93" s="244"/>
      <c r="K93" s="244"/>
      <c r="L93" s="244"/>
      <c r="M93" s="244"/>
      <c r="N93" s="244"/>
      <c r="O93" s="244"/>
      <c r="P93" s="244"/>
      <c r="Q93" s="245"/>
      <c r="R93" s="244"/>
      <c r="S93" s="244"/>
      <c r="T93" s="244"/>
      <c r="U93" s="244"/>
      <c r="V93" s="244"/>
      <c r="W93" s="245"/>
      <c r="X93" s="253"/>
      <c r="Y93" s="253"/>
      <c r="Z93" s="244"/>
      <c r="AA93" s="244"/>
      <c r="AB93" s="43"/>
      <c r="AC93" s="43"/>
      <c r="AD93" s="43"/>
      <c r="AE93" s="43"/>
      <c r="AF93" s="43"/>
      <c r="AG93" s="43"/>
      <c r="AH93" s="43"/>
    </row>
    <row r="94" spans="1:34">
      <c r="A94" s="43"/>
      <c r="B94" s="43"/>
      <c r="C94" s="43"/>
      <c r="D94" s="43"/>
      <c r="E94" s="43"/>
      <c r="F94" s="43"/>
      <c r="G94" s="43"/>
      <c r="H94" s="244"/>
      <c r="I94" s="244"/>
      <c r="J94" s="244"/>
      <c r="K94" s="244"/>
      <c r="L94" s="244"/>
      <c r="M94" s="244"/>
      <c r="N94" s="244"/>
      <c r="O94" s="244"/>
      <c r="P94" s="244"/>
      <c r="Q94" s="245"/>
      <c r="R94" s="244"/>
      <c r="S94" s="244"/>
      <c r="T94" s="244"/>
      <c r="U94" s="244"/>
      <c r="V94" s="244"/>
      <c r="W94" s="245"/>
      <c r="X94" s="253"/>
      <c r="Y94" s="253"/>
      <c r="Z94" s="244"/>
      <c r="AA94" s="244"/>
      <c r="AB94" s="43"/>
      <c r="AC94" s="43"/>
      <c r="AD94" s="43"/>
      <c r="AE94" s="43"/>
      <c r="AF94" s="43"/>
      <c r="AG94" s="43"/>
      <c r="AH94" s="43"/>
    </row>
    <row r="95" spans="1:34">
      <c r="A95" s="43"/>
      <c r="B95" s="43"/>
      <c r="C95" s="43"/>
      <c r="D95" s="43"/>
      <c r="E95" s="43"/>
      <c r="F95" s="43"/>
      <c r="G95" s="43"/>
      <c r="H95" s="244"/>
      <c r="I95" s="244"/>
      <c r="J95" s="244"/>
      <c r="K95" s="244"/>
      <c r="L95" s="244"/>
      <c r="M95" s="244"/>
      <c r="N95" s="244"/>
      <c r="O95" s="244"/>
      <c r="P95" s="244"/>
      <c r="Q95" s="245"/>
      <c r="R95" s="244"/>
      <c r="S95" s="244"/>
      <c r="T95" s="244"/>
      <c r="U95" s="244"/>
      <c r="V95" s="244"/>
      <c r="W95" s="245"/>
      <c r="X95" s="253"/>
      <c r="Y95" s="253"/>
      <c r="Z95" s="244"/>
      <c r="AA95" s="244"/>
      <c r="AB95" s="43"/>
      <c r="AC95" s="43"/>
      <c r="AD95" s="43"/>
      <c r="AE95" s="43"/>
      <c r="AF95" s="43"/>
      <c r="AG95" s="43"/>
      <c r="AH95" s="43"/>
    </row>
    <row r="96" spans="1:34">
      <c r="A96" s="43"/>
      <c r="B96" s="43"/>
      <c r="C96" s="43"/>
      <c r="D96" s="43"/>
      <c r="E96" s="43"/>
      <c r="F96" s="43"/>
      <c r="G96" s="43"/>
      <c r="H96" s="244"/>
      <c r="I96" s="244"/>
      <c r="J96" s="244"/>
      <c r="K96" s="244"/>
      <c r="L96" s="244"/>
      <c r="M96" s="244"/>
      <c r="N96" s="244"/>
      <c r="O96" s="244"/>
      <c r="P96" s="244"/>
      <c r="Q96" s="245"/>
      <c r="R96" s="244"/>
      <c r="S96" s="244"/>
      <c r="T96" s="244"/>
      <c r="U96" s="244"/>
      <c r="V96" s="244"/>
      <c r="W96" s="245"/>
      <c r="X96" s="253"/>
      <c r="Y96" s="253"/>
      <c r="Z96" s="244"/>
      <c r="AA96" s="244"/>
      <c r="AB96" s="43"/>
      <c r="AC96" s="43"/>
      <c r="AD96" s="43"/>
      <c r="AE96" s="43"/>
      <c r="AF96" s="43"/>
      <c r="AG96" s="43"/>
      <c r="AH96" s="43"/>
    </row>
    <row r="97" spans="1:34">
      <c r="A97" s="43"/>
      <c r="B97" s="43"/>
      <c r="C97" s="43"/>
      <c r="D97" s="43"/>
      <c r="E97" s="43"/>
      <c r="F97" s="43"/>
      <c r="G97" s="43"/>
      <c r="H97" s="244"/>
      <c r="I97" s="244"/>
      <c r="J97" s="244"/>
      <c r="K97" s="244"/>
      <c r="L97" s="244"/>
      <c r="M97" s="244"/>
      <c r="N97" s="244"/>
      <c r="O97" s="244"/>
      <c r="P97" s="244"/>
      <c r="Q97" s="245"/>
      <c r="R97" s="244"/>
      <c r="S97" s="244"/>
      <c r="T97" s="244"/>
      <c r="U97" s="244"/>
      <c r="V97" s="244"/>
      <c r="W97" s="245"/>
      <c r="X97" s="253"/>
      <c r="Y97" s="253"/>
      <c r="Z97" s="244"/>
      <c r="AA97" s="244"/>
      <c r="AB97" s="43"/>
      <c r="AC97" s="43"/>
      <c r="AD97" s="43"/>
      <c r="AE97" s="43"/>
      <c r="AF97" s="43"/>
      <c r="AG97" s="43"/>
      <c r="AH97" s="43"/>
    </row>
    <row r="98" spans="1:34">
      <c r="A98" s="43"/>
      <c r="B98" s="43"/>
      <c r="C98" s="43"/>
      <c r="D98" s="43"/>
      <c r="E98" s="43"/>
      <c r="F98" s="43"/>
      <c r="G98" s="43"/>
      <c r="H98" s="244"/>
      <c r="I98" s="244"/>
      <c r="J98" s="244"/>
      <c r="K98" s="244"/>
      <c r="L98" s="244"/>
      <c r="M98" s="244"/>
      <c r="N98" s="244"/>
      <c r="O98" s="244"/>
      <c r="P98" s="244"/>
      <c r="Q98" s="245"/>
      <c r="R98" s="244"/>
      <c r="S98" s="244"/>
      <c r="T98" s="244"/>
      <c r="U98" s="244"/>
      <c r="V98" s="244"/>
      <c r="W98" s="245"/>
      <c r="X98" s="253"/>
      <c r="Y98" s="253"/>
      <c r="Z98" s="244"/>
      <c r="AA98" s="244"/>
      <c r="AB98" s="43"/>
      <c r="AC98" s="43"/>
      <c r="AD98" s="43"/>
      <c r="AE98" s="43"/>
      <c r="AF98" s="43"/>
      <c r="AG98" s="43"/>
      <c r="AH98" s="43"/>
    </row>
    <row r="99" spans="1:34">
      <c r="A99" s="43"/>
      <c r="B99" s="43"/>
      <c r="C99" s="43"/>
      <c r="D99" s="43"/>
      <c r="E99" s="43"/>
      <c r="F99" s="43"/>
      <c r="G99" s="43"/>
      <c r="H99" s="244"/>
      <c r="I99" s="244"/>
      <c r="J99" s="244"/>
      <c r="K99" s="244"/>
      <c r="L99" s="244"/>
      <c r="M99" s="244"/>
      <c r="N99" s="244"/>
      <c r="O99" s="244"/>
      <c r="P99" s="244"/>
      <c r="Q99" s="245"/>
      <c r="R99" s="244"/>
      <c r="S99" s="244"/>
      <c r="T99" s="244"/>
      <c r="U99" s="244"/>
      <c r="V99" s="244"/>
      <c r="W99" s="245"/>
      <c r="X99" s="253"/>
      <c r="Y99" s="253"/>
      <c r="Z99" s="244"/>
      <c r="AA99" s="244"/>
      <c r="AB99" s="43"/>
      <c r="AC99" s="43"/>
      <c r="AD99" s="43"/>
      <c r="AE99" s="43"/>
      <c r="AF99" s="43"/>
      <c r="AG99" s="43"/>
      <c r="AH99" s="43"/>
    </row>
    <row r="100" spans="1:34">
      <c r="A100" s="43"/>
      <c r="B100" s="43"/>
      <c r="C100" s="43"/>
      <c r="D100" s="43"/>
      <c r="E100" s="43"/>
      <c r="F100" s="43"/>
      <c r="G100" s="43"/>
      <c r="H100" s="244"/>
      <c r="I100" s="244"/>
      <c r="J100" s="244"/>
      <c r="K100" s="244"/>
      <c r="L100" s="244"/>
      <c r="M100" s="244"/>
      <c r="N100" s="244"/>
      <c r="O100" s="244"/>
      <c r="P100" s="244"/>
      <c r="Q100" s="245"/>
      <c r="R100" s="244"/>
      <c r="S100" s="244"/>
      <c r="T100" s="244"/>
      <c r="U100" s="244"/>
      <c r="V100" s="244"/>
      <c r="W100" s="245"/>
      <c r="X100" s="253"/>
      <c r="Y100" s="253"/>
      <c r="Z100" s="244"/>
      <c r="AA100" s="244"/>
      <c r="AB100" s="43"/>
      <c r="AC100" s="43"/>
      <c r="AD100" s="43"/>
      <c r="AE100" s="43"/>
      <c r="AF100" s="43"/>
      <c r="AG100" s="43"/>
      <c r="AH100" s="43"/>
    </row>
    <row r="101" spans="1:34">
      <c r="A101" s="43"/>
      <c r="B101" s="43"/>
      <c r="C101" s="43"/>
      <c r="D101" s="43"/>
      <c r="E101" s="43"/>
      <c r="F101" s="43"/>
      <c r="G101" s="43"/>
      <c r="H101" s="244"/>
      <c r="I101" s="244"/>
      <c r="J101" s="244"/>
      <c r="K101" s="244"/>
      <c r="L101" s="244"/>
      <c r="M101" s="244"/>
      <c r="N101" s="244"/>
      <c r="O101" s="244"/>
      <c r="P101" s="244"/>
      <c r="Q101" s="245"/>
      <c r="R101" s="244"/>
      <c r="S101" s="244"/>
      <c r="T101" s="244"/>
      <c r="U101" s="244"/>
      <c r="V101" s="244"/>
      <c r="W101" s="245"/>
      <c r="X101" s="253"/>
      <c r="Y101" s="253"/>
      <c r="Z101" s="244"/>
      <c r="AA101" s="244"/>
      <c r="AB101" s="43"/>
      <c r="AC101" s="43"/>
      <c r="AD101" s="43"/>
      <c r="AE101" s="43"/>
      <c r="AF101" s="43"/>
      <c r="AG101" s="43"/>
      <c r="AH101" s="43"/>
    </row>
    <row r="102" spans="1:34">
      <c r="A102" s="43"/>
      <c r="B102" s="43"/>
      <c r="C102" s="43"/>
      <c r="D102" s="43"/>
      <c r="E102" s="43"/>
      <c r="F102" s="43"/>
      <c r="G102" s="43"/>
      <c r="H102" s="244"/>
      <c r="I102" s="244"/>
      <c r="J102" s="244"/>
      <c r="K102" s="244"/>
      <c r="L102" s="244"/>
      <c r="M102" s="244"/>
      <c r="N102" s="244"/>
      <c r="O102" s="244"/>
      <c r="P102" s="244"/>
      <c r="Q102" s="245"/>
      <c r="R102" s="244"/>
      <c r="S102" s="244"/>
      <c r="T102" s="244"/>
      <c r="U102" s="244"/>
      <c r="V102" s="244"/>
      <c r="W102" s="245"/>
      <c r="X102" s="253"/>
      <c r="Y102" s="253"/>
      <c r="Z102" s="244"/>
      <c r="AA102" s="244"/>
      <c r="AB102" s="43"/>
      <c r="AC102" s="43"/>
      <c r="AD102" s="43"/>
      <c r="AE102" s="43"/>
      <c r="AF102" s="43"/>
      <c r="AG102" s="43"/>
      <c r="AH102" s="43"/>
    </row>
    <row r="103" spans="1:34">
      <c r="A103" s="43"/>
      <c r="B103" s="43"/>
      <c r="C103" s="43"/>
      <c r="D103" s="43"/>
      <c r="E103" s="43"/>
      <c r="F103" s="43"/>
      <c r="G103" s="43"/>
      <c r="H103" s="244"/>
      <c r="I103" s="244"/>
      <c r="J103" s="244"/>
      <c r="K103" s="244"/>
      <c r="L103" s="244"/>
      <c r="M103" s="244"/>
      <c r="N103" s="244"/>
      <c r="O103" s="244"/>
      <c r="P103" s="244"/>
      <c r="Q103" s="245"/>
      <c r="R103" s="244"/>
      <c r="S103" s="244"/>
      <c r="T103" s="244"/>
      <c r="U103" s="244"/>
      <c r="V103" s="244"/>
      <c r="W103" s="245"/>
      <c r="X103" s="253"/>
      <c r="Y103" s="253"/>
      <c r="Z103" s="244"/>
      <c r="AA103" s="244"/>
      <c r="AB103" s="43"/>
      <c r="AC103" s="43"/>
      <c r="AD103" s="43"/>
      <c r="AE103" s="43"/>
      <c r="AF103" s="43"/>
      <c r="AG103" s="43"/>
      <c r="AH103" s="43"/>
    </row>
    <row r="104" spans="1:34">
      <c r="A104" s="43"/>
      <c r="B104" s="43"/>
      <c r="C104" s="43"/>
      <c r="D104" s="43"/>
      <c r="E104" s="43"/>
      <c r="F104" s="43"/>
      <c r="G104" s="43"/>
      <c r="H104" s="244"/>
      <c r="I104" s="244"/>
      <c r="J104" s="244"/>
      <c r="K104" s="244"/>
      <c r="L104" s="244"/>
      <c r="M104" s="244"/>
      <c r="N104" s="244"/>
      <c r="O104" s="244"/>
      <c r="P104" s="244"/>
      <c r="Q104" s="245"/>
      <c r="R104" s="244"/>
      <c r="S104" s="244"/>
      <c r="T104" s="244"/>
      <c r="U104" s="244"/>
      <c r="V104" s="244"/>
      <c r="W104" s="245"/>
      <c r="X104" s="253"/>
      <c r="Y104" s="253"/>
      <c r="Z104" s="244"/>
      <c r="AA104" s="244"/>
      <c r="AB104" s="43"/>
      <c r="AC104" s="43"/>
      <c r="AD104" s="43"/>
      <c r="AE104" s="43"/>
      <c r="AF104" s="43"/>
      <c r="AG104" s="43"/>
      <c r="AH104" s="43"/>
    </row>
    <row r="105" spans="1:34">
      <c r="A105" s="43"/>
      <c r="B105" s="43"/>
      <c r="C105" s="43"/>
      <c r="D105" s="43"/>
      <c r="E105" s="43"/>
      <c r="F105" s="43"/>
      <c r="G105" s="43"/>
      <c r="H105" s="244"/>
      <c r="I105" s="244"/>
      <c r="J105" s="244"/>
      <c r="K105" s="244"/>
      <c r="L105" s="244"/>
      <c r="M105" s="244"/>
      <c r="N105" s="244"/>
      <c r="O105" s="244"/>
      <c r="P105" s="244"/>
      <c r="Q105" s="245"/>
      <c r="R105" s="244"/>
      <c r="S105" s="244"/>
      <c r="T105" s="244"/>
      <c r="U105" s="244"/>
      <c r="V105" s="244"/>
      <c r="W105" s="245"/>
      <c r="X105" s="253"/>
      <c r="Y105" s="253"/>
      <c r="Z105" s="244"/>
      <c r="AA105" s="244"/>
      <c r="AB105" s="43"/>
      <c r="AC105" s="43"/>
      <c r="AD105" s="43"/>
      <c r="AE105" s="43"/>
      <c r="AF105" s="43"/>
      <c r="AG105" s="43"/>
      <c r="AH105" s="43"/>
    </row>
    <row r="106" spans="1:34">
      <c r="A106" s="43"/>
      <c r="B106" s="43"/>
      <c r="C106" s="43"/>
      <c r="D106" s="43"/>
      <c r="E106" s="43"/>
      <c r="F106" s="43"/>
      <c r="G106" s="43"/>
      <c r="H106" s="244"/>
      <c r="I106" s="244"/>
      <c r="J106" s="244"/>
      <c r="K106" s="244"/>
      <c r="L106" s="244"/>
      <c r="M106" s="244"/>
      <c r="N106" s="244"/>
      <c r="O106" s="244"/>
      <c r="P106" s="244"/>
      <c r="Q106" s="245"/>
      <c r="R106" s="244"/>
      <c r="S106" s="244"/>
      <c r="T106" s="244"/>
      <c r="U106" s="244"/>
      <c r="V106" s="244"/>
      <c r="W106" s="245"/>
      <c r="X106" s="253"/>
      <c r="Y106" s="253"/>
      <c r="Z106" s="244"/>
      <c r="AA106" s="244"/>
      <c r="AB106" s="43"/>
      <c r="AC106" s="43"/>
      <c r="AD106" s="43"/>
      <c r="AE106" s="43"/>
      <c r="AF106" s="43"/>
      <c r="AG106" s="43"/>
      <c r="AH106" s="43"/>
    </row>
    <row r="107" spans="1:34">
      <c r="A107" s="43"/>
      <c r="B107" s="43"/>
      <c r="C107" s="43"/>
      <c r="D107" s="43"/>
      <c r="E107" s="43"/>
      <c r="F107" s="43"/>
      <c r="G107" s="43"/>
      <c r="H107" s="244"/>
      <c r="I107" s="244"/>
      <c r="J107" s="244"/>
      <c r="K107" s="244"/>
      <c r="L107" s="244"/>
      <c r="M107" s="244"/>
      <c r="N107" s="244"/>
      <c r="O107" s="244"/>
      <c r="P107" s="244"/>
      <c r="Q107" s="245"/>
      <c r="R107" s="244"/>
      <c r="S107" s="244"/>
      <c r="T107" s="244"/>
      <c r="U107" s="244"/>
      <c r="V107" s="244"/>
      <c r="W107" s="245"/>
      <c r="X107" s="253"/>
      <c r="Y107" s="253"/>
      <c r="Z107" s="244"/>
      <c r="AA107" s="244"/>
      <c r="AB107" s="43"/>
      <c r="AC107" s="43"/>
      <c r="AD107" s="43"/>
      <c r="AE107" s="43"/>
      <c r="AF107" s="43"/>
      <c r="AG107" s="43"/>
      <c r="AH107" s="43"/>
    </row>
    <row r="108" spans="1:34">
      <c r="A108" s="43"/>
      <c r="B108" s="43"/>
      <c r="C108" s="43"/>
      <c r="D108" s="43"/>
      <c r="E108" s="43"/>
      <c r="F108" s="43"/>
      <c r="G108" s="43"/>
      <c r="H108" s="244"/>
      <c r="I108" s="244"/>
      <c r="J108" s="244"/>
      <c r="K108" s="244"/>
      <c r="L108" s="244"/>
      <c r="M108" s="244"/>
      <c r="N108" s="244"/>
      <c r="O108" s="244"/>
      <c r="P108" s="244"/>
      <c r="Q108" s="245"/>
      <c r="R108" s="244"/>
      <c r="S108" s="244"/>
      <c r="T108" s="244"/>
      <c r="U108" s="244"/>
      <c r="V108" s="244"/>
      <c r="W108" s="245"/>
      <c r="X108" s="253"/>
      <c r="Y108" s="253"/>
      <c r="Z108" s="244"/>
      <c r="AA108" s="244"/>
      <c r="AB108" s="43"/>
      <c r="AC108" s="43"/>
      <c r="AD108" s="43"/>
      <c r="AE108" s="43"/>
      <c r="AF108" s="43"/>
      <c r="AG108" s="43"/>
      <c r="AH108" s="43"/>
    </row>
    <row r="109" spans="1:34">
      <c r="A109" s="43"/>
      <c r="B109" s="43"/>
      <c r="C109" s="43"/>
      <c r="D109" s="43"/>
      <c r="E109" s="43"/>
      <c r="F109" s="43"/>
      <c r="G109" s="43"/>
      <c r="H109" s="244"/>
      <c r="I109" s="244"/>
      <c r="J109" s="244"/>
      <c r="K109" s="244"/>
      <c r="L109" s="244"/>
      <c r="M109" s="244"/>
      <c r="N109" s="244"/>
      <c r="O109" s="244"/>
      <c r="P109" s="244"/>
      <c r="Q109" s="245"/>
      <c r="R109" s="244"/>
      <c r="S109" s="244"/>
      <c r="T109" s="244"/>
      <c r="U109" s="244"/>
      <c r="V109" s="244"/>
      <c r="W109" s="245"/>
      <c r="X109" s="253"/>
      <c r="Y109" s="253"/>
      <c r="Z109" s="244"/>
      <c r="AA109" s="244"/>
      <c r="AB109" s="43"/>
      <c r="AC109" s="43"/>
      <c r="AD109" s="43"/>
      <c r="AE109" s="43"/>
      <c r="AF109" s="43"/>
      <c r="AG109" s="43"/>
      <c r="AH109" s="43"/>
    </row>
    <row r="110" spans="1:34">
      <c r="A110" s="43"/>
      <c r="B110" s="43"/>
      <c r="C110" s="43"/>
      <c r="D110" s="43"/>
      <c r="E110" s="43"/>
      <c r="F110" s="43"/>
      <c r="G110" s="43"/>
      <c r="H110" s="244"/>
      <c r="I110" s="244"/>
      <c r="J110" s="244"/>
      <c r="K110" s="244"/>
      <c r="L110" s="244"/>
      <c r="M110" s="244"/>
      <c r="N110" s="244"/>
      <c r="O110" s="244"/>
      <c r="P110" s="244"/>
      <c r="Q110" s="245"/>
      <c r="R110" s="244"/>
      <c r="S110" s="244"/>
      <c r="T110" s="244"/>
      <c r="U110" s="244"/>
      <c r="V110" s="244"/>
      <c r="W110" s="245"/>
      <c r="X110" s="253"/>
      <c r="Y110" s="253"/>
      <c r="Z110" s="244"/>
      <c r="AA110" s="244"/>
      <c r="AB110" s="43"/>
      <c r="AC110" s="43"/>
      <c r="AD110" s="43"/>
      <c r="AE110" s="43"/>
      <c r="AF110" s="43"/>
      <c r="AG110" s="43"/>
      <c r="AH110" s="43"/>
    </row>
    <row r="111" spans="1:34">
      <c r="A111" s="43"/>
      <c r="B111" s="43"/>
      <c r="C111" s="43"/>
      <c r="D111" s="43"/>
      <c r="E111" s="43"/>
      <c r="F111" s="43"/>
      <c r="G111" s="43"/>
      <c r="H111" s="244"/>
      <c r="I111" s="244"/>
      <c r="J111" s="244"/>
      <c r="K111" s="244"/>
      <c r="L111" s="244"/>
      <c r="M111" s="244"/>
      <c r="N111" s="244"/>
      <c r="O111" s="244"/>
      <c r="P111" s="244"/>
      <c r="Q111" s="245"/>
      <c r="R111" s="244"/>
      <c r="S111" s="244"/>
      <c r="T111" s="244"/>
      <c r="U111" s="244"/>
      <c r="V111" s="244"/>
      <c r="W111" s="245"/>
      <c r="X111" s="253"/>
      <c r="Y111" s="253"/>
      <c r="Z111" s="244"/>
      <c r="AA111" s="244"/>
      <c r="AB111" s="43"/>
      <c r="AC111" s="43"/>
      <c r="AD111" s="43"/>
      <c r="AE111" s="43"/>
      <c r="AF111" s="43"/>
      <c r="AG111" s="43"/>
      <c r="AH111" s="43"/>
    </row>
    <row r="112" spans="1:34">
      <c r="A112" s="43"/>
      <c r="B112" s="43"/>
      <c r="C112" s="43"/>
      <c r="D112" s="43"/>
      <c r="E112" s="43"/>
      <c r="F112" s="43"/>
      <c r="G112" s="43"/>
      <c r="H112" s="244"/>
      <c r="I112" s="244"/>
      <c r="J112" s="244"/>
      <c r="K112" s="244"/>
      <c r="L112" s="244"/>
      <c r="M112" s="244"/>
      <c r="N112" s="244"/>
      <c r="O112" s="244"/>
      <c r="P112" s="244"/>
      <c r="Q112" s="245"/>
      <c r="R112" s="244"/>
      <c r="S112" s="244"/>
      <c r="T112" s="244"/>
      <c r="U112" s="244"/>
      <c r="V112" s="244"/>
      <c r="W112" s="245"/>
      <c r="X112" s="253"/>
      <c r="Y112" s="253"/>
      <c r="Z112" s="244"/>
      <c r="AA112" s="244"/>
      <c r="AB112" s="43"/>
      <c r="AC112" s="43"/>
      <c r="AD112" s="43"/>
      <c r="AE112" s="43"/>
      <c r="AF112" s="43"/>
      <c r="AG112" s="43"/>
      <c r="AH112" s="43"/>
    </row>
    <row r="113" spans="1:34">
      <c r="A113" s="43"/>
      <c r="B113" s="43"/>
      <c r="C113" s="43"/>
      <c r="D113" s="43"/>
      <c r="E113" s="43"/>
      <c r="F113" s="43"/>
      <c r="G113" s="43"/>
      <c r="H113" s="244"/>
      <c r="I113" s="244"/>
      <c r="J113" s="244"/>
      <c r="K113" s="244"/>
      <c r="L113" s="244"/>
      <c r="M113" s="244"/>
      <c r="N113" s="244"/>
      <c r="O113" s="244"/>
      <c r="P113" s="244"/>
      <c r="Q113" s="245"/>
      <c r="R113" s="244"/>
      <c r="S113" s="244"/>
      <c r="T113" s="244"/>
      <c r="U113" s="244"/>
      <c r="V113" s="244"/>
      <c r="W113" s="245"/>
      <c r="X113" s="253"/>
      <c r="Y113" s="253"/>
      <c r="Z113" s="244"/>
      <c r="AA113" s="244"/>
      <c r="AB113" s="43"/>
      <c r="AC113" s="43"/>
      <c r="AD113" s="43"/>
      <c r="AE113" s="43"/>
      <c r="AF113" s="43"/>
      <c r="AG113" s="43"/>
      <c r="AH113" s="43"/>
    </row>
    <row r="114" spans="1:34">
      <c r="A114" s="43"/>
      <c r="B114" s="43"/>
      <c r="C114" s="43"/>
      <c r="D114" s="43"/>
      <c r="E114" s="43"/>
      <c r="F114" s="43"/>
      <c r="G114" s="43"/>
      <c r="H114" s="244"/>
      <c r="I114" s="244"/>
      <c r="J114" s="244"/>
      <c r="K114" s="244"/>
      <c r="L114" s="244"/>
      <c r="M114" s="244"/>
      <c r="N114" s="244"/>
      <c r="O114" s="244"/>
      <c r="P114" s="244"/>
      <c r="Q114" s="245"/>
      <c r="R114" s="244"/>
      <c r="S114" s="244"/>
      <c r="T114" s="244"/>
      <c r="U114" s="244"/>
      <c r="V114" s="244"/>
      <c r="W114" s="245"/>
      <c r="X114" s="253"/>
      <c r="Y114" s="253"/>
      <c r="Z114" s="244"/>
      <c r="AA114" s="244"/>
      <c r="AB114" s="43"/>
      <c r="AC114" s="43"/>
      <c r="AD114" s="43"/>
      <c r="AE114" s="43"/>
      <c r="AF114" s="43"/>
      <c r="AG114" s="43"/>
      <c r="AH114" s="43"/>
    </row>
    <row r="115" spans="1:34">
      <c r="A115" s="43"/>
      <c r="B115" s="43"/>
      <c r="C115" s="43"/>
      <c r="D115" s="43"/>
      <c r="E115" s="43"/>
      <c r="F115" s="43"/>
      <c r="G115" s="43"/>
      <c r="H115" s="244"/>
      <c r="I115" s="244"/>
      <c r="J115" s="244"/>
      <c r="K115" s="244"/>
      <c r="L115" s="244"/>
      <c r="M115" s="244"/>
      <c r="N115" s="244"/>
      <c r="O115" s="244"/>
      <c r="P115" s="244"/>
      <c r="Q115" s="245"/>
      <c r="R115" s="244"/>
      <c r="S115" s="244"/>
      <c r="T115" s="244"/>
      <c r="U115" s="244"/>
      <c r="V115" s="244"/>
      <c r="W115" s="245"/>
      <c r="X115" s="253"/>
      <c r="Y115" s="253"/>
      <c r="Z115" s="244"/>
      <c r="AA115" s="244"/>
      <c r="AB115" s="43"/>
      <c r="AC115" s="43"/>
      <c r="AD115" s="43"/>
      <c r="AE115" s="43"/>
      <c r="AF115" s="43"/>
      <c r="AG115" s="43"/>
      <c r="AH115" s="43"/>
    </row>
    <row r="116" spans="1:34">
      <c r="A116" s="43"/>
      <c r="B116" s="43"/>
      <c r="C116" s="43"/>
      <c r="D116" s="43"/>
      <c r="E116" s="43"/>
      <c r="F116" s="43"/>
      <c r="G116" s="43"/>
      <c r="H116" s="244"/>
      <c r="I116" s="244"/>
      <c r="J116" s="244"/>
      <c r="K116" s="244"/>
      <c r="L116" s="244"/>
      <c r="M116" s="244"/>
      <c r="N116" s="244"/>
      <c r="O116" s="244"/>
      <c r="P116" s="244"/>
      <c r="Q116" s="245"/>
      <c r="R116" s="244"/>
      <c r="S116" s="244"/>
      <c r="T116" s="244"/>
      <c r="U116" s="244"/>
      <c r="V116" s="244"/>
      <c r="W116" s="245"/>
      <c r="X116" s="253"/>
      <c r="Y116" s="253"/>
      <c r="Z116" s="244"/>
      <c r="AA116" s="244"/>
      <c r="AB116" s="43"/>
      <c r="AC116" s="43"/>
      <c r="AD116" s="43"/>
      <c r="AE116" s="43"/>
      <c r="AF116" s="43"/>
      <c r="AG116" s="43"/>
      <c r="AH116" s="43"/>
    </row>
    <row r="117" spans="1:34">
      <c r="A117" s="43"/>
      <c r="B117" s="43"/>
      <c r="C117" s="43"/>
      <c r="D117" s="43"/>
      <c r="E117" s="43"/>
      <c r="F117" s="43"/>
      <c r="G117" s="43"/>
      <c r="H117" s="244"/>
      <c r="I117" s="244"/>
      <c r="J117" s="244"/>
      <c r="K117" s="244"/>
      <c r="L117" s="244"/>
      <c r="M117" s="244"/>
      <c r="N117" s="244"/>
      <c r="O117" s="244"/>
      <c r="P117" s="244"/>
      <c r="Q117" s="245"/>
      <c r="R117" s="244"/>
      <c r="S117" s="244"/>
      <c r="T117" s="244"/>
      <c r="U117" s="244"/>
      <c r="V117" s="244"/>
      <c r="W117" s="245"/>
      <c r="X117" s="253"/>
      <c r="Y117" s="253"/>
      <c r="Z117" s="244"/>
      <c r="AA117" s="244"/>
      <c r="AB117" s="43"/>
      <c r="AC117" s="43"/>
      <c r="AD117" s="43"/>
      <c r="AE117" s="43"/>
      <c r="AF117" s="43"/>
      <c r="AG117" s="43"/>
      <c r="AH117" s="43"/>
    </row>
    <row r="118" spans="1:34">
      <c r="A118" s="43"/>
      <c r="B118" s="43"/>
      <c r="C118" s="43"/>
      <c r="D118" s="43"/>
      <c r="E118" s="43"/>
      <c r="F118" s="43"/>
      <c r="G118" s="43"/>
      <c r="H118" s="244"/>
      <c r="I118" s="244"/>
      <c r="J118" s="244"/>
      <c r="K118" s="244"/>
      <c r="L118" s="244"/>
      <c r="M118" s="244"/>
      <c r="N118" s="244"/>
      <c r="O118" s="244"/>
      <c r="P118" s="244"/>
      <c r="Q118" s="245"/>
      <c r="R118" s="244"/>
      <c r="S118" s="244"/>
      <c r="T118" s="244"/>
      <c r="U118" s="244"/>
      <c r="V118" s="244"/>
      <c r="W118" s="245"/>
      <c r="X118" s="253"/>
      <c r="Y118" s="253"/>
      <c r="Z118" s="244"/>
      <c r="AA118" s="244"/>
      <c r="AB118" s="43"/>
      <c r="AC118" s="43"/>
      <c r="AD118" s="43"/>
      <c r="AE118" s="43"/>
      <c r="AF118" s="43"/>
      <c r="AG118" s="43"/>
      <c r="AH118" s="43"/>
    </row>
    <row r="119" spans="1:34">
      <c r="A119" s="43"/>
      <c r="B119" s="43"/>
      <c r="C119" s="43"/>
      <c r="D119" s="43"/>
      <c r="E119" s="43"/>
      <c r="F119" s="43"/>
      <c r="G119" s="43"/>
      <c r="H119" s="244"/>
      <c r="I119" s="244"/>
      <c r="J119" s="244"/>
      <c r="K119" s="244"/>
      <c r="L119" s="244"/>
      <c r="M119" s="244"/>
      <c r="N119" s="244"/>
      <c r="O119" s="244"/>
      <c r="P119" s="244"/>
      <c r="Q119" s="245"/>
      <c r="R119" s="244"/>
      <c r="S119" s="244"/>
      <c r="T119" s="244"/>
      <c r="U119" s="244"/>
      <c r="V119" s="244"/>
      <c r="W119" s="245"/>
      <c r="X119" s="253"/>
      <c r="Y119" s="253"/>
      <c r="Z119" s="244"/>
      <c r="AA119" s="244"/>
      <c r="AB119" s="43"/>
      <c r="AC119" s="43"/>
      <c r="AD119" s="43"/>
      <c r="AE119" s="43"/>
      <c r="AF119" s="43"/>
      <c r="AG119" s="43"/>
      <c r="AH119" s="43"/>
    </row>
    <row r="120" spans="1:34">
      <c r="A120" s="43"/>
      <c r="B120" s="43"/>
      <c r="C120" s="43"/>
      <c r="D120" s="43"/>
      <c r="E120" s="43"/>
      <c r="F120" s="43"/>
      <c r="G120" s="43"/>
      <c r="H120" s="244"/>
      <c r="I120" s="244"/>
      <c r="J120" s="244"/>
      <c r="K120" s="244"/>
      <c r="L120" s="244"/>
      <c r="M120" s="244"/>
      <c r="N120" s="244"/>
      <c r="O120" s="244"/>
      <c r="P120" s="244"/>
      <c r="Q120" s="245"/>
      <c r="R120" s="244"/>
      <c r="S120" s="244"/>
      <c r="T120" s="244"/>
      <c r="U120" s="244"/>
      <c r="V120" s="244"/>
      <c r="W120" s="245"/>
      <c r="X120" s="253"/>
      <c r="Y120" s="253"/>
      <c r="Z120" s="244"/>
      <c r="AA120" s="244"/>
      <c r="AB120" s="43"/>
      <c r="AC120" s="43"/>
      <c r="AD120" s="43"/>
      <c r="AE120" s="43"/>
      <c r="AF120" s="43"/>
      <c r="AG120" s="43"/>
      <c r="AH120" s="43"/>
    </row>
    <row r="121" spans="1:34">
      <c r="A121" s="43"/>
      <c r="B121" s="43"/>
      <c r="C121" s="43"/>
      <c r="D121" s="43"/>
      <c r="E121" s="43"/>
      <c r="F121" s="43"/>
      <c r="G121" s="43"/>
      <c r="H121" s="244"/>
      <c r="I121" s="244"/>
      <c r="J121" s="244"/>
      <c r="K121" s="244"/>
      <c r="L121" s="244"/>
      <c r="M121" s="244"/>
      <c r="N121" s="244"/>
      <c r="O121" s="244"/>
      <c r="P121" s="244"/>
      <c r="Q121" s="245"/>
      <c r="R121" s="244"/>
      <c r="S121" s="244"/>
      <c r="T121" s="244"/>
      <c r="U121" s="244"/>
      <c r="V121" s="244"/>
      <c r="W121" s="245"/>
      <c r="X121" s="253"/>
      <c r="Y121" s="253"/>
      <c r="Z121" s="244"/>
      <c r="AA121" s="244"/>
      <c r="AB121" s="43"/>
      <c r="AC121" s="43"/>
      <c r="AD121" s="43"/>
      <c r="AE121" s="43"/>
      <c r="AF121" s="43"/>
      <c r="AG121" s="43"/>
      <c r="AH121" s="43"/>
    </row>
    <row r="122" spans="1:34">
      <c r="A122" s="43"/>
      <c r="B122" s="43"/>
      <c r="C122" s="43"/>
      <c r="D122" s="43"/>
      <c r="E122" s="43"/>
      <c r="F122" s="43"/>
      <c r="G122" s="43"/>
      <c r="H122" s="244"/>
      <c r="I122" s="244"/>
      <c r="J122" s="244"/>
      <c r="K122" s="244"/>
      <c r="L122" s="244"/>
      <c r="M122" s="244"/>
      <c r="N122" s="244"/>
      <c r="O122" s="244"/>
      <c r="P122" s="244"/>
      <c r="Q122" s="245"/>
      <c r="R122" s="244"/>
      <c r="S122" s="244"/>
      <c r="T122" s="244"/>
      <c r="U122" s="244"/>
      <c r="V122" s="244"/>
      <c r="W122" s="245"/>
      <c r="X122" s="253"/>
      <c r="Y122" s="253"/>
      <c r="Z122" s="244"/>
      <c r="AA122" s="244"/>
      <c r="AB122" s="43"/>
      <c r="AC122" s="43"/>
      <c r="AD122" s="43"/>
      <c r="AE122" s="43"/>
      <c r="AF122" s="43"/>
      <c r="AG122" s="43"/>
      <c r="AH122" s="43"/>
    </row>
    <row r="123" spans="1:34">
      <c r="A123" s="43"/>
      <c r="B123" s="43"/>
      <c r="C123" s="43"/>
      <c r="D123" s="43"/>
      <c r="E123" s="43"/>
      <c r="F123" s="43"/>
      <c r="G123" s="43"/>
      <c r="H123" s="244"/>
      <c r="I123" s="244"/>
      <c r="J123" s="244"/>
      <c r="K123" s="244"/>
      <c r="L123" s="244"/>
      <c r="M123" s="244"/>
      <c r="N123" s="244"/>
      <c r="O123" s="244"/>
      <c r="P123" s="244"/>
      <c r="Q123" s="245"/>
      <c r="R123" s="244"/>
      <c r="S123" s="244"/>
      <c r="T123" s="244"/>
      <c r="U123" s="244"/>
      <c r="V123" s="244"/>
      <c r="W123" s="245"/>
      <c r="X123" s="253"/>
      <c r="Y123" s="253"/>
      <c r="Z123" s="244"/>
      <c r="AA123" s="244"/>
      <c r="AB123" s="43"/>
      <c r="AC123" s="43"/>
      <c r="AD123" s="43"/>
      <c r="AE123" s="43"/>
      <c r="AF123" s="43"/>
      <c r="AG123" s="43"/>
      <c r="AH123" s="43"/>
    </row>
    <row r="124" spans="1:34">
      <c r="A124" s="43"/>
      <c r="B124" s="43"/>
      <c r="C124" s="43"/>
      <c r="D124" s="43"/>
      <c r="E124" s="43"/>
      <c r="F124" s="43"/>
      <c r="G124" s="43"/>
      <c r="H124" s="244"/>
      <c r="I124" s="244"/>
      <c r="J124" s="244"/>
      <c r="K124" s="244"/>
      <c r="L124" s="244"/>
      <c r="M124" s="244"/>
      <c r="N124" s="244"/>
      <c r="O124" s="244"/>
      <c r="P124" s="244"/>
      <c r="Q124" s="245"/>
      <c r="R124" s="244"/>
      <c r="S124" s="244"/>
      <c r="T124" s="244"/>
      <c r="U124" s="244"/>
      <c r="V124" s="244"/>
      <c r="W124" s="245"/>
      <c r="X124" s="253"/>
      <c r="Y124" s="253"/>
      <c r="Z124" s="244"/>
      <c r="AA124" s="244"/>
      <c r="AB124" s="43"/>
      <c r="AC124" s="43"/>
      <c r="AD124" s="43"/>
      <c r="AE124" s="43"/>
      <c r="AF124" s="43"/>
      <c r="AG124" s="43"/>
      <c r="AH124" s="43"/>
    </row>
    <row r="125" spans="1:34">
      <c r="A125" s="43"/>
      <c r="B125" s="43"/>
      <c r="C125" s="43"/>
      <c r="D125" s="43"/>
      <c r="E125" s="43"/>
      <c r="F125" s="43"/>
      <c r="G125" s="43"/>
      <c r="H125" s="244"/>
      <c r="I125" s="244"/>
      <c r="J125" s="244"/>
      <c r="K125" s="244"/>
      <c r="L125" s="244"/>
      <c r="M125" s="244"/>
      <c r="N125" s="244"/>
      <c r="O125" s="244"/>
      <c r="P125" s="244"/>
      <c r="Q125" s="245"/>
      <c r="R125" s="244"/>
      <c r="S125" s="244"/>
      <c r="T125" s="244"/>
      <c r="U125" s="244"/>
      <c r="V125" s="244"/>
      <c r="W125" s="245"/>
      <c r="X125" s="253"/>
      <c r="Y125" s="253"/>
      <c r="Z125" s="244"/>
      <c r="AA125" s="244"/>
      <c r="AB125" s="43"/>
      <c r="AC125" s="43"/>
      <c r="AD125" s="43"/>
      <c r="AE125" s="43"/>
      <c r="AF125" s="43"/>
      <c r="AG125" s="43"/>
      <c r="AH125" s="43"/>
    </row>
    <row r="126" spans="1:34">
      <c r="A126" s="43"/>
      <c r="B126" s="43"/>
      <c r="C126" s="43"/>
      <c r="D126" s="43"/>
      <c r="E126" s="43"/>
      <c r="F126" s="43"/>
      <c r="G126" s="43"/>
      <c r="H126" s="244"/>
      <c r="I126" s="244"/>
      <c r="J126" s="244"/>
      <c r="K126" s="244"/>
      <c r="L126" s="244"/>
      <c r="M126" s="244"/>
      <c r="N126" s="244"/>
      <c r="O126" s="244"/>
      <c r="P126" s="244"/>
      <c r="Q126" s="245"/>
      <c r="R126" s="244"/>
      <c r="S126" s="244"/>
      <c r="T126" s="244"/>
      <c r="U126" s="244"/>
      <c r="V126" s="244"/>
      <c r="W126" s="245"/>
      <c r="X126" s="253"/>
      <c r="Y126" s="253"/>
      <c r="Z126" s="244"/>
      <c r="AA126" s="244"/>
      <c r="AB126" s="43"/>
      <c r="AC126" s="43"/>
      <c r="AD126" s="43"/>
      <c r="AE126" s="43"/>
      <c r="AF126" s="43"/>
      <c r="AG126" s="43"/>
      <c r="AH126" s="43"/>
    </row>
    <row r="127" spans="1:34">
      <c r="A127" s="43"/>
      <c r="B127" s="43"/>
      <c r="C127" s="43"/>
      <c r="D127" s="43"/>
      <c r="E127" s="43"/>
      <c r="F127" s="43"/>
      <c r="G127" s="43"/>
      <c r="H127" s="244"/>
      <c r="I127" s="244"/>
      <c r="J127" s="244"/>
      <c r="K127" s="244"/>
      <c r="L127" s="244"/>
      <c r="M127" s="244"/>
      <c r="N127" s="244"/>
      <c r="O127" s="244"/>
      <c r="P127" s="244"/>
      <c r="Q127" s="245"/>
      <c r="R127" s="244"/>
      <c r="S127" s="244"/>
      <c r="T127" s="244"/>
      <c r="U127" s="244"/>
      <c r="V127" s="244"/>
      <c r="W127" s="245"/>
      <c r="X127" s="253"/>
      <c r="Y127" s="253"/>
      <c r="Z127" s="244"/>
      <c r="AA127" s="244"/>
      <c r="AB127" s="43"/>
      <c r="AC127" s="43"/>
      <c r="AD127" s="43"/>
      <c r="AE127" s="43"/>
      <c r="AF127" s="43"/>
      <c r="AG127" s="43"/>
      <c r="AH127" s="43"/>
    </row>
    <row r="128" spans="1:34">
      <c r="A128" s="43"/>
      <c r="B128" s="43"/>
      <c r="C128" s="43"/>
      <c r="D128" s="43"/>
      <c r="E128" s="43"/>
      <c r="F128" s="43"/>
      <c r="G128" s="43"/>
      <c r="H128" s="244"/>
      <c r="I128" s="244"/>
      <c r="J128" s="244"/>
      <c r="K128" s="244"/>
      <c r="L128" s="244"/>
      <c r="M128" s="244"/>
      <c r="N128" s="244"/>
      <c r="O128" s="244"/>
      <c r="P128" s="244"/>
      <c r="Q128" s="245"/>
      <c r="R128" s="244"/>
      <c r="S128" s="244"/>
      <c r="T128" s="244"/>
      <c r="U128" s="244"/>
      <c r="V128" s="244"/>
      <c r="W128" s="245"/>
      <c r="X128" s="253"/>
      <c r="Y128" s="253"/>
      <c r="Z128" s="244"/>
      <c r="AA128" s="244"/>
      <c r="AB128" s="43"/>
      <c r="AC128" s="43"/>
      <c r="AD128" s="43"/>
      <c r="AE128" s="43"/>
      <c r="AF128" s="43"/>
      <c r="AG128" s="43"/>
      <c r="AH128" s="43"/>
    </row>
    <row r="129" spans="1:34">
      <c r="A129" s="43"/>
      <c r="B129" s="43"/>
      <c r="C129" s="43"/>
      <c r="D129" s="43"/>
      <c r="E129" s="43"/>
      <c r="F129" s="43"/>
      <c r="G129" s="43"/>
      <c r="H129" s="244"/>
      <c r="I129" s="244"/>
      <c r="J129" s="244"/>
      <c r="K129" s="244"/>
      <c r="L129" s="244"/>
      <c r="M129" s="244"/>
      <c r="N129" s="244"/>
      <c r="O129" s="244"/>
      <c r="P129" s="244"/>
      <c r="Q129" s="245"/>
      <c r="R129" s="244"/>
      <c r="S129" s="244"/>
      <c r="T129" s="244"/>
      <c r="U129" s="244"/>
      <c r="V129" s="244"/>
      <c r="W129" s="245"/>
      <c r="X129" s="253"/>
      <c r="Y129" s="253"/>
      <c r="Z129" s="244"/>
      <c r="AA129" s="244"/>
      <c r="AB129" s="43"/>
      <c r="AC129" s="43"/>
      <c r="AD129" s="43"/>
      <c r="AE129" s="43"/>
      <c r="AF129" s="43"/>
      <c r="AG129" s="43"/>
      <c r="AH129" s="43"/>
    </row>
    <row r="130" spans="1:34">
      <c r="A130" s="43"/>
      <c r="B130" s="43"/>
      <c r="C130" s="43"/>
      <c r="D130" s="43"/>
      <c r="E130" s="43"/>
      <c r="F130" s="43"/>
      <c r="G130" s="43"/>
      <c r="H130" s="244"/>
      <c r="I130" s="244"/>
      <c r="J130" s="244"/>
      <c r="K130" s="244"/>
      <c r="L130" s="244"/>
      <c r="M130" s="244"/>
      <c r="N130" s="244"/>
      <c r="O130" s="244"/>
      <c r="P130" s="244"/>
      <c r="Q130" s="245"/>
      <c r="R130" s="244"/>
      <c r="S130" s="244"/>
      <c r="T130" s="244"/>
      <c r="U130" s="244"/>
      <c r="V130" s="244"/>
      <c r="W130" s="245"/>
      <c r="X130" s="253"/>
      <c r="Y130" s="253"/>
      <c r="Z130" s="244"/>
      <c r="AA130" s="244"/>
      <c r="AB130" s="43"/>
      <c r="AC130" s="43"/>
      <c r="AD130" s="43"/>
      <c r="AE130" s="43"/>
      <c r="AF130" s="43"/>
      <c r="AG130" s="43"/>
      <c r="AH130" s="43"/>
    </row>
    <row r="131" spans="1:34">
      <c r="A131" s="43"/>
      <c r="B131" s="43"/>
      <c r="C131" s="43"/>
      <c r="D131" s="43"/>
      <c r="E131" s="43"/>
      <c r="F131" s="43"/>
      <c r="G131" s="43"/>
      <c r="H131" s="244"/>
      <c r="I131" s="244"/>
      <c r="J131" s="244"/>
      <c r="K131" s="244"/>
      <c r="L131" s="244"/>
      <c r="M131" s="244"/>
      <c r="N131" s="244"/>
      <c r="O131" s="244"/>
      <c r="P131" s="244"/>
      <c r="Q131" s="245"/>
      <c r="R131" s="244"/>
      <c r="S131" s="244"/>
      <c r="T131" s="244"/>
      <c r="U131" s="244"/>
      <c r="V131" s="244"/>
      <c r="W131" s="245"/>
      <c r="X131" s="253"/>
      <c r="Y131" s="253"/>
      <c r="Z131" s="244"/>
      <c r="AA131" s="244"/>
      <c r="AB131" s="43"/>
      <c r="AC131" s="43"/>
      <c r="AD131" s="43"/>
      <c r="AE131" s="43"/>
      <c r="AF131" s="43"/>
      <c r="AG131" s="43"/>
      <c r="AH131" s="43"/>
    </row>
    <row r="132" spans="1:34">
      <c r="A132" s="43"/>
      <c r="B132" s="43"/>
      <c r="C132" s="43"/>
      <c r="D132" s="43"/>
      <c r="E132" s="43"/>
      <c r="F132" s="43"/>
      <c r="G132" s="43"/>
      <c r="H132" s="244"/>
      <c r="I132" s="244"/>
      <c r="J132" s="244"/>
      <c r="K132" s="244"/>
      <c r="L132" s="244"/>
      <c r="M132" s="244"/>
      <c r="N132" s="244"/>
      <c r="O132" s="244"/>
      <c r="P132" s="244"/>
      <c r="Q132" s="245"/>
      <c r="R132" s="244"/>
      <c r="S132" s="244"/>
      <c r="T132" s="244"/>
      <c r="U132" s="244"/>
      <c r="V132" s="244"/>
      <c r="W132" s="245"/>
      <c r="X132" s="253"/>
      <c r="Y132" s="253"/>
      <c r="Z132" s="244"/>
      <c r="AA132" s="244"/>
      <c r="AB132" s="43"/>
      <c r="AC132" s="43"/>
      <c r="AD132" s="43"/>
      <c r="AE132" s="43"/>
      <c r="AF132" s="43"/>
      <c r="AG132" s="43"/>
      <c r="AH132" s="43"/>
    </row>
    <row r="133" spans="1:34">
      <c r="A133" s="43"/>
      <c r="B133" s="43"/>
      <c r="C133" s="43"/>
      <c r="D133" s="43"/>
      <c r="E133" s="43"/>
      <c r="F133" s="43"/>
      <c r="G133" s="43"/>
      <c r="H133" s="244"/>
      <c r="I133" s="244"/>
      <c r="J133" s="244"/>
      <c r="K133" s="244"/>
      <c r="L133" s="244"/>
      <c r="M133" s="244"/>
      <c r="N133" s="244"/>
      <c r="O133" s="244"/>
      <c r="P133" s="244"/>
      <c r="Q133" s="245"/>
      <c r="R133" s="244"/>
      <c r="S133" s="244"/>
      <c r="T133" s="244"/>
      <c r="U133" s="244"/>
      <c r="V133" s="244"/>
      <c r="W133" s="245"/>
      <c r="X133" s="253"/>
      <c r="Y133" s="253"/>
      <c r="Z133" s="244"/>
      <c r="AA133" s="244"/>
      <c r="AB133" s="43"/>
      <c r="AC133" s="43"/>
      <c r="AD133" s="43"/>
      <c r="AE133" s="43"/>
      <c r="AF133" s="43"/>
      <c r="AG133" s="43"/>
      <c r="AH133" s="43"/>
    </row>
    <row r="134" spans="1:34">
      <c r="A134" s="43"/>
      <c r="B134" s="43"/>
      <c r="C134" s="43"/>
      <c r="D134" s="43"/>
      <c r="E134" s="43"/>
      <c r="F134" s="43"/>
      <c r="G134" s="43"/>
      <c r="H134" s="244"/>
      <c r="I134" s="244"/>
      <c r="J134" s="244"/>
      <c r="K134" s="244"/>
      <c r="L134" s="244"/>
      <c r="M134" s="244"/>
      <c r="N134" s="244"/>
      <c r="O134" s="244"/>
      <c r="P134" s="244"/>
      <c r="Q134" s="245"/>
      <c r="R134" s="244"/>
      <c r="S134" s="244"/>
      <c r="T134" s="244"/>
      <c r="U134" s="244"/>
      <c r="V134" s="244"/>
      <c r="W134" s="245"/>
      <c r="X134" s="253"/>
      <c r="Y134" s="253"/>
      <c r="Z134" s="244"/>
      <c r="AA134" s="244"/>
      <c r="AB134" s="43"/>
      <c r="AC134" s="43"/>
      <c r="AD134" s="43"/>
      <c r="AE134" s="43"/>
      <c r="AF134" s="43"/>
      <c r="AG134" s="43"/>
      <c r="AH134" s="43"/>
    </row>
    <row r="135" spans="1:34">
      <c r="A135" s="43"/>
      <c r="B135" s="43"/>
      <c r="C135" s="43"/>
      <c r="D135" s="43"/>
      <c r="E135" s="43"/>
      <c r="F135" s="43"/>
      <c r="G135" s="43"/>
      <c r="H135" s="244"/>
      <c r="I135" s="244"/>
      <c r="J135" s="244"/>
      <c r="K135" s="244"/>
      <c r="L135" s="244"/>
      <c r="M135" s="244"/>
      <c r="N135" s="244"/>
      <c r="O135" s="244"/>
      <c r="P135" s="244"/>
      <c r="Q135" s="245"/>
      <c r="R135" s="244"/>
      <c r="S135" s="244"/>
      <c r="T135" s="244"/>
      <c r="U135" s="244"/>
      <c r="V135" s="244"/>
      <c r="W135" s="245"/>
      <c r="X135" s="253"/>
      <c r="Y135" s="253"/>
      <c r="Z135" s="244"/>
      <c r="AA135" s="244"/>
      <c r="AB135" s="43"/>
      <c r="AC135" s="43"/>
      <c r="AD135" s="43"/>
      <c r="AE135" s="43"/>
      <c r="AF135" s="43"/>
      <c r="AG135" s="43"/>
      <c r="AH135" s="43"/>
    </row>
    <row r="136" spans="1:34">
      <c r="A136" s="43"/>
      <c r="B136" s="43"/>
      <c r="C136" s="43"/>
      <c r="D136" s="43"/>
      <c r="E136" s="43"/>
      <c r="F136" s="43"/>
      <c r="G136" s="43"/>
      <c r="H136" s="244"/>
      <c r="I136" s="244"/>
      <c r="J136" s="244"/>
      <c r="K136" s="244"/>
      <c r="L136" s="244"/>
      <c r="M136" s="244"/>
      <c r="N136" s="244"/>
      <c r="O136" s="244"/>
      <c r="P136" s="244"/>
      <c r="Q136" s="245"/>
      <c r="R136" s="244"/>
      <c r="S136" s="244"/>
      <c r="T136" s="244"/>
      <c r="U136" s="244"/>
      <c r="V136" s="244"/>
      <c r="W136" s="245"/>
      <c r="X136" s="253"/>
      <c r="Y136" s="253"/>
      <c r="Z136" s="244"/>
      <c r="AA136" s="244"/>
      <c r="AB136" s="43"/>
      <c r="AC136" s="43"/>
      <c r="AD136" s="43"/>
      <c r="AE136" s="43"/>
      <c r="AF136" s="43"/>
      <c r="AG136" s="43"/>
      <c r="AH136" s="43"/>
    </row>
    <row r="137" spans="1:34">
      <c r="A137" s="43"/>
      <c r="B137" s="43"/>
      <c r="C137" s="43"/>
      <c r="D137" s="43"/>
      <c r="E137" s="43"/>
      <c r="F137" s="43"/>
      <c r="G137" s="43"/>
      <c r="H137" s="244"/>
      <c r="I137" s="244"/>
      <c r="J137" s="244"/>
      <c r="K137" s="244"/>
      <c r="L137" s="244"/>
      <c r="M137" s="244"/>
      <c r="N137" s="244"/>
      <c r="O137" s="244"/>
      <c r="P137" s="244"/>
      <c r="Q137" s="245"/>
      <c r="R137" s="244"/>
      <c r="S137" s="244"/>
      <c r="T137" s="244"/>
      <c r="U137" s="244"/>
      <c r="V137" s="244"/>
      <c r="W137" s="245"/>
      <c r="X137" s="253"/>
      <c r="Y137" s="253"/>
      <c r="Z137" s="244"/>
      <c r="AA137" s="244"/>
      <c r="AB137" s="43"/>
      <c r="AC137" s="43"/>
      <c r="AD137" s="43"/>
      <c r="AE137" s="43"/>
      <c r="AF137" s="43"/>
      <c r="AG137" s="43"/>
      <c r="AH137" s="43"/>
    </row>
    <row r="138" spans="1:34">
      <c r="A138" s="43"/>
      <c r="B138" s="43"/>
      <c r="C138" s="43"/>
      <c r="D138" s="43"/>
      <c r="E138" s="43"/>
      <c r="F138" s="43"/>
      <c r="G138" s="43"/>
      <c r="H138" s="244"/>
      <c r="I138" s="244"/>
      <c r="J138" s="244"/>
      <c r="K138" s="244"/>
      <c r="L138" s="244"/>
      <c r="M138" s="244"/>
      <c r="N138" s="244"/>
      <c r="O138" s="244"/>
      <c r="P138" s="244"/>
      <c r="Q138" s="245"/>
      <c r="R138" s="244"/>
      <c r="S138" s="244"/>
      <c r="T138" s="244"/>
      <c r="U138" s="244"/>
      <c r="V138" s="244"/>
      <c r="W138" s="245"/>
      <c r="X138" s="253"/>
      <c r="Y138" s="253"/>
      <c r="Z138" s="244"/>
      <c r="AA138" s="244"/>
      <c r="AB138" s="43"/>
      <c r="AC138" s="43"/>
      <c r="AD138" s="43"/>
      <c r="AE138" s="43"/>
      <c r="AF138" s="43"/>
      <c r="AG138" s="43"/>
      <c r="AH138" s="43"/>
    </row>
    <row r="139" spans="1:34">
      <c r="A139" s="43"/>
      <c r="B139" s="43"/>
      <c r="C139" s="43"/>
      <c r="D139" s="43"/>
      <c r="E139" s="43"/>
      <c r="F139" s="43"/>
      <c r="G139" s="43"/>
      <c r="H139" s="244"/>
      <c r="I139" s="244"/>
      <c r="J139" s="244"/>
      <c r="K139" s="244"/>
      <c r="L139" s="244"/>
      <c r="M139" s="244"/>
      <c r="N139" s="244"/>
      <c r="O139" s="244"/>
      <c r="P139" s="244"/>
      <c r="Q139" s="245"/>
      <c r="R139" s="244"/>
      <c r="S139" s="244"/>
      <c r="T139" s="244"/>
      <c r="U139" s="244"/>
      <c r="V139" s="244"/>
      <c r="W139" s="245"/>
      <c r="X139" s="253"/>
      <c r="Y139" s="253"/>
      <c r="Z139" s="244"/>
      <c r="AA139" s="244"/>
      <c r="AB139" s="43"/>
      <c r="AC139" s="43"/>
      <c r="AD139" s="43"/>
      <c r="AE139" s="43"/>
      <c r="AF139" s="43"/>
      <c r="AG139" s="43"/>
      <c r="AH139" s="43"/>
    </row>
    <row r="140" spans="1:34">
      <c r="A140" s="43"/>
      <c r="B140" s="43"/>
      <c r="C140" s="43"/>
      <c r="D140" s="43"/>
      <c r="E140" s="43"/>
      <c r="F140" s="43"/>
      <c r="G140" s="43"/>
      <c r="H140" s="244"/>
      <c r="I140" s="244"/>
      <c r="J140" s="244"/>
      <c r="K140" s="244"/>
      <c r="L140" s="244"/>
      <c r="M140" s="244"/>
      <c r="N140" s="244"/>
      <c r="O140" s="244"/>
      <c r="P140" s="244"/>
      <c r="Q140" s="245"/>
      <c r="R140" s="244"/>
      <c r="S140" s="244"/>
      <c r="T140" s="244"/>
      <c r="U140" s="244"/>
      <c r="V140" s="244"/>
      <c r="W140" s="245"/>
      <c r="X140" s="253"/>
      <c r="Y140" s="253"/>
      <c r="Z140" s="244"/>
      <c r="AA140" s="244"/>
      <c r="AB140" s="43"/>
      <c r="AC140" s="43"/>
      <c r="AD140" s="43"/>
      <c r="AE140" s="43"/>
      <c r="AF140" s="43"/>
      <c r="AG140" s="43"/>
      <c r="AH140" s="43"/>
    </row>
    <row r="141" spans="1:34">
      <c r="A141" s="43"/>
      <c r="B141" s="43"/>
      <c r="C141" s="43"/>
      <c r="D141" s="43"/>
      <c r="E141" s="43"/>
      <c r="F141" s="43"/>
      <c r="G141" s="43"/>
      <c r="H141" s="244"/>
      <c r="I141" s="244"/>
      <c r="J141" s="244"/>
      <c r="K141" s="244"/>
      <c r="L141" s="244"/>
      <c r="M141" s="244"/>
      <c r="N141" s="244"/>
      <c r="O141" s="244"/>
      <c r="P141" s="244"/>
      <c r="Q141" s="245"/>
      <c r="R141" s="244"/>
      <c r="S141" s="244"/>
      <c r="T141" s="244"/>
      <c r="U141" s="244"/>
      <c r="V141" s="244"/>
      <c r="W141" s="245"/>
      <c r="X141" s="253"/>
      <c r="Y141" s="253"/>
      <c r="Z141" s="244"/>
      <c r="AA141" s="244"/>
      <c r="AB141" s="43"/>
      <c r="AC141" s="43"/>
      <c r="AD141" s="43"/>
      <c r="AE141" s="43"/>
      <c r="AF141" s="43"/>
      <c r="AG141" s="43"/>
      <c r="AH141" s="43"/>
    </row>
    <row r="142" spans="1:34">
      <c r="A142" s="43"/>
      <c r="B142" s="43"/>
      <c r="C142" s="43"/>
      <c r="D142" s="43"/>
      <c r="E142" s="43"/>
      <c r="F142" s="43"/>
      <c r="G142" s="43"/>
      <c r="H142" s="244"/>
      <c r="I142" s="244"/>
      <c r="J142" s="244"/>
      <c r="K142" s="244"/>
      <c r="L142" s="244"/>
      <c r="M142" s="244"/>
      <c r="N142" s="244"/>
      <c r="O142" s="244"/>
      <c r="P142" s="244"/>
      <c r="Q142" s="245"/>
      <c r="R142" s="244"/>
      <c r="S142" s="244"/>
      <c r="T142" s="244"/>
      <c r="U142" s="244"/>
      <c r="V142" s="244"/>
      <c r="W142" s="245"/>
      <c r="X142" s="253"/>
      <c r="Y142" s="253"/>
      <c r="Z142" s="244"/>
      <c r="AA142" s="244"/>
      <c r="AB142" s="43"/>
      <c r="AC142" s="43"/>
      <c r="AD142" s="43"/>
      <c r="AE142" s="43"/>
      <c r="AF142" s="43"/>
      <c r="AG142" s="43"/>
      <c r="AH142" s="43"/>
    </row>
    <row r="143" spans="1:34">
      <c r="A143" s="43"/>
      <c r="B143" s="43"/>
      <c r="C143" s="43"/>
      <c r="D143" s="43"/>
      <c r="E143" s="43"/>
      <c r="F143" s="43"/>
      <c r="G143" s="43"/>
      <c r="H143" s="244"/>
      <c r="I143" s="244"/>
      <c r="J143" s="244"/>
      <c r="K143" s="244"/>
      <c r="L143" s="244"/>
      <c r="M143" s="244"/>
      <c r="N143" s="244"/>
      <c r="O143" s="244"/>
      <c r="P143" s="244"/>
      <c r="Q143" s="245"/>
      <c r="R143" s="244"/>
      <c r="S143" s="244"/>
      <c r="T143" s="244"/>
      <c r="U143" s="244"/>
      <c r="V143" s="244"/>
      <c r="W143" s="245"/>
      <c r="X143" s="253"/>
      <c r="Y143" s="253"/>
      <c r="Z143" s="244"/>
      <c r="AA143" s="244"/>
      <c r="AB143" s="43"/>
      <c r="AC143" s="43"/>
      <c r="AD143" s="43"/>
      <c r="AE143" s="43"/>
      <c r="AF143" s="43"/>
      <c r="AG143" s="43"/>
      <c r="AH143" s="43"/>
    </row>
    <row r="144" spans="1:34">
      <c r="A144" s="43"/>
      <c r="B144" s="43"/>
      <c r="C144" s="43"/>
      <c r="D144" s="43"/>
      <c r="E144" s="43"/>
      <c r="F144" s="43"/>
      <c r="G144" s="43"/>
      <c r="H144" s="244"/>
      <c r="I144" s="244"/>
      <c r="J144" s="244"/>
      <c r="K144" s="244"/>
      <c r="L144" s="244"/>
      <c r="M144" s="244"/>
      <c r="N144" s="244"/>
      <c r="O144" s="244"/>
      <c r="P144" s="244"/>
      <c r="Q144" s="245"/>
      <c r="R144" s="244"/>
      <c r="S144" s="244"/>
      <c r="T144" s="244"/>
      <c r="U144" s="244"/>
      <c r="V144" s="244"/>
      <c r="W144" s="245"/>
      <c r="X144" s="253"/>
      <c r="Y144" s="253"/>
      <c r="Z144" s="244"/>
      <c r="AA144" s="244"/>
      <c r="AB144" s="43"/>
      <c r="AC144" s="43"/>
      <c r="AD144" s="43"/>
      <c r="AE144" s="43"/>
      <c r="AF144" s="43"/>
      <c r="AG144" s="43"/>
      <c r="AH144" s="43"/>
    </row>
    <row r="145" spans="1:34">
      <c r="A145" s="43"/>
      <c r="B145" s="43"/>
      <c r="C145" s="43"/>
      <c r="D145" s="43"/>
      <c r="E145" s="43"/>
      <c r="F145" s="43"/>
      <c r="G145" s="43"/>
      <c r="H145" s="244"/>
      <c r="I145" s="244"/>
      <c r="J145" s="244"/>
      <c r="K145" s="244"/>
      <c r="L145" s="244"/>
      <c r="M145" s="244"/>
      <c r="N145" s="244"/>
      <c r="O145" s="244"/>
      <c r="P145" s="244"/>
      <c r="Q145" s="245"/>
      <c r="R145" s="244"/>
      <c r="S145" s="244"/>
      <c r="T145" s="244"/>
      <c r="U145" s="244"/>
      <c r="V145" s="244"/>
      <c r="W145" s="245"/>
      <c r="X145" s="253"/>
      <c r="Y145" s="253"/>
      <c r="Z145" s="244"/>
      <c r="AA145" s="244"/>
      <c r="AB145" s="43"/>
      <c r="AC145" s="43"/>
      <c r="AD145" s="43"/>
      <c r="AE145" s="43"/>
      <c r="AF145" s="43"/>
      <c r="AG145" s="43"/>
      <c r="AH145" s="43"/>
    </row>
    <row r="146" spans="1:34">
      <c r="A146" s="43"/>
      <c r="B146" s="43"/>
      <c r="C146" s="43"/>
      <c r="D146" s="43"/>
      <c r="E146" s="43"/>
      <c r="F146" s="43"/>
      <c r="G146" s="43"/>
      <c r="H146" s="244"/>
      <c r="I146" s="244"/>
      <c r="J146" s="244"/>
      <c r="K146" s="244"/>
      <c r="L146" s="244"/>
      <c r="M146" s="244"/>
      <c r="N146" s="244"/>
      <c r="O146" s="244"/>
      <c r="P146" s="244"/>
      <c r="Q146" s="245"/>
      <c r="R146" s="244"/>
      <c r="S146" s="244"/>
      <c r="T146" s="244"/>
      <c r="U146" s="244"/>
      <c r="V146" s="244"/>
      <c r="W146" s="245"/>
      <c r="X146" s="253"/>
      <c r="Y146" s="253"/>
      <c r="Z146" s="244"/>
      <c r="AA146" s="244"/>
      <c r="AB146" s="43"/>
      <c r="AC146" s="43"/>
      <c r="AD146" s="43"/>
      <c r="AE146" s="43"/>
      <c r="AF146" s="43"/>
      <c r="AG146" s="43"/>
      <c r="AH146" s="43"/>
    </row>
    <row r="147" spans="1:34">
      <c r="A147" s="43"/>
      <c r="B147" s="43"/>
      <c r="C147" s="43"/>
      <c r="D147" s="43"/>
      <c r="E147" s="43"/>
      <c r="F147" s="43"/>
      <c r="G147" s="43"/>
      <c r="H147" s="244"/>
      <c r="I147" s="244"/>
      <c r="J147" s="244"/>
      <c r="K147" s="244"/>
      <c r="L147" s="244"/>
      <c r="M147" s="244"/>
      <c r="N147" s="244"/>
      <c r="O147" s="244"/>
      <c r="P147" s="244"/>
      <c r="Q147" s="245"/>
      <c r="R147" s="244"/>
      <c r="S147" s="244"/>
      <c r="T147" s="244"/>
      <c r="U147" s="244"/>
      <c r="V147" s="244"/>
      <c r="W147" s="245"/>
      <c r="X147" s="253"/>
      <c r="Y147" s="253"/>
      <c r="Z147" s="244"/>
      <c r="AA147" s="244"/>
      <c r="AB147" s="43"/>
      <c r="AC147" s="43"/>
      <c r="AD147" s="43"/>
      <c r="AE147" s="43"/>
      <c r="AF147" s="43"/>
      <c r="AG147" s="43"/>
      <c r="AH147" s="43"/>
    </row>
    <row r="148" spans="1:34">
      <c r="A148" s="43"/>
      <c r="B148" s="43"/>
      <c r="C148" s="43"/>
      <c r="D148" s="43"/>
      <c r="E148" s="43"/>
      <c r="F148" s="43"/>
      <c r="G148" s="43"/>
      <c r="H148" s="244"/>
      <c r="I148" s="244"/>
      <c r="J148" s="244"/>
      <c r="K148" s="244"/>
      <c r="L148" s="244"/>
      <c r="M148" s="244"/>
      <c r="N148" s="244"/>
      <c r="O148" s="244"/>
      <c r="P148" s="244"/>
      <c r="Q148" s="245"/>
      <c r="R148" s="244"/>
      <c r="S148" s="244"/>
      <c r="T148" s="244"/>
      <c r="U148" s="244"/>
      <c r="V148" s="244"/>
      <c r="W148" s="245"/>
      <c r="X148" s="253"/>
      <c r="Y148" s="253"/>
      <c r="Z148" s="244"/>
      <c r="AA148" s="244"/>
      <c r="AB148" s="43"/>
      <c r="AC148" s="43"/>
      <c r="AD148" s="43"/>
      <c r="AE148" s="43"/>
      <c r="AF148" s="43"/>
      <c r="AG148" s="43"/>
      <c r="AH148" s="43"/>
    </row>
    <row r="149" spans="1:34">
      <c r="A149" s="43"/>
      <c r="B149" s="43"/>
      <c r="C149" s="43"/>
      <c r="D149" s="43"/>
      <c r="E149" s="43"/>
      <c r="F149" s="43"/>
      <c r="G149" s="43"/>
      <c r="H149" s="244"/>
      <c r="I149" s="244"/>
      <c r="J149" s="244"/>
      <c r="K149" s="244"/>
      <c r="L149" s="244"/>
      <c r="M149" s="244"/>
      <c r="N149" s="244"/>
      <c r="O149" s="244"/>
      <c r="P149" s="244"/>
      <c r="Q149" s="245"/>
      <c r="R149" s="244"/>
      <c r="S149" s="244"/>
      <c r="T149" s="244"/>
      <c r="U149" s="244"/>
      <c r="V149" s="244"/>
      <c r="W149" s="245"/>
      <c r="X149" s="253"/>
      <c r="Y149" s="253"/>
      <c r="Z149" s="244"/>
      <c r="AA149" s="244"/>
      <c r="AB149" s="43"/>
      <c r="AC149" s="43"/>
      <c r="AD149" s="43"/>
      <c r="AE149" s="43"/>
      <c r="AF149" s="43"/>
      <c r="AG149" s="43"/>
      <c r="AH149" s="43"/>
    </row>
    <row r="150" spans="1:34">
      <c r="A150" s="43"/>
      <c r="B150" s="43"/>
      <c r="C150" s="43"/>
      <c r="D150" s="43"/>
      <c r="E150" s="43"/>
      <c r="F150" s="43"/>
      <c r="G150" s="43"/>
      <c r="H150" s="244"/>
      <c r="I150" s="244"/>
      <c r="J150" s="244"/>
      <c r="K150" s="244"/>
      <c r="L150" s="244"/>
      <c r="M150" s="244"/>
      <c r="N150" s="244"/>
      <c r="O150" s="244"/>
      <c r="P150" s="244"/>
      <c r="Q150" s="245"/>
      <c r="R150" s="244"/>
      <c r="S150" s="244"/>
      <c r="T150" s="244"/>
      <c r="U150" s="244"/>
      <c r="V150" s="244"/>
      <c r="W150" s="245"/>
      <c r="X150" s="253"/>
      <c r="Y150" s="253"/>
      <c r="Z150" s="244"/>
      <c r="AA150" s="244"/>
      <c r="AB150" s="43"/>
      <c r="AC150" s="43"/>
      <c r="AD150" s="43"/>
      <c r="AE150" s="43"/>
      <c r="AF150" s="43"/>
      <c r="AG150" s="43"/>
      <c r="AH150" s="43"/>
    </row>
    <row r="151" spans="1:34">
      <c r="A151" s="43"/>
      <c r="B151" s="43"/>
      <c r="C151" s="43"/>
      <c r="D151" s="43"/>
      <c r="E151" s="43"/>
      <c r="F151" s="43"/>
      <c r="G151" s="43"/>
      <c r="H151" s="244"/>
      <c r="I151" s="244"/>
      <c r="J151" s="244"/>
      <c r="K151" s="244"/>
      <c r="L151" s="244"/>
      <c r="M151" s="244"/>
      <c r="N151" s="244"/>
      <c r="O151" s="244"/>
      <c r="P151" s="244"/>
      <c r="Q151" s="245"/>
      <c r="R151" s="244"/>
      <c r="S151" s="244"/>
      <c r="T151" s="244"/>
      <c r="U151" s="244"/>
      <c r="V151" s="244"/>
      <c r="W151" s="245"/>
      <c r="X151" s="253"/>
      <c r="Y151" s="253"/>
      <c r="Z151" s="244"/>
      <c r="AA151" s="244"/>
      <c r="AB151" s="43"/>
      <c r="AC151" s="43"/>
      <c r="AD151" s="43"/>
      <c r="AE151" s="43"/>
      <c r="AF151" s="43"/>
      <c r="AG151" s="43"/>
      <c r="AH151" s="43"/>
    </row>
    <row r="152" spans="1:34">
      <c r="A152" s="43"/>
      <c r="B152" s="43"/>
      <c r="C152" s="43"/>
      <c r="D152" s="43"/>
      <c r="E152" s="43"/>
      <c r="F152" s="43"/>
      <c r="G152" s="43"/>
      <c r="H152" s="244"/>
      <c r="I152" s="244"/>
      <c r="J152" s="244"/>
      <c r="K152" s="244"/>
      <c r="L152" s="244"/>
      <c r="M152" s="244"/>
      <c r="N152" s="244"/>
      <c r="O152" s="244"/>
      <c r="P152" s="244"/>
      <c r="Q152" s="245"/>
      <c r="R152" s="244"/>
      <c r="S152" s="244"/>
      <c r="T152" s="244"/>
      <c r="U152" s="244"/>
      <c r="V152" s="244"/>
      <c r="W152" s="245"/>
      <c r="X152" s="253"/>
      <c r="Y152" s="253"/>
      <c r="Z152" s="244"/>
      <c r="AA152" s="244"/>
      <c r="AB152" s="43"/>
      <c r="AC152" s="43"/>
      <c r="AD152" s="43"/>
      <c r="AE152" s="43"/>
      <c r="AF152" s="43"/>
      <c r="AG152" s="43"/>
      <c r="AH152" s="43"/>
    </row>
    <row r="153" spans="1:34">
      <c r="A153" s="43"/>
      <c r="B153" s="43"/>
      <c r="C153" s="43"/>
      <c r="D153" s="43"/>
      <c r="E153" s="43"/>
      <c r="F153" s="43"/>
      <c r="G153" s="43"/>
      <c r="H153" s="244"/>
      <c r="I153" s="244"/>
      <c r="J153" s="244"/>
      <c r="K153" s="244"/>
      <c r="L153" s="244"/>
      <c r="M153" s="244"/>
      <c r="N153" s="244"/>
      <c r="O153" s="244"/>
      <c r="P153" s="244"/>
      <c r="Q153" s="245"/>
      <c r="R153" s="244"/>
      <c r="S153" s="244"/>
      <c r="T153" s="244"/>
      <c r="U153" s="244"/>
      <c r="V153" s="244"/>
      <c r="W153" s="245"/>
      <c r="X153" s="253"/>
      <c r="Y153" s="253"/>
      <c r="Z153" s="244"/>
      <c r="AA153" s="244"/>
      <c r="AB153" s="43"/>
      <c r="AC153" s="43"/>
      <c r="AD153" s="43"/>
      <c r="AE153" s="43"/>
      <c r="AF153" s="43"/>
      <c r="AG153" s="43"/>
      <c r="AH153" s="43"/>
    </row>
    <row r="154" spans="1:34">
      <c r="A154" s="43"/>
      <c r="B154" s="43"/>
      <c r="C154" s="43"/>
      <c r="D154" s="43"/>
      <c r="E154" s="43"/>
      <c r="F154" s="43"/>
      <c r="G154" s="43"/>
      <c r="H154" s="244"/>
      <c r="I154" s="244"/>
      <c r="J154" s="244"/>
      <c r="K154" s="244"/>
      <c r="L154" s="244"/>
      <c r="M154" s="244"/>
      <c r="N154" s="244"/>
      <c r="O154" s="244"/>
      <c r="P154" s="244"/>
      <c r="Q154" s="245"/>
      <c r="R154" s="244"/>
      <c r="S154" s="244"/>
      <c r="T154" s="244"/>
      <c r="U154" s="244"/>
      <c r="V154" s="244"/>
      <c r="W154" s="245"/>
      <c r="X154" s="253"/>
      <c r="Y154" s="253"/>
      <c r="Z154" s="244"/>
      <c r="AA154" s="244"/>
      <c r="AB154" s="43"/>
      <c r="AC154" s="43"/>
      <c r="AD154" s="43"/>
      <c r="AE154" s="43"/>
      <c r="AF154" s="43"/>
      <c r="AG154" s="43"/>
      <c r="AH154" s="43"/>
    </row>
    <row r="155" spans="1:34">
      <c r="A155" s="43"/>
      <c r="B155" s="43"/>
      <c r="C155" s="43"/>
      <c r="D155" s="43"/>
      <c r="E155" s="43"/>
      <c r="F155" s="43"/>
      <c r="G155" s="43"/>
      <c r="H155" s="244"/>
      <c r="I155" s="244"/>
      <c r="J155" s="244"/>
      <c r="K155" s="244"/>
      <c r="L155" s="244"/>
      <c r="M155" s="244"/>
      <c r="N155" s="244"/>
      <c r="O155" s="244"/>
      <c r="P155" s="244"/>
      <c r="Q155" s="245"/>
      <c r="R155" s="244"/>
      <c r="S155" s="244"/>
      <c r="T155" s="244"/>
      <c r="U155" s="244"/>
      <c r="V155" s="244"/>
      <c r="W155" s="245"/>
      <c r="X155" s="253"/>
      <c r="Y155" s="253"/>
      <c r="Z155" s="244"/>
      <c r="AA155" s="244"/>
      <c r="AB155" s="43"/>
      <c r="AC155" s="43"/>
      <c r="AD155" s="43"/>
      <c r="AE155" s="43"/>
      <c r="AF155" s="43"/>
      <c r="AG155" s="43"/>
      <c r="AH155" s="43"/>
    </row>
    <row r="156" spans="1:34">
      <c r="A156" s="43"/>
      <c r="B156" s="43"/>
      <c r="C156" s="43"/>
      <c r="D156" s="43"/>
      <c r="E156" s="43"/>
      <c r="F156" s="43"/>
      <c r="G156" s="43"/>
      <c r="H156" s="244"/>
      <c r="I156" s="244"/>
      <c r="J156" s="244"/>
      <c r="K156" s="244"/>
      <c r="L156" s="244"/>
      <c r="M156" s="244"/>
      <c r="N156" s="244"/>
      <c r="O156" s="244"/>
      <c r="P156" s="244"/>
      <c r="Q156" s="245"/>
      <c r="R156" s="244"/>
      <c r="S156" s="244"/>
      <c r="T156" s="244"/>
      <c r="U156" s="244"/>
      <c r="V156" s="244"/>
      <c r="W156" s="245"/>
      <c r="X156" s="253"/>
      <c r="Y156" s="253"/>
      <c r="Z156" s="244"/>
      <c r="AA156" s="244"/>
      <c r="AB156" s="43"/>
      <c r="AC156" s="43"/>
      <c r="AD156" s="43"/>
      <c r="AE156" s="43"/>
      <c r="AF156" s="43"/>
      <c r="AG156" s="43"/>
      <c r="AH156" s="43"/>
    </row>
    <row r="157" spans="1:34">
      <c r="A157" s="43"/>
      <c r="B157" s="43"/>
      <c r="C157" s="43"/>
      <c r="D157" s="43"/>
      <c r="E157" s="43"/>
      <c r="F157" s="43"/>
      <c r="G157" s="43"/>
      <c r="H157" s="244"/>
      <c r="I157" s="244"/>
      <c r="J157" s="244"/>
      <c r="K157" s="244"/>
      <c r="L157" s="244"/>
      <c r="M157" s="244"/>
      <c r="N157" s="244"/>
      <c r="O157" s="244"/>
      <c r="P157" s="244"/>
      <c r="Q157" s="245"/>
      <c r="R157" s="244"/>
      <c r="S157" s="244"/>
      <c r="T157" s="244"/>
      <c r="U157" s="244"/>
      <c r="V157" s="244"/>
      <c r="W157" s="245"/>
      <c r="X157" s="253"/>
      <c r="Y157" s="253"/>
      <c r="Z157" s="244"/>
      <c r="AA157" s="244"/>
      <c r="AB157" s="43"/>
      <c r="AC157" s="43"/>
      <c r="AD157" s="43"/>
      <c r="AE157" s="43"/>
      <c r="AF157" s="43"/>
      <c r="AG157" s="43"/>
      <c r="AH157" s="43"/>
    </row>
    <row r="158" spans="1:34">
      <c r="A158" s="43"/>
      <c r="B158" s="43"/>
      <c r="C158" s="43"/>
      <c r="D158" s="43"/>
      <c r="E158" s="43"/>
      <c r="F158" s="43"/>
      <c r="G158" s="43"/>
      <c r="H158" s="244"/>
      <c r="I158" s="244"/>
      <c r="J158" s="244"/>
      <c r="K158" s="244"/>
      <c r="L158" s="244"/>
      <c r="M158" s="244"/>
      <c r="N158" s="244"/>
      <c r="O158" s="244"/>
      <c r="P158" s="244"/>
      <c r="Q158" s="245"/>
      <c r="R158" s="244"/>
      <c r="S158" s="244"/>
      <c r="T158" s="244"/>
      <c r="U158" s="244"/>
      <c r="V158" s="244"/>
      <c r="W158" s="245"/>
      <c r="X158" s="253"/>
      <c r="Y158" s="253"/>
      <c r="Z158" s="244"/>
      <c r="AA158" s="244"/>
      <c r="AB158" s="43"/>
      <c r="AC158" s="43"/>
      <c r="AD158" s="43"/>
      <c r="AE158" s="43"/>
      <c r="AF158" s="43"/>
      <c r="AG158" s="43"/>
      <c r="AH158" s="43"/>
    </row>
    <row r="159" spans="1:34">
      <c r="A159" s="43"/>
      <c r="B159" s="43"/>
      <c r="C159" s="43"/>
      <c r="D159" s="43"/>
      <c r="E159" s="43"/>
      <c r="F159" s="43"/>
      <c r="G159" s="43"/>
      <c r="H159" s="244"/>
      <c r="I159" s="244"/>
      <c r="J159" s="244"/>
      <c r="K159" s="244"/>
      <c r="L159" s="244"/>
      <c r="M159" s="244"/>
      <c r="N159" s="244"/>
      <c r="O159" s="244"/>
      <c r="P159" s="244"/>
      <c r="Q159" s="245"/>
      <c r="R159" s="244"/>
      <c r="S159" s="244"/>
      <c r="T159" s="244"/>
      <c r="U159" s="244"/>
      <c r="V159" s="244"/>
      <c r="W159" s="245"/>
      <c r="X159" s="253"/>
      <c r="Y159" s="253"/>
      <c r="Z159" s="244"/>
      <c r="AA159" s="244"/>
      <c r="AB159" s="43"/>
      <c r="AC159" s="43"/>
      <c r="AD159" s="43"/>
      <c r="AE159" s="43"/>
      <c r="AF159" s="43"/>
      <c r="AG159" s="43"/>
      <c r="AH159" s="43"/>
    </row>
    <row r="160" spans="1:34">
      <c r="A160" s="43"/>
      <c r="B160" s="43"/>
      <c r="C160" s="43"/>
      <c r="D160" s="43"/>
      <c r="E160" s="43"/>
      <c r="F160" s="43"/>
      <c r="G160" s="43"/>
      <c r="H160" s="244"/>
      <c r="I160" s="244"/>
      <c r="J160" s="244"/>
      <c r="K160" s="244"/>
      <c r="L160" s="244"/>
      <c r="M160" s="244"/>
      <c r="N160" s="244"/>
      <c r="O160" s="244"/>
      <c r="P160" s="244"/>
      <c r="Q160" s="245"/>
      <c r="R160" s="244"/>
      <c r="S160" s="244"/>
      <c r="T160" s="244"/>
      <c r="U160" s="244"/>
      <c r="V160" s="244"/>
      <c r="W160" s="245"/>
      <c r="X160" s="253"/>
      <c r="Y160" s="253"/>
      <c r="Z160" s="244"/>
      <c r="AA160" s="244"/>
      <c r="AB160" s="43"/>
      <c r="AC160" s="43"/>
      <c r="AD160" s="43"/>
      <c r="AE160" s="43"/>
      <c r="AF160" s="43"/>
      <c r="AG160" s="43"/>
      <c r="AH160" s="43"/>
    </row>
    <row r="161" spans="1:34">
      <c r="A161" s="43"/>
      <c r="B161" s="43"/>
      <c r="C161" s="43"/>
      <c r="D161" s="43"/>
      <c r="E161" s="43"/>
      <c r="F161" s="43"/>
      <c r="G161" s="43"/>
      <c r="H161" s="244"/>
      <c r="I161" s="244"/>
      <c r="J161" s="244"/>
      <c r="K161" s="244"/>
      <c r="L161" s="244"/>
      <c r="M161" s="244"/>
      <c r="N161" s="244"/>
      <c r="O161" s="244"/>
      <c r="P161" s="244"/>
      <c r="Q161" s="245"/>
      <c r="R161" s="244"/>
      <c r="S161" s="244"/>
      <c r="T161" s="244"/>
      <c r="U161" s="244"/>
      <c r="V161" s="244"/>
      <c r="W161" s="245"/>
      <c r="X161" s="253"/>
      <c r="Y161" s="253"/>
      <c r="Z161" s="244"/>
      <c r="AA161" s="244"/>
      <c r="AB161" s="43"/>
      <c r="AC161" s="43"/>
      <c r="AD161" s="43"/>
      <c r="AE161" s="43"/>
      <c r="AF161" s="43"/>
      <c r="AG161" s="43"/>
      <c r="AH161" s="43"/>
    </row>
    <row r="162" spans="1:34">
      <c r="A162" s="43"/>
      <c r="B162" s="43"/>
      <c r="C162" s="43"/>
      <c r="D162" s="43"/>
      <c r="E162" s="43"/>
      <c r="F162" s="43"/>
      <c r="G162" s="43"/>
      <c r="H162" s="244"/>
      <c r="I162" s="244"/>
      <c r="J162" s="244"/>
      <c r="K162" s="244"/>
      <c r="L162" s="244"/>
      <c r="M162" s="244"/>
      <c r="N162" s="244"/>
      <c r="O162" s="244"/>
      <c r="P162" s="244"/>
      <c r="Q162" s="245"/>
      <c r="R162" s="244"/>
      <c r="S162" s="244"/>
      <c r="T162" s="244"/>
      <c r="U162" s="244"/>
      <c r="V162" s="244"/>
      <c r="W162" s="245"/>
      <c r="X162" s="253"/>
      <c r="Y162" s="253"/>
      <c r="Z162" s="244"/>
      <c r="AA162" s="244"/>
      <c r="AB162" s="43"/>
      <c r="AC162" s="43"/>
      <c r="AD162" s="43"/>
      <c r="AE162" s="43"/>
      <c r="AF162" s="43"/>
      <c r="AG162" s="43"/>
      <c r="AH162" s="43"/>
    </row>
    <row r="163" spans="1:34">
      <c r="A163" s="43"/>
      <c r="B163" s="43"/>
      <c r="C163" s="43"/>
      <c r="D163" s="43"/>
      <c r="E163" s="43"/>
      <c r="F163" s="43"/>
      <c r="G163" s="43"/>
      <c r="H163" s="244"/>
      <c r="I163" s="244"/>
      <c r="J163" s="244"/>
      <c r="K163" s="244"/>
      <c r="L163" s="244"/>
      <c r="M163" s="244"/>
      <c r="N163" s="244"/>
      <c r="O163" s="244"/>
      <c r="P163" s="244"/>
      <c r="Q163" s="245"/>
      <c r="R163" s="244"/>
      <c r="S163" s="244"/>
      <c r="T163" s="244"/>
      <c r="U163" s="244"/>
      <c r="V163" s="244"/>
      <c r="W163" s="245"/>
      <c r="X163" s="253"/>
      <c r="Y163" s="253"/>
      <c r="Z163" s="244"/>
      <c r="AA163" s="244"/>
      <c r="AB163" s="43"/>
      <c r="AC163" s="43"/>
      <c r="AD163" s="43"/>
      <c r="AE163" s="43"/>
      <c r="AF163" s="43"/>
      <c r="AG163" s="43"/>
      <c r="AH163" s="43"/>
    </row>
    <row r="164" spans="1:34">
      <c r="A164" s="43"/>
      <c r="B164" s="43"/>
      <c r="C164" s="43"/>
      <c r="D164" s="43"/>
      <c r="E164" s="43"/>
      <c r="F164" s="43"/>
      <c r="G164" s="43"/>
      <c r="H164" s="244"/>
      <c r="I164" s="244"/>
      <c r="J164" s="244"/>
      <c r="K164" s="244"/>
      <c r="L164" s="244"/>
      <c r="M164" s="244"/>
      <c r="N164" s="244"/>
      <c r="O164" s="244"/>
      <c r="P164" s="244"/>
      <c r="Q164" s="245"/>
      <c r="R164" s="244"/>
      <c r="S164" s="244"/>
      <c r="T164" s="244"/>
      <c r="U164" s="244"/>
      <c r="V164" s="244"/>
      <c r="W164" s="245"/>
      <c r="X164" s="253"/>
      <c r="Y164" s="253"/>
      <c r="Z164" s="244"/>
      <c r="AA164" s="244"/>
      <c r="AB164" s="43"/>
      <c r="AC164" s="43"/>
      <c r="AD164" s="43"/>
      <c r="AE164" s="43"/>
      <c r="AF164" s="43"/>
      <c r="AG164" s="43"/>
      <c r="AH164" s="43"/>
    </row>
    <row r="165" spans="1:34">
      <c r="A165" s="43"/>
      <c r="B165" s="43"/>
      <c r="C165" s="43"/>
      <c r="D165" s="43"/>
      <c r="E165" s="43"/>
      <c r="F165" s="43"/>
      <c r="G165" s="43"/>
      <c r="H165" s="244"/>
      <c r="I165" s="244"/>
      <c r="J165" s="244"/>
      <c r="K165" s="244"/>
      <c r="L165" s="244"/>
      <c r="M165" s="244"/>
      <c r="N165" s="244"/>
      <c r="O165" s="244"/>
      <c r="P165" s="244"/>
      <c r="Q165" s="245"/>
      <c r="R165" s="244"/>
      <c r="S165" s="244"/>
      <c r="T165" s="244"/>
      <c r="U165" s="244"/>
      <c r="V165" s="244"/>
      <c r="W165" s="245"/>
      <c r="X165" s="253"/>
      <c r="Y165" s="253"/>
      <c r="Z165" s="244"/>
      <c r="AA165" s="244"/>
      <c r="AB165" s="43"/>
      <c r="AC165" s="43"/>
      <c r="AD165" s="43"/>
      <c r="AE165" s="43"/>
      <c r="AF165" s="43"/>
      <c r="AG165" s="43"/>
      <c r="AH165" s="43"/>
    </row>
    <row r="166" spans="1:34">
      <c r="A166" s="43"/>
      <c r="B166" s="43"/>
      <c r="C166" s="43"/>
      <c r="D166" s="43"/>
      <c r="E166" s="43"/>
      <c r="F166" s="43"/>
      <c r="G166" s="43"/>
      <c r="H166" s="244"/>
      <c r="I166" s="244"/>
      <c r="J166" s="244"/>
      <c r="K166" s="244"/>
      <c r="L166" s="244"/>
      <c r="M166" s="244"/>
      <c r="N166" s="244"/>
      <c r="O166" s="244"/>
      <c r="P166" s="244"/>
      <c r="Q166" s="245"/>
      <c r="R166" s="244"/>
      <c r="S166" s="244"/>
      <c r="T166" s="244"/>
      <c r="U166" s="244"/>
      <c r="V166" s="244"/>
      <c r="W166" s="245"/>
      <c r="X166" s="253"/>
      <c r="Y166" s="253"/>
      <c r="Z166" s="244"/>
      <c r="AA166" s="244"/>
      <c r="AB166" s="43"/>
      <c r="AC166" s="43"/>
      <c r="AD166" s="43"/>
      <c r="AE166" s="43"/>
      <c r="AF166" s="43"/>
      <c r="AG166" s="43"/>
      <c r="AH166" s="43"/>
    </row>
    <row r="167" spans="1:34">
      <c r="A167" s="43"/>
      <c r="B167" s="43"/>
      <c r="C167" s="43"/>
      <c r="D167" s="43"/>
      <c r="E167" s="43"/>
      <c r="F167" s="43"/>
      <c r="G167" s="43"/>
      <c r="H167" s="244"/>
      <c r="I167" s="244"/>
      <c r="J167" s="244"/>
      <c r="K167" s="244"/>
      <c r="L167" s="244"/>
      <c r="M167" s="244"/>
      <c r="N167" s="244"/>
      <c r="O167" s="244"/>
      <c r="P167" s="244"/>
      <c r="Q167" s="245"/>
      <c r="R167" s="244"/>
      <c r="S167" s="244"/>
      <c r="T167" s="244"/>
      <c r="U167" s="244"/>
      <c r="V167" s="244"/>
      <c r="W167" s="245"/>
      <c r="X167" s="253"/>
      <c r="Y167" s="253"/>
      <c r="Z167" s="244"/>
      <c r="AA167" s="244"/>
      <c r="AB167" s="43"/>
      <c r="AC167" s="43"/>
      <c r="AD167" s="43"/>
      <c r="AE167" s="43"/>
      <c r="AF167" s="43"/>
      <c r="AG167" s="43"/>
      <c r="AH167" s="43"/>
    </row>
    <row r="168" spans="1:34">
      <c r="A168" s="43"/>
      <c r="B168" s="43"/>
      <c r="C168" s="43"/>
      <c r="D168" s="43"/>
      <c r="E168" s="43"/>
      <c r="F168" s="43"/>
      <c r="G168" s="43"/>
      <c r="H168" s="244"/>
      <c r="I168" s="244"/>
      <c r="J168" s="244"/>
      <c r="K168" s="244"/>
      <c r="L168" s="244"/>
      <c r="M168" s="244"/>
      <c r="N168" s="244"/>
      <c r="O168" s="244"/>
      <c r="P168" s="244"/>
      <c r="Q168" s="245"/>
      <c r="R168" s="244"/>
      <c r="S168" s="244"/>
      <c r="T168" s="244"/>
      <c r="U168" s="244"/>
      <c r="V168" s="244"/>
      <c r="W168" s="245"/>
      <c r="X168" s="253"/>
      <c r="Y168" s="253"/>
      <c r="Z168" s="244"/>
      <c r="AA168" s="244"/>
      <c r="AB168" s="43"/>
      <c r="AC168" s="43"/>
      <c r="AD168" s="43"/>
      <c r="AE168" s="43"/>
      <c r="AF168" s="43"/>
      <c r="AG168" s="43"/>
      <c r="AH168" s="43"/>
    </row>
    <row r="169" spans="1:34">
      <c r="A169" s="43"/>
      <c r="B169" s="43"/>
      <c r="C169" s="43"/>
      <c r="D169" s="43"/>
      <c r="E169" s="43"/>
      <c r="F169" s="43"/>
      <c r="G169" s="43"/>
      <c r="H169" s="244"/>
      <c r="I169" s="244"/>
      <c r="J169" s="244"/>
      <c r="K169" s="244"/>
      <c r="L169" s="244"/>
      <c r="M169" s="244"/>
      <c r="N169" s="244"/>
      <c r="O169" s="244"/>
      <c r="P169" s="244"/>
      <c r="Q169" s="245"/>
      <c r="R169" s="244"/>
      <c r="S169" s="244"/>
      <c r="T169" s="244"/>
      <c r="U169" s="244"/>
      <c r="V169" s="244"/>
      <c r="W169" s="245"/>
      <c r="X169" s="253"/>
      <c r="Y169" s="253"/>
      <c r="Z169" s="244"/>
      <c r="AA169" s="244"/>
      <c r="AB169" s="43"/>
      <c r="AC169" s="43"/>
      <c r="AD169" s="43"/>
      <c r="AE169" s="43"/>
      <c r="AF169" s="43"/>
      <c r="AG169" s="43"/>
      <c r="AH169" s="43"/>
    </row>
    <row r="170" spans="1:34">
      <c r="A170" s="43"/>
      <c r="B170" s="43"/>
      <c r="C170" s="43"/>
      <c r="D170" s="43"/>
      <c r="E170" s="43"/>
      <c r="F170" s="43"/>
      <c r="G170" s="43"/>
      <c r="H170" s="244"/>
      <c r="I170" s="244"/>
      <c r="J170" s="244"/>
      <c r="K170" s="244"/>
      <c r="L170" s="244"/>
      <c r="M170" s="244"/>
      <c r="N170" s="244"/>
      <c r="O170" s="244"/>
      <c r="P170" s="244"/>
      <c r="Q170" s="245"/>
      <c r="R170" s="244"/>
      <c r="S170" s="244"/>
      <c r="T170" s="244"/>
      <c r="U170" s="244"/>
      <c r="V170" s="244"/>
      <c r="W170" s="245"/>
      <c r="X170" s="253"/>
      <c r="Y170" s="253"/>
      <c r="Z170" s="244"/>
      <c r="AA170" s="244"/>
      <c r="AB170" s="43"/>
      <c r="AC170" s="43"/>
      <c r="AD170" s="43"/>
      <c r="AE170" s="43"/>
      <c r="AF170" s="43"/>
      <c r="AG170" s="43"/>
      <c r="AH170" s="43"/>
    </row>
    <row r="171" spans="1:34">
      <c r="A171" s="43"/>
      <c r="B171" s="43"/>
      <c r="C171" s="43"/>
      <c r="D171" s="43"/>
      <c r="E171" s="43"/>
      <c r="F171" s="43"/>
      <c r="G171" s="43"/>
      <c r="H171" s="244"/>
      <c r="I171" s="244"/>
      <c r="J171" s="244"/>
      <c r="K171" s="244"/>
      <c r="L171" s="244"/>
      <c r="M171" s="244"/>
      <c r="N171" s="244"/>
      <c r="O171" s="244"/>
      <c r="P171" s="244"/>
      <c r="Q171" s="245"/>
      <c r="R171" s="244"/>
      <c r="S171" s="244"/>
      <c r="T171" s="244"/>
      <c r="U171" s="244"/>
      <c r="V171" s="244"/>
      <c r="W171" s="245"/>
      <c r="X171" s="253"/>
      <c r="Y171" s="253"/>
      <c r="Z171" s="244"/>
      <c r="AA171" s="244"/>
      <c r="AB171" s="43"/>
      <c r="AC171" s="43"/>
      <c r="AD171" s="43"/>
      <c r="AE171" s="43"/>
      <c r="AF171" s="43"/>
      <c r="AG171" s="43"/>
      <c r="AH171" s="43"/>
    </row>
    <row r="172" spans="1:34">
      <c r="A172" s="43"/>
      <c r="B172" s="43"/>
      <c r="C172" s="43"/>
      <c r="D172" s="43"/>
      <c r="E172" s="43"/>
      <c r="F172" s="43"/>
      <c r="G172" s="43"/>
      <c r="H172" s="244"/>
      <c r="I172" s="244"/>
      <c r="J172" s="244"/>
      <c r="K172" s="244"/>
      <c r="L172" s="244"/>
      <c r="M172" s="244"/>
      <c r="N172" s="244"/>
      <c r="O172" s="244"/>
      <c r="P172" s="244"/>
      <c r="Q172" s="245"/>
      <c r="R172" s="244"/>
      <c r="S172" s="244"/>
      <c r="T172" s="244"/>
      <c r="U172" s="244"/>
      <c r="V172" s="244"/>
      <c r="W172" s="245"/>
      <c r="X172" s="253"/>
      <c r="Y172" s="253"/>
      <c r="Z172" s="244"/>
      <c r="AA172" s="244"/>
      <c r="AB172" s="43"/>
      <c r="AC172" s="43"/>
      <c r="AD172" s="43"/>
      <c r="AE172" s="43"/>
      <c r="AF172" s="43"/>
      <c r="AG172" s="43"/>
      <c r="AH172" s="43"/>
    </row>
    <row r="173" spans="1:34">
      <c r="A173" s="43"/>
      <c r="B173" s="43"/>
      <c r="C173" s="43"/>
      <c r="D173" s="43"/>
      <c r="E173" s="43"/>
      <c r="F173" s="43"/>
      <c r="G173" s="43"/>
      <c r="H173" s="244"/>
      <c r="I173" s="244"/>
      <c r="J173" s="244"/>
      <c r="K173" s="244"/>
      <c r="L173" s="244"/>
      <c r="M173" s="244"/>
      <c r="N173" s="244"/>
      <c r="O173" s="244"/>
      <c r="P173" s="244"/>
      <c r="Q173" s="245"/>
      <c r="R173" s="244"/>
      <c r="S173" s="244"/>
      <c r="T173" s="244"/>
      <c r="U173" s="244"/>
      <c r="V173" s="244"/>
      <c r="W173" s="245"/>
      <c r="X173" s="253"/>
      <c r="Y173" s="253"/>
      <c r="Z173" s="244"/>
      <c r="AA173" s="244"/>
      <c r="AB173" s="43"/>
      <c r="AC173" s="43"/>
      <c r="AD173" s="43"/>
      <c r="AE173" s="43"/>
      <c r="AF173" s="43"/>
      <c r="AG173" s="43"/>
      <c r="AH173" s="43"/>
    </row>
    <row r="174" spans="1:34">
      <c r="A174" s="43"/>
      <c r="B174" s="43"/>
      <c r="C174" s="43"/>
      <c r="D174" s="43"/>
      <c r="E174" s="43"/>
      <c r="F174" s="43"/>
      <c r="G174" s="43"/>
      <c r="H174" s="244"/>
      <c r="I174" s="244"/>
      <c r="J174" s="244"/>
      <c r="K174" s="244"/>
      <c r="L174" s="244"/>
      <c r="M174" s="244"/>
      <c r="N174" s="244"/>
      <c r="O174" s="244"/>
      <c r="P174" s="244"/>
      <c r="Q174" s="245"/>
      <c r="R174" s="244"/>
      <c r="S174" s="244"/>
      <c r="T174" s="244"/>
      <c r="U174" s="244"/>
      <c r="V174" s="244"/>
      <c r="W174" s="245"/>
      <c r="X174" s="253"/>
      <c r="Y174" s="253"/>
      <c r="Z174" s="244"/>
      <c r="AA174" s="244"/>
      <c r="AB174" s="43"/>
      <c r="AC174" s="43"/>
      <c r="AD174" s="43"/>
      <c r="AE174" s="43"/>
      <c r="AF174" s="43"/>
      <c r="AG174" s="43"/>
      <c r="AH174" s="43"/>
    </row>
    <row r="175" spans="1:34">
      <c r="A175" s="43"/>
      <c r="B175" s="43"/>
      <c r="C175" s="43"/>
      <c r="D175" s="43"/>
      <c r="E175" s="43"/>
      <c r="F175" s="43"/>
      <c r="G175" s="43"/>
      <c r="H175" s="244"/>
      <c r="I175" s="244"/>
      <c r="J175" s="244"/>
      <c r="K175" s="244"/>
      <c r="L175" s="244"/>
      <c r="M175" s="244"/>
      <c r="N175" s="244"/>
      <c r="O175" s="244"/>
      <c r="P175" s="244"/>
      <c r="Q175" s="245"/>
      <c r="R175" s="244"/>
      <c r="S175" s="244"/>
      <c r="T175" s="244"/>
      <c r="U175" s="244"/>
      <c r="V175" s="244"/>
      <c r="W175" s="245"/>
      <c r="X175" s="253"/>
      <c r="Y175" s="253"/>
      <c r="Z175" s="244"/>
      <c r="AA175" s="244"/>
      <c r="AB175" s="43"/>
      <c r="AC175" s="43"/>
      <c r="AD175" s="43"/>
      <c r="AE175" s="43"/>
      <c r="AF175" s="43"/>
      <c r="AG175" s="43"/>
      <c r="AH175" s="43"/>
    </row>
    <row r="176" spans="1:34">
      <c r="A176" s="43"/>
      <c r="B176" s="43"/>
      <c r="C176" s="43"/>
      <c r="D176" s="43"/>
      <c r="E176" s="43"/>
      <c r="F176" s="43"/>
      <c r="G176" s="43"/>
      <c r="H176" s="244"/>
      <c r="I176" s="244"/>
      <c r="J176" s="244"/>
      <c r="K176" s="244"/>
      <c r="L176" s="244"/>
      <c r="M176" s="244"/>
      <c r="N176" s="244"/>
      <c r="O176" s="244"/>
      <c r="P176" s="244"/>
      <c r="Q176" s="245"/>
      <c r="R176" s="244"/>
      <c r="S176" s="244"/>
      <c r="T176" s="244"/>
      <c r="U176" s="244"/>
      <c r="V176" s="244"/>
      <c r="W176" s="245"/>
      <c r="X176" s="253"/>
      <c r="Y176" s="253"/>
      <c r="Z176" s="244"/>
      <c r="AA176" s="244"/>
      <c r="AB176" s="43"/>
      <c r="AC176" s="43"/>
      <c r="AD176" s="43"/>
      <c r="AE176" s="43"/>
      <c r="AF176" s="43"/>
      <c r="AG176" s="43"/>
      <c r="AH176" s="43"/>
    </row>
    <row r="177" spans="1:34">
      <c r="A177" s="43"/>
      <c r="B177" s="43"/>
      <c r="C177" s="43"/>
      <c r="D177" s="43"/>
      <c r="E177" s="43"/>
      <c r="F177" s="43"/>
      <c r="G177" s="43"/>
      <c r="H177" s="244"/>
      <c r="I177" s="244"/>
      <c r="J177" s="244"/>
      <c r="K177" s="244"/>
      <c r="L177" s="244"/>
      <c r="M177" s="244"/>
      <c r="N177" s="244"/>
      <c r="O177" s="244"/>
      <c r="P177" s="244"/>
      <c r="Q177" s="245"/>
      <c r="R177" s="244"/>
      <c r="S177" s="244"/>
      <c r="T177" s="244"/>
      <c r="U177" s="244"/>
      <c r="V177" s="244"/>
      <c r="W177" s="245"/>
      <c r="X177" s="253"/>
      <c r="Y177" s="253"/>
      <c r="Z177" s="244"/>
      <c r="AA177" s="244"/>
      <c r="AB177" s="43"/>
      <c r="AC177" s="43"/>
      <c r="AD177" s="43"/>
      <c r="AE177" s="43"/>
      <c r="AF177" s="43"/>
      <c r="AG177" s="43"/>
      <c r="AH177" s="43"/>
    </row>
    <row r="178" spans="1:34">
      <c r="A178" s="43"/>
      <c r="B178" s="43"/>
      <c r="C178" s="43"/>
      <c r="D178" s="43"/>
      <c r="E178" s="43"/>
      <c r="F178" s="43"/>
      <c r="G178" s="43"/>
      <c r="H178" s="244"/>
      <c r="I178" s="244"/>
      <c r="J178" s="244"/>
      <c r="K178" s="244"/>
      <c r="L178" s="244"/>
      <c r="M178" s="244"/>
      <c r="N178" s="244"/>
      <c r="O178" s="244"/>
      <c r="P178" s="244"/>
      <c r="Q178" s="245"/>
      <c r="R178" s="244"/>
      <c r="S178" s="244"/>
      <c r="T178" s="244"/>
      <c r="U178" s="244"/>
      <c r="V178" s="244"/>
      <c r="W178" s="245"/>
      <c r="X178" s="253"/>
      <c r="Y178" s="253"/>
      <c r="Z178" s="244"/>
      <c r="AA178" s="244"/>
      <c r="AB178" s="43"/>
      <c r="AC178" s="43"/>
      <c r="AD178" s="43"/>
      <c r="AE178" s="43"/>
      <c r="AF178" s="43"/>
      <c r="AG178" s="43"/>
      <c r="AH178" s="43"/>
    </row>
    <row r="179" spans="1:34">
      <c r="A179" s="43"/>
      <c r="B179" s="43"/>
      <c r="C179" s="43"/>
      <c r="D179" s="43"/>
      <c r="E179" s="43"/>
      <c r="F179" s="43"/>
      <c r="G179" s="43"/>
      <c r="H179" s="244"/>
      <c r="I179" s="244"/>
      <c r="J179" s="244"/>
      <c r="K179" s="244"/>
      <c r="L179" s="244"/>
      <c r="M179" s="244"/>
      <c r="N179" s="244"/>
      <c r="O179" s="244"/>
      <c r="P179" s="244"/>
      <c r="Q179" s="245"/>
      <c r="R179" s="244"/>
      <c r="S179" s="244"/>
      <c r="T179" s="244"/>
      <c r="U179" s="244"/>
      <c r="V179" s="244"/>
      <c r="W179" s="245"/>
      <c r="X179" s="253"/>
      <c r="Y179" s="253"/>
      <c r="Z179" s="244"/>
      <c r="AA179" s="244"/>
      <c r="AB179" s="43"/>
      <c r="AC179" s="43"/>
      <c r="AD179" s="43"/>
      <c r="AE179" s="43"/>
      <c r="AF179" s="43"/>
      <c r="AG179" s="43"/>
      <c r="AH179" s="43"/>
    </row>
    <row r="180" spans="1:34">
      <c r="A180" s="43"/>
      <c r="B180" s="43"/>
      <c r="C180" s="43"/>
      <c r="D180" s="43"/>
      <c r="E180" s="43"/>
      <c r="F180" s="43"/>
      <c r="G180" s="43"/>
      <c r="H180" s="244"/>
      <c r="I180" s="244"/>
      <c r="J180" s="244"/>
      <c r="K180" s="244"/>
      <c r="L180" s="244"/>
      <c r="M180" s="244"/>
      <c r="N180" s="244"/>
      <c r="O180" s="244"/>
      <c r="P180" s="244"/>
      <c r="Q180" s="245"/>
      <c r="R180" s="244"/>
      <c r="S180" s="244"/>
      <c r="T180" s="244"/>
      <c r="U180" s="244"/>
      <c r="V180" s="244"/>
      <c r="W180" s="245"/>
      <c r="X180" s="253"/>
      <c r="Y180" s="253"/>
      <c r="Z180" s="244"/>
      <c r="AA180" s="244"/>
      <c r="AB180" s="43"/>
      <c r="AC180" s="43"/>
      <c r="AD180" s="43"/>
      <c r="AE180" s="43"/>
      <c r="AF180" s="43"/>
      <c r="AG180" s="43"/>
      <c r="AH180" s="43"/>
    </row>
    <row r="181" spans="1:34">
      <c r="A181" s="43"/>
      <c r="B181" s="43"/>
      <c r="C181" s="43"/>
      <c r="D181" s="43"/>
      <c r="E181" s="43"/>
      <c r="F181" s="43"/>
      <c r="G181" s="43"/>
      <c r="H181" s="244"/>
      <c r="I181" s="244"/>
      <c r="J181" s="244"/>
      <c r="K181" s="244"/>
      <c r="L181" s="244"/>
      <c r="M181" s="244"/>
      <c r="N181" s="244"/>
      <c r="O181" s="244"/>
      <c r="P181" s="244"/>
      <c r="Q181" s="245"/>
      <c r="R181" s="244"/>
      <c r="S181" s="244"/>
      <c r="T181" s="244"/>
      <c r="U181" s="244"/>
      <c r="V181" s="244"/>
      <c r="W181" s="245"/>
      <c r="X181" s="253"/>
      <c r="Y181" s="253"/>
      <c r="Z181" s="244"/>
      <c r="AA181" s="244"/>
      <c r="AB181" s="43"/>
      <c r="AC181" s="43"/>
      <c r="AD181" s="43"/>
      <c r="AE181" s="43"/>
      <c r="AF181" s="43"/>
      <c r="AG181" s="43"/>
      <c r="AH181" s="43"/>
    </row>
    <row r="182" spans="1:34">
      <c r="A182" s="43"/>
      <c r="B182" s="43"/>
      <c r="C182" s="43"/>
      <c r="D182" s="43"/>
      <c r="E182" s="43"/>
      <c r="F182" s="43"/>
      <c r="G182" s="43"/>
      <c r="H182" s="244"/>
      <c r="I182" s="244"/>
      <c r="J182" s="244"/>
      <c r="K182" s="244"/>
      <c r="L182" s="244"/>
      <c r="M182" s="244"/>
      <c r="N182" s="244"/>
      <c r="O182" s="244"/>
      <c r="P182" s="244"/>
      <c r="Q182" s="245"/>
      <c r="R182" s="244"/>
      <c r="S182" s="244"/>
      <c r="T182" s="244"/>
      <c r="U182" s="244"/>
      <c r="V182" s="244"/>
      <c r="W182" s="245"/>
      <c r="X182" s="253"/>
      <c r="Y182" s="253"/>
      <c r="Z182" s="244"/>
      <c r="AA182" s="244"/>
      <c r="AB182" s="43"/>
      <c r="AC182" s="43"/>
      <c r="AD182" s="43"/>
      <c r="AE182" s="43"/>
      <c r="AF182" s="43"/>
      <c r="AG182" s="43"/>
      <c r="AH182" s="43"/>
    </row>
    <row r="183" spans="1:34">
      <c r="A183" s="43"/>
      <c r="B183" s="43"/>
      <c r="C183" s="43"/>
      <c r="D183" s="43"/>
      <c r="E183" s="43"/>
      <c r="F183" s="43"/>
      <c r="G183" s="43"/>
      <c r="H183" s="244"/>
      <c r="I183" s="244"/>
      <c r="J183" s="244"/>
      <c r="K183" s="244"/>
      <c r="L183" s="244"/>
      <c r="M183" s="244"/>
      <c r="N183" s="244"/>
      <c r="O183" s="244"/>
      <c r="P183" s="244"/>
      <c r="Q183" s="245"/>
      <c r="R183" s="244"/>
      <c r="S183" s="244"/>
      <c r="T183" s="244"/>
      <c r="U183" s="244"/>
      <c r="V183" s="244"/>
      <c r="W183" s="245"/>
      <c r="X183" s="253"/>
      <c r="Y183" s="253"/>
      <c r="Z183" s="244"/>
      <c r="AA183" s="244"/>
      <c r="AB183" s="43"/>
      <c r="AC183" s="43"/>
      <c r="AD183" s="43"/>
      <c r="AE183" s="43"/>
      <c r="AF183" s="43"/>
      <c r="AG183" s="43"/>
      <c r="AH183" s="43"/>
    </row>
    <row r="184" spans="1:34">
      <c r="A184" s="43"/>
      <c r="B184" s="43"/>
      <c r="C184" s="43"/>
      <c r="D184" s="43"/>
      <c r="E184" s="43"/>
      <c r="F184" s="43"/>
      <c r="G184" s="43"/>
      <c r="H184" s="244"/>
      <c r="I184" s="244"/>
      <c r="J184" s="244"/>
      <c r="K184" s="244"/>
      <c r="L184" s="244"/>
      <c r="M184" s="244"/>
      <c r="N184" s="244"/>
      <c r="O184" s="244"/>
      <c r="P184" s="244"/>
      <c r="Q184" s="245"/>
      <c r="R184" s="244"/>
      <c r="S184" s="244"/>
      <c r="T184" s="244"/>
      <c r="U184" s="244"/>
      <c r="V184" s="244"/>
      <c r="W184" s="245"/>
      <c r="X184" s="253"/>
      <c r="Y184" s="253"/>
      <c r="Z184" s="244"/>
      <c r="AA184" s="244"/>
      <c r="AB184" s="43"/>
      <c r="AC184" s="43"/>
      <c r="AD184" s="43"/>
      <c r="AE184" s="43"/>
      <c r="AF184" s="43"/>
      <c r="AG184" s="43"/>
      <c r="AH184" s="43"/>
    </row>
    <row r="185" spans="1:34">
      <c r="A185" s="43"/>
      <c r="B185" s="43"/>
      <c r="C185" s="43"/>
      <c r="D185" s="43"/>
      <c r="E185" s="43"/>
      <c r="F185" s="43"/>
      <c r="G185" s="43"/>
      <c r="H185" s="244"/>
      <c r="I185" s="244"/>
      <c r="J185" s="244"/>
      <c r="K185" s="244"/>
      <c r="L185" s="244"/>
      <c r="M185" s="244"/>
      <c r="N185" s="244"/>
      <c r="O185" s="244"/>
      <c r="P185" s="244"/>
      <c r="Q185" s="245"/>
      <c r="R185" s="244"/>
      <c r="S185" s="244"/>
      <c r="T185" s="244"/>
      <c r="U185" s="244"/>
      <c r="V185" s="244"/>
      <c r="W185" s="245"/>
      <c r="X185" s="253"/>
      <c r="Y185" s="253"/>
      <c r="Z185" s="244"/>
      <c r="AA185" s="244"/>
      <c r="AB185" s="43"/>
      <c r="AC185" s="43"/>
      <c r="AD185" s="43"/>
      <c r="AE185" s="43"/>
      <c r="AF185" s="43"/>
      <c r="AG185" s="43"/>
      <c r="AH185" s="43"/>
    </row>
    <row r="186" spans="1:34">
      <c r="A186" s="43"/>
      <c r="B186" s="43"/>
      <c r="C186" s="43"/>
      <c r="D186" s="43"/>
      <c r="E186" s="43"/>
      <c r="F186" s="43"/>
      <c r="G186" s="43"/>
      <c r="H186" s="244"/>
      <c r="I186" s="244"/>
      <c r="J186" s="244"/>
      <c r="K186" s="244"/>
      <c r="L186" s="244"/>
      <c r="M186" s="244"/>
      <c r="N186" s="244"/>
      <c r="O186" s="244"/>
      <c r="P186" s="244"/>
      <c r="Q186" s="245"/>
      <c r="R186" s="244"/>
      <c r="S186" s="244"/>
      <c r="T186" s="244"/>
      <c r="U186" s="244"/>
      <c r="V186" s="244"/>
      <c r="W186" s="245"/>
      <c r="X186" s="253"/>
      <c r="Y186" s="253"/>
      <c r="Z186" s="244"/>
      <c r="AA186" s="244"/>
      <c r="AB186" s="43"/>
      <c r="AC186" s="43"/>
      <c r="AD186" s="43"/>
      <c r="AE186" s="43"/>
      <c r="AF186" s="43"/>
      <c r="AG186" s="43"/>
      <c r="AH186" s="43"/>
    </row>
    <row r="187" spans="1:34">
      <c r="A187" s="43"/>
      <c r="B187" s="43"/>
      <c r="C187" s="43"/>
      <c r="D187" s="43"/>
      <c r="E187" s="43"/>
      <c r="F187" s="43"/>
      <c r="G187" s="43"/>
      <c r="H187" s="244"/>
      <c r="I187" s="244"/>
      <c r="J187" s="244"/>
      <c r="K187" s="244"/>
      <c r="L187" s="244"/>
      <c r="M187" s="244"/>
      <c r="N187" s="244"/>
      <c r="O187" s="244"/>
      <c r="P187" s="244"/>
      <c r="Q187" s="245"/>
      <c r="R187" s="244"/>
      <c r="S187" s="244"/>
      <c r="T187" s="244"/>
      <c r="U187" s="244"/>
      <c r="V187" s="244"/>
      <c r="W187" s="245"/>
      <c r="X187" s="253"/>
      <c r="Y187" s="253"/>
      <c r="Z187" s="244"/>
      <c r="AA187" s="244"/>
      <c r="AB187" s="43"/>
      <c r="AC187" s="43"/>
      <c r="AD187" s="43"/>
      <c r="AE187" s="43"/>
      <c r="AF187" s="43"/>
      <c r="AG187" s="43"/>
      <c r="AH187" s="43"/>
    </row>
    <row r="188" spans="1:34">
      <c r="A188" s="43"/>
      <c r="B188" s="43"/>
      <c r="C188" s="43"/>
      <c r="D188" s="43"/>
      <c r="E188" s="43"/>
      <c r="F188" s="43"/>
      <c r="G188" s="43"/>
      <c r="H188" s="244"/>
      <c r="I188" s="244"/>
      <c r="J188" s="244"/>
      <c r="K188" s="244"/>
      <c r="L188" s="244"/>
      <c r="M188" s="244"/>
      <c r="N188" s="244"/>
      <c r="O188" s="244"/>
      <c r="P188" s="244"/>
      <c r="Q188" s="245"/>
      <c r="R188" s="244"/>
      <c r="S188" s="244"/>
      <c r="T188" s="244"/>
      <c r="U188" s="244"/>
      <c r="V188" s="244"/>
      <c r="W188" s="245"/>
      <c r="X188" s="253"/>
      <c r="Y188" s="253"/>
      <c r="Z188" s="244"/>
      <c r="AA188" s="244"/>
      <c r="AB188" s="43"/>
      <c r="AC188" s="43"/>
      <c r="AD188" s="43"/>
      <c r="AE188" s="43"/>
      <c r="AF188" s="43"/>
      <c r="AG188" s="43"/>
      <c r="AH188" s="43"/>
    </row>
    <row r="189" spans="1:34">
      <c r="A189" s="43"/>
      <c r="B189" s="43"/>
      <c r="C189" s="43"/>
      <c r="D189" s="43"/>
      <c r="E189" s="43"/>
      <c r="F189" s="43"/>
      <c r="G189" s="43"/>
      <c r="H189" s="244"/>
      <c r="I189" s="244"/>
      <c r="J189" s="244"/>
      <c r="K189" s="244"/>
      <c r="L189" s="244"/>
      <c r="M189" s="244"/>
      <c r="N189" s="244"/>
      <c r="O189" s="244"/>
      <c r="P189" s="244"/>
      <c r="Q189" s="245"/>
      <c r="R189" s="244"/>
      <c r="S189" s="244"/>
      <c r="T189" s="244"/>
      <c r="U189" s="244"/>
      <c r="V189" s="244"/>
      <c r="W189" s="245"/>
      <c r="X189" s="253"/>
      <c r="Y189" s="253"/>
      <c r="Z189" s="244"/>
      <c r="AA189" s="244"/>
      <c r="AB189" s="43"/>
      <c r="AC189" s="43"/>
      <c r="AD189" s="43"/>
      <c r="AE189" s="43"/>
      <c r="AF189" s="43"/>
      <c r="AG189" s="43"/>
      <c r="AH189" s="43"/>
    </row>
    <row r="190" spans="1:34">
      <c r="A190" s="43"/>
      <c r="B190" s="43"/>
      <c r="C190" s="43"/>
      <c r="D190" s="43"/>
      <c r="E190" s="43"/>
      <c r="F190" s="43"/>
      <c r="G190" s="43"/>
      <c r="H190" s="244"/>
      <c r="I190" s="244"/>
      <c r="J190" s="244"/>
      <c r="K190" s="244"/>
      <c r="L190" s="244"/>
      <c r="M190" s="244"/>
      <c r="N190" s="244"/>
      <c r="O190" s="244"/>
      <c r="P190" s="244"/>
      <c r="Q190" s="245"/>
      <c r="R190" s="244"/>
      <c r="S190" s="244"/>
      <c r="T190" s="244"/>
      <c r="U190" s="244"/>
      <c r="V190" s="244"/>
      <c r="W190" s="245"/>
      <c r="X190" s="253"/>
      <c r="Y190" s="253"/>
      <c r="Z190" s="244"/>
      <c r="AA190" s="244"/>
      <c r="AB190" s="43"/>
      <c r="AC190" s="43"/>
      <c r="AD190" s="43"/>
      <c r="AE190" s="43"/>
      <c r="AF190" s="43"/>
      <c r="AG190" s="43"/>
      <c r="AH190" s="43"/>
    </row>
    <row r="191" spans="1:34">
      <c r="A191" s="43"/>
      <c r="B191" s="43"/>
      <c r="C191" s="43"/>
      <c r="D191" s="43"/>
      <c r="E191" s="43"/>
      <c r="F191" s="43"/>
      <c r="G191" s="43"/>
      <c r="H191" s="244"/>
      <c r="I191" s="244"/>
      <c r="J191" s="244"/>
      <c r="K191" s="244"/>
      <c r="L191" s="244"/>
      <c r="M191" s="244"/>
      <c r="N191" s="244"/>
      <c r="O191" s="244"/>
      <c r="P191" s="244"/>
      <c r="Q191" s="245"/>
      <c r="R191" s="244"/>
      <c r="S191" s="244"/>
      <c r="T191" s="244"/>
      <c r="U191" s="244"/>
      <c r="V191" s="244"/>
      <c r="W191" s="245"/>
      <c r="X191" s="253"/>
      <c r="Y191" s="253"/>
      <c r="Z191" s="244"/>
      <c r="AA191" s="244"/>
      <c r="AB191" s="43"/>
      <c r="AC191" s="43"/>
      <c r="AD191" s="43"/>
      <c r="AE191" s="43"/>
      <c r="AF191" s="43"/>
      <c r="AG191" s="43"/>
      <c r="AH191" s="43"/>
    </row>
    <row r="192" spans="1:34">
      <c r="A192" s="43"/>
      <c r="B192" s="43"/>
      <c r="C192" s="43"/>
      <c r="D192" s="43"/>
      <c r="E192" s="43"/>
      <c r="F192" s="43"/>
      <c r="G192" s="43"/>
      <c r="H192" s="244"/>
      <c r="I192" s="244"/>
      <c r="J192" s="244"/>
      <c r="K192" s="244"/>
      <c r="L192" s="244"/>
      <c r="M192" s="244"/>
      <c r="N192" s="244"/>
      <c r="O192" s="244"/>
      <c r="P192" s="244"/>
      <c r="Q192" s="245"/>
      <c r="R192" s="244"/>
      <c r="S192" s="244"/>
      <c r="T192" s="244"/>
      <c r="U192" s="244"/>
      <c r="V192" s="244"/>
      <c r="W192" s="245"/>
      <c r="X192" s="253"/>
      <c r="Y192" s="253"/>
      <c r="Z192" s="244"/>
      <c r="AA192" s="244"/>
      <c r="AB192" s="43"/>
      <c r="AC192" s="43"/>
      <c r="AD192" s="43"/>
      <c r="AE192" s="43"/>
      <c r="AF192" s="43"/>
      <c r="AG192" s="43"/>
      <c r="AH192" s="43"/>
    </row>
    <row r="193" spans="1:34">
      <c r="A193" s="43"/>
      <c r="B193" s="43"/>
      <c r="C193" s="43"/>
      <c r="D193" s="43"/>
      <c r="E193" s="43"/>
      <c r="F193" s="43"/>
      <c r="G193" s="43"/>
      <c r="H193" s="244"/>
      <c r="I193" s="244"/>
      <c r="J193" s="244"/>
      <c r="K193" s="244"/>
      <c r="L193" s="244"/>
      <c r="M193" s="244"/>
      <c r="N193" s="244"/>
      <c r="O193" s="244"/>
      <c r="P193" s="244"/>
      <c r="Q193" s="245"/>
      <c r="R193" s="244"/>
      <c r="S193" s="244"/>
      <c r="T193" s="244"/>
      <c r="U193" s="244"/>
      <c r="V193" s="244"/>
      <c r="W193" s="245"/>
      <c r="X193" s="253"/>
      <c r="Y193" s="253"/>
      <c r="Z193" s="244"/>
      <c r="AA193" s="244"/>
      <c r="AB193" s="43"/>
      <c r="AC193" s="43"/>
      <c r="AD193" s="43"/>
      <c r="AE193" s="43"/>
      <c r="AF193" s="43"/>
      <c r="AG193" s="43"/>
      <c r="AH193" s="43"/>
    </row>
    <row r="194" spans="1:34">
      <c r="A194" s="43"/>
      <c r="B194" s="43"/>
      <c r="C194" s="43"/>
      <c r="D194" s="43"/>
      <c r="E194" s="43"/>
      <c r="F194" s="43"/>
      <c r="G194" s="43"/>
      <c r="H194" s="244"/>
      <c r="I194" s="244"/>
      <c r="J194" s="244"/>
      <c r="K194" s="244"/>
      <c r="L194" s="244"/>
      <c r="M194" s="244"/>
      <c r="N194" s="244"/>
      <c r="O194" s="244"/>
      <c r="P194" s="244"/>
      <c r="Q194" s="245"/>
      <c r="R194" s="244"/>
      <c r="S194" s="244"/>
      <c r="T194" s="244"/>
      <c r="U194" s="244"/>
      <c r="V194" s="244"/>
      <c r="W194" s="245"/>
      <c r="X194" s="253"/>
      <c r="Y194" s="253"/>
      <c r="Z194" s="244"/>
      <c r="AA194" s="244"/>
      <c r="AB194" s="43"/>
      <c r="AC194" s="43"/>
      <c r="AD194" s="43"/>
      <c r="AE194" s="43"/>
      <c r="AF194" s="43"/>
      <c r="AG194" s="43"/>
      <c r="AH194" s="43"/>
    </row>
    <row r="195" spans="1:34">
      <c r="A195" s="43"/>
      <c r="B195" s="43"/>
      <c r="C195" s="43"/>
      <c r="D195" s="43"/>
      <c r="E195" s="43"/>
      <c r="F195" s="43"/>
      <c r="G195" s="43"/>
      <c r="H195" s="244"/>
      <c r="I195" s="244"/>
      <c r="J195" s="244"/>
      <c r="K195" s="244"/>
      <c r="L195" s="244"/>
      <c r="M195" s="244"/>
      <c r="N195" s="244"/>
      <c r="O195" s="244"/>
      <c r="P195" s="244"/>
      <c r="Q195" s="245"/>
      <c r="R195" s="244"/>
      <c r="S195" s="244"/>
      <c r="T195" s="244"/>
      <c r="U195" s="244"/>
      <c r="V195" s="244"/>
      <c r="W195" s="245"/>
      <c r="X195" s="253"/>
      <c r="Y195" s="253"/>
      <c r="Z195" s="244"/>
      <c r="AA195" s="244"/>
      <c r="AB195" s="43"/>
      <c r="AC195" s="43"/>
      <c r="AD195" s="43"/>
      <c r="AE195" s="43"/>
      <c r="AF195" s="43"/>
      <c r="AG195" s="43"/>
      <c r="AH195" s="43"/>
    </row>
    <row r="196" spans="1:34">
      <c r="A196" s="43"/>
      <c r="B196" s="43"/>
      <c r="C196" s="43"/>
      <c r="D196" s="43"/>
      <c r="E196" s="43"/>
      <c r="F196" s="43"/>
      <c r="G196" s="43"/>
      <c r="H196" s="244"/>
      <c r="I196" s="244"/>
      <c r="J196" s="244"/>
      <c r="K196" s="244"/>
      <c r="L196" s="244"/>
      <c r="M196" s="244"/>
      <c r="N196" s="244"/>
      <c r="O196" s="244"/>
      <c r="P196" s="244"/>
      <c r="Q196" s="245"/>
      <c r="R196" s="244"/>
      <c r="S196" s="244"/>
      <c r="T196" s="244"/>
      <c r="U196" s="244"/>
      <c r="V196" s="244"/>
      <c r="W196" s="245"/>
      <c r="X196" s="253"/>
      <c r="Y196" s="253"/>
      <c r="Z196" s="244"/>
      <c r="AA196" s="244"/>
      <c r="AB196" s="43"/>
      <c r="AC196" s="43"/>
      <c r="AD196" s="43"/>
      <c r="AE196" s="43"/>
      <c r="AF196" s="43"/>
      <c r="AG196" s="43"/>
      <c r="AH196" s="43"/>
    </row>
    <row r="197" spans="1:34">
      <c r="A197" s="43"/>
      <c r="B197" s="43"/>
      <c r="C197" s="43"/>
      <c r="D197" s="43"/>
      <c r="E197" s="43"/>
      <c r="F197" s="43"/>
      <c r="G197" s="43"/>
      <c r="H197" s="244"/>
      <c r="I197" s="244"/>
      <c r="J197" s="244"/>
      <c r="K197" s="244"/>
      <c r="L197" s="244"/>
      <c r="M197" s="244"/>
      <c r="N197" s="244"/>
      <c r="O197" s="244"/>
      <c r="P197" s="244"/>
      <c r="Q197" s="245"/>
      <c r="R197" s="244"/>
      <c r="S197" s="244"/>
      <c r="T197" s="244"/>
      <c r="U197" s="244"/>
      <c r="V197" s="244"/>
      <c r="W197" s="245"/>
      <c r="X197" s="253"/>
      <c r="Y197" s="253"/>
      <c r="Z197" s="244"/>
      <c r="AA197" s="244"/>
      <c r="AB197" s="43"/>
      <c r="AC197" s="43"/>
      <c r="AD197" s="43"/>
      <c r="AE197" s="43"/>
      <c r="AF197" s="43"/>
      <c r="AG197" s="43"/>
      <c r="AH197" s="43"/>
    </row>
    <row r="198" spans="1:34">
      <c r="A198" s="43"/>
      <c r="B198" s="43"/>
      <c r="C198" s="43"/>
      <c r="D198" s="43"/>
      <c r="E198" s="43"/>
      <c r="F198" s="43"/>
      <c r="G198" s="43"/>
      <c r="H198" s="244"/>
      <c r="I198" s="244"/>
      <c r="J198" s="244"/>
      <c r="K198" s="244"/>
      <c r="L198" s="244"/>
      <c r="M198" s="244"/>
      <c r="N198" s="244"/>
      <c r="O198" s="244"/>
      <c r="P198" s="244"/>
      <c r="Q198" s="245"/>
      <c r="R198" s="244"/>
      <c r="S198" s="244"/>
      <c r="T198" s="244"/>
      <c r="U198" s="244"/>
      <c r="V198" s="244"/>
      <c r="W198" s="245"/>
      <c r="X198" s="253"/>
      <c r="Y198" s="253"/>
      <c r="Z198" s="244"/>
      <c r="AA198" s="244"/>
      <c r="AB198" s="43"/>
      <c r="AC198" s="43"/>
      <c r="AD198" s="43"/>
      <c r="AE198" s="43"/>
      <c r="AF198" s="43"/>
      <c r="AG198" s="43"/>
      <c r="AH198" s="43"/>
    </row>
    <row r="199" spans="1:34">
      <c r="A199" s="43"/>
      <c r="B199" s="43"/>
      <c r="C199" s="43"/>
      <c r="D199" s="43"/>
      <c r="E199" s="43"/>
      <c r="F199" s="43"/>
      <c r="G199" s="43"/>
      <c r="H199" s="244"/>
      <c r="I199" s="244"/>
      <c r="J199" s="244"/>
      <c r="K199" s="244"/>
      <c r="L199" s="244"/>
      <c r="M199" s="244"/>
      <c r="N199" s="244"/>
      <c r="O199" s="244"/>
      <c r="P199" s="244"/>
      <c r="Q199" s="245"/>
      <c r="R199" s="244"/>
      <c r="S199" s="244"/>
      <c r="T199" s="244"/>
      <c r="U199" s="244"/>
      <c r="V199" s="244"/>
      <c r="W199" s="245"/>
      <c r="X199" s="253"/>
      <c r="Y199" s="253"/>
      <c r="Z199" s="244"/>
      <c r="AA199" s="244"/>
      <c r="AB199" s="43"/>
      <c r="AC199" s="43"/>
      <c r="AD199" s="43"/>
      <c r="AE199" s="43"/>
      <c r="AF199" s="43"/>
      <c r="AG199" s="43"/>
      <c r="AH199" s="43"/>
    </row>
    <row r="200" spans="1:34">
      <c r="A200" s="43"/>
      <c r="B200" s="43"/>
      <c r="C200" s="43"/>
      <c r="D200" s="43"/>
      <c r="E200" s="43"/>
      <c r="F200" s="43"/>
      <c r="G200" s="43"/>
      <c r="H200" s="244"/>
      <c r="I200" s="244"/>
      <c r="J200" s="244"/>
      <c r="K200" s="244"/>
      <c r="L200" s="244"/>
      <c r="M200" s="244"/>
      <c r="N200" s="244"/>
      <c r="O200" s="244"/>
      <c r="P200" s="244"/>
      <c r="Q200" s="245"/>
      <c r="R200" s="244"/>
      <c r="S200" s="244"/>
      <c r="T200" s="244"/>
      <c r="U200" s="244"/>
      <c r="V200" s="244"/>
      <c r="W200" s="245"/>
      <c r="X200" s="253"/>
      <c r="Y200" s="253"/>
      <c r="Z200" s="244"/>
      <c r="AA200" s="244"/>
      <c r="AB200" s="43"/>
      <c r="AC200" s="43"/>
      <c r="AD200" s="43"/>
      <c r="AE200" s="43"/>
      <c r="AF200" s="43"/>
      <c r="AG200" s="43"/>
      <c r="AH200" s="43"/>
    </row>
    <row r="201" spans="1:34">
      <c r="A201" s="43"/>
      <c r="B201" s="43"/>
      <c r="C201" s="43"/>
      <c r="D201" s="43"/>
      <c r="E201" s="43"/>
      <c r="F201" s="43"/>
      <c r="G201" s="43"/>
      <c r="H201" s="244"/>
      <c r="I201" s="244"/>
      <c r="J201" s="244"/>
      <c r="K201" s="244"/>
      <c r="L201" s="244"/>
      <c r="M201" s="244"/>
      <c r="N201" s="244"/>
      <c r="O201" s="244"/>
      <c r="P201" s="244"/>
      <c r="Q201" s="245"/>
      <c r="R201" s="244"/>
      <c r="S201" s="244"/>
      <c r="T201" s="244"/>
      <c r="U201" s="244"/>
      <c r="V201" s="244"/>
      <c r="W201" s="245"/>
      <c r="X201" s="253"/>
      <c r="Y201" s="253"/>
      <c r="Z201" s="244"/>
      <c r="AA201" s="244"/>
      <c r="AB201" s="43"/>
      <c r="AC201" s="43"/>
      <c r="AD201" s="43"/>
      <c r="AE201" s="43"/>
      <c r="AF201" s="43"/>
      <c r="AG201" s="43"/>
      <c r="AH201" s="43"/>
    </row>
    <row r="202" spans="1:34">
      <c r="A202" s="43"/>
      <c r="B202" s="43"/>
      <c r="C202" s="43"/>
      <c r="D202" s="43"/>
      <c r="E202" s="43"/>
      <c r="F202" s="43"/>
      <c r="G202" s="43"/>
      <c r="H202" s="244"/>
      <c r="I202" s="244"/>
      <c r="J202" s="244"/>
      <c r="K202" s="244"/>
      <c r="L202" s="244"/>
      <c r="M202" s="244"/>
      <c r="N202" s="244"/>
      <c r="O202" s="244"/>
      <c r="P202" s="244"/>
      <c r="Q202" s="245"/>
      <c r="R202" s="244"/>
      <c r="S202" s="244"/>
      <c r="T202" s="244"/>
      <c r="U202" s="244"/>
      <c r="V202" s="244"/>
      <c r="W202" s="245"/>
      <c r="X202" s="253"/>
      <c r="Y202" s="253"/>
      <c r="Z202" s="244"/>
      <c r="AA202" s="244"/>
      <c r="AB202" s="43"/>
      <c r="AC202" s="43"/>
      <c r="AD202" s="43"/>
      <c r="AE202" s="43"/>
      <c r="AF202" s="43"/>
      <c r="AG202" s="43"/>
      <c r="AH202" s="43"/>
    </row>
    <row r="203" spans="1:34">
      <c r="A203" s="43"/>
      <c r="B203" s="43"/>
      <c r="C203" s="43"/>
      <c r="D203" s="43"/>
      <c r="E203" s="43"/>
      <c r="F203" s="43"/>
      <c r="G203" s="43"/>
      <c r="H203" s="244"/>
      <c r="I203" s="244"/>
      <c r="J203" s="244"/>
      <c r="K203" s="244"/>
      <c r="L203" s="244"/>
      <c r="M203" s="244"/>
      <c r="N203" s="244"/>
      <c r="O203" s="244"/>
      <c r="P203" s="244"/>
      <c r="Q203" s="245"/>
      <c r="R203" s="244"/>
      <c r="S203" s="244"/>
      <c r="T203" s="244"/>
      <c r="U203" s="244"/>
      <c r="V203" s="244"/>
      <c r="W203" s="245"/>
      <c r="X203" s="253"/>
      <c r="Y203" s="253"/>
      <c r="Z203" s="244"/>
      <c r="AA203" s="244"/>
      <c r="AB203" s="43"/>
      <c r="AC203" s="43"/>
      <c r="AD203" s="43"/>
      <c r="AE203" s="43"/>
      <c r="AF203" s="43"/>
      <c r="AG203" s="43"/>
      <c r="AH203" s="43"/>
    </row>
    <row r="204" spans="1:34">
      <c r="A204" s="43"/>
      <c r="B204" s="43"/>
      <c r="C204" s="43"/>
      <c r="D204" s="43"/>
      <c r="E204" s="43"/>
      <c r="F204" s="43"/>
      <c r="G204" s="43"/>
      <c r="H204" s="244"/>
      <c r="I204" s="244"/>
      <c r="J204" s="244"/>
      <c r="K204" s="244"/>
      <c r="L204" s="244"/>
      <c r="M204" s="244"/>
      <c r="N204" s="244"/>
      <c r="O204" s="244"/>
      <c r="P204" s="244"/>
      <c r="Q204" s="245"/>
      <c r="R204" s="244"/>
      <c r="S204" s="244"/>
      <c r="T204" s="244"/>
      <c r="U204" s="244"/>
      <c r="V204" s="244"/>
      <c r="W204" s="245"/>
      <c r="X204" s="253"/>
      <c r="Y204" s="253"/>
      <c r="Z204" s="244"/>
      <c r="AA204" s="244"/>
      <c r="AB204" s="43"/>
      <c r="AC204" s="43"/>
      <c r="AD204" s="43"/>
      <c r="AE204" s="43"/>
      <c r="AF204" s="43"/>
      <c r="AG204" s="43"/>
      <c r="AH204" s="43"/>
    </row>
    <row r="205" spans="1:34">
      <c r="A205" s="43"/>
      <c r="B205" s="43"/>
      <c r="C205" s="43"/>
      <c r="D205" s="43"/>
      <c r="E205" s="43"/>
      <c r="F205" s="43"/>
      <c r="G205" s="43"/>
      <c r="H205" s="244"/>
      <c r="I205" s="244"/>
      <c r="J205" s="244"/>
      <c r="K205" s="244"/>
      <c r="L205" s="244"/>
      <c r="M205" s="244"/>
      <c r="N205" s="244"/>
      <c r="O205" s="244"/>
      <c r="P205" s="244"/>
      <c r="Q205" s="245"/>
      <c r="R205" s="244"/>
      <c r="S205" s="244"/>
      <c r="T205" s="244"/>
      <c r="U205" s="244"/>
      <c r="V205" s="244"/>
      <c r="W205" s="245"/>
      <c r="X205" s="253"/>
      <c r="Y205" s="253"/>
      <c r="Z205" s="244"/>
      <c r="AA205" s="244"/>
      <c r="AB205" s="43"/>
      <c r="AC205" s="43"/>
      <c r="AD205" s="43"/>
      <c r="AE205" s="43"/>
      <c r="AF205" s="43"/>
      <c r="AG205" s="43"/>
      <c r="AH205" s="43"/>
    </row>
    <row r="206" spans="1:34">
      <c r="A206" s="43"/>
      <c r="B206" s="43"/>
      <c r="C206" s="43"/>
      <c r="D206" s="43"/>
      <c r="E206" s="43"/>
      <c r="F206" s="43"/>
      <c r="G206" s="43"/>
      <c r="H206" s="244"/>
      <c r="I206" s="244"/>
      <c r="J206" s="244"/>
      <c r="K206" s="244"/>
      <c r="L206" s="244"/>
      <c r="M206" s="244"/>
      <c r="N206" s="244"/>
      <c r="O206" s="244"/>
      <c r="P206" s="244"/>
      <c r="Q206" s="245"/>
      <c r="R206" s="244"/>
      <c r="S206" s="244"/>
      <c r="T206" s="244"/>
      <c r="U206" s="244"/>
      <c r="V206" s="244"/>
      <c r="W206" s="245"/>
      <c r="X206" s="253"/>
      <c r="Y206" s="253"/>
      <c r="Z206" s="244"/>
      <c r="AA206" s="244"/>
      <c r="AB206" s="43"/>
      <c r="AC206" s="43"/>
      <c r="AD206" s="43"/>
      <c r="AE206" s="43"/>
      <c r="AF206" s="43"/>
      <c r="AG206" s="43"/>
      <c r="AH206" s="43"/>
    </row>
    <row r="207" spans="1:34">
      <c r="A207" s="43"/>
      <c r="B207" s="43"/>
      <c r="C207" s="43"/>
      <c r="D207" s="43"/>
      <c r="E207" s="43"/>
      <c r="F207" s="43"/>
      <c r="G207" s="43"/>
      <c r="H207" s="244"/>
      <c r="I207" s="244"/>
      <c r="J207" s="244"/>
      <c r="K207" s="244"/>
      <c r="L207" s="244"/>
      <c r="M207" s="244"/>
      <c r="N207" s="244"/>
      <c r="O207" s="244"/>
      <c r="P207" s="244"/>
      <c r="Q207" s="245"/>
      <c r="R207" s="244"/>
      <c r="S207" s="244"/>
      <c r="T207" s="244"/>
      <c r="U207" s="244"/>
      <c r="V207" s="244"/>
      <c r="W207" s="245"/>
      <c r="X207" s="253"/>
      <c r="Y207" s="253"/>
      <c r="Z207" s="244"/>
      <c r="AA207" s="244"/>
      <c r="AB207" s="43"/>
      <c r="AC207" s="43"/>
      <c r="AD207" s="43"/>
      <c r="AE207" s="43"/>
      <c r="AF207" s="43"/>
      <c r="AG207" s="43"/>
      <c r="AH207" s="43"/>
    </row>
    <row r="208" spans="1:34">
      <c r="A208" s="43"/>
      <c r="B208" s="43"/>
      <c r="C208" s="43"/>
      <c r="D208" s="43"/>
      <c r="E208" s="43"/>
      <c r="F208" s="43"/>
      <c r="G208" s="43"/>
      <c r="H208" s="244"/>
      <c r="I208" s="244"/>
      <c r="J208" s="244"/>
      <c r="K208" s="244"/>
      <c r="L208" s="244"/>
      <c r="M208" s="244"/>
      <c r="N208" s="244"/>
      <c r="O208" s="244"/>
      <c r="P208" s="244"/>
      <c r="Q208" s="245"/>
      <c r="R208" s="244"/>
      <c r="S208" s="244"/>
      <c r="T208" s="244"/>
      <c r="U208" s="244"/>
      <c r="V208" s="244"/>
      <c r="W208" s="245"/>
      <c r="X208" s="253"/>
      <c r="Y208" s="253"/>
      <c r="Z208" s="244"/>
      <c r="AA208" s="244"/>
      <c r="AB208" s="43"/>
      <c r="AC208" s="43"/>
      <c r="AD208" s="43"/>
      <c r="AE208" s="43"/>
      <c r="AF208" s="43"/>
      <c r="AG208" s="43"/>
      <c r="AH208" s="43"/>
    </row>
    <row r="209" spans="1:34">
      <c r="A209" s="43"/>
      <c r="B209" s="43"/>
      <c r="C209" s="43"/>
      <c r="D209" s="43"/>
      <c r="E209" s="43"/>
      <c r="F209" s="43"/>
      <c r="G209" s="43"/>
      <c r="H209" s="244"/>
      <c r="I209" s="244"/>
      <c r="J209" s="244"/>
      <c r="K209" s="244"/>
      <c r="L209" s="244"/>
      <c r="M209" s="244"/>
      <c r="N209" s="244"/>
      <c r="O209" s="244"/>
      <c r="P209" s="244"/>
      <c r="Q209" s="245"/>
      <c r="R209" s="244"/>
      <c r="S209" s="244"/>
      <c r="T209" s="244"/>
      <c r="U209" s="244"/>
      <c r="V209" s="244"/>
      <c r="W209" s="245"/>
      <c r="X209" s="253"/>
      <c r="Y209" s="253"/>
      <c r="Z209" s="244"/>
      <c r="AA209" s="244"/>
      <c r="AB209" s="43"/>
      <c r="AC209" s="43"/>
      <c r="AD209" s="43"/>
      <c r="AE209" s="43"/>
      <c r="AF209" s="43"/>
      <c r="AG209" s="43"/>
      <c r="AH209" s="43"/>
    </row>
    <row r="210" spans="1:34">
      <c r="A210" s="43"/>
      <c r="B210" s="43"/>
      <c r="C210" s="43"/>
      <c r="D210" s="43"/>
      <c r="E210" s="43"/>
      <c r="F210" s="43"/>
      <c r="G210" s="43"/>
      <c r="H210" s="244"/>
      <c r="I210" s="244"/>
      <c r="J210" s="244"/>
      <c r="K210" s="244"/>
      <c r="L210" s="244"/>
      <c r="M210" s="244"/>
      <c r="N210" s="244"/>
      <c r="O210" s="244"/>
      <c r="P210" s="244"/>
      <c r="Q210" s="245"/>
      <c r="R210" s="244"/>
      <c r="S210" s="244"/>
      <c r="T210" s="244"/>
      <c r="U210" s="244"/>
      <c r="V210" s="244"/>
      <c r="W210" s="245"/>
      <c r="X210" s="253"/>
      <c r="Y210" s="253"/>
      <c r="Z210" s="244"/>
      <c r="AA210" s="244"/>
      <c r="AB210" s="43"/>
      <c r="AC210" s="43"/>
      <c r="AD210" s="43"/>
      <c r="AE210" s="43"/>
      <c r="AF210" s="43"/>
      <c r="AG210" s="43"/>
      <c r="AH210" s="43"/>
    </row>
    <row r="211" spans="1:34">
      <c r="A211" s="43"/>
      <c r="B211" s="43"/>
      <c r="C211" s="43"/>
      <c r="D211" s="43"/>
      <c r="E211" s="43"/>
      <c r="F211" s="43"/>
      <c r="G211" s="43"/>
      <c r="H211" s="244"/>
      <c r="I211" s="244"/>
      <c r="J211" s="244"/>
      <c r="K211" s="244"/>
      <c r="L211" s="244"/>
      <c r="M211" s="244"/>
      <c r="N211" s="244"/>
      <c r="O211" s="244"/>
      <c r="P211" s="244"/>
      <c r="Q211" s="245"/>
      <c r="R211" s="244"/>
      <c r="S211" s="244"/>
      <c r="T211" s="244"/>
      <c r="U211" s="244"/>
      <c r="V211" s="244"/>
      <c r="W211" s="245"/>
      <c r="X211" s="253"/>
      <c r="Y211" s="253"/>
      <c r="Z211" s="244"/>
      <c r="AA211" s="244"/>
      <c r="AB211" s="43"/>
      <c r="AC211" s="43"/>
      <c r="AD211" s="43"/>
      <c r="AE211" s="43"/>
      <c r="AF211" s="43"/>
      <c r="AG211" s="43"/>
      <c r="AH211" s="43"/>
    </row>
    <row r="212" spans="1:34">
      <c r="A212" s="43"/>
      <c r="B212" s="43"/>
      <c r="C212" s="43"/>
      <c r="D212" s="43"/>
      <c r="E212" s="43"/>
      <c r="F212" s="43"/>
      <c r="G212" s="43"/>
      <c r="H212" s="244"/>
      <c r="I212" s="244"/>
      <c r="J212" s="244"/>
      <c r="K212" s="244"/>
      <c r="L212" s="244"/>
      <c r="M212" s="244"/>
      <c r="N212" s="244"/>
      <c r="O212" s="244"/>
      <c r="P212" s="244"/>
      <c r="Q212" s="245"/>
      <c r="R212" s="244"/>
      <c r="S212" s="244"/>
      <c r="T212" s="244"/>
      <c r="U212" s="244"/>
      <c r="V212" s="244"/>
      <c r="W212" s="245"/>
      <c r="X212" s="253"/>
      <c r="Y212" s="253"/>
      <c r="Z212" s="244"/>
      <c r="AA212" s="244"/>
      <c r="AB212" s="43"/>
      <c r="AC212" s="43"/>
      <c r="AD212" s="43"/>
      <c r="AE212" s="43"/>
      <c r="AF212" s="43"/>
      <c r="AG212" s="43"/>
      <c r="AH212" s="43"/>
    </row>
    <row r="213" spans="1:34">
      <c r="A213" s="43"/>
      <c r="B213" s="43"/>
      <c r="C213" s="43"/>
      <c r="D213" s="43"/>
      <c r="E213" s="43"/>
      <c r="F213" s="43"/>
      <c r="G213" s="43"/>
      <c r="H213" s="244"/>
      <c r="I213" s="244"/>
      <c r="J213" s="244"/>
      <c r="K213" s="244"/>
      <c r="L213" s="244"/>
      <c r="M213" s="244"/>
      <c r="N213" s="244"/>
      <c r="O213" s="244"/>
      <c r="P213" s="244"/>
      <c r="Q213" s="245"/>
      <c r="R213" s="244"/>
      <c r="S213" s="244"/>
      <c r="T213" s="244"/>
      <c r="U213" s="244"/>
      <c r="V213" s="244"/>
      <c r="W213" s="245"/>
      <c r="X213" s="253"/>
      <c r="Y213" s="253"/>
      <c r="Z213" s="244"/>
      <c r="AA213" s="244"/>
      <c r="AB213" s="43"/>
      <c r="AC213" s="43"/>
      <c r="AD213" s="43"/>
      <c r="AE213" s="43"/>
      <c r="AF213" s="43"/>
      <c r="AG213" s="43"/>
      <c r="AH213" s="43"/>
    </row>
    <row r="214" spans="1:34">
      <c r="A214" s="43"/>
      <c r="B214" s="43"/>
      <c r="C214" s="43"/>
      <c r="D214" s="43"/>
      <c r="E214" s="43"/>
      <c r="F214" s="43"/>
      <c r="G214" s="43"/>
      <c r="H214" s="244"/>
      <c r="I214" s="244"/>
      <c r="J214" s="244"/>
      <c r="K214" s="244"/>
      <c r="L214" s="244"/>
      <c r="M214" s="244"/>
      <c r="N214" s="244"/>
      <c r="O214" s="244"/>
      <c r="P214" s="244"/>
      <c r="Q214" s="245"/>
      <c r="R214" s="244"/>
      <c r="S214" s="244"/>
      <c r="T214" s="244"/>
      <c r="U214" s="244"/>
      <c r="V214" s="244"/>
      <c r="W214" s="245"/>
      <c r="X214" s="253"/>
      <c r="Y214" s="253"/>
      <c r="Z214" s="244"/>
      <c r="AA214" s="244"/>
      <c r="AB214" s="43"/>
      <c r="AC214" s="43"/>
      <c r="AD214" s="43"/>
      <c r="AE214" s="43"/>
      <c r="AF214" s="43"/>
      <c r="AG214" s="43"/>
      <c r="AH214" s="43"/>
    </row>
    <row r="215" spans="1:34">
      <c r="A215" s="43"/>
      <c r="B215" s="43"/>
      <c r="C215" s="43"/>
      <c r="D215" s="43"/>
      <c r="E215" s="43"/>
      <c r="F215" s="43"/>
      <c r="G215" s="43"/>
      <c r="H215" s="244"/>
      <c r="I215" s="244"/>
      <c r="J215" s="244"/>
      <c r="K215" s="244"/>
      <c r="L215" s="244"/>
      <c r="M215" s="244"/>
      <c r="N215" s="244"/>
      <c r="O215" s="244"/>
      <c r="P215" s="244"/>
      <c r="Q215" s="245"/>
      <c r="R215" s="244"/>
      <c r="S215" s="244"/>
      <c r="T215" s="244"/>
      <c r="U215" s="244"/>
      <c r="V215" s="244"/>
      <c r="W215" s="245"/>
      <c r="X215" s="253"/>
      <c r="Y215" s="253"/>
      <c r="Z215" s="244"/>
      <c r="AA215" s="244"/>
      <c r="AB215" s="43"/>
      <c r="AC215" s="43"/>
      <c r="AD215" s="43"/>
      <c r="AE215" s="43"/>
      <c r="AF215" s="43"/>
      <c r="AG215" s="43"/>
      <c r="AH215" s="43"/>
    </row>
    <row r="216" spans="1:34">
      <c r="A216" s="43"/>
      <c r="B216" s="43"/>
      <c r="C216" s="43"/>
      <c r="D216" s="43"/>
      <c r="E216" s="43"/>
      <c r="F216" s="43"/>
      <c r="G216" s="43"/>
      <c r="H216" s="244"/>
      <c r="I216" s="244"/>
      <c r="J216" s="244"/>
      <c r="K216" s="244"/>
      <c r="L216" s="244"/>
      <c r="M216" s="244"/>
      <c r="N216" s="244"/>
      <c r="O216" s="244"/>
      <c r="P216" s="244"/>
      <c r="Q216" s="245"/>
      <c r="R216" s="244"/>
      <c r="S216" s="244"/>
      <c r="T216" s="244"/>
      <c r="U216" s="244"/>
      <c r="V216" s="244"/>
      <c r="W216" s="245"/>
      <c r="X216" s="253"/>
      <c r="Y216" s="253"/>
      <c r="Z216" s="244"/>
      <c r="AA216" s="244"/>
      <c r="AB216" s="43"/>
      <c r="AC216" s="43"/>
      <c r="AD216" s="43"/>
      <c r="AE216" s="43"/>
      <c r="AF216" s="43"/>
      <c r="AG216" s="43"/>
      <c r="AH216" s="43"/>
    </row>
    <row r="217" spans="1:34">
      <c r="A217" s="43"/>
      <c r="B217" s="43"/>
      <c r="C217" s="43"/>
      <c r="D217" s="43"/>
      <c r="E217" s="43"/>
      <c r="F217" s="43"/>
      <c r="G217" s="43"/>
      <c r="H217" s="244"/>
      <c r="I217" s="244"/>
      <c r="J217" s="244"/>
      <c r="K217" s="244"/>
      <c r="L217" s="244"/>
      <c r="M217" s="244"/>
      <c r="N217" s="244"/>
      <c r="O217" s="244"/>
      <c r="P217" s="244"/>
      <c r="Q217" s="245"/>
      <c r="R217" s="244"/>
      <c r="S217" s="244"/>
      <c r="T217" s="244"/>
      <c r="U217" s="244"/>
      <c r="V217" s="244"/>
      <c r="W217" s="245"/>
      <c r="X217" s="253"/>
      <c r="Y217" s="253"/>
      <c r="Z217" s="244"/>
      <c r="AA217" s="244"/>
      <c r="AB217" s="43"/>
      <c r="AC217" s="43"/>
      <c r="AD217" s="43"/>
      <c r="AE217" s="43"/>
      <c r="AF217" s="43"/>
      <c r="AG217" s="43"/>
      <c r="AH217" s="43"/>
    </row>
    <row r="218" spans="1:34">
      <c r="A218" s="43"/>
      <c r="B218" s="43"/>
      <c r="C218" s="43"/>
      <c r="D218" s="43"/>
      <c r="E218" s="43"/>
      <c r="F218" s="43"/>
      <c r="G218" s="43"/>
      <c r="H218" s="244"/>
      <c r="I218" s="244"/>
      <c r="J218" s="244"/>
      <c r="K218" s="244"/>
      <c r="L218" s="244"/>
      <c r="M218" s="244"/>
      <c r="N218" s="244"/>
      <c r="O218" s="244"/>
      <c r="P218" s="244"/>
      <c r="Q218" s="245"/>
      <c r="R218" s="244"/>
      <c r="S218" s="244"/>
      <c r="T218" s="244"/>
      <c r="U218" s="244"/>
      <c r="V218" s="244"/>
      <c r="W218" s="245"/>
      <c r="X218" s="253"/>
      <c r="Y218" s="253"/>
      <c r="Z218" s="244"/>
      <c r="AA218" s="244"/>
      <c r="AB218" s="43"/>
      <c r="AC218" s="43"/>
      <c r="AD218" s="43"/>
      <c r="AE218" s="43"/>
      <c r="AF218" s="43"/>
      <c r="AG218" s="43"/>
      <c r="AH218" s="43"/>
    </row>
    <row r="219" spans="1:34">
      <c r="A219" s="43"/>
      <c r="B219" s="43"/>
      <c r="C219" s="43"/>
      <c r="D219" s="43"/>
      <c r="E219" s="43"/>
      <c r="F219" s="43"/>
      <c r="G219" s="43"/>
      <c r="H219" s="244"/>
      <c r="I219" s="244"/>
      <c r="J219" s="244"/>
      <c r="K219" s="244"/>
      <c r="L219" s="244"/>
      <c r="M219" s="244"/>
      <c r="N219" s="244"/>
      <c r="O219" s="244"/>
      <c r="P219" s="244"/>
      <c r="Q219" s="245"/>
      <c r="R219" s="244"/>
      <c r="S219" s="244"/>
      <c r="T219" s="244"/>
      <c r="U219" s="244"/>
      <c r="V219" s="244"/>
      <c r="W219" s="245"/>
      <c r="X219" s="253"/>
      <c r="Y219" s="253"/>
      <c r="Z219" s="244"/>
      <c r="AA219" s="244"/>
      <c r="AB219" s="43"/>
      <c r="AC219" s="43"/>
      <c r="AD219" s="43"/>
      <c r="AE219" s="43"/>
      <c r="AF219" s="43"/>
      <c r="AG219" s="43"/>
      <c r="AH219" s="43"/>
    </row>
    <row r="220" spans="1:34">
      <c r="A220" s="43"/>
      <c r="B220" s="43"/>
      <c r="C220" s="43"/>
      <c r="D220" s="43"/>
      <c r="E220" s="43"/>
      <c r="F220" s="43"/>
      <c r="G220" s="43"/>
      <c r="H220" s="244"/>
      <c r="I220" s="244"/>
      <c r="J220" s="244"/>
      <c r="K220" s="244"/>
      <c r="L220" s="244"/>
      <c r="M220" s="244"/>
      <c r="N220" s="244"/>
      <c r="O220" s="244"/>
      <c r="P220" s="244"/>
      <c r="Q220" s="245"/>
      <c r="R220" s="244"/>
      <c r="S220" s="244"/>
      <c r="T220" s="244"/>
      <c r="U220" s="244"/>
      <c r="V220" s="244"/>
      <c r="W220" s="245"/>
      <c r="X220" s="253"/>
      <c r="Y220" s="253"/>
      <c r="Z220" s="244"/>
      <c r="AA220" s="244"/>
      <c r="AB220" s="43"/>
      <c r="AC220" s="43"/>
      <c r="AD220" s="43"/>
      <c r="AE220" s="43"/>
      <c r="AF220" s="43"/>
      <c r="AG220" s="43"/>
      <c r="AH220" s="43"/>
    </row>
    <row r="221" spans="1:34">
      <c r="A221" s="43"/>
      <c r="B221" s="43"/>
      <c r="C221" s="43"/>
      <c r="D221" s="43"/>
      <c r="E221" s="43"/>
      <c r="F221" s="43"/>
      <c r="G221" s="43"/>
      <c r="H221" s="244"/>
      <c r="I221" s="244"/>
      <c r="J221" s="244"/>
      <c r="K221" s="244"/>
      <c r="L221" s="244"/>
      <c r="M221" s="244"/>
      <c r="N221" s="244"/>
      <c r="O221" s="244"/>
      <c r="P221" s="244"/>
      <c r="Q221" s="245"/>
      <c r="R221" s="244"/>
      <c r="S221" s="244"/>
      <c r="T221" s="244"/>
      <c r="U221" s="244"/>
      <c r="V221" s="244"/>
      <c r="W221" s="245"/>
      <c r="X221" s="253"/>
      <c r="Y221" s="253"/>
      <c r="Z221" s="244"/>
      <c r="AA221" s="244"/>
      <c r="AB221" s="43"/>
      <c r="AC221" s="43"/>
      <c r="AD221" s="43"/>
      <c r="AE221" s="43"/>
      <c r="AF221" s="43"/>
      <c r="AG221" s="43"/>
      <c r="AH221" s="43"/>
    </row>
    <row r="222" spans="1:34">
      <c r="A222" s="43"/>
      <c r="B222" s="43"/>
      <c r="C222" s="43"/>
      <c r="D222" s="43"/>
      <c r="E222" s="43"/>
      <c r="F222" s="43"/>
      <c r="G222" s="43"/>
      <c r="H222" s="244"/>
      <c r="I222" s="244"/>
      <c r="J222" s="244"/>
      <c r="K222" s="244"/>
      <c r="L222" s="244"/>
      <c r="M222" s="244"/>
      <c r="N222" s="244"/>
      <c r="O222" s="244"/>
      <c r="P222" s="244"/>
      <c r="Q222" s="245"/>
      <c r="R222" s="244"/>
      <c r="S222" s="244"/>
      <c r="T222" s="244"/>
      <c r="U222" s="244"/>
      <c r="V222" s="244"/>
      <c r="W222" s="245"/>
      <c r="X222" s="253"/>
      <c r="Y222" s="253"/>
      <c r="Z222" s="244"/>
      <c r="AA222" s="244"/>
      <c r="AB222" s="43"/>
      <c r="AC222" s="43"/>
      <c r="AD222" s="43"/>
      <c r="AE222" s="43"/>
      <c r="AF222" s="43"/>
      <c r="AG222" s="43"/>
      <c r="AH222" s="43"/>
    </row>
    <row r="223" spans="1:34">
      <c r="A223" s="43"/>
      <c r="B223" s="43"/>
      <c r="C223" s="43"/>
      <c r="D223" s="43"/>
      <c r="E223" s="43"/>
      <c r="F223" s="43"/>
      <c r="G223" s="43"/>
      <c r="H223" s="244"/>
      <c r="I223" s="244"/>
      <c r="J223" s="244"/>
      <c r="K223" s="244"/>
      <c r="L223" s="244"/>
      <c r="M223" s="244"/>
      <c r="N223" s="244"/>
      <c r="O223" s="244"/>
      <c r="P223" s="244"/>
      <c r="Q223" s="245"/>
      <c r="R223" s="244"/>
      <c r="S223" s="244"/>
      <c r="T223" s="244"/>
      <c r="U223" s="244"/>
      <c r="V223" s="244"/>
      <c r="W223" s="245"/>
      <c r="X223" s="253"/>
      <c r="Y223" s="253"/>
      <c r="Z223" s="244"/>
      <c r="AA223" s="244"/>
      <c r="AB223" s="43"/>
      <c r="AC223" s="43"/>
      <c r="AD223" s="43"/>
      <c r="AE223" s="43"/>
      <c r="AF223" s="43"/>
      <c r="AG223" s="43"/>
      <c r="AH223" s="43"/>
    </row>
    <row r="224" spans="1:34">
      <c r="A224" s="43"/>
      <c r="B224" s="43"/>
      <c r="C224" s="43"/>
      <c r="D224" s="43"/>
      <c r="E224" s="43"/>
      <c r="F224" s="43"/>
      <c r="G224" s="43"/>
      <c r="H224" s="244"/>
      <c r="I224" s="244"/>
      <c r="J224" s="244"/>
      <c r="K224" s="244"/>
      <c r="L224" s="244"/>
      <c r="M224" s="244"/>
      <c r="N224" s="244"/>
      <c r="O224" s="244"/>
      <c r="P224" s="244"/>
      <c r="Q224" s="245"/>
      <c r="R224" s="244"/>
      <c r="S224" s="244"/>
      <c r="T224" s="244"/>
      <c r="U224" s="244"/>
      <c r="V224" s="244"/>
      <c r="W224" s="245"/>
      <c r="X224" s="253"/>
      <c r="Y224" s="253"/>
      <c r="Z224" s="244"/>
      <c r="AA224" s="244"/>
      <c r="AB224" s="43"/>
      <c r="AC224" s="43"/>
      <c r="AD224" s="43"/>
      <c r="AE224" s="43"/>
      <c r="AF224" s="43"/>
      <c r="AG224" s="43"/>
      <c r="AH224" s="43"/>
    </row>
    <row r="225" spans="1:34">
      <c r="A225" s="43"/>
      <c r="B225" s="43"/>
      <c r="C225" s="43"/>
      <c r="D225" s="43"/>
      <c r="E225" s="43"/>
      <c r="F225" s="43"/>
      <c r="G225" s="43"/>
      <c r="H225" s="244"/>
      <c r="I225" s="244"/>
      <c r="J225" s="244"/>
      <c r="K225" s="244"/>
      <c r="L225" s="244"/>
      <c r="M225" s="244"/>
      <c r="N225" s="244"/>
      <c r="O225" s="244"/>
      <c r="P225" s="244"/>
      <c r="Q225" s="245"/>
      <c r="R225" s="244"/>
      <c r="S225" s="244"/>
      <c r="T225" s="244"/>
      <c r="U225" s="244"/>
      <c r="V225" s="244"/>
      <c r="W225" s="245"/>
      <c r="X225" s="253"/>
      <c r="Y225" s="253"/>
      <c r="Z225" s="244"/>
      <c r="AA225" s="244"/>
      <c r="AB225" s="43"/>
      <c r="AC225" s="43"/>
      <c r="AD225" s="43"/>
      <c r="AE225" s="43"/>
      <c r="AF225" s="43"/>
      <c r="AG225" s="43"/>
      <c r="AH225" s="43"/>
    </row>
    <row r="226" spans="1:34">
      <c r="A226" s="43"/>
      <c r="B226" s="43"/>
      <c r="C226" s="43"/>
      <c r="D226" s="43"/>
      <c r="E226" s="43"/>
      <c r="F226" s="43"/>
      <c r="G226" s="43"/>
      <c r="H226" s="244"/>
      <c r="I226" s="244"/>
      <c r="J226" s="244"/>
      <c r="K226" s="244"/>
      <c r="L226" s="244"/>
      <c r="M226" s="244"/>
      <c r="N226" s="244"/>
      <c r="O226" s="244"/>
      <c r="P226" s="244"/>
      <c r="Q226" s="245"/>
      <c r="R226" s="244"/>
      <c r="S226" s="244"/>
      <c r="T226" s="244"/>
      <c r="U226" s="244"/>
      <c r="V226" s="244"/>
      <c r="W226" s="245"/>
      <c r="X226" s="253"/>
      <c r="Y226" s="253"/>
      <c r="Z226" s="244"/>
      <c r="AA226" s="244"/>
      <c r="AB226" s="43"/>
      <c r="AC226" s="43"/>
      <c r="AD226" s="43"/>
      <c r="AE226" s="43"/>
      <c r="AF226" s="43"/>
      <c r="AG226" s="43"/>
      <c r="AH226" s="43"/>
    </row>
    <row r="227" spans="1:34">
      <c r="A227" s="43"/>
      <c r="B227" s="43"/>
      <c r="C227" s="43"/>
      <c r="D227" s="43"/>
      <c r="E227" s="43"/>
      <c r="F227" s="43"/>
      <c r="G227" s="43"/>
      <c r="H227" s="244"/>
      <c r="I227" s="244"/>
      <c r="J227" s="244"/>
      <c r="K227" s="244"/>
      <c r="L227" s="244"/>
      <c r="M227" s="244"/>
      <c r="N227" s="244"/>
      <c r="O227" s="244"/>
      <c r="P227" s="244"/>
      <c r="Q227" s="245"/>
      <c r="R227" s="244"/>
      <c r="S227" s="244"/>
      <c r="T227" s="244"/>
      <c r="U227" s="244"/>
      <c r="V227" s="244"/>
      <c r="W227" s="245"/>
      <c r="X227" s="253"/>
      <c r="Y227" s="253"/>
      <c r="Z227" s="244"/>
      <c r="AA227" s="244"/>
      <c r="AB227" s="43"/>
      <c r="AC227" s="43"/>
      <c r="AD227" s="43"/>
      <c r="AE227" s="43"/>
      <c r="AF227" s="43"/>
      <c r="AG227" s="43"/>
      <c r="AH227" s="43"/>
    </row>
    <row r="228" spans="1:34">
      <c r="A228" s="43"/>
      <c r="B228" s="43"/>
      <c r="C228" s="43"/>
      <c r="D228" s="43"/>
      <c r="E228" s="43"/>
      <c r="F228" s="43"/>
      <c r="G228" s="43"/>
      <c r="H228" s="244"/>
      <c r="I228" s="244"/>
      <c r="J228" s="244"/>
      <c r="K228" s="244"/>
      <c r="L228" s="244"/>
      <c r="M228" s="244"/>
      <c r="N228" s="244"/>
      <c r="O228" s="244"/>
      <c r="P228" s="244"/>
      <c r="Q228" s="245"/>
      <c r="R228" s="244"/>
      <c r="S228" s="244"/>
      <c r="T228" s="244"/>
      <c r="U228" s="244"/>
      <c r="V228" s="244"/>
      <c r="W228" s="245"/>
      <c r="X228" s="253"/>
      <c r="Y228" s="253"/>
      <c r="Z228" s="244"/>
      <c r="AA228" s="244"/>
      <c r="AB228" s="43"/>
      <c r="AC228" s="43"/>
      <c r="AD228" s="43"/>
      <c r="AE228" s="43"/>
      <c r="AF228" s="43"/>
      <c r="AG228" s="43"/>
      <c r="AH228" s="43"/>
    </row>
    <row r="229" spans="1:34">
      <c r="A229" s="43"/>
      <c r="B229" s="43"/>
      <c r="C229" s="43"/>
      <c r="D229" s="43"/>
      <c r="E229" s="43"/>
      <c r="F229" s="43"/>
      <c r="G229" s="43"/>
      <c r="H229" s="244"/>
      <c r="I229" s="244"/>
      <c r="J229" s="244"/>
      <c r="K229" s="244"/>
      <c r="L229" s="244"/>
      <c r="M229" s="244"/>
      <c r="N229" s="244"/>
      <c r="O229" s="244"/>
      <c r="P229" s="244"/>
      <c r="Q229" s="245"/>
      <c r="R229" s="244"/>
      <c r="S229" s="244"/>
      <c r="T229" s="244"/>
      <c r="U229" s="244"/>
      <c r="V229" s="244"/>
      <c r="W229" s="245"/>
      <c r="X229" s="253"/>
      <c r="Y229" s="253"/>
      <c r="Z229" s="244"/>
      <c r="AA229" s="244"/>
      <c r="AB229" s="43"/>
      <c r="AC229" s="43"/>
      <c r="AD229" s="43"/>
      <c r="AE229" s="43"/>
      <c r="AF229" s="43"/>
      <c r="AG229" s="43"/>
      <c r="AH229" s="43"/>
    </row>
    <row r="230" spans="1:34">
      <c r="A230" s="43"/>
      <c r="B230" s="43"/>
      <c r="C230" s="43"/>
      <c r="D230" s="43"/>
      <c r="E230" s="43"/>
      <c r="F230" s="43"/>
      <c r="G230" s="43"/>
      <c r="H230" s="244"/>
      <c r="I230" s="244"/>
      <c r="J230" s="244"/>
      <c r="K230" s="244"/>
      <c r="L230" s="244"/>
      <c r="M230" s="244"/>
      <c r="N230" s="244"/>
      <c r="O230" s="244"/>
      <c r="P230" s="244"/>
      <c r="Q230" s="245"/>
      <c r="R230" s="244"/>
      <c r="S230" s="244"/>
      <c r="T230" s="244"/>
      <c r="U230" s="244"/>
      <c r="V230" s="244"/>
      <c r="W230" s="245"/>
      <c r="X230" s="253"/>
      <c r="Y230" s="253"/>
      <c r="Z230" s="244"/>
      <c r="AA230" s="244"/>
      <c r="AB230" s="43"/>
      <c r="AC230" s="43"/>
      <c r="AD230" s="43"/>
      <c r="AE230" s="43"/>
      <c r="AF230" s="43"/>
      <c r="AG230" s="43"/>
      <c r="AH230" s="43"/>
    </row>
    <row r="231" spans="1:34">
      <c r="A231" s="43"/>
      <c r="B231" s="43"/>
      <c r="C231" s="43"/>
      <c r="D231" s="43"/>
      <c r="E231" s="43"/>
      <c r="F231" s="43"/>
      <c r="G231" s="43"/>
      <c r="H231" s="244"/>
      <c r="I231" s="244"/>
      <c r="J231" s="244"/>
      <c r="K231" s="244"/>
      <c r="L231" s="244"/>
      <c r="M231" s="244"/>
      <c r="N231" s="244"/>
      <c r="O231" s="244"/>
      <c r="P231" s="244"/>
      <c r="Q231" s="245"/>
      <c r="R231" s="244"/>
      <c r="S231" s="244"/>
      <c r="T231" s="244"/>
      <c r="U231" s="244"/>
      <c r="V231" s="244"/>
      <c r="W231" s="245"/>
      <c r="X231" s="253"/>
      <c r="Y231" s="253"/>
      <c r="Z231" s="244"/>
      <c r="AA231" s="244"/>
      <c r="AB231" s="43"/>
      <c r="AC231" s="43"/>
      <c r="AD231" s="43"/>
      <c r="AE231" s="43"/>
      <c r="AF231" s="43"/>
      <c r="AG231" s="43"/>
      <c r="AH231" s="43"/>
    </row>
    <row r="232" spans="1:34">
      <c r="A232" s="43"/>
      <c r="B232" s="43"/>
      <c r="C232" s="43"/>
      <c r="D232" s="43"/>
      <c r="E232" s="43"/>
      <c r="F232" s="43"/>
      <c r="G232" s="43"/>
      <c r="H232" s="244"/>
      <c r="I232" s="244"/>
      <c r="J232" s="244"/>
      <c r="K232" s="244"/>
      <c r="L232" s="244"/>
      <c r="M232" s="244"/>
      <c r="N232" s="244"/>
      <c r="O232" s="244"/>
      <c r="P232" s="244"/>
      <c r="Q232" s="245"/>
      <c r="R232" s="244"/>
      <c r="S232" s="244"/>
      <c r="T232" s="244"/>
      <c r="U232" s="244"/>
      <c r="V232" s="244"/>
      <c r="W232" s="245"/>
      <c r="X232" s="253"/>
      <c r="Y232" s="253"/>
      <c r="Z232" s="244"/>
      <c r="AA232" s="244"/>
      <c r="AB232" s="43"/>
      <c r="AC232" s="43"/>
      <c r="AD232" s="43"/>
      <c r="AE232" s="43"/>
      <c r="AF232" s="43"/>
      <c r="AG232" s="43"/>
      <c r="AH232" s="43"/>
    </row>
    <row r="233" spans="1:34">
      <c r="A233" s="43"/>
      <c r="B233" s="43"/>
      <c r="C233" s="43"/>
      <c r="D233" s="43"/>
      <c r="E233" s="43"/>
      <c r="F233" s="43"/>
      <c r="G233" s="43"/>
      <c r="H233" s="244"/>
      <c r="I233" s="244"/>
      <c r="J233" s="244"/>
      <c r="K233" s="244"/>
      <c r="L233" s="244"/>
      <c r="M233" s="244"/>
      <c r="N233" s="244"/>
      <c r="O233" s="244"/>
      <c r="P233" s="244"/>
      <c r="Q233" s="245"/>
      <c r="R233" s="244"/>
      <c r="S233" s="244"/>
      <c r="T233" s="244"/>
      <c r="U233" s="244"/>
      <c r="V233" s="244"/>
      <c r="W233" s="245"/>
      <c r="X233" s="253"/>
      <c r="Y233" s="253"/>
      <c r="Z233" s="244"/>
      <c r="AA233" s="244"/>
      <c r="AB233" s="43"/>
      <c r="AC233" s="43"/>
      <c r="AD233" s="43"/>
      <c r="AE233" s="43"/>
      <c r="AF233" s="43"/>
      <c r="AG233" s="43"/>
      <c r="AH233" s="43"/>
    </row>
    <row r="234" spans="1:34">
      <c r="A234" s="43"/>
      <c r="B234" s="43"/>
      <c r="C234" s="43"/>
      <c r="D234" s="43"/>
      <c r="E234" s="43"/>
      <c r="F234" s="43"/>
      <c r="G234" s="43"/>
      <c r="H234" s="244"/>
      <c r="I234" s="244"/>
      <c r="J234" s="244"/>
      <c r="K234" s="244"/>
      <c r="L234" s="244"/>
      <c r="M234" s="244"/>
      <c r="N234" s="244"/>
      <c r="O234" s="244"/>
      <c r="P234" s="244"/>
      <c r="Q234" s="245"/>
      <c r="R234" s="244"/>
      <c r="S234" s="244"/>
      <c r="T234" s="244"/>
      <c r="U234" s="244"/>
      <c r="V234" s="244"/>
      <c r="W234" s="245"/>
      <c r="X234" s="253"/>
      <c r="Y234" s="253"/>
      <c r="Z234" s="244"/>
      <c r="AA234" s="244"/>
      <c r="AB234" s="43"/>
      <c r="AC234" s="43"/>
      <c r="AD234" s="43"/>
      <c r="AE234" s="43"/>
      <c r="AF234" s="43"/>
      <c r="AG234" s="43"/>
      <c r="AH234" s="43"/>
    </row>
    <row r="235" spans="1:34">
      <c r="A235" s="43"/>
      <c r="B235" s="43"/>
      <c r="C235" s="43"/>
      <c r="D235" s="43"/>
      <c r="E235" s="43"/>
      <c r="F235" s="43"/>
      <c r="G235" s="43"/>
      <c r="H235" s="244"/>
      <c r="I235" s="244"/>
      <c r="J235" s="244"/>
      <c r="K235" s="244"/>
      <c r="L235" s="244"/>
      <c r="M235" s="244"/>
      <c r="N235" s="244"/>
      <c r="O235" s="244"/>
      <c r="P235" s="244"/>
      <c r="Q235" s="245"/>
      <c r="R235" s="244"/>
      <c r="S235" s="244"/>
      <c r="T235" s="244"/>
      <c r="U235" s="244"/>
      <c r="V235" s="244"/>
      <c r="W235" s="245"/>
      <c r="X235" s="253"/>
      <c r="Y235" s="253"/>
      <c r="Z235" s="244"/>
      <c r="AA235" s="244"/>
      <c r="AB235" s="43"/>
      <c r="AC235" s="43"/>
      <c r="AD235" s="43"/>
      <c r="AE235" s="43"/>
      <c r="AF235" s="43"/>
      <c r="AG235" s="43"/>
      <c r="AH235" s="43"/>
    </row>
    <row r="236" spans="1:34">
      <c r="A236" s="43"/>
      <c r="B236" s="43"/>
      <c r="C236" s="43"/>
      <c r="D236" s="43"/>
      <c r="E236" s="43"/>
      <c r="F236" s="43"/>
      <c r="G236" s="43"/>
      <c r="H236" s="244"/>
      <c r="I236" s="244"/>
      <c r="J236" s="244"/>
      <c r="K236" s="244"/>
      <c r="L236" s="244"/>
      <c r="M236" s="244"/>
      <c r="N236" s="244"/>
      <c r="O236" s="244"/>
      <c r="P236" s="244"/>
      <c r="Q236" s="245"/>
      <c r="R236" s="244"/>
      <c r="S236" s="244"/>
      <c r="T236" s="244"/>
      <c r="U236" s="244"/>
      <c r="V236" s="244"/>
      <c r="W236" s="245"/>
      <c r="X236" s="253"/>
      <c r="Y236" s="253"/>
      <c r="Z236" s="244"/>
      <c r="AA236" s="244"/>
      <c r="AB236" s="43"/>
      <c r="AC236" s="43"/>
      <c r="AD236" s="43"/>
      <c r="AE236" s="43"/>
      <c r="AF236" s="43"/>
      <c r="AG236" s="43"/>
      <c r="AH236" s="43"/>
    </row>
    <row r="237" spans="1:34">
      <c r="A237" s="43"/>
      <c r="B237" s="43"/>
      <c r="C237" s="43"/>
      <c r="D237" s="43"/>
      <c r="E237" s="43"/>
      <c r="F237" s="43"/>
      <c r="G237" s="43"/>
      <c r="H237" s="244"/>
      <c r="I237" s="244"/>
      <c r="J237" s="244"/>
      <c r="K237" s="244"/>
      <c r="L237" s="244"/>
      <c r="M237" s="244"/>
      <c r="N237" s="244"/>
      <c r="O237" s="244"/>
      <c r="P237" s="244"/>
      <c r="Q237" s="245"/>
      <c r="R237" s="244"/>
      <c r="S237" s="244"/>
      <c r="T237" s="244"/>
      <c r="U237" s="244"/>
      <c r="V237" s="244"/>
      <c r="W237" s="245"/>
      <c r="X237" s="253"/>
      <c r="Y237" s="253"/>
      <c r="Z237" s="244"/>
      <c r="AA237" s="244"/>
      <c r="AB237" s="43"/>
      <c r="AC237" s="43"/>
      <c r="AD237" s="43"/>
      <c r="AE237" s="43"/>
      <c r="AF237" s="43"/>
      <c r="AG237" s="43"/>
      <c r="AH237" s="43"/>
    </row>
    <row r="238" spans="1:34">
      <c r="A238" s="43"/>
      <c r="B238" s="43"/>
      <c r="C238" s="43"/>
      <c r="D238" s="43"/>
      <c r="E238" s="43"/>
      <c r="F238" s="43"/>
      <c r="G238" s="43"/>
      <c r="H238" s="244"/>
      <c r="I238" s="244"/>
      <c r="J238" s="244"/>
      <c r="K238" s="244"/>
      <c r="L238" s="244"/>
      <c r="M238" s="244"/>
      <c r="N238" s="244"/>
      <c r="O238" s="244"/>
      <c r="P238" s="244"/>
      <c r="Q238" s="245"/>
      <c r="R238" s="244"/>
      <c r="S238" s="244"/>
      <c r="T238" s="244"/>
      <c r="U238" s="244"/>
      <c r="V238" s="244"/>
      <c r="W238" s="245"/>
      <c r="X238" s="253"/>
      <c r="Y238" s="253"/>
      <c r="Z238" s="244"/>
      <c r="AA238" s="244"/>
      <c r="AB238" s="43"/>
      <c r="AC238" s="43"/>
      <c r="AD238" s="43"/>
      <c r="AE238" s="43"/>
      <c r="AF238" s="43"/>
      <c r="AG238" s="43"/>
      <c r="AH238" s="43"/>
    </row>
    <row r="239" spans="1:34">
      <c r="A239" s="43"/>
      <c r="B239" s="43"/>
      <c r="C239" s="43"/>
      <c r="D239" s="43"/>
      <c r="E239" s="43"/>
      <c r="F239" s="43"/>
      <c r="G239" s="43"/>
      <c r="H239" s="244"/>
      <c r="I239" s="244"/>
      <c r="J239" s="244"/>
      <c r="K239" s="244"/>
      <c r="L239" s="244"/>
      <c r="M239" s="244"/>
      <c r="N239" s="244"/>
      <c r="O239" s="244"/>
      <c r="P239" s="244"/>
      <c r="Q239" s="245"/>
      <c r="R239" s="244"/>
      <c r="S239" s="244"/>
      <c r="T239" s="244"/>
      <c r="U239" s="244"/>
      <c r="V239" s="244"/>
      <c r="W239" s="245"/>
      <c r="X239" s="253"/>
      <c r="Y239" s="253"/>
      <c r="Z239" s="244"/>
      <c r="AA239" s="244"/>
      <c r="AB239" s="43"/>
      <c r="AC239" s="43"/>
      <c r="AD239" s="43"/>
      <c r="AE239" s="43"/>
      <c r="AF239" s="43"/>
      <c r="AG239" s="43"/>
      <c r="AH239" s="43"/>
    </row>
    <row r="240" spans="1:34">
      <c r="A240" s="43"/>
      <c r="B240" s="43"/>
      <c r="C240" s="43"/>
      <c r="D240" s="43"/>
      <c r="E240" s="43"/>
      <c r="F240" s="43"/>
      <c r="G240" s="43"/>
      <c r="H240" s="244"/>
      <c r="I240" s="244"/>
      <c r="J240" s="244"/>
      <c r="K240" s="244"/>
      <c r="L240" s="244"/>
      <c r="M240" s="244"/>
      <c r="N240" s="244"/>
      <c r="O240" s="244"/>
      <c r="P240" s="244"/>
      <c r="Q240" s="245"/>
      <c r="R240" s="244"/>
      <c r="S240" s="244"/>
      <c r="T240" s="244"/>
      <c r="U240" s="244"/>
      <c r="V240" s="244"/>
      <c r="W240" s="245"/>
      <c r="X240" s="253"/>
      <c r="Y240" s="253"/>
      <c r="Z240" s="244"/>
      <c r="AA240" s="244"/>
      <c r="AB240" s="43"/>
      <c r="AC240" s="43"/>
      <c r="AD240" s="43"/>
      <c r="AE240" s="43"/>
      <c r="AF240" s="43"/>
      <c r="AG240" s="43"/>
      <c r="AH240" s="43"/>
    </row>
    <row r="241" spans="1:34">
      <c r="A241" s="43"/>
      <c r="B241" s="43"/>
      <c r="C241" s="43"/>
      <c r="D241" s="43"/>
      <c r="E241" s="43"/>
      <c r="F241" s="43"/>
      <c r="G241" s="43"/>
      <c r="H241" s="244"/>
      <c r="I241" s="244"/>
      <c r="J241" s="244"/>
      <c r="K241" s="244"/>
      <c r="L241" s="244"/>
      <c r="M241" s="244"/>
      <c r="N241" s="244"/>
      <c r="O241" s="244"/>
      <c r="P241" s="244"/>
      <c r="Q241" s="245"/>
      <c r="R241" s="244"/>
      <c r="S241" s="244"/>
      <c r="T241" s="244"/>
      <c r="U241" s="244"/>
      <c r="V241" s="244"/>
      <c r="W241" s="245"/>
      <c r="X241" s="253"/>
      <c r="Y241" s="253"/>
      <c r="Z241" s="244"/>
      <c r="AA241" s="244"/>
      <c r="AB241" s="43"/>
      <c r="AC241" s="43"/>
      <c r="AD241" s="43"/>
      <c r="AE241" s="43"/>
      <c r="AF241" s="43"/>
      <c r="AG241" s="43"/>
      <c r="AH241" s="43"/>
    </row>
    <row r="242" spans="1:34">
      <c r="A242" s="43"/>
      <c r="B242" s="43"/>
      <c r="C242" s="43"/>
      <c r="D242" s="43"/>
      <c r="E242" s="43"/>
      <c r="F242" s="43"/>
      <c r="G242" s="43"/>
      <c r="H242" s="244"/>
      <c r="I242" s="244"/>
      <c r="J242" s="244"/>
      <c r="K242" s="244"/>
      <c r="L242" s="244"/>
      <c r="M242" s="244"/>
      <c r="N242" s="244"/>
      <c r="O242" s="244"/>
      <c r="P242" s="244"/>
      <c r="Q242" s="245"/>
      <c r="R242" s="244"/>
      <c r="S242" s="244"/>
      <c r="T242" s="244"/>
      <c r="U242" s="244"/>
      <c r="V242" s="244"/>
      <c r="W242" s="245"/>
      <c r="X242" s="253"/>
      <c r="Y242" s="253"/>
      <c r="Z242" s="244"/>
      <c r="AA242" s="244"/>
      <c r="AB242" s="43"/>
      <c r="AC242" s="43"/>
      <c r="AD242" s="43"/>
      <c r="AE242" s="43"/>
      <c r="AF242" s="43"/>
      <c r="AG242" s="43"/>
      <c r="AH242" s="43"/>
    </row>
    <row r="243" spans="1:34">
      <c r="A243" s="43"/>
      <c r="B243" s="43"/>
      <c r="C243" s="43"/>
      <c r="D243" s="43"/>
      <c r="E243" s="43"/>
      <c r="F243" s="43"/>
      <c r="G243" s="43"/>
      <c r="H243" s="244"/>
      <c r="I243" s="244"/>
      <c r="J243" s="244"/>
      <c r="K243" s="244"/>
      <c r="L243" s="244"/>
      <c r="M243" s="244"/>
      <c r="N243" s="244"/>
      <c r="O243" s="244"/>
      <c r="P243" s="244"/>
      <c r="Q243" s="245"/>
      <c r="R243" s="244"/>
      <c r="S243" s="244"/>
      <c r="T243" s="244"/>
      <c r="U243" s="244"/>
      <c r="V243" s="244"/>
      <c r="W243" s="245"/>
      <c r="X243" s="253"/>
      <c r="Y243" s="253"/>
      <c r="Z243" s="244"/>
      <c r="AA243" s="244"/>
      <c r="AB243" s="43"/>
      <c r="AC243" s="43"/>
      <c r="AD243" s="43"/>
      <c r="AE243" s="43"/>
      <c r="AF243" s="43"/>
      <c r="AG243" s="43"/>
      <c r="AH243" s="43"/>
    </row>
    <row r="244" spans="1:34">
      <c r="A244" s="43"/>
      <c r="B244" s="43"/>
      <c r="C244" s="43"/>
      <c r="D244" s="43"/>
      <c r="E244" s="43"/>
      <c r="F244" s="43"/>
      <c r="G244" s="43"/>
      <c r="H244" s="244"/>
      <c r="I244" s="244"/>
      <c r="J244" s="244"/>
      <c r="K244" s="244"/>
      <c r="L244" s="244"/>
      <c r="M244" s="244"/>
      <c r="N244" s="244"/>
      <c r="O244" s="244"/>
      <c r="P244" s="244"/>
      <c r="Q244" s="245"/>
      <c r="R244" s="244"/>
      <c r="S244" s="244"/>
      <c r="T244" s="244"/>
      <c r="U244" s="244"/>
      <c r="V244" s="244"/>
      <c r="W244" s="245"/>
      <c r="X244" s="253"/>
      <c r="Y244" s="253"/>
      <c r="Z244" s="244"/>
      <c r="AA244" s="244"/>
      <c r="AB244" s="43"/>
      <c r="AC244" s="43"/>
      <c r="AD244" s="43"/>
      <c r="AE244" s="43"/>
      <c r="AF244" s="43"/>
      <c r="AG244" s="43"/>
      <c r="AH244" s="43"/>
    </row>
    <row r="245" spans="1:34">
      <c r="A245" s="43"/>
      <c r="B245" s="43"/>
      <c r="C245" s="43"/>
      <c r="D245" s="43"/>
      <c r="E245" s="43"/>
      <c r="F245" s="43"/>
      <c r="G245" s="43"/>
      <c r="H245" s="244"/>
      <c r="I245" s="244"/>
      <c r="J245" s="244"/>
      <c r="K245" s="244"/>
      <c r="L245" s="244"/>
      <c r="M245" s="244"/>
      <c r="N245" s="244"/>
      <c r="O245" s="244"/>
      <c r="P245" s="244"/>
      <c r="Q245" s="245"/>
      <c r="R245" s="244"/>
      <c r="S245" s="244"/>
      <c r="T245" s="244"/>
      <c r="U245" s="244"/>
      <c r="V245" s="244"/>
      <c r="W245" s="245"/>
      <c r="X245" s="253"/>
      <c r="Y245" s="253"/>
      <c r="Z245" s="244"/>
      <c r="AA245" s="244"/>
      <c r="AB245" s="43"/>
      <c r="AC245" s="43"/>
      <c r="AD245" s="43"/>
      <c r="AE245" s="43"/>
      <c r="AF245" s="43"/>
      <c r="AG245" s="43"/>
      <c r="AH245" s="43"/>
    </row>
    <row r="246" spans="1:34">
      <c r="A246" s="43"/>
      <c r="B246" s="43"/>
      <c r="C246" s="43"/>
      <c r="D246" s="43"/>
      <c r="E246" s="43"/>
      <c r="F246" s="43"/>
      <c r="G246" s="43"/>
      <c r="H246" s="244"/>
      <c r="I246" s="244"/>
      <c r="J246" s="244"/>
      <c r="K246" s="244"/>
      <c r="L246" s="244"/>
      <c r="M246" s="244"/>
      <c r="N246" s="244"/>
      <c r="O246" s="244"/>
      <c r="P246" s="244"/>
      <c r="Q246" s="245"/>
      <c r="R246" s="244"/>
      <c r="S246" s="244"/>
      <c r="T246" s="244"/>
      <c r="U246" s="244"/>
      <c r="V246" s="244"/>
      <c r="W246" s="245"/>
      <c r="X246" s="253"/>
      <c r="Y246" s="253"/>
      <c r="Z246" s="244"/>
      <c r="AA246" s="244"/>
      <c r="AB246" s="43"/>
      <c r="AC246" s="43"/>
      <c r="AD246" s="43"/>
      <c r="AE246" s="43"/>
      <c r="AF246" s="43"/>
      <c r="AG246" s="43"/>
      <c r="AH246" s="43"/>
    </row>
    <row r="247" spans="1:34">
      <c r="A247" s="43"/>
      <c r="B247" s="43"/>
      <c r="C247" s="43"/>
      <c r="D247" s="43"/>
      <c r="E247" s="43"/>
      <c r="F247" s="43"/>
      <c r="G247" s="43"/>
      <c r="H247" s="244"/>
      <c r="I247" s="244"/>
      <c r="J247" s="244"/>
      <c r="K247" s="244"/>
      <c r="L247" s="244"/>
      <c r="M247" s="244"/>
      <c r="N247" s="244"/>
      <c r="O247" s="244"/>
      <c r="P247" s="244"/>
      <c r="Q247" s="245"/>
      <c r="R247" s="244"/>
      <c r="S247" s="244"/>
      <c r="T247" s="244"/>
      <c r="U247" s="244"/>
      <c r="V247" s="244"/>
      <c r="W247" s="245"/>
      <c r="X247" s="253"/>
      <c r="Y247" s="253"/>
      <c r="Z247" s="244"/>
      <c r="AA247" s="244"/>
      <c r="AB247" s="43"/>
      <c r="AC247" s="43"/>
      <c r="AD247" s="43"/>
      <c r="AE247" s="43"/>
      <c r="AF247" s="43"/>
      <c r="AG247" s="43"/>
      <c r="AH247" s="43"/>
    </row>
    <row r="248" spans="1:34">
      <c r="A248" s="43"/>
      <c r="B248" s="43"/>
      <c r="C248" s="43"/>
      <c r="D248" s="43"/>
      <c r="E248" s="43"/>
      <c r="F248" s="43"/>
      <c r="G248" s="43"/>
      <c r="H248" s="244"/>
      <c r="I248" s="244"/>
      <c r="J248" s="244"/>
      <c r="K248" s="244"/>
      <c r="L248" s="244"/>
      <c r="M248" s="244"/>
      <c r="N248" s="244"/>
      <c r="O248" s="244"/>
      <c r="P248" s="244"/>
      <c r="Q248" s="245"/>
      <c r="R248" s="244"/>
      <c r="S248" s="244"/>
      <c r="T248" s="244"/>
      <c r="U248" s="244"/>
      <c r="V248" s="244"/>
      <c r="W248" s="245"/>
      <c r="X248" s="253"/>
      <c r="Y248" s="253"/>
      <c r="Z248" s="244"/>
      <c r="AA248" s="244"/>
      <c r="AB248" s="43"/>
      <c r="AC248" s="43"/>
      <c r="AD248" s="43"/>
      <c r="AE248" s="43"/>
      <c r="AF248" s="43"/>
      <c r="AG248" s="43"/>
      <c r="AH248" s="43"/>
    </row>
    <row r="249" spans="1:34">
      <c r="A249" s="43"/>
      <c r="B249" s="43"/>
      <c r="C249" s="43"/>
      <c r="D249" s="43"/>
      <c r="E249" s="43"/>
      <c r="F249" s="43"/>
      <c r="G249" s="43"/>
      <c r="H249" s="244"/>
      <c r="I249" s="244"/>
      <c r="J249" s="244"/>
      <c r="K249" s="244"/>
      <c r="L249" s="244"/>
      <c r="M249" s="244"/>
      <c r="N249" s="244"/>
      <c r="O249" s="244"/>
      <c r="P249" s="244"/>
      <c r="Q249" s="245"/>
      <c r="R249" s="244"/>
      <c r="S249" s="244"/>
      <c r="T249" s="244"/>
      <c r="U249" s="244"/>
      <c r="V249" s="244"/>
      <c r="W249" s="245"/>
      <c r="X249" s="253"/>
      <c r="Y249" s="253"/>
      <c r="Z249" s="244"/>
      <c r="AA249" s="244"/>
      <c r="AB249" s="43"/>
      <c r="AC249" s="43"/>
      <c r="AD249" s="43"/>
      <c r="AE249" s="43"/>
      <c r="AF249" s="43"/>
      <c r="AG249" s="43"/>
      <c r="AH249" s="43"/>
    </row>
    <row r="250" spans="1:34">
      <c r="A250" s="43"/>
      <c r="B250" s="43"/>
      <c r="C250" s="43"/>
      <c r="D250" s="43"/>
      <c r="E250" s="43"/>
      <c r="F250" s="43"/>
      <c r="G250" s="43"/>
      <c r="H250" s="244"/>
      <c r="I250" s="244"/>
      <c r="J250" s="244"/>
      <c r="K250" s="244"/>
      <c r="L250" s="244"/>
      <c r="M250" s="244"/>
      <c r="N250" s="244"/>
      <c r="O250" s="244"/>
      <c r="P250" s="244"/>
      <c r="Q250" s="245"/>
      <c r="R250" s="244"/>
      <c r="S250" s="244"/>
      <c r="T250" s="244"/>
      <c r="U250" s="244"/>
      <c r="V250" s="244"/>
      <c r="W250" s="245"/>
      <c r="X250" s="253"/>
      <c r="Y250" s="253"/>
      <c r="Z250" s="244"/>
      <c r="AA250" s="244"/>
      <c r="AB250" s="43"/>
      <c r="AC250" s="43"/>
      <c r="AD250" s="43"/>
      <c r="AE250" s="43"/>
      <c r="AF250" s="43"/>
      <c r="AG250" s="43"/>
      <c r="AH250" s="43"/>
    </row>
    <row r="251" spans="1:34">
      <c r="A251" s="43"/>
      <c r="B251" s="43"/>
      <c r="C251" s="43"/>
      <c r="D251" s="43"/>
      <c r="E251" s="43"/>
      <c r="F251" s="43"/>
      <c r="G251" s="43"/>
      <c r="H251" s="244"/>
      <c r="I251" s="244"/>
      <c r="J251" s="244"/>
      <c r="K251" s="244"/>
      <c r="L251" s="244"/>
      <c r="M251" s="244"/>
      <c r="N251" s="244"/>
      <c r="O251" s="244"/>
      <c r="P251" s="244"/>
      <c r="Q251" s="245"/>
      <c r="R251" s="244"/>
      <c r="S251" s="244"/>
      <c r="T251" s="244"/>
      <c r="U251" s="244"/>
      <c r="V251" s="244"/>
      <c r="W251" s="245"/>
      <c r="X251" s="253"/>
      <c r="Y251" s="253"/>
      <c r="Z251" s="244"/>
      <c r="AA251" s="244"/>
      <c r="AB251" s="43"/>
      <c r="AC251" s="43"/>
      <c r="AD251" s="43"/>
      <c r="AE251" s="43"/>
      <c r="AF251" s="43"/>
      <c r="AG251" s="43"/>
      <c r="AH251" s="43"/>
    </row>
    <row r="252" spans="1:34">
      <c r="A252" s="43"/>
      <c r="B252" s="43"/>
      <c r="C252" s="43"/>
      <c r="D252" s="43"/>
      <c r="E252" s="43"/>
      <c r="F252" s="43"/>
      <c r="G252" s="43"/>
      <c r="H252" s="244"/>
      <c r="I252" s="244"/>
      <c r="J252" s="244"/>
      <c r="K252" s="244"/>
      <c r="L252" s="244"/>
      <c r="M252" s="244"/>
      <c r="N252" s="244"/>
      <c r="O252" s="244"/>
      <c r="P252" s="244"/>
      <c r="Q252" s="245"/>
      <c r="R252" s="244"/>
      <c r="S252" s="244"/>
      <c r="T252" s="244"/>
      <c r="U252" s="244"/>
      <c r="V252" s="244"/>
      <c r="W252" s="245"/>
      <c r="X252" s="253"/>
      <c r="Y252" s="253"/>
      <c r="Z252" s="244"/>
      <c r="AA252" s="244"/>
      <c r="AB252" s="43"/>
      <c r="AC252" s="43"/>
      <c r="AD252" s="43"/>
      <c r="AE252" s="43"/>
      <c r="AF252" s="43"/>
      <c r="AG252" s="43"/>
      <c r="AH252" s="43"/>
    </row>
    <row r="253" spans="1:34">
      <c r="A253" s="43"/>
      <c r="B253" s="43"/>
      <c r="C253" s="43"/>
      <c r="D253" s="43"/>
      <c r="E253" s="43"/>
      <c r="F253" s="43"/>
      <c r="G253" s="43"/>
      <c r="H253" s="244"/>
      <c r="I253" s="244"/>
      <c r="J253" s="244"/>
      <c r="K253" s="244"/>
      <c r="L253" s="244"/>
      <c r="M253" s="244"/>
      <c r="N253" s="244"/>
      <c r="O253" s="244"/>
      <c r="P253" s="244"/>
      <c r="Q253" s="245"/>
      <c r="R253" s="244"/>
      <c r="S253" s="244"/>
      <c r="T253" s="244"/>
      <c r="U253" s="244"/>
      <c r="V253" s="244"/>
      <c r="W253" s="245"/>
      <c r="X253" s="253"/>
      <c r="Y253" s="253"/>
      <c r="Z253" s="244"/>
      <c r="AA253" s="244"/>
      <c r="AB253" s="43"/>
      <c r="AC253" s="43"/>
      <c r="AD253" s="43"/>
      <c r="AE253" s="43"/>
      <c r="AF253" s="43"/>
      <c r="AG253" s="43"/>
      <c r="AH253" s="43"/>
    </row>
    <row r="254" spans="1:34">
      <c r="A254" s="43"/>
      <c r="B254" s="43"/>
      <c r="C254" s="43"/>
      <c r="D254" s="43"/>
      <c r="E254" s="43"/>
      <c r="F254" s="43"/>
      <c r="G254" s="43"/>
      <c r="H254" s="244"/>
      <c r="I254" s="244"/>
      <c r="J254" s="244"/>
      <c r="K254" s="244"/>
      <c r="L254" s="244"/>
      <c r="M254" s="244"/>
      <c r="N254" s="244"/>
      <c r="O254" s="244"/>
      <c r="P254" s="244"/>
      <c r="Q254" s="245"/>
      <c r="R254" s="244"/>
      <c r="S254" s="244"/>
      <c r="T254" s="244"/>
      <c r="U254" s="244"/>
      <c r="V254" s="244"/>
      <c r="W254" s="245"/>
      <c r="X254" s="253"/>
      <c r="Y254" s="253"/>
      <c r="Z254" s="244"/>
      <c r="AA254" s="244"/>
      <c r="AB254" s="43"/>
      <c r="AC254" s="43"/>
      <c r="AD254" s="43"/>
      <c r="AE254" s="43"/>
      <c r="AF254" s="43"/>
      <c r="AG254" s="43"/>
      <c r="AH254" s="43"/>
    </row>
    <row r="255" spans="1:34">
      <c r="A255" s="43"/>
      <c r="B255" s="43"/>
      <c r="C255" s="43"/>
      <c r="D255" s="43"/>
      <c r="E255" s="43"/>
      <c r="F255" s="43"/>
      <c r="G255" s="43"/>
      <c r="H255" s="244"/>
      <c r="I255" s="244"/>
      <c r="J255" s="244"/>
      <c r="K255" s="244"/>
      <c r="L255" s="244"/>
      <c r="M255" s="244"/>
      <c r="N255" s="244"/>
      <c r="O255" s="244"/>
      <c r="P255" s="244"/>
      <c r="Q255" s="245"/>
      <c r="R255" s="244"/>
      <c r="S255" s="244"/>
      <c r="T255" s="244"/>
      <c r="U255" s="244"/>
      <c r="V255" s="244"/>
      <c r="W255" s="245"/>
      <c r="X255" s="253"/>
      <c r="Y255" s="253"/>
      <c r="Z255" s="244"/>
      <c r="AA255" s="244"/>
      <c r="AB255" s="43"/>
      <c r="AC255" s="43"/>
      <c r="AD255" s="43"/>
      <c r="AE255" s="43"/>
      <c r="AF255" s="43"/>
      <c r="AG255" s="43"/>
      <c r="AH255" s="43"/>
    </row>
    <row r="256" spans="1:34">
      <c r="A256" s="43"/>
      <c r="B256" s="43"/>
      <c r="C256" s="43"/>
      <c r="D256" s="43"/>
      <c r="E256" s="43"/>
      <c r="F256" s="43"/>
      <c r="G256" s="43"/>
      <c r="H256" s="244"/>
      <c r="I256" s="244"/>
      <c r="J256" s="244"/>
      <c r="K256" s="244"/>
      <c r="L256" s="244"/>
      <c r="M256" s="244"/>
      <c r="N256" s="244"/>
      <c r="O256" s="244"/>
      <c r="P256" s="244"/>
      <c r="Q256" s="245"/>
      <c r="R256" s="244"/>
      <c r="S256" s="244"/>
      <c r="T256" s="244"/>
      <c r="U256" s="244"/>
      <c r="V256" s="244"/>
      <c r="W256" s="245"/>
      <c r="X256" s="253"/>
      <c r="Y256" s="253"/>
      <c r="Z256" s="244"/>
      <c r="AA256" s="244"/>
      <c r="AB256" s="43"/>
      <c r="AC256" s="43"/>
      <c r="AD256" s="43"/>
      <c r="AE256" s="43"/>
      <c r="AF256" s="43"/>
      <c r="AG256" s="43"/>
      <c r="AH256" s="43"/>
    </row>
    <row r="257" spans="1:34">
      <c r="A257" s="43"/>
      <c r="B257" s="43"/>
      <c r="C257" s="43"/>
      <c r="D257" s="43"/>
      <c r="E257" s="43"/>
      <c r="F257" s="43"/>
      <c r="G257" s="43"/>
      <c r="H257" s="244"/>
      <c r="I257" s="244"/>
      <c r="J257" s="244"/>
      <c r="K257" s="244"/>
      <c r="L257" s="244"/>
      <c r="M257" s="244"/>
      <c r="N257" s="244"/>
      <c r="O257" s="244"/>
      <c r="P257" s="244"/>
      <c r="Q257" s="245"/>
      <c r="R257" s="244"/>
      <c r="S257" s="244"/>
      <c r="T257" s="244"/>
      <c r="U257" s="244"/>
      <c r="V257" s="244"/>
      <c r="W257" s="245"/>
      <c r="X257" s="253"/>
      <c r="Y257" s="253"/>
      <c r="Z257" s="244"/>
      <c r="AA257" s="244"/>
      <c r="AB257" s="43"/>
      <c r="AC257" s="43"/>
      <c r="AD257" s="43"/>
      <c r="AE257" s="43"/>
      <c r="AF257" s="43"/>
      <c r="AG257" s="43"/>
      <c r="AH257" s="43"/>
    </row>
    <row r="258" spans="1:34">
      <c r="A258" s="43"/>
      <c r="B258" s="43"/>
      <c r="C258" s="43"/>
      <c r="D258" s="43"/>
      <c r="E258" s="43"/>
      <c r="F258" s="43"/>
      <c r="G258" s="43"/>
      <c r="H258" s="244"/>
      <c r="I258" s="244"/>
      <c r="J258" s="244"/>
      <c r="K258" s="244"/>
      <c r="L258" s="244"/>
      <c r="M258" s="244"/>
      <c r="N258" s="244"/>
      <c r="O258" s="244"/>
      <c r="P258" s="244"/>
      <c r="Q258" s="245"/>
      <c r="R258" s="244"/>
      <c r="S258" s="244"/>
      <c r="T258" s="244"/>
      <c r="U258" s="244"/>
      <c r="V258" s="244"/>
      <c r="W258" s="245"/>
      <c r="X258" s="253"/>
      <c r="Y258" s="253"/>
      <c r="Z258" s="244"/>
      <c r="AA258" s="244"/>
      <c r="AB258" s="43"/>
      <c r="AC258" s="43"/>
      <c r="AD258" s="43"/>
      <c r="AE258" s="43"/>
      <c r="AF258" s="43"/>
      <c r="AG258" s="43"/>
      <c r="AH258" s="43"/>
    </row>
    <row r="259" spans="1:34">
      <c r="A259" s="43"/>
      <c r="B259" s="43"/>
      <c r="C259" s="43"/>
      <c r="D259" s="43"/>
      <c r="E259" s="43"/>
      <c r="F259" s="43"/>
      <c r="G259" s="43"/>
      <c r="H259" s="244"/>
      <c r="I259" s="244"/>
      <c r="J259" s="244"/>
      <c r="K259" s="244"/>
      <c r="L259" s="244"/>
      <c r="M259" s="244"/>
      <c r="N259" s="244"/>
      <c r="O259" s="244"/>
      <c r="P259" s="244"/>
      <c r="Q259" s="245"/>
      <c r="R259" s="244"/>
      <c r="S259" s="244"/>
      <c r="T259" s="244"/>
      <c r="U259" s="244"/>
      <c r="V259" s="244"/>
      <c r="W259" s="245"/>
      <c r="X259" s="253"/>
      <c r="Y259" s="253"/>
      <c r="Z259" s="244"/>
      <c r="AA259" s="244"/>
      <c r="AB259" s="43"/>
      <c r="AC259" s="43"/>
      <c r="AD259" s="43"/>
      <c r="AE259" s="43"/>
      <c r="AF259" s="43"/>
      <c r="AG259" s="43"/>
      <c r="AH259" s="43"/>
    </row>
    <row r="260" spans="1:34">
      <c r="A260" s="43"/>
      <c r="B260" s="43"/>
      <c r="C260" s="43"/>
      <c r="D260" s="43"/>
      <c r="E260" s="43"/>
      <c r="F260" s="43"/>
      <c r="G260" s="43"/>
      <c r="H260" s="244"/>
      <c r="I260" s="244"/>
      <c r="J260" s="244"/>
      <c r="K260" s="244"/>
      <c r="L260" s="244"/>
      <c r="M260" s="244"/>
      <c r="N260" s="244"/>
      <c r="O260" s="244"/>
      <c r="P260" s="244"/>
      <c r="Q260" s="245"/>
      <c r="R260" s="244"/>
      <c r="S260" s="244"/>
      <c r="T260" s="244"/>
      <c r="U260" s="244"/>
      <c r="V260" s="244"/>
      <c r="W260" s="245"/>
      <c r="X260" s="253"/>
      <c r="Y260" s="253"/>
      <c r="Z260" s="244"/>
      <c r="AA260" s="244"/>
      <c r="AB260" s="43"/>
      <c r="AC260" s="43"/>
      <c r="AD260" s="43"/>
      <c r="AE260" s="43"/>
      <c r="AF260" s="43"/>
      <c r="AG260" s="43"/>
      <c r="AH260" s="43"/>
    </row>
    <row r="261" spans="1:34">
      <c r="A261" s="43"/>
      <c r="B261" s="43"/>
      <c r="C261" s="43"/>
      <c r="D261" s="43"/>
      <c r="E261" s="43"/>
      <c r="F261" s="43"/>
      <c r="G261" s="43"/>
      <c r="H261" s="244"/>
      <c r="I261" s="244"/>
      <c r="J261" s="244"/>
      <c r="K261" s="244"/>
      <c r="L261" s="244"/>
      <c r="M261" s="244"/>
      <c r="N261" s="244"/>
      <c r="O261" s="244"/>
      <c r="P261" s="244"/>
      <c r="Q261" s="245"/>
      <c r="R261" s="244"/>
      <c r="S261" s="244"/>
      <c r="T261" s="244"/>
      <c r="U261" s="244"/>
      <c r="V261" s="244"/>
      <c r="W261" s="245"/>
      <c r="X261" s="253"/>
      <c r="Y261" s="253"/>
      <c r="Z261" s="244"/>
      <c r="AA261" s="244"/>
      <c r="AB261" s="43"/>
      <c r="AC261" s="43"/>
      <c r="AD261" s="43"/>
      <c r="AE261" s="43"/>
      <c r="AF261" s="43"/>
      <c r="AG261" s="43"/>
      <c r="AH261" s="43"/>
    </row>
    <row r="262" spans="1:34">
      <c r="A262" s="43"/>
      <c r="B262" s="43"/>
      <c r="C262" s="43"/>
      <c r="D262" s="43"/>
      <c r="E262" s="43"/>
      <c r="F262" s="43"/>
      <c r="G262" s="43"/>
      <c r="H262" s="244"/>
      <c r="I262" s="244"/>
      <c r="J262" s="244"/>
      <c r="K262" s="244"/>
      <c r="L262" s="244"/>
      <c r="M262" s="244"/>
      <c r="N262" s="244"/>
      <c r="O262" s="244"/>
      <c r="P262" s="244"/>
      <c r="Q262" s="245"/>
      <c r="R262" s="244"/>
      <c r="S262" s="244"/>
      <c r="T262" s="244"/>
      <c r="U262" s="244"/>
      <c r="V262" s="244"/>
      <c r="W262" s="245"/>
      <c r="X262" s="253"/>
      <c r="Y262" s="253"/>
      <c r="Z262" s="244"/>
      <c r="AA262" s="244"/>
      <c r="AB262" s="43"/>
      <c r="AC262" s="43"/>
      <c r="AD262" s="43"/>
      <c r="AE262" s="43"/>
      <c r="AF262" s="43"/>
      <c r="AG262" s="43"/>
      <c r="AH262" s="43"/>
    </row>
    <row r="263" spans="1:34">
      <c r="A263" s="43"/>
      <c r="B263" s="43"/>
      <c r="C263" s="43"/>
      <c r="D263" s="43"/>
      <c r="E263" s="43"/>
      <c r="F263" s="43"/>
      <c r="G263" s="43"/>
      <c r="H263" s="244"/>
      <c r="I263" s="244"/>
      <c r="J263" s="244"/>
      <c r="K263" s="244"/>
      <c r="L263" s="244"/>
      <c r="M263" s="244"/>
      <c r="N263" s="244"/>
      <c r="O263" s="244"/>
      <c r="P263" s="244"/>
      <c r="Q263" s="245"/>
      <c r="R263" s="244"/>
      <c r="S263" s="244"/>
      <c r="T263" s="244"/>
      <c r="U263" s="244"/>
      <c r="V263" s="244"/>
      <c r="W263" s="245"/>
      <c r="X263" s="253"/>
      <c r="Y263" s="253"/>
      <c r="Z263" s="244"/>
      <c r="AA263" s="244"/>
      <c r="AB263" s="43"/>
      <c r="AC263" s="43"/>
      <c r="AD263" s="43"/>
      <c r="AE263" s="43"/>
      <c r="AF263" s="43"/>
      <c r="AG263" s="43"/>
      <c r="AH263" s="43"/>
    </row>
    <row r="264" spans="1:34">
      <c r="A264" s="43"/>
      <c r="B264" s="43"/>
      <c r="C264" s="43"/>
      <c r="D264" s="43"/>
      <c r="E264" s="43"/>
      <c r="F264" s="43"/>
      <c r="G264" s="43"/>
      <c r="H264" s="244"/>
      <c r="I264" s="244"/>
      <c r="J264" s="244"/>
      <c r="K264" s="244"/>
      <c r="L264" s="244"/>
      <c r="M264" s="244"/>
      <c r="N264" s="244"/>
      <c r="O264" s="244"/>
      <c r="P264" s="244"/>
      <c r="Q264" s="245"/>
      <c r="R264" s="244"/>
      <c r="S264" s="244"/>
      <c r="T264" s="244"/>
      <c r="U264" s="244"/>
      <c r="V264" s="244"/>
      <c r="W264" s="245"/>
      <c r="X264" s="253"/>
      <c r="Y264" s="253"/>
      <c r="Z264" s="244"/>
      <c r="AA264" s="244"/>
      <c r="AB264" s="43"/>
      <c r="AC264" s="43"/>
      <c r="AD264" s="43"/>
      <c r="AE264" s="43"/>
      <c r="AF264" s="43"/>
      <c r="AG264" s="43"/>
      <c r="AH264" s="43"/>
    </row>
    <row r="265" spans="1:34">
      <c r="A265" s="43"/>
      <c r="B265" s="43"/>
      <c r="C265" s="43"/>
      <c r="D265" s="43"/>
      <c r="E265" s="43"/>
      <c r="F265" s="43"/>
      <c r="G265" s="43"/>
      <c r="H265" s="244"/>
      <c r="I265" s="244"/>
      <c r="J265" s="244"/>
      <c r="K265" s="244"/>
      <c r="L265" s="244"/>
      <c r="M265" s="244"/>
      <c r="N265" s="244"/>
      <c r="O265" s="244"/>
      <c r="P265" s="244"/>
      <c r="Q265" s="245"/>
      <c r="R265" s="244"/>
      <c r="S265" s="244"/>
      <c r="T265" s="244"/>
      <c r="U265" s="244"/>
      <c r="V265" s="244"/>
      <c r="W265" s="245"/>
      <c r="X265" s="253"/>
      <c r="Y265" s="253"/>
      <c r="Z265" s="244"/>
      <c r="AA265" s="244"/>
      <c r="AB265" s="43"/>
      <c r="AC265" s="43"/>
      <c r="AD265" s="43"/>
      <c r="AE265" s="43"/>
      <c r="AF265" s="43"/>
      <c r="AG265" s="43"/>
      <c r="AH265" s="43"/>
    </row>
    <row r="266" spans="1:34">
      <c r="A266" s="43"/>
      <c r="B266" s="43"/>
      <c r="C266" s="43"/>
      <c r="D266" s="43"/>
      <c r="E266" s="43"/>
      <c r="F266" s="43"/>
      <c r="G266" s="43"/>
      <c r="H266" s="244"/>
      <c r="I266" s="244"/>
      <c r="J266" s="244"/>
      <c r="K266" s="244"/>
      <c r="L266" s="244"/>
      <c r="M266" s="244"/>
      <c r="N266" s="244"/>
      <c r="O266" s="244"/>
      <c r="P266" s="244"/>
      <c r="Q266" s="245"/>
      <c r="R266" s="244"/>
      <c r="S266" s="244"/>
      <c r="T266" s="244"/>
      <c r="U266" s="244"/>
      <c r="V266" s="244"/>
      <c r="W266" s="245"/>
      <c r="X266" s="253"/>
      <c r="Y266" s="253"/>
      <c r="Z266" s="244"/>
      <c r="AA266" s="244"/>
      <c r="AB266" s="43"/>
      <c r="AC266" s="43"/>
      <c r="AD266" s="43"/>
      <c r="AE266" s="43"/>
      <c r="AF266" s="43"/>
      <c r="AG266" s="43"/>
      <c r="AH266" s="43"/>
    </row>
    <row r="267" spans="1:34">
      <c r="A267" s="43"/>
      <c r="B267" s="43"/>
      <c r="C267" s="43"/>
      <c r="D267" s="43"/>
      <c r="E267" s="43"/>
      <c r="F267" s="43"/>
      <c r="G267" s="43"/>
      <c r="H267" s="244"/>
      <c r="I267" s="244"/>
      <c r="J267" s="244"/>
      <c r="K267" s="244"/>
      <c r="L267" s="244"/>
      <c r="M267" s="244"/>
      <c r="N267" s="244"/>
      <c r="O267" s="244"/>
      <c r="P267" s="244"/>
      <c r="Q267" s="245"/>
      <c r="R267" s="244"/>
      <c r="S267" s="244"/>
      <c r="T267" s="244"/>
      <c r="U267" s="244"/>
      <c r="V267" s="244"/>
      <c r="W267" s="245"/>
      <c r="X267" s="253"/>
      <c r="Y267" s="253"/>
      <c r="Z267" s="244"/>
      <c r="AA267" s="244"/>
      <c r="AB267" s="43"/>
      <c r="AC267" s="43"/>
      <c r="AD267" s="43"/>
      <c r="AE267" s="43"/>
      <c r="AF267" s="43"/>
      <c r="AG267" s="43"/>
      <c r="AH267" s="43"/>
    </row>
    <row r="268" spans="1:34">
      <c r="A268" s="43"/>
      <c r="B268" s="43"/>
      <c r="C268" s="43"/>
      <c r="D268" s="43"/>
      <c r="E268" s="43"/>
      <c r="F268" s="43"/>
      <c r="G268" s="43"/>
      <c r="H268" s="244"/>
      <c r="I268" s="244"/>
      <c r="J268" s="244"/>
      <c r="K268" s="244"/>
      <c r="L268" s="244"/>
      <c r="M268" s="244"/>
      <c r="N268" s="244"/>
      <c r="O268" s="244"/>
      <c r="P268" s="244"/>
      <c r="Q268" s="245"/>
      <c r="R268" s="244"/>
      <c r="S268" s="244"/>
      <c r="T268" s="244"/>
      <c r="U268" s="244"/>
      <c r="V268" s="244"/>
      <c r="W268" s="245"/>
      <c r="X268" s="253"/>
      <c r="Y268" s="253"/>
      <c r="Z268" s="244"/>
      <c r="AA268" s="244"/>
      <c r="AB268" s="43"/>
      <c r="AC268" s="43"/>
      <c r="AD268" s="43"/>
      <c r="AE268" s="43"/>
      <c r="AF268" s="43"/>
      <c r="AG268" s="43"/>
      <c r="AH268" s="43"/>
    </row>
    <row r="269" spans="1:34">
      <c r="A269" s="43"/>
      <c r="B269" s="43"/>
      <c r="C269" s="43"/>
      <c r="D269" s="43"/>
      <c r="E269" s="43"/>
      <c r="F269" s="43"/>
      <c r="G269" s="43"/>
      <c r="H269" s="244"/>
      <c r="I269" s="244"/>
      <c r="J269" s="244"/>
      <c r="K269" s="244"/>
      <c r="L269" s="244"/>
      <c r="M269" s="244"/>
      <c r="N269" s="244"/>
      <c r="O269" s="244"/>
      <c r="P269" s="244"/>
      <c r="Q269" s="245"/>
      <c r="R269" s="244"/>
      <c r="S269" s="244"/>
      <c r="T269" s="244"/>
      <c r="U269" s="244"/>
      <c r="V269" s="244"/>
      <c r="W269" s="245"/>
      <c r="X269" s="253"/>
      <c r="Y269" s="253"/>
      <c r="Z269" s="244"/>
      <c r="AA269" s="244"/>
      <c r="AB269" s="43"/>
      <c r="AC269" s="43"/>
      <c r="AD269" s="43"/>
      <c r="AE269" s="43"/>
      <c r="AF269" s="43"/>
      <c r="AG269" s="43"/>
      <c r="AH269" s="43"/>
    </row>
    <row r="270" spans="1:34">
      <c r="A270" s="43"/>
      <c r="B270" s="43"/>
      <c r="C270" s="43"/>
      <c r="D270" s="43"/>
      <c r="E270" s="43"/>
      <c r="F270" s="43"/>
      <c r="G270" s="43"/>
      <c r="H270" s="244"/>
      <c r="I270" s="244"/>
      <c r="J270" s="244"/>
      <c r="K270" s="244"/>
      <c r="L270" s="244"/>
      <c r="M270" s="244"/>
      <c r="N270" s="244"/>
      <c r="O270" s="244"/>
      <c r="P270" s="244"/>
      <c r="Q270" s="245"/>
      <c r="R270" s="244"/>
      <c r="S270" s="244"/>
      <c r="T270" s="244"/>
      <c r="U270" s="244"/>
      <c r="V270" s="244"/>
      <c r="W270" s="245"/>
      <c r="X270" s="253"/>
      <c r="Y270" s="253"/>
      <c r="Z270" s="244"/>
      <c r="AA270" s="244"/>
      <c r="AB270" s="43"/>
      <c r="AC270" s="43"/>
      <c r="AD270" s="43"/>
      <c r="AE270" s="43"/>
      <c r="AF270" s="43"/>
      <c r="AG270" s="43"/>
      <c r="AH270" s="43"/>
    </row>
    <row r="271" spans="1:34">
      <c r="A271" s="43"/>
      <c r="B271" s="43"/>
      <c r="C271" s="43"/>
      <c r="D271" s="43"/>
      <c r="E271" s="43"/>
      <c r="F271" s="43"/>
      <c r="G271" s="43"/>
      <c r="H271" s="244"/>
      <c r="I271" s="244"/>
      <c r="J271" s="244"/>
      <c r="K271" s="244"/>
      <c r="L271" s="244"/>
      <c r="M271" s="244"/>
      <c r="N271" s="244"/>
      <c r="O271" s="244"/>
      <c r="P271" s="244"/>
      <c r="Q271" s="245"/>
      <c r="R271" s="244"/>
      <c r="S271" s="244"/>
      <c r="T271" s="244"/>
      <c r="U271" s="244"/>
      <c r="V271" s="244"/>
      <c r="W271" s="245"/>
      <c r="X271" s="253"/>
      <c r="Y271" s="253"/>
      <c r="Z271" s="244"/>
      <c r="AA271" s="244"/>
      <c r="AB271" s="43"/>
      <c r="AC271" s="43"/>
      <c r="AD271" s="43"/>
      <c r="AE271" s="43"/>
      <c r="AF271" s="43"/>
      <c r="AG271" s="43"/>
      <c r="AH271" s="43"/>
    </row>
    <row r="272" spans="1:34">
      <c r="A272" s="43"/>
      <c r="B272" s="43"/>
      <c r="C272" s="43"/>
      <c r="D272" s="43"/>
      <c r="E272" s="43"/>
      <c r="F272" s="43"/>
      <c r="G272" s="43"/>
      <c r="H272" s="244"/>
      <c r="I272" s="244"/>
      <c r="J272" s="244"/>
      <c r="K272" s="244"/>
      <c r="L272" s="244"/>
      <c r="M272" s="244"/>
      <c r="N272" s="244"/>
      <c r="O272" s="244"/>
      <c r="P272" s="244"/>
      <c r="Q272" s="245"/>
      <c r="R272" s="244"/>
      <c r="S272" s="244"/>
      <c r="T272" s="244"/>
      <c r="U272" s="244"/>
      <c r="V272" s="244"/>
      <c r="W272" s="245"/>
      <c r="X272" s="253"/>
      <c r="Y272" s="253"/>
      <c r="Z272" s="244"/>
      <c r="AA272" s="244"/>
      <c r="AB272" s="43"/>
      <c r="AC272" s="43"/>
      <c r="AD272" s="43"/>
      <c r="AE272" s="43"/>
      <c r="AF272" s="43"/>
      <c r="AG272" s="43"/>
      <c r="AH272" s="43"/>
    </row>
    <row r="273" spans="1:34">
      <c r="A273" s="43"/>
      <c r="B273" s="43"/>
      <c r="C273" s="43"/>
      <c r="D273" s="43"/>
      <c r="E273" s="43"/>
      <c r="F273" s="43"/>
      <c r="G273" s="43"/>
      <c r="H273" s="244"/>
      <c r="I273" s="244"/>
      <c r="J273" s="244"/>
      <c r="K273" s="244"/>
      <c r="L273" s="244"/>
      <c r="M273" s="244"/>
      <c r="N273" s="244"/>
      <c r="O273" s="244"/>
      <c r="P273" s="244"/>
      <c r="Q273" s="245"/>
      <c r="R273" s="244"/>
      <c r="S273" s="244"/>
      <c r="T273" s="244"/>
      <c r="U273" s="244"/>
      <c r="V273" s="244"/>
      <c r="W273" s="245"/>
      <c r="X273" s="253"/>
      <c r="Y273" s="253"/>
      <c r="Z273" s="244"/>
      <c r="AA273" s="244"/>
      <c r="AB273" s="43"/>
      <c r="AC273" s="43"/>
      <c r="AD273" s="43"/>
      <c r="AE273" s="43"/>
      <c r="AF273" s="43"/>
      <c r="AG273" s="43"/>
      <c r="AH273" s="43"/>
    </row>
    <row r="274" spans="1:34">
      <c r="A274" s="43"/>
      <c r="B274" s="43"/>
      <c r="C274" s="43"/>
      <c r="D274" s="43"/>
      <c r="E274" s="43"/>
      <c r="F274" s="43"/>
      <c r="G274" s="43"/>
      <c r="H274" s="244"/>
      <c r="I274" s="244"/>
      <c r="J274" s="244"/>
      <c r="K274" s="244"/>
      <c r="L274" s="244"/>
      <c r="M274" s="244"/>
      <c r="N274" s="244"/>
      <c r="O274" s="244"/>
      <c r="P274" s="244"/>
      <c r="Q274" s="245"/>
      <c r="R274" s="244"/>
      <c r="S274" s="244"/>
      <c r="T274" s="244"/>
      <c r="U274" s="244"/>
      <c r="V274" s="244"/>
      <c r="W274" s="245"/>
      <c r="X274" s="253"/>
      <c r="Y274" s="253"/>
      <c r="Z274" s="244"/>
      <c r="AA274" s="244"/>
      <c r="AB274" s="43"/>
      <c r="AC274" s="43"/>
      <c r="AD274" s="43"/>
      <c r="AE274" s="43"/>
      <c r="AF274" s="43"/>
      <c r="AG274" s="43"/>
      <c r="AH274" s="43"/>
    </row>
    <row r="275" spans="1:34">
      <c r="A275" s="43"/>
      <c r="B275" s="43"/>
      <c r="C275" s="43"/>
      <c r="D275" s="43"/>
      <c r="E275" s="43"/>
      <c r="F275" s="43"/>
      <c r="G275" s="43"/>
      <c r="H275" s="244"/>
      <c r="I275" s="244"/>
      <c r="J275" s="244"/>
      <c r="K275" s="244"/>
      <c r="L275" s="244"/>
      <c r="M275" s="244"/>
      <c r="N275" s="244"/>
      <c r="O275" s="244"/>
      <c r="P275" s="244"/>
      <c r="Q275" s="245"/>
      <c r="R275" s="244"/>
      <c r="S275" s="244"/>
      <c r="T275" s="244"/>
      <c r="U275" s="244"/>
      <c r="V275" s="244"/>
      <c r="W275" s="245"/>
      <c r="X275" s="253"/>
      <c r="Y275" s="253"/>
      <c r="Z275" s="244"/>
      <c r="AA275" s="244"/>
      <c r="AB275" s="43"/>
      <c r="AC275" s="43"/>
      <c r="AD275" s="43"/>
      <c r="AE275" s="43"/>
      <c r="AF275" s="43"/>
      <c r="AG275" s="43"/>
      <c r="AH275" s="43"/>
    </row>
    <row r="276" spans="1:34">
      <c r="A276" s="43"/>
      <c r="B276" s="43"/>
      <c r="C276" s="43"/>
      <c r="D276" s="43"/>
      <c r="E276" s="43"/>
      <c r="F276" s="43"/>
      <c r="G276" s="43"/>
      <c r="H276" s="244"/>
      <c r="I276" s="244"/>
      <c r="J276" s="244"/>
      <c r="K276" s="244"/>
      <c r="L276" s="244"/>
      <c r="M276" s="244"/>
      <c r="N276" s="244"/>
      <c r="O276" s="244"/>
      <c r="P276" s="244"/>
      <c r="Q276" s="245"/>
      <c r="R276" s="244"/>
      <c r="S276" s="244"/>
      <c r="T276" s="244"/>
      <c r="U276" s="244"/>
      <c r="V276" s="244"/>
      <c r="W276" s="245"/>
      <c r="X276" s="253"/>
      <c r="Y276" s="253"/>
      <c r="Z276" s="244"/>
      <c r="AA276" s="244"/>
      <c r="AB276" s="43"/>
      <c r="AC276" s="43"/>
      <c r="AD276" s="43"/>
      <c r="AE276" s="43"/>
      <c r="AF276" s="43"/>
      <c r="AG276" s="43"/>
      <c r="AH276" s="43"/>
    </row>
    <row r="277" spans="1:34">
      <c r="A277" s="43"/>
      <c r="B277" s="43"/>
      <c r="C277" s="43"/>
      <c r="D277" s="43"/>
      <c r="E277" s="43"/>
      <c r="F277" s="43"/>
      <c r="G277" s="43"/>
      <c r="H277" s="244"/>
      <c r="I277" s="244"/>
      <c r="J277" s="244"/>
      <c r="K277" s="244"/>
      <c r="L277" s="244"/>
      <c r="M277" s="244"/>
      <c r="N277" s="244"/>
      <c r="O277" s="244"/>
      <c r="P277" s="244"/>
      <c r="Q277" s="245"/>
      <c r="R277" s="244"/>
      <c r="S277" s="244"/>
      <c r="T277" s="244"/>
      <c r="U277" s="244"/>
      <c r="V277" s="244"/>
      <c r="W277" s="245"/>
      <c r="X277" s="253"/>
      <c r="Y277" s="253"/>
      <c r="Z277" s="244"/>
      <c r="AA277" s="244"/>
      <c r="AB277" s="43"/>
      <c r="AC277" s="43"/>
      <c r="AD277" s="43"/>
      <c r="AE277" s="43"/>
      <c r="AF277" s="43"/>
      <c r="AG277" s="43"/>
      <c r="AH277" s="43"/>
    </row>
    <row r="278" spans="1:34">
      <c r="A278" s="43"/>
      <c r="B278" s="43"/>
      <c r="C278" s="43"/>
      <c r="D278" s="43"/>
      <c r="E278" s="43"/>
      <c r="F278" s="43"/>
      <c r="G278" s="43"/>
      <c r="H278" s="244"/>
      <c r="I278" s="244"/>
      <c r="J278" s="244"/>
      <c r="K278" s="244"/>
      <c r="L278" s="244"/>
      <c r="M278" s="244"/>
      <c r="N278" s="244"/>
      <c r="O278" s="244"/>
      <c r="P278" s="244"/>
      <c r="Q278" s="245"/>
      <c r="R278" s="244"/>
      <c r="S278" s="244"/>
      <c r="T278" s="244"/>
      <c r="U278" s="244"/>
      <c r="V278" s="244"/>
      <c r="W278" s="245"/>
      <c r="X278" s="253"/>
      <c r="Y278" s="253"/>
      <c r="Z278" s="244"/>
      <c r="AA278" s="244"/>
      <c r="AB278" s="43"/>
      <c r="AC278" s="43"/>
      <c r="AD278" s="43"/>
      <c r="AE278" s="43"/>
      <c r="AF278" s="43"/>
      <c r="AG278" s="43"/>
      <c r="AH278" s="43"/>
    </row>
    <row r="279" spans="1:34">
      <c r="A279" s="43"/>
      <c r="B279" s="43"/>
      <c r="C279" s="43"/>
      <c r="D279" s="43"/>
      <c r="E279" s="43"/>
      <c r="F279" s="43"/>
      <c r="G279" s="43"/>
      <c r="H279" s="244"/>
      <c r="I279" s="244"/>
      <c r="J279" s="244"/>
      <c r="K279" s="244"/>
      <c r="L279" s="244"/>
      <c r="M279" s="244"/>
      <c r="N279" s="244"/>
      <c r="O279" s="244"/>
      <c r="P279" s="244"/>
      <c r="Q279" s="245"/>
      <c r="R279" s="244"/>
      <c r="S279" s="244"/>
      <c r="T279" s="244"/>
      <c r="U279" s="244"/>
      <c r="V279" s="244"/>
      <c r="W279" s="245"/>
      <c r="X279" s="253"/>
      <c r="Y279" s="253"/>
      <c r="Z279" s="244"/>
      <c r="AA279" s="244"/>
      <c r="AB279" s="43"/>
      <c r="AC279" s="43"/>
      <c r="AD279" s="43"/>
      <c r="AE279" s="43"/>
      <c r="AF279" s="43"/>
      <c r="AG279" s="43"/>
      <c r="AH279" s="43"/>
    </row>
    <row r="280" spans="1:34">
      <c r="A280" s="43"/>
      <c r="B280" s="43"/>
      <c r="C280" s="43"/>
      <c r="D280" s="43"/>
      <c r="E280" s="43"/>
      <c r="F280" s="43"/>
      <c r="G280" s="43"/>
      <c r="H280" s="244"/>
      <c r="I280" s="244"/>
      <c r="J280" s="244"/>
      <c r="K280" s="244"/>
      <c r="L280" s="244"/>
      <c r="M280" s="244"/>
      <c r="N280" s="244"/>
      <c r="O280" s="244"/>
      <c r="P280" s="244"/>
      <c r="Q280" s="245"/>
      <c r="R280" s="244"/>
      <c r="S280" s="244"/>
      <c r="T280" s="244"/>
      <c r="U280" s="244"/>
      <c r="V280" s="244"/>
      <c r="W280" s="245"/>
      <c r="X280" s="253"/>
      <c r="Y280" s="253"/>
      <c r="Z280" s="244"/>
      <c r="AA280" s="244"/>
      <c r="AB280" s="43"/>
      <c r="AC280" s="43"/>
      <c r="AD280" s="43"/>
      <c r="AE280" s="43"/>
      <c r="AF280" s="43"/>
      <c r="AG280" s="43"/>
      <c r="AH280" s="43"/>
    </row>
    <row r="281" spans="1:34">
      <c r="A281" s="43"/>
      <c r="B281" s="43"/>
      <c r="C281" s="43"/>
      <c r="D281" s="43"/>
      <c r="E281" s="43"/>
      <c r="F281" s="43"/>
      <c r="G281" s="43"/>
      <c r="H281" s="244"/>
      <c r="I281" s="244"/>
      <c r="J281" s="244"/>
      <c r="K281" s="244"/>
      <c r="L281" s="244"/>
      <c r="M281" s="244"/>
      <c r="N281" s="244"/>
      <c r="O281" s="244"/>
      <c r="P281" s="244"/>
      <c r="Q281" s="245"/>
      <c r="R281" s="244"/>
      <c r="S281" s="244"/>
      <c r="T281" s="244"/>
      <c r="U281" s="244"/>
      <c r="V281" s="244"/>
      <c r="W281" s="245"/>
      <c r="X281" s="253"/>
      <c r="Y281" s="253"/>
      <c r="Z281" s="244"/>
      <c r="AA281" s="244"/>
      <c r="AB281" s="43"/>
      <c r="AC281" s="43"/>
      <c r="AD281" s="43"/>
      <c r="AE281" s="43"/>
      <c r="AF281" s="43"/>
      <c r="AG281" s="43"/>
      <c r="AH281" s="43"/>
    </row>
    <row r="282" spans="1:34">
      <c r="A282" s="43"/>
      <c r="B282" s="43"/>
      <c r="C282" s="43"/>
      <c r="D282" s="43"/>
      <c r="E282" s="43"/>
      <c r="F282" s="43"/>
      <c r="G282" s="43"/>
      <c r="H282" s="244"/>
      <c r="I282" s="244"/>
      <c r="J282" s="244"/>
      <c r="K282" s="244"/>
      <c r="L282" s="244"/>
      <c r="M282" s="244"/>
      <c r="N282" s="244"/>
      <c r="O282" s="244"/>
      <c r="P282" s="244"/>
      <c r="Q282" s="245"/>
      <c r="R282" s="244"/>
      <c r="S282" s="244"/>
      <c r="T282" s="244"/>
      <c r="U282" s="244"/>
      <c r="V282" s="244"/>
      <c r="W282" s="245"/>
      <c r="X282" s="253"/>
      <c r="Y282" s="253"/>
      <c r="Z282" s="244"/>
      <c r="AA282" s="244"/>
      <c r="AB282" s="43"/>
      <c r="AC282" s="43"/>
      <c r="AD282" s="43"/>
      <c r="AE282" s="43"/>
      <c r="AF282" s="43"/>
      <c r="AG282" s="43"/>
      <c r="AH282" s="43"/>
    </row>
    <row r="283" spans="1:34">
      <c r="A283" s="43"/>
      <c r="B283" s="43"/>
      <c r="C283" s="43"/>
      <c r="D283" s="43"/>
      <c r="E283" s="43"/>
      <c r="F283" s="43"/>
      <c r="G283" s="43"/>
      <c r="H283" s="244"/>
      <c r="I283" s="244"/>
      <c r="J283" s="244"/>
      <c r="K283" s="244"/>
      <c r="L283" s="244"/>
      <c r="M283" s="244"/>
      <c r="N283" s="244"/>
      <c r="O283" s="244"/>
      <c r="P283" s="244"/>
      <c r="Q283" s="245"/>
      <c r="R283" s="244"/>
      <c r="S283" s="244"/>
      <c r="T283" s="244"/>
      <c r="U283" s="244"/>
      <c r="V283" s="244"/>
      <c r="W283" s="245"/>
      <c r="X283" s="253"/>
      <c r="Y283" s="253"/>
      <c r="Z283" s="244"/>
      <c r="AA283" s="244"/>
      <c r="AB283" s="43"/>
      <c r="AC283" s="43"/>
      <c r="AD283" s="43"/>
      <c r="AE283" s="43"/>
      <c r="AF283" s="43"/>
      <c r="AG283" s="43"/>
      <c r="AH283" s="43"/>
    </row>
    <row r="284" spans="1:34">
      <c r="A284" s="43"/>
      <c r="B284" s="43"/>
      <c r="C284" s="43"/>
      <c r="D284" s="43"/>
      <c r="E284" s="43"/>
      <c r="F284" s="43"/>
      <c r="G284" s="43"/>
      <c r="H284" s="244"/>
      <c r="I284" s="244"/>
      <c r="J284" s="244"/>
      <c r="K284" s="244"/>
      <c r="L284" s="244"/>
      <c r="M284" s="244"/>
      <c r="N284" s="244"/>
      <c r="O284" s="244"/>
      <c r="P284" s="244"/>
      <c r="Q284" s="245"/>
      <c r="R284" s="244"/>
      <c r="S284" s="244"/>
      <c r="T284" s="244"/>
      <c r="U284" s="244"/>
      <c r="V284" s="244"/>
      <c r="W284" s="245"/>
      <c r="X284" s="253"/>
      <c r="Y284" s="253"/>
      <c r="Z284" s="244"/>
      <c r="AA284" s="244"/>
      <c r="AB284" s="43"/>
      <c r="AC284" s="43"/>
      <c r="AD284" s="43"/>
      <c r="AE284" s="43"/>
      <c r="AF284" s="43"/>
      <c r="AG284" s="43"/>
      <c r="AH284" s="43"/>
    </row>
    <row r="285" spans="1:34">
      <c r="A285" s="43"/>
      <c r="B285" s="43"/>
      <c r="C285" s="43"/>
      <c r="D285" s="43"/>
      <c r="E285" s="43"/>
      <c r="F285" s="43"/>
      <c r="G285" s="43"/>
      <c r="H285" s="244"/>
      <c r="I285" s="244"/>
      <c r="J285" s="244"/>
      <c r="K285" s="244"/>
      <c r="L285" s="244"/>
      <c r="M285" s="244"/>
      <c r="N285" s="244"/>
      <c r="O285" s="244"/>
      <c r="P285" s="244"/>
      <c r="Q285" s="245"/>
      <c r="R285" s="244"/>
      <c r="S285" s="244"/>
      <c r="T285" s="244"/>
      <c r="U285" s="244"/>
      <c r="V285" s="244"/>
      <c r="W285" s="245"/>
      <c r="X285" s="253"/>
      <c r="Y285" s="253"/>
      <c r="Z285" s="244"/>
      <c r="AA285" s="244"/>
      <c r="AB285" s="43"/>
      <c r="AC285" s="43"/>
      <c r="AD285" s="43"/>
      <c r="AE285" s="43"/>
      <c r="AF285" s="43"/>
      <c r="AG285" s="43"/>
      <c r="AH285" s="43"/>
    </row>
    <row r="286" spans="1:34">
      <c r="A286" s="43"/>
      <c r="B286" s="43"/>
      <c r="C286" s="43"/>
      <c r="D286" s="43"/>
      <c r="E286" s="43"/>
      <c r="F286" s="43"/>
      <c r="G286" s="43"/>
      <c r="H286" s="244"/>
      <c r="I286" s="244"/>
      <c r="J286" s="244"/>
      <c r="K286" s="244"/>
      <c r="L286" s="244"/>
      <c r="M286" s="244"/>
      <c r="N286" s="244"/>
      <c r="O286" s="244"/>
      <c r="P286" s="244"/>
      <c r="Q286" s="245"/>
      <c r="R286" s="244"/>
      <c r="S286" s="244"/>
      <c r="T286" s="244"/>
      <c r="U286" s="244"/>
      <c r="V286" s="244"/>
      <c r="W286" s="245"/>
      <c r="X286" s="253"/>
      <c r="Y286" s="253"/>
      <c r="Z286" s="244"/>
      <c r="AA286" s="244"/>
      <c r="AB286" s="43"/>
      <c r="AC286" s="43"/>
      <c r="AD286" s="43"/>
      <c r="AE286" s="43"/>
      <c r="AF286" s="43"/>
      <c r="AG286" s="43"/>
      <c r="AH286" s="43"/>
    </row>
    <row r="287" spans="1:34">
      <c r="A287" s="43"/>
      <c r="B287" s="43"/>
      <c r="C287" s="43"/>
      <c r="D287" s="43"/>
      <c r="E287" s="43"/>
      <c r="F287" s="43"/>
      <c r="G287" s="43"/>
      <c r="H287" s="244"/>
      <c r="I287" s="244"/>
      <c r="J287" s="244"/>
      <c r="K287" s="244"/>
      <c r="L287" s="244"/>
      <c r="M287" s="244"/>
      <c r="N287" s="244"/>
      <c r="O287" s="244"/>
      <c r="P287" s="244"/>
      <c r="Q287" s="245"/>
      <c r="R287" s="244"/>
      <c r="S287" s="244"/>
      <c r="T287" s="244"/>
      <c r="U287" s="244"/>
      <c r="V287" s="244"/>
      <c r="W287" s="245"/>
      <c r="X287" s="253"/>
      <c r="Y287" s="253"/>
      <c r="Z287" s="244"/>
      <c r="AA287" s="244"/>
      <c r="AB287" s="43"/>
      <c r="AC287" s="43"/>
      <c r="AD287" s="43"/>
      <c r="AE287" s="43"/>
      <c r="AF287" s="43"/>
      <c r="AG287" s="43"/>
      <c r="AH287" s="43"/>
    </row>
    <row r="288" spans="1:34">
      <c r="A288" s="43"/>
      <c r="B288" s="43"/>
      <c r="C288" s="43"/>
      <c r="D288" s="43"/>
      <c r="E288" s="43"/>
      <c r="F288" s="43"/>
      <c r="G288" s="43"/>
      <c r="H288" s="244"/>
      <c r="I288" s="244"/>
      <c r="J288" s="244"/>
      <c r="K288" s="244"/>
      <c r="L288" s="244"/>
      <c r="M288" s="244"/>
      <c r="N288" s="244"/>
      <c r="O288" s="244"/>
      <c r="P288" s="244"/>
      <c r="Q288" s="245"/>
      <c r="R288" s="244"/>
      <c r="S288" s="244"/>
      <c r="T288" s="244"/>
      <c r="U288" s="244"/>
      <c r="V288" s="244"/>
      <c r="W288" s="245"/>
      <c r="X288" s="253"/>
      <c r="Y288" s="253"/>
      <c r="Z288" s="244"/>
      <c r="AA288" s="244"/>
      <c r="AB288" s="43"/>
      <c r="AC288" s="43"/>
      <c r="AD288" s="43"/>
      <c r="AE288" s="43"/>
      <c r="AF288" s="43"/>
      <c r="AG288" s="43"/>
      <c r="AH288" s="43"/>
    </row>
    <row r="289" spans="1:34">
      <c r="A289" s="43"/>
      <c r="B289" s="43"/>
      <c r="C289" s="43"/>
      <c r="D289" s="43"/>
      <c r="E289" s="43"/>
      <c r="F289" s="43"/>
      <c r="G289" s="43"/>
      <c r="H289" s="244"/>
      <c r="I289" s="244"/>
      <c r="J289" s="244"/>
      <c r="K289" s="244"/>
      <c r="L289" s="244"/>
      <c r="M289" s="244"/>
      <c r="N289" s="244"/>
      <c r="O289" s="244"/>
      <c r="P289" s="244"/>
      <c r="Q289" s="245"/>
      <c r="R289" s="244"/>
      <c r="S289" s="244"/>
      <c r="T289" s="244"/>
      <c r="U289" s="244"/>
      <c r="V289" s="244"/>
      <c r="W289" s="245"/>
      <c r="X289" s="253"/>
      <c r="Y289" s="253"/>
      <c r="Z289" s="244"/>
      <c r="AA289" s="244"/>
      <c r="AB289" s="43"/>
      <c r="AC289" s="43"/>
      <c r="AD289" s="43"/>
      <c r="AE289" s="43"/>
      <c r="AF289" s="43"/>
      <c r="AG289" s="43"/>
      <c r="AH289" s="43"/>
    </row>
    <row r="290" spans="1:34">
      <c r="A290" s="43"/>
      <c r="B290" s="43"/>
      <c r="C290" s="43"/>
      <c r="D290" s="43"/>
      <c r="E290" s="43"/>
      <c r="F290" s="43"/>
      <c r="G290" s="43"/>
      <c r="H290" s="244"/>
      <c r="I290" s="244"/>
      <c r="J290" s="244"/>
      <c r="K290" s="244"/>
      <c r="L290" s="244"/>
      <c r="M290" s="244"/>
      <c r="N290" s="244"/>
      <c r="O290" s="244"/>
      <c r="P290" s="244"/>
      <c r="Q290" s="245"/>
      <c r="R290" s="244"/>
      <c r="S290" s="244"/>
      <c r="T290" s="244"/>
      <c r="U290" s="244"/>
      <c r="V290" s="244"/>
      <c r="W290" s="245"/>
      <c r="X290" s="253"/>
      <c r="Y290" s="253"/>
      <c r="Z290" s="244"/>
      <c r="AA290" s="244"/>
      <c r="AB290" s="43"/>
      <c r="AC290" s="43"/>
      <c r="AD290" s="43"/>
      <c r="AE290" s="43"/>
      <c r="AF290" s="43"/>
      <c r="AG290" s="43"/>
      <c r="AH290" s="43"/>
    </row>
    <row r="291" spans="1:34">
      <c r="A291" s="43"/>
      <c r="B291" s="43"/>
      <c r="C291" s="43"/>
      <c r="D291" s="43"/>
      <c r="E291" s="43"/>
      <c r="F291" s="43"/>
      <c r="G291" s="43"/>
      <c r="H291" s="244"/>
      <c r="I291" s="244"/>
      <c r="J291" s="244"/>
      <c r="K291" s="244"/>
      <c r="L291" s="244"/>
      <c r="M291" s="244"/>
      <c r="N291" s="244"/>
      <c r="O291" s="244"/>
      <c r="P291" s="244"/>
      <c r="Q291" s="245"/>
      <c r="R291" s="244"/>
      <c r="S291" s="244"/>
      <c r="T291" s="244"/>
      <c r="U291" s="244"/>
      <c r="V291" s="244"/>
      <c r="W291" s="245"/>
      <c r="X291" s="253"/>
      <c r="Y291" s="253"/>
      <c r="Z291" s="244"/>
      <c r="AA291" s="244"/>
      <c r="AB291" s="43"/>
      <c r="AC291" s="43"/>
      <c r="AD291" s="43"/>
      <c r="AE291" s="43"/>
      <c r="AF291" s="43"/>
      <c r="AG291" s="43"/>
      <c r="AH291" s="43"/>
    </row>
    <row r="292" spans="1:34">
      <c r="A292" s="43"/>
      <c r="B292" s="43"/>
      <c r="C292" s="43"/>
      <c r="D292" s="43"/>
      <c r="E292" s="43"/>
      <c r="F292" s="43"/>
      <c r="G292" s="43"/>
      <c r="H292" s="244"/>
      <c r="I292" s="244"/>
      <c r="J292" s="244"/>
      <c r="K292" s="244"/>
      <c r="L292" s="244"/>
      <c r="M292" s="244"/>
      <c r="N292" s="244"/>
      <c r="O292" s="244"/>
      <c r="P292" s="244"/>
      <c r="Q292" s="245"/>
      <c r="R292" s="244"/>
      <c r="S292" s="244"/>
      <c r="T292" s="244"/>
      <c r="U292" s="244"/>
      <c r="V292" s="244"/>
      <c r="W292" s="245"/>
      <c r="X292" s="253"/>
      <c r="Y292" s="253"/>
      <c r="Z292" s="244"/>
      <c r="AA292" s="244"/>
      <c r="AB292" s="43"/>
      <c r="AC292" s="43"/>
      <c r="AD292" s="43"/>
      <c r="AE292" s="43"/>
      <c r="AF292" s="43"/>
      <c r="AG292" s="43"/>
      <c r="AH292" s="43"/>
    </row>
    <row r="293" spans="1:34">
      <c r="A293" s="43"/>
      <c r="B293" s="43"/>
      <c r="C293" s="43"/>
      <c r="D293" s="43"/>
      <c r="E293" s="43"/>
      <c r="F293" s="43"/>
      <c r="G293" s="43"/>
      <c r="H293" s="244"/>
      <c r="I293" s="244"/>
      <c r="J293" s="244"/>
      <c r="K293" s="244"/>
      <c r="L293" s="244"/>
      <c r="M293" s="244"/>
      <c r="N293" s="244"/>
      <c r="O293" s="244"/>
      <c r="P293" s="244"/>
      <c r="Q293" s="245"/>
      <c r="R293" s="244"/>
      <c r="S293" s="244"/>
      <c r="T293" s="244"/>
      <c r="U293" s="244"/>
      <c r="V293" s="244"/>
      <c r="W293" s="245"/>
      <c r="X293" s="253"/>
      <c r="Y293" s="253"/>
      <c r="Z293" s="244"/>
      <c r="AA293" s="244"/>
      <c r="AB293" s="43"/>
      <c r="AC293" s="43"/>
      <c r="AD293" s="43"/>
      <c r="AE293" s="43"/>
      <c r="AF293" s="43"/>
      <c r="AG293" s="43"/>
      <c r="AH293" s="43"/>
    </row>
    <row r="294" spans="1:34">
      <c r="A294" s="43"/>
      <c r="B294" s="43"/>
      <c r="C294" s="43"/>
      <c r="D294" s="43"/>
      <c r="E294" s="43"/>
      <c r="F294" s="43"/>
      <c r="G294" s="43"/>
      <c r="H294" s="244"/>
      <c r="I294" s="244"/>
      <c r="J294" s="244"/>
      <c r="K294" s="244"/>
      <c r="L294" s="244"/>
      <c r="M294" s="244"/>
      <c r="N294" s="244"/>
      <c r="O294" s="244"/>
      <c r="P294" s="244"/>
      <c r="Q294" s="245"/>
      <c r="R294" s="244"/>
      <c r="S294" s="244"/>
      <c r="T294" s="244"/>
      <c r="U294" s="244"/>
      <c r="V294" s="244"/>
      <c r="W294" s="245"/>
      <c r="X294" s="253"/>
      <c r="Y294" s="253"/>
      <c r="Z294" s="244"/>
      <c r="AA294" s="244"/>
      <c r="AB294" s="43"/>
      <c r="AC294" s="43"/>
      <c r="AD294" s="43"/>
      <c r="AE294" s="43"/>
      <c r="AF294" s="43"/>
      <c r="AG294" s="43"/>
      <c r="AH294" s="43"/>
    </row>
    <row r="295" spans="1:34">
      <c r="A295" s="43"/>
      <c r="B295" s="43"/>
      <c r="C295" s="43"/>
      <c r="D295" s="43"/>
      <c r="E295" s="43"/>
      <c r="F295" s="43"/>
      <c r="G295" s="43"/>
      <c r="H295" s="244"/>
      <c r="I295" s="244"/>
      <c r="J295" s="244"/>
      <c r="K295" s="244"/>
      <c r="L295" s="244"/>
      <c r="M295" s="244"/>
      <c r="N295" s="244"/>
      <c r="O295" s="244"/>
      <c r="P295" s="244"/>
      <c r="Q295" s="245"/>
      <c r="R295" s="244"/>
      <c r="S295" s="244"/>
      <c r="T295" s="244"/>
      <c r="U295" s="244"/>
      <c r="V295" s="244"/>
      <c r="W295" s="245"/>
      <c r="X295" s="253"/>
      <c r="Y295" s="253"/>
      <c r="Z295" s="244"/>
      <c r="AA295" s="244"/>
      <c r="AB295" s="43"/>
      <c r="AC295" s="43"/>
      <c r="AD295" s="43"/>
      <c r="AE295" s="43"/>
      <c r="AF295" s="43"/>
      <c r="AG295" s="43"/>
      <c r="AH295" s="43"/>
    </row>
    <row r="296" spans="1:34">
      <c r="A296" s="43"/>
      <c r="B296" s="43"/>
      <c r="C296" s="43"/>
      <c r="D296" s="43"/>
      <c r="E296" s="43"/>
      <c r="F296" s="43"/>
      <c r="G296" s="43"/>
      <c r="H296" s="244"/>
      <c r="I296" s="244"/>
      <c r="J296" s="244"/>
      <c r="K296" s="244"/>
      <c r="L296" s="244"/>
      <c r="M296" s="244"/>
      <c r="N296" s="244"/>
      <c r="O296" s="244"/>
      <c r="P296" s="244"/>
      <c r="Q296" s="245"/>
      <c r="R296" s="244"/>
      <c r="S296" s="244"/>
      <c r="T296" s="244"/>
      <c r="U296" s="244"/>
      <c r="V296" s="244"/>
      <c r="W296" s="245"/>
      <c r="X296" s="253"/>
      <c r="Y296" s="253"/>
      <c r="Z296" s="244"/>
      <c r="AA296" s="244"/>
      <c r="AB296" s="43"/>
      <c r="AC296" s="43"/>
      <c r="AD296" s="43"/>
      <c r="AE296" s="43"/>
      <c r="AF296" s="43"/>
      <c r="AG296" s="43"/>
      <c r="AH296" s="43"/>
    </row>
    <row r="297" spans="1:34">
      <c r="A297" s="43"/>
      <c r="B297" s="43"/>
      <c r="C297" s="43"/>
      <c r="D297" s="43"/>
      <c r="E297" s="43"/>
      <c r="F297" s="43"/>
      <c r="G297" s="43"/>
      <c r="H297" s="244"/>
      <c r="I297" s="244"/>
      <c r="J297" s="244"/>
      <c r="K297" s="244"/>
      <c r="L297" s="244"/>
      <c r="M297" s="244"/>
      <c r="N297" s="244"/>
      <c r="O297" s="244"/>
      <c r="P297" s="244"/>
      <c r="Q297" s="245"/>
      <c r="R297" s="244"/>
      <c r="S297" s="244"/>
      <c r="T297" s="244"/>
      <c r="U297" s="244"/>
      <c r="V297" s="244"/>
      <c r="W297" s="245"/>
      <c r="X297" s="253"/>
      <c r="Y297" s="253"/>
      <c r="Z297" s="244"/>
      <c r="AA297" s="244"/>
      <c r="AB297" s="43"/>
      <c r="AC297" s="43"/>
      <c r="AD297" s="43"/>
      <c r="AE297" s="43"/>
      <c r="AF297" s="43"/>
      <c r="AG297" s="43"/>
      <c r="AH297" s="43"/>
    </row>
    <row r="298" spans="1:34">
      <c r="A298" s="43"/>
      <c r="B298" s="43"/>
      <c r="C298" s="43"/>
      <c r="D298" s="43"/>
      <c r="E298" s="43"/>
      <c r="F298" s="43"/>
      <c r="G298" s="43"/>
      <c r="H298" s="244"/>
      <c r="I298" s="244"/>
      <c r="J298" s="244"/>
      <c r="K298" s="244"/>
      <c r="L298" s="244"/>
      <c r="M298" s="244"/>
      <c r="N298" s="244"/>
      <c r="O298" s="244"/>
      <c r="P298" s="244"/>
      <c r="Q298" s="245"/>
      <c r="R298" s="244"/>
      <c r="S298" s="244"/>
      <c r="T298" s="244"/>
      <c r="U298" s="244"/>
      <c r="V298" s="244"/>
      <c r="W298" s="245"/>
      <c r="X298" s="253"/>
      <c r="Y298" s="253"/>
      <c r="Z298" s="244"/>
      <c r="AA298" s="244"/>
      <c r="AB298" s="43"/>
      <c r="AC298" s="43"/>
      <c r="AD298" s="43"/>
      <c r="AE298" s="43"/>
      <c r="AF298" s="43"/>
      <c r="AG298" s="43"/>
      <c r="AH298" s="43"/>
    </row>
    <row r="299" spans="1:34">
      <c r="A299" s="43"/>
      <c r="B299" s="43"/>
      <c r="C299" s="43"/>
      <c r="D299" s="43"/>
      <c r="E299" s="43"/>
      <c r="F299" s="43"/>
      <c r="G299" s="43"/>
      <c r="H299" s="244"/>
      <c r="I299" s="244"/>
      <c r="J299" s="244"/>
      <c r="K299" s="244"/>
      <c r="L299" s="244"/>
      <c r="M299" s="244"/>
      <c r="N299" s="244"/>
      <c r="O299" s="244"/>
      <c r="P299" s="244"/>
      <c r="Q299" s="245"/>
      <c r="R299" s="244"/>
      <c r="S299" s="244"/>
      <c r="T299" s="244"/>
      <c r="U299" s="244"/>
      <c r="V299" s="244"/>
      <c r="W299" s="245"/>
      <c r="X299" s="253"/>
      <c r="Y299" s="253"/>
      <c r="Z299" s="244"/>
      <c r="AA299" s="244"/>
      <c r="AB299" s="43"/>
      <c r="AC299" s="43"/>
      <c r="AD299" s="43"/>
      <c r="AE299" s="43"/>
      <c r="AF299" s="43"/>
      <c r="AG299" s="43"/>
      <c r="AH299" s="43"/>
    </row>
    <row r="300" spans="1:34">
      <c r="A300" s="43"/>
      <c r="B300" s="43"/>
      <c r="C300" s="43"/>
      <c r="D300" s="43"/>
      <c r="E300" s="43"/>
      <c r="F300" s="43"/>
      <c r="G300" s="43"/>
      <c r="H300" s="244"/>
      <c r="I300" s="244"/>
      <c r="J300" s="244"/>
      <c r="K300" s="244"/>
      <c r="L300" s="244"/>
      <c r="M300" s="244"/>
      <c r="N300" s="244"/>
      <c r="O300" s="244"/>
      <c r="P300" s="244"/>
      <c r="Q300" s="245"/>
      <c r="R300" s="244"/>
      <c r="S300" s="244"/>
      <c r="T300" s="244"/>
      <c r="U300" s="244"/>
      <c r="V300" s="244"/>
      <c r="W300" s="245"/>
      <c r="X300" s="253"/>
      <c r="Y300" s="253"/>
      <c r="Z300" s="244"/>
      <c r="AA300" s="244"/>
      <c r="AB300" s="43"/>
      <c r="AC300" s="43"/>
      <c r="AD300" s="43"/>
      <c r="AE300" s="43"/>
      <c r="AF300" s="43"/>
      <c r="AG300" s="43"/>
      <c r="AH300" s="43"/>
    </row>
    <row r="301" spans="1:34">
      <c r="A301" s="43"/>
      <c r="B301" s="43"/>
      <c r="C301" s="43"/>
      <c r="D301" s="43"/>
      <c r="E301" s="43"/>
      <c r="F301" s="43"/>
      <c r="G301" s="43"/>
      <c r="H301" s="244"/>
      <c r="I301" s="244"/>
      <c r="J301" s="244"/>
      <c r="K301" s="244"/>
      <c r="L301" s="244"/>
      <c r="M301" s="244"/>
      <c r="N301" s="244"/>
      <c r="O301" s="244"/>
      <c r="P301" s="244"/>
      <c r="Q301" s="245"/>
      <c r="R301" s="244"/>
      <c r="S301" s="244"/>
      <c r="T301" s="244"/>
      <c r="U301" s="244"/>
      <c r="V301" s="244"/>
      <c r="W301" s="245"/>
      <c r="X301" s="253"/>
      <c r="Y301" s="253"/>
      <c r="Z301" s="244"/>
      <c r="AA301" s="244"/>
      <c r="AB301" s="43"/>
      <c r="AC301" s="43"/>
      <c r="AD301" s="43"/>
      <c r="AE301" s="43"/>
      <c r="AF301" s="43"/>
      <c r="AG301" s="43"/>
      <c r="AH301" s="43"/>
    </row>
    <row r="302" spans="1:34">
      <c r="A302" s="43"/>
      <c r="B302" s="43"/>
      <c r="C302" s="43"/>
      <c r="D302" s="43"/>
      <c r="E302" s="43"/>
      <c r="F302" s="43"/>
      <c r="G302" s="43"/>
      <c r="H302" s="244"/>
      <c r="I302" s="244"/>
      <c r="J302" s="244"/>
      <c r="K302" s="244"/>
      <c r="L302" s="244"/>
      <c r="M302" s="244"/>
      <c r="N302" s="244"/>
      <c r="O302" s="244"/>
      <c r="P302" s="244"/>
      <c r="Q302" s="245"/>
      <c r="R302" s="244"/>
      <c r="S302" s="244"/>
      <c r="T302" s="244"/>
      <c r="U302" s="244"/>
      <c r="V302" s="244"/>
      <c r="W302" s="245"/>
      <c r="X302" s="253"/>
      <c r="Y302" s="253"/>
      <c r="Z302" s="244"/>
      <c r="AA302" s="244"/>
      <c r="AB302" s="43"/>
      <c r="AC302" s="43"/>
      <c r="AD302" s="43"/>
      <c r="AE302" s="43"/>
      <c r="AF302" s="43"/>
      <c r="AG302" s="43"/>
      <c r="AH302" s="43"/>
    </row>
    <row r="303" spans="1:34">
      <c r="A303" s="43"/>
      <c r="B303" s="43"/>
      <c r="C303" s="43"/>
      <c r="D303" s="43"/>
      <c r="E303" s="43"/>
      <c r="F303" s="43"/>
      <c r="G303" s="43"/>
      <c r="H303" s="244"/>
      <c r="I303" s="244"/>
      <c r="J303" s="244"/>
      <c r="K303" s="244"/>
      <c r="L303" s="244"/>
      <c r="M303" s="244"/>
      <c r="N303" s="244"/>
      <c r="O303" s="244"/>
      <c r="P303" s="244"/>
      <c r="Q303" s="245"/>
      <c r="R303" s="244"/>
      <c r="S303" s="244"/>
      <c r="T303" s="244"/>
      <c r="U303" s="244"/>
      <c r="V303" s="244"/>
      <c r="W303" s="245"/>
      <c r="X303" s="253"/>
      <c r="Y303" s="253"/>
      <c r="Z303" s="244"/>
      <c r="AA303" s="244"/>
      <c r="AB303" s="43"/>
      <c r="AC303" s="43"/>
      <c r="AD303" s="43"/>
      <c r="AE303" s="43"/>
      <c r="AF303" s="43"/>
      <c r="AG303" s="43"/>
      <c r="AH303" s="43"/>
    </row>
    <row r="304" spans="1:34">
      <c r="A304" s="43"/>
      <c r="B304" s="43"/>
      <c r="C304" s="43"/>
      <c r="D304" s="43"/>
      <c r="E304" s="43"/>
      <c r="F304" s="43"/>
      <c r="G304" s="43"/>
      <c r="H304" s="244"/>
      <c r="I304" s="244"/>
      <c r="J304" s="244"/>
      <c r="K304" s="244"/>
      <c r="L304" s="244"/>
      <c r="M304" s="244"/>
      <c r="N304" s="244"/>
      <c r="O304" s="244"/>
      <c r="P304" s="244"/>
      <c r="Q304" s="245"/>
      <c r="R304" s="244"/>
      <c r="S304" s="244"/>
      <c r="T304" s="244"/>
      <c r="U304" s="244"/>
      <c r="V304" s="244"/>
      <c r="W304" s="245"/>
      <c r="X304" s="253"/>
      <c r="Y304" s="253"/>
      <c r="Z304" s="244"/>
      <c r="AA304" s="244"/>
      <c r="AB304" s="43"/>
      <c r="AC304" s="43"/>
      <c r="AD304" s="43"/>
      <c r="AE304" s="43"/>
      <c r="AF304" s="43"/>
      <c r="AG304" s="43"/>
      <c r="AH304" s="43"/>
    </row>
    <row r="305" spans="1:34">
      <c r="A305" s="43"/>
      <c r="B305" s="43"/>
      <c r="C305" s="43"/>
      <c r="D305" s="43"/>
      <c r="E305" s="43"/>
      <c r="F305" s="43"/>
      <c r="G305" s="43"/>
      <c r="H305" s="244"/>
      <c r="I305" s="244"/>
      <c r="J305" s="244"/>
      <c r="K305" s="244"/>
      <c r="L305" s="244"/>
      <c r="M305" s="244"/>
      <c r="N305" s="244"/>
      <c r="O305" s="244"/>
      <c r="P305" s="244"/>
      <c r="Q305" s="245"/>
      <c r="R305" s="244"/>
      <c r="S305" s="244"/>
      <c r="T305" s="244"/>
      <c r="U305" s="244"/>
      <c r="V305" s="244"/>
      <c r="W305" s="245"/>
      <c r="X305" s="253"/>
      <c r="Y305" s="253"/>
      <c r="Z305" s="244"/>
      <c r="AA305" s="244"/>
      <c r="AB305" s="43"/>
      <c r="AC305" s="43"/>
      <c r="AD305" s="43"/>
      <c r="AE305" s="43"/>
      <c r="AF305" s="43"/>
      <c r="AG305" s="43"/>
      <c r="AH305" s="43"/>
    </row>
    <row r="306" spans="1:34">
      <c r="A306" s="43"/>
      <c r="B306" s="43"/>
      <c r="C306" s="43"/>
      <c r="D306" s="43"/>
      <c r="E306" s="43"/>
      <c r="F306" s="43"/>
      <c r="G306" s="43"/>
      <c r="H306" s="244"/>
      <c r="I306" s="244"/>
      <c r="J306" s="244"/>
      <c r="K306" s="244"/>
      <c r="L306" s="244"/>
      <c r="M306" s="244"/>
      <c r="N306" s="244"/>
      <c r="O306" s="244"/>
      <c r="P306" s="244"/>
      <c r="Q306" s="245"/>
      <c r="R306" s="244"/>
      <c r="S306" s="244"/>
      <c r="T306" s="244"/>
      <c r="U306" s="244"/>
      <c r="V306" s="244"/>
      <c r="W306" s="245"/>
      <c r="X306" s="253"/>
      <c r="Y306" s="253"/>
      <c r="Z306" s="244"/>
      <c r="AA306" s="244"/>
      <c r="AB306" s="43"/>
      <c r="AC306" s="43"/>
      <c r="AD306" s="43"/>
      <c r="AE306" s="43"/>
      <c r="AF306" s="43"/>
      <c r="AG306" s="43"/>
      <c r="AH306" s="43"/>
    </row>
    <row r="307" spans="1:34">
      <c r="A307" s="43"/>
      <c r="B307" s="43"/>
      <c r="C307" s="43"/>
      <c r="D307" s="43"/>
      <c r="E307" s="43"/>
      <c r="F307" s="43"/>
      <c r="G307" s="43"/>
      <c r="H307" s="244"/>
      <c r="I307" s="244"/>
      <c r="J307" s="244"/>
      <c r="K307" s="244"/>
      <c r="L307" s="244"/>
      <c r="M307" s="244"/>
      <c r="N307" s="244"/>
      <c r="O307" s="244"/>
      <c r="P307" s="244"/>
      <c r="Q307" s="245"/>
      <c r="R307" s="244"/>
      <c r="S307" s="244"/>
      <c r="T307" s="244"/>
      <c r="U307" s="244"/>
      <c r="V307" s="244"/>
      <c r="W307" s="245"/>
      <c r="X307" s="253"/>
      <c r="Y307" s="253"/>
      <c r="Z307" s="244"/>
      <c r="AA307" s="244"/>
      <c r="AB307" s="43"/>
      <c r="AC307" s="43"/>
      <c r="AD307" s="43"/>
      <c r="AE307" s="43"/>
      <c r="AF307" s="43"/>
      <c r="AG307" s="43"/>
      <c r="AH307" s="43"/>
    </row>
    <row r="308" spans="1:34">
      <c r="A308" s="43"/>
      <c r="B308" s="43"/>
      <c r="C308" s="43"/>
      <c r="D308" s="43"/>
      <c r="E308" s="43"/>
      <c r="F308" s="43"/>
      <c r="G308" s="43"/>
      <c r="H308" s="244"/>
      <c r="I308" s="244"/>
      <c r="J308" s="244"/>
      <c r="K308" s="244"/>
      <c r="L308" s="244"/>
      <c r="M308" s="244"/>
      <c r="N308" s="244"/>
      <c r="O308" s="244"/>
      <c r="P308" s="244"/>
      <c r="Q308" s="245"/>
      <c r="R308" s="244"/>
      <c r="S308" s="244"/>
      <c r="T308" s="244"/>
      <c r="U308" s="244"/>
      <c r="V308" s="244"/>
      <c r="W308" s="245"/>
      <c r="X308" s="253"/>
      <c r="Y308" s="253"/>
      <c r="Z308" s="244"/>
      <c r="AA308" s="244"/>
      <c r="AB308" s="43"/>
      <c r="AC308" s="43"/>
      <c r="AD308" s="43"/>
      <c r="AE308" s="43"/>
      <c r="AF308" s="43"/>
      <c r="AG308" s="43"/>
      <c r="AH308" s="43"/>
    </row>
    <row r="309" spans="1:34">
      <c r="A309" s="43"/>
      <c r="B309" s="43"/>
      <c r="C309" s="43"/>
      <c r="D309" s="43"/>
      <c r="E309" s="43"/>
      <c r="F309" s="43"/>
      <c r="G309" s="43"/>
      <c r="H309" s="244"/>
      <c r="I309" s="244"/>
      <c r="J309" s="244"/>
      <c r="K309" s="244"/>
      <c r="L309" s="244"/>
      <c r="M309" s="244"/>
      <c r="N309" s="244"/>
      <c r="O309" s="244"/>
      <c r="P309" s="244"/>
      <c r="Q309" s="245"/>
      <c r="R309" s="244"/>
      <c r="S309" s="244"/>
      <c r="T309" s="244"/>
      <c r="U309" s="244"/>
      <c r="V309" s="244"/>
      <c r="W309" s="245"/>
      <c r="X309" s="253"/>
      <c r="Y309" s="253"/>
      <c r="Z309" s="244"/>
      <c r="AA309" s="244"/>
      <c r="AB309" s="43"/>
      <c r="AC309" s="43"/>
      <c r="AD309" s="43"/>
      <c r="AE309" s="43"/>
      <c r="AF309" s="43"/>
      <c r="AG309" s="43"/>
      <c r="AH309" s="43"/>
    </row>
    <row r="310" spans="1:34">
      <c r="A310" s="43"/>
      <c r="B310" s="43"/>
      <c r="C310" s="43"/>
      <c r="D310" s="43"/>
      <c r="E310" s="43"/>
      <c r="F310" s="43"/>
      <c r="G310" s="43"/>
      <c r="H310" s="244"/>
      <c r="I310" s="244"/>
      <c r="J310" s="244"/>
      <c r="K310" s="244"/>
      <c r="L310" s="244"/>
      <c r="M310" s="244"/>
      <c r="N310" s="244"/>
      <c r="O310" s="244"/>
      <c r="P310" s="244"/>
      <c r="Q310" s="245"/>
      <c r="R310" s="244"/>
      <c r="S310" s="244"/>
      <c r="T310" s="244"/>
      <c r="U310" s="244"/>
      <c r="V310" s="244"/>
      <c r="W310" s="245"/>
      <c r="X310" s="253"/>
      <c r="Y310" s="253"/>
      <c r="Z310" s="244"/>
      <c r="AA310" s="244"/>
      <c r="AB310" s="43"/>
      <c r="AC310" s="43"/>
      <c r="AD310" s="43"/>
      <c r="AE310" s="43"/>
      <c r="AF310" s="43"/>
      <c r="AG310" s="43"/>
      <c r="AH310" s="43"/>
    </row>
    <row r="311" spans="1:34">
      <c r="A311" s="43"/>
      <c r="B311" s="43"/>
      <c r="C311" s="43"/>
      <c r="D311" s="43"/>
      <c r="E311" s="43"/>
      <c r="F311" s="43"/>
      <c r="G311" s="43"/>
      <c r="H311" s="244"/>
      <c r="I311" s="244"/>
      <c r="J311" s="244"/>
      <c r="K311" s="244"/>
      <c r="L311" s="244"/>
      <c r="M311" s="244"/>
      <c r="N311" s="244"/>
      <c r="O311" s="244"/>
      <c r="P311" s="244"/>
      <c r="Q311" s="245"/>
      <c r="R311" s="244"/>
      <c r="S311" s="244"/>
      <c r="T311" s="244"/>
      <c r="U311" s="244"/>
      <c r="V311" s="244"/>
      <c r="W311" s="245"/>
      <c r="X311" s="253"/>
      <c r="Y311" s="253"/>
      <c r="Z311" s="244"/>
      <c r="AA311" s="244"/>
      <c r="AB311" s="43"/>
      <c r="AC311" s="43"/>
      <c r="AD311" s="43"/>
      <c r="AE311" s="43"/>
      <c r="AF311" s="43"/>
      <c r="AG311" s="43"/>
      <c r="AH311" s="43"/>
    </row>
    <row r="312" spans="1:34">
      <c r="A312" s="43"/>
      <c r="B312" s="43"/>
      <c r="C312" s="43"/>
      <c r="D312" s="43"/>
      <c r="E312" s="43"/>
      <c r="F312" s="43"/>
      <c r="G312" s="43"/>
      <c r="H312" s="244"/>
      <c r="I312" s="244"/>
      <c r="J312" s="244"/>
      <c r="K312" s="244"/>
      <c r="L312" s="244"/>
      <c r="M312" s="244"/>
      <c r="N312" s="244"/>
      <c r="O312" s="244"/>
      <c r="P312" s="244"/>
      <c r="Q312" s="245"/>
      <c r="R312" s="244"/>
      <c r="S312" s="244"/>
      <c r="T312" s="244"/>
      <c r="U312" s="244"/>
      <c r="V312" s="244"/>
      <c r="W312" s="245"/>
      <c r="X312" s="253"/>
      <c r="Y312" s="253"/>
      <c r="Z312" s="244"/>
      <c r="AA312" s="244"/>
      <c r="AB312" s="43"/>
      <c r="AC312" s="43"/>
      <c r="AD312" s="43"/>
      <c r="AE312" s="43"/>
      <c r="AF312" s="43"/>
      <c r="AG312" s="43"/>
      <c r="AH312" s="43"/>
    </row>
    <row r="313" spans="1:34">
      <c r="A313" s="43"/>
      <c r="B313" s="43"/>
      <c r="C313" s="43"/>
      <c r="D313" s="43"/>
      <c r="E313" s="43"/>
      <c r="F313" s="43"/>
      <c r="G313" s="43"/>
      <c r="H313" s="244"/>
      <c r="I313" s="244"/>
      <c r="J313" s="244"/>
      <c r="K313" s="244"/>
      <c r="L313" s="244"/>
      <c r="M313" s="244"/>
      <c r="N313" s="244"/>
      <c r="O313" s="244"/>
      <c r="P313" s="244"/>
      <c r="Q313" s="245"/>
      <c r="R313" s="244"/>
      <c r="S313" s="244"/>
      <c r="T313" s="244"/>
      <c r="U313" s="244"/>
      <c r="V313" s="244"/>
      <c r="W313" s="245"/>
      <c r="X313" s="253"/>
      <c r="Y313" s="253"/>
      <c r="Z313" s="244"/>
      <c r="AA313" s="244"/>
      <c r="AB313" s="43"/>
      <c r="AC313" s="43"/>
      <c r="AD313" s="43"/>
      <c r="AE313" s="43"/>
      <c r="AF313" s="43"/>
      <c r="AG313" s="43"/>
      <c r="AH313" s="43"/>
    </row>
    <row r="314" spans="1:34">
      <c r="A314" s="43"/>
      <c r="B314" s="43"/>
      <c r="C314" s="43"/>
      <c r="D314" s="43"/>
      <c r="E314" s="43"/>
      <c r="F314" s="43"/>
      <c r="G314" s="43"/>
      <c r="H314" s="244"/>
      <c r="I314" s="244"/>
      <c r="J314" s="244"/>
      <c r="K314" s="244"/>
      <c r="L314" s="244"/>
      <c r="M314" s="244"/>
      <c r="N314" s="244"/>
      <c r="O314" s="244"/>
      <c r="P314" s="244"/>
      <c r="Q314" s="245"/>
      <c r="R314" s="244"/>
      <c r="S314" s="244"/>
      <c r="T314" s="244"/>
      <c r="U314" s="244"/>
      <c r="V314" s="244"/>
      <c r="W314" s="245"/>
      <c r="X314" s="253"/>
      <c r="Y314" s="253"/>
      <c r="Z314" s="244"/>
      <c r="AA314" s="244"/>
      <c r="AB314" s="43"/>
      <c r="AC314" s="43"/>
      <c r="AD314" s="43"/>
      <c r="AE314" s="43"/>
      <c r="AF314" s="43"/>
      <c r="AG314" s="43"/>
      <c r="AH314" s="43"/>
    </row>
    <row r="315" spans="1:34">
      <c r="A315" s="43"/>
      <c r="B315" s="43"/>
      <c r="C315" s="43"/>
      <c r="D315" s="43"/>
      <c r="E315" s="43"/>
      <c r="F315" s="43"/>
      <c r="G315" s="43"/>
      <c r="H315" s="244"/>
      <c r="I315" s="244"/>
      <c r="J315" s="244"/>
      <c r="K315" s="244"/>
      <c r="L315" s="244"/>
      <c r="M315" s="244"/>
      <c r="N315" s="244"/>
      <c r="O315" s="244"/>
      <c r="P315" s="244"/>
      <c r="Q315" s="245"/>
      <c r="R315" s="244"/>
      <c r="S315" s="244"/>
      <c r="T315" s="244"/>
      <c r="U315" s="244"/>
      <c r="V315" s="244"/>
      <c r="W315" s="245"/>
      <c r="X315" s="253"/>
      <c r="Y315" s="253"/>
      <c r="Z315" s="244"/>
      <c r="AA315" s="244"/>
      <c r="AB315" s="43"/>
      <c r="AC315" s="43"/>
      <c r="AD315" s="43"/>
      <c r="AE315" s="43"/>
      <c r="AF315" s="43"/>
      <c r="AG315" s="43"/>
      <c r="AH315" s="43"/>
    </row>
    <row r="316" spans="1:34">
      <c r="A316" s="43"/>
      <c r="B316" s="43"/>
      <c r="C316" s="43"/>
      <c r="D316" s="43"/>
      <c r="E316" s="43"/>
      <c r="F316" s="43"/>
      <c r="G316" s="43"/>
      <c r="H316" s="244"/>
      <c r="I316" s="244"/>
      <c r="J316" s="244"/>
      <c r="K316" s="244"/>
      <c r="L316" s="244"/>
      <c r="M316" s="244"/>
      <c r="N316" s="244"/>
      <c r="O316" s="244"/>
      <c r="P316" s="244"/>
      <c r="Q316" s="245"/>
      <c r="R316" s="244"/>
      <c r="S316" s="244"/>
      <c r="T316" s="244"/>
      <c r="U316" s="244"/>
      <c r="V316" s="244"/>
      <c r="W316" s="245"/>
      <c r="X316" s="253"/>
      <c r="Y316" s="253"/>
      <c r="Z316" s="244"/>
      <c r="AA316" s="244"/>
      <c r="AB316" s="43"/>
      <c r="AC316" s="43"/>
      <c r="AD316" s="43"/>
      <c r="AE316" s="43"/>
      <c r="AF316" s="43"/>
      <c r="AG316" s="43"/>
      <c r="AH316" s="43"/>
    </row>
    <row r="317" spans="1:34">
      <c r="A317" s="43"/>
      <c r="B317" s="43"/>
      <c r="C317" s="43"/>
      <c r="D317" s="43"/>
      <c r="E317" s="43"/>
      <c r="F317" s="43"/>
      <c r="G317" s="43"/>
      <c r="H317" s="244"/>
      <c r="I317" s="244"/>
      <c r="J317" s="244"/>
      <c r="K317" s="244"/>
      <c r="L317" s="244"/>
      <c r="M317" s="244"/>
      <c r="N317" s="244"/>
      <c r="O317" s="244"/>
      <c r="P317" s="244"/>
      <c r="Q317" s="245"/>
      <c r="R317" s="244"/>
      <c r="S317" s="244"/>
      <c r="T317" s="244"/>
      <c r="U317" s="244"/>
      <c r="V317" s="244"/>
      <c r="W317" s="245"/>
      <c r="X317" s="253"/>
      <c r="Y317" s="253"/>
      <c r="Z317" s="244"/>
      <c r="AA317" s="244"/>
      <c r="AB317" s="43"/>
      <c r="AC317" s="43"/>
      <c r="AD317" s="43"/>
      <c r="AE317" s="43"/>
      <c r="AF317" s="43"/>
      <c r="AG317" s="43"/>
      <c r="AH317" s="43"/>
    </row>
    <row r="318" spans="1:34">
      <c r="A318" s="43"/>
      <c r="B318" s="43"/>
      <c r="C318" s="43"/>
      <c r="D318" s="43"/>
      <c r="E318" s="43"/>
      <c r="F318" s="43"/>
      <c r="G318" s="43"/>
      <c r="H318" s="244"/>
      <c r="I318" s="244"/>
      <c r="J318" s="244"/>
      <c r="K318" s="244"/>
      <c r="L318" s="244"/>
      <c r="M318" s="244"/>
      <c r="N318" s="244"/>
      <c r="O318" s="244"/>
      <c r="P318" s="244"/>
      <c r="Q318" s="245"/>
      <c r="R318" s="244"/>
      <c r="S318" s="244"/>
      <c r="T318" s="244"/>
      <c r="U318" s="244"/>
      <c r="V318" s="244"/>
      <c r="W318" s="245"/>
      <c r="X318" s="253"/>
      <c r="Y318" s="253"/>
      <c r="Z318" s="244"/>
      <c r="AA318" s="244"/>
      <c r="AB318" s="43"/>
      <c r="AC318" s="43"/>
      <c r="AD318" s="43"/>
      <c r="AE318" s="43"/>
      <c r="AF318" s="43"/>
      <c r="AG318" s="43"/>
      <c r="AH318" s="43"/>
    </row>
    <row r="319" spans="1:34">
      <c r="A319" s="43"/>
      <c r="B319" s="43"/>
      <c r="C319" s="43"/>
      <c r="D319" s="43"/>
      <c r="E319" s="43"/>
      <c r="F319" s="43"/>
      <c r="G319" s="43"/>
      <c r="H319" s="244"/>
      <c r="I319" s="244"/>
      <c r="J319" s="244"/>
      <c r="K319" s="244"/>
      <c r="L319" s="244"/>
      <c r="M319" s="244"/>
      <c r="N319" s="244"/>
      <c r="O319" s="244"/>
      <c r="P319" s="244"/>
      <c r="Q319" s="245"/>
      <c r="R319" s="244"/>
      <c r="S319" s="244"/>
      <c r="T319" s="244"/>
      <c r="U319" s="244"/>
      <c r="V319" s="244"/>
      <c r="W319" s="245"/>
      <c r="X319" s="253"/>
      <c r="Y319" s="253"/>
      <c r="Z319" s="244"/>
      <c r="AA319" s="244"/>
      <c r="AB319" s="43"/>
      <c r="AC319" s="43"/>
      <c r="AD319" s="43"/>
      <c r="AE319" s="43"/>
      <c r="AF319" s="43"/>
      <c r="AG319" s="43"/>
      <c r="AH319" s="43"/>
    </row>
    <row r="320" spans="1:34">
      <c r="A320" s="43"/>
      <c r="B320" s="43"/>
      <c r="C320" s="43"/>
      <c r="D320" s="43"/>
      <c r="E320" s="43"/>
      <c r="F320" s="43"/>
      <c r="G320" s="43"/>
      <c r="H320" s="244"/>
      <c r="I320" s="244"/>
      <c r="J320" s="244"/>
      <c r="K320" s="244"/>
      <c r="L320" s="244"/>
      <c r="M320" s="244"/>
      <c r="N320" s="244"/>
      <c r="O320" s="244"/>
      <c r="P320" s="244"/>
      <c r="Q320" s="245"/>
      <c r="R320" s="244"/>
      <c r="S320" s="244"/>
      <c r="T320" s="244"/>
      <c r="U320" s="244"/>
      <c r="V320" s="244"/>
      <c r="W320" s="245"/>
      <c r="X320" s="253"/>
      <c r="Y320" s="253"/>
      <c r="Z320" s="244"/>
      <c r="AA320" s="244"/>
      <c r="AB320" s="43"/>
      <c r="AC320" s="43"/>
      <c r="AD320" s="43"/>
      <c r="AE320" s="43"/>
      <c r="AF320" s="43"/>
      <c r="AG320" s="43"/>
      <c r="AH320" s="43"/>
    </row>
    <row r="321" spans="1:34">
      <c r="A321" s="43"/>
      <c r="B321" s="43"/>
      <c r="C321" s="43"/>
      <c r="D321" s="43"/>
      <c r="E321" s="43"/>
      <c r="F321" s="43"/>
      <c r="G321" s="43"/>
      <c r="H321" s="244"/>
      <c r="I321" s="244"/>
      <c r="J321" s="244"/>
      <c r="K321" s="244"/>
      <c r="L321" s="244"/>
      <c r="M321" s="244"/>
      <c r="N321" s="244"/>
      <c r="O321" s="244"/>
      <c r="P321" s="244"/>
      <c r="Q321" s="245"/>
      <c r="R321" s="244"/>
      <c r="S321" s="244"/>
      <c r="T321" s="244"/>
      <c r="U321" s="244"/>
      <c r="V321" s="244"/>
      <c r="W321" s="245"/>
      <c r="X321" s="253"/>
      <c r="Y321" s="253"/>
      <c r="Z321" s="244"/>
      <c r="AA321" s="244"/>
      <c r="AB321" s="43"/>
      <c r="AC321" s="43"/>
      <c r="AD321" s="43"/>
      <c r="AE321" s="43"/>
      <c r="AF321" s="43"/>
      <c r="AG321" s="43"/>
      <c r="AH321" s="43"/>
    </row>
    <row r="322" spans="1:34">
      <c r="A322" s="43"/>
      <c r="B322" s="43"/>
      <c r="C322" s="43"/>
      <c r="D322" s="43"/>
      <c r="E322" s="43"/>
      <c r="F322" s="43"/>
      <c r="G322" s="43"/>
      <c r="H322" s="244"/>
      <c r="I322" s="244"/>
      <c r="J322" s="244"/>
      <c r="K322" s="244"/>
      <c r="L322" s="244"/>
      <c r="M322" s="244"/>
      <c r="N322" s="244"/>
      <c r="O322" s="244"/>
      <c r="P322" s="244"/>
      <c r="Q322" s="245"/>
      <c r="R322" s="244"/>
      <c r="S322" s="244"/>
      <c r="T322" s="244"/>
      <c r="U322" s="244"/>
      <c r="V322" s="244"/>
      <c r="W322" s="245"/>
      <c r="X322" s="253"/>
      <c r="Y322" s="253"/>
      <c r="Z322" s="244"/>
      <c r="AA322" s="244"/>
      <c r="AB322" s="43"/>
      <c r="AC322" s="43"/>
      <c r="AD322" s="43"/>
      <c r="AE322" s="43"/>
      <c r="AF322" s="43"/>
      <c r="AG322" s="43"/>
      <c r="AH322" s="43"/>
    </row>
    <row r="323" spans="1:34">
      <c r="A323" s="43"/>
      <c r="B323" s="43"/>
      <c r="C323" s="43"/>
      <c r="D323" s="43"/>
      <c r="E323" s="43"/>
      <c r="F323" s="43"/>
      <c r="G323" s="43"/>
      <c r="H323" s="244"/>
      <c r="I323" s="244"/>
      <c r="J323" s="244"/>
      <c r="K323" s="244"/>
      <c r="L323" s="244"/>
      <c r="M323" s="244"/>
      <c r="N323" s="244"/>
      <c r="O323" s="244"/>
      <c r="P323" s="244"/>
      <c r="Q323" s="245"/>
      <c r="R323" s="244"/>
      <c r="S323" s="244"/>
      <c r="T323" s="244"/>
      <c r="U323" s="244"/>
      <c r="V323" s="244"/>
      <c r="W323" s="245"/>
      <c r="X323" s="253"/>
      <c r="Y323" s="253"/>
      <c r="Z323" s="244"/>
      <c r="AA323" s="244"/>
      <c r="AB323" s="43"/>
      <c r="AC323" s="43"/>
      <c r="AD323" s="43"/>
      <c r="AE323" s="43"/>
      <c r="AF323" s="43"/>
      <c r="AG323" s="43"/>
      <c r="AH323" s="43"/>
    </row>
    <row r="324" spans="1:34">
      <c r="A324" s="43"/>
      <c r="B324" s="43"/>
      <c r="C324" s="43"/>
      <c r="D324" s="43"/>
      <c r="E324" s="43"/>
      <c r="F324" s="43"/>
      <c r="G324" s="43"/>
      <c r="H324" s="244"/>
      <c r="I324" s="244"/>
      <c r="J324" s="244"/>
      <c r="K324" s="244"/>
      <c r="L324" s="244"/>
      <c r="M324" s="244"/>
      <c r="N324" s="244"/>
      <c r="O324" s="244"/>
      <c r="P324" s="244"/>
      <c r="Q324" s="245"/>
      <c r="R324" s="244"/>
      <c r="S324" s="244"/>
      <c r="T324" s="244"/>
      <c r="U324" s="244"/>
      <c r="V324" s="244"/>
      <c r="W324" s="245"/>
      <c r="X324" s="253"/>
      <c r="Y324" s="253"/>
      <c r="Z324" s="244"/>
      <c r="AA324" s="244"/>
      <c r="AB324" s="43"/>
      <c r="AC324" s="43"/>
      <c r="AD324" s="43"/>
      <c r="AE324" s="43"/>
      <c r="AF324" s="43"/>
      <c r="AG324" s="43"/>
      <c r="AH324" s="43"/>
    </row>
    <row r="325" spans="1:34">
      <c r="A325" s="43"/>
      <c r="B325" s="43"/>
      <c r="C325" s="43"/>
      <c r="D325" s="43"/>
      <c r="E325" s="43"/>
      <c r="F325" s="43"/>
      <c r="G325" s="43"/>
      <c r="H325" s="244"/>
      <c r="I325" s="244"/>
      <c r="J325" s="244"/>
      <c r="K325" s="244"/>
      <c r="L325" s="244"/>
      <c r="M325" s="244"/>
      <c r="N325" s="244"/>
      <c r="O325" s="244"/>
      <c r="P325" s="244"/>
      <c r="Q325" s="245"/>
      <c r="R325" s="244"/>
      <c r="S325" s="244"/>
      <c r="T325" s="244"/>
      <c r="U325" s="244"/>
      <c r="V325" s="244"/>
      <c r="W325" s="245"/>
      <c r="X325" s="253"/>
      <c r="Y325" s="253"/>
      <c r="Z325" s="244"/>
      <c r="AA325" s="244"/>
      <c r="AB325" s="43"/>
      <c r="AC325" s="43"/>
      <c r="AD325" s="43"/>
      <c r="AE325" s="43"/>
      <c r="AF325" s="43"/>
      <c r="AG325" s="43"/>
      <c r="AH325" s="43"/>
    </row>
    <row r="326" spans="1:34">
      <c r="A326" s="43"/>
      <c r="B326" s="43"/>
      <c r="C326" s="43"/>
      <c r="D326" s="43"/>
      <c r="E326" s="43"/>
      <c r="F326" s="43"/>
      <c r="G326" s="43"/>
      <c r="H326" s="244"/>
      <c r="I326" s="244"/>
      <c r="J326" s="244"/>
      <c r="K326" s="244"/>
      <c r="L326" s="244"/>
      <c r="M326" s="244"/>
      <c r="N326" s="244"/>
      <c r="O326" s="244"/>
      <c r="P326" s="244"/>
      <c r="Q326" s="245"/>
      <c r="R326" s="244"/>
      <c r="S326" s="244"/>
      <c r="T326" s="244"/>
      <c r="U326" s="244"/>
      <c r="V326" s="244"/>
      <c r="W326" s="245"/>
      <c r="X326" s="253"/>
      <c r="Y326" s="253"/>
      <c r="Z326" s="244"/>
      <c r="AA326" s="244"/>
      <c r="AB326" s="43"/>
      <c r="AC326" s="43"/>
      <c r="AD326" s="43"/>
      <c r="AE326" s="43"/>
      <c r="AF326" s="43"/>
      <c r="AG326" s="43"/>
      <c r="AH326" s="43"/>
    </row>
    <row r="327" spans="1:34">
      <c r="A327" s="43"/>
      <c r="B327" s="43"/>
      <c r="C327" s="43"/>
      <c r="D327" s="43"/>
      <c r="E327" s="43"/>
      <c r="F327" s="43"/>
      <c r="G327" s="43"/>
      <c r="H327" s="244"/>
      <c r="I327" s="244"/>
      <c r="J327" s="244"/>
      <c r="K327" s="244"/>
      <c r="L327" s="244"/>
      <c r="M327" s="244"/>
      <c r="N327" s="244"/>
      <c r="O327" s="244"/>
      <c r="P327" s="244"/>
      <c r="Q327" s="245"/>
      <c r="R327" s="244"/>
      <c r="S327" s="244"/>
      <c r="T327" s="244"/>
      <c r="U327" s="244"/>
      <c r="V327" s="244"/>
      <c r="W327" s="245"/>
      <c r="X327" s="253"/>
      <c r="Y327" s="253"/>
      <c r="Z327" s="244"/>
      <c r="AA327" s="244"/>
      <c r="AB327" s="43"/>
      <c r="AC327" s="43"/>
      <c r="AD327" s="43"/>
      <c r="AE327" s="43"/>
      <c r="AF327" s="43"/>
      <c r="AG327" s="43"/>
      <c r="AH327" s="43"/>
    </row>
    <row r="328" spans="1:34">
      <c r="A328" s="43"/>
      <c r="B328" s="43"/>
      <c r="C328" s="43"/>
      <c r="D328" s="43"/>
      <c r="E328" s="43"/>
      <c r="F328" s="43"/>
      <c r="G328" s="43"/>
      <c r="H328" s="244"/>
      <c r="I328" s="244"/>
      <c r="J328" s="244"/>
      <c r="K328" s="244"/>
      <c r="L328" s="244"/>
      <c r="M328" s="244"/>
      <c r="N328" s="244"/>
      <c r="O328" s="244"/>
      <c r="P328" s="244"/>
      <c r="Q328" s="245"/>
      <c r="R328" s="244"/>
      <c r="S328" s="244"/>
      <c r="T328" s="244"/>
      <c r="U328" s="244"/>
      <c r="V328" s="244"/>
      <c r="W328" s="245"/>
      <c r="X328" s="253"/>
      <c r="Y328" s="253"/>
      <c r="Z328" s="244"/>
      <c r="AA328" s="244"/>
      <c r="AB328" s="43"/>
      <c r="AC328" s="43"/>
      <c r="AD328" s="43"/>
      <c r="AE328" s="43"/>
      <c r="AF328" s="43"/>
      <c r="AG328" s="43"/>
      <c r="AH328" s="43"/>
    </row>
    <row r="329" spans="1:34">
      <c r="A329" s="43"/>
      <c r="B329" s="43"/>
      <c r="C329" s="43"/>
      <c r="D329" s="43"/>
      <c r="E329" s="43"/>
      <c r="F329" s="43"/>
      <c r="G329" s="43"/>
      <c r="H329" s="244"/>
      <c r="I329" s="244"/>
      <c r="J329" s="244"/>
      <c r="K329" s="244"/>
      <c r="L329" s="244"/>
      <c r="M329" s="244"/>
      <c r="N329" s="244"/>
      <c r="O329" s="244"/>
      <c r="P329" s="244"/>
      <c r="Q329" s="245"/>
      <c r="R329" s="244"/>
      <c r="S329" s="244"/>
      <c r="T329" s="244"/>
      <c r="U329" s="244"/>
      <c r="V329" s="244"/>
      <c r="W329" s="245"/>
      <c r="X329" s="253"/>
      <c r="Y329" s="253"/>
      <c r="Z329" s="244"/>
      <c r="AA329" s="244"/>
      <c r="AB329" s="43"/>
      <c r="AC329" s="43"/>
      <c r="AD329" s="43"/>
      <c r="AE329" s="43"/>
      <c r="AF329" s="43"/>
      <c r="AG329" s="43"/>
      <c r="AH329" s="43"/>
    </row>
    <row r="330" spans="1:34">
      <c r="A330" s="43"/>
      <c r="B330" s="43"/>
      <c r="C330" s="43"/>
      <c r="D330" s="43"/>
      <c r="E330" s="43"/>
      <c r="F330" s="43"/>
      <c r="G330" s="43"/>
      <c r="H330" s="244"/>
      <c r="I330" s="244"/>
      <c r="J330" s="244"/>
      <c r="K330" s="244"/>
      <c r="L330" s="244"/>
      <c r="M330" s="244"/>
      <c r="N330" s="244"/>
      <c r="O330" s="244"/>
      <c r="P330" s="244"/>
      <c r="Q330" s="245"/>
      <c r="R330" s="244"/>
      <c r="S330" s="244"/>
      <c r="T330" s="244"/>
      <c r="U330" s="244"/>
      <c r="V330" s="244"/>
      <c r="W330" s="245"/>
      <c r="X330" s="253"/>
      <c r="Y330" s="253"/>
      <c r="Z330" s="244"/>
      <c r="AA330" s="244"/>
      <c r="AB330" s="43"/>
      <c r="AC330" s="43"/>
      <c r="AD330" s="43"/>
      <c r="AE330" s="43"/>
      <c r="AF330" s="43"/>
      <c r="AG330" s="43"/>
      <c r="AH330" s="43"/>
    </row>
    <row r="331" spans="1:34">
      <c r="A331" s="43"/>
      <c r="B331" s="43"/>
      <c r="C331" s="43"/>
      <c r="D331" s="43"/>
      <c r="E331" s="43"/>
      <c r="F331" s="43"/>
      <c r="G331" s="43"/>
      <c r="H331" s="244"/>
      <c r="I331" s="244"/>
      <c r="J331" s="244"/>
      <c r="K331" s="244"/>
      <c r="L331" s="244"/>
      <c r="M331" s="244"/>
      <c r="N331" s="244"/>
      <c r="O331" s="244"/>
      <c r="P331" s="244"/>
      <c r="Q331" s="245"/>
      <c r="R331" s="244"/>
      <c r="S331" s="244"/>
      <c r="T331" s="244"/>
      <c r="U331" s="244"/>
      <c r="V331" s="244"/>
      <c r="W331" s="245"/>
      <c r="X331" s="253"/>
      <c r="Y331" s="253"/>
      <c r="Z331" s="244"/>
      <c r="AA331" s="244"/>
      <c r="AB331" s="43"/>
      <c r="AC331" s="43"/>
      <c r="AD331" s="43"/>
      <c r="AE331" s="43"/>
      <c r="AF331" s="43"/>
      <c r="AG331" s="43"/>
      <c r="AH331" s="43"/>
    </row>
    <row r="332" spans="1:34">
      <c r="A332" s="43"/>
      <c r="B332" s="43"/>
      <c r="C332" s="43"/>
      <c r="D332" s="43"/>
      <c r="E332" s="43"/>
      <c r="F332" s="43"/>
      <c r="G332" s="43"/>
      <c r="H332" s="244"/>
      <c r="I332" s="244"/>
      <c r="J332" s="244"/>
      <c r="K332" s="244"/>
      <c r="L332" s="244"/>
      <c r="M332" s="244"/>
      <c r="N332" s="244"/>
      <c r="O332" s="244"/>
      <c r="P332" s="244"/>
      <c r="Q332" s="245"/>
      <c r="R332" s="244"/>
      <c r="S332" s="244"/>
      <c r="T332" s="244"/>
      <c r="U332" s="244"/>
      <c r="V332" s="244"/>
      <c r="W332" s="245"/>
      <c r="X332" s="253"/>
      <c r="Y332" s="253"/>
      <c r="Z332" s="244"/>
      <c r="AA332" s="244"/>
      <c r="AB332" s="43"/>
      <c r="AC332" s="43"/>
      <c r="AD332" s="43"/>
      <c r="AE332" s="43"/>
      <c r="AF332" s="43"/>
      <c r="AG332" s="43"/>
      <c r="AH332" s="43"/>
    </row>
    <row r="333" spans="1:34">
      <c r="A333" s="43"/>
      <c r="B333" s="43"/>
      <c r="C333" s="43"/>
      <c r="D333" s="43"/>
      <c r="E333" s="43"/>
      <c r="F333" s="43"/>
      <c r="G333" s="43"/>
      <c r="H333" s="244"/>
      <c r="I333" s="244"/>
      <c r="J333" s="244"/>
      <c r="K333" s="244"/>
      <c r="L333" s="244"/>
      <c r="M333" s="244"/>
      <c r="N333" s="244"/>
      <c r="O333" s="244"/>
      <c r="P333" s="244"/>
      <c r="Q333" s="245"/>
      <c r="R333" s="244"/>
      <c r="S333" s="244"/>
      <c r="T333" s="244"/>
      <c r="U333" s="244"/>
      <c r="V333" s="244"/>
      <c r="W333" s="245"/>
      <c r="X333" s="253"/>
      <c r="Y333" s="253"/>
      <c r="Z333" s="244"/>
      <c r="AA333" s="244"/>
      <c r="AB333" s="43"/>
      <c r="AC333" s="43"/>
      <c r="AD333" s="43"/>
      <c r="AE333" s="43"/>
      <c r="AF333" s="43"/>
      <c r="AG333" s="43"/>
      <c r="AH333" s="43"/>
    </row>
    <row r="334" spans="1:34">
      <c r="A334" s="43"/>
      <c r="B334" s="43"/>
      <c r="C334" s="43"/>
      <c r="D334" s="43"/>
      <c r="E334" s="43"/>
      <c r="F334" s="43"/>
      <c r="G334" s="43"/>
      <c r="H334" s="244"/>
      <c r="I334" s="244"/>
      <c r="J334" s="244"/>
      <c r="K334" s="244"/>
      <c r="L334" s="244"/>
      <c r="M334" s="244"/>
      <c r="N334" s="244"/>
      <c r="O334" s="244"/>
      <c r="P334" s="244"/>
      <c r="Q334" s="245"/>
      <c r="R334" s="244"/>
      <c r="S334" s="244"/>
      <c r="T334" s="244"/>
      <c r="U334" s="244"/>
      <c r="V334" s="244"/>
      <c r="W334" s="245"/>
      <c r="X334" s="253"/>
      <c r="Y334" s="253"/>
      <c r="Z334" s="244"/>
      <c r="AA334" s="244"/>
      <c r="AB334" s="43"/>
      <c r="AC334" s="43"/>
      <c r="AD334" s="43"/>
      <c r="AE334" s="43"/>
      <c r="AF334" s="43"/>
      <c r="AG334" s="43"/>
      <c r="AH334" s="43"/>
    </row>
    <row r="335" spans="1:34">
      <c r="A335" s="43"/>
      <c r="B335" s="43"/>
      <c r="C335" s="43"/>
      <c r="D335" s="43"/>
      <c r="E335" s="43"/>
      <c r="F335" s="43"/>
      <c r="G335" s="43"/>
      <c r="H335" s="244"/>
      <c r="I335" s="244"/>
      <c r="J335" s="244"/>
      <c r="K335" s="244"/>
      <c r="L335" s="244"/>
      <c r="M335" s="244"/>
      <c r="N335" s="244"/>
      <c r="O335" s="244"/>
      <c r="P335" s="244"/>
      <c r="Q335" s="245"/>
      <c r="R335" s="244"/>
      <c r="S335" s="244"/>
      <c r="T335" s="244"/>
      <c r="U335" s="244"/>
      <c r="V335" s="244"/>
      <c r="W335" s="245"/>
      <c r="X335" s="253"/>
      <c r="Y335" s="253"/>
      <c r="Z335" s="244"/>
      <c r="AA335" s="244"/>
      <c r="AB335" s="43"/>
      <c r="AC335" s="43"/>
      <c r="AD335" s="43"/>
      <c r="AE335" s="43"/>
      <c r="AF335" s="43"/>
      <c r="AG335" s="43"/>
      <c r="AH335" s="43"/>
    </row>
    <row r="336" spans="1:34">
      <c r="A336" s="43"/>
      <c r="B336" s="43"/>
      <c r="C336" s="43"/>
      <c r="D336" s="43"/>
      <c r="E336" s="43"/>
      <c r="F336" s="43"/>
      <c r="G336" s="43"/>
      <c r="H336" s="244"/>
      <c r="I336" s="244"/>
      <c r="J336" s="244"/>
      <c r="K336" s="244"/>
      <c r="L336" s="244"/>
      <c r="M336" s="244"/>
      <c r="N336" s="244"/>
      <c r="O336" s="244"/>
      <c r="P336" s="244"/>
      <c r="Q336" s="245"/>
      <c r="R336" s="244"/>
      <c r="S336" s="244"/>
      <c r="T336" s="244"/>
      <c r="U336" s="244"/>
      <c r="V336" s="244"/>
      <c r="W336" s="245"/>
      <c r="X336" s="253"/>
      <c r="Y336" s="253"/>
      <c r="Z336" s="244"/>
      <c r="AA336" s="244"/>
      <c r="AB336" s="43"/>
      <c r="AC336" s="43"/>
      <c r="AD336" s="43"/>
      <c r="AE336" s="43"/>
      <c r="AF336" s="43"/>
      <c r="AG336" s="43"/>
      <c r="AH336" s="43"/>
    </row>
    <row r="337" spans="1:34">
      <c r="A337" s="43"/>
      <c r="B337" s="43"/>
      <c r="C337" s="43"/>
      <c r="D337" s="43"/>
      <c r="E337" s="43"/>
      <c r="F337" s="43"/>
      <c r="G337" s="43"/>
      <c r="H337" s="244"/>
      <c r="I337" s="244"/>
      <c r="J337" s="244"/>
      <c r="K337" s="244"/>
      <c r="L337" s="244"/>
      <c r="M337" s="244"/>
      <c r="N337" s="244"/>
      <c r="O337" s="244"/>
      <c r="P337" s="244"/>
      <c r="Q337" s="245"/>
      <c r="R337" s="244"/>
      <c r="S337" s="244"/>
      <c r="T337" s="244"/>
      <c r="U337" s="244"/>
      <c r="V337" s="244"/>
      <c r="W337" s="245"/>
      <c r="X337" s="253"/>
      <c r="Y337" s="253"/>
      <c r="Z337" s="244"/>
      <c r="AA337" s="244"/>
      <c r="AB337" s="43"/>
      <c r="AC337" s="43"/>
      <c r="AD337" s="43"/>
      <c r="AE337" s="43"/>
      <c r="AF337" s="43"/>
      <c r="AG337" s="43"/>
      <c r="AH337" s="43"/>
    </row>
    <row r="338" spans="1:34">
      <c r="A338" s="43"/>
      <c r="B338" s="43"/>
      <c r="C338" s="43"/>
      <c r="D338" s="43"/>
      <c r="E338" s="43"/>
      <c r="F338" s="43"/>
      <c r="G338" s="43"/>
      <c r="H338" s="244"/>
      <c r="I338" s="244"/>
      <c r="J338" s="244"/>
      <c r="K338" s="244"/>
      <c r="L338" s="244"/>
      <c r="M338" s="244"/>
      <c r="N338" s="244"/>
      <c r="O338" s="244"/>
      <c r="P338" s="244"/>
      <c r="Q338" s="245"/>
      <c r="R338" s="244"/>
      <c r="S338" s="244"/>
      <c r="T338" s="244"/>
      <c r="U338" s="244"/>
      <c r="V338" s="244"/>
      <c r="W338" s="245"/>
      <c r="X338" s="253"/>
      <c r="Y338" s="253"/>
      <c r="Z338" s="244"/>
      <c r="AA338" s="244"/>
      <c r="AB338" s="43"/>
      <c r="AC338" s="43"/>
      <c r="AD338" s="43"/>
      <c r="AE338" s="43"/>
      <c r="AF338" s="43"/>
      <c r="AG338" s="43"/>
      <c r="AH338" s="43"/>
    </row>
    <row r="339" spans="1:34">
      <c r="A339" s="43"/>
      <c r="B339" s="43"/>
      <c r="C339" s="43"/>
      <c r="D339" s="43"/>
      <c r="E339" s="43"/>
      <c r="F339" s="43"/>
      <c r="G339" s="43"/>
      <c r="H339" s="244"/>
      <c r="I339" s="244"/>
      <c r="J339" s="244"/>
      <c r="K339" s="244"/>
      <c r="L339" s="244"/>
      <c r="M339" s="244"/>
      <c r="N339" s="244"/>
      <c r="O339" s="244"/>
      <c r="P339" s="244"/>
      <c r="Q339" s="245"/>
      <c r="R339" s="244"/>
      <c r="S339" s="244"/>
      <c r="T339" s="244"/>
      <c r="U339" s="244"/>
      <c r="V339" s="244"/>
      <c r="W339" s="245"/>
      <c r="X339" s="253"/>
      <c r="Y339" s="253"/>
      <c r="Z339" s="244"/>
      <c r="AA339" s="244"/>
      <c r="AB339" s="43"/>
      <c r="AC339" s="43"/>
      <c r="AD339" s="43"/>
      <c r="AE339" s="43"/>
      <c r="AF339" s="43"/>
      <c r="AG339" s="43"/>
      <c r="AH339" s="43"/>
    </row>
    <row r="340" spans="1:34">
      <c r="A340" s="43"/>
      <c r="B340" s="43"/>
      <c r="C340" s="43"/>
      <c r="D340" s="43"/>
      <c r="E340" s="43"/>
      <c r="F340" s="43"/>
      <c r="G340" s="43"/>
      <c r="H340" s="244"/>
      <c r="I340" s="244"/>
      <c r="J340" s="244"/>
      <c r="K340" s="244"/>
      <c r="L340" s="244"/>
      <c r="M340" s="244"/>
      <c r="N340" s="244"/>
      <c r="O340" s="244"/>
      <c r="P340" s="244"/>
      <c r="Q340" s="245"/>
      <c r="R340" s="244"/>
      <c r="S340" s="244"/>
      <c r="T340" s="244"/>
      <c r="U340" s="244"/>
      <c r="V340" s="244"/>
      <c r="W340" s="245"/>
      <c r="X340" s="253"/>
      <c r="Y340" s="253"/>
      <c r="Z340" s="244"/>
      <c r="AA340" s="244"/>
      <c r="AB340" s="43"/>
      <c r="AC340" s="43"/>
      <c r="AD340" s="43"/>
      <c r="AE340" s="43"/>
      <c r="AF340" s="43"/>
      <c r="AG340" s="43"/>
      <c r="AH340" s="43"/>
    </row>
    <row r="341" spans="1:34">
      <c r="A341" s="43"/>
      <c r="B341" s="43"/>
      <c r="C341" s="43"/>
      <c r="D341" s="43"/>
      <c r="E341" s="43"/>
      <c r="F341" s="43"/>
      <c r="G341" s="43"/>
      <c r="H341" s="244"/>
      <c r="I341" s="244"/>
      <c r="J341" s="244"/>
      <c r="K341" s="244"/>
      <c r="L341" s="244"/>
      <c r="M341" s="244"/>
      <c r="N341" s="244"/>
      <c r="O341" s="244"/>
      <c r="P341" s="244"/>
      <c r="Q341" s="245"/>
      <c r="R341" s="244"/>
      <c r="S341" s="244"/>
      <c r="T341" s="244"/>
      <c r="U341" s="244"/>
      <c r="V341" s="244"/>
      <c r="W341" s="245"/>
      <c r="X341" s="253"/>
      <c r="Y341" s="253"/>
      <c r="Z341" s="244"/>
      <c r="AA341" s="244"/>
      <c r="AB341" s="43"/>
      <c r="AC341" s="43"/>
      <c r="AD341" s="43"/>
      <c r="AE341" s="43"/>
      <c r="AF341" s="43"/>
      <c r="AG341" s="43"/>
      <c r="AH341" s="43"/>
    </row>
    <row r="342" spans="1:34">
      <c r="A342" s="43"/>
      <c r="B342" s="43"/>
      <c r="C342" s="43"/>
      <c r="D342" s="43"/>
      <c r="E342" s="43"/>
      <c r="F342" s="43"/>
      <c r="G342" s="43"/>
      <c r="H342" s="244"/>
      <c r="I342" s="244"/>
      <c r="J342" s="244"/>
      <c r="K342" s="244"/>
      <c r="L342" s="244"/>
      <c r="M342" s="244"/>
      <c r="N342" s="244"/>
      <c r="O342" s="244"/>
      <c r="P342" s="244"/>
      <c r="Q342" s="245"/>
      <c r="R342" s="244"/>
      <c r="S342" s="244"/>
      <c r="T342" s="244"/>
      <c r="U342" s="244"/>
      <c r="V342" s="244"/>
      <c r="W342" s="245"/>
      <c r="X342" s="253"/>
      <c r="Y342" s="253"/>
      <c r="Z342" s="244"/>
      <c r="AA342" s="244"/>
      <c r="AB342" s="43"/>
      <c r="AC342" s="43"/>
      <c r="AD342" s="43"/>
      <c r="AE342" s="43"/>
      <c r="AF342" s="43"/>
      <c r="AG342" s="43"/>
      <c r="AH342" s="43"/>
    </row>
    <row r="343" spans="1:34">
      <c r="A343" s="43"/>
      <c r="B343" s="43"/>
      <c r="C343" s="43"/>
      <c r="D343" s="43"/>
      <c r="E343" s="43"/>
      <c r="F343" s="43"/>
      <c r="G343" s="43"/>
      <c r="H343" s="244"/>
      <c r="I343" s="244"/>
      <c r="J343" s="244"/>
      <c r="K343" s="244"/>
      <c r="L343" s="244"/>
      <c r="M343" s="244"/>
      <c r="N343" s="244"/>
      <c r="O343" s="244"/>
      <c r="P343" s="244"/>
      <c r="Q343" s="245"/>
      <c r="R343" s="244"/>
      <c r="S343" s="244"/>
      <c r="T343" s="244"/>
      <c r="U343" s="244"/>
      <c r="V343" s="244"/>
      <c r="W343" s="245"/>
      <c r="X343" s="253"/>
      <c r="Y343" s="253"/>
      <c r="Z343" s="244"/>
      <c r="AA343" s="244"/>
      <c r="AB343" s="43"/>
      <c r="AC343" s="43"/>
      <c r="AD343" s="43"/>
      <c r="AE343" s="43"/>
      <c r="AF343" s="43"/>
      <c r="AG343" s="43"/>
      <c r="AH343" s="43"/>
    </row>
    <row r="344" spans="1:34">
      <c r="A344" s="43"/>
      <c r="B344" s="43"/>
      <c r="C344" s="43"/>
      <c r="D344" s="43"/>
      <c r="E344" s="43"/>
      <c r="F344" s="43"/>
      <c r="G344" s="43"/>
      <c r="H344" s="244"/>
      <c r="I344" s="244"/>
      <c r="J344" s="244"/>
      <c r="K344" s="244"/>
      <c r="L344" s="244"/>
      <c r="M344" s="244"/>
      <c r="N344" s="244"/>
      <c r="O344" s="244"/>
      <c r="P344" s="244"/>
      <c r="Q344" s="245"/>
      <c r="R344" s="244"/>
      <c r="S344" s="244"/>
      <c r="T344" s="244"/>
      <c r="U344" s="244"/>
      <c r="V344" s="244"/>
      <c r="W344" s="245"/>
      <c r="X344" s="253"/>
      <c r="Y344" s="253"/>
      <c r="Z344" s="244"/>
      <c r="AA344" s="244"/>
      <c r="AB344" s="43"/>
      <c r="AC344" s="43"/>
      <c r="AD344" s="43"/>
      <c r="AE344" s="43"/>
      <c r="AF344" s="43"/>
      <c r="AG344" s="43"/>
      <c r="AH344" s="43"/>
    </row>
    <row r="345" spans="1:34">
      <c r="A345" s="43"/>
      <c r="B345" s="43"/>
      <c r="C345" s="43"/>
      <c r="D345" s="43"/>
      <c r="E345" s="43"/>
      <c r="F345" s="43"/>
      <c r="G345" s="43"/>
      <c r="H345" s="244"/>
      <c r="I345" s="244"/>
      <c r="J345" s="244"/>
      <c r="K345" s="244"/>
      <c r="L345" s="244"/>
      <c r="M345" s="244"/>
      <c r="N345" s="244"/>
      <c r="O345" s="244"/>
      <c r="P345" s="244"/>
      <c r="Q345" s="245"/>
      <c r="R345" s="244"/>
      <c r="S345" s="244"/>
      <c r="T345" s="244"/>
      <c r="U345" s="244"/>
      <c r="V345" s="244"/>
      <c r="W345" s="245"/>
      <c r="X345" s="253"/>
      <c r="Y345" s="253"/>
      <c r="Z345" s="244"/>
      <c r="AA345" s="244"/>
      <c r="AB345" s="43"/>
      <c r="AC345" s="43"/>
      <c r="AD345" s="43"/>
      <c r="AE345" s="43"/>
      <c r="AF345" s="43"/>
      <c r="AG345" s="43"/>
      <c r="AH345" s="43"/>
    </row>
    <row r="346" spans="1:34">
      <c r="A346" s="43"/>
      <c r="B346" s="43"/>
      <c r="C346" s="43"/>
      <c r="D346" s="43"/>
      <c r="E346" s="43"/>
      <c r="F346" s="43"/>
      <c r="G346" s="43"/>
      <c r="H346" s="244"/>
      <c r="I346" s="244"/>
      <c r="J346" s="244"/>
      <c r="K346" s="244"/>
      <c r="L346" s="244"/>
      <c r="M346" s="244"/>
      <c r="N346" s="244"/>
      <c r="O346" s="244"/>
      <c r="P346" s="244"/>
      <c r="Q346" s="245"/>
      <c r="R346" s="244"/>
      <c r="S346" s="244"/>
      <c r="T346" s="244"/>
      <c r="U346" s="244"/>
      <c r="V346" s="244"/>
      <c r="W346" s="245"/>
      <c r="X346" s="253"/>
      <c r="Y346" s="253"/>
      <c r="Z346" s="244"/>
      <c r="AA346" s="244"/>
      <c r="AB346" s="43"/>
      <c r="AC346" s="43"/>
      <c r="AD346" s="43"/>
      <c r="AE346" s="43"/>
      <c r="AF346" s="43"/>
      <c r="AG346" s="43"/>
      <c r="AH346" s="43"/>
    </row>
    <row r="347" spans="1:34">
      <c r="A347" s="43"/>
      <c r="B347" s="43"/>
      <c r="C347" s="43"/>
      <c r="D347" s="43"/>
      <c r="E347" s="43"/>
      <c r="F347" s="43"/>
      <c r="G347" s="43"/>
      <c r="H347" s="244"/>
      <c r="I347" s="244"/>
      <c r="J347" s="244"/>
      <c r="K347" s="244"/>
      <c r="L347" s="244"/>
      <c r="M347" s="244"/>
      <c r="N347" s="244"/>
      <c r="O347" s="244"/>
      <c r="P347" s="244"/>
      <c r="Q347" s="245"/>
      <c r="R347" s="244"/>
      <c r="S347" s="244"/>
      <c r="T347" s="244"/>
      <c r="U347" s="244"/>
      <c r="V347" s="244"/>
      <c r="W347" s="245"/>
      <c r="X347" s="253"/>
      <c r="Y347" s="253"/>
      <c r="Z347" s="244"/>
      <c r="AA347" s="244"/>
      <c r="AB347" s="43"/>
      <c r="AC347" s="43"/>
      <c r="AD347" s="43"/>
      <c r="AE347" s="43"/>
      <c r="AF347" s="43"/>
      <c r="AG347" s="43"/>
      <c r="AH347" s="43"/>
    </row>
    <row r="348" spans="1:34">
      <c r="A348" s="43"/>
      <c r="B348" s="43"/>
      <c r="C348" s="43"/>
      <c r="D348" s="43"/>
      <c r="E348" s="43"/>
      <c r="F348" s="43"/>
      <c r="G348" s="43"/>
      <c r="H348" s="244"/>
      <c r="I348" s="244"/>
      <c r="J348" s="244"/>
      <c r="K348" s="244"/>
      <c r="L348" s="244"/>
      <c r="M348" s="244"/>
      <c r="N348" s="244"/>
      <c r="O348" s="244"/>
      <c r="P348" s="244"/>
      <c r="Q348" s="245"/>
      <c r="R348" s="244"/>
      <c r="S348" s="244"/>
      <c r="T348" s="244"/>
      <c r="U348" s="244"/>
      <c r="V348" s="244"/>
      <c r="W348" s="245"/>
      <c r="X348" s="253"/>
      <c r="Y348" s="253"/>
      <c r="Z348" s="244"/>
      <c r="AA348" s="244"/>
      <c r="AB348" s="43"/>
      <c r="AC348" s="43"/>
      <c r="AD348" s="43"/>
      <c r="AE348" s="43"/>
      <c r="AF348" s="43"/>
      <c r="AG348" s="43"/>
      <c r="AH348" s="43"/>
    </row>
    <row r="349" spans="1:34">
      <c r="A349" s="43"/>
      <c r="B349" s="43"/>
      <c r="C349" s="43"/>
      <c r="D349" s="43"/>
      <c r="E349" s="43"/>
      <c r="F349" s="43"/>
      <c r="G349" s="43"/>
      <c r="H349" s="244"/>
      <c r="I349" s="244"/>
      <c r="J349" s="244"/>
      <c r="K349" s="244"/>
      <c r="L349" s="244"/>
      <c r="M349" s="244"/>
      <c r="N349" s="244"/>
      <c r="O349" s="244"/>
      <c r="P349" s="244"/>
      <c r="Q349" s="245"/>
      <c r="R349" s="244"/>
      <c r="S349" s="244"/>
      <c r="T349" s="244"/>
      <c r="U349" s="244"/>
      <c r="V349" s="244"/>
      <c r="W349" s="245"/>
      <c r="X349" s="253"/>
      <c r="Y349" s="253"/>
      <c r="Z349" s="244"/>
      <c r="AA349" s="244"/>
      <c r="AB349" s="43"/>
      <c r="AC349" s="43"/>
      <c r="AD349" s="43"/>
      <c r="AE349" s="43"/>
      <c r="AF349" s="43"/>
      <c r="AG349" s="43"/>
      <c r="AH349" s="43"/>
    </row>
    <row r="350" spans="1:34">
      <c r="A350" s="43"/>
      <c r="B350" s="43"/>
      <c r="C350" s="43"/>
      <c r="D350" s="43"/>
      <c r="E350" s="43"/>
      <c r="F350" s="43"/>
      <c r="G350" s="43"/>
      <c r="H350" s="244"/>
      <c r="I350" s="244"/>
      <c r="J350" s="244"/>
      <c r="K350" s="244"/>
      <c r="L350" s="244"/>
      <c r="M350" s="244"/>
      <c r="N350" s="244"/>
      <c r="O350" s="244"/>
      <c r="P350" s="244"/>
      <c r="Q350" s="245"/>
      <c r="R350" s="244"/>
      <c r="S350" s="244"/>
      <c r="T350" s="244"/>
      <c r="U350" s="244"/>
      <c r="V350" s="244"/>
      <c r="W350" s="245"/>
      <c r="X350" s="253"/>
      <c r="Y350" s="253"/>
      <c r="Z350" s="244"/>
      <c r="AA350" s="244"/>
      <c r="AB350" s="43"/>
      <c r="AC350" s="43"/>
      <c r="AD350" s="43"/>
      <c r="AE350" s="43"/>
      <c r="AF350" s="43"/>
      <c r="AG350" s="43"/>
      <c r="AH350" s="43"/>
    </row>
    <row r="351" spans="1:34">
      <c r="A351" s="43"/>
      <c r="B351" s="43"/>
      <c r="C351" s="43"/>
      <c r="D351" s="43"/>
      <c r="E351" s="43"/>
      <c r="F351" s="43"/>
      <c r="G351" s="43"/>
      <c r="H351" s="244"/>
      <c r="I351" s="244"/>
      <c r="J351" s="244"/>
      <c r="K351" s="244"/>
      <c r="L351" s="244"/>
      <c r="M351" s="244"/>
      <c r="N351" s="244"/>
      <c r="O351" s="244"/>
      <c r="P351" s="244"/>
      <c r="Q351" s="245"/>
      <c r="R351" s="244"/>
      <c r="S351" s="244"/>
      <c r="T351" s="244"/>
      <c r="U351" s="244"/>
      <c r="V351" s="244"/>
      <c r="W351" s="245"/>
      <c r="X351" s="253"/>
      <c r="Y351" s="253"/>
      <c r="Z351" s="244"/>
      <c r="AA351" s="244"/>
      <c r="AB351" s="43"/>
      <c r="AC351" s="43"/>
      <c r="AD351" s="43"/>
      <c r="AE351" s="43"/>
      <c r="AF351" s="43"/>
      <c r="AG351" s="43"/>
      <c r="AH351" s="43"/>
    </row>
    <row r="352" spans="1:34">
      <c r="A352" s="43"/>
      <c r="B352" s="43"/>
      <c r="C352" s="43"/>
      <c r="D352" s="43"/>
      <c r="E352" s="43"/>
      <c r="F352" s="43"/>
      <c r="G352" s="43"/>
      <c r="H352" s="244"/>
      <c r="I352" s="244"/>
      <c r="J352" s="244"/>
      <c r="K352" s="244"/>
      <c r="L352" s="244"/>
      <c r="M352" s="244"/>
      <c r="N352" s="244"/>
      <c r="O352" s="244"/>
      <c r="P352" s="244"/>
      <c r="Q352" s="245"/>
      <c r="R352" s="244"/>
      <c r="S352" s="244"/>
      <c r="T352" s="244"/>
      <c r="U352" s="244"/>
      <c r="V352" s="244"/>
      <c r="W352" s="245"/>
      <c r="X352" s="253"/>
      <c r="Y352" s="253"/>
      <c r="Z352" s="244"/>
      <c r="AA352" s="244"/>
      <c r="AB352" s="43"/>
      <c r="AC352" s="43"/>
      <c r="AD352" s="43"/>
      <c r="AE352" s="43"/>
      <c r="AF352" s="43"/>
      <c r="AG352" s="43"/>
      <c r="AH352" s="43"/>
    </row>
    <row r="353" spans="1:34">
      <c r="A353" s="43"/>
      <c r="B353" s="43"/>
      <c r="C353" s="43"/>
      <c r="D353" s="43"/>
      <c r="E353" s="43"/>
      <c r="F353" s="43"/>
      <c r="G353" s="43"/>
      <c r="H353" s="244"/>
      <c r="I353" s="244"/>
      <c r="J353" s="244"/>
      <c r="K353" s="244"/>
      <c r="L353" s="244"/>
      <c r="M353" s="244"/>
      <c r="N353" s="244"/>
      <c r="O353" s="244"/>
      <c r="P353" s="244"/>
      <c r="Q353" s="245"/>
      <c r="R353" s="244"/>
      <c r="S353" s="244"/>
      <c r="T353" s="244"/>
      <c r="U353" s="244"/>
      <c r="V353" s="244"/>
      <c r="W353" s="245"/>
      <c r="X353" s="253"/>
      <c r="Y353" s="253"/>
      <c r="Z353" s="244"/>
      <c r="AA353" s="244"/>
      <c r="AB353" s="43"/>
      <c r="AC353" s="43"/>
      <c r="AD353" s="43"/>
      <c r="AE353" s="43"/>
      <c r="AF353" s="43"/>
      <c r="AG353" s="43"/>
      <c r="AH353" s="43"/>
    </row>
    <row r="354" spans="1:34">
      <c r="A354" s="43"/>
      <c r="B354" s="43"/>
      <c r="C354" s="43"/>
      <c r="D354" s="43"/>
      <c r="E354" s="43"/>
      <c r="F354" s="43"/>
      <c r="G354" s="43"/>
      <c r="H354" s="244"/>
      <c r="I354" s="244"/>
      <c r="J354" s="244"/>
      <c r="K354" s="244"/>
      <c r="L354" s="244"/>
      <c r="M354" s="244"/>
      <c r="N354" s="244"/>
      <c r="O354" s="244"/>
      <c r="P354" s="244"/>
      <c r="Q354" s="245"/>
      <c r="R354" s="244"/>
      <c r="S354" s="244"/>
      <c r="T354" s="244"/>
      <c r="U354" s="244"/>
      <c r="V354" s="244"/>
      <c r="W354" s="245"/>
      <c r="X354" s="253"/>
      <c r="Y354" s="253"/>
      <c r="Z354" s="244"/>
      <c r="AA354" s="244"/>
      <c r="AB354" s="43"/>
      <c r="AC354" s="43"/>
      <c r="AD354" s="43"/>
      <c r="AE354" s="43"/>
      <c r="AF354" s="43"/>
      <c r="AG354" s="43"/>
      <c r="AH354" s="43"/>
    </row>
    <row r="355" spans="1:34">
      <c r="A355" s="43"/>
      <c r="B355" s="43"/>
      <c r="C355" s="43"/>
      <c r="D355" s="43"/>
      <c r="E355" s="43"/>
      <c r="F355" s="43"/>
      <c r="G355" s="43"/>
      <c r="H355" s="244"/>
      <c r="I355" s="244"/>
      <c r="J355" s="244"/>
      <c r="K355" s="244"/>
      <c r="L355" s="244"/>
      <c r="M355" s="244"/>
      <c r="N355" s="244"/>
      <c r="O355" s="244"/>
      <c r="P355" s="244"/>
      <c r="Q355" s="245"/>
      <c r="R355" s="244"/>
      <c r="S355" s="244"/>
      <c r="T355" s="244"/>
      <c r="U355" s="244"/>
      <c r="V355" s="244"/>
      <c r="W355" s="245"/>
      <c r="X355" s="253"/>
      <c r="Y355" s="253"/>
      <c r="Z355" s="244"/>
      <c r="AA355" s="244"/>
      <c r="AB355" s="43"/>
      <c r="AC355" s="43"/>
      <c r="AD355" s="43"/>
      <c r="AE355" s="43"/>
      <c r="AF355" s="43"/>
      <c r="AG355" s="43"/>
      <c r="AH355" s="43"/>
    </row>
    <row r="356" spans="1:34">
      <c r="A356" s="43"/>
      <c r="B356" s="43"/>
      <c r="C356" s="43"/>
      <c r="D356" s="43"/>
      <c r="E356" s="43"/>
      <c r="F356" s="43"/>
      <c r="G356" s="43"/>
      <c r="H356" s="244"/>
      <c r="I356" s="244"/>
      <c r="J356" s="244"/>
      <c r="K356" s="244"/>
      <c r="L356" s="244"/>
      <c r="M356" s="244"/>
      <c r="N356" s="244"/>
      <c r="O356" s="244"/>
      <c r="P356" s="244"/>
      <c r="Q356" s="245"/>
      <c r="R356" s="244"/>
      <c r="S356" s="244"/>
      <c r="T356" s="244"/>
      <c r="U356" s="244"/>
      <c r="V356" s="244"/>
      <c r="W356" s="245"/>
      <c r="X356" s="253"/>
      <c r="Y356" s="253"/>
      <c r="Z356" s="244"/>
      <c r="AA356" s="244"/>
      <c r="AB356" s="43"/>
      <c r="AC356" s="43"/>
      <c r="AD356" s="43"/>
      <c r="AE356" s="43"/>
      <c r="AF356" s="43"/>
      <c r="AG356" s="43"/>
      <c r="AH356" s="43"/>
    </row>
    <row r="357" spans="1:34">
      <c r="A357" s="43"/>
      <c r="B357" s="43"/>
      <c r="C357" s="43"/>
      <c r="D357" s="43"/>
      <c r="E357" s="43"/>
      <c r="F357" s="43"/>
      <c r="G357" s="43"/>
      <c r="H357" s="244"/>
      <c r="I357" s="244"/>
      <c r="J357" s="244"/>
      <c r="K357" s="244"/>
      <c r="L357" s="244"/>
      <c r="M357" s="244"/>
      <c r="N357" s="244"/>
      <c r="O357" s="244"/>
      <c r="P357" s="244"/>
      <c r="Q357" s="245"/>
      <c r="R357" s="244"/>
      <c r="S357" s="244"/>
      <c r="T357" s="244"/>
      <c r="U357" s="244"/>
      <c r="V357" s="244"/>
      <c r="W357" s="245"/>
      <c r="X357" s="253"/>
      <c r="Y357" s="253"/>
      <c r="Z357" s="244"/>
      <c r="AA357" s="244"/>
      <c r="AB357" s="43"/>
      <c r="AC357" s="43"/>
      <c r="AD357" s="43"/>
      <c r="AE357" s="43"/>
      <c r="AF357" s="43"/>
      <c r="AG357" s="43"/>
      <c r="AH357" s="43"/>
    </row>
    <row r="358" spans="1:34">
      <c r="A358" s="43"/>
      <c r="B358" s="43"/>
      <c r="C358" s="43"/>
      <c r="D358" s="43"/>
      <c r="E358" s="43"/>
      <c r="F358" s="43"/>
      <c r="G358" s="43"/>
      <c r="H358" s="244"/>
      <c r="I358" s="244"/>
      <c r="J358" s="244"/>
      <c r="K358" s="244"/>
      <c r="L358" s="244"/>
      <c r="M358" s="244"/>
      <c r="N358" s="244"/>
      <c r="O358" s="244"/>
      <c r="P358" s="244"/>
      <c r="Q358" s="245"/>
      <c r="R358" s="244"/>
      <c r="S358" s="244"/>
      <c r="T358" s="244"/>
      <c r="U358" s="244"/>
      <c r="V358" s="244"/>
      <c r="W358" s="245"/>
      <c r="X358" s="253"/>
      <c r="Y358" s="253"/>
      <c r="Z358" s="244"/>
      <c r="AA358" s="244"/>
      <c r="AB358" s="43"/>
      <c r="AC358" s="43"/>
      <c r="AD358" s="43"/>
      <c r="AE358" s="43"/>
      <c r="AF358" s="43"/>
      <c r="AG358" s="43"/>
      <c r="AH358" s="43"/>
    </row>
    <row r="359" spans="1:34">
      <c r="A359" s="43"/>
      <c r="B359" s="43"/>
      <c r="C359" s="43"/>
      <c r="D359" s="43"/>
      <c r="E359" s="43"/>
      <c r="F359" s="43"/>
      <c r="G359" s="43"/>
      <c r="H359" s="244"/>
      <c r="I359" s="244"/>
      <c r="J359" s="244"/>
      <c r="K359" s="244"/>
      <c r="L359" s="244"/>
      <c r="M359" s="244"/>
      <c r="N359" s="244"/>
      <c r="O359" s="244"/>
      <c r="P359" s="244"/>
      <c r="Q359" s="245"/>
      <c r="R359" s="244"/>
      <c r="S359" s="244"/>
      <c r="T359" s="244"/>
      <c r="U359" s="244"/>
      <c r="V359" s="244"/>
      <c r="W359" s="245"/>
      <c r="X359" s="253"/>
      <c r="Y359" s="253"/>
      <c r="Z359" s="244"/>
      <c r="AA359" s="244"/>
      <c r="AB359" s="43"/>
      <c r="AC359" s="43"/>
      <c r="AD359" s="43"/>
      <c r="AE359" s="43"/>
      <c r="AF359" s="43"/>
      <c r="AG359" s="43"/>
      <c r="AH359" s="43"/>
    </row>
    <row r="360" spans="1:34">
      <c r="A360" s="43"/>
      <c r="B360" s="43"/>
      <c r="C360" s="43"/>
      <c r="D360" s="43"/>
      <c r="E360" s="43"/>
      <c r="F360" s="43"/>
      <c r="G360" s="43"/>
      <c r="H360" s="244"/>
      <c r="I360" s="244"/>
      <c r="J360" s="244"/>
      <c r="K360" s="244"/>
      <c r="L360" s="244"/>
      <c r="M360" s="244"/>
      <c r="N360" s="244"/>
      <c r="O360" s="244"/>
      <c r="P360" s="244"/>
      <c r="Q360" s="245"/>
      <c r="R360" s="244"/>
      <c r="S360" s="244"/>
      <c r="T360" s="244"/>
      <c r="U360" s="244"/>
      <c r="V360" s="244"/>
      <c r="W360" s="245"/>
      <c r="X360" s="253"/>
      <c r="Y360" s="253"/>
      <c r="Z360" s="244"/>
      <c r="AA360" s="244"/>
      <c r="AB360" s="43"/>
      <c r="AC360" s="43"/>
      <c r="AD360" s="43"/>
      <c r="AE360" s="43"/>
      <c r="AF360" s="43"/>
      <c r="AG360" s="43"/>
      <c r="AH360" s="43"/>
    </row>
    <row r="361" spans="1:34">
      <c r="A361" s="43"/>
      <c r="B361" s="43"/>
      <c r="C361" s="43"/>
      <c r="D361" s="43"/>
      <c r="E361" s="43"/>
      <c r="F361" s="43"/>
      <c r="G361" s="43"/>
      <c r="H361" s="244"/>
      <c r="I361" s="244"/>
      <c r="J361" s="244"/>
      <c r="K361" s="244"/>
      <c r="L361" s="244"/>
      <c r="M361" s="244"/>
      <c r="N361" s="244"/>
      <c r="O361" s="244"/>
      <c r="P361" s="244"/>
      <c r="Q361" s="245"/>
      <c r="R361" s="244"/>
      <c r="S361" s="244"/>
      <c r="T361" s="244"/>
      <c r="U361" s="244"/>
      <c r="V361" s="244"/>
      <c r="W361" s="245"/>
      <c r="X361" s="253"/>
      <c r="Y361" s="253"/>
      <c r="Z361" s="244"/>
      <c r="AA361" s="244"/>
      <c r="AB361" s="43"/>
      <c r="AC361" s="43"/>
      <c r="AD361" s="43"/>
      <c r="AE361" s="43"/>
      <c r="AF361" s="43"/>
      <c r="AG361" s="43"/>
      <c r="AH361" s="43"/>
    </row>
    <row r="362" spans="1:34">
      <c r="A362" s="43"/>
      <c r="B362" s="43"/>
      <c r="C362" s="43"/>
      <c r="D362" s="43"/>
      <c r="E362" s="43"/>
      <c r="F362" s="43"/>
      <c r="G362" s="43"/>
      <c r="H362" s="244"/>
      <c r="I362" s="244"/>
      <c r="J362" s="244"/>
      <c r="K362" s="244"/>
      <c r="L362" s="244"/>
      <c r="M362" s="244"/>
      <c r="N362" s="244"/>
      <c r="O362" s="244"/>
      <c r="P362" s="244"/>
      <c r="Q362" s="245"/>
      <c r="R362" s="244"/>
      <c r="S362" s="244"/>
      <c r="T362" s="244"/>
      <c r="U362" s="244"/>
      <c r="V362" s="244"/>
      <c r="W362" s="245"/>
      <c r="X362" s="253"/>
      <c r="Y362" s="253"/>
      <c r="Z362" s="244"/>
      <c r="AA362" s="244"/>
      <c r="AB362" s="43"/>
      <c r="AC362" s="43"/>
      <c r="AD362" s="43"/>
      <c r="AE362" s="43"/>
      <c r="AF362" s="43"/>
      <c r="AG362" s="43"/>
      <c r="AH362" s="43"/>
    </row>
    <row r="363" spans="1:34">
      <c r="A363" s="43"/>
      <c r="B363" s="43"/>
      <c r="C363" s="43"/>
      <c r="D363" s="43"/>
      <c r="E363" s="43"/>
      <c r="F363" s="43"/>
      <c r="G363" s="43"/>
      <c r="H363" s="244"/>
      <c r="I363" s="244"/>
      <c r="J363" s="244"/>
      <c r="K363" s="244"/>
      <c r="L363" s="244"/>
      <c r="M363" s="244"/>
      <c r="N363" s="244"/>
      <c r="O363" s="244"/>
      <c r="P363" s="244"/>
      <c r="Q363" s="245"/>
      <c r="R363" s="244"/>
      <c r="S363" s="244"/>
      <c r="T363" s="244"/>
      <c r="U363" s="244"/>
      <c r="V363" s="244"/>
      <c r="W363" s="245"/>
      <c r="X363" s="253"/>
      <c r="Y363" s="253"/>
      <c r="Z363" s="244"/>
      <c r="AA363" s="244"/>
      <c r="AB363" s="43"/>
      <c r="AC363" s="43"/>
      <c r="AD363" s="43"/>
      <c r="AE363" s="43"/>
      <c r="AF363" s="43"/>
      <c r="AG363" s="43"/>
      <c r="AH363" s="43"/>
    </row>
    <row r="364" spans="1:34">
      <c r="A364" s="43"/>
      <c r="B364" s="43"/>
      <c r="C364" s="43"/>
      <c r="D364" s="43"/>
      <c r="E364" s="43"/>
      <c r="F364" s="43"/>
      <c r="G364" s="43"/>
      <c r="H364" s="244"/>
      <c r="I364" s="244"/>
      <c r="J364" s="244"/>
      <c r="K364" s="244"/>
      <c r="L364" s="244"/>
      <c r="M364" s="244"/>
      <c r="N364" s="244"/>
      <c r="O364" s="244"/>
      <c r="P364" s="244"/>
      <c r="Q364" s="245"/>
      <c r="R364" s="244"/>
      <c r="S364" s="244"/>
      <c r="T364" s="244"/>
      <c r="U364" s="244"/>
      <c r="V364" s="244"/>
      <c r="W364" s="245"/>
      <c r="X364" s="253"/>
      <c r="Y364" s="253"/>
      <c r="Z364" s="244"/>
      <c r="AA364" s="244"/>
      <c r="AB364" s="43"/>
      <c r="AC364" s="43"/>
      <c r="AD364" s="43"/>
      <c r="AE364" s="43"/>
      <c r="AF364" s="43"/>
      <c r="AG364" s="43"/>
      <c r="AH364" s="43"/>
    </row>
    <row r="365" spans="1:34">
      <c r="A365" s="43"/>
      <c r="B365" s="43"/>
      <c r="C365" s="43"/>
      <c r="D365" s="43"/>
      <c r="E365" s="43"/>
      <c r="F365" s="43"/>
      <c r="G365" s="43"/>
      <c r="H365" s="244"/>
      <c r="I365" s="244"/>
      <c r="J365" s="244"/>
      <c r="K365" s="244"/>
      <c r="L365" s="244"/>
      <c r="M365" s="244"/>
      <c r="N365" s="244"/>
      <c r="O365" s="244"/>
      <c r="P365" s="244"/>
      <c r="Q365" s="245"/>
      <c r="R365" s="244"/>
      <c r="S365" s="244"/>
      <c r="T365" s="244"/>
      <c r="U365" s="244"/>
      <c r="V365" s="244"/>
      <c r="W365" s="245"/>
      <c r="X365" s="253"/>
      <c r="Y365" s="253"/>
      <c r="Z365" s="244"/>
      <c r="AA365" s="244"/>
      <c r="AB365" s="43"/>
      <c r="AC365" s="43"/>
      <c r="AD365" s="43"/>
      <c r="AE365" s="43"/>
      <c r="AF365" s="43"/>
      <c r="AG365" s="43"/>
      <c r="AH365" s="43"/>
    </row>
    <row r="366" spans="1:34">
      <c r="A366" s="43"/>
      <c r="B366" s="43"/>
      <c r="C366" s="43"/>
      <c r="D366" s="43"/>
      <c r="E366" s="43"/>
      <c r="F366" s="43"/>
      <c r="G366" s="43"/>
      <c r="H366" s="244"/>
      <c r="I366" s="244"/>
      <c r="J366" s="244"/>
      <c r="K366" s="244"/>
      <c r="L366" s="244"/>
      <c r="M366" s="244"/>
      <c r="N366" s="244"/>
      <c r="O366" s="244"/>
      <c r="P366" s="244"/>
      <c r="Q366" s="245"/>
      <c r="R366" s="244"/>
      <c r="S366" s="244"/>
      <c r="T366" s="244"/>
      <c r="U366" s="244"/>
      <c r="V366" s="244"/>
      <c r="W366" s="245"/>
      <c r="X366" s="253"/>
      <c r="Y366" s="253"/>
      <c r="Z366" s="244"/>
      <c r="AA366" s="244"/>
      <c r="AB366" s="43"/>
      <c r="AC366" s="43"/>
      <c r="AD366" s="43"/>
      <c r="AE366" s="43"/>
      <c r="AF366" s="43"/>
      <c r="AG366" s="43"/>
      <c r="AH366" s="43"/>
    </row>
    <row r="367" spans="1:34">
      <c r="A367" s="43"/>
      <c r="B367" s="43"/>
      <c r="C367" s="43"/>
      <c r="D367" s="43"/>
      <c r="E367" s="43"/>
      <c r="F367" s="43"/>
      <c r="G367" s="43"/>
      <c r="H367" s="244"/>
      <c r="I367" s="244"/>
      <c r="J367" s="244"/>
      <c r="K367" s="244"/>
      <c r="L367" s="244"/>
      <c r="M367" s="244"/>
      <c r="N367" s="244"/>
      <c r="O367" s="244"/>
      <c r="P367" s="244"/>
      <c r="Q367" s="245"/>
      <c r="R367" s="244"/>
      <c r="S367" s="244"/>
      <c r="T367" s="244"/>
      <c r="U367" s="244"/>
      <c r="V367" s="244"/>
      <c r="W367" s="245"/>
      <c r="X367" s="253"/>
      <c r="Y367" s="253"/>
      <c r="Z367" s="244"/>
      <c r="AA367" s="244"/>
      <c r="AB367" s="43"/>
      <c r="AC367" s="43"/>
      <c r="AD367" s="43"/>
      <c r="AE367" s="43"/>
      <c r="AF367" s="43"/>
      <c r="AG367" s="43"/>
      <c r="AH367" s="43"/>
    </row>
    <row r="368" spans="1:34">
      <c r="A368" s="43"/>
      <c r="B368" s="43"/>
      <c r="C368" s="43"/>
      <c r="D368" s="43"/>
      <c r="E368" s="43"/>
      <c r="F368" s="43"/>
      <c r="G368" s="43"/>
      <c r="H368" s="244"/>
      <c r="I368" s="244"/>
      <c r="J368" s="244"/>
      <c r="K368" s="244"/>
      <c r="L368" s="244"/>
      <c r="M368" s="244"/>
      <c r="N368" s="244"/>
      <c r="O368" s="244"/>
      <c r="P368" s="244"/>
      <c r="Q368" s="245"/>
      <c r="R368" s="244"/>
      <c r="S368" s="244"/>
      <c r="T368" s="244"/>
      <c r="U368" s="244"/>
      <c r="V368" s="244"/>
      <c r="W368" s="245"/>
      <c r="X368" s="253"/>
      <c r="Y368" s="253"/>
      <c r="Z368" s="244"/>
      <c r="AA368" s="244"/>
      <c r="AB368" s="43"/>
      <c r="AC368" s="43"/>
      <c r="AD368" s="43"/>
      <c r="AE368" s="43"/>
      <c r="AF368" s="43"/>
      <c r="AG368" s="43"/>
      <c r="AH368" s="43"/>
    </row>
    <row r="369" spans="1:34">
      <c r="A369" s="43"/>
      <c r="B369" s="43"/>
      <c r="C369" s="43"/>
      <c r="D369" s="43"/>
      <c r="E369" s="43"/>
      <c r="F369" s="43"/>
      <c r="G369" s="43"/>
      <c r="H369" s="244"/>
      <c r="I369" s="244"/>
      <c r="J369" s="244"/>
      <c r="K369" s="244"/>
      <c r="L369" s="244"/>
      <c r="M369" s="244"/>
      <c r="N369" s="244"/>
      <c r="O369" s="244"/>
      <c r="P369" s="244"/>
      <c r="Q369" s="245"/>
      <c r="R369" s="244"/>
      <c r="S369" s="244"/>
      <c r="T369" s="244"/>
      <c r="U369" s="244"/>
      <c r="V369" s="244"/>
      <c r="W369" s="245"/>
      <c r="X369" s="253"/>
      <c r="Y369" s="253"/>
      <c r="Z369" s="244"/>
      <c r="AA369" s="244"/>
      <c r="AB369" s="43"/>
      <c r="AC369" s="43"/>
      <c r="AD369" s="43"/>
      <c r="AE369" s="43"/>
      <c r="AF369" s="43"/>
      <c r="AG369" s="43"/>
      <c r="AH369" s="43"/>
    </row>
    <row r="370" spans="1:34">
      <c r="A370" s="43"/>
      <c r="B370" s="43"/>
      <c r="C370" s="43"/>
      <c r="D370" s="43"/>
      <c r="E370" s="43"/>
      <c r="F370" s="43"/>
      <c r="G370" s="43"/>
      <c r="H370" s="244"/>
      <c r="I370" s="244"/>
      <c r="J370" s="244"/>
      <c r="K370" s="244"/>
      <c r="L370" s="244"/>
      <c r="M370" s="244"/>
      <c r="N370" s="244"/>
      <c r="O370" s="244"/>
      <c r="P370" s="244"/>
      <c r="Q370" s="245"/>
      <c r="R370" s="244"/>
      <c r="S370" s="244"/>
      <c r="T370" s="244"/>
      <c r="U370" s="244"/>
      <c r="V370" s="244"/>
      <c r="W370" s="245"/>
      <c r="X370" s="253"/>
      <c r="Y370" s="253"/>
      <c r="Z370" s="244"/>
      <c r="AA370" s="244"/>
      <c r="AB370" s="43"/>
      <c r="AC370" s="43"/>
      <c r="AD370" s="43"/>
      <c r="AE370" s="43"/>
      <c r="AF370" s="43"/>
      <c r="AG370" s="43"/>
      <c r="AH370" s="43"/>
    </row>
    <row r="371" spans="1:34">
      <c r="A371" s="43"/>
      <c r="B371" s="43"/>
      <c r="C371" s="43"/>
      <c r="D371" s="43"/>
      <c r="E371" s="43"/>
      <c r="F371" s="43"/>
      <c r="G371" s="43"/>
      <c r="H371" s="244"/>
      <c r="I371" s="244"/>
      <c r="J371" s="244"/>
      <c r="K371" s="244"/>
      <c r="L371" s="244"/>
      <c r="M371" s="244"/>
      <c r="N371" s="244"/>
      <c r="O371" s="244"/>
      <c r="P371" s="244"/>
      <c r="Q371" s="245"/>
      <c r="R371" s="244"/>
      <c r="S371" s="244"/>
      <c r="T371" s="244"/>
      <c r="U371" s="244"/>
      <c r="V371" s="244"/>
      <c r="W371" s="245"/>
      <c r="X371" s="253"/>
      <c r="Y371" s="253"/>
      <c r="Z371" s="244"/>
      <c r="AA371" s="244"/>
      <c r="AB371" s="43"/>
      <c r="AC371" s="43"/>
      <c r="AD371" s="43"/>
      <c r="AE371" s="43"/>
      <c r="AF371" s="43"/>
      <c r="AG371" s="43"/>
      <c r="AH371" s="43"/>
    </row>
    <row r="372" spans="1:34">
      <c r="A372" s="43"/>
      <c r="B372" s="43"/>
      <c r="C372" s="43"/>
      <c r="D372" s="43"/>
      <c r="E372" s="43"/>
      <c r="F372" s="43"/>
      <c r="G372" s="43"/>
      <c r="H372" s="244"/>
      <c r="I372" s="244"/>
      <c r="J372" s="244"/>
      <c r="K372" s="244"/>
      <c r="L372" s="244"/>
      <c r="M372" s="244"/>
      <c r="N372" s="244"/>
      <c r="O372" s="244"/>
      <c r="P372" s="244"/>
      <c r="Q372" s="245"/>
      <c r="R372" s="244"/>
      <c r="S372" s="244"/>
      <c r="T372" s="244"/>
      <c r="U372" s="244"/>
      <c r="V372" s="244"/>
      <c r="W372" s="245"/>
      <c r="X372" s="253"/>
      <c r="Y372" s="253"/>
      <c r="Z372" s="244"/>
      <c r="AA372" s="244"/>
      <c r="AB372" s="43"/>
      <c r="AC372" s="43"/>
      <c r="AD372" s="43"/>
      <c r="AE372" s="43"/>
      <c r="AF372" s="43"/>
      <c r="AG372" s="43"/>
      <c r="AH372" s="43"/>
    </row>
    <row r="373" spans="1:34">
      <c r="A373" s="43"/>
      <c r="B373" s="43"/>
      <c r="C373" s="43"/>
      <c r="D373" s="43"/>
      <c r="E373" s="43"/>
      <c r="F373" s="43"/>
      <c r="G373" s="43"/>
      <c r="H373" s="244"/>
      <c r="I373" s="244"/>
      <c r="J373" s="244"/>
      <c r="K373" s="244"/>
      <c r="L373" s="244"/>
      <c r="M373" s="244"/>
      <c r="N373" s="244"/>
      <c r="O373" s="244"/>
      <c r="P373" s="244"/>
      <c r="Q373" s="245"/>
      <c r="R373" s="244"/>
      <c r="S373" s="244"/>
      <c r="T373" s="244"/>
      <c r="U373" s="244"/>
      <c r="V373" s="244"/>
      <c r="W373" s="245"/>
      <c r="X373" s="253"/>
      <c r="Y373" s="253"/>
      <c r="Z373" s="244"/>
      <c r="AA373" s="244"/>
      <c r="AB373" s="43"/>
      <c r="AC373" s="43"/>
      <c r="AD373" s="43"/>
      <c r="AE373" s="43"/>
      <c r="AF373" s="43"/>
      <c r="AG373" s="43"/>
      <c r="AH373" s="43"/>
    </row>
    <row r="374" spans="1:34">
      <c r="A374" s="43"/>
      <c r="B374" s="43"/>
      <c r="C374" s="43"/>
      <c r="D374" s="43"/>
      <c r="E374" s="43"/>
      <c r="F374" s="43"/>
      <c r="G374" s="43"/>
      <c r="H374" s="244"/>
      <c r="I374" s="244"/>
      <c r="J374" s="244"/>
      <c r="K374" s="244"/>
      <c r="L374" s="244"/>
      <c r="M374" s="244"/>
      <c r="N374" s="244"/>
      <c r="O374" s="244"/>
      <c r="P374" s="244"/>
      <c r="Q374" s="245"/>
      <c r="R374" s="244"/>
      <c r="S374" s="244"/>
      <c r="T374" s="244"/>
      <c r="U374" s="244"/>
      <c r="V374" s="244"/>
      <c r="W374" s="245"/>
      <c r="X374" s="253"/>
      <c r="Y374" s="253"/>
      <c r="Z374" s="244"/>
      <c r="AA374" s="244"/>
      <c r="AB374" s="43"/>
      <c r="AC374" s="43"/>
      <c r="AD374" s="43"/>
      <c r="AE374" s="43"/>
      <c r="AF374" s="43"/>
      <c r="AG374" s="43"/>
      <c r="AH374" s="43"/>
    </row>
    <row r="375" spans="1:34">
      <c r="A375" s="43"/>
      <c r="B375" s="43"/>
      <c r="C375" s="43"/>
      <c r="D375" s="43"/>
      <c r="E375" s="43"/>
      <c r="F375" s="43"/>
      <c r="G375" s="43"/>
      <c r="H375" s="244"/>
      <c r="I375" s="244"/>
      <c r="J375" s="244"/>
      <c r="K375" s="244"/>
      <c r="L375" s="244"/>
      <c r="M375" s="244"/>
      <c r="N375" s="244"/>
      <c r="O375" s="244"/>
      <c r="P375" s="244"/>
      <c r="Q375" s="245"/>
      <c r="R375" s="244"/>
      <c r="S375" s="244"/>
      <c r="T375" s="244"/>
      <c r="U375" s="244"/>
      <c r="V375" s="244"/>
      <c r="W375" s="245"/>
      <c r="X375" s="253"/>
      <c r="Y375" s="253"/>
      <c r="Z375" s="244"/>
      <c r="AA375" s="244"/>
      <c r="AB375" s="43"/>
      <c r="AC375" s="43"/>
      <c r="AD375" s="43"/>
      <c r="AE375" s="43"/>
      <c r="AF375" s="43"/>
      <c r="AG375" s="43"/>
      <c r="AH375" s="43"/>
    </row>
    <row r="376" spans="1:34">
      <c r="A376" s="43"/>
      <c r="B376" s="43"/>
      <c r="C376" s="43"/>
      <c r="D376" s="43"/>
      <c r="E376" s="43"/>
      <c r="F376" s="43"/>
      <c r="G376" s="43"/>
      <c r="H376" s="244"/>
      <c r="I376" s="244"/>
      <c r="J376" s="244"/>
      <c r="K376" s="244"/>
      <c r="L376" s="244"/>
      <c r="M376" s="244"/>
      <c r="N376" s="244"/>
      <c r="O376" s="244"/>
      <c r="P376" s="244"/>
      <c r="Q376" s="245"/>
      <c r="R376" s="244"/>
      <c r="S376" s="244"/>
      <c r="T376" s="244"/>
      <c r="U376" s="244"/>
      <c r="V376" s="244"/>
      <c r="W376" s="245"/>
      <c r="X376" s="253"/>
      <c r="Y376" s="253"/>
      <c r="Z376" s="244"/>
      <c r="AA376" s="244"/>
      <c r="AB376" s="43"/>
      <c r="AC376" s="43"/>
      <c r="AD376" s="43"/>
      <c r="AE376" s="43"/>
      <c r="AF376" s="43"/>
      <c r="AG376" s="43"/>
      <c r="AH376" s="43"/>
    </row>
    <row r="377" spans="1:34">
      <c r="A377" s="43"/>
      <c r="B377" s="43"/>
      <c r="C377" s="43"/>
      <c r="D377" s="43"/>
      <c r="E377" s="43"/>
      <c r="F377" s="43"/>
      <c r="G377" s="43"/>
      <c r="H377" s="244"/>
      <c r="I377" s="244"/>
      <c r="J377" s="244"/>
      <c r="K377" s="244"/>
      <c r="L377" s="244"/>
      <c r="M377" s="244"/>
      <c r="N377" s="244"/>
      <c r="O377" s="244"/>
      <c r="P377" s="244"/>
      <c r="Q377" s="245"/>
      <c r="R377" s="244"/>
      <c r="S377" s="244"/>
      <c r="T377" s="244"/>
      <c r="U377" s="244"/>
      <c r="V377" s="244"/>
      <c r="W377" s="245"/>
      <c r="X377" s="253"/>
      <c r="Y377" s="253"/>
      <c r="Z377" s="244"/>
      <c r="AA377" s="244"/>
      <c r="AB377" s="43"/>
      <c r="AC377" s="43"/>
      <c r="AD377" s="43"/>
      <c r="AE377" s="43"/>
      <c r="AF377" s="43"/>
      <c r="AG377" s="43"/>
      <c r="AH377" s="43"/>
    </row>
    <row r="378" spans="1:34">
      <c r="A378" s="43"/>
      <c r="B378" s="43"/>
      <c r="C378" s="43"/>
      <c r="D378" s="43"/>
      <c r="E378" s="43"/>
      <c r="F378" s="43"/>
      <c r="G378" s="43"/>
      <c r="H378" s="244"/>
      <c r="I378" s="244"/>
      <c r="J378" s="244"/>
      <c r="K378" s="244"/>
      <c r="L378" s="244"/>
      <c r="M378" s="244"/>
      <c r="N378" s="244"/>
      <c r="O378" s="244"/>
      <c r="P378" s="244"/>
      <c r="Q378" s="245"/>
      <c r="R378" s="244"/>
      <c r="S378" s="244"/>
      <c r="T378" s="244"/>
      <c r="U378" s="244"/>
      <c r="V378" s="244"/>
      <c r="W378" s="245"/>
      <c r="X378" s="253"/>
      <c r="Y378" s="253"/>
      <c r="Z378" s="244"/>
      <c r="AA378" s="244"/>
      <c r="AB378" s="43"/>
      <c r="AC378" s="43"/>
      <c r="AD378" s="43"/>
      <c r="AE378" s="43"/>
      <c r="AF378" s="43"/>
      <c r="AG378" s="43"/>
      <c r="AH378" s="43"/>
    </row>
    <row r="379" spans="1:34">
      <c r="A379" s="43"/>
      <c r="B379" s="43"/>
      <c r="C379" s="43"/>
      <c r="D379" s="43"/>
      <c r="E379" s="43"/>
      <c r="F379" s="43"/>
      <c r="G379" s="43"/>
      <c r="H379" s="244"/>
      <c r="I379" s="244"/>
      <c r="J379" s="244"/>
      <c r="K379" s="244"/>
      <c r="L379" s="244"/>
      <c r="M379" s="244"/>
      <c r="N379" s="244"/>
      <c r="O379" s="244"/>
      <c r="P379" s="244"/>
      <c r="Q379" s="245"/>
      <c r="R379" s="244"/>
      <c r="S379" s="244"/>
      <c r="T379" s="244"/>
      <c r="U379" s="244"/>
      <c r="V379" s="244"/>
      <c r="W379" s="245"/>
      <c r="X379" s="253"/>
      <c r="Y379" s="253"/>
      <c r="Z379" s="244"/>
      <c r="AA379" s="244"/>
      <c r="AB379" s="43"/>
      <c r="AC379" s="43"/>
      <c r="AD379" s="43"/>
      <c r="AE379" s="43"/>
      <c r="AF379" s="43"/>
      <c r="AG379" s="43"/>
      <c r="AH379" s="43"/>
    </row>
    <row r="380" spans="1:34">
      <c r="A380" s="43"/>
      <c r="B380" s="43"/>
      <c r="C380" s="43"/>
      <c r="D380" s="43"/>
      <c r="E380" s="43"/>
      <c r="F380" s="43"/>
      <c r="G380" s="43"/>
      <c r="H380" s="244"/>
      <c r="I380" s="244"/>
      <c r="J380" s="244"/>
      <c r="K380" s="244"/>
      <c r="L380" s="244"/>
      <c r="M380" s="244"/>
      <c r="N380" s="244"/>
      <c r="O380" s="244"/>
      <c r="P380" s="244"/>
      <c r="Q380" s="245"/>
      <c r="R380" s="244"/>
      <c r="S380" s="244"/>
      <c r="T380" s="244"/>
      <c r="U380" s="244"/>
      <c r="V380" s="244"/>
      <c r="W380" s="245"/>
      <c r="X380" s="253"/>
      <c r="Y380" s="253"/>
      <c r="Z380" s="244"/>
      <c r="AA380" s="244"/>
      <c r="AB380" s="43"/>
      <c r="AC380" s="43"/>
      <c r="AD380" s="43"/>
      <c r="AE380" s="43"/>
      <c r="AF380" s="43"/>
      <c r="AG380" s="43"/>
      <c r="AH380" s="43"/>
    </row>
    <row r="381" spans="1:34">
      <c r="A381" s="43"/>
      <c r="B381" s="43"/>
      <c r="C381" s="43"/>
      <c r="D381" s="43"/>
      <c r="E381" s="43"/>
      <c r="F381" s="43"/>
      <c r="G381" s="43"/>
      <c r="H381" s="244"/>
      <c r="I381" s="244"/>
      <c r="J381" s="244"/>
      <c r="K381" s="244"/>
      <c r="L381" s="244"/>
      <c r="M381" s="244"/>
      <c r="N381" s="244"/>
      <c r="O381" s="244"/>
      <c r="P381" s="244"/>
      <c r="Q381" s="245"/>
      <c r="R381" s="244"/>
      <c r="S381" s="244"/>
      <c r="T381" s="244"/>
      <c r="U381" s="244"/>
      <c r="V381" s="244"/>
      <c r="W381" s="245"/>
      <c r="X381" s="253"/>
      <c r="Y381" s="253"/>
      <c r="Z381" s="244"/>
      <c r="AA381" s="244"/>
      <c r="AB381" s="43"/>
      <c r="AC381" s="43"/>
      <c r="AD381" s="43"/>
      <c r="AE381" s="43"/>
      <c r="AF381" s="43"/>
      <c r="AG381" s="43"/>
      <c r="AH381" s="43"/>
    </row>
    <row r="382" spans="1:34">
      <c r="A382" s="43"/>
      <c r="B382" s="43"/>
      <c r="C382" s="43"/>
      <c r="D382" s="43"/>
      <c r="E382" s="43"/>
      <c r="F382" s="43"/>
      <c r="G382" s="43"/>
      <c r="H382" s="244"/>
      <c r="I382" s="244"/>
      <c r="J382" s="244"/>
      <c r="K382" s="244"/>
      <c r="L382" s="244"/>
      <c r="M382" s="244"/>
      <c r="N382" s="244"/>
      <c r="O382" s="244"/>
      <c r="P382" s="244"/>
      <c r="Q382" s="245"/>
      <c r="R382" s="244"/>
      <c r="S382" s="244"/>
      <c r="T382" s="244"/>
      <c r="U382" s="244"/>
      <c r="V382" s="244"/>
      <c r="W382" s="245"/>
      <c r="X382" s="253"/>
      <c r="Y382" s="253"/>
      <c r="Z382" s="244"/>
      <c r="AA382" s="244"/>
      <c r="AB382" s="43"/>
      <c r="AC382" s="43"/>
      <c r="AD382" s="43"/>
      <c r="AE382" s="43"/>
      <c r="AF382" s="43"/>
      <c r="AG382" s="43"/>
      <c r="AH382" s="43"/>
    </row>
    <row r="383" spans="1:34">
      <c r="A383" s="43"/>
      <c r="B383" s="43"/>
      <c r="C383" s="43"/>
      <c r="D383" s="43"/>
      <c r="E383" s="43"/>
      <c r="F383" s="43"/>
      <c r="G383" s="43"/>
      <c r="H383" s="244"/>
      <c r="I383" s="244"/>
      <c r="J383" s="244"/>
      <c r="K383" s="244"/>
      <c r="L383" s="244"/>
      <c r="M383" s="244"/>
      <c r="N383" s="244"/>
      <c r="O383" s="244"/>
      <c r="P383" s="244"/>
      <c r="Q383" s="245"/>
      <c r="R383" s="244"/>
      <c r="S383" s="244"/>
      <c r="T383" s="244"/>
      <c r="U383" s="244"/>
      <c r="V383" s="244"/>
      <c r="W383" s="245"/>
      <c r="X383" s="253"/>
      <c r="Y383" s="253"/>
      <c r="Z383" s="244"/>
      <c r="AA383" s="244"/>
      <c r="AB383" s="43"/>
      <c r="AC383" s="43"/>
      <c r="AD383" s="43"/>
      <c r="AE383" s="43"/>
      <c r="AF383" s="43"/>
      <c r="AG383" s="43"/>
      <c r="AH383" s="43"/>
    </row>
    <row r="384" spans="1:34">
      <c r="A384" s="43"/>
      <c r="B384" s="43"/>
      <c r="C384" s="43"/>
      <c r="D384" s="43"/>
      <c r="E384" s="43"/>
      <c r="F384" s="43"/>
      <c r="G384" s="43"/>
      <c r="H384" s="244"/>
      <c r="I384" s="244"/>
      <c r="J384" s="244"/>
      <c r="K384" s="244"/>
      <c r="L384" s="244"/>
      <c r="M384" s="244"/>
      <c r="N384" s="244"/>
      <c r="O384" s="244"/>
      <c r="P384" s="244"/>
      <c r="Q384" s="245"/>
      <c r="R384" s="244"/>
      <c r="S384" s="244"/>
      <c r="T384" s="244"/>
      <c r="U384" s="244"/>
      <c r="V384" s="244"/>
      <c r="W384" s="245"/>
      <c r="X384" s="253"/>
      <c r="Y384" s="253"/>
      <c r="Z384" s="244"/>
      <c r="AA384" s="244"/>
      <c r="AB384" s="43"/>
      <c r="AC384" s="43"/>
      <c r="AD384" s="43"/>
      <c r="AE384" s="43"/>
      <c r="AF384" s="43"/>
      <c r="AG384" s="43"/>
      <c r="AH384" s="43"/>
    </row>
    <row r="385" spans="1:34">
      <c r="A385" s="43"/>
      <c r="B385" s="43"/>
      <c r="C385" s="43"/>
      <c r="D385" s="43"/>
      <c r="E385" s="43"/>
      <c r="F385" s="43"/>
      <c r="G385" s="43"/>
      <c r="H385" s="244"/>
      <c r="I385" s="244"/>
      <c r="J385" s="244"/>
      <c r="K385" s="244"/>
      <c r="L385" s="244"/>
      <c r="M385" s="244"/>
      <c r="N385" s="244"/>
      <c r="O385" s="244"/>
      <c r="P385" s="244"/>
      <c r="Q385" s="245"/>
      <c r="R385" s="244"/>
      <c r="S385" s="244"/>
      <c r="T385" s="244"/>
      <c r="U385" s="244"/>
      <c r="V385" s="244"/>
      <c r="W385" s="245"/>
      <c r="X385" s="253"/>
      <c r="Y385" s="253"/>
      <c r="Z385" s="244"/>
      <c r="AA385" s="244"/>
      <c r="AB385" s="43"/>
      <c r="AC385" s="43"/>
      <c r="AD385" s="43"/>
      <c r="AE385" s="43"/>
      <c r="AF385" s="43"/>
      <c r="AG385" s="43"/>
      <c r="AH385" s="43"/>
    </row>
    <row r="386" spans="1:34">
      <c r="A386" s="43"/>
      <c r="B386" s="43"/>
      <c r="C386" s="43"/>
      <c r="D386" s="43"/>
      <c r="E386" s="43"/>
      <c r="F386" s="43"/>
      <c r="G386" s="43"/>
      <c r="H386" s="244"/>
      <c r="I386" s="244"/>
      <c r="J386" s="244"/>
      <c r="K386" s="244"/>
      <c r="L386" s="244"/>
      <c r="M386" s="244"/>
      <c r="N386" s="244"/>
      <c r="O386" s="244"/>
      <c r="P386" s="244"/>
      <c r="Q386" s="245"/>
      <c r="R386" s="244"/>
      <c r="S386" s="244"/>
      <c r="T386" s="244"/>
      <c r="U386" s="244"/>
      <c r="V386" s="244"/>
      <c r="W386" s="245"/>
      <c r="X386" s="253"/>
      <c r="Y386" s="253"/>
      <c r="Z386" s="244"/>
      <c r="AA386" s="244"/>
      <c r="AB386" s="43"/>
      <c r="AC386" s="43"/>
      <c r="AD386" s="43"/>
      <c r="AE386" s="43"/>
      <c r="AF386" s="43"/>
      <c r="AG386" s="43"/>
      <c r="AH386" s="43"/>
    </row>
    <row r="387" spans="1:34">
      <c r="A387" s="43"/>
      <c r="B387" s="43"/>
      <c r="C387" s="43"/>
      <c r="D387" s="43"/>
      <c r="E387" s="43"/>
      <c r="F387" s="43"/>
      <c r="G387" s="43"/>
      <c r="H387" s="244"/>
      <c r="I387" s="244"/>
      <c r="J387" s="244"/>
      <c r="K387" s="244"/>
      <c r="L387" s="244"/>
      <c r="M387" s="244"/>
      <c r="N387" s="244"/>
      <c r="O387" s="244"/>
      <c r="P387" s="244"/>
      <c r="Q387" s="245"/>
      <c r="R387" s="244"/>
      <c r="S387" s="244"/>
      <c r="T387" s="244"/>
      <c r="U387" s="244"/>
      <c r="V387" s="244"/>
      <c r="W387" s="245"/>
      <c r="X387" s="253"/>
      <c r="Y387" s="253"/>
      <c r="Z387" s="244"/>
      <c r="AA387" s="244"/>
      <c r="AB387" s="43"/>
      <c r="AC387" s="43"/>
      <c r="AD387" s="43"/>
      <c r="AE387" s="43"/>
      <c r="AF387" s="43"/>
      <c r="AG387" s="43"/>
      <c r="AH387" s="43"/>
    </row>
    <row r="388" spans="1:34">
      <c r="A388" s="43"/>
      <c r="B388" s="43"/>
      <c r="C388" s="43"/>
      <c r="D388" s="43"/>
      <c r="E388" s="43"/>
      <c r="F388" s="43"/>
      <c r="G388" s="43"/>
      <c r="H388" s="244"/>
      <c r="I388" s="244"/>
      <c r="J388" s="244"/>
      <c r="K388" s="244"/>
      <c r="L388" s="244"/>
      <c r="M388" s="244"/>
      <c r="N388" s="244"/>
      <c r="O388" s="244"/>
      <c r="P388" s="244"/>
      <c r="Q388" s="245"/>
      <c r="R388" s="244"/>
      <c r="S388" s="244"/>
      <c r="T388" s="244"/>
      <c r="U388" s="244"/>
      <c r="V388" s="244"/>
      <c r="W388" s="245"/>
      <c r="X388" s="253"/>
      <c r="Y388" s="253"/>
      <c r="Z388" s="244"/>
      <c r="AA388" s="244"/>
      <c r="AB388" s="43"/>
      <c r="AC388" s="43"/>
      <c r="AD388" s="43"/>
      <c r="AE388" s="43"/>
      <c r="AF388" s="43"/>
      <c r="AG388" s="43"/>
      <c r="AH388" s="43"/>
    </row>
    <row r="389" spans="1:34">
      <c r="A389" s="43"/>
      <c r="B389" s="43"/>
      <c r="C389" s="43"/>
      <c r="D389" s="43"/>
      <c r="E389" s="43"/>
      <c r="F389" s="43"/>
      <c r="G389" s="43"/>
      <c r="H389" s="244"/>
      <c r="I389" s="244"/>
      <c r="J389" s="244"/>
      <c r="K389" s="244"/>
      <c r="L389" s="244"/>
      <c r="M389" s="244"/>
      <c r="N389" s="244"/>
      <c r="O389" s="244"/>
      <c r="P389" s="244"/>
      <c r="Q389" s="245"/>
      <c r="R389" s="244"/>
      <c r="S389" s="244"/>
      <c r="T389" s="244"/>
      <c r="U389" s="244"/>
      <c r="V389" s="244"/>
      <c r="W389" s="245"/>
      <c r="X389" s="253"/>
      <c r="Y389" s="253"/>
      <c r="Z389" s="244"/>
      <c r="AA389" s="244"/>
      <c r="AB389" s="43"/>
      <c r="AC389" s="43"/>
      <c r="AD389" s="43"/>
      <c r="AE389" s="43"/>
      <c r="AF389" s="43"/>
      <c r="AG389" s="43"/>
      <c r="AH389" s="43"/>
    </row>
    <row r="390" spans="1:34">
      <c r="A390" s="43"/>
      <c r="B390" s="43"/>
      <c r="C390" s="43"/>
      <c r="D390" s="43"/>
      <c r="E390" s="43"/>
      <c r="F390" s="43"/>
      <c r="G390" s="43"/>
      <c r="H390" s="244"/>
      <c r="I390" s="244"/>
      <c r="J390" s="244"/>
      <c r="K390" s="244"/>
      <c r="L390" s="244"/>
      <c r="M390" s="244"/>
      <c r="N390" s="244"/>
      <c r="O390" s="244"/>
      <c r="P390" s="244"/>
      <c r="Q390" s="245"/>
      <c r="R390" s="244"/>
      <c r="S390" s="244"/>
      <c r="T390" s="244"/>
      <c r="U390" s="244"/>
      <c r="V390" s="244"/>
      <c r="W390" s="245"/>
      <c r="X390" s="253"/>
      <c r="Y390" s="253"/>
      <c r="Z390" s="244"/>
      <c r="AA390" s="244"/>
      <c r="AB390" s="43"/>
      <c r="AC390" s="43"/>
      <c r="AD390" s="43"/>
      <c r="AE390" s="43"/>
      <c r="AF390" s="43"/>
      <c r="AG390" s="43"/>
      <c r="AH390" s="43"/>
    </row>
    <row r="391" spans="1:34">
      <c r="A391" s="43"/>
      <c r="B391" s="43"/>
      <c r="C391" s="43"/>
      <c r="D391" s="43"/>
      <c r="E391" s="43"/>
      <c r="F391" s="43"/>
      <c r="G391" s="43"/>
      <c r="H391" s="244"/>
      <c r="I391" s="244"/>
      <c r="J391" s="244"/>
      <c r="K391" s="244"/>
      <c r="L391" s="244"/>
      <c r="M391" s="244"/>
      <c r="N391" s="244"/>
      <c r="O391" s="244"/>
      <c r="P391" s="244"/>
      <c r="Q391" s="245"/>
      <c r="R391" s="244"/>
      <c r="S391" s="244"/>
      <c r="T391" s="244"/>
      <c r="U391" s="244"/>
      <c r="V391" s="244"/>
      <c r="W391" s="245"/>
      <c r="X391" s="253"/>
      <c r="Y391" s="253"/>
      <c r="Z391" s="244"/>
      <c r="AA391" s="244"/>
      <c r="AB391" s="43"/>
      <c r="AC391" s="43"/>
      <c r="AD391" s="43"/>
      <c r="AE391" s="43"/>
      <c r="AF391" s="43"/>
      <c r="AG391" s="43"/>
      <c r="AH391" s="43"/>
    </row>
    <row r="392" spans="1:34">
      <c r="A392" s="43"/>
      <c r="B392" s="43"/>
      <c r="C392" s="43"/>
      <c r="D392" s="43"/>
      <c r="E392" s="43"/>
      <c r="F392" s="43"/>
      <c r="G392" s="43"/>
      <c r="H392" s="244"/>
      <c r="I392" s="244"/>
      <c r="J392" s="244"/>
      <c r="K392" s="244"/>
      <c r="L392" s="244"/>
      <c r="M392" s="244"/>
      <c r="N392" s="244"/>
      <c r="O392" s="244"/>
      <c r="P392" s="244"/>
      <c r="Q392" s="245"/>
      <c r="R392" s="244"/>
      <c r="S392" s="244"/>
      <c r="T392" s="244"/>
      <c r="U392" s="244"/>
      <c r="V392" s="244"/>
      <c r="W392" s="245"/>
      <c r="X392" s="253"/>
      <c r="Y392" s="253"/>
      <c r="Z392" s="244"/>
      <c r="AA392" s="244"/>
      <c r="AB392" s="43"/>
      <c r="AC392" s="43"/>
      <c r="AD392" s="43"/>
      <c r="AE392" s="43"/>
      <c r="AF392" s="43"/>
      <c r="AG392" s="43"/>
      <c r="AH392" s="43"/>
    </row>
    <row r="393" spans="1:34">
      <c r="A393" s="43"/>
      <c r="B393" s="43"/>
      <c r="C393" s="43"/>
      <c r="D393" s="43"/>
      <c r="E393" s="43"/>
      <c r="F393" s="43"/>
      <c r="G393" s="43"/>
      <c r="H393" s="244"/>
      <c r="I393" s="244"/>
      <c r="J393" s="244"/>
      <c r="K393" s="244"/>
      <c r="L393" s="244"/>
      <c r="M393" s="244"/>
      <c r="N393" s="244"/>
      <c r="O393" s="244"/>
      <c r="P393" s="244"/>
      <c r="Q393" s="245"/>
      <c r="R393" s="244"/>
      <c r="S393" s="244"/>
      <c r="T393" s="244"/>
      <c r="U393" s="244"/>
      <c r="V393" s="244"/>
      <c r="W393" s="245"/>
      <c r="X393" s="253"/>
      <c r="Y393" s="253"/>
      <c r="Z393" s="244"/>
      <c r="AA393" s="244"/>
      <c r="AB393" s="43"/>
      <c r="AC393" s="43"/>
      <c r="AD393" s="43"/>
      <c r="AE393" s="43"/>
      <c r="AF393" s="43"/>
      <c r="AG393" s="43"/>
      <c r="AH393" s="43"/>
    </row>
    <row r="394" spans="1:34">
      <c r="A394" s="43"/>
      <c r="B394" s="43"/>
      <c r="C394" s="43"/>
      <c r="D394" s="43"/>
      <c r="E394" s="43"/>
      <c r="F394" s="43"/>
      <c r="G394" s="43"/>
      <c r="H394" s="244"/>
      <c r="I394" s="244"/>
      <c r="J394" s="244"/>
      <c r="K394" s="244"/>
      <c r="L394" s="244"/>
      <c r="M394" s="244"/>
      <c r="N394" s="244"/>
      <c r="O394" s="244"/>
      <c r="P394" s="244"/>
      <c r="Q394" s="245"/>
      <c r="R394" s="244"/>
      <c r="S394" s="244"/>
      <c r="T394" s="244"/>
      <c r="U394" s="244"/>
      <c r="V394" s="244"/>
      <c r="W394" s="245"/>
      <c r="X394" s="253"/>
      <c r="Y394" s="253"/>
      <c r="Z394" s="244"/>
      <c r="AA394" s="244"/>
      <c r="AB394" s="43"/>
      <c r="AC394" s="43"/>
      <c r="AD394" s="43"/>
      <c r="AE394" s="43"/>
      <c r="AF394" s="43"/>
      <c r="AG394" s="43"/>
      <c r="AH394" s="43"/>
    </row>
    <row r="395" spans="1:34">
      <c r="A395" s="43"/>
      <c r="B395" s="43"/>
      <c r="C395" s="43"/>
      <c r="D395" s="43"/>
      <c r="E395" s="43"/>
      <c r="F395" s="43"/>
      <c r="G395" s="43"/>
      <c r="H395" s="244"/>
      <c r="I395" s="244"/>
      <c r="J395" s="244"/>
      <c r="K395" s="244"/>
      <c r="L395" s="244"/>
      <c r="M395" s="244"/>
      <c r="N395" s="244"/>
      <c r="O395" s="244"/>
      <c r="P395" s="244"/>
      <c r="Q395" s="245"/>
      <c r="R395" s="244"/>
      <c r="S395" s="244"/>
      <c r="T395" s="244"/>
      <c r="U395" s="244"/>
      <c r="V395" s="244"/>
      <c r="W395" s="245"/>
      <c r="X395" s="253"/>
      <c r="Y395" s="253"/>
      <c r="Z395" s="244"/>
      <c r="AA395" s="244"/>
      <c r="AB395" s="43"/>
      <c r="AC395" s="43"/>
      <c r="AD395" s="43"/>
      <c r="AE395" s="43"/>
      <c r="AF395" s="43"/>
      <c r="AG395" s="43"/>
      <c r="AH395" s="43"/>
    </row>
    <row r="396" spans="1:34">
      <c r="A396" s="43"/>
      <c r="B396" s="43"/>
      <c r="C396" s="43"/>
      <c r="D396" s="43"/>
      <c r="E396" s="43"/>
      <c r="F396" s="43"/>
      <c r="G396" s="43"/>
      <c r="H396" s="244"/>
      <c r="I396" s="244"/>
      <c r="J396" s="244"/>
      <c r="K396" s="244"/>
      <c r="L396" s="244"/>
      <c r="M396" s="244"/>
      <c r="N396" s="244"/>
      <c r="O396" s="244"/>
      <c r="P396" s="244"/>
      <c r="Q396" s="245"/>
      <c r="R396" s="244"/>
      <c r="S396" s="244"/>
      <c r="T396" s="244"/>
      <c r="U396" s="244"/>
      <c r="V396" s="244"/>
      <c r="W396" s="245"/>
      <c r="X396" s="253"/>
      <c r="Y396" s="253"/>
      <c r="Z396" s="244"/>
      <c r="AA396" s="244"/>
      <c r="AB396" s="43"/>
      <c r="AC396" s="43"/>
      <c r="AD396" s="43"/>
      <c r="AE396" s="43"/>
      <c r="AF396" s="43"/>
      <c r="AG396" s="43"/>
      <c r="AH396" s="43"/>
    </row>
    <row r="397" spans="1:34">
      <c r="A397" s="43"/>
      <c r="B397" s="43"/>
      <c r="C397" s="43"/>
      <c r="D397" s="43"/>
      <c r="E397" s="43"/>
      <c r="F397" s="43"/>
      <c r="G397" s="43"/>
      <c r="H397" s="244"/>
      <c r="I397" s="244"/>
      <c r="J397" s="244"/>
      <c r="K397" s="244"/>
      <c r="L397" s="244"/>
      <c r="M397" s="244"/>
      <c r="N397" s="244"/>
      <c r="O397" s="244"/>
      <c r="P397" s="244"/>
      <c r="Q397" s="245"/>
      <c r="R397" s="244"/>
      <c r="S397" s="244"/>
      <c r="T397" s="244"/>
      <c r="U397" s="244"/>
      <c r="V397" s="244"/>
      <c r="W397" s="245"/>
      <c r="X397" s="253"/>
      <c r="Y397" s="253"/>
      <c r="Z397" s="244"/>
      <c r="AA397" s="244"/>
      <c r="AB397" s="43"/>
      <c r="AC397" s="43"/>
      <c r="AD397" s="43"/>
      <c r="AE397" s="43"/>
      <c r="AF397" s="43"/>
      <c r="AG397" s="43"/>
      <c r="AH397" s="43"/>
    </row>
    <row r="398" spans="1:34">
      <c r="A398" s="43"/>
      <c r="B398" s="43"/>
      <c r="C398" s="43"/>
      <c r="D398" s="43"/>
      <c r="E398" s="43"/>
      <c r="F398" s="43"/>
      <c r="G398" s="43"/>
      <c r="H398" s="244"/>
      <c r="I398" s="244"/>
      <c r="J398" s="244"/>
      <c r="K398" s="244"/>
      <c r="L398" s="244"/>
      <c r="M398" s="244"/>
      <c r="N398" s="244"/>
      <c r="O398" s="244"/>
      <c r="P398" s="244"/>
      <c r="Q398" s="245"/>
      <c r="R398" s="244"/>
      <c r="S398" s="244"/>
      <c r="T398" s="244"/>
      <c r="U398" s="244"/>
      <c r="V398" s="244"/>
      <c r="W398" s="245"/>
      <c r="X398" s="253"/>
      <c r="Y398" s="253"/>
      <c r="Z398" s="244"/>
      <c r="AA398" s="244"/>
      <c r="AB398" s="43"/>
      <c r="AC398" s="43"/>
      <c r="AD398" s="43"/>
      <c r="AE398" s="43"/>
      <c r="AF398" s="43"/>
      <c r="AG398" s="43"/>
      <c r="AH398" s="43"/>
    </row>
    <row r="399" spans="1:34">
      <c r="A399" s="43"/>
      <c r="B399" s="43"/>
      <c r="C399" s="43"/>
      <c r="D399" s="43"/>
      <c r="E399" s="43"/>
      <c r="F399" s="43"/>
      <c r="G399" s="43"/>
      <c r="H399" s="244"/>
      <c r="I399" s="244"/>
      <c r="J399" s="244"/>
      <c r="K399" s="244"/>
      <c r="L399" s="244"/>
      <c r="M399" s="244"/>
      <c r="N399" s="244"/>
      <c r="O399" s="244"/>
      <c r="P399" s="244"/>
      <c r="Q399" s="245"/>
      <c r="R399" s="244"/>
      <c r="S399" s="244"/>
      <c r="T399" s="244"/>
      <c r="U399" s="244"/>
      <c r="V399" s="244"/>
      <c r="W399" s="245"/>
      <c r="X399" s="253"/>
      <c r="Y399" s="253"/>
      <c r="Z399" s="244"/>
      <c r="AA399" s="244"/>
      <c r="AB399" s="43"/>
      <c r="AC399" s="43"/>
      <c r="AD399" s="43"/>
      <c r="AE399" s="43"/>
      <c r="AF399" s="43"/>
      <c r="AG399" s="43"/>
      <c r="AH399" s="43"/>
    </row>
    <row r="400" spans="1:34">
      <c r="A400" s="43"/>
      <c r="B400" s="43"/>
      <c r="C400" s="43"/>
      <c r="D400" s="43"/>
      <c r="E400" s="43"/>
      <c r="F400" s="43"/>
      <c r="G400" s="43"/>
      <c r="H400" s="244"/>
      <c r="I400" s="244"/>
      <c r="J400" s="244"/>
      <c r="K400" s="244"/>
      <c r="L400" s="244"/>
      <c r="M400" s="244"/>
      <c r="N400" s="244"/>
      <c r="O400" s="244"/>
      <c r="P400" s="244"/>
      <c r="Q400" s="245"/>
      <c r="R400" s="244"/>
      <c r="S400" s="244"/>
      <c r="T400" s="244"/>
      <c r="U400" s="244"/>
      <c r="V400" s="244"/>
      <c r="W400" s="245"/>
      <c r="X400" s="253"/>
      <c r="Y400" s="253"/>
      <c r="Z400" s="244"/>
      <c r="AA400" s="244"/>
      <c r="AB400" s="43"/>
      <c r="AC400" s="43"/>
      <c r="AD400" s="43"/>
      <c r="AE400" s="43"/>
      <c r="AF400" s="43"/>
      <c r="AG400" s="43"/>
      <c r="AH400" s="43"/>
    </row>
    <row r="401" spans="1:34">
      <c r="A401" s="43"/>
      <c r="B401" s="43"/>
      <c r="C401" s="43"/>
      <c r="D401" s="43"/>
      <c r="E401" s="43"/>
      <c r="F401" s="43"/>
      <c r="G401" s="43"/>
      <c r="H401" s="244"/>
      <c r="I401" s="244"/>
      <c r="J401" s="244"/>
      <c r="K401" s="244"/>
      <c r="L401" s="244"/>
      <c r="M401" s="244"/>
      <c r="N401" s="244"/>
      <c r="O401" s="244"/>
      <c r="P401" s="244"/>
      <c r="Q401" s="245"/>
      <c r="R401" s="244"/>
      <c r="S401" s="244"/>
      <c r="T401" s="244"/>
      <c r="U401" s="244"/>
      <c r="V401" s="244"/>
      <c r="W401" s="245"/>
      <c r="X401" s="253"/>
      <c r="Y401" s="253"/>
      <c r="Z401" s="244"/>
      <c r="AA401" s="244"/>
      <c r="AB401" s="43"/>
      <c r="AC401" s="43"/>
      <c r="AD401" s="43"/>
      <c r="AE401" s="43"/>
      <c r="AF401" s="43"/>
      <c r="AG401" s="43"/>
      <c r="AH401" s="43"/>
    </row>
    <row r="402" spans="1:34">
      <c r="A402" s="43"/>
      <c r="B402" s="43"/>
      <c r="C402" s="43"/>
      <c r="D402" s="43"/>
      <c r="E402" s="43"/>
      <c r="F402" s="43"/>
      <c r="G402" s="43"/>
      <c r="H402" s="244"/>
      <c r="I402" s="244"/>
      <c r="J402" s="244"/>
      <c r="K402" s="244"/>
      <c r="L402" s="244"/>
      <c r="M402" s="244"/>
      <c r="N402" s="244"/>
      <c r="O402" s="244"/>
      <c r="P402" s="244"/>
      <c r="Q402" s="245"/>
      <c r="R402" s="244"/>
      <c r="S402" s="244"/>
      <c r="T402" s="244"/>
      <c r="U402" s="244"/>
      <c r="V402" s="244"/>
      <c r="W402" s="245"/>
      <c r="X402" s="253"/>
      <c r="Y402" s="253"/>
      <c r="Z402" s="244"/>
      <c r="AA402" s="244"/>
      <c r="AB402" s="43"/>
      <c r="AC402" s="43"/>
      <c r="AD402" s="43"/>
      <c r="AE402" s="43"/>
      <c r="AF402" s="43"/>
      <c r="AG402" s="43"/>
      <c r="AH402" s="43"/>
    </row>
    <row r="403" spans="1:34">
      <c r="A403" s="43"/>
      <c r="B403" s="43"/>
      <c r="C403" s="43"/>
      <c r="D403" s="43"/>
      <c r="E403" s="43"/>
      <c r="F403" s="43"/>
      <c r="G403" s="43"/>
      <c r="H403" s="244"/>
      <c r="I403" s="244"/>
      <c r="J403" s="244"/>
      <c r="K403" s="244"/>
      <c r="L403" s="244"/>
      <c r="M403" s="244"/>
      <c r="N403" s="244"/>
      <c r="O403" s="244"/>
      <c r="P403" s="244"/>
      <c r="Q403" s="245"/>
      <c r="R403" s="244"/>
      <c r="S403" s="244"/>
      <c r="T403" s="244"/>
      <c r="U403" s="244"/>
      <c r="V403" s="244"/>
      <c r="W403" s="245"/>
      <c r="X403" s="253"/>
      <c r="Y403" s="253"/>
      <c r="Z403" s="244"/>
      <c r="AA403" s="244"/>
      <c r="AB403" s="43"/>
      <c r="AC403" s="43"/>
      <c r="AD403" s="43"/>
      <c r="AE403" s="43"/>
      <c r="AF403" s="43"/>
      <c r="AG403" s="43"/>
      <c r="AH403" s="43"/>
    </row>
    <row r="404" spans="1:34">
      <c r="A404" s="43"/>
      <c r="B404" s="43"/>
      <c r="C404" s="43"/>
      <c r="D404" s="43"/>
      <c r="E404" s="43"/>
      <c r="F404" s="43"/>
      <c r="G404" s="43"/>
      <c r="H404" s="244"/>
      <c r="I404" s="244"/>
      <c r="J404" s="244"/>
      <c r="K404" s="244"/>
      <c r="L404" s="244"/>
      <c r="M404" s="244"/>
      <c r="N404" s="244"/>
      <c r="O404" s="244"/>
      <c r="P404" s="244"/>
      <c r="Q404" s="245"/>
      <c r="R404" s="244"/>
      <c r="S404" s="244"/>
      <c r="T404" s="244"/>
      <c r="U404" s="244"/>
      <c r="V404" s="244"/>
      <c r="W404" s="245"/>
      <c r="X404" s="253"/>
      <c r="Y404" s="253"/>
      <c r="Z404" s="244"/>
      <c r="AA404" s="244"/>
      <c r="AB404" s="43"/>
      <c r="AC404" s="43"/>
      <c r="AD404" s="43"/>
      <c r="AE404" s="43"/>
      <c r="AF404" s="43"/>
      <c r="AG404" s="43"/>
      <c r="AH404" s="43"/>
    </row>
    <row r="405" spans="1:34">
      <c r="A405" s="43"/>
      <c r="B405" s="43"/>
      <c r="C405" s="43"/>
      <c r="D405" s="43"/>
      <c r="E405" s="43"/>
      <c r="F405" s="43"/>
      <c r="G405" s="43"/>
      <c r="H405" s="244"/>
      <c r="I405" s="244"/>
      <c r="J405" s="244"/>
      <c r="K405" s="244"/>
      <c r="L405" s="244"/>
      <c r="M405" s="244"/>
      <c r="N405" s="244"/>
      <c r="O405" s="244"/>
      <c r="P405" s="244"/>
      <c r="Q405" s="245"/>
      <c r="R405" s="244"/>
      <c r="S405" s="244"/>
      <c r="T405" s="244"/>
      <c r="U405" s="244"/>
      <c r="V405" s="244"/>
      <c r="W405" s="245"/>
      <c r="X405" s="253"/>
      <c r="Y405" s="253"/>
      <c r="Z405" s="244"/>
      <c r="AA405" s="244"/>
      <c r="AB405" s="43"/>
      <c r="AC405" s="43"/>
      <c r="AD405" s="43"/>
      <c r="AE405" s="43"/>
      <c r="AF405" s="43"/>
      <c r="AG405" s="43"/>
      <c r="AH405" s="43"/>
    </row>
    <row r="406" spans="1:34">
      <c r="A406" s="43"/>
      <c r="B406" s="43"/>
      <c r="C406" s="43"/>
      <c r="D406" s="43"/>
      <c r="E406" s="43"/>
      <c r="F406" s="43"/>
      <c r="G406" s="43"/>
      <c r="H406" s="244"/>
      <c r="I406" s="244"/>
      <c r="J406" s="244"/>
      <c r="K406" s="244"/>
      <c r="L406" s="244"/>
      <c r="M406" s="244"/>
      <c r="N406" s="244"/>
      <c r="O406" s="244"/>
      <c r="P406" s="244"/>
      <c r="Q406" s="245"/>
      <c r="R406" s="244"/>
      <c r="S406" s="244"/>
      <c r="T406" s="244"/>
      <c r="U406" s="244"/>
      <c r="V406" s="244"/>
      <c r="W406" s="245"/>
      <c r="X406" s="253"/>
      <c r="Y406" s="253"/>
      <c r="Z406" s="244"/>
      <c r="AA406" s="244"/>
      <c r="AB406" s="43"/>
      <c r="AC406" s="43"/>
      <c r="AD406" s="43"/>
      <c r="AE406" s="43"/>
      <c r="AF406" s="43"/>
      <c r="AG406" s="43"/>
      <c r="AH406" s="43"/>
    </row>
    <row r="407" spans="1:34">
      <c r="A407" s="43"/>
      <c r="B407" s="43"/>
      <c r="C407" s="43"/>
      <c r="D407" s="43"/>
      <c r="E407" s="43"/>
      <c r="F407" s="43"/>
      <c r="G407" s="43"/>
      <c r="H407" s="244"/>
      <c r="I407" s="244"/>
      <c r="J407" s="244"/>
      <c r="K407" s="244"/>
      <c r="L407" s="244"/>
      <c r="M407" s="244"/>
      <c r="N407" s="244"/>
      <c r="O407" s="244"/>
      <c r="P407" s="244"/>
      <c r="Q407" s="245"/>
      <c r="R407" s="244"/>
      <c r="S407" s="244"/>
      <c r="T407" s="244"/>
      <c r="U407" s="244"/>
      <c r="V407" s="244"/>
      <c r="W407" s="245"/>
      <c r="X407" s="253"/>
      <c r="Y407" s="253"/>
      <c r="Z407" s="244"/>
      <c r="AA407" s="244"/>
      <c r="AB407" s="43"/>
      <c r="AC407" s="43"/>
      <c r="AD407" s="43"/>
      <c r="AE407" s="43"/>
      <c r="AF407" s="43"/>
      <c r="AG407" s="43"/>
      <c r="AH407" s="43"/>
    </row>
    <row r="408" spans="1:34">
      <c r="A408" s="43"/>
      <c r="B408" s="43"/>
      <c r="C408" s="43"/>
      <c r="D408" s="43"/>
      <c r="E408" s="43"/>
      <c r="F408" s="43"/>
      <c r="G408" s="43"/>
      <c r="H408" s="244"/>
      <c r="I408" s="244"/>
      <c r="J408" s="244"/>
      <c r="K408" s="244"/>
      <c r="L408" s="244"/>
      <c r="M408" s="244"/>
      <c r="N408" s="244"/>
      <c r="O408" s="244"/>
      <c r="P408" s="244"/>
      <c r="Q408" s="245"/>
      <c r="R408" s="244"/>
      <c r="S408" s="244"/>
      <c r="T408" s="244"/>
      <c r="U408" s="244"/>
      <c r="V408" s="244"/>
      <c r="W408" s="245"/>
      <c r="X408" s="253"/>
      <c r="Y408" s="253"/>
      <c r="Z408" s="244"/>
      <c r="AA408" s="244"/>
      <c r="AB408" s="43"/>
      <c r="AC408" s="43"/>
      <c r="AD408" s="43"/>
      <c r="AE408" s="43"/>
      <c r="AF408" s="43"/>
      <c r="AG408" s="43"/>
      <c r="AH408" s="43"/>
    </row>
    <row r="409" spans="1:34">
      <c r="A409" s="43"/>
      <c r="B409" s="43"/>
      <c r="C409" s="43"/>
      <c r="D409" s="43"/>
      <c r="E409" s="43"/>
      <c r="F409" s="43"/>
      <c r="G409" s="43"/>
      <c r="H409" s="244"/>
      <c r="I409" s="244"/>
      <c r="J409" s="244"/>
      <c r="K409" s="244"/>
      <c r="L409" s="244"/>
      <c r="M409" s="244"/>
      <c r="N409" s="244"/>
      <c r="O409" s="244"/>
      <c r="P409" s="244"/>
      <c r="Q409" s="245"/>
      <c r="R409" s="244"/>
      <c r="S409" s="244"/>
      <c r="T409" s="244"/>
      <c r="U409" s="244"/>
      <c r="V409" s="244"/>
      <c r="W409" s="245"/>
      <c r="X409" s="253"/>
      <c r="Y409" s="253"/>
      <c r="Z409" s="244"/>
      <c r="AA409" s="244"/>
      <c r="AB409" s="43"/>
      <c r="AC409" s="43"/>
      <c r="AD409" s="43"/>
      <c r="AE409" s="43"/>
      <c r="AF409" s="43"/>
      <c r="AG409" s="43"/>
      <c r="AH409" s="43"/>
    </row>
    <row r="410" spans="1:34">
      <c r="A410" s="43"/>
      <c r="B410" s="43"/>
      <c r="C410" s="43"/>
      <c r="D410" s="43"/>
      <c r="E410" s="43"/>
      <c r="F410" s="43"/>
      <c r="G410" s="43"/>
      <c r="H410" s="244"/>
      <c r="I410" s="244"/>
      <c r="J410" s="244"/>
      <c r="K410" s="244"/>
      <c r="L410" s="244"/>
      <c r="M410" s="244"/>
      <c r="N410" s="244"/>
      <c r="O410" s="244"/>
      <c r="P410" s="244"/>
      <c r="Q410" s="245"/>
      <c r="R410" s="244"/>
      <c r="S410" s="244"/>
      <c r="T410" s="244"/>
      <c r="U410" s="244"/>
      <c r="V410" s="244"/>
      <c r="W410" s="245"/>
      <c r="X410" s="253"/>
      <c r="Y410" s="253"/>
      <c r="Z410" s="244"/>
      <c r="AA410" s="244"/>
      <c r="AB410" s="43"/>
      <c r="AC410" s="43"/>
      <c r="AD410" s="43"/>
      <c r="AE410" s="43"/>
      <c r="AF410" s="43"/>
      <c r="AG410" s="43"/>
      <c r="AH410" s="43"/>
    </row>
    <row r="411" spans="1:34">
      <c r="A411" s="43"/>
      <c r="B411" s="43"/>
      <c r="C411" s="43"/>
      <c r="D411" s="43"/>
      <c r="E411" s="43"/>
      <c r="F411" s="43"/>
      <c r="G411" s="43"/>
      <c r="H411" s="244"/>
      <c r="I411" s="244"/>
      <c r="J411" s="244"/>
      <c r="K411" s="244"/>
      <c r="L411" s="244"/>
      <c r="M411" s="244"/>
      <c r="N411" s="244"/>
      <c r="O411" s="244"/>
      <c r="P411" s="244"/>
      <c r="Q411" s="245"/>
      <c r="R411" s="244"/>
      <c r="S411" s="244"/>
      <c r="T411" s="244"/>
      <c r="U411" s="244"/>
      <c r="V411" s="244"/>
      <c r="W411" s="245"/>
      <c r="X411" s="253"/>
      <c r="Y411" s="253"/>
      <c r="Z411" s="244"/>
      <c r="AA411" s="244"/>
      <c r="AB411" s="43"/>
      <c r="AC411" s="43"/>
      <c r="AD411" s="43"/>
      <c r="AE411" s="43"/>
      <c r="AF411" s="43"/>
      <c r="AG411" s="43"/>
      <c r="AH411" s="43"/>
    </row>
    <row r="412" spans="1:34">
      <c r="A412" s="43"/>
      <c r="B412" s="43"/>
      <c r="C412" s="43"/>
      <c r="D412" s="43"/>
      <c r="E412" s="43"/>
      <c r="F412" s="43"/>
      <c r="G412" s="43"/>
      <c r="H412" s="244"/>
      <c r="I412" s="244"/>
      <c r="J412" s="244"/>
      <c r="K412" s="244"/>
      <c r="L412" s="244"/>
      <c r="M412" s="244"/>
      <c r="N412" s="244"/>
      <c r="O412" s="244"/>
      <c r="P412" s="244"/>
      <c r="Q412" s="245"/>
      <c r="R412" s="244"/>
      <c r="S412" s="244"/>
      <c r="T412" s="244"/>
      <c r="U412" s="244"/>
      <c r="V412" s="244"/>
      <c r="W412" s="245"/>
      <c r="X412" s="253"/>
      <c r="Y412" s="253"/>
      <c r="Z412" s="244"/>
      <c r="AA412" s="244"/>
      <c r="AB412" s="43"/>
      <c r="AC412" s="43"/>
      <c r="AD412" s="43"/>
      <c r="AE412" s="43"/>
      <c r="AF412" s="43"/>
      <c r="AG412" s="43"/>
      <c r="AH412" s="43"/>
    </row>
    <row r="413" spans="1:34">
      <c r="A413" s="43"/>
      <c r="B413" s="43"/>
      <c r="C413" s="43"/>
      <c r="D413" s="43"/>
      <c r="E413" s="43"/>
      <c r="F413" s="43"/>
      <c r="G413" s="43"/>
      <c r="H413" s="244"/>
      <c r="I413" s="244"/>
      <c r="J413" s="244"/>
      <c r="K413" s="244"/>
      <c r="L413" s="244"/>
      <c r="M413" s="244"/>
      <c r="N413" s="244"/>
      <c r="O413" s="244"/>
      <c r="P413" s="244"/>
      <c r="Q413" s="245"/>
      <c r="R413" s="244"/>
      <c r="S413" s="244"/>
      <c r="T413" s="244"/>
      <c r="U413" s="244"/>
      <c r="V413" s="244"/>
      <c r="W413" s="245"/>
      <c r="X413" s="253"/>
      <c r="Y413" s="253"/>
      <c r="Z413" s="244"/>
      <c r="AA413" s="244"/>
      <c r="AB413" s="43"/>
      <c r="AC413" s="43"/>
      <c r="AD413" s="43"/>
      <c r="AE413" s="43"/>
      <c r="AF413" s="43"/>
      <c r="AG413" s="43"/>
      <c r="AH413" s="43"/>
    </row>
    <row r="414" spans="1:34">
      <c r="A414" s="43"/>
      <c r="B414" s="43"/>
      <c r="C414" s="43"/>
      <c r="D414" s="43"/>
      <c r="E414" s="43"/>
      <c r="F414" s="43"/>
      <c r="G414" s="43"/>
      <c r="H414" s="244"/>
      <c r="I414" s="244"/>
      <c r="J414" s="244"/>
      <c r="K414" s="244"/>
      <c r="L414" s="244"/>
      <c r="M414" s="244"/>
      <c r="N414" s="244"/>
      <c r="O414" s="244"/>
      <c r="P414" s="244"/>
      <c r="Q414" s="245"/>
      <c r="R414" s="244"/>
      <c r="S414" s="244"/>
      <c r="T414" s="244"/>
      <c r="U414" s="244"/>
      <c r="V414" s="244"/>
      <c r="W414" s="245"/>
      <c r="X414" s="253"/>
      <c r="Y414" s="253"/>
      <c r="Z414" s="244"/>
      <c r="AA414" s="244"/>
      <c r="AB414" s="43"/>
      <c r="AC414" s="43"/>
      <c r="AD414" s="43"/>
      <c r="AE414" s="43"/>
      <c r="AF414" s="43"/>
      <c r="AG414" s="43"/>
      <c r="AH414" s="43"/>
    </row>
    <row r="415" spans="1:34">
      <c r="A415" s="43"/>
      <c r="B415" s="43"/>
      <c r="C415" s="43"/>
      <c r="D415" s="43"/>
      <c r="E415" s="43"/>
      <c r="F415" s="43"/>
      <c r="G415" s="43"/>
      <c r="H415" s="244"/>
      <c r="I415" s="244"/>
      <c r="J415" s="244"/>
      <c r="K415" s="244"/>
      <c r="L415" s="244"/>
      <c r="M415" s="244"/>
      <c r="N415" s="244"/>
      <c r="O415" s="244"/>
      <c r="P415" s="244"/>
      <c r="Q415" s="245"/>
      <c r="R415" s="244"/>
      <c r="S415" s="244"/>
      <c r="T415" s="244"/>
      <c r="U415" s="244"/>
      <c r="V415" s="244"/>
      <c r="W415" s="245"/>
      <c r="X415" s="253"/>
      <c r="Y415" s="253"/>
      <c r="Z415" s="244"/>
      <c r="AA415" s="244"/>
      <c r="AB415" s="43"/>
      <c r="AC415" s="43"/>
      <c r="AD415" s="43"/>
      <c r="AE415" s="43"/>
      <c r="AF415" s="43"/>
      <c r="AG415" s="43"/>
      <c r="AH415" s="43"/>
    </row>
    <row r="416" spans="1:34">
      <c r="A416" s="43"/>
      <c r="B416" s="43"/>
      <c r="C416" s="43"/>
      <c r="D416" s="43"/>
      <c r="E416" s="43"/>
      <c r="F416" s="43"/>
      <c r="G416" s="43"/>
      <c r="H416" s="244"/>
      <c r="I416" s="244"/>
      <c r="J416" s="244"/>
      <c r="K416" s="244"/>
      <c r="L416" s="244"/>
      <c r="M416" s="244"/>
      <c r="N416" s="244"/>
      <c r="O416" s="244"/>
      <c r="P416" s="244"/>
      <c r="Q416" s="245"/>
      <c r="R416" s="244"/>
      <c r="S416" s="244"/>
      <c r="T416" s="244"/>
      <c r="U416" s="244"/>
      <c r="V416" s="244"/>
      <c r="W416" s="245"/>
      <c r="X416" s="253"/>
      <c r="Y416" s="253"/>
      <c r="Z416" s="244"/>
      <c r="AA416" s="244"/>
      <c r="AB416" s="43"/>
      <c r="AC416" s="43"/>
      <c r="AD416" s="43"/>
      <c r="AE416" s="43"/>
      <c r="AF416" s="43"/>
      <c r="AG416" s="43"/>
      <c r="AH416" s="43"/>
    </row>
    <row r="417" spans="1:34">
      <c r="A417" s="43"/>
      <c r="B417" s="43"/>
      <c r="C417" s="43"/>
      <c r="D417" s="43"/>
      <c r="E417" s="43"/>
      <c r="F417" s="43"/>
      <c r="G417" s="43"/>
      <c r="H417" s="244"/>
      <c r="I417" s="244"/>
      <c r="J417" s="244"/>
      <c r="K417" s="244"/>
      <c r="L417" s="244"/>
      <c r="M417" s="244"/>
      <c r="N417" s="244"/>
      <c r="O417" s="244"/>
      <c r="P417" s="244"/>
      <c r="Q417" s="245"/>
      <c r="R417" s="244"/>
      <c r="S417" s="244"/>
      <c r="T417" s="244"/>
      <c r="U417" s="244"/>
      <c r="V417" s="244"/>
      <c r="W417" s="245"/>
      <c r="X417" s="253"/>
      <c r="Y417" s="253"/>
      <c r="Z417" s="244"/>
      <c r="AA417" s="244"/>
      <c r="AB417" s="43"/>
      <c r="AC417" s="43"/>
      <c r="AD417" s="43"/>
      <c r="AE417" s="43"/>
      <c r="AF417" s="43"/>
      <c r="AG417" s="43"/>
      <c r="AH417" s="43"/>
    </row>
    <row r="418" spans="1:34">
      <c r="A418" s="43"/>
      <c r="B418" s="43"/>
      <c r="C418" s="43"/>
      <c r="D418" s="43"/>
      <c r="E418" s="43"/>
      <c r="F418" s="43"/>
      <c r="G418" s="43"/>
      <c r="H418" s="244"/>
      <c r="I418" s="244"/>
      <c r="J418" s="244"/>
      <c r="K418" s="244"/>
      <c r="L418" s="244"/>
      <c r="M418" s="244"/>
      <c r="N418" s="244"/>
      <c r="O418" s="244"/>
      <c r="P418" s="244"/>
      <c r="Q418" s="245"/>
      <c r="R418" s="244"/>
      <c r="S418" s="244"/>
      <c r="T418" s="244"/>
      <c r="U418" s="244"/>
      <c r="V418" s="244"/>
      <c r="W418" s="245"/>
      <c r="X418" s="253"/>
      <c r="Y418" s="253"/>
      <c r="Z418" s="244"/>
      <c r="AA418" s="244"/>
      <c r="AB418" s="43"/>
      <c r="AC418" s="43"/>
      <c r="AD418" s="43"/>
      <c r="AE418" s="43"/>
      <c r="AF418" s="43"/>
      <c r="AG418" s="43"/>
      <c r="AH418" s="43"/>
    </row>
    <row r="419" spans="1:34">
      <c r="A419" s="43"/>
      <c r="B419" s="43"/>
      <c r="C419" s="43"/>
      <c r="D419" s="43"/>
      <c r="E419" s="43"/>
      <c r="F419" s="43"/>
      <c r="G419" s="43"/>
      <c r="H419" s="244"/>
      <c r="I419" s="244"/>
      <c r="J419" s="244"/>
      <c r="K419" s="244"/>
      <c r="L419" s="244"/>
      <c r="M419" s="244"/>
      <c r="N419" s="244"/>
      <c r="O419" s="244"/>
      <c r="P419" s="244"/>
      <c r="Q419" s="245"/>
      <c r="R419" s="244"/>
      <c r="S419" s="244"/>
      <c r="T419" s="244"/>
      <c r="U419" s="244"/>
      <c r="V419" s="244"/>
      <c r="W419" s="245"/>
      <c r="X419" s="253"/>
      <c r="Y419" s="253"/>
      <c r="Z419" s="244"/>
      <c r="AA419" s="244"/>
      <c r="AB419" s="43"/>
      <c r="AC419" s="43"/>
      <c r="AD419" s="43"/>
      <c r="AE419" s="43"/>
      <c r="AF419" s="43"/>
      <c r="AG419" s="43"/>
      <c r="AH419" s="43"/>
    </row>
    <row r="420" spans="1:34">
      <c r="A420" s="43"/>
      <c r="B420" s="43"/>
      <c r="C420" s="43"/>
      <c r="D420" s="43"/>
      <c r="E420" s="43"/>
      <c r="F420" s="43"/>
      <c r="G420" s="43"/>
      <c r="H420" s="244"/>
      <c r="I420" s="244"/>
      <c r="J420" s="244"/>
      <c r="K420" s="244"/>
      <c r="L420" s="244"/>
      <c r="M420" s="244"/>
      <c r="N420" s="244"/>
      <c r="O420" s="244"/>
      <c r="P420" s="244"/>
      <c r="Q420" s="245"/>
      <c r="R420" s="244"/>
      <c r="S420" s="244"/>
      <c r="T420" s="244"/>
      <c r="U420" s="244"/>
      <c r="V420" s="244"/>
      <c r="W420" s="245"/>
      <c r="X420" s="253"/>
      <c r="Y420" s="253"/>
      <c r="Z420" s="244"/>
      <c r="AA420" s="244"/>
      <c r="AB420" s="43"/>
      <c r="AC420" s="43"/>
      <c r="AD420" s="43"/>
      <c r="AE420" s="43"/>
      <c r="AF420" s="43"/>
      <c r="AG420" s="43"/>
      <c r="AH420" s="43"/>
    </row>
    <row r="421" spans="1:34">
      <c r="A421" s="43"/>
      <c r="B421" s="43"/>
      <c r="C421" s="43"/>
      <c r="D421" s="43"/>
      <c r="E421" s="43"/>
      <c r="F421" s="43"/>
      <c r="G421" s="43"/>
      <c r="H421" s="244"/>
      <c r="I421" s="244"/>
      <c r="J421" s="244"/>
      <c r="K421" s="244"/>
      <c r="L421" s="244"/>
      <c r="M421" s="244"/>
      <c r="N421" s="244"/>
      <c r="O421" s="244"/>
      <c r="P421" s="244"/>
      <c r="Q421" s="245"/>
      <c r="R421" s="244"/>
      <c r="S421" s="244"/>
      <c r="T421" s="244"/>
      <c r="U421" s="244"/>
      <c r="V421" s="244"/>
      <c r="W421" s="245"/>
      <c r="X421" s="253"/>
      <c r="Y421" s="253"/>
      <c r="Z421" s="244"/>
      <c r="AA421" s="244"/>
      <c r="AB421" s="43"/>
      <c r="AC421" s="43"/>
      <c r="AD421" s="43"/>
      <c r="AE421" s="43"/>
      <c r="AF421" s="43"/>
      <c r="AG421" s="43"/>
      <c r="AH421" s="43"/>
    </row>
    <row r="422" spans="1:34">
      <c r="A422" s="43"/>
      <c r="B422" s="43"/>
      <c r="C422" s="43"/>
      <c r="D422" s="43"/>
      <c r="E422" s="43"/>
      <c r="F422" s="43"/>
      <c r="G422" s="43"/>
      <c r="H422" s="244"/>
      <c r="I422" s="244"/>
      <c r="J422" s="244"/>
      <c r="K422" s="244"/>
      <c r="L422" s="244"/>
      <c r="M422" s="244"/>
      <c r="N422" s="244"/>
      <c r="O422" s="244"/>
      <c r="P422" s="244"/>
      <c r="Q422" s="245"/>
      <c r="R422" s="244"/>
      <c r="S422" s="244"/>
      <c r="T422" s="244"/>
      <c r="U422" s="244"/>
      <c r="V422" s="244"/>
      <c r="W422" s="245"/>
      <c r="X422" s="253"/>
      <c r="Y422" s="253"/>
      <c r="Z422" s="244"/>
      <c r="AA422" s="244"/>
      <c r="AB422" s="43"/>
      <c r="AC422" s="43"/>
      <c r="AD422" s="43"/>
      <c r="AE422" s="43"/>
      <c r="AF422" s="43"/>
      <c r="AG422" s="43"/>
      <c r="AH422" s="43"/>
    </row>
    <row r="423" spans="1:34">
      <c r="A423" s="43"/>
      <c r="B423" s="43"/>
      <c r="C423" s="43"/>
      <c r="D423" s="43"/>
      <c r="E423" s="43"/>
      <c r="F423" s="43"/>
      <c r="G423" s="43"/>
      <c r="H423" s="244"/>
      <c r="I423" s="244"/>
      <c r="J423" s="244"/>
      <c r="K423" s="244"/>
      <c r="L423" s="244"/>
      <c r="M423" s="244"/>
      <c r="N423" s="244"/>
      <c r="O423" s="244"/>
      <c r="P423" s="244"/>
      <c r="Q423" s="245"/>
      <c r="R423" s="244"/>
      <c r="S423" s="244"/>
      <c r="T423" s="244"/>
      <c r="U423" s="244"/>
      <c r="V423" s="244"/>
      <c r="W423" s="245"/>
      <c r="X423" s="253"/>
      <c r="Y423" s="253"/>
      <c r="Z423" s="244"/>
      <c r="AA423" s="244"/>
      <c r="AB423" s="43"/>
      <c r="AC423" s="43"/>
      <c r="AD423" s="43"/>
      <c r="AE423" s="43"/>
      <c r="AF423" s="43"/>
      <c r="AG423" s="43"/>
      <c r="AH423" s="43"/>
    </row>
    <row r="424" spans="1:34">
      <c r="A424" s="43"/>
      <c r="B424" s="43"/>
      <c r="C424" s="43"/>
      <c r="D424" s="43"/>
      <c r="E424" s="43"/>
      <c r="F424" s="43"/>
      <c r="G424" s="43"/>
      <c r="H424" s="244"/>
      <c r="I424" s="244"/>
      <c r="J424" s="244"/>
      <c r="K424" s="244"/>
      <c r="L424" s="244"/>
      <c r="M424" s="244"/>
      <c r="N424" s="244"/>
      <c r="O424" s="244"/>
      <c r="P424" s="244"/>
      <c r="Q424" s="245"/>
      <c r="R424" s="244"/>
      <c r="S424" s="244"/>
      <c r="T424" s="244"/>
      <c r="U424" s="244"/>
      <c r="V424" s="244"/>
      <c r="W424" s="245"/>
      <c r="X424" s="253"/>
      <c r="Y424" s="253"/>
      <c r="Z424" s="244"/>
      <c r="AA424" s="244"/>
      <c r="AB424" s="43"/>
      <c r="AC424" s="43"/>
      <c r="AD424" s="43"/>
      <c r="AE424" s="43"/>
      <c r="AF424" s="43"/>
      <c r="AG424" s="43"/>
      <c r="AH424" s="43"/>
    </row>
    <row r="425" spans="1:34">
      <c r="A425" s="43"/>
      <c r="B425" s="43"/>
      <c r="C425" s="43"/>
      <c r="D425" s="43"/>
      <c r="E425" s="43"/>
      <c r="F425" s="43"/>
      <c r="G425" s="43"/>
      <c r="H425" s="244"/>
      <c r="I425" s="244"/>
      <c r="J425" s="244"/>
      <c r="K425" s="244"/>
      <c r="L425" s="244"/>
      <c r="M425" s="244"/>
      <c r="N425" s="244"/>
      <c r="O425" s="244"/>
      <c r="P425" s="244"/>
      <c r="Q425" s="245"/>
      <c r="R425" s="244"/>
      <c r="S425" s="244"/>
      <c r="T425" s="244"/>
      <c r="U425" s="244"/>
      <c r="V425" s="244"/>
      <c r="W425" s="245"/>
      <c r="X425" s="253"/>
      <c r="Y425" s="253"/>
      <c r="Z425" s="244"/>
      <c r="AA425" s="244"/>
      <c r="AB425" s="43"/>
      <c r="AC425" s="43"/>
      <c r="AD425" s="43"/>
      <c r="AE425" s="43"/>
      <c r="AF425" s="43"/>
      <c r="AG425" s="43"/>
      <c r="AH425" s="43"/>
    </row>
    <row r="426" spans="1:34">
      <c r="A426" s="43"/>
      <c r="B426" s="43"/>
      <c r="C426" s="43"/>
      <c r="D426" s="43"/>
      <c r="E426" s="43"/>
      <c r="F426" s="43"/>
      <c r="G426" s="43"/>
      <c r="H426" s="244"/>
      <c r="I426" s="244"/>
      <c r="J426" s="244"/>
      <c r="K426" s="244"/>
      <c r="L426" s="244"/>
      <c r="M426" s="244"/>
      <c r="N426" s="244"/>
      <c r="O426" s="244"/>
      <c r="P426" s="244"/>
      <c r="Q426" s="245"/>
      <c r="R426" s="244"/>
      <c r="S426" s="244"/>
      <c r="T426" s="244"/>
      <c r="U426" s="244"/>
      <c r="V426" s="244"/>
      <c r="W426" s="245"/>
      <c r="X426" s="253"/>
      <c r="Y426" s="253"/>
      <c r="Z426" s="244"/>
      <c r="AA426" s="244"/>
      <c r="AB426" s="43"/>
      <c r="AC426" s="43"/>
      <c r="AD426" s="43"/>
      <c r="AE426" s="43"/>
      <c r="AF426" s="43"/>
      <c r="AG426" s="43"/>
      <c r="AH426" s="43"/>
    </row>
    <row r="427" spans="1:34">
      <c r="A427" s="43"/>
      <c r="B427" s="43"/>
      <c r="C427" s="43"/>
      <c r="D427" s="43"/>
      <c r="E427" s="43"/>
      <c r="F427" s="43"/>
      <c r="G427" s="43"/>
      <c r="H427" s="244"/>
      <c r="I427" s="244"/>
      <c r="J427" s="244"/>
      <c r="K427" s="244"/>
      <c r="L427" s="244"/>
      <c r="M427" s="244"/>
      <c r="N427" s="244"/>
      <c r="O427" s="244"/>
      <c r="P427" s="244"/>
      <c r="Q427" s="245"/>
      <c r="R427" s="244"/>
      <c r="S427" s="244"/>
      <c r="T427" s="244"/>
      <c r="U427" s="244"/>
      <c r="V427" s="244"/>
      <c r="W427" s="245"/>
      <c r="X427" s="253"/>
      <c r="Y427" s="253"/>
      <c r="Z427" s="244"/>
      <c r="AA427" s="244"/>
      <c r="AB427" s="43"/>
      <c r="AC427" s="43"/>
      <c r="AD427" s="43"/>
      <c r="AE427" s="43"/>
      <c r="AF427" s="43"/>
      <c r="AG427" s="43"/>
      <c r="AH427" s="43"/>
    </row>
    <row r="428" spans="1:34">
      <c r="A428" s="43"/>
      <c r="B428" s="43"/>
      <c r="C428" s="43"/>
      <c r="D428" s="43"/>
      <c r="E428" s="43"/>
      <c r="F428" s="43"/>
      <c r="G428" s="43"/>
      <c r="H428" s="244"/>
      <c r="I428" s="244"/>
      <c r="J428" s="244"/>
      <c r="K428" s="244"/>
      <c r="L428" s="244"/>
      <c r="M428" s="244"/>
      <c r="N428" s="244"/>
      <c r="O428" s="244"/>
      <c r="P428" s="244"/>
      <c r="Q428" s="245"/>
      <c r="R428" s="244"/>
      <c r="S428" s="244"/>
      <c r="T428" s="244"/>
      <c r="U428" s="244"/>
      <c r="V428" s="244"/>
      <c r="W428" s="245"/>
      <c r="X428" s="253"/>
      <c r="Y428" s="253"/>
      <c r="Z428" s="244"/>
      <c r="AA428" s="244"/>
      <c r="AB428" s="43"/>
      <c r="AC428" s="43"/>
      <c r="AD428" s="43"/>
      <c r="AE428" s="43"/>
      <c r="AF428" s="43"/>
      <c r="AG428" s="43"/>
      <c r="AH428" s="43"/>
    </row>
    <row r="429" spans="1:34">
      <c r="A429" s="43"/>
      <c r="B429" s="43"/>
      <c r="C429" s="43"/>
      <c r="D429" s="43"/>
      <c r="E429" s="43"/>
      <c r="F429" s="43"/>
      <c r="G429" s="43"/>
      <c r="H429" s="244"/>
      <c r="I429" s="244"/>
      <c r="J429" s="244"/>
      <c r="K429" s="244"/>
      <c r="L429" s="244"/>
      <c r="M429" s="244"/>
      <c r="N429" s="244"/>
      <c r="O429" s="244"/>
      <c r="P429" s="244"/>
      <c r="Q429" s="245"/>
      <c r="R429" s="244"/>
      <c r="S429" s="244"/>
      <c r="T429" s="244"/>
      <c r="U429" s="244"/>
      <c r="V429" s="244"/>
      <c r="W429" s="245"/>
      <c r="X429" s="253"/>
      <c r="Y429" s="253"/>
      <c r="Z429" s="244"/>
      <c r="AA429" s="244"/>
      <c r="AB429" s="43"/>
      <c r="AC429" s="43"/>
      <c r="AD429" s="43"/>
      <c r="AE429" s="43"/>
      <c r="AF429" s="43"/>
      <c r="AG429" s="43"/>
      <c r="AH429" s="43"/>
    </row>
    <row r="430" spans="1:34">
      <c r="A430" s="43"/>
      <c r="B430" s="43"/>
      <c r="C430" s="43"/>
      <c r="D430" s="43"/>
      <c r="E430" s="43"/>
      <c r="F430" s="43"/>
      <c r="G430" s="43"/>
      <c r="H430" s="244"/>
      <c r="I430" s="244"/>
      <c r="J430" s="244"/>
      <c r="K430" s="244"/>
      <c r="L430" s="244"/>
      <c r="M430" s="244"/>
      <c r="N430" s="244"/>
      <c r="O430" s="244"/>
      <c r="P430" s="244"/>
      <c r="Q430" s="245"/>
      <c r="R430" s="244"/>
      <c r="S430" s="244"/>
      <c r="T430" s="244"/>
      <c r="U430" s="244"/>
      <c r="V430" s="244"/>
      <c r="W430" s="245"/>
      <c r="X430" s="253"/>
      <c r="Y430" s="253"/>
      <c r="Z430" s="244"/>
      <c r="AA430" s="244"/>
      <c r="AB430" s="43"/>
      <c r="AC430" s="43"/>
      <c r="AD430" s="43"/>
      <c r="AE430" s="43"/>
      <c r="AF430" s="43"/>
      <c r="AG430" s="43"/>
      <c r="AH430" s="43"/>
    </row>
    <row r="431" spans="1:34">
      <c r="A431" s="43"/>
      <c r="B431" s="43"/>
      <c r="C431" s="43"/>
      <c r="D431" s="43"/>
      <c r="E431" s="43"/>
      <c r="F431" s="43"/>
      <c r="G431" s="43"/>
      <c r="H431" s="244"/>
      <c r="I431" s="244"/>
      <c r="J431" s="244"/>
      <c r="K431" s="244"/>
      <c r="L431" s="244"/>
      <c r="M431" s="244"/>
      <c r="N431" s="244"/>
      <c r="O431" s="244"/>
      <c r="P431" s="244"/>
      <c r="Q431" s="245"/>
      <c r="R431" s="244"/>
      <c r="S431" s="244"/>
      <c r="T431" s="244"/>
      <c r="U431" s="244"/>
      <c r="V431" s="244"/>
      <c r="W431" s="245"/>
      <c r="X431" s="253"/>
      <c r="Y431" s="253"/>
      <c r="Z431" s="244"/>
      <c r="AA431" s="244"/>
      <c r="AB431" s="43"/>
      <c r="AC431" s="43"/>
      <c r="AD431" s="43"/>
      <c r="AE431" s="43"/>
      <c r="AF431" s="43"/>
      <c r="AG431" s="43"/>
      <c r="AH431" s="43"/>
    </row>
    <row r="432" spans="1:34">
      <c r="A432" s="43"/>
      <c r="B432" s="43"/>
      <c r="C432" s="43"/>
      <c r="D432" s="43"/>
      <c r="E432" s="43"/>
      <c r="F432" s="43"/>
      <c r="G432" s="43"/>
      <c r="H432" s="244"/>
      <c r="I432" s="244"/>
      <c r="J432" s="244"/>
      <c r="K432" s="244"/>
      <c r="L432" s="244"/>
      <c r="M432" s="244"/>
      <c r="N432" s="244"/>
      <c r="O432" s="244"/>
      <c r="P432" s="244"/>
      <c r="Q432" s="245"/>
      <c r="R432" s="244"/>
      <c r="S432" s="244"/>
      <c r="T432" s="244"/>
      <c r="U432" s="244"/>
      <c r="V432" s="244"/>
      <c r="W432" s="245"/>
      <c r="X432" s="253"/>
      <c r="Y432" s="253"/>
      <c r="Z432" s="244"/>
      <c r="AA432" s="244"/>
      <c r="AB432" s="43"/>
      <c r="AC432" s="43"/>
      <c r="AD432" s="43"/>
      <c r="AE432" s="43"/>
      <c r="AF432" s="43"/>
      <c r="AG432" s="43"/>
      <c r="AH432" s="43"/>
    </row>
    <row r="433" spans="1:34">
      <c r="A433" s="43"/>
      <c r="B433" s="43"/>
      <c r="C433" s="43"/>
      <c r="D433" s="43"/>
      <c r="E433" s="43"/>
      <c r="F433" s="43"/>
      <c r="G433" s="43"/>
      <c r="H433" s="244"/>
      <c r="I433" s="244"/>
      <c r="J433" s="244"/>
      <c r="K433" s="244"/>
      <c r="L433" s="244"/>
      <c r="M433" s="244"/>
      <c r="N433" s="244"/>
      <c r="O433" s="244"/>
      <c r="P433" s="244"/>
      <c r="Q433" s="245"/>
      <c r="R433" s="244"/>
      <c r="S433" s="244"/>
      <c r="T433" s="244"/>
      <c r="U433" s="244"/>
      <c r="V433" s="244"/>
      <c r="W433" s="245"/>
      <c r="X433" s="253"/>
      <c r="Y433" s="253"/>
      <c r="Z433" s="244"/>
      <c r="AA433" s="244"/>
      <c r="AB433" s="43"/>
      <c r="AC433" s="43"/>
      <c r="AD433" s="43"/>
      <c r="AE433" s="43"/>
      <c r="AF433" s="43"/>
      <c r="AG433" s="43"/>
      <c r="AH433" s="43"/>
    </row>
    <row r="434" spans="1:34">
      <c r="A434" s="43"/>
      <c r="B434" s="43"/>
      <c r="C434" s="43"/>
      <c r="D434" s="43"/>
      <c r="E434" s="43"/>
      <c r="F434" s="43"/>
      <c r="G434" s="43"/>
      <c r="H434" s="244"/>
      <c r="I434" s="244"/>
      <c r="J434" s="244"/>
      <c r="K434" s="244"/>
      <c r="L434" s="244"/>
      <c r="M434" s="244"/>
      <c r="N434" s="244"/>
      <c r="O434" s="244"/>
      <c r="P434" s="244"/>
      <c r="Q434" s="245"/>
      <c r="R434" s="244"/>
      <c r="S434" s="244"/>
      <c r="T434" s="244"/>
      <c r="U434" s="244"/>
      <c r="V434" s="244"/>
      <c r="W434" s="245"/>
      <c r="X434" s="253"/>
      <c r="Y434" s="253"/>
      <c r="Z434" s="244"/>
      <c r="AA434" s="244"/>
      <c r="AB434" s="43"/>
      <c r="AC434" s="43"/>
      <c r="AD434" s="43"/>
      <c r="AE434" s="43"/>
      <c r="AF434" s="43"/>
      <c r="AG434" s="43"/>
      <c r="AH434" s="43"/>
    </row>
    <row r="435" spans="1:34">
      <c r="A435" s="43"/>
      <c r="B435" s="43"/>
      <c r="C435" s="43"/>
      <c r="D435" s="43"/>
      <c r="E435" s="43"/>
      <c r="F435" s="43"/>
      <c r="G435" s="43"/>
      <c r="H435" s="244"/>
      <c r="I435" s="244"/>
      <c r="J435" s="244"/>
      <c r="K435" s="244"/>
      <c r="L435" s="244"/>
      <c r="M435" s="244"/>
      <c r="N435" s="244"/>
      <c r="O435" s="244"/>
      <c r="P435" s="244"/>
      <c r="Q435" s="245"/>
      <c r="R435" s="244"/>
      <c r="S435" s="244"/>
      <c r="T435" s="244"/>
      <c r="U435" s="244"/>
      <c r="V435" s="244"/>
      <c r="W435" s="245"/>
      <c r="X435" s="253"/>
      <c r="Y435" s="253"/>
      <c r="Z435" s="244"/>
      <c r="AA435" s="244"/>
      <c r="AB435" s="43"/>
      <c r="AC435" s="43"/>
      <c r="AD435" s="43"/>
      <c r="AE435" s="43"/>
      <c r="AF435" s="43"/>
      <c r="AG435" s="43"/>
      <c r="AH435" s="43"/>
    </row>
    <row r="436" spans="1:34">
      <c r="A436" s="43"/>
      <c r="B436" s="43"/>
      <c r="C436" s="43"/>
      <c r="D436" s="43"/>
      <c r="E436" s="43"/>
      <c r="F436" s="43"/>
      <c r="G436" s="43"/>
      <c r="H436" s="244"/>
      <c r="I436" s="244"/>
      <c r="J436" s="244"/>
      <c r="K436" s="244"/>
      <c r="L436" s="244"/>
      <c r="M436" s="244"/>
      <c r="N436" s="244"/>
      <c r="O436" s="244"/>
      <c r="P436" s="244"/>
      <c r="Q436" s="245"/>
      <c r="R436" s="244"/>
      <c r="S436" s="244"/>
      <c r="T436" s="244"/>
      <c r="U436" s="244"/>
      <c r="V436" s="244"/>
      <c r="W436" s="245"/>
      <c r="X436" s="253"/>
      <c r="Y436" s="253"/>
      <c r="Z436" s="244"/>
      <c r="AA436" s="244"/>
      <c r="AB436" s="43"/>
      <c r="AC436" s="43"/>
      <c r="AD436" s="43"/>
      <c r="AE436" s="43"/>
      <c r="AF436" s="43"/>
      <c r="AG436" s="43"/>
      <c r="AH436" s="43"/>
    </row>
    <row r="437" spans="1:34">
      <c r="A437" s="43"/>
      <c r="B437" s="43"/>
      <c r="C437" s="43"/>
      <c r="D437" s="43"/>
      <c r="E437" s="43"/>
      <c r="F437" s="43"/>
      <c r="G437" s="43"/>
      <c r="H437" s="244"/>
      <c r="I437" s="244"/>
      <c r="J437" s="244"/>
      <c r="K437" s="244"/>
      <c r="L437" s="244"/>
      <c r="M437" s="244"/>
      <c r="N437" s="244"/>
      <c r="O437" s="244"/>
      <c r="P437" s="244"/>
      <c r="Q437" s="245"/>
      <c r="R437" s="244"/>
      <c r="S437" s="244"/>
      <c r="T437" s="244"/>
      <c r="U437" s="244"/>
      <c r="V437" s="244"/>
      <c r="W437" s="245"/>
      <c r="X437" s="253"/>
      <c r="Y437" s="253"/>
      <c r="Z437" s="244"/>
      <c r="AA437" s="244"/>
      <c r="AB437" s="43"/>
      <c r="AC437" s="43"/>
      <c r="AD437" s="43"/>
      <c r="AE437" s="43"/>
      <c r="AF437" s="43"/>
      <c r="AG437" s="43"/>
      <c r="AH437" s="43"/>
    </row>
    <row r="438" spans="1:34">
      <c r="A438" s="43"/>
      <c r="B438" s="43"/>
      <c r="C438" s="43"/>
      <c r="D438" s="43"/>
      <c r="E438" s="43"/>
      <c r="F438" s="43"/>
      <c r="G438" s="43"/>
      <c r="H438" s="244"/>
      <c r="I438" s="244"/>
      <c r="J438" s="244"/>
      <c r="K438" s="244"/>
      <c r="L438" s="244"/>
      <c r="M438" s="244"/>
      <c r="N438" s="244"/>
      <c r="O438" s="244"/>
      <c r="P438" s="244"/>
      <c r="Q438" s="245"/>
      <c r="R438" s="244"/>
      <c r="S438" s="244"/>
      <c r="T438" s="244"/>
      <c r="U438" s="244"/>
      <c r="V438" s="244"/>
      <c r="W438" s="245"/>
      <c r="X438" s="253"/>
      <c r="Y438" s="253"/>
      <c r="Z438" s="244"/>
      <c r="AA438" s="244"/>
      <c r="AB438" s="43"/>
      <c r="AC438" s="43"/>
      <c r="AD438" s="43"/>
      <c r="AE438" s="43"/>
      <c r="AF438" s="43"/>
      <c r="AG438" s="43"/>
      <c r="AH438" s="43"/>
    </row>
    <row r="439" spans="1:34">
      <c r="A439" s="43"/>
      <c r="B439" s="43"/>
      <c r="C439" s="43"/>
      <c r="D439" s="43"/>
      <c r="E439" s="43"/>
      <c r="F439" s="43"/>
      <c r="G439" s="43"/>
      <c r="H439" s="244"/>
      <c r="I439" s="244"/>
      <c r="J439" s="244"/>
      <c r="K439" s="244"/>
      <c r="L439" s="244"/>
      <c r="M439" s="244"/>
      <c r="N439" s="244"/>
      <c r="O439" s="244"/>
      <c r="P439" s="244"/>
      <c r="Q439" s="245"/>
      <c r="R439" s="244"/>
      <c r="S439" s="244"/>
      <c r="T439" s="244"/>
      <c r="U439" s="244"/>
      <c r="V439" s="244"/>
      <c r="W439" s="245"/>
      <c r="X439" s="253"/>
      <c r="Y439" s="253"/>
      <c r="Z439" s="244"/>
      <c r="AA439" s="244"/>
      <c r="AB439" s="43"/>
      <c r="AC439" s="43"/>
      <c r="AD439" s="43"/>
      <c r="AE439" s="43"/>
      <c r="AF439" s="43"/>
      <c r="AG439" s="43"/>
      <c r="AH439" s="43"/>
    </row>
    <row r="440" spans="1:34">
      <c r="A440" s="43"/>
      <c r="B440" s="43"/>
      <c r="C440" s="43"/>
      <c r="D440" s="43"/>
      <c r="E440" s="43"/>
      <c r="F440" s="43"/>
      <c r="G440" s="43"/>
      <c r="H440" s="244"/>
      <c r="I440" s="244"/>
      <c r="J440" s="244"/>
      <c r="K440" s="244"/>
      <c r="L440" s="244"/>
      <c r="M440" s="244"/>
      <c r="N440" s="244"/>
      <c r="O440" s="244"/>
      <c r="P440" s="244"/>
      <c r="Q440" s="245"/>
      <c r="R440" s="244"/>
      <c r="S440" s="244"/>
      <c r="T440" s="244"/>
      <c r="U440" s="244"/>
      <c r="V440" s="244"/>
      <c r="W440" s="245"/>
      <c r="X440" s="253"/>
      <c r="Y440" s="253"/>
      <c r="Z440" s="244"/>
      <c r="AA440" s="244"/>
      <c r="AB440" s="43"/>
      <c r="AC440" s="43"/>
      <c r="AD440" s="43"/>
      <c r="AE440" s="43"/>
      <c r="AF440" s="43"/>
      <c r="AG440" s="43"/>
      <c r="AH440" s="43"/>
    </row>
    <row r="441" spans="1:34">
      <c r="A441" s="43"/>
      <c r="B441" s="43"/>
      <c r="C441" s="43"/>
      <c r="D441" s="43"/>
      <c r="E441" s="43"/>
      <c r="F441" s="43"/>
      <c r="G441" s="43"/>
      <c r="H441" s="244"/>
      <c r="I441" s="244"/>
      <c r="J441" s="244"/>
      <c r="K441" s="244"/>
      <c r="L441" s="244"/>
      <c r="M441" s="244"/>
      <c r="N441" s="244"/>
      <c r="O441" s="244"/>
      <c r="P441" s="244"/>
      <c r="Q441" s="245"/>
      <c r="R441" s="244"/>
      <c r="S441" s="244"/>
      <c r="T441" s="244"/>
      <c r="U441" s="244"/>
      <c r="V441" s="244"/>
      <c r="W441" s="245"/>
      <c r="X441" s="253"/>
      <c r="Y441" s="253"/>
      <c r="Z441" s="244"/>
      <c r="AA441" s="244"/>
      <c r="AB441" s="43"/>
      <c r="AC441" s="43"/>
      <c r="AD441" s="43"/>
      <c r="AE441" s="43"/>
      <c r="AF441" s="43"/>
      <c r="AG441" s="43"/>
      <c r="AH441" s="43"/>
    </row>
    <row r="442" spans="1:34">
      <c r="A442" s="43"/>
      <c r="B442" s="43"/>
      <c r="C442" s="43"/>
      <c r="D442" s="43"/>
      <c r="E442" s="43"/>
      <c r="F442" s="43"/>
      <c r="G442" s="43"/>
      <c r="H442" s="244"/>
      <c r="I442" s="244"/>
      <c r="J442" s="244"/>
      <c r="K442" s="244"/>
      <c r="L442" s="244"/>
      <c r="M442" s="244"/>
      <c r="N442" s="244"/>
      <c r="O442" s="244"/>
      <c r="P442" s="244"/>
      <c r="Q442" s="245"/>
      <c r="R442" s="244"/>
      <c r="S442" s="244"/>
      <c r="T442" s="244"/>
      <c r="U442" s="244"/>
      <c r="V442" s="244"/>
      <c r="W442" s="245"/>
      <c r="X442" s="253"/>
      <c r="Y442" s="253"/>
      <c r="Z442" s="244"/>
      <c r="AA442" s="244"/>
      <c r="AB442" s="43"/>
      <c r="AC442" s="43"/>
      <c r="AD442" s="43"/>
      <c r="AE442" s="43"/>
      <c r="AF442" s="43"/>
      <c r="AG442" s="43"/>
      <c r="AH442" s="43"/>
    </row>
    <row r="443" spans="1:34">
      <c r="A443" s="43"/>
      <c r="B443" s="43"/>
      <c r="C443" s="43"/>
      <c r="D443" s="43"/>
      <c r="E443" s="43"/>
      <c r="F443" s="43"/>
      <c r="G443" s="43"/>
      <c r="H443" s="244"/>
      <c r="I443" s="244"/>
      <c r="J443" s="244"/>
      <c r="K443" s="244"/>
      <c r="L443" s="244"/>
      <c r="M443" s="244"/>
      <c r="N443" s="244"/>
      <c r="O443" s="244"/>
      <c r="P443" s="244"/>
      <c r="Q443" s="245"/>
      <c r="R443" s="244"/>
      <c r="S443" s="244"/>
      <c r="T443" s="244"/>
      <c r="U443" s="244"/>
      <c r="V443" s="244"/>
      <c r="W443" s="245"/>
      <c r="X443" s="253"/>
      <c r="Y443" s="253"/>
      <c r="Z443" s="244"/>
      <c r="AA443" s="244"/>
      <c r="AB443" s="43"/>
      <c r="AC443" s="43"/>
      <c r="AD443" s="43"/>
      <c r="AE443" s="43"/>
      <c r="AF443" s="43"/>
      <c r="AG443" s="43"/>
      <c r="AH443" s="43"/>
    </row>
    <row r="444" spans="1:34">
      <c r="A444" s="43"/>
      <c r="B444" s="43"/>
      <c r="C444" s="43"/>
      <c r="D444" s="43"/>
      <c r="E444" s="43"/>
      <c r="F444" s="43"/>
      <c r="G444" s="43"/>
      <c r="H444" s="244"/>
      <c r="I444" s="244"/>
      <c r="J444" s="244"/>
      <c r="K444" s="244"/>
      <c r="L444" s="244"/>
      <c r="M444" s="244"/>
      <c r="N444" s="244"/>
      <c r="O444" s="244"/>
      <c r="P444" s="244"/>
      <c r="Q444" s="245"/>
      <c r="R444" s="244"/>
      <c r="S444" s="244"/>
      <c r="T444" s="244"/>
      <c r="U444" s="244"/>
      <c r="V444" s="244"/>
      <c r="W444" s="245"/>
      <c r="X444" s="253"/>
      <c r="Y444" s="253"/>
      <c r="Z444" s="244"/>
      <c r="AA444" s="244"/>
      <c r="AB444" s="43"/>
      <c r="AC444" s="43"/>
      <c r="AD444" s="43"/>
      <c r="AE444" s="43"/>
      <c r="AF444" s="43"/>
      <c r="AG444" s="43"/>
      <c r="AH444" s="43"/>
    </row>
    <row r="445" spans="1:34">
      <c r="A445" s="43"/>
      <c r="B445" s="43"/>
      <c r="C445" s="43"/>
      <c r="D445" s="43"/>
      <c r="E445" s="43"/>
      <c r="F445" s="43"/>
      <c r="G445" s="43"/>
      <c r="H445" s="244"/>
      <c r="I445" s="244"/>
      <c r="J445" s="244"/>
      <c r="K445" s="244"/>
      <c r="L445" s="244"/>
      <c r="M445" s="244"/>
      <c r="N445" s="244"/>
      <c r="O445" s="244"/>
      <c r="P445" s="244"/>
      <c r="Q445" s="245"/>
      <c r="R445" s="244"/>
      <c r="S445" s="244"/>
      <c r="T445" s="244"/>
      <c r="U445" s="244"/>
      <c r="V445" s="244"/>
      <c r="W445" s="245"/>
      <c r="X445" s="253"/>
      <c r="Y445" s="253"/>
      <c r="Z445" s="244"/>
      <c r="AA445" s="244"/>
      <c r="AB445" s="43"/>
      <c r="AC445" s="43"/>
      <c r="AD445" s="43"/>
      <c r="AE445" s="43"/>
      <c r="AF445" s="43"/>
      <c r="AG445" s="43"/>
      <c r="AH445" s="43"/>
    </row>
    <row r="446" spans="1:34">
      <c r="A446" s="43"/>
      <c r="B446" s="43"/>
      <c r="C446" s="43"/>
      <c r="D446" s="43"/>
      <c r="E446" s="43"/>
      <c r="F446" s="43"/>
      <c r="G446" s="43"/>
      <c r="H446" s="244"/>
      <c r="I446" s="244"/>
      <c r="J446" s="244"/>
      <c r="K446" s="244"/>
      <c r="L446" s="244"/>
      <c r="M446" s="244"/>
      <c r="N446" s="244"/>
      <c r="O446" s="244"/>
      <c r="P446" s="244"/>
      <c r="Q446" s="245"/>
      <c r="R446" s="244"/>
      <c r="S446" s="244"/>
      <c r="T446" s="244"/>
      <c r="U446" s="244"/>
      <c r="V446" s="244"/>
      <c r="W446" s="245"/>
      <c r="X446" s="253"/>
      <c r="Y446" s="253"/>
      <c r="Z446" s="244"/>
      <c r="AA446" s="244"/>
      <c r="AB446" s="43"/>
      <c r="AC446" s="43"/>
      <c r="AD446" s="43"/>
      <c r="AE446" s="43"/>
      <c r="AF446" s="43"/>
      <c r="AG446" s="43"/>
      <c r="AH446" s="43"/>
    </row>
    <row r="447" spans="1:34">
      <c r="A447" s="43"/>
      <c r="B447" s="43"/>
      <c r="C447" s="43"/>
      <c r="D447" s="43"/>
      <c r="E447" s="43"/>
      <c r="F447" s="43"/>
      <c r="G447" s="43"/>
      <c r="H447" s="244"/>
      <c r="I447" s="244"/>
      <c r="J447" s="244"/>
      <c r="K447" s="244"/>
      <c r="L447" s="244"/>
      <c r="M447" s="244"/>
      <c r="N447" s="244"/>
      <c r="O447" s="244"/>
      <c r="P447" s="244"/>
      <c r="Q447" s="245"/>
      <c r="R447" s="244"/>
      <c r="S447" s="244"/>
      <c r="T447" s="244"/>
      <c r="U447" s="244"/>
      <c r="V447" s="244"/>
      <c r="W447" s="245"/>
      <c r="X447" s="253"/>
      <c r="Y447" s="253"/>
      <c r="Z447" s="244"/>
      <c r="AA447" s="244"/>
      <c r="AB447" s="43"/>
      <c r="AC447" s="43"/>
      <c r="AD447" s="43"/>
      <c r="AE447" s="43"/>
      <c r="AF447" s="43"/>
      <c r="AG447" s="43"/>
      <c r="AH447" s="43"/>
    </row>
    <row r="448" spans="1:34">
      <c r="A448" s="43"/>
      <c r="B448" s="43"/>
      <c r="C448" s="43"/>
      <c r="D448" s="43"/>
      <c r="E448" s="43"/>
      <c r="F448" s="43"/>
      <c r="G448" s="43"/>
      <c r="H448" s="244"/>
      <c r="I448" s="244"/>
      <c r="J448" s="244"/>
      <c r="K448" s="244"/>
      <c r="L448" s="244"/>
      <c r="M448" s="244"/>
      <c r="N448" s="244"/>
      <c r="O448" s="244"/>
      <c r="P448" s="244"/>
      <c r="Q448" s="245"/>
      <c r="R448" s="244"/>
      <c r="S448" s="244"/>
      <c r="T448" s="244"/>
      <c r="U448" s="244"/>
      <c r="V448" s="244"/>
      <c r="W448" s="245"/>
      <c r="X448" s="253"/>
      <c r="Y448" s="253"/>
      <c r="Z448" s="244"/>
      <c r="AA448" s="244"/>
      <c r="AB448" s="43"/>
      <c r="AC448" s="43"/>
      <c r="AD448" s="43"/>
      <c r="AE448" s="43"/>
      <c r="AF448" s="43"/>
      <c r="AG448" s="43"/>
      <c r="AH448" s="43"/>
    </row>
    <row r="449" spans="1:34">
      <c r="A449" s="43"/>
      <c r="B449" s="43"/>
      <c r="C449" s="43"/>
      <c r="D449" s="43"/>
      <c r="E449" s="43"/>
      <c r="F449" s="43"/>
      <c r="G449" s="43"/>
      <c r="H449" s="244"/>
      <c r="I449" s="244"/>
      <c r="J449" s="244"/>
      <c r="K449" s="244"/>
      <c r="L449" s="244"/>
      <c r="M449" s="244"/>
      <c r="N449" s="244"/>
      <c r="O449" s="244"/>
      <c r="P449" s="244"/>
      <c r="Q449" s="245"/>
      <c r="R449" s="244"/>
      <c r="S449" s="244"/>
      <c r="T449" s="244"/>
      <c r="U449" s="244"/>
      <c r="V449" s="244"/>
      <c r="W449" s="245"/>
      <c r="X449" s="253"/>
      <c r="Y449" s="253"/>
      <c r="Z449" s="244"/>
      <c r="AA449" s="244"/>
      <c r="AB449" s="43"/>
      <c r="AC449" s="43"/>
      <c r="AD449" s="43"/>
      <c r="AE449" s="43"/>
      <c r="AF449" s="43"/>
      <c r="AG449" s="43"/>
      <c r="AH449" s="43"/>
    </row>
    <row r="450" spans="1:34">
      <c r="A450" s="43"/>
      <c r="B450" s="43"/>
      <c r="C450" s="43"/>
      <c r="D450" s="43"/>
      <c r="E450" s="43"/>
      <c r="F450" s="43"/>
      <c r="G450" s="43"/>
      <c r="H450" s="244"/>
      <c r="I450" s="244"/>
      <c r="J450" s="244"/>
      <c r="K450" s="244"/>
      <c r="L450" s="244"/>
      <c r="M450" s="244"/>
      <c r="N450" s="244"/>
      <c r="O450" s="244"/>
      <c r="P450" s="244"/>
      <c r="Q450" s="245"/>
      <c r="R450" s="244"/>
      <c r="S450" s="244"/>
      <c r="T450" s="244"/>
      <c r="U450" s="244"/>
      <c r="V450" s="244"/>
      <c r="W450" s="245"/>
      <c r="X450" s="253"/>
      <c r="Y450" s="253"/>
      <c r="Z450" s="244"/>
      <c r="AA450" s="244"/>
      <c r="AB450" s="43"/>
      <c r="AC450" s="43"/>
      <c r="AD450" s="43"/>
      <c r="AE450" s="43"/>
      <c r="AF450" s="43"/>
      <c r="AG450" s="43"/>
      <c r="AH450" s="43"/>
    </row>
    <row r="451" spans="1:34">
      <c r="A451" s="43"/>
      <c r="B451" s="43"/>
      <c r="C451" s="43"/>
      <c r="D451" s="43"/>
      <c r="E451" s="43"/>
      <c r="F451" s="43"/>
      <c r="G451" s="43"/>
      <c r="H451" s="244"/>
      <c r="I451" s="244"/>
      <c r="J451" s="244"/>
      <c r="K451" s="244"/>
      <c r="L451" s="244"/>
      <c r="M451" s="244"/>
      <c r="N451" s="244"/>
      <c r="O451" s="244"/>
      <c r="P451" s="244"/>
      <c r="Q451" s="245"/>
      <c r="R451" s="244"/>
      <c r="S451" s="244"/>
      <c r="T451" s="244"/>
      <c r="U451" s="244"/>
      <c r="V451" s="244"/>
      <c r="W451" s="245"/>
      <c r="X451" s="253"/>
      <c r="Y451" s="253"/>
      <c r="Z451" s="244"/>
      <c r="AA451" s="244"/>
      <c r="AB451" s="43"/>
      <c r="AC451" s="43"/>
      <c r="AD451" s="43"/>
      <c r="AE451" s="43"/>
      <c r="AF451" s="43"/>
      <c r="AG451" s="43"/>
      <c r="AH451" s="43"/>
    </row>
    <row r="452" spans="1:34">
      <c r="A452" s="43"/>
      <c r="B452" s="43"/>
      <c r="C452" s="43"/>
      <c r="D452" s="43"/>
      <c r="E452" s="43"/>
      <c r="F452" s="43"/>
      <c r="G452" s="43"/>
      <c r="H452" s="244"/>
      <c r="I452" s="244"/>
      <c r="J452" s="244"/>
      <c r="K452" s="244"/>
      <c r="L452" s="244"/>
      <c r="M452" s="244"/>
      <c r="N452" s="244"/>
      <c r="O452" s="244"/>
      <c r="P452" s="244"/>
      <c r="Q452" s="245"/>
      <c r="R452" s="244"/>
      <c r="S452" s="244"/>
      <c r="T452" s="244"/>
      <c r="U452" s="244"/>
      <c r="V452" s="244"/>
      <c r="W452" s="245"/>
      <c r="X452" s="253"/>
      <c r="Y452" s="253"/>
      <c r="Z452" s="244"/>
      <c r="AA452" s="244"/>
      <c r="AB452" s="43"/>
      <c r="AC452" s="43"/>
      <c r="AD452" s="43"/>
      <c r="AE452" s="43"/>
      <c r="AF452" s="43"/>
      <c r="AG452" s="43"/>
      <c r="AH452" s="43"/>
    </row>
    <row r="453" spans="1:34">
      <c r="A453" s="43"/>
      <c r="B453" s="43"/>
      <c r="C453" s="43"/>
      <c r="D453" s="43"/>
      <c r="E453" s="43"/>
      <c r="F453" s="43"/>
      <c r="G453" s="43"/>
      <c r="H453" s="244"/>
      <c r="I453" s="244"/>
      <c r="J453" s="244"/>
      <c r="K453" s="244"/>
      <c r="L453" s="244"/>
      <c r="M453" s="244"/>
      <c r="N453" s="244"/>
      <c r="O453" s="244"/>
      <c r="P453" s="244"/>
      <c r="Q453" s="245"/>
      <c r="R453" s="244"/>
      <c r="S453" s="244"/>
      <c r="T453" s="244"/>
      <c r="U453" s="244"/>
      <c r="V453" s="244"/>
      <c r="W453" s="245"/>
      <c r="X453" s="253"/>
      <c r="Y453" s="253"/>
      <c r="Z453" s="244"/>
      <c r="AA453" s="244"/>
      <c r="AB453" s="43"/>
      <c r="AC453" s="43"/>
      <c r="AD453" s="43"/>
      <c r="AE453" s="43"/>
      <c r="AF453" s="43"/>
      <c r="AG453" s="43"/>
      <c r="AH453" s="43"/>
    </row>
    <row r="454" spans="1:34">
      <c r="A454" s="43"/>
      <c r="B454" s="43"/>
      <c r="C454" s="43"/>
      <c r="D454" s="43"/>
      <c r="E454" s="43"/>
      <c r="F454" s="43"/>
      <c r="G454" s="43"/>
      <c r="H454" s="244"/>
      <c r="I454" s="244"/>
      <c r="J454" s="244"/>
      <c r="K454" s="244"/>
      <c r="L454" s="244"/>
      <c r="M454" s="244"/>
      <c r="N454" s="244"/>
      <c r="O454" s="244"/>
      <c r="P454" s="244"/>
      <c r="Q454" s="245"/>
      <c r="R454" s="244"/>
      <c r="S454" s="244"/>
      <c r="T454" s="244"/>
      <c r="U454" s="244"/>
      <c r="V454" s="244"/>
      <c r="W454" s="245"/>
      <c r="X454" s="253"/>
      <c r="Y454" s="253"/>
      <c r="Z454" s="244"/>
      <c r="AA454" s="244"/>
      <c r="AB454" s="43"/>
      <c r="AC454" s="43"/>
      <c r="AD454" s="43"/>
      <c r="AE454" s="43"/>
      <c r="AF454" s="43"/>
      <c r="AG454" s="43"/>
      <c r="AH454" s="43"/>
    </row>
    <row r="455" spans="1:34">
      <c r="A455" s="43"/>
      <c r="B455" s="43"/>
      <c r="C455" s="43"/>
      <c r="D455" s="43"/>
      <c r="E455" s="43"/>
      <c r="F455" s="43"/>
      <c r="G455" s="43"/>
      <c r="H455" s="244"/>
      <c r="I455" s="244"/>
      <c r="J455" s="244"/>
      <c r="K455" s="244"/>
      <c r="L455" s="244"/>
      <c r="M455" s="244"/>
      <c r="N455" s="244"/>
      <c r="O455" s="244"/>
      <c r="P455" s="244"/>
      <c r="Q455" s="245"/>
      <c r="R455" s="244"/>
      <c r="S455" s="244"/>
      <c r="T455" s="244"/>
      <c r="U455" s="244"/>
      <c r="V455" s="244"/>
      <c r="W455" s="245"/>
      <c r="X455" s="253"/>
      <c r="Y455" s="253"/>
      <c r="Z455" s="244"/>
      <c r="AA455" s="244"/>
      <c r="AB455" s="43"/>
      <c r="AC455" s="43"/>
      <c r="AD455" s="43"/>
      <c r="AE455" s="43"/>
      <c r="AF455" s="43"/>
      <c r="AG455" s="43"/>
      <c r="AH455" s="43"/>
    </row>
    <row r="456" spans="1:34">
      <c r="A456" s="43"/>
      <c r="B456" s="43"/>
      <c r="C456" s="43"/>
      <c r="D456" s="43"/>
      <c r="E456" s="43"/>
      <c r="F456" s="43"/>
      <c r="G456" s="43"/>
      <c r="H456" s="244"/>
      <c r="I456" s="244"/>
      <c r="J456" s="244"/>
      <c r="K456" s="244"/>
      <c r="L456" s="244"/>
      <c r="M456" s="244"/>
      <c r="N456" s="244"/>
      <c r="O456" s="244"/>
      <c r="P456" s="244"/>
      <c r="Q456" s="245"/>
      <c r="R456" s="244"/>
      <c r="S456" s="244"/>
      <c r="T456" s="244"/>
      <c r="U456" s="244"/>
      <c r="V456" s="244"/>
      <c r="W456" s="245"/>
      <c r="X456" s="253"/>
      <c r="Y456" s="253"/>
      <c r="Z456" s="244"/>
      <c r="AA456" s="244"/>
      <c r="AB456" s="43"/>
      <c r="AC456" s="43"/>
      <c r="AD456" s="43"/>
      <c r="AE456" s="43"/>
      <c r="AF456" s="43"/>
      <c r="AG456" s="43"/>
      <c r="AH456" s="43"/>
    </row>
    <row r="457" spans="1:34">
      <c r="A457" s="43"/>
      <c r="B457" s="43"/>
      <c r="C457" s="43"/>
      <c r="D457" s="43"/>
      <c r="E457" s="43"/>
      <c r="F457" s="43"/>
      <c r="G457" s="43"/>
      <c r="H457" s="244"/>
      <c r="I457" s="244"/>
      <c r="J457" s="244"/>
      <c r="K457" s="244"/>
      <c r="L457" s="244"/>
      <c r="M457" s="244"/>
      <c r="N457" s="244"/>
      <c r="O457" s="244"/>
      <c r="P457" s="244"/>
      <c r="Q457" s="245"/>
      <c r="R457" s="244"/>
      <c r="S457" s="244"/>
      <c r="T457" s="244"/>
      <c r="U457" s="244"/>
      <c r="V457" s="244"/>
      <c r="W457" s="245"/>
      <c r="X457" s="253"/>
      <c r="Y457" s="253"/>
      <c r="Z457" s="244"/>
      <c r="AA457" s="244"/>
      <c r="AB457" s="43"/>
      <c r="AC457" s="43"/>
      <c r="AD457" s="43"/>
      <c r="AE457" s="43"/>
      <c r="AF457" s="43"/>
      <c r="AG457" s="43"/>
      <c r="AH457" s="43"/>
    </row>
    <row r="458" spans="1:34">
      <c r="A458" s="43"/>
      <c r="B458" s="43"/>
      <c r="C458" s="43"/>
      <c r="D458" s="43"/>
      <c r="E458" s="43"/>
      <c r="F458" s="43"/>
      <c r="G458" s="43"/>
      <c r="H458" s="244"/>
      <c r="I458" s="244"/>
      <c r="J458" s="244"/>
      <c r="K458" s="244"/>
      <c r="L458" s="244"/>
      <c r="M458" s="244"/>
      <c r="N458" s="244"/>
      <c r="O458" s="244"/>
      <c r="P458" s="244"/>
      <c r="Q458" s="245"/>
      <c r="R458" s="244"/>
      <c r="S458" s="244"/>
      <c r="T458" s="244"/>
      <c r="U458" s="244"/>
      <c r="V458" s="244"/>
      <c r="W458" s="245"/>
      <c r="X458" s="253"/>
      <c r="Y458" s="253"/>
      <c r="Z458" s="244"/>
      <c r="AA458" s="244"/>
      <c r="AB458" s="43"/>
      <c r="AC458" s="43"/>
      <c r="AD458" s="43"/>
      <c r="AE458" s="43"/>
      <c r="AF458" s="43"/>
      <c r="AG458" s="43"/>
      <c r="AH458" s="43"/>
    </row>
    <row r="459" spans="1:34">
      <c r="A459" s="43"/>
      <c r="B459" s="43"/>
      <c r="C459" s="43"/>
      <c r="D459" s="43"/>
      <c r="E459" s="43"/>
      <c r="F459" s="43"/>
      <c r="G459" s="43"/>
      <c r="H459" s="244"/>
      <c r="I459" s="244"/>
      <c r="J459" s="244"/>
      <c r="K459" s="244"/>
      <c r="L459" s="244"/>
      <c r="M459" s="244"/>
      <c r="N459" s="244"/>
      <c r="O459" s="244"/>
      <c r="P459" s="244"/>
      <c r="Q459" s="245"/>
      <c r="R459" s="244"/>
      <c r="S459" s="244"/>
      <c r="T459" s="244"/>
      <c r="U459" s="244"/>
      <c r="V459" s="244"/>
      <c r="W459" s="245"/>
      <c r="X459" s="253"/>
      <c r="Y459" s="253"/>
      <c r="Z459" s="244"/>
      <c r="AA459" s="244"/>
      <c r="AB459" s="43"/>
      <c r="AC459" s="43"/>
      <c r="AD459" s="43"/>
      <c r="AE459" s="43"/>
      <c r="AF459" s="43"/>
      <c r="AG459" s="43"/>
      <c r="AH459" s="43"/>
    </row>
    <row r="460" spans="1:34">
      <c r="A460" s="43"/>
      <c r="B460" s="43"/>
      <c r="C460" s="43"/>
      <c r="D460" s="43"/>
      <c r="E460" s="43"/>
      <c r="F460" s="43"/>
      <c r="G460" s="43"/>
      <c r="H460" s="244"/>
      <c r="I460" s="244"/>
      <c r="J460" s="244"/>
      <c r="K460" s="244"/>
      <c r="L460" s="244"/>
      <c r="M460" s="244"/>
      <c r="N460" s="244"/>
      <c r="O460" s="244"/>
      <c r="P460" s="244"/>
      <c r="Q460" s="245"/>
      <c r="R460" s="244"/>
      <c r="S460" s="244"/>
      <c r="T460" s="244"/>
      <c r="U460" s="244"/>
      <c r="V460" s="244"/>
      <c r="W460" s="245"/>
      <c r="X460" s="253"/>
      <c r="Y460" s="253"/>
      <c r="Z460" s="244"/>
      <c r="AA460" s="244"/>
      <c r="AB460" s="43"/>
      <c r="AC460" s="43"/>
      <c r="AD460" s="43"/>
      <c r="AE460" s="43"/>
      <c r="AF460" s="43"/>
      <c r="AG460" s="43"/>
      <c r="AH460" s="43"/>
    </row>
    <row r="461" spans="1:34">
      <c r="A461" s="43"/>
      <c r="B461" s="43"/>
      <c r="C461" s="43"/>
      <c r="D461" s="43"/>
      <c r="E461" s="43"/>
      <c r="F461" s="43"/>
      <c r="G461" s="43"/>
      <c r="H461" s="244"/>
      <c r="I461" s="244"/>
      <c r="J461" s="244"/>
      <c r="K461" s="244"/>
      <c r="L461" s="244"/>
      <c r="M461" s="244"/>
      <c r="N461" s="244"/>
      <c r="O461" s="244"/>
      <c r="P461" s="244"/>
      <c r="Q461" s="245"/>
      <c r="R461" s="244"/>
      <c r="S461" s="244"/>
      <c r="T461" s="244"/>
      <c r="U461" s="244"/>
      <c r="V461" s="244"/>
      <c r="W461" s="245"/>
      <c r="X461" s="253"/>
      <c r="Y461" s="253"/>
      <c r="Z461" s="244"/>
      <c r="AA461" s="244"/>
      <c r="AB461" s="43"/>
      <c r="AC461" s="43"/>
      <c r="AD461" s="43"/>
      <c r="AE461" s="43"/>
      <c r="AF461" s="43"/>
      <c r="AG461" s="43"/>
      <c r="AH461" s="43"/>
    </row>
    <row r="462" spans="1:34">
      <c r="A462" s="43"/>
      <c r="B462" s="43"/>
      <c r="C462" s="43"/>
      <c r="D462" s="43"/>
      <c r="E462" s="43"/>
      <c r="F462" s="43"/>
      <c r="G462" s="43"/>
      <c r="H462" s="244"/>
      <c r="I462" s="244"/>
      <c r="J462" s="244"/>
      <c r="K462" s="244"/>
      <c r="L462" s="244"/>
      <c r="M462" s="244"/>
      <c r="N462" s="244"/>
      <c r="O462" s="244"/>
      <c r="P462" s="244"/>
      <c r="Q462" s="245"/>
      <c r="R462" s="244"/>
      <c r="S462" s="244"/>
      <c r="T462" s="244"/>
      <c r="U462" s="244"/>
      <c r="V462" s="244"/>
      <c r="W462" s="245"/>
      <c r="X462" s="253"/>
      <c r="Y462" s="253"/>
      <c r="Z462" s="244"/>
      <c r="AA462" s="244"/>
      <c r="AB462" s="43"/>
      <c r="AC462" s="43"/>
      <c r="AD462" s="43"/>
      <c r="AE462" s="43"/>
      <c r="AF462" s="43"/>
      <c r="AG462" s="43"/>
      <c r="AH462" s="43"/>
    </row>
    <row r="463" spans="1:34">
      <c r="A463" s="43"/>
      <c r="B463" s="43"/>
      <c r="C463" s="43"/>
      <c r="D463" s="43"/>
      <c r="E463" s="43"/>
      <c r="F463" s="43"/>
      <c r="G463" s="43"/>
      <c r="H463" s="244"/>
      <c r="I463" s="244"/>
      <c r="J463" s="244"/>
      <c r="K463" s="244"/>
      <c r="L463" s="244"/>
      <c r="M463" s="244"/>
      <c r="N463" s="244"/>
      <c r="O463" s="244"/>
      <c r="P463" s="244"/>
      <c r="Q463" s="245"/>
      <c r="R463" s="244"/>
      <c r="S463" s="244"/>
      <c r="T463" s="244"/>
      <c r="U463" s="244"/>
      <c r="V463" s="244"/>
      <c r="W463" s="245"/>
      <c r="X463" s="253"/>
      <c r="Y463" s="253"/>
      <c r="Z463" s="244"/>
      <c r="AA463" s="244"/>
      <c r="AB463" s="43"/>
      <c r="AC463" s="43"/>
      <c r="AD463" s="43"/>
      <c r="AE463" s="43"/>
      <c r="AF463" s="43"/>
      <c r="AG463" s="43"/>
      <c r="AH463" s="43"/>
    </row>
    <row r="464" spans="1:34">
      <c r="A464" s="43"/>
      <c r="B464" s="43"/>
      <c r="C464" s="43"/>
      <c r="D464" s="43"/>
      <c r="E464" s="43"/>
      <c r="F464" s="43"/>
      <c r="G464" s="43"/>
      <c r="H464" s="244"/>
      <c r="I464" s="244"/>
      <c r="J464" s="244"/>
      <c r="K464" s="244"/>
      <c r="L464" s="244"/>
      <c r="M464" s="244"/>
      <c r="N464" s="244"/>
      <c r="O464" s="244"/>
      <c r="P464" s="244"/>
      <c r="Q464" s="245"/>
      <c r="R464" s="244"/>
      <c r="S464" s="244"/>
      <c r="T464" s="244"/>
      <c r="U464" s="244"/>
      <c r="V464" s="244"/>
      <c r="W464" s="245"/>
      <c r="X464" s="253"/>
      <c r="Y464" s="253"/>
      <c r="Z464" s="244"/>
      <c r="AA464" s="244"/>
      <c r="AB464" s="43"/>
      <c r="AC464" s="43"/>
      <c r="AD464" s="43"/>
      <c r="AE464" s="43"/>
      <c r="AF464" s="43"/>
      <c r="AG464" s="43"/>
      <c r="AH464" s="43"/>
    </row>
    <row r="465" spans="1:34">
      <c r="A465" s="43"/>
      <c r="B465" s="43"/>
      <c r="C465" s="43"/>
      <c r="D465" s="43"/>
      <c r="E465" s="43"/>
      <c r="F465" s="43"/>
      <c r="G465" s="43"/>
      <c r="H465" s="244"/>
      <c r="I465" s="244"/>
      <c r="J465" s="244"/>
      <c r="K465" s="244"/>
      <c r="L465" s="244"/>
      <c r="M465" s="244"/>
      <c r="N465" s="244"/>
      <c r="O465" s="244"/>
      <c r="P465" s="244"/>
      <c r="Q465" s="245"/>
      <c r="R465" s="244"/>
      <c r="S465" s="244"/>
      <c r="T465" s="244"/>
      <c r="U465" s="244"/>
      <c r="V465" s="244"/>
      <c r="W465" s="245"/>
      <c r="X465" s="253"/>
      <c r="Y465" s="253"/>
      <c r="Z465" s="244"/>
      <c r="AA465" s="244"/>
      <c r="AB465" s="43"/>
      <c r="AC465" s="43"/>
      <c r="AD465" s="43"/>
      <c r="AE465" s="43"/>
      <c r="AF465" s="43"/>
      <c r="AG465" s="43"/>
      <c r="AH465" s="43"/>
    </row>
    <row r="466" spans="1:34">
      <c r="A466" s="43"/>
      <c r="B466" s="43"/>
      <c r="C466" s="43"/>
      <c r="D466" s="43"/>
      <c r="E466" s="43"/>
      <c r="F466" s="43"/>
      <c r="G466" s="43"/>
      <c r="H466" s="244"/>
      <c r="I466" s="244"/>
      <c r="J466" s="244"/>
      <c r="K466" s="244"/>
      <c r="L466" s="244"/>
      <c r="M466" s="244"/>
      <c r="N466" s="244"/>
      <c r="O466" s="244"/>
      <c r="P466" s="244"/>
      <c r="Q466" s="245"/>
      <c r="R466" s="244"/>
      <c r="S466" s="244"/>
      <c r="T466" s="244"/>
      <c r="U466" s="244"/>
      <c r="V466" s="244"/>
      <c r="W466" s="245"/>
      <c r="X466" s="253"/>
      <c r="Y466" s="253"/>
      <c r="Z466" s="244"/>
      <c r="AA466" s="244"/>
      <c r="AB466" s="43"/>
      <c r="AC466" s="43"/>
      <c r="AD466" s="43"/>
      <c r="AE466" s="43"/>
      <c r="AF466" s="43"/>
      <c r="AG466" s="43"/>
      <c r="AH466" s="43"/>
    </row>
    <row r="467" spans="1:34">
      <c r="A467" s="43"/>
      <c r="B467" s="43"/>
      <c r="C467" s="43"/>
      <c r="D467" s="43"/>
      <c r="E467" s="43"/>
      <c r="F467" s="43"/>
      <c r="G467" s="43"/>
      <c r="H467" s="244"/>
      <c r="I467" s="244"/>
      <c r="J467" s="244"/>
      <c r="K467" s="244"/>
      <c r="L467" s="244"/>
      <c r="M467" s="244"/>
      <c r="N467" s="244"/>
      <c r="O467" s="244"/>
      <c r="P467" s="244"/>
      <c r="Q467" s="245"/>
      <c r="R467" s="244"/>
      <c r="S467" s="244"/>
      <c r="T467" s="244"/>
      <c r="U467" s="244"/>
      <c r="V467" s="244"/>
      <c r="W467" s="245"/>
      <c r="X467" s="253"/>
      <c r="Y467" s="253"/>
      <c r="Z467" s="244"/>
      <c r="AA467" s="244"/>
      <c r="AB467" s="43"/>
      <c r="AC467" s="43"/>
      <c r="AD467" s="43"/>
      <c r="AE467" s="43"/>
      <c r="AF467" s="43"/>
      <c r="AG467" s="43"/>
      <c r="AH467" s="43"/>
    </row>
    <row r="468" spans="1:34">
      <c r="A468" s="43"/>
      <c r="B468" s="43"/>
      <c r="C468" s="43"/>
      <c r="D468" s="43"/>
      <c r="E468" s="43"/>
      <c r="F468" s="43"/>
      <c r="G468" s="43"/>
      <c r="H468" s="244"/>
      <c r="I468" s="244"/>
      <c r="J468" s="244"/>
      <c r="K468" s="244"/>
      <c r="L468" s="244"/>
      <c r="M468" s="244"/>
      <c r="N468" s="244"/>
      <c r="O468" s="244"/>
      <c r="P468" s="244"/>
      <c r="Q468" s="245"/>
      <c r="R468" s="244"/>
      <c r="S468" s="244"/>
      <c r="T468" s="244"/>
      <c r="U468" s="244"/>
      <c r="V468" s="244"/>
      <c r="W468" s="245"/>
      <c r="X468" s="253"/>
      <c r="Y468" s="253"/>
      <c r="Z468" s="244"/>
      <c r="AA468" s="244"/>
      <c r="AB468" s="43"/>
      <c r="AC468" s="43"/>
      <c r="AD468" s="43"/>
      <c r="AE468" s="43"/>
      <c r="AF468" s="43"/>
      <c r="AG468" s="43"/>
      <c r="AH468" s="43"/>
    </row>
    <row r="469" spans="1:34">
      <c r="A469" s="43"/>
      <c r="B469" s="43"/>
      <c r="C469" s="43"/>
      <c r="D469" s="43"/>
      <c r="E469" s="43"/>
      <c r="F469" s="43"/>
      <c r="G469" s="43"/>
      <c r="H469" s="244"/>
      <c r="I469" s="244"/>
      <c r="J469" s="244"/>
      <c r="K469" s="244"/>
      <c r="L469" s="244"/>
      <c r="M469" s="244"/>
      <c r="N469" s="244"/>
      <c r="O469" s="244"/>
      <c r="P469" s="244"/>
      <c r="Q469" s="245"/>
      <c r="R469" s="244"/>
      <c r="S469" s="244"/>
      <c r="T469" s="244"/>
      <c r="U469" s="244"/>
      <c r="V469" s="244"/>
      <c r="W469" s="245"/>
      <c r="X469" s="253"/>
      <c r="Y469" s="253"/>
      <c r="Z469" s="244"/>
      <c r="AA469" s="244"/>
      <c r="AB469" s="43"/>
      <c r="AC469" s="43"/>
      <c r="AD469" s="43"/>
      <c r="AE469" s="43"/>
      <c r="AF469" s="43"/>
      <c r="AG469" s="43"/>
      <c r="AH469" s="43"/>
    </row>
    <row r="470" spans="1:34">
      <c r="A470" s="43"/>
      <c r="B470" s="43"/>
      <c r="C470" s="43"/>
      <c r="D470" s="43"/>
      <c r="E470" s="43"/>
      <c r="F470" s="43"/>
      <c r="G470" s="43"/>
      <c r="H470" s="244"/>
      <c r="I470" s="244"/>
      <c r="J470" s="244"/>
      <c r="K470" s="244"/>
      <c r="L470" s="244"/>
      <c r="M470" s="244"/>
      <c r="N470" s="244"/>
      <c r="O470" s="244"/>
      <c r="P470" s="244"/>
      <c r="Q470" s="245"/>
      <c r="R470" s="244"/>
      <c r="S470" s="244"/>
      <c r="T470" s="244"/>
      <c r="U470" s="244"/>
      <c r="V470" s="244"/>
      <c r="W470" s="245"/>
      <c r="X470" s="253"/>
      <c r="Y470" s="253"/>
      <c r="Z470" s="244"/>
      <c r="AA470" s="244"/>
      <c r="AB470" s="43"/>
      <c r="AC470" s="43"/>
      <c r="AD470" s="43"/>
      <c r="AE470" s="43"/>
      <c r="AF470" s="43"/>
      <c r="AG470" s="43"/>
      <c r="AH470" s="43"/>
    </row>
    <row r="471" spans="1:34">
      <c r="A471" s="43"/>
      <c r="B471" s="43"/>
      <c r="C471" s="43"/>
      <c r="D471" s="43"/>
      <c r="E471" s="43"/>
      <c r="F471" s="43"/>
      <c r="G471" s="43"/>
      <c r="H471" s="244"/>
      <c r="I471" s="244"/>
      <c r="J471" s="244"/>
      <c r="K471" s="244"/>
      <c r="L471" s="244"/>
      <c r="M471" s="244"/>
      <c r="N471" s="244"/>
      <c r="O471" s="244"/>
      <c r="P471" s="244"/>
      <c r="Q471" s="245"/>
      <c r="R471" s="244"/>
      <c r="S471" s="244"/>
      <c r="T471" s="244"/>
      <c r="U471" s="244"/>
      <c r="V471" s="244"/>
      <c r="W471" s="245"/>
      <c r="X471" s="253"/>
      <c r="Y471" s="253"/>
      <c r="Z471" s="244"/>
      <c r="AA471" s="244"/>
      <c r="AB471" s="43"/>
      <c r="AC471" s="43"/>
      <c r="AD471" s="43"/>
      <c r="AE471" s="43"/>
      <c r="AF471" s="43"/>
      <c r="AG471" s="43"/>
      <c r="AH471" s="43"/>
    </row>
    <row r="472" spans="1:34">
      <c r="A472" s="43"/>
      <c r="B472" s="43"/>
      <c r="C472" s="43"/>
      <c r="D472" s="43"/>
      <c r="E472" s="43"/>
      <c r="F472" s="43"/>
      <c r="G472" s="43"/>
      <c r="H472" s="244"/>
      <c r="I472" s="244"/>
      <c r="J472" s="244"/>
      <c r="K472" s="244"/>
      <c r="L472" s="244"/>
      <c r="M472" s="244"/>
      <c r="N472" s="244"/>
      <c r="O472" s="244"/>
      <c r="P472" s="244"/>
      <c r="Q472" s="245"/>
      <c r="R472" s="244"/>
      <c r="S472" s="244"/>
      <c r="T472" s="244"/>
      <c r="U472" s="244"/>
      <c r="V472" s="244"/>
      <c r="W472" s="245"/>
      <c r="X472" s="253"/>
      <c r="Y472" s="253"/>
      <c r="Z472" s="244"/>
      <c r="AA472" s="244"/>
      <c r="AB472" s="43"/>
      <c r="AC472" s="43"/>
      <c r="AD472" s="43"/>
      <c r="AE472" s="43"/>
      <c r="AF472" s="43"/>
      <c r="AG472" s="43"/>
      <c r="AH472" s="43"/>
    </row>
    <row r="473" spans="1:34">
      <c r="A473" s="43"/>
      <c r="B473" s="43"/>
      <c r="C473" s="43"/>
      <c r="D473" s="43"/>
      <c r="E473" s="43"/>
      <c r="F473" s="43"/>
      <c r="G473" s="43"/>
      <c r="H473" s="244"/>
      <c r="I473" s="244"/>
      <c r="J473" s="244"/>
      <c r="K473" s="244"/>
      <c r="L473" s="244"/>
      <c r="M473" s="244"/>
      <c r="N473" s="244"/>
      <c r="O473" s="244"/>
      <c r="P473" s="244"/>
      <c r="Q473" s="245"/>
      <c r="R473" s="244"/>
      <c r="S473" s="244"/>
      <c r="T473" s="244"/>
      <c r="U473" s="244"/>
      <c r="V473" s="244"/>
      <c r="W473" s="245"/>
      <c r="X473" s="253"/>
      <c r="Y473" s="253"/>
      <c r="Z473" s="244"/>
      <c r="AA473" s="244"/>
      <c r="AB473" s="43"/>
      <c r="AC473" s="43"/>
      <c r="AD473" s="43"/>
      <c r="AE473" s="43"/>
      <c r="AF473" s="43"/>
      <c r="AG473" s="43"/>
      <c r="AH473" s="43"/>
    </row>
    <row r="474" spans="1:34">
      <c r="A474" s="43"/>
      <c r="B474" s="43"/>
      <c r="C474" s="43"/>
      <c r="D474" s="43"/>
      <c r="E474" s="43"/>
      <c r="F474" s="43"/>
      <c r="G474" s="43"/>
      <c r="H474" s="244"/>
      <c r="I474" s="244"/>
      <c r="J474" s="244"/>
      <c r="K474" s="244"/>
      <c r="L474" s="244"/>
      <c r="M474" s="244"/>
      <c r="N474" s="244"/>
      <c r="O474" s="244"/>
      <c r="P474" s="244"/>
      <c r="Q474" s="245"/>
      <c r="R474" s="244"/>
      <c r="S474" s="244"/>
      <c r="T474" s="244"/>
      <c r="U474" s="244"/>
      <c r="V474" s="244"/>
      <c r="W474" s="245"/>
      <c r="X474" s="253"/>
      <c r="Y474" s="253"/>
      <c r="Z474" s="244"/>
      <c r="AA474" s="244"/>
      <c r="AB474" s="43"/>
      <c r="AC474" s="43"/>
      <c r="AD474" s="43"/>
      <c r="AE474" s="43"/>
      <c r="AF474" s="43"/>
      <c r="AG474" s="43"/>
      <c r="AH474" s="43"/>
    </row>
    <row r="475" spans="1:34">
      <c r="A475" s="43"/>
      <c r="B475" s="43"/>
      <c r="C475" s="43"/>
      <c r="D475" s="43"/>
      <c r="E475" s="43"/>
      <c r="F475" s="43"/>
      <c r="G475" s="43"/>
      <c r="H475" s="244"/>
      <c r="I475" s="244"/>
      <c r="J475" s="244"/>
      <c r="K475" s="244"/>
      <c r="L475" s="244"/>
      <c r="M475" s="244"/>
      <c r="N475" s="244"/>
      <c r="O475" s="244"/>
      <c r="P475" s="244"/>
      <c r="Q475" s="245"/>
      <c r="R475" s="244"/>
      <c r="S475" s="244"/>
      <c r="T475" s="244"/>
      <c r="U475" s="244"/>
      <c r="V475" s="244"/>
      <c r="W475" s="245"/>
      <c r="X475" s="253"/>
      <c r="Y475" s="253"/>
      <c r="Z475" s="244"/>
      <c r="AA475" s="244"/>
      <c r="AB475" s="43"/>
      <c r="AC475" s="43"/>
      <c r="AD475" s="43"/>
      <c r="AE475" s="43"/>
      <c r="AF475" s="43"/>
      <c r="AG475" s="43"/>
      <c r="AH475" s="43"/>
    </row>
    <row r="476" spans="1:34">
      <c r="A476" s="43"/>
      <c r="B476" s="43"/>
      <c r="C476" s="43"/>
      <c r="D476" s="43"/>
      <c r="E476" s="43"/>
      <c r="F476" s="43"/>
      <c r="G476" s="43"/>
      <c r="H476" s="244"/>
      <c r="I476" s="244"/>
      <c r="J476" s="244"/>
      <c r="K476" s="244"/>
      <c r="L476" s="244"/>
      <c r="M476" s="244"/>
      <c r="N476" s="244"/>
      <c r="O476" s="244"/>
      <c r="P476" s="244"/>
      <c r="Q476" s="245"/>
      <c r="R476" s="244"/>
      <c r="S476" s="244"/>
      <c r="T476" s="244"/>
      <c r="U476" s="244"/>
      <c r="V476" s="244"/>
      <c r="W476" s="245"/>
      <c r="X476" s="253"/>
      <c r="Y476" s="253"/>
      <c r="Z476" s="244"/>
      <c r="AA476" s="244"/>
      <c r="AB476" s="43"/>
      <c r="AC476" s="43"/>
      <c r="AD476" s="43"/>
      <c r="AE476" s="43"/>
      <c r="AF476" s="43"/>
      <c r="AG476" s="43"/>
      <c r="AH476" s="43"/>
    </row>
    <row r="477" spans="1:34">
      <c r="A477" s="43"/>
      <c r="B477" s="43"/>
      <c r="C477" s="43"/>
      <c r="D477" s="43"/>
      <c r="E477" s="43"/>
      <c r="F477" s="43"/>
      <c r="G477" s="43"/>
      <c r="H477" s="244"/>
      <c r="I477" s="244"/>
      <c r="J477" s="244"/>
      <c r="K477" s="244"/>
      <c r="L477" s="244"/>
      <c r="M477" s="244"/>
      <c r="N477" s="244"/>
      <c r="O477" s="244"/>
      <c r="P477" s="244"/>
      <c r="Q477" s="245"/>
      <c r="R477" s="244"/>
      <c r="S477" s="244"/>
      <c r="T477" s="244"/>
      <c r="U477" s="244"/>
      <c r="V477" s="244"/>
      <c r="W477" s="245"/>
      <c r="X477" s="253"/>
      <c r="Y477" s="253"/>
      <c r="Z477" s="244"/>
      <c r="AA477" s="244"/>
      <c r="AB477" s="43"/>
      <c r="AC477" s="43"/>
      <c r="AD477" s="43"/>
      <c r="AE477" s="43"/>
      <c r="AF477" s="43"/>
      <c r="AG477" s="43"/>
      <c r="AH477" s="43"/>
    </row>
    <row r="478" spans="1:34">
      <c r="A478" s="43"/>
      <c r="B478" s="43"/>
      <c r="C478" s="43"/>
      <c r="D478" s="43"/>
      <c r="E478" s="43"/>
      <c r="F478" s="43"/>
      <c r="G478" s="43"/>
      <c r="H478" s="244"/>
      <c r="I478" s="244"/>
      <c r="J478" s="244"/>
      <c r="K478" s="244"/>
      <c r="L478" s="244"/>
      <c r="M478" s="244"/>
      <c r="N478" s="244"/>
      <c r="O478" s="244"/>
      <c r="P478" s="244"/>
      <c r="Q478" s="245"/>
      <c r="R478" s="244"/>
      <c r="S478" s="244"/>
      <c r="T478" s="244"/>
      <c r="U478" s="244"/>
      <c r="V478" s="244"/>
      <c r="W478" s="245"/>
      <c r="X478" s="253"/>
      <c r="Y478" s="253"/>
      <c r="Z478" s="244"/>
      <c r="AA478" s="244"/>
      <c r="AB478" s="43"/>
      <c r="AC478" s="43"/>
      <c r="AD478" s="43"/>
      <c r="AE478" s="43"/>
      <c r="AF478" s="43"/>
      <c r="AG478" s="43"/>
      <c r="AH478" s="43"/>
    </row>
    <row r="479" spans="1:34">
      <c r="A479" s="43"/>
      <c r="B479" s="43"/>
      <c r="C479" s="43"/>
      <c r="D479" s="43"/>
      <c r="E479" s="43"/>
      <c r="F479" s="43"/>
      <c r="G479" s="43"/>
      <c r="H479" s="244"/>
      <c r="I479" s="244"/>
      <c r="J479" s="244"/>
      <c r="K479" s="244"/>
      <c r="L479" s="244"/>
      <c r="M479" s="244"/>
      <c r="N479" s="244"/>
      <c r="O479" s="244"/>
      <c r="P479" s="244"/>
      <c r="Q479" s="245"/>
      <c r="R479" s="244"/>
      <c r="S479" s="244"/>
      <c r="T479" s="244"/>
      <c r="U479" s="244"/>
      <c r="V479" s="244"/>
      <c r="W479" s="245"/>
      <c r="X479" s="253"/>
      <c r="Y479" s="253"/>
      <c r="Z479" s="244"/>
      <c r="AA479" s="244"/>
      <c r="AB479" s="43"/>
      <c r="AC479" s="43"/>
      <c r="AD479" s="43"/>
      <c r="AE479" s="43"/>
      <c r="AF479" s="43"/>
      <c r="AG479" s="43"/>
      <c r="AH479" s="43"/>
    </row>
    <row r="480" spans="1:34">
      <c r="A480" s="43"/>
      <c r="B480" s="43"/>
      <c r="C480" s="43"/>
      <c r="D480" s="43"/>
      <c r="E480" s="43"/>
      <c r="F480" s="43"/>
      <c r="G480" s="43"/>
      <c r="H480" s="244"/>
      <c r="I480" s="244"/>
      <c r="J480" s="244"/>
      <c r="K480" s="244"/>
      <c r="L480" s="244"/>
      <c r="M480" s="244"/>
      <c r="N480" s="244"/>
      <c r="O480" s="244"/>
      <c r="P480" s="244"/>
      <c r="Q480" s="245"/>
      <c r="R480" s="244"/>
      <c r="S480" s="244"/>
      <c r="T480" s="244"/>
      <c r="U480" s="244"/>
      <c r="V480" s="244"/>
      <c r="W480" s="245"/>
      <c r="X480" s="253"/>
      <c r="Y480" s="253"/>
      <c r="Z480" s="244"/>
      <c r="AA480" s="244"/>
      <c r="AB480" s="43"/>
      <c r="AC480" s="43"/>
      <c r="AD480" s="43"/>
      <c r="AE480" s="43"/>
      <c r="AF480" s="43"/>
      <c r="AG480" s="43"/>
      <c r="AH480" s="43"/>
    </row>
    <row r="481" spans="1:34">
      <c r="A481" s="43"/>
      <c r="B481" s="43"/>
      <c r="C481" s="43"/>
      <c r="D481" s="43"/>
      <c r="E481" s="43"/>
      <c r="F481" s="43"/>
      <c r="G481" s="43"/>
      <c r="H481" s="244"/>
      <c r="I481" s="244"/>
      <c r="J481" s="244"/>
      <c r="K481" s="244"/>
      <c r="L481" s="244"/>
      <c r="M481" s="244"/>
      <c r="N481" s="244"/>
      <c r="O481" s="244"/>
      <c r="P481" s="244"/>
      <c r="Q481" s="245"/>
      <c r="R481" s="244"/>
      <c r="S481" s="244"/>
      <c r="T481" s="244"/>
      <c r="U481" s="244"/>
      <c r="V481" s="244"/>
      <c r="W481" s="245"/>
      <c r="X481" s="253"/>
      <c r="Y481" s="253"/>
      <c r="Z481" s="244"/>
      <c r="AA481" s="244"/>
      <c r="AB481" s="43"/>
      <c r="AC481" s="43"/>
      <c r="AD481" s="43"/>
      <c r="AE481" s="43"/>
      <c r="AF481" s="43"/>
      <c r="AG481" s="43"/>
      <c r="AH481" s="43"/>
    </row>
    <row r="482" spans="1:34">
      <c r="A482" s="43"/>
      <c r="B482" s="43"/>
      <c r="C482" s="43"/>
      <c r="D482" s="43"/>
      <c r="E482" s="43"/>
      <c r="F482" s="43"/>
      <c r="G482" s="43"/>
      <c r="H482" s="244"/>
      <c r="I482" s="244"/>
      <c r="J482" s="244"/>
      <c r="K482" s="244"/>
      <c r="L482" s="244"/>
      <c r="M482" s="244"/>
      <c r="N482" s="244"/>
      <c r="O482" s="244"/>
      <c r="P482" s="244"/>
      <c r="Q482" s="245"/>
      <c r="R482" s="244"/>
      <c r="S482" s="244"/>
      <c r="T482" s="244"/>
      <c r="U482" s="244"/>
      <c r="V482" s="244"/>
      <c r="W482" s="245"/>
      <c r="X482" s="253"/>
      <c r="Y482" s="253"/>
      <c r="Z482" s="244"/>
      <c r="AA482" s="244"/>
      <c r="AB482" s="43"/>
      <c r="AC482" s="43"/>
      <c r="AD482" s="43"/>
      <c r="AE482" s="43"/>
      <c r="AF482" s="43"/>
      <c r="AG482" s="43"/>
      <c r="AH482" s="43"/>
    </row>
    <row r="483" spans="1:34">
      <c r="A483" s="43"/>
      <c r="B483" s="43"/>
      <c r="C483" s="43"/>
      <c r="D483" s="43"/>
      <c r="E483" s="43"/>
      <c r="F483" s="43"/>
      <c r="G483" s="43"/>
      <c r="H483" s="244"/>
      <c r="I483" s="244"/>
      <c r="J483" s="244"/>
      <c r="K483" s="244"/>
      <c r="L483" s="244"/>
      <c r="M483" s="244"/>
      <c r="N483" s="244"/>
      <c r="O483" s="244"/>
      <c r="P483" s="244"/>
      <c r="Q483" s="245"/>
      <c r="R483" s="244"/>
      <c r="S483" s="244"/>
      <c r="T483" s="244"/>
      <c r="U483" s="244"/>
      <c r="V483" s="244"/>
      <c r="W483" s="245"/>
      <c r="X483" s="253"/>
      <c r="Y483" s="253"/>
      <c r="Z483" s="244"/>
      <c r="AA483" s="244"/>
      <c r="AB483" s="43"/>
      <c r="AC483" s="43"/>
      <c r="AD483" s="43"/>
      <c r="AE483" s="43"/>
      <c r="AF483" s="43"/>
      <c r="AG483" s="43"/>
      <c r="AH483" s="43"/>
    </row>
    <row r="484" spans="1:34">
      <c r="A484" s="43"/>
      <c r="B484" s="43"/>
      <c r="C484" s="43"/>
      <c r="D484" s="43"/>
      <c r="E484" s="43"/>
      <c r="F484" s="43"/>
      <c r="G484" s="43"/>
      <c r="H484" s="244"/>
      <c r="I484" s="244"/>
      <c r="J484" s="244"/>
      <c r="K484" s="244"/>
      <c r="L484" s="244"/>
      <c r="M484" s="244"/>
      <c r="N484" s="244"/>
      <c r="O484" s="244"/>
      <c r="P484" s="244"/>
      <c r="Q484" s="245"/>
      <c r="R484" s="244"/>
      <c r="S484" s="244"/>
      <c r="T484" s="244"/>
      <c r="U484" s="244"/>
      <c r="V484" s="244"/>
      <c r="W484" s="245"/>
      <c r="X484" s="253"/>
      <c r="Y484" s="253"/>
      <c r="Z484" s="244"/>
      <c r="AA484" s="244"/>
      <c r="AB484" s="43"/>
      <c r="AC484" s="43"/>
      <c r="AD484" s="43"/>
      <c r="AE484" s="43"/>
      <c r="AF484" s="43"/>
      <c r="AG484" s="43"/>
      <c r="AH484" s="43"/>
    </row>
    <row r="485" spans="1:34">
      <c r="A485" s="43"/>
      <c r="B485" s="43"/>
      <c r="C485" s="43"/>
      <c r="D485" s="43"/>
      <c r="E485" s="43"/>
      <c r="F485" s="43"/>
      <c r="G485" s="43"/>
      <c r="H485" s="244"/>
      <c r="I485" s="244"/>
      <c r="J485" s="244"/>
      <c r="K485" s="244"/>
      <c r="L485" s="244"/>
      <c r="M485" s="244"/>
      <c r="N485" s="244"/>
      <c r="O485" s="244"/>
      <c r="P485" s="244"/>
      <c r="Q485" s="245"/>
      <c r="R485" s="244"/>
      <c r="S485" s="244"/>
      <c r="T485" s="244"/>
      <c r="U485" s="244"/>
      <c r="V485" s="244"/>
      <c r="W485" s="245"/>
      <c r="X485" s="253"/>
      <c r="Y485" s="253"/>
      <c r="Z485" s="244"/>
      <c r="AA485" s="244"/>
      <c r="AB485" s="43"/>
      <c r="AC485" s="43"/>
      <c r="AD485" s="43"/>
      <c r="AE485" s="43"/>
      <c r="AF485" s="43"/>
      <c r="AG485" s="43"/>
      <c r="AH485" s="43"/>
    </row>
    <row r="486" spans="1:34">
      <c r="A486" s="43"/>
      <c r="B486" s="43"/>
      <c r="C486" s="43"/>
      <c r="D486" s="43"/>
      <c r="E486" s="43"/>
      <c r="F486" s="43"/>
      <c r="G486" s="43"/>
      <c r="H486" s="244"/>
      <c r="I486" s="244"/>
      <c r="J486" s="244"/>
      <c r="K486" s="244"/>
      <c r="L486" s="244"/>
      <c r="M486" s="244"/>
      <c r="N486" s="244"/>
      <c r="O486" s="244"/>
      <c r="P486" s="244"/>
      <c r="Q486" s="245"/>
      <c r="R486" s="244"/>
      <c r="S486" s="244"/>
      <c r="T486" s="244"/>
      <c r="U486" s="244"/>
      <c r="V486" s="244"/>
      <c r="W486" s="245"/>
      <c r="X486" s="253"/>
      <c r="Y486" s="253"/>
      <c r="Z486" s="244"/>
      <c r="AA486" s="244"/>
      <c r="AB486" s="43"/>
      <c r="AC486" s="43"/>
      <c r="AD486" s="43"/>
      <c r="AE486" s="43"/>
      <c r="AF486" s="43"/>
      <c r="AG486" s="43"/>
      <c r="AH486" s="43"/>
    </row>
    <row r="487" spans="1:34">
      <c r="A487" s="43"/>
      <c r="B487" s="43"/>
      <c r="C487" s="43"/>
      <c r="D487" s="43"/>
      <c r="E487" s="43"/>
      <c r="F487" s="43"/>
      <c r="G487" s="43"/>
      <c r="H487" s="244"/>
      <c r="I487" s="244"/>
      <c r="J487" s="244"/>
      <c r="K487" s="244"/>
      <c r="L487" s="244"/>
      <c r="M487" s="244"/>
      <c r="N487" s="244"/>
      <c r="O487" s="244"/>
      <c r="P487" s="244"/>
      <c r="Q487" s="245"/>
      <c r="R487" s="244"/>
      <c r="S487" s="244"/>
      <c r="T487" s="244"/>
      <c r="U487" s="244"/>
      <c r="V487" s="244"/>
      <c r="W487" s="245"/>
      <c r="X487" s="253"/>
      <c r="Y487" s="253"/>
      <c r="Z487" s="244"/>
      <c r="AA487" s="244"/>
      <c r="AB487" s="43"/>
      <c r="AC487" s="43"/>
      <c r="AD487" s="43"/>
      <c r="AE487" s="43"/>
      <c r="AF487" s="43"/>
      <c r="AG487" s="43"/>
      <c r="AH487" s="43"/>
    </row>
    <row r="488" spans="1:34">
      <c r="A488" s="43"/>
      <c r="B488" s="43"/>
      <c r="C488" s="43"/>
      <c r="D488" s="43"/>
      <c r="E488" s="43"/>
      <c r="F488" s="43"/>
      <c r="G488" s="43"/>
      <c r="H488" s="244"/>
      <c r="I488" s="244"/>
      <c r="J488" s="244"/>
      <c r="K488" s="244"/>
      <c r="L488" s="244"/>
      <c r="M488" s="244"/>
      <c r="N488" s="244"/>
      <c r="O488" s="244"/>
      <c r="P488" s="244"/>
      <c r="Q488" s="245"/>
      <c r="R488" s="244"/>
      <c r="S488" s="244"/>
      <c r="T488" s="244"/>
      <c r="U488" s="244"/>
      <c r="V488" s="244"/>
      <c r="W488" s="245"/>
      <c r="X488" s="253"/>
      <c r="Y488" s="253"/>
      <c r="Z488" s="244"/>
      <c r="AA488" s="244"/>
      <c r="AB488" s="43"/>
      <c r="AC488" s="43"/>
      <c r="AD488" s="43"/>
      <c r="AE488" s="43"/>
      <c r="AF488" s="43"/>
      <c r="AG488" s="43"/>
      <c r="AH488" s="43"/>
    </row>
    <row r="489" spans="1:34">
      <c r="A489" s="43"/>
      <c r="B489" s="43"/>
      <c r="C489" s="43"/>
      <c r="D489" s="43"/>
      <c r="E489" s="43"/>
      <c r="F489" s="43"/>
      <c r="G489" s="43"/>
      <c r="H489" s="244"/>
      <c r="I489" s="244"/>
      <c r="J489" s="244"/>
      <c r="K489" s="244"/>
      <c r="L489" s="244"/>
      <c r="M489" s="244"/>
      <c r="N489" s="244"/>
      <c r="O489" s="244"/>
      <c r="P489" s="244"/>
      <c r="Q489" s="245"/>
      <c r="R489" s="244"/>
      <c r="S489" s="244"/>
      <c r="T489" s="244"/>
      <c r="U489" s="244"/>
      <c r="V489" s="244"/>
      <c r="W489" s="245"/>
      <c r="X489" s="253"/>
      <c r="Y489" s="253"/>
      <c r="Z489" s="244"/>
      <c r="AA489" s="244"/>
      <c r="AB489" s="43"/>
      <c r="AC489" s="43"/>
      <c r="AD489" s="43"/>
      <c r="AE489" s="43"/>
      <c r="AF489" s="43"/>
      <c r="AG489" s="43"/>
      <c r="AH489" s="43"/>
    </row>
    <row r="490" spans="1:34">
      <c r="A490" s="43"/>
      <c r="B490" s="43"/>
      <c r="C490" s="43"/>
      <c r="D490" s="43"/>
      <c r="E490" s="43"/>
      <c r="F490" s="43"/>
      <c r="G490" s="43"/>
      <c r="H490" s="244"/>
      <c r="I490" s="244"/>
      <c r="J490" s="244"/>
      <c r="K490" s="244"/>
      <c r="L490" s="244"/>
      <c r="M490" s="244"/>
      <c r="N490" s="244"/>
      <c r="O490" s="244"/>
      <c r="P490" s="244"/>
      <c r="Q490" s="245"/>
      <c r="R490" s="244"/>
      <c r="S490" s="244"/>
      <c r="T490" s="244"/>
      <c r="U490" s="244"/>
      <c r="V490" s="244"/>
      <c r="W490" s="245"/>
      <c r="X490" s="253"/>
      <c r="Y490" s="253"/>
      <c r="Z490" s="244"/>
      <c r="AA490" s="244"/>
      <c r="AB490" s="43"/>
      <c r="AC490" s="43"/>
      <c r="AD490" s="43"/>
      <c r="AE490" s="43"/>
      <c r="AF490" s="43"/>
      <c r="AG490" s="43"/>
      <c r="AH490" s="43"/>
    </row>
    <row r="491" spans="1:34">
      <c r="A491" s="43"/>
      <c r="B491" s="43"/>
      <c r="C491" s="43"/>
      <c r="D491" s="43"/>
      <c r="E491" s="43"/>
      <c r="F491" s="43"/>
      <c r="G491" s="43"/>
      <c r="H491" s="244"/>
      <c r="I491" s="244"/>
      <c r="J491" s="244"/>
      <c r="K491" s="244"/>
      <c r="L491" s="244"/>
      <c r="M491" s="244"/>
      <c r="N491" s="244"/>
      <c r="O491" s="244"/>
      <c r="P491" s="244"/>
      <c r="Q491" s="245"/>
      <c r="R491" s="244"/>
      <c r="S491" s="244"/>
      <c r="T491" s="244"/>
      <c r="U491" s="244"/>
      <c r="V491" s="244"/>
      <c r="W491" s="245"/>
      <c r="X491" s="253"/>
      <c r="Y491" s="253"/>
      <c r="Z491" s="244"/>
      <c r="AA491" s="244"/>
      <c r="AB491" s="43"/>
      <c r="AC491" s="43"/>
      <c r="AD491" s="43"/>
      <c r="AE491" s="43"/>
      <c r="AF491" s="43"/>
      <c r="AG491" s="43"/>
      <c r="AH491" s="43"/>
    </row>
    <row r="492" spans="1:34">
      <c r="A492" s="43"/>
      <c r="B492" s="43"/>
      <c r="C492" s="43"/>
      <c r="D492" s="43"/>
      <c r="E492" s="43"/>
      <c r="F492" s="43"/>
      <c r="G492" s="43"/>
      <c r="H492" s="244"/>
      <c r="I492" s="244"/>
      <c r="J492" s="244"/>
      <c r="K492" s="244"/>
      <c r="L492" s="244"/>
      <c r="M492" s="244"/>
      <c r="N492" s="244"/>
      <c r="O492" s="244"/>
      <c r="P492" s="244"/>
      <c r="Q492" s="245"/>
      <c r="R492" s="244"/>
      <c r="S492" s="244"/>
      <c r="T492" s="244"/>
      <c r="U492" s="244"/>
      <c r="V492" s="244"/>
      <c r="W492" s="245"/>
      <c r="X492" s="253"/>
      <c r="Y492" s="253"/>
      <c r="Z492" s="244"/>
      <c r="AA492" s="244"/>
      <c r="AB492" s="43"/>
      <c r="AC492" s="43"/>
      <c r="AD492" s="43"/>
      <c r="AE492" s="43"/>
      <c r="AF492" s="43"/>
      <c r="AG492" s="43"/>
      <c r="AH492" s="43"/>
    </row>
    <row r="493" spans="1:34">
      <c r="A493" s="43"/>
      <c r="B493" s="43"/>
      <c r="C493" s="43"/>
      <c r="D493" s="43"/>
      <c r="E493" s="43"/>
      <c r="F493" s="43"/>
      <c r="G493" s="43"/>
      <c r="H493" s="244"/>
      <c r="I493" s="244"/>
      <c r="J493" s="244"/>
      <c r="K493" s="244"/>
      <c r="L493" s="244"/>
      <c r="M493" s="244"/>
      <c r="N493" s="244"/>
      <c r="O493" s="244"/>
      <c r="P493" s="244"/>
      <c r="Q493" s="245"/>
      <c r="R493" s="244"/>
      <c r="S493" s="244"/>
      <c r="T493" s="244"/>
      <c r="U493" s="244"/>
      <c r="V493" s="244"/>
      <c r="W493" s="245"/>
      <c r="X493" s="253"/>
      <c r="Y493" s="253"/>
      <c r="Z493" s="244"/>
      <c r="AA493" s="244"/>
      <c r="AB493" s="43"/>
      <c r="AC493" s="43"/>
      <c r="AD493" s="43"/>
      <c r="AE493" s="43"/>
      <c r="AF493" s="43"/>
      <c r="AG493" s="43"/>
      <c r="AH493" s="43"/>
    </row>
    <row r="494" spans="1:34">
      <c r="A494" s="43"/>
      <c r="B494" s="43"/>
      <c r="C494" s="43"/>
      <c r="D494" s="43"/>
      <c r="E494" s="43"/>
      <c r="F494" s="43"/>
      <c r="G494" s="43"/>
      <c r="H494" s="244"/>
      <c r="I494" s="244"/>
      <c r="J494" s="244"/>
      <c r="K494" s="244"/>
      <c r="L494" s="244"/>
      <c r="M494" s="244"/>
      <c r="N494" s="244"/>
      <c r="O494" s="244"/>
      <c r="P494" s="244"/>
      <c r="Q494" s="245"/>
      <c r="R494" s="244"/>
      <c r="S494" s="244"/>
      <c r="T494" s="244"/>
      <c r="U494" s="244"/>
      <c r="V494" s="244"/>
      <c r="W494" s="245"/>
      <c r="X494" s="253"/>
      <c r="Y494" s="253"/>
      <c r="Z494" s="244"/>
      <c r="AA494" s="244"/>
      <c r="AB494" s="43"/>
      <c r="AC494" s="43"/>
      <c r="AD494" s="43"/>
      <c r="AE494" s="43"/>
      <c r="AF494" s="43"/>
      <c r="AG494" s="43"/>
      <c r="AH494" s="43"/>
    </row>
    <row r="495" spans="1:34">
      <c r="A495" s="43"/>
      <c r="B495" s="43"/>
      <c r="C495" s="43"/>
      <c r="D495" s="43"/>
      <c r="E495" s="43"/>
      <c r="F495" s="43"/>
      <c r="G495" s="43"/>
      <c r="H495" s="244"/>
      <c r="I495" s="244"/>
      <c r="J495" s="244"/>
      <c r="K495" s="244"/>
      <c r="L495" s="244"/>
      <c r="M495" s="244"/>
      <c r="N495" s="244"/>
      <c r="O495" s="244"/>
      <c r="P495" s="244"/>
      <c r="Q495" s="245"/>
      <c r="R495" s="244"/>
      <c r="S495" s="244"/>
      <c r="T495" s="244"/>
      <c r="U495" s="244"/>
      <c r="V495" s="244"/>
      <c r="W495" s="245"/>
      <c r="X495" s="253"/>
      <c r="Y495" s="253"/>
      <c r="Z495" s="244"/>
      <c r="AA495" s="244"/>
      <c r="AB495" s="43"/>
      <c r="AC495" s="43"/>
      <c r="AD495" s="43"/>
      <c r="AE495" s="43"/>
      <c r="AF495" s="43"/>
      <c r="AG495" s="43"/>
      <c r="AH495" s="43"/>
    </row>
    <row r="496" spans="1:34">
      <c r="A496" s="43"/>
      <c r="B496" s="43"/>
      <c r="C496" s="43"/>
      <c r="D496" s="43"/>
      <c r="E496" s="43"/>
      <c r="F496" s="43"/>
      <c r="G496" s="43"/>
      <c r="H496" s="244"/>
      <c r="I496" s="244"/>
      <c r="J496" s="244"/>
      <c r="K496" s="244"/>
      <c r="L496" s="244"/>
      <c r="M496" s="244"/>
      <c r="N496" s="244"/>
      <c r="O496" s="244"/>
      <c r="P496" s="244"/>
      <c r="Q496" s="245"/>
      <c r="R496" s="244"/>
      <c r="S496" s="244"/>
      <c r="T496" s="244"/>
      <c r="U496" s="244"/>
      <c r="V496" s="244"/>
      <c r="W496" s="245"/>
      <c r="X496" s="253"/>
      <c r="Y496" s="253"/>
      <c r="Z496" s="244"/>
      <c r="AA496" s="244"/>
      <c r="AB496" s="43"/>
      <c r="AC496" s="43"/>
      <c r="AD496" s="43"/>
      <c r="AE496" s="43"/>
      <c r="AF496" s="43"/>
      <c r="AG496" s="43"/>
      <c r="AH496" s="43"/>
    </row>
    <row r="497" spans="1:34">
      <c r="A497" s="43"/>
      <c r="B497" s="43"/>
      <c r="C497" s="43"/>
      <c r="D497" s="43"/>
      <c r="E497" s="43"/>
      <c r="F497" s="43"/>
      <c r="G497" s="43"/>
      <c r="H497" s="244"/>
      <c r="I497" s="244"/>
      <c r="J497" s="244"/>
      <c r="K497" s="244"/>
      <c r="L497" s="244"/>
      <c r="M497" s="244"/>
      <c r="N497" s="244"/>
      <c r="O497" s="244"/>
      <c r="P497" s="244"/>
      <c r="Q497" s="245"/>
      <c r="R497" s="244"/>
      <c r="S497" s="244"/>
      <c r="T497" s="244"/>
      <c r="U497" s="244"/>
      <c r="V497" s="244"/>
      <c r="W497" s="245"/>
      <c r="X497" s="253"/>
      <c r="Y497" s="253"/>
      <c r="Z497" s="244"/>
      <c r="AA497" s="244"/>
      <c r="AB497" s="43"/>
      <c r="AC497" s="43"/>
      <c r="AD497" s="43"/>
      <c r="AE497" s="43"/>
      <c r="AF497" s="43"/>
      <c r="AG497" s="43"/>
      <c r="AH497" s="43"/>
    </row>
    <row r="498" spans="1:34">
      <c r="A498" s="43"/>
      <c r="B498" s="43"/>
      <c r="C498" s="43"/>
      <c r="D498" s="43"/>
      <c r="E498" s="43"/>
      <c r="F498" s="43"/>
      <c r="G498" s="43"/>
      <c r="H498" s="244"/>
      <c r="I498" s="244"/>
      <c r="J498" s="244"/>
      <c r="K498" s="244"/>
      <c r="L498" s="244"/>
      <c r="M498" s="244"/>
      <c r="N498" s="244"/>
      <c r="O498" s="244"/>
      <c r="P498" s="244"/>
      <c r="Q498" s="245"/>
      <c r="R498" s="244"/>
      <c r="S498" s="244"/>
      <c r="T498" s="244"/>
      <c r="U498" s="244"/>
      <c r="V498" s="244"/>
      <c r="W498" s="245"/>
      <c r="X498" s="253"/>
      <c r="Y498" s="253"/>
      <c r="Z498" s="244"/>
      <c r="AA498" s="244"/>
      <c r="AB498" s="43"/>
      <c r="AC498" s="43"/>
      <c r="AD498" s="43"/>
      <c r="AE498" s="43"/>
      <c r="AF498" s="43"/>
      <c r="AG498" s="43"/>
      <c r="AH498" s="43"/>
    </row>
    <row r="499" spans="1:34">
      <c r="A499" s="43"/>
      <c r="B499" s="43"/>
      <c r="C499" s="43"/>
      <c r="D499" s="43"/>
      <c r="E499" s="43"/>
      <c r="F499" s="43"/>
      <c r="G499" s="43"/>
      <c r="H499" s="244"/>
      <c r="I499" s="244"/>
      <c r="J499" s="244"/>
      <c r="K499" s="244"/>
      <c r="L499" s="244"/>
      <c r="M499" s="244"/>
      <c r="N499" s="244"/>
      <c r="O499" s="244"/>
      <c r="P499" s="244"/>
      <c r="Q499" s="245"/>
      <c r="R499" s="244"/>
      <c r="S499" s="244"/>
      <c r="T499" s="244"/>
      <c r="U499" s="244"/>
      <c r="V499" s="244"/>
      <c r="W499" s="245"/>
      <c r="X499" s="253"/>
      <c r="Y499" s="253"/>
      <c r="Z499" s="244"/>
      <c r="AA499" s="244"/>
      <c r="AB499" s="43"/>
      <c r="AC499" s="43"/>
      <c r="AD499" s="43"/>
      <c r="AE499" s="43"/>
      <c r="AF499" s="43"/>
      <c r="AG499" s="43"/>
      <c r="AH499" s="43"/>
    </row>
    <row r="500" spans="1:34">
      <c r="A500" s="43"/>
      <c r="B500" s="43"/>
      <c r="C500" s="43"/>
      <c r="D500" s="43"/>
      <c r="E500" s="43"/>
      <c r="F500" s="43"/>
      <c r="G500" s="43"/>
      <c r="H500" s="244"/>
      <c r="I500" s="244"/>
      <c r="J500" s="244"/>
      <c r="K500" s="244"/>
      <c r="L500" s="244"/>
      <c r="M500" s="244"/>
      <c r="N500" s="244"/>
      <c r="O500" s="244"/>
      <c r="P500" s="244"/>
      <c r="Q500" s="245"/>
      <c r="R500" s="244"/>
      <c r="S500" s="244"/>
      <c r="T500" s="244"/>
      <c r="U500" s="244"/>
      <c r="V500" s="244"/>
      <c r="W500" s="245"/>
      <c r="X500" s="253"/>
      <c r="Y500" s="253"/>
      <c r="Z500" s="244"/>
      <c r="AA500" s="244"/>
      <c r="AB500" s="43"/>
      <c r="AC500" s="43"/>
      <c r="AD500" s="43"/>
      <c r="AE500" s="43"/>
      <c r="AF500" s="43"/>
      <c r="AG500" s="43"/>
      <c r="AH500" s="43"/>
    </row>
    <row r="501" spans="1:34">
      <c r="A501" s="43"/>
      <c r="B501" s="43"/>
      <c r="C501" s="43"/>
      <c r="D501" s="43"/>
      <c r="E501" s="43"/>
      <c r="F501" s="43"/>
      <c r="G501" s="43"/>
      <c r="H501" s="244"/>
      <c r="I501" s="244"/>
      <c r="J501" s="244"/>
      <c r="K501" s="244"/>
      <c r="L501" s="244"/>
      <c r="M501" s="244"/>
      <c r="N501" s="244"/>
      <c r="O501" s="244"/>
      <c r="P501" s="244"/>
      <c r="Q501" s="245"/>
      <c r="R501" s="244"/>
      <c r="S501" s="244"/>
      <c r="T501" s="244"/>
      <c r="U501" s="244"/>
      <c r="V501" s="244"/>
      <c r="W501" s="245"/>
      <c r="X501" s="253"/>
      <c r="Y501" s="253"/>
      <c r="Z501" s="244"/>
      <c r="AA501" s="244"/>
      <c r="AB501" s="43"/>
      <c r="AC501" s="43"/>
      <c r="AD501" s="43"/>
      <c r="AE501" s="43"/>
      <c r="AF501" s="43"/>
      <c r="AG501" s="43"/>
      <c r="AH501" s="43"/>
    </row>
    <row r="502" spans="1:34">
      <c r="A502" s="43"/>
      <c r="B502" s="43"/>
      <c r="C502" s="43"/>
      <c r="D502" s="43"/>
      <c r="E502" s="43"/>
      <c r="F502" s="43"/>
      <c r="G502" s="43"/>
      <c r="H502" s="244"/>
      <c r="I502" s="244"/>
      <c r="J502" s="244"/>
      <c r="K502" s="244"/>
      <c r="L502" s="244"/>
      <c r="M502" s="244"/>
      <c r="N502" s="244"/>
      <c r="O502" s="244"/>
      <c r="P502" s="244"/>
      <c r="Q502" s="245"/>
      <c r="R502" s="244"/>
      <c r="S502" s="244"/>
      <c r="T502" s="244"/>
      <c r="U502" s="244"/>
      <c r="V502" s="244"/>
      <c r="W502" s="245"/>
      <c r="X502" s="253"/>
      <c r="Y502" s="253"/>
      <c r="Z502" s="244"/>
      <c r="AA502" s="244"/>
      <c r="AB502" s="43"/>
      <c r="AC502" s="43"/>
      <c r="AD502" s="43"/>
      <c r="AE502" s="43"/>
      <c r="AF502" s="43"/>
      <c r="AG502" s="43"/>
      <c r="AH502" s="43"/>
    </row>
    <row r="503" spans="1:34">
      <c r="A503" s="43"/>
      <c r="B503" s="43"/>
      <c r="C503" s="43"/>
      <c r="D503" s="43"/>
      <c r="E503" s="43"/>
      <c r="F503" s="43"/>
      <c r="G503" s="43"/>
      <c r="H503" s="244"/>
      <c r="I503" s="244"/>
      <c r="J503" s="244"/>
      <c r="K503" s="244"/>
      <c r="L503" s="244"/>
      <c r="M503" s="244"/>
      <c r="N503" s="244"/>
      <c r="O503" s="244"/>
      <c r="P503" s="244"/>
      <c r="Q503" s="245"/>
      <c r="R503" s="244"/>
      <c r="S503" s="244"/>
      <c r="T503" s="244"/>
      <c r="U503" s="244"/>
      <c r="V503" s="244"/>
      <c r="W503" s="245"/>
      <c r="X503" s="253"/>
      <c r="Y503" s="253"/>
      <c r="Z503" s="244"/>
      <c r="AA503" s="244"/>
      <c r="AB503" s="43"/>
      <c r="AC503" s="43"/>
      <c r="AD503" s="43"/>
      <c r="AE503" s="43"/>
      <c r="AF503" s="43"/>
      <c r="AG503" s="43"/>
      <c r="AH503" s="43"/>
    </row>
    <row r="504" spans="1:34">
      <c r="A504" s="43"/>
      <c r="B504" s="43"/>
      <c r="C504" s="43"/>
      <c r="D504" s="43"/>
      <c r="E504" s="43"/>
      <c r="F504" s="43"/>
      <c r="G504" s="43"/>
      <c r="H504" s="244"/>
      <c r="I504" s="244"/>
      <c r="J504" s="244"/>
      <c r="K504" s="244"/>
      <c r="L504" s="244"/>
      <c r="M504" s="244"/>
      <c r="N504" s="244"/>
      <c r="O504" s="244"/>
      <c r="P504" s="244"/>
      <c r="Q504" s="245"/>
      <c r="R504" s="244"/>
      <c r="S504" s="244"/>
      <c r="T504" s="244"/>
      <c r="U504" s="244"/>
      <c r="V504" s="244"/>
      <c r="W504" s="245"/>
      <c r="X504" s="253"/>
      <c r="Y504" s="253"/>
      <c r="Z504" s="244"/>
      <c r="AA504" s="244"/>
      <c r="AB504" s="43"/>
      <c r="AC504" s="43"/>
      <c r="AD504" s="43"/>
      <c r="AE504" s="43"/>
      <c r="AF504" s="43"/>
      <c r="AG504" s="43"/>
      <c r="AH504" s="43"/>
    </row>
    <row r="505" spans="1:34">
      <c r="A505" s="43"/>
      <c r="B505" s="43"/>
      <c r="C505" s="43"/>
      <c r="D505" s="43"/>
      <c r="E505" s="43"/>
      <c r="F505" s="43"/>
      <c r="G505" s="43"/>
      <c r="H505" s="244"/>
      <c r="I505" s="244"/>
      <c r="J505" s="244"/>
      <c r="K505" s="244"/>
      <c r="L505" s="244"/>
      <c r="M505" s="244"/>
      <c r="N505" s="244"/>
      <c r="O505" s="244"/>
      <c r="P505" s="244"/>
      <c r="Q505" s="245"/>
      <c r="R505" s="244"/>
      <c r="S505" s="244"/>
      <c r="T505" s="244"/>
      <c r="U505" s="244"/>
      <c r="V505" s="244"/>
      <c r="W505" s="245"/>
      <c r="X505" s="253"/>
      <c r="Y505" s="253"/>
      <c r="Z505" s="244"/>
      <c r="AA505" s="244"/>
      <c r="AB505" s="43"/>
      <c r="AC505" s="43"/>
      <c r="AD505" s="43"/>
      <c r="AE505" s="43"/>
      <c r="AF505" s="43"/>
      <c r="AG505" s="43"/>
      <c r="AH505" s="43"/>
    </row>
    <row r="506" spans="1:34">
      <c r="A506" s="43"/>
      <c r="B506" s="43"/>
      <c r="C506" s="43"/>
      <c r="D506" s="43"/>
      <c r="E506" s="43"/>
      <c r="F506" s="43"/>
      <c r="G506" s="43"/>
      <c r="H506" s="244"/>
      <c r="I506" s="244"/>
      <c r="J506" s="244"/>
      <c r="K506" s="244"/>
      <c r="L506" s="244"/>
      <c r="M506" s="244"/>
      <c r="N506" s="244"/>
      <c r="O506" s="244"/>
      <c r="P506" s="244"/>
      <c r="Q506" s="245"/>
      <c r="R506" s="244"/>
      <c r="S506" s="244"/>
      <c r="T506" s="244"/>
      <c r="U506" s="244"/>
      <c r="V506" s="244"/>
      <c r="W506" s="245"/>
      <c r="X506" s="253"/>
      <c r="Y506" s="253"/>
      <c r="Z506" s="244"/>
      <c r="AA506" s="244"/>
      <c r="AB506" s="43"/>
      <c r="AC506" s="43"/>
      <c r="AD506" s="43"/>
      <c r="AE506" s="43"/>
      <c r="AF506" s="43"/>
      <c r="AG506" s="43"/>
      <c r="AH506" s="43"/>
    </row>
    <row r="507" spans="1:34">
      <c r="A507" s="43"/>
      <c r="B507" s="43"/>
      <c r="C507" s="43"/>
      <c r="D507" s="43"/>
      <c r="E507" s="43"/>
      <c r="F507" s="43"/>
      <c r="G507" s="43"/>
      <c r="H507" s="244"/>
      <c r="I507" s="244"/>
      <c r="J507" s="244"/>
      <c r="K507" s="244"/>
      <c r="L507" s="244"/>
      <c r="M507" s="244"/>
      <c r="N507" s="244"/>
      <c r="O507" s="244"/>
      <c r="P507" s="244"/>
      <c r="Q507" s="245"/>
      <c r="R507" s="244"/>
      <c r="S507" s="244"/>
      <c r="T507" s="244"/>
      <c r="U507" s="244"/>
      <c r="V507" s="244"/>
      <c r="W507" s="245"/>
      <c r="X507" s="253"/>
      <c r="Y507" s="253"/>
      <c r="Z507" s="244"/>
      <c r="AA507" s="244"/>
      <c r="AB507" s="43"/>
      <c r="AC507" s="43"/>
      <c r="AD507" s="43"/>
      <c r="AE507" s="43"/>
      <c r="AF507" s="43"/>
      <c r="AG507" s="43"/>
      <c r="AH507" s="43"/>
    </row>
    <row r="508" spans="1:34">
      <c r="A508" s="43"/>
      <c r="B508" s="43"/>
      <c r="C508" s="43"/>
      <c r="D508" s="43"/>
      <c r="E508" s="43"/>
      <c r="F508" s="43"/>
      <c r="G508" s="43"/>
      <c r="H508" s="244"/>
      <c r="I508" s="244"/>
      <c r="J508" s="244"/>
      <c r="K508" s="244"/>
      <c r="L508" s="244"/>
      <c r="M508" s="244"/>
      <c r="N508" s="244"/>
      <c r="O508" s="244"/>
      <c r="P508" s="244"/>
      <c r="Q508" s="245"/>
      <c r="R508" s="244"/>
      <c r="S508" s="244"/>
      <c r="T508" s="244"/>
      <c r="U508" s="244"/>
      <c r="V508" s="244"/>
      <c r="W508" s="245"/>
      <c r="X508" s="253"/>
      <c r="Y508" s="253"/>
      <c r="Z508" s="244"/>
      <c r="AA508" s="244"/>
      <c r="AB508" s="43"/>
      <c r="AC508" s="43"/>
      <c r="AD508" s="43"/>
      <c r="AE508" s="43"/>
      <c r="AF508" s="43"/>
      <c r="AG508" s="43"/>
      <c r="AH508" s="43"/>
    </row>
    <row r="509" spans="1:34">
      <c r="A509" s="43"/>
      <c r="B509" s="43"/>
      <c r="C509" s="43"/>
      <c r="D509" s="43"/>
      <c r="E509" s="43"/>
      <c r="F509" s="43"/>
      <c r="G509" s="43"/>
      <c r="H509" s="244"/>
      <c r="I509" s="244"/>
      <c r="J509" s="244"/>
      <c r="K509" s="244"/>
      <c r="L509" s="244"/>
      <c r="M509" s="244"/>
      <c r="N509" s="244"/>
      <c r="O509" s="244"/>
      <c r="P509" s="244"/>
      <c r="Q509" s="245"/>
      <c r="R509" s="244"/>
      <c r="S509" s="244"/>
      <c r="T509" s="244"/>
      <c r="U509" s="244"/>
      <c r="V509" s="244"/>
      <c r="W509" s="245"/>
      <c r="X509" s="253"/>
      <c r="Y509" s="253"/>
      <c r="Z509" s="244"/>
      <c r="AA509" s="244"/>
      <c r="AB509" s="43"/>
      <c r="AC509" s="43"/>
      <c r="AD509" s="43"/>
      <c r="AE509" s="43"/>
      <c r="AF509" s="43"/>
      <c r="AG509" s="43"/>
      <c r="AH509" s="43"/>
    </row>
    <row r="510" spans="1:34">
      <c r="A510" s="43"/>
      <c r="B510" s="43"/>
      <c r="C510" s="43"/>
      <c r="D510" s="43"/>
      <c r="E510" s="43"/>
      <c r="F510" s="43"/>
      <c r="G510" s="43"/>
      <c r="H510" s="244"/>
      <c r="I510" s="244"/>
      <c r="J510" s="244"/>
      <c r="K510" s="244"/>
      <c r="L510" s="244"/>
      <c r="M510" s="244"/>
      <c r="N510" s="244"/>
      <c r="O510" s="244"/>
      <c r="P510" s="244"/>
      <c r="Q510" s="245"/>
      <c r="R510" s="244"/>
      <c r="S510" s="244"/>
      <c r="T510" s="244"/>
      <c r="U510" s="244"/>
      <c r="V510" s="244"/>
      <c r="W510" s="245"/>
      <c r="X510" s="253"/>
      <c r="Y510" s="253"/>
      <c r="Z510" s="244"/>
      <c r="AA510" s="244"/>
      <c r="AB510" s="43"/>
      <c r="AC510" s="43"/>
      <c r="AD510" s="43"/>
      <c r="AE510" s="43"/>
      <c r="AF510" s="43"/>
      <c r="AG510" s="43"/>
      <c r="AH510" s="43"/>
    </row>
    <row r="511" spans="1:34">
      <c r="A511" s="43"/>
      <c r="B511" s="43"/>
      <c r="C511" s="43"/>
      <c r="D511" s="43"/>
      <c r="E511" s="43"/>
      <c r="F511" s="43"/>
      <c r="G511" s="43"/>
      <c r="H511" s="244"/>
      <c r="I511" s="244"/>
      <c r="J511" s="244"/>
      <c r="K511" s="244"/>
      <c r="L511" s="244"/>
      <c r="M511" s="244"/>
      <c r="N511" s="244"/>
      <c r="O511" s="244"/>
      <c r="P511" s="244"/>
      <c r="Q511" s="245"/>
      <c r="R511" s="244"/>
      <c r="S511" s="244"/>
      <c r="T511" s="244"/>
      <c r="U511" s="244"/>
      <c r="V511" s="244"/>
      <c r="W511" s="245"/>
      <c r="X511" s="253"/>
      <c r="Y511" s="253"/>
      <c r="Z511" s="244"/>
      <c r="AA511" s="244"/>
      <c r="AB511" s="43"/>
      <c r="AC511" s="43"/>
      <c r="AD511" s="43"/>
      <c r="AE511" s="43"/>
      <c r="AF511" s="43"/>
      <c r="AG511" s="43"/>
      <c r="AH511" s="43"/>
    </row>
    <row r="512" spans="1:34">
      <c r="A512" s="43"/>
      <c r="B512" s="43"/>
      <c r="C512" s="43"/>
      <c r="D512" s="43"/>
      <c r="E512" s="43"/>
      <c r="F512" s="43"/>
      <c r="G512" s="43"/>
      <c r="H512" s="244"/>
      <c r="I512" s="244"/>
      <c r="J512" s="244"/>
      <c r="K512" s="244"/>
      <c r="L512" s="244"/>
      <c r="M512" s="244"/>
      <c r="N512" s="244"/>
      <c r="O512" s="244"/>
      <c r="P512" s="244"/>
      <c r="Q512" s="245"/>
      <c r="R512" s="244"/>
      <c r="S512" s="244"/>
      <c r="T512" s="244"/>
      <c r="U512" s="244"/>
      <c r="V512" s="244"/>
      <c r="W512" s="245"/>
      <c r="X512" s="253"/>
      <c r="Y512" s="253"/>
      <c r="Z512" s="244"/>
      <c r="AA512" s="244"/>
      <c r="AB512" s="43"/>
      <c r="AC512" s="43"/>
      <c r="AD512" s="43"/>
      <c r="AE512" s="43"/>
      <c r="AF512" s="43"/>
      <c r="AG512" s="43"/>
      <c r="AH512" s="43"/>
    </row>
    <row r="513" spans="1:34">
      <c r="A513" s="43"/>
      <c r="B513" s="43"/>
      <c r="C513" s="43"/>
      <c r="D513" s="43"/>
      <c r="E513" s="43"/>
      <c r="F513" s="43"/>
      <c r="G513" s="43"/>
      <c r="H513" s="244"/>
      <c r="I513" s="244"/>
      <c r="J513" s="244"/>
      <c r="K513" s="244"/>
      <c r="L513" s="244"/>
      <c r="M513" s="244"/>
      <c r="N513" s="244"/>
      <c r="O513" s="244"/>
      <c r="P513" s="244"/>
      <c r="Q513" s="245"/>
      <c r="R513" s="244"/>
      <c r="S513" s="244"/>
      <c r="T513" s="244"/>
      <c r="U513" s="244"/>
      <c r="V513" s="244"/>
      <c r="W513" s="245"/>
      <c r="X513" s="253"/>
      <c r="Y513" s="253"/>
      <c r="Z513" s="244"/>
      <c r="AA513" s="244"/>
      <c r="AB513" s="43"/>
      <c r="AC513" s="43"/>
      <c r="AD513" s="43"/>
      <c r="AE513" s="43"/>
      <c r="AF513" s="43"/>
      <c r="AG513" s="43"/>
      <c r="AH513" s="43"/>
    </row>
    <row r="514" spans="1:34">
      <c r="A514" s="43"/>
      <c r="B514" s="43"/>
      <c r="C514" s="43"/>
      <c r="D514" s="43"/>
      <c r="E514" s="43"/>
      <c r="F514" s="43"/>
      <c r="G514" s="43"/>
      <c r="H514" s="244"/>
      <c r="I514" s="244"/>
      <c r="J514" s="244"/>
      <c r="K514" s="244"/>
      <c r="L514" s="244"/>
      <c r="M514" s="244"/>
      <c r="N514" s="244"/>
      <c r="O514" s="244"/>
      <c r="P514" s="244"/>
      <c r="Q514" s="245"/>
      <c r="R514" s="244"/>
      <c r="S514" s="244"/>
      <c r="T514" s="244"/>
      <c r="U514" s="244"/>
      <c r="V514" s="244"/>
      <c r="W514" s="245"/>
      <c r="X514" s="253"/>
      <c r="Y514" s="253"/>
      <c r="Z514" s="244"/>
      <c r="AA514" s="244"/>
      <c r="AB514" s="43"/>
      <c r="AC514" s="43"/>
      <c r="AD514" s="43"/>
      <c r="AE514" s="43"/>
      <c r="AF514" s="43"/>
      <c r="AG514" s="43"/>
      <c r="AH514" s="43"/>
    </row>
    <row r="515" spans="1:34">
      <c r="A515" s="43"/>
      <c r="B515" s="43"/>
      <c r="C515" s="43"/>
      <c r="D515" s="43"/>
      <c r="E515" s="43"/>
      <c r="F515" s="43"/>
      <c r="G515" s="43"/>
      <c r="H515" s="244"/>
      <c r="I515" s="244"/>
      <c r="J515" s="244"/>
      <c r="K515" s="244"/>
      <c r="L515" s="244"/>
      <c r="M515" s="244"/>
      <c r="N515" s="244"/>
      <c r="O515" s="244"/>
      <c r="P515" s="244"/>
      <c r="Q515" s="245"/>
      <c r="R515" s="244"/>
      <c r="S515" s="244"/>
      <c r="T515" s="244"/>
      <c r="U515" s="244"/>
      <c r="V515" s="244"/>
      <c r="W515" s="245"/>
      <c r="X515" s="253"/>
      <c r="Y515" s="253"/>
      <c r="Z515" s="244"/>
      <c r="AA515" s="244"/>
      <c r="AB515" s="43"/>
      <c r="AC515" s="43"/>
      <c r="AD515" s="43"/>
      <c r="AE515" s="43"/>
      <c r="AF515" s="43"/>
      <c r="AG515" s="43"/>
      <c r="AH515" s="43"/>
    </row>
    <row r="516" spans="1:34">
      <c r="A516" s="43"/>
      <c r="B516" s="43"/>
      <c r="C516" s="43"/>
      <c r="D516" s="43"/>
      <c r="E516" s="43"/>
      <c r="F516" s="43"/>
      <c r="G516" s="43"/>
      <c r="H516" s="244"/>
      <c r="I516" s="244"/>
      <c r="J516" s="244"/>
      <c r="K516" s="244"/>
      <c r="L516" s="244"/>
      <c r="M516" s="244"/>
      <c r="N516" s="244"/>
      <c r="O516" s="244"/>
      <c r="P516" s="244"/>
      <c r="Q516" s="245"/>
      <c r="R516" s="244"/>
      <c r="S516" s="244"/>
      <c r="T516" s="244"/>
      <c r="U516" s="244"/>
      <c r="V516" s="244"/>
      <c r="W516" s="245"/>
      <c r="X516" s="253"/>
      <c r="Y516" s="253"/>
      <c r="Z516" s="244"/>
      <c r="AA516" s="244"/>
      <c r="AB516" s="43"/>
      <c r="AC516" s="43"/>
      <c r="AD516" s="43"/>
      <c r="AE516" s="43"/>
      <c r="AF516" s="43"/>
      <c r="AG516" s="43"/>
      <c r="AH516" s="43"/>
    </row>
    <row r="517" spans="1:34">
      <c r="A517" s="43"/>
      <c r="B517" s="43"/>
      <c r="C517" s="43"/>
      <c r="D517" s="43"/>
      <c r="E517" s="43"/>
      <c r="F517" s="43"/>
      <c r="G517" s="43"/>
      <c r="H517" s="244"/>
      <c r="I517" s="244"/>
      <c r="J517" s="244"/>
      <c r="K517" s="244"/>
      <c r="L517" s="244"/>
      <c r="M517" s="244"/>
      <c r="N517" s="244"/>
      <c r="O517" s="244"/>
      <c r="P517" s="244"/>
      <c r="Q517" s="245"/>
      <c r="R517" s="244"/>
      <c r="S517" s="244"/>
      <c r="T517" s="244"/>
      <c r="U517" s="244"/>
      <c r="V517" s="244"/>
      <c r="W517" s="245"/>
      <c r="X517" s="253"/>
      <c r="Y517" s="253"/>
      <c r="Z517" s="244"/>
      <c r="AA517" s="244"/>
      <c r="AB517" s="43"/>
      <c r="AC517" s="43"/>
      <c r="AD517" s="43"/>
      <c r="AE517" s="43"/>
      <c r="AF517" s="43"/>
      <c r="AG517" s="43"/>
      <c r="AH517" s="43"/>
    </row>
    <row r="518" spans="1:34">
      <c r="A518" s="43"/>
      <c r="B518" s="43"/>
      <c r="C518" s="43"/>
      <c r="D518" s="43"/>
      <c r="E518" s="43"/>
      <c r="F518" s="43"/>
      <c r="G518" s="43"/>
      <c r="H518" s="244"/>
      <c r="I518" s="244"/>
      <c r="J518" s="244"/>
      <c r="K518" s="244"/>
      <c r="L518" s="244"/>
      <c r="M518" s="244"/>
      <c r="N518" s="244"/>
      <c r="O518" s="244"/>
      <c r="P518" s="244"/>
      <c r="Q518" s="245"/>
      <c r="R518" s="244"/>
      <c r="S518" s="244"/>
      <c r="T518" s="244"/>
      <c r="U518" s="244"/>
      <c r="V518" s="244"/>
      <c r="W518" s="245"/>
      <c r="X518" s="253"/>
      <c r="Y518" s="253"/>
      <c r="Z518" s="244"/>
      <c r="AA518" s="244"/>
      <c r="AB518" s="43"/>
      <c r="AC518" s="43"/>
      <c r="AD518" s="43"/>
      <c r="AE518" s="43"/>
      <c r="AF518" s="43"/>
      <c r="AG518" s="43"/>
      <c r="AH518" s="43"/>
    </row>
    <row r="519" spans="1:34">
      <c r="A519" s="43"/>
      <c r="B519" s="43"/>
      <c r="C519" s="43"/>
      <c r="D519" s="43"/>
      <c r="E519" s="43"/>
      <c r="F519" s="43"/>
      <c r="G519" s="43"/>
      <c r="H519" s="244"/>
      <c r="I519" s="244"/>
      <c r="J519" s="244"/>
      <c r="K519" s="244"/>
      <c r="L519" s="244"/>
      <c r="M519" s="244"/>
      <c r="N519" s="244"/>
      <c r="O519" s="244"/>
      <c r="P519" s="244"/>
      <c r="Q519" s="245"/>
      <c r="R519" s="244"/>
      <c r="S519" s="244"/>
      <c r="T519" s="244"/>
      <c r="U519" s="244"/>
      <c r="V519" s="244"/>
      <c r="W519" s="245"/>
      <c r="X519" s="253"/>
      <c r="Y519" s="253"/>
      <c r="Z519" s="244"/>
      <c r="AA519" s="244"/>
      <c r="AB519" s="43"/>
      <c r="AC519" s="43"/>
      <c r="AD519" s="43"/>
      <c r="AE519" s="43"/>
      <c r="AF519" s="43"/>
      <c r="AG519" s="43"/>
      <c r="AH519" s="43"/>
    </row>
    <row r="520" spans="1:34">
      <c r="A520" s="43"/>
      <c r="B520" s="43"/>
      <c r="C520" s="43"/>
      <c r="D520" s="43"/>
      <c r="E520" s="43"/>
      <c r="F520" s="43"/>
      <c r="G520" s="43"/>
      <c r="H520" s="244"/>
      <c r="I520" s="244"/>
      <c r="J520" s="244"/>
      <c r="K520" s="244"/>
      <c r="L520" s="244"/>
      <c r="M520" s="244"/>
      <c r="N520" s="244"/>
      <c r="O520" s="244"/>
      <c r="P520" s="244"/>
      <c r="Q520" s="245"/>
      <c r="R520" s="244"/>
      <c r="S520" s="244"/>
      <c r="T520" s="244"/>
      <c r="U520" s="244"/>
      <c r="V520" s="244"/>
      <c r="W520" s="245"/>
      <c r="X520" s="253"/>
      <c r="Y520" s="253"/>
      <c r="Z520" s="244"/>
      <c r="AA520" s="244"/>
      <c r="AB520" s="43"/>
      <c r="AC520" s="43"/>
      <c r="AD520" s="43"/>
      <c r="AE520" s="43"/>
      <c r="AF520" s="43"/>
      <c r="AG520" s="43"/>
      <c r="AH520" s="43"/>
    </row>
    <row r="521" spans="1:34">
      <c r="A521" s="43"/>
      <c r="B521" s="43"/>
      <c r="C521" s="43"/>
      <c r="D521" s="43"/>
      <c r="E521" s="43"/>
      <c r="F521" s="43"/>
      <c r="G521" s="43"/>
      <c r="H521" s="244"/>
      <c r="I521" s="244"/>
      <c r="J521" s="244"/>
      <c r="K521" s="244"/>
      <c r="L521" s="244"/>
      <c r="M521" s="244"/>
      <c r="N521" s="244"/>
      <c r="O521" s="244"/>
      <c r="P521" s="244"/>
      <c r="Q521" s="245"/>
      <c r="R521" s="244"/>
      <c r="S521" s="244"/>
      <c r="T521" s="244"/>
      <c r="U521" s="244"/>
      <c r="V521" s="244"/>
      <c r="W521" s="245"/>
      <c r="X521" s="253"/>
      <c r="Y521" s="253"/>
      <c r="Z521" s="244"/>
      <c r="AA521" s="244"/>
      <c r="AB521" s="43"/>
      <c r="AC521" s="43"/>
      <c r="AD521" s="43"/>
      <c r="AE521" s="43"/>
      <c r="AF521" s="43"/>
      <c r="AG521" s="43"/>
      <c r="AH521" s="43"/>
    </row>
    <row r="522" spans="1:34">
      <c r="A522" s="43"/>
      <c r="B522" s="43"/>
      <c r="C522" s="43"/>
      <c r="D522" s="43"/>
      <c r="E522" s="43"/>
      <c r="F522" s="43"/>
      <c r="G522" s="43"/>
      <c r="H522" s="244"/>
      <c r="I522" s="244"/>
      <c r="J522" s="244"/>
      <c r="K522" s="244"/>
      <c r="L522" s="244"/>
      <c r="M522" s="244"/>
      <c r="N522" s="244"/>
      <c r="O522" s="244"/>
      <c r="P522" s="244"/>
      <c r="Q522" s="245"/>
      <c r="R522" s="244"/>
      <c r="S522" s="244"/>
      <c r="T522" s="244"/>
      <c r="U522" s="244"/>
      <c r="V522" s="244"/>
      <c r="W522" s="245"/>
      <c r="X522" s="253"/>
      <c r="Y522" s="253"/>
      <c r="Z522" s="244"/>
      <c r="AA522" s="244"/>
      <c r="AB522" s="43"/>
      <c r="AC522" s="43"/>
      <c r="AD522" s="43"/>
      <c r="AE522" s="43"/>
      <c r="AF522" s="43"/>
      <c r="AG522" s="43"/>
      <c r="AH522" s="43"/>
    </row>
    <row r="523" spans="1:34">
      <c r="A523" s="43"/>
      <c r="B523" s="43"/>
      <c r="C523" s="43"/>
      <c r="D523" s="43"/>
      <c r="E523" s="43"/>
      <c r="F523" s="43"/>
      <c r="G523" s="43"/>
      <c r="H523" s="244"/>
      <c r="I523" s="244"/>
      <c r="J523" s="244"/>
      <c r="K523" s="244"/>
      <c r="L523" s="244"/>
      <c r="M523" s="244"/>
      <c r="N523" s="244"/>
      <c r="O523" s="244"/>
      <c r="P523" s="244"/>
      <c r="Q523" s="245"/>
      <c r="R523" s="244"/>
      <c r="S523" s="244"/>
      <c r="T523" s="244"/>
      <c r="U523" s="244"/>
      <c r="V523" s="244"/>
      <c r="W523" s="245"/>
      <c r="X523" s="253"/>
      <c r="Y523" s="253"/>
      <c r="Z523" s="244"/>
      <c r="AA523" s="244"/>
      <c r="AB523" s="43"/>
      <c r="AC523" s="43"/>
      <c r="AD523" s="43"/>
      <c r="AE523" s="43"/>
      <c r="AF523" s="43"/>
      <c r="AG523" s="43"/>
      <c r="AH523" s="43"/>
    </row>
    <row r="524" spans="1:34">
      <c r="A524" s="43"/>
      <c r="B524" s="43"/>
      <c r="C524" s="43"/>
      <c r="D524" s="43"/>
      <c r="E524" s="43"/>
      <c r="F524" s="43"/>
      <c r="G524" s="43"/>
      <c r="H524" s="244"/>
      <c r="I524" s="244"/>
      <c r="J524" s="244"/>
      <c r="K524" s="244"/>
      <c r="L524" s="244"/>
      <c r="M524" s="244"/>
      <c r="N524" s="244"/>
      <c r="O524" s="244"/>
      <c r="P524" s="244"/>
      <c r="Q524" s="245"/>
      <c r="R524" s="244"/>
      <c r="S524" s="244"/>
      <c r="T524" s="244"/>
      <c r="U524" s="244"/>
      <c r="V524" s="244"/>
      <c r="W524" s="245"/>
      <c r="X524" s="253"/>
      <c r="Y524" s="253"/>
      <c r="Z524" s="244"/>
      <c r="AA524" s="244"/>
      <c r="AB524" s="43"/>
      <c r="AC524" s="43"/>
      <c r="AD524" s="43"/>
      <c r="AE524" s="43"/>
      <c r="AF524" s="43"/>
      <c r="AG524" s="43"/>
      <c r="AH524" s="43"/>
    </row>
    <row r="525" spans="1:34">
      <c r="A525" s="43"/>
      <c r="B525" s="43"/>
      <c r="C525" s="43"/>
      <c r="D525" s="43"/>
      <c r="E525" s="43"/>
      <c r="F525" s="43"/>
      <c r="G525" s="43"/>
      <c r="H525" s="244"/>
      <c r="I525" s="244"/>
      <c r="J525" s="244"/>
      <c r="K525" s="244"/>
      <c r="L525" s="244"/>
      <c r="M525" s="244"/>
      <c r="N525" s="244"/>
      <c r="O525" s="244"/>
      <c r="P525" s="244"/>
      <c r="Q525" s="245"/>
      <c r="R525" s="244"/>
      <c r="S525" s="244"/>
      <c r="T525" s="244"/>
      <c r="U525" s="244"/>
      <c r="V525" s="244"/>
      <c r="W525" s="245"/>
      <c r="X525" s="253"/>
      <c r="Y525" s="253"/>
      <c r="Z525" s="244"/>
      <c r="AA525" s="244"/>
      <c r="AB525" s="43"/>
      <c r="AC525" s="43"/>
      <c r="AD525" s="43"/>
      <c r="AE525" s="43"/>
      <c r="AF525" s="43"/>
      <c r="AG525" s="43"/>
      <c r="AH525" s="43"/>
    </row>
    <row r="526" spans="1:34">
      <c r="A526" s="43"/>
      <c r="B526" s="43"/>
      <c r="C526" s="43"/>
      <c r="D526" s="43"/>
      <c r="E526" s="43"/>
      <c r="F526" s="43"/>
      <c r="G526" s="43"/>
      <c r="H526" s="244"/>
      <c r="I526" s="244"/>
      <c r="J526" s="244"/>
      <c r="K526" s="244"/>
      <c r="L526" s="244"/>
      <c r="M526" s="244"/>
      <c r="N526" s="244"/>
      <c r="O526" s="244"/>
      <c r="P526" s="244"/>
      <c r="Q526" s="245"/>
      <c r="R526" s="244"/>
      <c r="S526" s="244"/>
      <c r="T526" s="244"/>
      <c r="U526" s="244"/>
      <c r="V526" s="244"/>
      <c r="W526" s="245"/>
      <c r="X526" s="253"/>
      <c r="Y526" s="253"/>
      <c r="Z526" s="244"/>
      <c r="AA526" s="244"/>
      <c r="AB526" s="43"/>
      <c r="AC526" s="43"/>
      <c r="AD526" s="43"/>
      <c r="AE526" s="43"/>
      <c r="AF526" s="43"/>
      <c r="AG526" s="43"/>
      <c r="AH526" s="43"/>
    </row>
    <row r="527" spans="1:34">
      <c r="A527" s="43"/>
      <c r="B527" s="43"/>
      <c r="C527" s="43"/>
      <c r="D527" s="43"/>
      <c r="E527" s="43"/>
      <c r="F527" s="43"/>
      <c r="G527" s="43"/>
      <c r="H527" s="244"/>
      <c r="I527" s="244"/>
      <c r="J527" s="244"/>
      <c r="K527" s="244"/>
      <c r="L527" s="244"/>
      <c r="M527" s="244"/>
      <c r="N527" s="244"/>
      <c r="O527" s="244"/>
      <c r="P527" s="244"/>
      <c r="Q527" s="245"/>
      <c r="R527" s="244"/>
      <c r="S527" s="244"/>
      <c r="T527" s="244"/>
      <c r="U527" s="244"/>
      <c r="V527" s="244"/>
      <c r="W527" s="245"/>
      <c r="X527" s="253"/>
      <c r="Y527" s="253"/>
      <c r="Z527" s="244"/>
      <c r="AA527" s="244"/>
      <c r="AB527" s="43"/>
      <c r="AC527" s="43"/>
      <c r="AD527" s="43"/>
      <c r="AE527" s="43"/>
      <c r="AF527" s="43"/>
      <c r="AG527" s="43"/>
      <c r="AH527" s="43"/>
    </row>
    <row r="528" spans="1:34">
      <c r="A528" s="43"/>
      <c r="B528" s="43"/>
      <c r="C528" s="43"/>
      <c r="D528" s="43"/>
      <c r="E528" s="43"/>
      <c r="F528" s="43"/>
      <c r="G528" s="43"/>
      <c r="H528" s="244"/>
      <c r="I528" s="244"/>
      <c r="J528" s="244"/>
      <c r="K528" s="244"/>
      <c r="L528" s="244"/>
      <c r="M528" s="244"/>
      <c r="N528" s="244"/>
      <c r="O528" s="244"/>
      <c r="P528" s="244"/>
      <c r="Q528" s="245"/>
      <c r="R528" s="244"/>
      <c r="S528" s="244"/>
      <c r="T528" s="244"/>
      <c r="U528" s="244"/>
      <c r="V528" s="244"/>
      <c r="W528" s="245"/>
      <c r="X528" s="253"/>
      <c r="Y528" s="253"/>
      <c r="Z528" s="244"/>
      <c r="AA528" s="244"/>
      <c r="AB528" s="43"/>
      <c r="AC528" s="43"/>
      <c r="AD528" s="43"/>
      <c r="AE528" s="43"/>
      <c r="AF528" s="43"/>
      <c r="AG528" s="43"/>
      <c r="AH528" s="43"/>
    </row>
    <row r="529" spans="1:34">
      <c r="A529" s="43"/>
      <c r="B529" s="43"/>
      <c r="C529" s="43"/>
      <c r="D529" s="43"/>
      <c r="E529" s="43"/>
      <c r="F529" s="43"/>
      <c r="G529" s="43"/>
      <c r="H529" s="244"/>
      <c r="I529" s="244"/>
      <c r="J529" s="244"/>
      <c r="K529" s="244"/>
      <c r="L529" s="244"/>
      <c r="M529" s="244"/>
      <c r="N529" s="244"/>
      <c r="O529" s="244"/>
      <c r="P529" s="244"/>
      <c r="Q529" s="245"/>
      <c r="R529" s="244"/>
      <c r="S529" s="244"/>
      <c r="T529" s="244"/>
      <c r="U529" s="244"/>
      <c r="V529" s="244"/>
      <c r="W529" s="245"/>
      <c r="X529" s="253"/>
      <c r="Y529" s="253"/>
      <c r="Z529" s="244"/>
      <c r="AA529" s="244"/>
      <c r="AB529" s="43"/>
      <c r="AC529" s="43"/>
      <c r="AD529" s="43"/>
      <c r="AE529" s="43"/>
      <c r="AF529" s="43"/>
      <c r="AG529" s="43"/>
      <c r="AH529" s="43"/>
    </row>
    <row r="530" spans="1:34">
      <c r="A530" s="43"/>
      <c r="B530" s="43"/>
      <c r="C530" s="43"/>
      <c r="D530" s="43"/>
      <c r="E530" s="43"/>
      <c r="F530" s="43"/>
      <c r="G530" s="43"/>
      <c r="H530" s="244"/>
      <c r="I530" s="244"/>
      <c r="J530" s="244"/>
      <c r="K530" s="244"/>
      <c r="L530" s="244"/>
      <c r="M530" s="244"/>
      <c r="N530" s="244"/>
      <c r="O530" s="244"/>
      <c r="P530" s="244"/>
      <c r="Q530" s="245"/>
      <c r="R530" s="244"/>
      <c r="S530" s="244"/>
      <c r="T530" s="244"/>
      <c r="U530" s="244"/>
      <c r="V530" s="244"/>
      <c r="W530" s="245"/>
      <c r="X530" s="253"/>
      <c r="Y530" s="253"/>
      <c r="Z530" s="244"/>
      <c r="AA530" s="244"/>
      <c r="AB530" s="43"/>
      <c r="AC530" s="43"/>
      <c r="AD530" s="43"/>
      <c r="AE530" s="43"/>
      <c r="AF530" s="43"/>
      <c r="AG530" s="43"/>
      <c r="AH530" s="43"/>
    </row>
    <row r="531" spans="1:34">
      <c r="A531" s="43"/>
      <c r="B531" s="43"/>
      <c r="C531" s="43"/>
      <c r="D531" s="43"/>
      <c r="E531" s="43"/>
      <c r="F531" s="43"/>
      <c r="G531" s="43"/>
      <c r="H531" s="244"/>
      <c r="I531" s="244"/>
      <c r="J531" s="244"/>
      <c r="K531" s="244"/>
      <c r="L531" s="244"/>
      <c r="M531" s="244"/>
      <c r="N531" s="244"/>
      <c r="O531" s="244"/>
      <c r="P531" s="244"/>
      <c r="Q531" s="245"/>
      <c r="R531" s="244"/>
      <c r="S531" s="244"/>
      <c r="T531" s="244"/>
      <c r="U531" s="244"/>
      <c r="V531" s="244"/>
      <c r="W531" s="245"/>
      <c r="X531" s="253"/>
      <c r="Y531" s="253"/>
      <c r="Z531" s="244"/>
      <c r="AA531" s="244"/>
      <c r="AB531" s="43"/>
      <c r="AC531" s="43"/>
      <c r="AD531" s="43"/>
      <c r="AE531" s="43"/>
      <c r="AF531" s="43"/>
      <c r="AG531" s="43"/>
      <c r="AH531" s="43"/>
    </row>
    <row r="532" spans="1:34">
      <c r="A532" s="43"/>
      <c r="B532" s="43"/>
      <c r="C532" s="43"/>
      <c r="D532" s="43"/>
      <c r="E532" s="43"/>
      <c r="F532" s="43"/>
      <c r="G532" s="43"/>
      <c r="H532" s="244"/>
      <c r="I532" s="244"/>
      <c r="J532" s="244"/>
      <c r="K532" s="244"/>
      <c r="L532" s="244"/>
      <c r="M532" s="244"/>
      <c r="N532" s="244"/>
      <c r="O532" s="244"/>
      <c r="P532" s="244"/>
      <c r="Q532" s="245"/>
      <c r="R532" s="244"/>
      <c r="S532" s="244"/>
      <c r="T532" s="244"/>
      <c r="U532" s="244"/>
      <c r="V532" s="244"/>
      <c r="W532" s="245"/>
      <c r="X532" s="253"/>
      <c r="Y532" s="253"/>
      <c r="Z532" s="244"/>
      <c r="AA532" s="244"/>
      <c r="AB532" s="43"/>
      <c r="AC532" s="43"/>
      <c r="AD532" s="43"/>
      <c r="AE532" s="43"/>
      <c r="AF532" s="43"/>
      <c r="AG532" s="43"/>
      <c r="AH532" s="43"/>
    </row>
    <row r="533" spans="1:34">
      <c r="A533" s="43"/>
      <c r="B533" s="43"/>
      <c r="C533" s="43"/>
      <c r="D533" s="43"/>
      <c r="E533" s="43"/>
      <c r="F533" s="43"/>
      <c r="G533" s="43"/>
      <c r="H533" s="244"/>
      <c r="I533" s="244"/>
      <c r="J533" s="244"/>
      <c r="K533" s="244"/>
      <c r="L533" s="244"/>
      <c r="M533" s="244"/>
      <c r="N533" s="244"/>
      <c r="O533" s="244"/>
      <c r="P533" s="244"/>
      <c r="Q533" s="245"/>
      <c r="R533" s="244"/>
      <c r="S533" s="244"/>
      <c r="T533" s="244"/>
      <c r="U533" s="244"/>
      <c r="V533" s="244"/>
      <c r="W533" s="245"/>
      <c r="X533" s="253"/>
      <c r="Y533" s="253"/>
      <c r="Z533" s="244"/>
      <c r="AA533" s="244"/>
      <c r="AB533" s="43"/>
      <c r="AC533" s="43"/>
      <c r="AD533" s="43"/>
      <c r="AE533" s="43"/>
      <c r="AF533" s="43"/>
      <c r="AG533" s="43"/>
      <c r="AH533" s="43"/>
    </row>
    <row r="534" spans="1:34">
      <c r="A534" s="43"/>
      <c r="B534" s="43"/>
      <c r="C534" s="43"/>
      <c r="D534" s="43"/>
      <c r="E534" s="43"/>
      <c r="F534" s="43"/>
      <c r="G534" s="43"/>
      <c r="H534" s="244"/>
      <c r="I534" s="244"/>
      <c r="J534" s="244"/>
      <c r="K534" s="244"/>
      <c r="L534" s="244"/>
      <c r="M534" s="244"/>
      <c r="N534" s="244"/>
      <c r="O534" s="244"/>
      <c r="P534" s="244"/>
      <c r="Q534" s="245"/>
      <c r="R534" s="244"/>
      <c r="S534" s="244"/>
      <c r="T534" s="244"/>
      <c r="U534" s="244"/>
      <c r="V534" s="244"/>
      <c r="W534" s="245"/>
      <c r="X534" s="253"/>
      <c r="Y534" s="253"/>
      <c r="Z534" s="244"/>
      <c r="AA534" s="244"/>
      <c r="AB534" s="43"/>
      <c r="AC534" s="43"/>
      <c r="AD534" s="43"/>
      <c r="AE534" s="43"/>
      <c r="AF534" s="43"/>
      <c r="AG534" s="43"/>
      <c r="AH534" s="43"/>
    </row>
    <row r="535" spans="1:34">
      <c r="A535" s="43"/>
      <c r="B535" s="43"/>
      <c r="C535" s="43"/>
      <c r="D535" s="43"/>
      <c r="E535" s="43"/>
      <c r="F535" s="43"/>
      <c r="G535" s="43"/>
      <c r="H535" s="244"/>
      <c r="I535" s="244"/>
      <c r="J535" s="244"/>
      <c r="K535" s="244"/>
      <c r="L535" s="244"/>
      <c r="M535" s="244"/>
      <c r="N535" s="244"/>
      <c r="O535" s="244"/>
      <c r="P535" s="244"/>
      <c r="Q535" s="245"/>
      <c r="R535" s="244"/>
      <c r="S535" s="244"/>
      <c r="T535" s="244"/>
      <c r="U535" s="244"/>
      <c r="V535" s="244"/>
      <c r="W535" s="245"/>
      <c r="X535" s="253"/>
      <c r="Y535" s="253"/>
      <c r="Z535" s="244"/>
      <c r="AA535" s="244"/>
      <c r="AB535" s="43"/>
      <c r="AC535" s="43"/>
      <c r="AD535" s="43"/>
      <c r="AE535" s="43"/>
      <c r="AF535" s="43"/>
      <c r="AG535" s="43"/>
      <c r="AH535" s="43"/>
    </row>
    <row r="536" spans="1:34">
      <c r="A536" s="43"/>
      <c r="B536" s="43"/>
      <c r="C536" s="43"/>
      <c r="D536" s="43"/>
      <c r="E536" s="43"/>
      <c r="F536" s="43"/>
      <c r="G536" s="43"/>
      <c r="H536" s="244"/>
      <c r="I536" s="244"/>
      <c r="J536" s="244"/>
      <c r="K536" s="244"/>
      <c r="L536" s="244"/>
      <c r="M536" s="244"/>
      <c r="N536" s="244"/>
      <c r="O536" s="244"/>
      <c r="P536" s="244"/>
      <c r="Q536" s="245"/>
      <c r="R536" s="244"/>
      <c r="S536" s="244"/>
      <c r="T536" s="244"/>
      <c r="U536" s="244"/>
      <c r="V536" s="244"/>
      <c r="W536" s="245"/>
      <c r="X536" s="253"/>
      <c r="Y536" s="253"/>
      <c r="Z536" s="244"/>
      <c r="AA536" s="244"/>
      <c r="AB536" s="43"/>
      <c r="AC536" s="43"/>
      <c r="AD536" s="43"/>
      <c r="AE536" s="43"/>
      <c r="AF536" s="43"/>
      <c r="AG536" s="43"/>
      <c r="AH536" s="43"/>
    </row>
    <row r="537" spans="1:34">
      <c r="A537" s="43"/>
      <c r="B537" s="43"/>
      <c r="C537" s="43"/>
      <c r="D537" s="43"/>
      <c r="E537" s="43"/>
      <c r="F537" s="43"/>
      <c r="G537" s="43"/>
      <c r="H537" s="244"/>
      <c r="I537" s="244"/>
      <c r="J537" s="244"/>
      <c r="K537" s="244"/>
      <c r="L537" s="244"/>
      <c r="M537" s="244"/>
      <c r="N537" s="244"/>
      <c r="O537" s="244"/>
      <c r="P537" s="244"/>
      <c r="Q537" s="245"/>
      <c r="R537" s="244"/>
      <c r="S537" s="244"/>
      <c r="T537" s="244"/>
      <c r="U537" s="244"/>
      <c r="V537" s="244"/>
      <c r="W537" s="245"/>
      <c r="X537" s="253"/>
      <c r="Y537" s="253"/>
      <c r="Z537" s="244"/>
      <c r="AA537" s="244"/>
      <c r="AB537" s="43"/>
      <c r="AC537" s="43"/>
      <c r="AD537" s="43"/>
      <c r="AE537" s="43"/>
      <c r="AF537" s="43"/>
      <c r="AG537" s="43"/>
      <c r="AH537" s="43"/>
    </row>
    <row r="538" spans="1:34">
      <c r="A538" s="43"/>
      <c r="B538" s="43"/>
      <c r="C538" s="43"/>
      <c r="D538" s="43"/>
      <c r="E538" s="43"/>
      <c r="F538" s="43"/>
      <c r="G538" s="43"/>
      <c r="H538" s="244"/>
      <c r="I538" s="244"/>
      <c r="J538" s="244"/>
      <c r="K538" s="244"/>
      <c r="L538" s="244"/>
      <c r="M538" s="244"/>
      <c r="N538" s="244"/>
      <c r="O538" s="244"/>
      <c r="P538" s="244"/>
      <c r="Q538" s="245"/>
      <c r="R538" s="244"/>
      <c r="S538" s="244"/>
      <c r="T538" s="244"/>
      <c r="U538" s="244"/>
      <c r="V538" s="244"/>
      <c r="W538" s="245"/>
      <c r="X538" s="253"/>
      <c r="Y538" s="253"/>
      <c r="Z538" s="244"/>
      <c r="AA538" s="244"/>
      <c r="AB538" s="43"/>
      <c r="AC538" s="43"/>
      <c r="AD538" s="43"/>
      <c r="AE538" s="43"/>
      <c r="AF538" s="43"/>
      <c r="AG538" s="43"/>
      <c r="AH538" s="43"/>
    </row>
    <row r="539" spans="1:34">
      <c r="A539" s="43"/>
      <c r="B539" s="43"/>
      <c r="C539" s="43"/>
      <c r="D539" s="43"/>
      <c r="E539" s="43"/>
      <c r="F539" s="43"/>
      <c r="G539" s="43"/>
      <c r="H539" s="244"/>
      <c r="I539" s="244"/>
      <c r="J539" s="244"/>
      <c r="K539" s="244"/>
      <c r="L539" s="244"/>
      <c r="M539" s="244"/>
      <c r="N539" s="244"/>
      <c r="O539" s="244"/>
      <c r="P539" s="244"/>
      <c r="Q539" s="245"/>
      <c r="R539" s="244"/>
      <c r="S539" s="244"/>
      <c r="T539" s="244"/>
      <c r="U539" s="244"/>
      <c r="V539" s="244"/>
      <c r="W539" s="245"/>
      <c r="X539" s="253"/>
      <c r="Y539" s="253"/>
      <c r="Z539" s="244"/>
      <c r="AA539" s="244"/>
      <c r="AB539" s="43"/>
      <c r="AC539" s="43"/>
      <c r="AD539" s="43"/>
      <c r="AE539" s="43"/>
      <c r="AF539" s="43"/>
      <c r="AG539" s="43"/>
      <c r="AH539" s="43"/>
    </row>
    <row r="540" spans="1:34">
      <c r="A540" s="43"/>
      <c r="B540" s="43"/>
      <c r="C540" s="43"/>
      <c r="D540" s="43"/>
      <c r="E540" s="43"/>
      <c r="F540" s="43"/>
      <c r="G540" s="43"/>
      <c r="H540" s="244"/>
      <c r="I540" s="244"/>
      <c r="J540" s="244"/>
      <c r="K540" s="244"/>
      <c r="L540" s="244"/>
      <c r="M540" s="244"/>
      <c r="N540" s="244"/>
      <c r="O540" s="244"/>
      <c r="P540" s="244"/>
      <c r="Q540" s="245"/>
      <c r="R540" s="244"/>
      <c r="S540" s="244"/>
      <c r="T540" s="244"/>
      <c r="U540" s="244"/>
      <c r="V540" s="244"/>
      <c r="W540" s="245"/>
      <c r="X540" s="253"/>
      <c r="Y540" s="253"/>
      <c r="Z540" s="244"/>
      <c r="AA540" s="244"/>
      <c r="AB540" s="43"/>
      <c r="AC540" s="43"/>
      <c r="AD540" s="43"/>
      <c r="AE540" s="43"/>
      <c r="AF540" s="43"/>
      <c r="AG540" s="43"/>
      <c r="AH540" s="43"/>
    </row>
    <row r="541" spans="1:34">
      <c r="A541" s="43"/>
      <c r="B541" s="43"/>
      <c r="C541" s="43"/>
      <c r="D541" s="43"/>
      <c r="E541" s="43"/>
      <c r="F541" s="43"/>
      <c r="G541" s="43"/>
      <c r="H541" s="244"/>
      <c r="I541" s="244"/>
      <c r="J541" s="244"/>
      <c r="K541" s="244"/>
      <c r="L541" s="244"/>
      <c r="M541" s="244"/>
      <c r="N541" s="244"/>
      <c r="O541" s="244"/>
      <c r="P541" s="244"/>
      <c r="Q541" s="245"/>
      <c r="R541" s="244"/>
      <c r="S541" s="244"/>
      <c r="T541" s="244"/>
      <c r="U541" s="244"/>
      <c r="V541" s="244"/>
      <c r="W541" s="245"/>
      <c r="X541" s="253"/>
      <c r="Y541" s="253"/>
      <c r="Z541" s="244"/>
      <c r="AA541" s="244"/>
      <c r="AB541" s="43"/>
      <c r="AC541" s="43"/>
      <c r="AD541" s="43"/>
      <c r="AE541" s="43"/>
      <c r="AF541" s="43"/>
      <c r="AG541" s="43"/>
      <c r="AH541" s="43"/>
    </row>
    <row r="542" spans="1:34">
      <c r="A542" s="43"/>
      <c r="B542" s="43"/>
      <c r="C542" s="43"/>
      <c r="D542" s="43"/>
      <c r="E542" s="43"/>
      <c r="F542" s="43"/>
      <c r="G542" s="43"/>
      <c r="H542" s="244"/>
      <c r="I542" s="244"/>
      <c r="J542" s="244"/>
      <c r="K542" s="244"/>
      <c r="L542" s="244"/>
      <c r="M542" s="244"/>
      <c r="N542" s="244"/>
      <c r="O542" s="244"/>
      <c r="P542" s="244"/>
      <c r="Q542" s="245"/>
      <c r="R542" s="244"/>
      <c r="S542" s="244"/>
      <c r="T542" s="244"/>
      <c r="U542" s="244"/>
      <c r="V542" s="244"/>
      <c r="W542" s="245"/>
      <c r="X542" s="253"/>
      <c r="Y542" s="253"/>
      <c r="Z542" s="244"/>
      <c r="AA542" s="244"/>
      <c r="AB542" s="43"/>
      <c r="AC542" s="43"/>
      <c r="AD542" s="43"/>
      <c r="AE542" s="43"/>
      <c r="AF542" s="43"/>
      <c r="AG542" s="43"/>
      <c r="AH542" s="43"/>
    </row>
    <row r="543" spans="1:34">
      <c r="A543" s="43"/>
      <c r="B543" s="43"/>
      <c r="C543" s="43"/>
      <c r="D543" s="43"/>
      <c r="E543" s="43"/>
      <c r="F543" s="43"/>
      <c r="G543" s="43"/>
      <c r="H543" s="244"/>
      <c r="I543" s="244"/>
      <c r="J543" s="244"/>
      <c r="K543" s="244"/>
      <c r="L543" s="244"/>
      <c r="M543" s="244"/>
      <c r="N543" s="244"/>
      <c r="O543" s="244"/>
      <c r="P543" s="244"/>
      <c r="Q543" s="245"/>
      <c r="R543" s="244"/>
      <c r="S543" s="244"/>
      <c r="T543" s="244"/>
      <c r="U543" s="244"/>
      <c r="V543" s="244"/>
      <c r="W543" s="245"/>
      <c r="X543" s="253"/>
      <c r="Y543" s="253"/>
      <c r="Z543" s="244"/>
      <c r="AA543" s="244"/>
      <c r="AB543" s="43"/>
      <c r="AC543" s="43"/>
      <c r="AD543" s="43"/>
      <c r="AE543" s="43"/>
      <c r="AF543" s="43"/>
      <c r="AG543" s="43"/>
      <c r="AH543" s="43"/>
    </row>
    <row r="544" spans="1:34">
      <c r="A544" s="43"/>
      <c r="B544" s="43"/>
      <c r="C544" s="43"/>
      <c r="D544" s="43"/>
      <c r="E544" s="43"/>
      <c r="F544" s="43"/>
      <c r="G544" s="43"/>
      <c r="H544" s="244"/>
      <c r="I544" s="244"/>
      <c r="J544" s="244"/>
      <c r="K544" s="244"/>
      <c r="L544" s="244"/>
      <c r="M544" s="244"/>
      <c r="N544" s="244"/>
      <c r="O544" s="244"/>
      <c r="P544" s="244"/>
      <c r="Q544" s="245"/>
      <c r="R544" s="244"/>
      <c r="S544" s="244"/>
      <c r="T544" s="244"/>
      <c r="U544" s="244"/>
      <c r="V544" s="244"/>
      <c r="W544" s="245"/>
      <c r="X544" s="253"/>
      <c r="Y544" s="253"/>
      <c r="Z544" s="244"/>
      <c r="AA544" s="244"/>
      <c r="AB544" s="43"/>
      <c r="AC544" s="43"/>
      <c r="AD544" s="43"/>
      <c r="AE544" s="43"/>
      <c r="AF544" s="43"/>
      <c r="AG544" s="43"/>
      <c r="AH544" s="43"/>
    </row>
    <row r="545" spans="1:34">
      <c r="A545" s="43"/>
      <c r="B545" s="43"/>
      <c r="C545" s="43"/>
      <c r="D545" s="43"/>
      <c r="E545" s="43"/>
      <c r="F545" s="43"/>
      <c r="G545" s="43"/>
      <c r="H545" s="244"/>
      <c r="I545" s="244"/>
      <c r="J545" s="244"/>
      <c r="K545" s="244"/>
      <c r="L545" s="244"/>
      <c r="M545" s="244"/>
      <c r="N545" s="244"/>
      <c r="O545" s="244"/>
      <c r="P545" s="244"/>
      <c r="Q545" s="245"/>
      <c r="R545" s="244"/>
      <c r="S545" s="244"/>
      <c r="T545" s="244"/>
      <c r="U545" s="244"/>
      <c r="V545" s="244"/>
      <c r="W545" s="245"/>
      <c r="X545" s="253"/>
      <c r="Y545" s="253"/>
      <c r="Z545" s="244"/>
      <c r="AA545" s="244"/>
      <c r="AB545" s="43"/>
      <c r="AC545" s="43"/>
      <c r="AD545" s="43"/>
      <c r="AE545" s="43"/>
      <c r="AF545" s="43"/>
      <c r="AG545" s="43"/>
      <c r="AH545" s="43"/>
    </row>
    <row r="546" spans="1:34">
      <c r="A546" s="43"/>
      <c r="B546" s="43"/>
      <c r="C546" s="43"/>
      <c r="D546" s="43"/>
      <c r="E546" s="43"/>
      <c r="F546" s="43"/>
      <c r="G546" s="43"/>
      <c r="H546" s="244"/>
      <c r="I546" s="244"/>
      <c r="J546" s="244"/>
      <c r="K546" s="244"/>
      <c r="L546" s="244"/>
      <c r="M546" s="244"/>
      <c r="N546" s="244"/>
      <c r="O546" s="244"/>
      <c r="P546" s="244"/>
      <c r="Q546" s="245"/>
      <c r="R546" s="244"/>
      <c r="S546" s="244"/>
      <c r="T546" s="244"/>
      <c r="U546" s="244"/>
      <c r="V546" s="244"/>
      <c r="W546" s="245"/>
      <c r="X546" s="253"/>
      <c r="Y546" s="253"/>
      <c r="Z546" s="244"/>
      <c r="AA546" s="244"/>
      <c r="AB546" s="43"/>
      <c r="AC546" s="43"/>
      <c r="AD546" s="43"/>
      <c r="AE546" s="43"/>
      <c r="AF546" s="43"/>
      <c r="AG546" s="43"/>
      <c r="AH546" s="43"/>
    </row>
    <row r="547" spans="1:34">
      <c r="A547" s="43"/>
      <c r="B547" s="43"/>
      <c r="C547" s="43"/>
      <c r="D547" s="43"/>
      <c r="E547" s="43"/>
      <c r="F547" s="43"/>
      <c r="G547" s="43"/>
      <c r="H547" s="244"/>
      <c r="I547" s="244"/>
      <c r="J547" s="244"/>
      <c r="K547" s="244"/>
      <c r="L547" s="244"/>
      <c r="M547" s="244"/>
      <c r="N547" s="244"/>
      <c r="O547" s="244"/>
      <c r="P547" s="244"/>
      <c r="Q547" s="245"/>
      <c r="R547" s="244"/>
      <c r="S547" s="244"/>
      <c r="T547" s="244"/>
      <c r="U547" s="244"/>
      <c r="V547" s="244"/>
      <c r="W547" s="245"/>
      <c r="X547" s="253"/>
      <c r="Y547" s="253"/>
      <c r="Z547" s="244"/>
      <c r="AA547" s="244"/>
      <c r="AB547" s="43"/>
      <c r="AC547" s="43"/>
      <c r="AD547" s="43"/>
      <c r="AE547" s="43"/>
      <c r="AF547" s="43"/>
      <c r="AG547" s="43"/>
      <c r="AH547" s="43"/>
    </row>
    <row r="548" spans="1:34">
      <c r="A548" s="43"/>
      <c r="B548" s="43"/>
      <c r="C548" s="43"/>
      <c r="D548" s="43"/>
      <c r="E548" s="43"/>
      <c r="F548" s="43"/>
      <c r="G548" s="43"/>
      <c r="H548" s="244"/>
      <c r="I548" s="244"/>
      <c r="J548" s="244"/>
      <c r="K548" s="244"/>
      <c r="L548" s="244"/>
      <c r="M548" s="244"/>
      <c r="N548" s="244"/>
      <c r="O548" s="244"/>
      <c r="P548" s="244"/>
      <c r="Q548" s="245"/>
      <c r="R548" s="244"/>
      <c r="S548" s="244"/>
      <c r="T548" s="244"/>
      <c r="U548" s="244"/>
      <c r="V548" s="244"/>
      <c r="W548" s="245"/>
      <c r="X548" s="253"/>
      <c r="Y548" s="253"/>
      <c r="Z548" s="244"/>
      <c r="AA548" s="244"/>
      <c r="AB548" s="43"/>
      <c r="AC548" s="43"/>
      <c r="AD548" s="43"/>
      <c r="AE548" s="43"/>
      <c r="AF548" s="43"/>
      <c r="AG548" s="43"/>
      <c r="AH548" s="43"/>
    </row>
    <row r="549" spans="1:34">
      <c r="A549" s="43"/>
      <c r="B549" s="43"/>
      <c r="C549" s="43"/>
      <c r="D549" s="43"/>
      <c r="E549" s="43"/>
      <c r="F549" s="43"/>
      <c r="G549" s="43"/>
      <c r="H549" s="244"/>
      <c r="I549" s="244"/>
      <c r="J549" s="244"/>
      <c r="K549" s="244"/>
      <c r="L549" s="244"/>
      <c r="M549" s="244"/>
      <c r="N549" s="244"/>
      <c r="O549" s="244"/>
      <c r="P549" s="244"/>
      <c r="Q549" s="245"/>
      <c r="R549" s="244"/>
      <c r="S549" s="244"/>
      <c r="T549" s="244"/>
      <c r="U549" s="244"/>
      <c r="V549" s="244"/>
      <c r="W549" s="245"/>
      <c r="X549" s="253"/>
      <c r="Y549" s="253"/>
      <c r="Z549" s="244"/>
      <c r="AA549" s="244"/>
      <c r="AB549" s="43"/>
      <c r="AC549" s="43"/>
      <c r="AD549" s="43"/>
      <c r="AE549" s="43"/>
      <c r="AF549" s="43"/>
      <c r="AG549" s="43"/>
      <c r="AH549" s="43"/>
    </row>
    <row r="550" spans="1:34">
      <c r="A550" s="43"/>
      <c r="B550" s="43"/>
      <c r="C550" s="43"/>
      <c r="D550" s="43"/>
      <c r="E550" s="43"/>
      <c r="F550" s="43"/>
      <c r="G550" s="43"/>
      <c r="H550" s="244"/>
      <c r="I550" s="244"/>
      <c r="J550" s="244"/>
      <c r="K550" s="244"/>
      <c r="L550" s="244"/>
      <c r="M550" s="244"/>
      <c r="N550" s="244"/>
      <c r="O550" s="244"/>
      <c r="P550" s="244"/>
      <c r="Q550" s="245"/>
      <c r="R550" s="244"/>
      <c r="S550" s="244"/>
      <c r="T550" s="244"/>
      <c r="U550" s="244"/>
      <c r="V550" s="244"/>
      <c r="W550" s="245"/>
      <c r="X550" s="253"/>
      <c r="Y550" s="253"/>
      <c r="Z550" s="244"/>
      <c r="AA550" s="244"/>
      <c r="AB550" s="43"/>
      <c r="AC550" s="43"/>
      <c r="AD550" s="43"/>
      <c r="AE550" s="43"/>
      <c r="AF550" s="43"/>
      <c r="AG550" s="43"/>
      <c r="AH550" s="43"/>
    </row>
    <row r="551" spans="1:34">
      <c r="A551" s="43"/>
      <c r="B551" s="43"/>
      <c r="C551" s="43"/>
      <c r="D551" s="43"/>
      <c r="E551" s="43"/>
      <c r="F551" s="43"/>
      <c r="G551" s="43"/>
      <c r="H551" s="244"/>
      <c r="I551" s="244"/>
      <c r="J551" s="244"/>
      <c r="K551" s="244"/>
      <c r="L551" s="244"/>
      <c r="M551" s="244"/>
      <c r="N551" s="244"/>
      <c r="O551" s="244"/>
      <c r="P551" s="244"/>
      <c r="Q551" s="245"/>
      <c r="R551" s="244"/>
      <c r="S551" s="244"/>
      <c r="T551" s="244"/>
      <c r="U551" s="244"/>
      <c r="V551" s="244"/>
      <c r="W551" s="245"/>
      <c r="X551" s="253"/>
      <c r="Y551" s="253"/>
      <c r="Z551" s="244"/>
      <c r="AA551" s="244"/>
      <c r="AB551" s="43"/>
      <c r="AC551" s="43"/>
      <c r="AD551" s="43"/>
      <c r="AE551" s="43"/>
      <c r="AF551" s="43"/>
      <c r="AG551" s="43"/>
      <c r="AH551" s="43"/>
    </row>
    <row r="552" spans="1:34">
      <c r="A552" s="43"/>
      <c r="B552" s="43"/>
      <c r="C552" s="43"/>
      <c r="D552" s="43"/>
      <c r="E552" s="43"/>
      <c r="F552" s="43"/>
      <c r="G552" s="43"/>
      <c r="H552" s="244"/>
      <c r="I552" s="244"/>
      <c r="J552" s="244"/>
      <c r="K552" s="244"/>
      <c r="L552" s="244"/>
      <c r="M552" s="244"/>
      <c r="N552" s="244"/>
      <c r="O552" s="244"/>
      <c r="P552" s="244"/>
      <c r="Q552" s="245"/>
      <c r="R552" s="244"/>
      <c r="S552" s="244"/>
      <c r="T552" s="244"/>
      <c r="U552" s="244"/>
      <c r="V552" s="244"/>
      <c r="W552" s="245"/>
      <c r="X552" s="253"/>
      <c r="Y552" s="253"/>
      <c r="Z552" s="244"/>
      <c r="AA552" s="244"/>
      <c r="AB552" s="43"/>
      <c r="AC552" s="43"/>
      <c r="AD552" s="43"/>
      <c r="AE552" s="43"/>
      <c r="AF552" s="43"/>
      <c r="AG552" s="43"/>
      <c r="AH552" s="43"/>
    </row>
    <row r="553" spans="1:34">
      <c r="A553" s="43"/>
      <c r="B553" s="43"/>
      <c r="C553" s="43"/>
      <c r="D553" s="43"/>
      <c r="E553" s="43"/>
      <c r="F553" s="43"/>
      <c r="G553" s="43"/>
      <c r="H553" s="244"/>
      <c r="I553" s="244"/>
      <c r="J553" s="244"/>
      <c r="K553" s="244"/>
      <c r="L553" s="244"/>
      <c r="M553" s="244"/>
      <c r="N553" s="244"/>
      <c r="O553" s="244"/>
      <c r="P553" s="244"/>
      <c r="Q553" s="245"/>
      <c r="R553" s="244"/>
      <c r="S553" s="244"/>
      <c r="T553" s="244"/>
      <c r="U553" s="244"/>
      <c r="V553" s="244"/>
      <c r="W553" s="245"/>
      <c r="X553" s="253"/>
      <c r="Y553" s="253"/>
      <c r="Z553" s="244"/>
      <c r="AA553" s="244"/>
      <c r="AB553" s="43"/>
      <c r="AC553" s="43"/>
      <c r="AD553" s="43"/>
      <c r="AE553" s="43"/>
      <c r="AF553" s="43"/>
      <c r="AG553" s="43"/>
      <c r="AH553" s="43"/>
    </row>
    <row r="554" spans="1:34">
      <c r="A554" s="43"/>
      <c r="B554" s="43"/>
      <c r="C554" s="43"/>
      <c r="D554" s="43"/>
      <c r="E554" s="43"/>
      <c r="F554" s="43"/>
      <c r="G554" s="43"/>
      <c r="H554" s="244"/>
      <c r="I554" s="244"/>
      <c r="J554" s="244"/>
      <c r="K554" s="244"/>
      <c r="L554" s="244"/>
      <c r="M554" s="244"/>
      <c r="N554" s="244"/>
      <c r="O554" s="244"/>
      <c r="P554" s="244"/>
      <c r="Q554" s="245"/>
      <c r="R554" s="244"/>
      <c r="S554" s="244"/>
      <c r="T554" s="244"/>
      <c r="U554" s="244"/>
      <c r="V554" s="244"/>
      <c r="W554" s="245"/>
      <c r="X554" s="253"/>
      <c r="Y554" s="253"/>
      <c r="Z554" s="244"/>
      <c r="AA554" s="244"/>
      <c r="AB554" s="43"/>
      <c r="AC554" s="43"/>
      <c r="AD554" s="43"/>
      <c r="AE554" s="43"/>
      <c r="AF554" s="43"/>
      <c r="AG554" s="43"/>
      <c r="AH554" s="43"/>
    </row>
    <row r="555" spans="1:34">
      <c r="A555" s="43"/>
      <c r="B555" s="43"/>
      <c r="C555" s="43"/>
      <c r="D555" s="43"/>
      <c r="E555" s="43"/>
      <c r="F555" s="43"/>
      <c r="G555" s="43"/>
      <c r="H555" s="244"/>
      <c r="I555" s="244"/>
      <c r="J555" s="244"/>
      <c r="K555" s="244"/>
      <c r="L555" s="244"/>
      <c r="M555" s="244"/>
      <c r="N555" s="244"/>
      <c r="O555" s="244"/>
      <c r="P555" s="244"/>
      <c r="Q555" s="245"/>
      <c r="R555" s="244"/>
      <c r="S555" s="244"/>
      <c r="T555" s="244"/>
      <c r="U555" s="244"/>
      <c r="V555" s="244"/>
      <c r="W555" s="245"/>
      <c r="X555" s="253"/>
      <c r="Y555" s="253"/>
      <c r="Z555" s="244"/>
      <c r="AA555" s="244"/>
      <c r="AB555" s="43"/>
      <c r="AC555" s="43"/>
      <c r="AD555" s="43"/>
      <c r="AE555" s="43"/>
      <c r="AF555" s="43"/>
      <c r="AG555" s="43"/>
      <c r="AH555" s="43"/>
    </row>
    <row r="556" spans="1:34">
      <c r="A556" s="43"/>
      <c r="B556" s="43"/>
      <c r="C556" s="43"/>
      <c r="D556" s="43"/>
      <c r="E556" s="43"/>
      <c r="F556" s="43"/>
      <c r="G556" s="43"/>
      <c r="H556" s="244"/>
      <c r="I556" s="244"/>
      <c r="J556" s="244"/>
      <c r="K556" s="244"/>
      <c r="L556" s="244"/>
      <c r="M556" s="244"/>
      <c r="N556" s="244"/>
      <c r="O556" s="244"/>
      <c r="P556" s="244"/>
      <c r="Q556" s="245"/>
      <c r="R556" s="244"/>
      <c r="S556" s="244"/>
      <c r="T556" s="244"/>
      <c r="U556" s="244"/>
      <c r="V556" s="244"/>
      <c r="W556" s="245"/>
      <c r="X556" s="253"/>
      <c r="Y556" s="253"/>
      <c r="Z556" s="244"/>
      <c r="AA556" s="244"/>
      <c r="AB556" s="43"/>
      <c r="AC556" s="43"/>
      <c r="AD556" s="43"/>
      <c r="AE556" s="43"/>
      <c r="AF556" s="43"/>
      <c r="AG556" s="43"/>
      <c r="AH556" s="43"/>
    </row>
    <row r="557" spans="1:34">
      <c r="A557" s="43"/>
      <c r="B557" s="43"/>
      <c r="C557" s="43"/>
      <c r="D557" s="43"/>
      <c r="E557" s="43"/>
      <c r="F557" s="43"/>
      <c r="G557" s="43"/>
      <c r="H557" s="244"/>
      <c r="I557" s="244"/>
      <c r="J557" s="244"/>
      <c r="K557" s="244"/>
      <c r="L557" s="244"/>
      <c r="M557" s="244"/>
      <c r="N557" s="244"/>
      <c r="O557" s="244"/>
      <c r="P557" s="244"/>
      <c r="Q557" s="245"/>
      <c r="R557" s="244"/>
      <c r="S557" s="244"/>
      <c r="T557" s="244"/>
      <c r="U557" s="244"/>
      <c r="V557" s="244"/>
      <c r="W557" s="245"/>
      <c r="X557" s="253"/>
      <c r="Y557" s="253"/>
      <c r="Z557" s="244"/>
      <c r="AA557" s="244"/>
      <c r="AB557" s="43"/>
      <c r="AC557" s="43"/>
      <c r="AD557" s="43"/>
      <c r="AE557" s="43"/>
      <c r="AF557" s="43"/>
      <c r="AG557" s="43"/>
      <c r="AH557" s="43"/>
    </row>
    <row r="558" spans="1:34">
      <c r="A558" s="43"/>
      <c r="B558" s="43"/>
      <c r="C558" s="43"/>
      <c r="D558" s="43"/>
      <c r="E558" s="43"/>
      <c r="F558" s="43"/>
      <c r="G558" s="43"/>
      <c r="H558" s="244"/>
      <c r="I558" s="244"/>
      <c r="J558" s="244"/>
      <c r="K558" s="244"/>
      <c r="L558" s="244"/>
      <c r="M558" s="244"/>
      <c r="N558" s="244"/>
      <c r="O558" s="244"/>
      <c r="P558" s="244"/>
      <c r="Q558" s="245"/>
      <c r="R558" s="244"/>
      <c r="S558" s="244"/>
      <c r="T558" s="244"/>
      <c r="U558" s="244"/>
      <c r="V558" s="244"/>
      <c r="W558" s="245"/>
      <c r="X558" s="253"/>
      <c r="Y558" s="253"/>
      <c r="Z558" s="244"/>
      <c r="AA558" s="244"/>
      <c r="AB558" s="43"/>
      <c r="AC558" s="43"/>
      <c r="AD558" s="43"/>
      <c r="AE558" s="43"/>
      <c r="AF558" s="43"/>
      <c r="AG558" s="43"/>
      <c r="AH558" s="43"/>
    </row>
    <row r="559" spans="1:34">
      <c r="A559" s="43"/>
      <c r="B559" s="43"/>
      <c r="C559" s="43"/>
      <c r="D559" s="43"/>
      <c r="E559" s="43"/>
      <c r="F559" s="43"/>
      <c r="G559" s="43"/>
      <c r="H559" s="244"/>
      <c r="I559" s="244"/>
      <c r="J559" s="244"/>
      <c r="K559" s="244"/>
      <c r="L559" s="244"/>
      <c r="M559" s="244"/>
      <c r="N559" s="244"/>
      <c r="O559" s="244"/>
      <c r="P559" s="244"/>
      <c r="Q559" s="245"/>
      <c r="R559" s="244"/>
      <c r="S559" s="244"/>
      <c r="T559" s="244"/>
      <c r="U559" s="244"/>
      <c r="V559" s="244"/>
      <c r="W559" s="245"/>
      <c r="X559" s="253"/>
      <c r="Y559" s="253"/>
      <c r="Z559" s="244"/>
      <c r="AA559" s="244"/>
      <c r="AB559" s="43"/>
      <c r="AC559" s="43"/>
      <c r="AD559" s="43"/>
      <c r="AE559" s="43"/>
      <c r="AF559" s="43"/>
      <c r="AG559" s="43"/>
      <c r="AH559" s="43"/>
    </row>
    <row r="560" spans="1:34">
      <c r="A560" s="43"/>
      <c r="B560" s="43"/>
      <c r="C560" s="43"/>
      <c r="D560" s="43"/>
      <c r="E560" s="43"/>
      <c r="F560" s="43"/>
      <c r="G560" s="43"/>
      <c r="H560" s="244"/>
      <c r="I560" s="244"/>
      <c r="J560" s="244"/>
      <c r="K560" s="244"/>
      <c r="L560" s="244"/>
      <c r="M560" s="244"/>
      <c r="N560" s="244"/>
      <c r="O560" s="244"/>
      <c r="P560" s="244"/>
      <c r="Q560" s="245"/>
      <c r="R560" s="244"/>
      <c r="S560" s="244"/>
      <c r="T560" s="244"/>
      <c r="U560" s="244"/>
      <c r="V560" s="244"/>
      <c r="W560" s="245"/>
      <c r="X560" s="253"/>
      <c r="Y560" s="253"/>
      <c r="Z560" s="244"/>
      <c r="AA560" s="244"/>
      <c r="AB560" s="43"/>
      <c r="AC560" s="43"/>
      <c r="AD560" s="43"/>
      <c r="AE560" s="43"/>
      <c r="AF560" s="43"/>
      <c r="AG560" s="43"/>
      <c r="AH560" s="43"/>
    </row>
    <row r="561" spans="1:34">
      <c r="A561" s="43"/>
      <c r="B561" s="43"/>
      <c r="C561" s="43"/>
      <c r="D561" s="43"/>
      <c r="E561" s="43"/>
      <c r="F561" s="43"/>
      <c r="G561" s="43"/>
      <c r="H561" s="244"/>
      <c r="I561" s="244"/>
      <c r="J561" s="244"/>
      <c r="K561" s="244"/>
      <c r="L561" s="244"/>
      <c r="M561" s="244"/>
      <c r="N561" s="244"/>
      <c r="O561" s="244"/>
      <c r="P561" s="244"/>
      <c r="Q561" s="245"/>
      <c r="R561" s="244"/>
      <c r="S561" s="244"/>
      <c r="T561" s="244"/>
      <c r="U561" s="244"/>
      <c r="V561" s="244"/>
      <c r="W561" s="245"/>
      <c r="X561" s="253"/>
      <c r="Y561" s="253"/>
      <c r="Z561" s="244"/>
      <c r="AA561" s="244"/>
      <c r="AB561" s="43"/>
      <c r="AC561" s="43"/>
      <c r="AD561" s="43"/>
      <c r="AE561" s="43"/>
      <c r="AF561" s="43"/>
      <c r="AG561" s="43"/>
      <c r="AH561" s="43"/>
    </row>
    <row r="562" spans="1:34">
      <c r="A562" s="43"/>
      <c r="B562" s="43"/>
      <c r="C562" s="43"/>
      <c r="D562" s="43"/>
      <c r="E562" s="43"/>
      <c r="F562" s="43"/>
      <c r="G562" s="43"/>
      <c r="H562" s="244"/>
      <c r="I562" s="244"/>
      <c r="J562" s="244"/>
      <c r="K562" s="244"/>
      <c r="L562" s="244"/>
      <c r="M562" s="244"/>
      <c r="N562" s="244"/>
      <c r="O562" s="244"/>
      <c r="P562" s="244"/>
      <c r="Q562" s="245"/>
      <c r="R562" s="244"/>
      <c r="S562" s="244"/>
      <c r="T562" s="244"/>
      <c r="U562" s="244"/>
      <c r="V562" s="244"/>
      <c r="W562" s="245"/>
      <c r="X562" s="253"/>
      <c r="Y562" s="253"/>
      <c r="Z562" s="244"/>
      <c r="AA562" s="244"/>
      <c r="AB562" s="43"/>
      <c r="AC562" s="43"/>
      <c r="AD562" s="43"/>
      <c r="AE562" s="43"/>
      <c r="AF562" s="43"/>
      <c r="AG562" s="43"/>
      <c r="AH562" s="43"/>
    </row>
    <row r="563" spans="1:34">
      <c r="A563" s="43"/>
      <c r="B563" s="43"/>
      <c r="C563" s="43"/>
      <c r="D563" s="43"/>
      <c r="E563" s="43"/>
      <c r="F563" s="43"/>
      <c r="G563" s="43"/>
      <c r="H563" s="244"/>
      <c r="I563" s="244"/>
      <c r="J563" s="244"/>
      <c r="K563" s="244"/>
      <c r="L563" s="244"/>
      <c r="M563" s="244"/>
      <c r="N563" s="244"/>
      <c r="O563" s="244"/>
      <c r="P563" s="244"/>
      <c r="Q563" s="245"/>
      <c r="R563" s="244"/>
      <c r="S563" s="244"/>
      <c r="T563" s="244"/>
      <c r="U563" s="244"/>
      <c r="V563" s="244"/>
      <c r="W563" s="245"/>
      <c r="X563" s="253"/>
      <c r="Y563" s="253"/>
      <c r="Z563" s="244"/>
      <c r="AA563" s="244"/>
      <c r="AB563" s="43"/>
      <c r="AC563" s="43"/>
      <c r="AD563" s="43"/>
      <c r="AE563" s="43"/>
      <c r="AF563" s="43"/>
      <c r="AG563" s="43"/>
      <c r="AH563" s="43"/>
    </row>
    <row r="564" spans="1:34">
      <c r="A564" s="43"/>
      <c r="B564" s="43"/>
      <c r="C564" s="43"/>
      <c r="D564" s="43"/>
      <c r="E564" s="43"/>
      <c r="F564" s="43"/>
      <c r="G564" s="43"/>
      <c r="H564" s="244"/>
      <c r="I564" s="244"/>
      <c r="J564" s="244"/>
      <c r="K564" s="244"/>
      <c r="L564" s="244"/>
      <c r="M564" s="244"/>
      <c r="N564" s="244"/>
      <c r="O564" s="244"/>
      <c r="P564" s="244"/>
      <c r="Q564" s="245"/>
      <c r="R564" s="244"/>
      <c r="S564" s="244"/>
      <c r="T564" s="244"/>
      <c r="U564" s="244"/>
      <c r="V564" s="244"/>
      <c r="W564" s="245"/>
      <c r="X564" s="253"/>
      <c r="Y564" s="253"/>
      <c r="Z564" s="244"/>
      <c r="AA564" s="244"/>
      <c r="AB564" s="43"/>
      <c r="AC564" s="43"/>
      <c r="AD564" s="43"/>
      <c r="AE564" s="43"/>
      <c r="AF564" s="43"/>
      <c r="AG564" s="43"/>
      <c r="AH564" s="43"/>
    </row>
    <row r="565" spans="1:34">
      <c r="A565" s="43"/>
      <c r="B565" s="43"/>
      <c r="C565" s="43"/>
      <c r="D565" s="43"/>
      <c r="E565" s="43"/>
      <c r="F565" s="43"/>
      <c r="G565" s="43"/>
      <c r="H565" s="244"/>
      <c r="I565" s="244"/>
      <c r="J565" s="244"/>
      <c r="K565" s="244"/>
      <c r="L565" s="244"/>
      <c r="M565" s="244"/>
      <c r="N565" s="244"/>
      <c r="O565" s="244"/>
      <c r="P565" s="244"/>
      <c r="Q565" s="245"/>
      <c r="R565" s="244"/>
      <c r="S565" s="244"/>
      <c r="T565" s="244"/>
      <c r="U565" s="244"/>
      <c r="V565" s="244"/>
      <c r="W565" s="245"/>
      <c r="X565" s="253"/>
      <c r="Y565" s="253"/>
      <c r="Z565" s="244"/>
      <c r="AA565" s="244"/>
      <c r="AB565" s="43"/>
      <c r="AC565" s="43"/>
      <c r="AD565" s="43"/>
      <c r="AE565" s="43"/>
      <c r="AF565" s="43"/>
      <c r="AG565" s="43"/>
      <c r="AH565" s="43"/>
    </row>
    <row r="566" spans="1:34">
      <c r="A566" s="43"/>
      <c r="B566" s="43"/>
      <c r="C566" s="43"/>
      <c r="D566" s="43"/>
      <c r="E566" s="43"/>
      <c r="F566" s="43"/>
      <c r="G566" s="43"/>
      <c r="H566" s="244"/>
      <c r="I566" s="244"/>
      <c r="J566" s="244"/>
      <c r="K566" s="244"/>
      <c r="L566" s="244"/>
      <c r="M566" s="244"/>
      <c r="N566" s="244"/>
      <c r="O566" s="244"/>
      <c r="P566" s="244"/>
      <c r="Q566" s="245"/>
      <c r="R566" s="244"/>
      <c r="S566" s="244"/>
      <c r="T566" s="244"/>
      <c r="U566" s="244"/>
      <c r="V566" s="244"/>
      <c r="W566" s="245"/>
      <c r="X566" s="253"/>
      <c r="Y566" s="253"/>
      <c r="Z566" s="244"/>
      <c r="AA566" s="244"/>
      <c r="AB566" s="43"/>
      <c r="AC566" s="43"/>
      <c r="AD566" s="43"/>
      <c r="AE566" s="43"/>
      <c r="AF566" s="43"/>
      <c r="AG566" s="43"/>
      <c r="AH566" s="43"/>
    </row>
    <row r="567" spans="1:34">
      <c r="A567" s="43"/>
      <c r="B567" s="43"/>
      <c r="C567" s="43"/>
      <c r="D567" s="43"/>
      <c r="E567" s="43"/>
      <c r="F567" s="43"/>
      <c r="G567" s="43"/>
      <c r="H567" s="244"/>
      <c r="I567" s="244"/>
      <c r="J567" s="244"/>
      <c r="K567" s="244"/>
      <c r="L567" s="244"/>
      <c r="M567" s="244"/>
      <c r="N567" s="244"/>
      <c r="O567" s="244"/>
      <c r="P567" s="244"/>
      <c r="Q567" s="245"/>
      <c r="R567" s="244"/>
      <c r="S567" s="244"/>
      <c r="T567" s="244"/>
      <c r="U567" s="244"/>
      <c r="V567" s="244"/>
      <c r="W567" s="245"/>
      <c r="X567" s="253"/>
      <c r="Y567" s="253"/>
      <c r="Z567" s="244"/>
      <c r="AA567" s="244"/>
      <c r="AB567" s="43"/>
      <c r="AC567" s="43"/>
      <c r="AD567" s="43"/>
      <c r="AE567" s="43"/>
      <c r="AF567" s="43"/>
      <c r="AG567" s="43"/>
      <c r="AH567" s="43"/>
    </row>
    <row r="568" spans="1:34">
      <c r="A568" s="43"/>
      <c r="B568" s="43"/>
      <c r="C568" s="43"/>
      <c r="D568" s="43"/>
      <c r="E568" s="43"/>
      <c r="F568" s="43"/>
      <c r="G568" s="43"/>
      <c r="H568" s="244"/>
      <c r="I568" s="244"/>
      <c r="J568" s="244"/>
      <c r="K568" s="244"/>
      <c r="L568" s="244"/>
      <c r="M568" s="244"/>
      <c r="N568" s="244"/>
      <c r="O568" s="244"/>
      <c r="P568" s="244"/>
      <c r="Q568" s="245"/>
      <c r="R568" s="244"/>
      <c r="S568" s="244"/>
      <c r="T568" s="244"/>
      <c r="U568" s="244"/>
      <c r="V568" s="244"/>
      <c r="W568" s="245"/>
      <c r="X568" s="253"/>
      <c r="Y568" s="253"/>
      <c r="Z568" s="244"/>
      <c r="AA568" s="244"/>
      <c r="AB568" s="43"/>
      <c r="AC568" s="43"/>
      <c r="AD568" s="43"/>
      <c r="AE568" s="43"/>
      <c r="AF568" s="43"/>
      <c r="AG568" s="43"/>
      <c r="AH568" s="43"/>
    </row>
    <row r="569" spans="1:34">
      <c r="A569" s="43"/>
      <c r="B569" s="43"/>
      <c r="C569" s="43"/>
      <c r="D569" s="43"/>
      <c r="E569" s="43"/>
      <c r="F569" s="43"/>
      <c r="G569" s="43"/>
      <c r="H569" s="244"/>
      <c r="I569" s="244"/>
      <c r="J569" s="244"/>
      <c r="K569" s="244"/>
      <c r="L569" s="244"/>
      <c r="M569" s="244"/>
      <c r="N569" s="244"/>
      <c r="O569" s="244"/>
      <c r="P569" s="244"/>
      <c r="Q569" s="245"/>
      <c r="R569" s="244"/>
      <c r="S569" s="244"/>
      <c r="T569" s="244"/>
      <c r="U569" s="244"/>
      <c r="V569" s="244"/>
      <c r="W569" s="245"/>
      <c r="X569" s="253"/>
      <c r="Y569" s="253"/>
      <c r="Z569" s="244"/>
      <c r="AA569" s="244"/>
      <c r="AB569" s="43"/>
      <c r="AC569" s="43"/>
      <c r="AD569" s="43"/>
      <c r="AE569" s="43"/>
      <c r="AF569" s="43"/>
      <c r="AG569" s="43"/>
      <c r="AH569" s="43"/>
    </row>
    <row r="570" spans="1:34">
      <c r="A570" s="43"/>
      <c r="B570" s="43"/>
      <c r="C570" s="43"/>
      <c r="D570" s="43"/>
      <c r="E570" s="43"/>
      <c r="F570" s="43"/>
      <c r="G570" s="43"/>
      <c r="H570" s="244"/>
      <c r="I570" s="244"/>
      <c r="J570" s="244"/>
      <c r="K570" s="244"/>
      <c r="L570" s="244"/>
      <c r="M570" s="244"/>
      <c r="N570" s="244"/>
      <c r="O570" s="244"/>
      <c r="P570" s="244"/>
      <c r="Q570" s="245"/>
      <c r="R570" s="244"/>
      <c r="S570" s="244"/>
      <c r="T570" s="244"/>
      <c r="U570" s="244"/>
      <c r="V570" s="244"/>
      <c r="W570" s="245"/>
      <c r="X570" s="253"/>
      <c r="Y570" s="253"/>
      <c r="Z570" s="244"/>
      <c r="AA570" s="244"/>
      <c r="AB570" s="43"/>
      <c r="AC570" s="43"/>
      <c r="AD570" s="43"/>
      <c r="AE570" s="43"/>
      <c r="AF570" s="43"/>
      <c r="AG570" s="43"/>
      <c r="AH570" s="43"/>
    </row>
    <row r="571" spans="1:34">
      <c r="A571" s="43"/>
      <c r="B571" s="43"/>
      <c r="C571" s="43"/>
      <c r="D571" s="43"/>
      <c r="E571" s="43"/>
      <c r="F571" s="43"/>
      <c r="G571" s="43"/>
      <c r="H571" s="244"/>
      <c r="I571" s="244"/>
      <c r="J571" s="244"/>
      <c r="K571" s="244"/>
      <c r="L571" s="244"/>
      <c r="M571" s="244"/>
      <c r="N571" s="244"/>
      <c r="O571" s="244"/>
      <c r="P571" s="244"/>
      <c r="Q571" s="245"/>
      <c r="R571" s="244"/>
      <c r="S571" s="244"/>
      <c r="T571" s="244"/>
      <c r="U571" s="244"/>
      <c r="V571" s="244"/>
      <c r="W571" s="245"/>
      <c r="X571" s="253"/>
      <c r="Y571" s="253"/>
      <c r="Z571" s="244"/>
      <c r="AA571" s="244"/>
      <c r="AB571" s="43"/>
      <c r="AC571" s="43"/>
      <c r="AD571" s="43"/>
      <c r="AE571" s="43"/>
      <c r="AF571" s="43"/>
      <c r="AG571" s="43"/>
      <c r="AH571" s="43"/>
    </row>
    <row r="572" spans="1:34">
      <c r="A572" s="43"/>
      <c r="B572" s="43"/>
      <c r="C572" s="43"/>
      <c r="D572" s="43"/>
      <c r="E572" s="43"/>
      <c r="F572" s="43"/>
      <c r="G572" s="43"/>
      <c r="H572" s="244"/>
      <c r="I572" s="244"/>
      <c r="J572" s="244"/>
      <c r="K572" s="244"/>
      <c r="L572" s="244"/>
      <c r="M572" s="244"/>
      <c r="N572" s="244"/>
      <c r="O572" s="244"/>
      <c r="P572" s="244"/>
      <c r="Q572" s="245"/>
      <c r="R572" s="244"/>
      <c r="S572" s="244"/>
      <c r="T572" s="244"/>
      <c r="U572" s="244"/>
      <c r="V572" s="244"/>
      <c r="W572" s="245"/>
      <c r="X572" s="253"/>
      <c r="Y572" s="253"/>
      <c r="Z572" s="244"/>
      <c r="AA572" s="244"/>
      <c r="AB572" s="43"/>
      <c r="AC572" s="43"/>
      <c r="AD572" s="43"/>
      <c r="AE572" s="43"/>
      <c r="AF572" s="43"/>
      <c r="AG572" s="43"/>
      <c r="AH572" s="43"/>
    </row>
    <row r="573" spans="1:34">
      <c r="A573" s="43"/>
      <c r="B573" s="43"/>
      <c r="C573" s="43"/>
      <c r="D573" s="43"/>
      <c r="E573" s="43"/>
      <c r="F573" s="43"/>
      <c r="G573" s="43"/>
      <c r="H573" s="244"/>
      <c r="I573" s="244"/>
      <c r="J573" s="244"/>
      <c r="K573" s="244"/>
      <c r="L573" s="244"/>
      <c r="M573" s="244"/>
      <c r="N573" s="244"/>
      <c r="O573" s="244"/>
      <c r="P573" s="244"/>
      <c r="Q573" s="245"/>
      <c r="R573" s="244"/>
      <c r="S573" s="244"/>
      <c r="T573" s="244"/>
      <c r="U573" s="244"/>
      <c r="V573" s="244"/>
      <c r="W573" s="245"/>
      <c r="X573" s="253"/>
      <c r="Y573" s="253"/>
      <c r="Z573" s="244"/>
      <c r="AA573" s="244"/>
      <c r="AB573" s="43"/>
      <c r="AC573" s="43"/>
      <c r="AD573" s="43"/>
      <c r="AE573" s="43"/>
      <c r="AF573" s="43"/>
      <c r="AG573" s="43"/>
      <c r="AH573" s="43"/>
    </row>
    <row r="574" spans="1:34">
      <c r="A574" s="43"/>
      <c r="B574" s="43"/>
      <c r="C574" s="43"/>
      <c r="D574" s="43"/>
      <c r="E574" s="43"/>
      <c r="F574" s="43"/>
      <c r="G574" s="43"/>
      <c r="H574" s="244"/>
      <c r="I574" s="244"/>
      <c r="J574" s="244"/>
      <c r="K574" s="244"/>
      <c r="L574" s="244"/>
      <c r="M574" s="244"/>
      <c r="N574" s="244"/>
      <c r="O574" s="244"/>
      <c r="P574" s="244"/>
      <c r="Q574" s="245"/>
      <c r="R574" s="244"/>
      <c r="S574" s="244"/>
      <c r="T574" s="244"/>
      <c r="U574" s="244"/>
      <c r="V574" s="244"/>
      <c r="W574" s="245"/>
      <c r="X574" s="253"/>
      <c r="Y574" s="253"/>
      <c r="Z574" s="244"/>
      <c r="AA574" s="244"/>
      <c r="AB574" s="43"/>
      <c r="AC574" s="43"/>
      <c r="AD574" s="43"/>
      <c r="AE574" s="43"/>
      <c r="AF574" s="43"/>
      <c r="AG574" s="43"/>
      <c r="AH574" s="43"/>
    </row>
    <row r="575" spans="1:34">
      <c r="A575" s="43"/>
      <c r="B575" s="43"/>
      <c r="C575" s="43"/>
      <c r="D575" s="43"/>
      <c r="E575" s="43"/>
      <c r="F575" s="43"/>
      <c r="G575" s="43"/>
      <c r="H575" s="244"/>
      <c r="I575" s="244"/>
      <c r="J575" s="244"/>
      <c r="K575" s="244"/>
      <c r="L575" s="244"/>
      <c r="M575" s="244"/>
      <c r="N575" s="244"/>
      <c r="O575" s="244"/>
      <c r="P575" s="244"/>
      <c r="Q575" s="245"/>
      <c r="R575" s="244"/>
      <c r="S575" s="244"/>
      <c r="T575" s="244"/>
      <c r="U575" s="244"/>
      <c r="V575" s="244"/>
      <c r="W575" s="245"/>
      <c r="X575" s="253"/>
      <c r="Y575" s="253"/>
      <c r="Z575" s="244"/>
      <c r="AA575" s="244"/>
      <c r="AB575" s="43"/>
      <c r="AC575" s="43"/>
      <c r="AD575" s="43"/>
      <c r="AE575" s="43"/>
      <c r="AF575" s="43"/>
      <c r="AG575" s="43"/>
      <c r="AH575" s="43"/>
    </row>
    <row r="576" spans="1:34">
      <c r="A576" s="43"/>
      <c r="B576" s="43"/>
      <c r="C576" s="43"/>
      <c r="D576" s="43"/>
      <c r="E576" s="43"/>
      <c r="F576" s="43"/>
      <c r="G576" s="43"/>
      <c r="H576" s="244"/>
      <c r="I576" s="244"/>
      <c r="J576" s="244"/>
      <c r="K576" s="244"/>
      <c r="L576" s="244"/>
      <c r="M576" s="244"/>
      <c r="N576" s="244"/>
      <c r="O576" s="244"/>
      <c r="P576" s="244"/>
      <c r="Q576" s="245"/>
      <c r="R576" s="244"/>
      <c r="S576" s="244"/>
      <c r="T576" s="244"/>
      <c r="U576" s="244"/>
      <c r="V576" s="244"/>
      <c r="W576" s="245"/>
      <c r="X576" s="253"/>
      <c r="Y576" s="253"/>
      <c r="Z576" s="244"/>
      <c r="AA576" s="244"/>
      <c r="AB576" s="43"/>
      <c r="AC576" s="43"/>
      <c r="AD576" s="43"/>
      <c r="AE576" s="43"/>
      <c r="AF576" s="43"/>
      <c r="AG576" s="43"/>
      <c r="AH576" s="43"/>
    </row>
    <row r="577" spans="1:34">
      <c r="A577" s="43"/>
      <c r="B577" s="43"/>
      <c r="C577" s="43"/>
      <c r="D577" s="43"/>
      <c r="E577" s="43"/>
      <c r="F577" s="43"/>
      <c r="G577" s="43"/>
      <c r="H577" s="244"/>
      <c r="I577" s="244"/>
      <c r="J577" s="244"/>
      <c r="K577" s="244"/>
      <c r="L577" s="244"/>
      <c r="M577" s="244"/>
      <c r="N577" s="244"/>
      <c r="O577" s="244"/>
      <c r="P577" s="244"/>
      <c r="Q577" s="245"/>
      <c r="R577" s="244"/>
      <c r="S577" s="244"/>
      <c r="T577" s="244"/>
      <c r="U577" s="244"/>
      <c r="V577" s="244"/>
      <c r="W577" s="245"/>
      <c r="X577" s="253"/>
      <c r="Y577" s="253"/>
      <c r="Z577" s="244"/>
      <c r="AA577" s="244"/>
      <c r="AB577" s="43"/>
      <c r="AC577" s="43"/>
      <c r="AD577" s="43"/>
      <c r="AE577" s="43"/>
      <c r="AF577" s="43"/>
      <c r="AG577" s="43"/>
      <c r="AH577" s="43"/>
    </row>
    <row r="578" spans="1:34">
      <c r="A578" s="43"/>
      <c r="B578" s="43"/>
      <c r="C578" s="43"/>
      <c r="D578" s="43"/>
      <c r="E578" s="43"/>
      <c r="F578" s="43"/>
      <c r="G578" s="43"/>
      <c r="H578" s="244"/>
      <c r="I578" s="244"/>
      <c r="J578" s="244"/>
      <c r="K578" s="244"/>
      <c r="L578" s="244"/>
      <c r="M578" s="244"/>
      <c r="N578" s="244"/>
      <c r="O578" s="244"/>
      <c r="P578" s="244"/>
      <c r="Q578" s="245"/>
      <c r="R578" s="244"/>
      <c r="S578" s="244"/>
      <c r="T578" s="244"/>
      <c r="U578" s="244"/>
      <c r="V578" s="244"/>
      <c r="W578" s="245"/>
      <c r="X578" s="253"/>
      <c r="Y578" s="253"/>
      <c r="Z578" s="244"/>
      <c r="AA578" s="244"/>
      <c r="AB578" s="43"/>
      <c r="AC578" s="43"/>
      <c r="AD578" s="43"/>
      <c r="AE578" s="43"/>
      <c r="AF578" s="43"/>
      <c r="AG578" s="43"/>
      <c r="AH578" s="43"/>
    </row>
    <row r="579" spans="1:34">
      <c r="A579" s="43"/>
      <c r="B579" s="43"/>
      <c r="C579" s="43"/>
      <c r="D579" s="43"/>
      <c r="E579" s="43"/>
      <c r="F579" s="43"/>
      <c r="G579" s="43"/>
      <c r="H579" s="244"/>
      <c r="I579" s="244"/>
      <c r="J579" s="244"/>
      <c r="K579" s="244"/>
      <c r="L579" s="244"/>
      <c r="M579" s="244"/>
      <c r="N579" s="244"/>
      <c r="O579" s="244"/>
      <c r="P579" s="244"/>
      <c r="Q579" s="245"/>
      <c r="R579" s="244"/>
      <c r="S579" s="244"/>
      <c r="T579" s="244"/>
      <c r="U579" s="244"/>
      <c r="V579" s="244"/>
      <c r="W579" s="245"/>
      <c r="X579" s="253"/>
      <c r="Y579" s="253"/>
      <c r="Z579" s="244"/>
      <c r="AA579" s="244"/>
      <c r="AB579" s="43"/>
      <c r="AC579" s="43"/>
      <c r="AD579" s="43"/>
      <c r="AE579" s="43"/>
      <c r="AF579" s="43"/>
      <c r="AG579" s="43"/>
      <c r="AH579" s="43"/>
    </row>
    <row r="580" spans="1:34">
      <c r="A580" s="43"/>
      <c r="B580" s="43"/>
      <c r="C580" s="43"/>
      <c r="D580" s="43"/>
      <c r="E580" s="43"/>
      <c r="F580" s="43"/>
      <c r="G580" s="43"/>
      <c r="H580" s="244"/>
      <c r="I580" s="244"/>
      <c r="J580" s="244"/>
      <c r="K580" s="244"/>
      <c r="L580" s="244"/>
      <c r="M580" s="244"/>
      <c r="N580" s="244"/>
      <c r="O580" s="244"/>
      <c r="P580" s="244"/>
      <c r="Q580" s="245"/>
      <c r="R580" s="244"/>
      <c r="S580" s="244"/>
      <c r="T580" s="244"/>
      <c r="U580" s="244"/>
      <c r="V580" s="244"/>
      <c r="W580" s="245"/>
      <c r="X580" s="253"/>
      <c r="Y580" s="253"/>
      <c r="Z580" s="244"/>
      <c r="AA580" s="244"/>
      <c r="AB580" s="43"/>
      <c r="AC580" s="43"/>
      <c r="AD580" s="43"/>
      <c r="AE580" s="43"/>
      <c r="AF580" s="43"/>
      <c r="AG580" s="43"/>
      <c r="AH580" s="43"/>
    </row>
    <row r="581" spans="1:34">
      <c r="A581" s="43"/>
      <c r="B581" s="43"/>
      <c r="C581" s="43"/>
      <c r="D581" s="43"/>
      <c r="E581" s="43"/>
      <c r="F581" s="43"/>
      <c r="G581" s="43"/>
      <c r="H581" s="244"/>
      <c r="I581" s="244"/>
      <c r="J581" s="244"/>
      <c r="K581" s="244"/>
      <c r="L581" s="244"/>
      <c r="M581" s="244"/>
      <c r="N581" s="244"/>
      <c r="O581" s="244"/>
      <c r="P581" s="244"/>
      <c r="Q581" s="245"/>
      <c r="R581" s="244"/>
      <c r="S581" s="244"/>
      <c r="T581" s="244"/>
      <c r="U581" s="244"/>
      <c r="V581" s="244"/>
      <c r="W581" s="245"/>
      <c r="X581" s="253"/>
      <c r="Y581" s="253"/>
      <c r="Z581" s="244"/>
      <c r="AA581" s="244"/>
      <c r="AB581" s="43"/>
      <c r="AC581" s="43"/>
      <c r="AD581" s="43"/>
      <c r="AE581" s="43"/>
      <c r="AF581" s="43"/>
      <c r="AG581" s="43"/>
      <c r="AH581" s="43"/>
    </row>
    <row r="582" spans="1:34">
      <c r="A582" s="43"/>
      <c r="B582" s="43"/>
      <c r="C582" s="43"/>
      <c r="D582" s="43"/>
      <c r="E582" s="43"/>
      <c r="F582" s="43"/>
      <c r="G582" s="43"/>
      <c r="H582" s="244"/>
      <c r="I582" s="244"/>
      <c r="J582" s="244"/>
      <c r="K582" s="244"/>
      <c r="L582" s="244"/>
      <c r="M582" s="244"/>
      <c r="N582" s="244"/>
      <c r="O582" s="244"/>
      <c r="P582" s="244"/>
      <c r="Q582" s="245"/>
      <c r="R582" s="244"/>
      <c r="S582" s="244"/>
      <c r="T582" s="244"/>
      <c r="U582" s="244"/>
      <c r="V582" s="244"/>
      <c r="W582" s="245"/>
      <c r="X582" s="253"/>
      <c r="Y582" s="253"/>
      <c r="Z582" s="244"/>
      <c r="AA582" s="244"/>
      <c r="AB582" s="43"/>
      <c r="AC582" s="43"/>
      <c r="AD582" s="43"/>
      <c r="AE582" s="43"/>
      <c r="AF582" s="43"/>
      <c r="AG582" s="43"/>
      <c r="AH582" s="43"/>
    </row>
    <row r="583" spans="1:34">
      <c r="A583" s="43"/>
      <c r="B583" s="43"/>
      <c r="C583" s="43"/>
      <c r="D583" s="43"/>
      <c r="E583" s="43"/>
      <c r="F583" s="43"/>
      <c r="G583" s="43"/>
      <c r="H583" s="244"/>
      <c r="I583" s="244"/>
      <c r="J583" s="244"/>
      <c r="K583" s="244"/>
      <c r="L583" s="244"/>
      <c r="M583" s="244"/>
      <c r="N583" s="244"/>
      <c r="O583" s="244"/>
      <c r="P583" s="244"/>
      <c r="Q583" s="245"/>
      <c r="R583" s="244"/>
      <c r="S583" s="244"/>
      <c r="T583" s="244"/>
      <c r="U583" s="244"/>
      <c r="V583" s="244"/>
      <c r="W583" s="245"/>
      <c r="X583" s="253"/>
      <c r="Y583" s="253"/>
      <c r="Z583" s="244"/>
      <c r="AA583" s="244"/>
      <c r="AB583" s="43"/>
      <c r="AC583" s="43"/>
      <c r="AD583" s="43"/>
      <c r="AE583" s="43"/>
      <c r="AF583" s="43"/>
      <c r="AG583" s="43"/>
      <c r="AH583" s="43"/>
    </row>
    <row r="584" spans="1:34">
      <c r="A584" s="43"/>
      <c r="B584" s="43"/>
      <c r="C584" s="43"/>
      <c r="D584" s="43"/>
      <c r="E584" s="43"/>
      <c r="F584" s="43"/>
      <c r="G584" s="43"/>
      <c r="H584" s="244"/>
      <c r="I584" s="244"/>
      <c r="J584" s="244"/>
      <c r="K584" s="244"/>
      <c r="L584" s="244"/>
      <c r="M584" s="244"/>
      <c r="N584" s="244"/>
      <c r="O584" s="244"/>
      <c r="P584" s="244"/>
      <c r="Q584" s="245"/>
      <c r="R584" s="244"/>
      <c r="S584" s="244"/>
      <c r="T584" s="244"/>
      <c r="U584" s="244"/>
      <c r="V584" s="244"/>
      <c r="W584" s="245"/>
      <c r="X584" s="253"/>
      <c r="Y584" s="253"/>
      <c r="Z584" s="244"/>
      <c r="AA584" s="244"/>
      <c r="AB584" s="43"/>
      <c r="AC584" s="43"/>
      <c r="AD584" s="43"/>
      <c r="AE584" s="43"/>
      <c r="AF584" s="43"/>
      <c r="AG584" s="43"/>
      <c r="AH584" s="43"/>
    </row>
    <row r="585" spans="1:34">
      <c r="A585" s="43"/>
      <c r="B585" s="43"/>
      <c r="C585" s="43"/>
      <c r="D585" s="43"/>
      <c r="E585" s="43"/>
      <c r="F585" s="43"/>
      <c r="G585" s="43"/>
      <c r="H585" s="244"/>
      <c r="I585" s="244"/>
      <c r="J585" s="244"/>
      <c r="K585" s="244"/>
      <c r="L585" s="244"/>
      <c r="M585" s="244"/>
      <c r="N585" s="244"/>
      <c r="O585" s="244"/>
      <c r="P585" s="244"/>
      <c r="Q585" s="245"/>
      <c r="R585" s="244"/>
      <c r="S585" s="244"/>
      <c r="T585" s="244"/>
      <c r="U585" s="244"/>
      <c r="V585" s="244"/>
      <c r="W585" s="245"/>
      <c r="X585" s="253"/>
      <c r="Y585" s="253"/>
      <c r="Z585" s="244"/>
      <c r="AA585" s="244"/>
      <c r="AB585" s="43"/>
      <c r="AC585" s="43"/>
      <c r="AD585" s="43"/>
      <c r="AE585" s="43"/>
      <c r="AF585" s="43"/>
      <c r="AG585" s="43"/>
      <c r="AH585" s="43"/>
    </row>
    <row r="586" spans="1:34">
      <c r="A586" s="43"/>
      <c r="B586" s="43"/>
      <c r="C586" s="43"/>
      <c r="D586" s="43"/>
      <c r="E586" s="43"/>
      <c r="F586" s="43"/>
      <c r="G586" s="43"/>
      <c r="H586" s="244"/>
      <c r="I586" s="244"/>
      <c r="J586" s="244"/>
      <c r="K586" s="244"/>
      <c r="L586" s="244"/>
      <c r="M586" s="244"/>
      <c r="N586" s="244"/>
      <c r="O586" s="244"/>
      <c r="P586" s="244"/>
      <c r="Q586" s="245"/>
      <c r="R586" s="244"/>
      <c r="S586" s="244"/>
      <c r="T586" s="244"/>
      <c r="U586" s="244"/>
      <c r="V586" s="244"/>
      <c r="W586" s="245"/>
      <c r="X586" s="253"/>
      <c r="Y586" s="253"/>
      <c r="Z586" s="244"/>
      <c r="AA586" s="244"/>
      <c r="AB586" s="43"/>
      <c r="AC586" s="43"/>
      <c r="AD586" s="43"/>
      <c r="AE586" s="43"/>
      <c r="AF586" s="43"/>
      <c r="AG586" s="43"/>
      <c r="AH586" s="43"/>
    </row>
    <row r="587" spans="1:34">
      <c r="A587" s="43"/>
      <c r="B587" s="43"/>
      <c r="C587" s="43"/>
      <c r="D587" s="43"/>
      <c r="E587" s="43"/>
      <c r="F587" s="43"/>
      <c r="G587" s="43"/>
      <c r="H587" s="244"/>
      <c r="I587" s="244"/>
      <c r="J587" s="244"/>
      <c r="K587" s="244"/>
      <c r="L587" s="244"/>
      <c r="M587" s="244"/>
      <c r="N587" s="244"/>
      <c r="O587" s="244"/>
      <c r="P587" s="244"/>
      <c r="Q587" s="245"/>
      <c r="R587" s="244"/>
      <c r="S587" s="244"/>
      <c r="T587" s="244"/>
      <c r="U587" s="244"/>
      <c r="V587" s="244"/>
      <c r="W587" s="245"/>
      <c r="X587" s="253"/>
      <c r="Y587" s="253"/>
      <c r="Z587" s="244"/>
      <c r="AA587" s="244"/>
      <c r="AB587" s="43"/>
      <c r="AC587" s="43"/>
      <c r="AD587" s="43"/>
      <c r="AE587" s="43"/>
      <c r="AF587" s="43"/>
      <c r="AG587" s="43"/>
      <c r="AH587" s="43"/>
    </row>
    <row r="588" spans="1:34">
      <c r="A588" s="43"/>
      <c r="B588" s="43"/>
      <c r="C588" s="43"/>
      <c r="D588" s="43"/>
      <c r="E588" s="43"/>
      <c r="F588" s="43"/>
      <c r="G588" s="43"/>
      <c r="H588" s="244"/>
      <c r="I588" s="244"/>
      <c r="J588" s="244"/>
      <c r="K588" s="244"/>
      <c r="L588" s="244"/>
      <c r="M588" s="244"/>
      <c r="N588" s="244"/>
      <c r="O588" s="244"/>
      <c r="P588" s="244"/>
      <c r="Q588" s="245"/>
      <c r="R588" s="244"/>
      <c r="S588" s="244"/>
      <c r="T588" s="244"/>
      <c r="U588" s="244"/>
      <c r="V588" s="244"/>
      <c r="W588" s="245"/>
      <c r="X588" s="253"/>
      <c r="Y588" s="253"/>
      <c r="Z588" s="244"/>
      <c r="AA588" s="244"/>
      <c r="AB588" s="43"/>
      <c r="AC588" s="43"/>
      <c r="AD588" s="43"/>
      <c r="AE588" s="43"/>
      <c r="AF588" s="43"/>
      <c r="AG588" s="43"/>
      <c r="AH588" s="43"/>
    </row>
    <row r="589" spans="1:34">
      <c r="A589" s="43"/>
      <c r="B589" s="43"/>
      <c r="C589" s="43"/>
      <c r="D589" s="43"/>
      <c r="E589" s="43"/>
      <c r="F589" s="43"/>
      <c r="G589" s="43"/>
      <c r="H589" s="244"/>
      <c r="I589" s="244"/>
      <c r="J589" s="244"/>
      <c r="K589" s="244"/>
      <c r="L589" s="244"/>
      <c r="M589" s="244"/>
      <c r="N589" s="244"/>
      <c r="O589" s="244"/>
      <c r="P589" s="244"/>
      <c r="Q589" s="245"/>
      <c r="R589" s="244"/>
      <c r="S589" s="244"/>
      <c r="T589" s="244"/>
      <c r="U589" s="244"/>
      <c r="V589" s="244"/>
      <c r="W589" s="245"/>
      <c r="X589" s="253"/>
      <c r="Y589" s="253"/>
      <c r="Z589" s="244"/>
      <c r="AA589" s="244"/>
      <c r="AB589" s="43"/>
      <c r="AC589" s="43"/>
      <c r="AD589" s="43"/>
      <c r="AE589" s="43"/>
      <c r="AF589" s="43"/>
      <c r="AG589" s="43"/>
      <c r="AH589" s="43"/>
    </row>
    <row r="590" spans="1:34">
      <c r="A590" s="43"/>
      <c r="B590" s="43"/>
      <c r="C590" s="43"/>
      <c r="D590" s="43"/>
      <c r="E590" s="43"/>
      <c r="F590" s="43"/>
      <c r="G590" s="43"/>
      <c r="H590" s="244"/>
      <c r="I590" s="244"/>
      <c r="J590" s="244"/>
      <c r="K590" s="244"/>
      <c r="L590" s="244"/>
      <c r="M590" s="244"/>
      <c r="N590" s="244"/>
      <c r="O590" s="244"/>
      <c r="P590" s="244"/>
      <c r="Q590" s="245"/>
      <c r="R590" s="244"/>
      <c r="S590" s="244"/>
      <c r="T590" s="244"/>
      <c r="U590" s="244"/>
      <c r="V590" s="244"/>
      <c r="W590" s="245"/>
      <c r="X590" s="253"/>
      <c r="Y590" s="253"/>
      <c r="Z590" s="244"/>
      <c r="AA590" s="244"/>
      <c r="AB590" s="43"/>
      <c r="AC590" s="43"/>
      <c r="AD590" s="43"/>
      <c r="AE590" s="43"/>
      <c r="AF590" s="43"/>
      <c r="AG590" s="43"/>
      <c r="AH590" s="43"/>
    </row>
    <row r="591" spans="1:34">
      <c r="A591" s="43"/>
      <c r="B591" s="43"/>
      <c r="C591" s="43"/>
      <c r="D591" s="43"/>
      <c r="E591" s="43"/>
      <c r="F591" s="43"/>
      <c r="G591" s="43"/>
      <c r="H591" s="244"/>
      <c r="I591" s="244"/>
      <c r="J591" s="244"/>
      <c r="K591" s="244"/>
      <c r="L591" s="244"/>
      <c r="M591" s="244"/>
      <c r="N591" s="244"/>
      <c r="O591" s="244"/>
      <c r="P591" s="244"/>
      <c r="Q591" s="245"/>
      <c r="R591" s="244"/>
      <c r="S591" s="244"/>
      <c r="T591" s="244"/>
      <c r="U591" s="244"/>
      <c r="V591" s="244"/>
      <c r="W591" s="245"/>
      <c r="X591" s="253"/>
      <c r="Y591" s="253"/>
      <c r="Z591" s="244"/>
      <c r="AA591" s="244"/>
      <c r="AB591" s="43"/>
      <c r="AC591" s="43"/>
      <c r="AD591" s="43"/>
      <c r="AE591" s="43"/>
      <c r="AF591" s="43"/>
      <c r="AG591" s="43"/>
      <c r="AH591" s="43"/>
    </row>
    <row r="592" spans="1:34">
      <c r="A592" s="43"/>
      <c r="B592" s="43"/>
      <c r="C592" s="43"/>
      <c r="D592" s="43"/>
      <c r="E592" s="43"/>
      <c r="F592" s="43"/>
      <c r="G592" s="43"/>
      <c r="H592" s="244"/>
      <c r="I592" s="244"/>
      <c r="J592" s="244"/>
      <c r="K592" s="244"/>
      <c r="L592" s="244"/>
      <c r="M592" s="244"/>
      <c r="N592" s="244"/>
      <c r="O592" s="244"/>
      <c r="P592" s="244"/>
      <c r="Q592" s="245"/>
      <c r="R592" s="244"/>
      <c r="S592" s="244"/>
      <c r="T592" s="244"/>
      <c r="U592" s="244"/>
      <c r="V592" s="244"/>
      <c r="W592" s="245"/>
      <c r="X592" s="253"/>
      <c r="Y592" s="253"/>
      <c r="Z592" s="244"/>
      <c r="AA592" s="244"/>
      <c r="AB592" s="43"/>
      <c r="AC592" s="43"/>
      <c r="AD592" s="43"/>
      <c r="AE592" s="43"/>
      <c r="AF592" s="43"/>
      <c r="AG592" s="43"/>
      <c r="AH592" s="43"/>
    </row>
    <row r="593" spans="1:34">
      <c r="A593" s="43"/>
      <c r="B593" s="43"/>
      <c r="C593" s="43"/>
      <c r="D593" s="43"/>
      <c r="E593" s="43"/>
      <c r="F593" s="43"/>
      <c r="G593" s="43"/>
      <c r="H593" s="244"/>
      <c r="I593" s="244"/>
      <c r="J593" s="244"/>
      <c r="K593" s="244"/>
      <c r="L593" s="244"/>
      <c r="M593" s="244"/>
      <c r="N593" s="244"/>
      <c r="O593" s="244"/>
      <c r="P593" s="244"/>
      <c r="Q593" s="245"/>
      <c r="R593" s="244"/>
      <c r="S593" s="244"/>
      <c r="T593" s="244"/>
      <c r="U593" s="244"/>
      <c r="V593" s="244"/>
      <c r="W593" s="245"/>
      <c r="X593" s="253"/>
      <c r="Y593" s="253"/>
      <c r="Z593" s="244"/>
      <c r="AA593" s="244"/>
      <c r="AB593" s="43"/>
      <c r="AC593" s="43"/>
      <c r="AD593" s="43"/>
      <c r="AE593" s="43"/>
      <c r="AF593" s="43"/>
      <c r="AG593" s="43"/>
      <c r="AH593" s="43"/>
    </row>
    <row r="594" spans="1:34">
      <c r="A594" s="43"/>
      <c r="B594" s="43"/>
      <c r="C594" s="43"/>
      <c r="D594" s="43"/>
      <c r="E594" s="43"/>
      <c r="F594" s="43"/>
      <c r="G594" s="43"/>
      <c r="H594" s="244"/>
      <c r="I594" s="244"/>
      <c r="J594" s="244"/>
      <c r="K594" s="244"/>
      <c r="L594" s="244"/>
      <c r="M594" s="244"/>
      <c r="N594" s="244"/>
      <c r="O594" s="244"/>
      <c r="P594" s="244"/>
      <c r="Q594" s="245"/>
      <c r="R594" s="244"/>
      <c r="S594" s="244"/>
      <c r="T594" s="244"/>
      <c r="U594" s="244"/>
      <c r="V594" s="244"/>
      <c r="W594" s="245"/>
      <c r="X594" s="253"/>
      <c r="Y594" s="253"/>
      <c r="Z594" s="244"/>
      <c r="AA594" s="244"/>
      <c r="AB594" s="43"/>
      <c r="AC594" s="43"/>
      <c r="AD594" s="43"/>
      <c r="AE594" s="43"/>
      <c r="AF594" s="43"/>
      <c r="AG594" s="43"/>
      <c r="AH594" s="43"/>
    </row>
    <row r="595" spans="1:34">
      <c r="A595" s="43"/>
      <c r="B595" s="43"/>
      <c r="C595" s="43"/>
      <c r="D595" s="43"/>
      <c r="E595" s="43"/>
      <c r="F595" s="43"/>
      <c r="G595" s="43"/>
      <c r="H595" s="244"/>
      <c r="I595" s="244"/>
      <c r="J595" s="244"/>
      <c r="K595" s="244"/>
      <c r="L595" s="244"/>
      <c r="M595" s="244"/>
      <c r="N595" s="244"/>
      <c r="O595" s="244"/>
      <c r="P595" s="244"/>
      <c r="Q595" s="245"/>
      <c r="R595" s="244"/>
      <c r="S595" s="244"/>
      <c r="T595" s="244"/>
      <c r="U595" s="244"/>
      <c r="V595" s="244"/>
      <c r="W595" s="245"/>
      <c r="X595" s="253"/>
      <c r="Y595" s="253"/>
      <c r="Z595" s="244"/>
      <c r="AA595" s="244"/>
      <c r="AB595" s="43"/>
      <c r="AC595" s="43"/>
      <c r="AD595" s="43"/>
      <c r="AE595" s="43"/>
      <c r="AF595" s="43"/>
      <c r="AG595" s="43"/>
      <c r="AH595" s="43"/>
    </row>
    <row r="596" spans="1:34">
      <c r="A596" s="43"/>
      <c r="B596" s="43"/>
      <c r="C596" s="43"/>
      <c r="D596" s="43"/>
      <c r="E596" s="43"/>
      <c r="F596" s="43"/>
      <c r="G596" s="43"/>
      <c r="H596" s="244"/>
      <c r="I596" s="244"/>
      <c r="J596" s="244"/>
      <c r="K596" s="244"/>
      <c r="L596" s="244"/>
      <c r="M596" s="244"/>
      <c r="N596" s="244"/>
      <c r="O596" s="244"/>
      <c r="P596" s="244"/>
      <c r="Q596" s="245"/>
      <c r="R596" s="244"/>
      <c r="S596" s="244"/>
      <c r="T596" s="244"/>
      <c r="U596" s="244"/>
      <c r="V596" s="244"/>
      <c r="W596" s="245"/>
      <c r="X596" s="253"/>
      <c r="Y596" s="253"/>
      <c r="Z596" s="244"/>
      <c r="AA596" s="244"/>
      <c r="AB596" s="43"/>
      <c r="AC596" s="43"/>
      <c r="AD596" s="43"/>
      <c r="AE596" s="43"/>
      <c r="AF596" s="43"/>
      <c r="AG596" s="43"/>
      <c r="AH596" s="43"/>
    </row>
    <row r="597" spans="1:34">
      <c r="A597" s="43"/>
      <c r="B597" s="43"/>
      <c r="C597" s="43"/>
      <c r="D597" s="43"/>
      <c r="E597" s="43"/>
      <c r="F597" s="43"/>
      <c r="G597" s="43"/>
      <c r="H597" s="244"/>
      <c r="I597" s="244"/>
      <c r="J597" s="244"/>
      <c r="K597" s="244"/>
      <c r="L597" s="244"/>
      <c r="M597" s="244"/>
      <c r="N597" s="244"/>
      <c r="O597" s="244"/>
      <c r="P597" s="244"/>
      <c r="Q597" s="245"/>
      <c r="R597" s="244"/>
      <c r="S597" s="244"/>
      <c r="T597" s="244"/>
      <c r="U597" s="244"/>
      <c r="V597" s="244"/>
      <c r="W597" s="245"/>
      <c r="X597" s="253"/>
      <c r="Y597" s="253"/>
      <c r="Z597" s="244"/>
      <c r="AA597" s="244"/>
      <c r="AB597" s="43"/>
      <c r="AC597" s="43"/>
      <c r="AD597" s="43"/>
      <c r="AE597" s="43"/>
      <c r="AF597" s="43"/>
      <c r="AG597" s="43"/>
      <c r="AH597" s="43"/>
    </row>
    <row r="598" spans="1:34">
      <c r="A598" s="43"/>
      <c r="B598" s="43"/>
      <c r="C598" s="43"/>
      <c r="D598" s="43"/>
      <c r="E598" s="43"/>
      <c r="F598" s="43"/>
      <c r="G598" s="43"/>
      <c r="H598" s="244"/>
      <c r="I598" s="244"/>
      <c r="J598" s="244"/>
      <c r="K598" s="244"/>
      <c r="L598" s="244"/>
      <c r="M598" s="244"/>
      <c r="N598" s="244"/>
      <c r="O598" s="244"/>
      <c r="P598" s="244"/>
      <c r="Q598" s="245"/>
      <c r="R598" s="244"/>
      <c r="S598" s="244"/>
      <c r="T598" s="244"/>
      <c r="U598" s="244"/>
      <c r="V598" s="244"/>
      <c r="W598" s="245"/>
      <c r="X598" s="253"/>
      <c r="Y598" s="253"/>
      <c r="Z598" s="244"/>
      <c r="AA598" s="244"/>
      <c r="AB598" s="43"/>
      <c r="AC598" s="43"/>
      <c r="AD598" s="43"/>
      <c r="AE598" s="43"/>
      <c r="AF598" s="43"/>
      <c r="AG598" s="43"/>
      <c r="AH598" s="43"/>
    </row>
    <row r="599" spans="1:34">
      <c r="A599" s="43"/>
      <c r="B599" s="43"/>
      <c r="C599" s="43"/>
      <c r="D599" s="43"/>
      <c r="E599" s="43"/>
      <c r="F599" s="43"/>
      <c r="G599" s="43"/>
      <c r="H599" s="244"/>
      <c r="I599" s="244"/>
      <c r="J599" s="244"/>
      <c r="K599" s="244"/>
      <c r="L599" s="244"/>
      <c r="M599" s="244"/>
      <c r="N599" s="244"/>
      <c r="O599" s="244"/>
      <c r="P599" s="244"/>
      <c r="Q599" s="245"/>
      <c r="R599" s="244"/>
      <c r="S599" s="244"/>
      <c r="T599" s="244"/>
      <c r="U599" s="244"/>
      <c r="V599" s="244"/>
      <c r="W599" s="245"/>
      <c r="X599" s="253"/>
      <c r="Y599" s="253"/>
      <c r="Z599" s="244"/>
      <c r="AA599" s="244"/>
      <c r="AB599" s="43"/>
      <c r="AC599" s="43"/>
      <c r="AD599" s="43"/>
      <c r="AE599" s="43"/>
      <c r="AF599" s="43"/>
      <c r="AG599" s="43"/>
      <c r="AH599" s="43"/>
    </row>
    <row r="600" spans="1:34">
      <c r="A600" s="43"/>
      <c r="B600" s="43"/>
      <c r="C600" s="43"/>
      <c r="D600" s="43"/>
      <c r="E600" s="43"/>
      <c r="F600" s="43"/>
      <c r="G600" s="43"/>
      <c r="H600" s="244"/>
      <c r="I600" s="244"/>
      <c r="J600" s="244"/>
      <c r="K600" s="244"/>
      <c r="L600" s="244"/>
      <c r="M600" s="244"/>
      <c r="N600" s="244"/>
      <c r="O600" s="244"/>
      <c r="P600" s="244"/>
      <c r="Q600" s="245"/>
      <c r="R600" s="244"/>
      <c r="S600" s="244"/>
      <c r="T600" s="244"/>
      <c r="U600" s="244"/>
      <c r="V600" s="244"/>
      <c r="W600" s="245"/>
      <c r="X600" s="253"/>
      <c r="Y600" s="253"/>
      <c r="Z600" s="244"/>
      <c r="AA600" s="244"/>
      <c r="AB600" s="43"/>
      <c r="AC600" s="43"/>
      <c r="AD600" s="43"/>
      <c r="AE600" s="43"/>
      <c r="AF600" s="43"/>
      <c r="AG600" s="43"/>
      <c r="AH600" s="43"/>
    </row>
    <row r="601" spans="1:34">
      <c r="A601" s="43"/>
      <c r="B601" s="43"/>
      <c r="C601" s="43"/>
      <c r="D601" s="43"/>
      <c r="E601" s="43"/>
      <c r="F601" s="43"/>
      <c r="G601" s="43"/>
      <c r="H601" s="244"/>
      <c r="I601" s="244"/>
      <c r="J601" s="244"/>
      <c r="K601" s="244"/>
      <c r="L601" s="244"/>
      <c r="M601" s="244"/>
      <c r="N601" s="244"/>
      <c r="O601" s="244"/>
      <c r="P601" s="244"/>
      <c r="Q601" s="245"/>
      <c r="R601" s="244"/>
      <c r="S601" s="244"/>
      <c r="T601" s="244"/>
      <c r="U601" s="244"/>
      <c r="V601" s="244"/>
      <c r="W601" s="245"/>
      <c r="X601" s="253"/>
      <c r="Y601" s="253"/>
      <c r="Z601" s="244"/>
      <c r="AA601" s="244"/>
      <c r="AB601" s="43"/>
      <c r="AC601" s="43"/>
      <c r="AD601" s="43"/>
      <c r="AE601" s="43"/>
      <c r="AF601" s="43"/>
      <c r="AG601" s="43"/>
      <c r="AH601" s="43"/>
    </row>
    <row r="602" spans="1:34">
      <c r="A602" s="43"/>
      <c r="B602" s="43"/>
      <c r="C602" s="43"/>
      <c r="D602" s="43"/>
      <c r="E602" s="43"/>
      <c r="F602" s="43"/>
      <c r="G602" s="43"/>
      <c r="H602" s="244"/>
      <c r="I602" s="244"/>
      <c r="J602" s="244"/>
      <c r="K602" s="244"/>
      <c r="L602" s="244"/>
      <c r="M602" s="244"/>
      <c r="N602" s="244"/>
      <c r="O602" s="244"/>
      <c r="P602" s="244"/>
      <c r="Q602" s="245"/>
      <c r="R602" s="244"/>
      <c r="S602" s="244"/>
      <c r="T602" s="244"/>
      <c r="U602" s="244"/>
      <c r="V602" s="244"/>
      <c r="W602" s="245"/>
      <c r="X602" s="253"/>
      <c r="Y602" s="253"/>
      <c r="Z602" s="244"/>
      <c r="AA602" s="244"/>
      <c r="AB602" s="43"/>
      <c r="AC602" s="43"/>
      <c r="AD602" s="43"/>
      <c r="AE602" s="43"/>
      <c r="AF602" s="43"/>
      <c r="AG602" s="43"/>
      <c r="AH602" s="43"/>
    </row>
    <row r="603" spans="1:34">
      <c r="A603" s="43"/>
      <c r="B603" s="43"/>
      <c r="C603" s="43"/>
      <c r="D603" s="43"/>
      <c r="E603" s="43"/>
      <c r="F603" s="43"/>
      <c r="G603" s="43"/>
      <c r="H603" s="244"/>
      <c r="I603" s="244"/>
      <c r="J603" s="244"/>
      <c r="K603" s="244"/>
      <c r="L603" s="244"/>
      <c r="M603" s="244"/>
      <c r="N603" s="244"/>
      <c r="O603" s="244"/>
      <c r="P603" s="244"/>
      <c r="Q603" s="245"/>
      <c r="R603" s="244"/>
      <c r="S603" s="244"/>
      <c r="T603" s="244"/>
      <c r="U603" s="244"/>
      <c r="V603" s="244"/>
      <c r="W603" s="245"/>
      <c r="X603" s="253"/>
      <c r="Y603" s="253"/>
      <c r="Z603" s="244"/>
      <c r="AA603" s="244"/>
      <c r="AB603" s="43"/>
      <c r="AC603" s="43"/>
      <c r="AD603" s="43"/>
      <c r="AE603" s="43"/>
      <c r="AF603" s="43"/>
      <c r="AG603" s="43"/>
      <c r="AH603" s="43"/>
    </row>
    <row r="604" spans="1:34">
      <c r="A604" s="43"/>
      <c r="B604" s="43"/>
      <c r="C604" s="43"/>
      <c r="D604" s="43"/>
      <c r="E604" s="43"/>
      <c r="F604" s="43"/>
      <c r="G604" s="43"/>
      <c r="H604" s="244"/>
      <c r="I604" s="244"/>
      <c r="J604" s="244"/>
      <c r="K604" s="244"/>
      <c r="L604" s="244"/>
      <c r="M604" s="244"/>
      <c r="N604" s="244"/>
      <c r="O604" s="244"/>
      <c r="P604" s="244"/>
      <c r="Q604" s="245"/>
      <c r="R604" s="244"/>
      <c r="S604" s="244"/>
      <c r="T604" s="244"/>
      <c r="U604" s="244"/>
      <c r="V604" s="244"/>
      <c r="W604" s="245"/>
      <c r="X604" s="253"/>
      <c r="Y604" s="253"/>
      <c r="Z604" s="244"/>
      <c r="AA604" s="244"/>
      <c r="AB604" s="43"/>
      <c r="AC604" s="43"/>
      <c r="AD604" s="43"/>
      <c r="AE604" s="43"/>
      <c r="AF604" s="43"/>
      <c r="AG604" s="43"/>
      <c r="AH604" s="43"/>
    </row>
    <row r="605" spans="1:34">
      <c r="A605" s="43"/>
      <c r="B605" s="43"/>
      <c r="C605" s="43"/>
      <c r="D605" s="43"/>
      <c r="E605" s="43"/>
      <c r="F605" s="43"/>
      <c r="G605" s="43"/>
      <c r="H605" s="244"/>
      <c r="I605" s="244"/>
      <c r="J605" s="244"/>
      <c r="K605" s="244"/>
      <c r="L605" s="244"/>
      <c r="M605" s="244"/>
      <c r="N605" s="244"/>
      <c r="O605" s="244"/>
      <c r="P605" s="244"/>
      <c r="Q605" s="245"/>
      <c r="R605" s="244"/>
      <c r="S605" s="244"/>
      <c r="T605" s="244"/>
      <c r="U605" s="244"/>
      <c r="V605" s="244"/>
      <c r="W605" s="245"/>
      <c r="X605" s="253"/>
      <c r="Y605" s="253"/>
      <c r="Z605" s="244"/>
      <c r="AA605" s="244"/>
      <c r="AB605" s="43"/>
      <c r="AC605" s="43"/>
      <c r="AD605" s="43"/>
      <c r="AE605" s="43"/>
      <c r="AF605" s="43"/>
      <c r="AG605" s="43"/>
      <c r="AH605" s="43"/>
    </row>
    <row r="606" spans="1:34">
      <c r="A606" s="43"/>
      <c r="B606" s="43"/>
      <c r="C606" s="43"/>
      <c r="D606" s="43"/>
      <c r="E606" s="43"/>
      <c r="F606" s="43"/>
      <c r="G606" s="43"/>
      <c r="H606" s="244"/>
      <c r="I606" s="244"/>
      <c r="J606" s="244"/>
      <c r="K606" s="244"/>
      <c r="L606" s="244"/>
      <c r="M606" s="244"/>
      <c r="N606" s="244"/>
      <c r="O606" s="244"/>
      <c r="P606" s="244"/>
      <c r="Q606" s="245"/>
      <c r="R606" s="244"/>
      <c r="S606" s="244"/>
      <c r="T606" s="244"/>
      <c r="U606" s="244"/>
      <c r="V606" s="244"/>
      <c r="W606" s="245"/>
      <c r="X606" s="253"/>
      <c r="Y606" s="253"/>
      <c r="Z606" s="244"/>
      <c r="AA606" s="244"/>
      <c r="AB606" s="43"/>
      <c r="AC606" s="43"/>
      <c r="AD606" s="43"/>
      <c r="AE606" s="43"/>
      <c r="AF606" s="43"/>
      <c r="AG606" s="43"/>
      <c r="AH606" s="43"/>
    </row>
    <row r="607" spans="1:34">
      <c r="A607" s="43"/>
      <c r="B607" s="43"/>
      <c r="C607" s="43"/>
      <c r="D607" s="43"/>
      <c r="E607" s="43"/>
      <c r="F607" s="43"/>
      <c r="G607" s="43"/>
      <c r="H607" s="244"/>
      <c r="I607" s="244"/>
      <c r="J607" s="244"/>
      <c r="K607" s="244"/>
      <c r="L607" s="244"/>
      <c r="M607" s="244"/>
      <c r="N607" s="244"/>
      <c r="O607" s="244"/>
      <c r="P607" s="244"/>
      <c r="Q607" s="245"/>
      <c r="R607" s="244"/>
      <c r="S607" s="244"/>
      <c r="T607" s="244"/>
      <c r="U607" s="244"/>
      <c r="V607" s="244"/>
      <c r="W607" s="245"/>
      <c r="X607" s="253"/>
      <c r="Y607" s="253"/>
      <c r="Z607" s="244"/>
      <c r="AA607" s="244"/>
      <c r="AB607" s="43"/>
      <c r="AC607" s="43"/>
      <c r="AD607" s="43"/>
      <c r="AE607" s="43"/>
      <c r="AF607" s="43"/>
      <c r="AG607" s="43"/>
      <c r="AH607" s="43"/>
    </row>
    <row r="608" spans="1:34">
      <c r="A608" s="43"/>
      <c r="B608" s="43"/>
      <c r="C608" s="43"/>
      <c r="D608" s="43"/>
      <c r="E608" s="43"/>
      <c r="F608" s="43"/>
      <c r="G608" s="43"/>
      <c r="H608" s="244"/>
      <c r="I608" s="244"/>
      <c r="J608" s="244"/>
      <c r="K608" s="244"/>
      <c r="L608" s="244"/>
      <c r="M608" s="244"/>
      <c r="N608" s="244"/>
      <c r="O608" s="244"/>
      <c r="P608" s="244"/>
      <c r="Q608" s="245"/>
      <c r="R608" s="244"/>
      <c r="S608" s="244"/>
      <c r="T608" s="244"/>
      <c r="U608" s="244"/>
      <c r="V608" s="244"/>
      <c r="W608" s="245"/>
      <c r="X608" s="253"/>
      <c r="Y608" s="253"/>
      <c r="Z608" s="244"/>
      <c r="AA608" s="244"/>
      <c r="AB608" s="43"/>
      <c r="AC608" s="43"/>
      <c r="AD608" s="43"/>
      <c r="AE608" s="43"/>
      <c r="AF608" s="43"/>
      <c r="AG608" s="43"/>
      <c r="AH608" s="43"/>
    </row>
    <row r="609" spans="1:34">
      <c r="A609" s="43"/>
      <c r="B609" s="43"/>
      <c r="C609" s="43"/>
      <c r="D609" s="43"/>
      <c r="E609" s="43"/>
      <c r="F609" s="43"/>
      <c r="G609" s="43"/>
      <c r="H609" s="244"/>
      <c r="I609" s="244"/>
      <c r="J609" s="244"/>
      <c r="K609" s="244"/>
      <c r="L609" s="244"/>
      <c r="M609" s="244"/>
      <c r="N609" s="244"/>
      <c r="O609" s="244"/>
      <c r="P609" s="244"/>
      <c r="Q609" s="245"/>
      <c r="R609" s="244"/>
      <c r="S609" s="244"/>
      <c r="T609" s="244"/>
      <c r="U609" s="244"/>
      <c r="V609" s="244"/>
      <c r="W609" s="245"/>
      <c r="X609" s="253"/>
      <c r="Y609" s="253"/>
      <c r="Z609" s="244"/>
      <c r="AA609" s="244"/>
      <c r="AB609" s="43"/>
      <c r="AC609" s="43"/>
      <c r="AD609" s="43"/>
      <c r="AE609" s="43"/>
      <c r="AF609" s="43"/>
      <c r="AG609" s="43"/>
      <c r="AH609" s="43"/>
    </row>
    <row r="610" spans="1:34">
      <c r="A610" s="43"/>
      <c r="B610" s="43"/>
      <c r="C610" s="43"/>
      <c r="D610" s="43"/>
      <c r="E610" s="43"/>
      <c r="F610" s="43"/>
      <c r="G610" s="43"/>
      <c r="H610" s="244"/>
      <c r="I610" s="244"/>
      <c r="J610" s="244"/>
      <c r="K610" s="244"/>
      <c r="L610" s="244"/>
      <c r="M610" s="244"/>
      <c r="N610" s="244"/>
      <c r="O610" s="244"/>
      <c r="P610" s="244"/>
      <c r="Q610" s="245"/>
      <c r="R610" s="244"/>
      <c r="S610" s="244"/>
      <c r="T610" s="244"/>
      <c r="U610" s="244"/>
      <c r="V610" s="244"/>
      <c r="W610" s="245"/>
      <c r="X610" s="253"/>
      <c r="Y610" s="253"/>
      <c r="Z610" s="244"/>
      <c r="AA610" s="244"/>
      <c r="AB610" s="43"/>
      <c r="AC610" s="43"/>
      <c r="AD610" s="43"/>
      <c r="AE610" s="43"/>
      <c r="AF610" s="43"/>
      <c r="AG610" s="43"/>
      <c r="AH610" s="43"/>
    </row>
    <row r="611" spans="1:34">
      <c r="A611" s="43"/>
      <c r="B611" s="43"/>
      <c r="C611" s="43"/>
      <c r="D611" s="43"/>
      <c r="E611" s="43"/>
      <c r="F611" s="43"/>
      <c r="G611" s="43"/>
      <c r="H611" s="244"/>
      <c r="I611" s="244"/>
      <c r="J611" s="244"/>
      <c r="K611" s="244"/>
      <c r="L611" s="244"/>
      <c r="M611" s="244"/>
      <c r="N611" s="244"/>
      <c r="O611" s="244"/>
      <c r="P611" s="244"/>
      <c r="Q611" s="245"/>
      <c r="R611" s="244"/>
      <c r="S611" s="244"/>
      <c r="T611" s="244"/>
      <c r="U611" s="244"/>
      <c r="V611" s="244"/>
      <c r="W611" s="245"/>
      <c r="X611" s="253"/>
      <c r="Y611" s="253"/>
      <c r="Z611" s="244"/>
      <c r="AA611" s="244"/>
      <c r="AB611" s="43"/>
      <c r="AC611" s="43"/>
      <c r="AD611" s="43"/>
      <c r="AE611" s="43"/>
      <c r="AF611" s="43"/>
      <c r="AG611" s="43"/>
      <c r="AH611" s="43"/>
    </row>
    <row r="612" spans="1:34">
      <c r="A612" s="43"/>
      <c r="B612" s="43"/>
      <c r="C612" s="43"/>
      <c r="D612" s="43"/>
      <c r="E612" s="43"/>
      <c r="F612" s="43"/>
      <c r="G612" s="43"/>
      <c r="H612" s="244"/>
      <c r="I612" s="244"/>
      <c r="J612" s="244"/>
      <c r="K612" s="244"/>
      <c r="L612" s="244"/>
      <c r="M612" s="244"/>
      <c r="N612" s="244"/>
      <c r="O612" s="244"/>
      <c r="P612" s="244"/>
      <c r="Q612" s="245"/>
      <c r="R612" s="244"/>
      <c r="S612" s="244"/>
      <c r="T612" s="244"/>
      <c r="U612" s="244"/>
      <c r="V612" s="244"/>
      <c r="W612" s="245"/>
      <c r="X612" s="253"/>
      <c r="Y612" s="253"/>
      <c r="Z612" s="244"/>
      <c r="AA612" s="244"/>
      <c r="AB612" s="43"/>
      <c r="AC612" s="43"/>
      <c r="AD612" s="43"/>
      <c r="AE612" s="43"/>
      <c r="AF612" s="43"/>
      <c r="AG612" s="43"/>
      <c r="AH612" s="43"/>
    </row>
    <row r="613" spans="1:34">
      <c r="A613" s="43"/>
      <c r="B613" s="43"/>
      <c r="C613" s="43"/>
      <c r="D613" s="43"/>
      <c r="E613" s="43"/>
      <c r="F613" s="43"/>
      <c r="G613" s="43"/>
      <c r="H613" s="244"/>
      <c r="I613" s="244"/>
      <c r="J613" s="244"/>
      <c r="K613" s="244"/>
      <c r="L613" s="244"/>
      <c r="M613" s="244"/>
      <c r="N613" s="244"/>
      <c r="O613" s="244"/>
      <c r="P613" s="244"/>
      <c r="Q613" s="245"/>
      <c r="R613" s="244"/>
      <c r="S613" s="244"/>
      <c r="T613" s="244"/>
      <c r="U613" s="244"/>
      <c r="V613" s="244"/>
      <c r="W613" s="245"/>
      <c r="X613" s="253"/>
      <c r="Y613" s="253"/>
      <c r="Z613" s="244"/>
      <c r="AA613" s="244"/>
      <c r="AB613" s="43"/>
      <c r="AC613" s="43"/>
      <c r="AD613" s="43"/>
      <c r="AE613" s="43"/>
      <c r="AF613" s="43"/>
      <c r="AG613" s="43"/>
      <c r="AH613" s="43"/>
    </row>
    <row r="614" spans="1:34">
      <c r="A614" s="43"/>
      <c r="B614" s="43"/>
      <c r="C614" s="43"/>
      <c r="D614" s="43"/>
      <c r="E614" s="43"/>
      <c r="F614" s="43"/>
      <c r="G614" s="43"/>
      <c r="H614" s="244"/>
      <c r="I614" s="244"/>
      <c r="J614" s="244"/>
      <c r="K614" s="244"/>
      <c r="L614" s="244"/>
      <c r="M614" s="244"/>
      <c r="N614" s="244"/>
      <c r="O614" s="244"/>
      <c r="P614" s="244"/>
      <c r="Q614" s="245"/>
      <c r="R614" s="244"/>
      <c r="S614" s="244"/>
      <c r="T614" s="244"/>
      <c r="U614" s="244"/>
      <c r="V614" s="244"/>
      <c r="W614" s="245"/>
      <c r="X614" s="253"/>
      <c r="Y614" s="253"/>
      <c r="Z614" s="244"/>
      <c r="AA614" s="244"/>
      <c r="AB614" s="43"/>
      <c r="AC614" s="43"/>
      <c r="AD614" s="43"/>
      <c r="AE614" s="43"/>
      <c r="AF614" s="43"/>
      <c r="AG614" s="43"/>
      <c r="AH614" s="43"/>
    </row>
    <row r="615" spans="1:34">
      <c r="A615" s="43"/>
      <c r="B615" s="43"/>
      <c r="C615" s="43"/>
      <c r="D615" s="43"/>
      <c r="E615" s="43"/>
      <c r="F615" s="43"/>
      <c r="G615" s="43"/>
      <c r="H615" s="244"/>
      <c r="I615" s="244"/>
      <c r="J615" s="244"/>
      <c r="K615" s="244"/>
      <c r="L615" s="244"/>
      <c r="M615" s="244"/>
      <c r="N615" s="244"/>
      <c r="O615" s="244"/>
      <c r="P615" s="244"/>
      <c r="Q615" s="245"/>
      <c r="R615" s="244"/>
      <c r="S615" s="244"/>
      <c r="T615" s="244"/>
      <c r="U615" s="244"/>
      <c r="V615" s="244"/>
      <c r="W615" s="245"/>
      <c r="X615" s="253"/>
      <c r="Y615" s="253"/>
      <c r="Z615" s="244"/>
      <c r="AA615" s="244"/>
      <c r="AB615" s="43"/>
      <c r="AC615" s="43"/>
      <c r="AD615" s="43"/>
      <c r="AE615" s="43"/>
      <c r="AF615" s="43"/>
      <c r="AG615" s="43"/>
      <c r="AH615" s="43"/>
    </row>
    <row r="616" spans="1:34">
      <c r="A616" s="43"/>
      <c r="B616" s="43"/>
      <c r="C616" s="43"/>
      <c r="D616" s="43"/>
      <c r="E616" s="43"/>
      <c r="F616" s="43"/>
      <c r="G616" s="43"/>
      <c r="H616" s="244"/>
      <c r="I616" s="244"/>
      <c r="J616" s="244"/>
      <c r="K616" s="244"/>
      <c r="L616" s="244"/>
      <c r="M616" s="244"/>
      <c r="N616" s="244"/>
      <c r="O616" s="244"/>
      <c r="P616" s="244"/>
      <c r="Q616" s="245"/>
      <c r="R616" s="244"/>
      <c r="S616" s="244"/>
      <c r="T616" s="244"/>
      <c r="U616" s="244"/>
      <c r="V616" s="244"/>
      <c r="W616" s="245"/>
      <c r="X616" s="253"/>
      <c r="Y616" s="253"/>
      <c r="Z616" s="244"/>
      <c r="AA616" s="244"/>
      <c r="AB616" s="43"/>
      <c r="AC616" s="43"/>
      <c r="AD616" s="43"/>
      <c r="AE616" s="43"/>
      <c r="AF616" s="43"/>
      <c r="AG616" s="43"/>
      <c r="AH616" s="43"/>
    </row>
    <row r="617" spans="1:34">
      <c r="A617" s="43"/>
      <c r="B617" s="43"/>
      <c r="C617" s="43"/>
      <c r="D617" s="43"/>
      <c r="E617" s="43"/>
      <c r="F617" s="43"/>
      <c r="G617" s="43"/>
      <c r="H617" s="244"/>
      <c r="I617" s="244"/>
      <c r="J617" s="244"/>
      <c r="K617" s="244"/>
      <c r="L617" s="244"/>
      <c r="M617" s="244"/>
      <c r="N617" s="244"/>
      <c r="O617" s="244"/>
      <c r="P617" s="244"/>
      <c r="Q617" s="245"/>
      <c r="R617" s="244"/>
      <c r="S617" s="244"/>
      <c r="T617" s="244"/>
      <c r="U617" s="244"/>
      <c r="V617" s="244"/>
      <c r="W617" s="245"/>
      <c r="X617" s="253"/>
      <c r="Y617" s="253"/>
      <c r="Z617" s="244"/>
      <c r="AA617" s="244"/>
      <c r="AB617" s="43"/>
      <c r="AC617" s="43"/>
      <c r="AD617" s="43"/>
      <c r="AE617" s="43"/>
      <c r="AF617" s="43"/>
      <c r="AG617" s="43"/>
      <c r="AH617" s="43"/>
    </row>
    <row r="618" spans="1:34">
      <c r="A618" s="43"/>
      <c r="B618" s="43"/>
      <c r="C618" s="43"/>
      <c r="D618" s="43"/>
      <c r="E618" s="43"/>
      <c r="F618" s="43"/>
      <c r="G618" s="43"/>
      <c r="H618" s="244"/>
      <c r="I618" s="244"/>
      <c r="J618" s="244"/>
      <c r="K618" s="244"/>
      <c r="L618" s="244"/>
      <c r="M618" s="244"/>
      <c r="N618" s="244"/>
      <c r="O618" s="244"/>
      <c r="P618" s="244"/>
      <c r="Q618" s="245"/>
      <c r="R618" s="244"/>
      <c r="S618" s="244"/>
      <c r="T618" s="244"/>
      <c r="U618" s="244"/>
      <c r="V618" s="244"/>
      <c r="W618" s="245"/>
      <c r="X618" s="253"/>
      <c r="Y618" s="253"/>
      <c r="Z618" s="244"/>
      <c r="AA618" s="244"/>
      <c r="AB618" s="43"/>
      <c r="AC618" s="43"/>
      <c r="AD618" s="43"/>
      <c r="AE618" s="43"/>
      <c r="AF618" s="43"/>
      <c r="AG618" s="43"/>
      <c r="AH618" s="43"/>
    </row>
    <row r="619" spans="1:34">
      <c r="A619" s="43"/>
      <c r="B619" s="43"/>
      <c r="C619" s="43"/>
      <c r="D619" s="43"/>
      <c r="E619" s="43"/>
      <c r="F619" s="43"/>
      <c r="G619" s="43"/>
      <c r="H619" s="244"/>
      <c r="I619" s="244"/>
      <c r="J619" s="244"/>
      <c r="K619" s="244"/>
      <c r="L619" s="244"/>
      <c r="M619" s="244"/>
      <c r="N619" s="244"/>
      <c r="O619" s="244"/>
      <c r="P619" s="244"/>
      <c r="Q619" s="245"/>
      <c r="R619" s="244"/>
      <c r="S619" s="244"/>
      <c r="T619" s="244"/>
      <c r="U619" s="244"/>
      <c r="V619" s="244"/>
      <c r="W619" s="245"/>
      <c r="X619" s="253"/>
      <c r="Y619" s="253"/>
      <c r="Z619" s="244"/>
      <c r="AA619" s="244"/>
      <c r="AB619" s="43"/>
      <c r="AC619" s="43"/>
      <c r="AD619" s="43"/>
      <c r="AE619" s="43"/>
      <c r="AF619" s="43"/>
      <c r="AG619" s="43"/>
      <c r="AH619" s="43"/>
    </row>
    <row r="620" spans="1:34">
      <c r="A620" s="43"/>
      <c r="B620" s="43"/>
      <c r="C620" s="43"/>
      <c r="D620" s="43"/>
      <c r="E620" s="43"/>
      <c r="F620" s="43"/>
      <c r="G620" s="43"/>
      <c r="H620" s="244"/>
      <c r="I620" s="244"/>
      <c r="J620" s="244"/>
      <c r="K620" s="244"/>
      <c r="L620" s="244"/>
      <c r="M620" s="244"/>
      <c r="N620" s="244"/>
      <c r="O620" s="244"/>
      <c r="P620" s="244"/>
      <c r="Q620" s="245"/>
      <c r="R620" s="244"/>
      <c r="S620" s="244"/>
      <c r="T620" s="244"/>
      <c r="U620" s="244"/>
      <c r="V620" s="244"/>
      <c r="W620" s="245"/>
      <c r="X620" s="253"/>
      <c r="Y620" s="253"/>
      <c r="Z620" s="244"/>
      <c r="AA620" s="244"/>
      <c r="AB620" s="43"/>
      <c r="AC620" s="43"/>
      <c r="AD620" s="43"/>
      <c r="AE620" s="43"/>
      <c r="AF620" s="43"/>
      <c r="AG620" s="43"/>
      <c r="AH620" s="43"/>
    </row>
    <row r="621" spans="1:34">
      <c r="A621" s="43"/>
      <c r="B621" s="43"/>
      <c r="C621" s="43"/>
      <c r="D621" s="43"/>
      <c r="E621" s="43"/>
      <c r="F621" s="43"/>
      <c r="G621" s="43"/>
      <c r="H621" s="244"/>
      <c r="I621" s="244"/>
      <c r="J621" s="244"/>
      <c r="K621" s="244"/>
      <c r="L621" s="244"/>
      <c r="M621" s="244"/>
      <c r="N621" s="244"/>
      <c r="O621" s="244"/>
      <c r="P621" s="244"/>
      <c r="Q621" s="245"/>
      <c r="R621" s="244"/>
      <c r="S621" s="244"/>
      <c r="T621" s="244"/>
      <c r="U621" s="244"/>
      <c r="V621" s="244"/>
      <c r="W621" s="245"/>
      <c r="X621" s="253"/>
      <c r="Y621" s="253"/>
      <c r="Z621" s="244"/>
      <c r="AA621" s="244"/>
      <c r="AB621" s="43"/>
      <c r="AC621" s="43"/>
      <c r="AD621" s="43"/>
      <c r="AE621" s="43"/>
      <c r="AF621" s="43"/>
      <c r="AG621" s="43"/>
      <c r="AH621" s="43"/>
    </row>
    <row r="622" spans="1:34">
      <c r="A622" s="43"/>
      <c r="B622" s="43"/>
      <c r="C622" s="43"/>
      <c r="D622" s="43"/>
      <c r="E622" s="43"/>
      <c r="F622" s="43"/>
      <c r="G622" s="43"/>
      <c r="H622" s="244"/>
      <c r="I622" s="244"/>
      <c r="J622" s="244"/>
      <c r="K622" s="244"/>
      <c r="L622" s="244"/>
      <c r="M622" s="244"/>
      <c r="N622" s="244"/>
      <c r="O622" s="244"/>
      <c r="P622" s="244"/>
      <c r="Q622" s="245"/>
      <c r="R622" s="244"/>
      <c r="S622" s="244"/>
      <c r="T622" s="244"/>
      <c r="U622" s="244"/>
      <c r="V622" s="244"/>
      <c r="W622" s="245"/>
      <c r="X622" s="253"/>
      <c r="Y622" s="253"/>
      <c r="Z622" s="244"/>
      <c r="AA622" s="244"/>
      <c r="AB622" s="43"/>
      <c r="AC622" s="43"/>
      <c r="AD622" s="43"/>
      <c r="AE622" s="43"/>
      <c r="AF622" s="43"/>
      <c r="AG622" s="43"/>
      <c r="AH622" s="43"/>
    </row>
    <row r="623" spans="1:34">
      <c r="A623" s="43"/>
      <c r="B623" s="43"/>
      <c r="C623" s="43"/>
      <c r="D623" s="43"/>
      <c r="E623" s="43"/>
      <c r="F623" s="43"/>
      <c r="G623" s="43"/>
      <c r="H623" s="244"/>
      <c r="I623" s="244"/>
      <c r="J623" s="244"/>
      <c r="K623" s="244"/>
      <c r="L623" s="244"/>
      <c r="M623" s="244"/>
      <c r="N623" s="244"/>
      <c r="O623" s="244"/>
      <c r="P623" s="244"/>
      <c r="Q623" s="245"/>
      <c r="R623" s="244"/>
      <c r="S623" s="244"/>
      <c r="T623" s="244"/>
      <c r="U623" s="244"/>
      <c r="V623" s="244"/>
      <c r="W623" s="245"/>
      <c r="X623" s="253"/>
      <c r="Y623" s="253"/>
      <c r="Z623" s="244"/>
      <c r="AA623" s="244"/>
      <c r="AB623" s="43"/>
      <c r="AC623" s="43"/>
      <c r="AD623" s="43"/>
      <c r="AE623" s="43"/>
      <c r="AF623" s="43"/>
      <c r="AG623" s="43"/>
      <c r="AH623" s="43"/>
    </row>
    <row r="624" spans="1:34">
      <c r="A624" s="43"/>
      <c r="B624" s="43"/>
      <c r="C624" s="43"/>
      <c r="D624" s="43"/>
      <c r="E624" s="43"/>
      <c r="F624" s="43"/>
      <c r="G624" s="43"/>
      <c r="H624" s="244"/>
      <c r="I624" s="244"/>
      <c r="J624" s="244"/>
      <c r="K624" s="244"/>
      <c r="L624" s="244"/>
      <c r="M624" s="244"/>
      <c r="N624" s="244"/>
      <c r="O624" s="244"/>
      <c r="P624" s="244"/>
      <c r="Q624" s="245"/>
      <c r="R624" s="244"/>
      <c r="S624" s="244"/>
      <c r="T624" s="244"/>
      <c r="U624" s="244"/>
      <c r="V624" s="244"/>
      <c r="W624" s="245"/>
      <c r="X624" s="253"/>
      <c r="Y624" s="253"/>
      <c r="Z624" s="244"/>
      <c r="AA624" s="244"/>
      <c r="AB624" s="43"/>
      <c r="AC624" s="43"/>
      <c r="AD624" s="43"/>
      <c r="AE624" s="43"/>
      <c r="AF624" s="43"/>
      <c r="AG624" s="43"/>
      <c r="AH624" s="43"/>
    </row>
    <row r="625" spans="1:34">
      <c r="A625" s="43"/>
      <c r="B625" s="43"/>
      <c r="C625" s="43"/>
      <c r="D625" s="43"/>
      <c r="E625" s="43"/>
      <c r="F625" s="43"/>
      <c r="G625" s="43"/>
      <c r="H625" s="244"/>
      <c r="I625" s="244"/>
      <c r="J625" s="244"/>
      <c r="K625" s="244"/>
      <c r="L625" s="244"/>
      <c r="M625" s="244"/>
      <c r="N625" s="244"/>
      <c r="O625" s="244"/>
      <c r="P625" s="244"/>
      <c r="Q625" s="245"/>
      <c r="R625" s="244"/>
      <c r="S625" s="244"/>
      <c r="T625" s="244"/>
      <c r="U625" s="244"/>
      <c r="V625" s="244"/>
      <c r="W625" s="245"/>
      <c r="X625" s="253"/>
      <c r="Y625" s="253"/>
      <c r="Z625" s="244"/>
      <c r="AA625" s="244"/>
      <c r="AB625" s="43"/>
      <c r="AC625" s="43"/>
      <c r="AD625" s="43"/>
      <c r="AE625" s="43"/>
      <c r="AF625" s="43"/>
      <c r="AG625" s="43"/>
      <c r="AH625" s="43"/>
    </row>
    <row r="626" spans="1:34">
      <c r="A626" s="43"/>
      <c r="B626" s="43"/>
      <c r="C626" s="43"/>
      <c r="D626" s="43"/>
      <c r="E626" s="43"/>
      <c r="F626" s="43"/>
      <c r="G626" s="43"/>
      <c r="H626" s="244"/>
      <c r="I626" s="244"/>
      <c r="J626" s="244"/>
      <c r="K626" s="244"/>
      <c r="L626" s="244"/>
      <c r="M626" s="244"/>
      <c r="N626" s="244"/>
      <c r="O626" s="244"/>
      <c r="P626" s="244"/>
      <c r="Q626" s="245"/>
      <c r="R626" s="244"/>
      <c r="S626" s="244"/>
      <c r="T626" s="244"/>
      <c r="U626" s="244"/>
      <c r="V626" s="244"/>
      <c r="W626" s="245"/>
      <c r="X626" s="253"/>
      <c r="Y626" s="253"/>
      <c r="Z626" s="244"/>
      <c r="AA626" s="244"/>
      <c r="AB626" s="43"/>
      <c r="AC626" s="43"/>
      <c r="AD626" s="43"/>
      <c r="AE626" s="43"/>
      <c r="AF626" s="43"/>
      <c r="AG626" s="43"/>
      <c r="AH626" s="43"/>
    </row>
    <row r="627" spans="1:34">
      <c r="A627" s="43"/>
      <c r="B627" s="43"/>
      <c r="C627" s="43"/>
      <c r="D627" s="43"/>
      <c r="E627" s="43"/>
      <c r="F627" s="43"/>
      <c r="G627" s="43"/>
      <c r="H627" s="244"/>
      <c r="I627" s="244"/>
      <c r="J627" s="244"/>
      <c r="K627" s="244"/>
      <c r="L627" s="244"/>
      <c r="M627" s="244"/>
      <c r="N627" s="244"/>
      <c r="O627" s="244"/>
      <c r="P627" s="244"/>
      <c r="Q627" s="245"/>
      <c r="R627" s="244"/>
      <c r="S627" s="244"/>
      <c r="T627" s="244"/>
      <c r="U627" s="244"/>
      <c r="V627" s="244"/>
      <c r="W627" s="245"/>
      <c r="X627" s="253"/>
      <c r="Y627" s="253"/>
      <c r="Z627" s="244"/>
      <c r="AA627" s="244"/>
      <c r="AB627" s="43"/>
      <c r="AC627" s="43"/>
      <c r="AD627" s="43"/>
      <c r="AE627" s="43"/>
      <c r="AF627" s="43"/>
      <c r="AG627" s="43"/>
      <c r="AH627" s="43"/>
    </row>
    <row r="628" spans="1:34">
      <c r="A628" s="43"/>
      <c r="B628" s="43"/>
      <c r="C628" s="43"/>
      <c r="D628" s="43"/>
      <c r="E628" s="43"/>
      <c r="F628" s="43"/>
      <c r="G628" s="43"/>
      <c r="H628" s="244"/>
      <c r="I628" s="244"/>
      <c r="J628" s="244"/>
      <c r="K628" s="244"/>
      <c r="L628" s="244"/>
      <c r="M628" s="244"/>
      <c r="N628" s="244"/>
      <c r="O628" s="244"/>
      <c r="P628" s="244"/>
      <c r="Q628" s="245"/>
      <c r="R628" s="244"/>
      <c r="S628" s="244"/>
      <c r="T628" s="244"/>
      <c r="U628" s="244"/>
      <c r="V628" s="244"/>
      <c r="W628" s="245"/>
      <c r="X628" s="253"/>
      <c r="Y628" s="253"/>
      <c r="Z628" s="244"/>
      <c r="AA628" s="244"/>
      <c r="AB628" s="43"/>
      <c r="AC628" s="43"/>
      <c r="AD628" s="43"/>
      <c r="AE628" s="43"/>
      <c r="AF628" s="43"/>
      <c r="AG628" s="43"/>
      <c r="AH628" s="43"/>
    </row>
    <row r="629" spans="1:34">
      <c r="A629" s="43"/>
      <c r="B629" s="43"/>
      <c r="C629" s="43"/>
      <c r="D629" s="43"/>
      <c r="E629" s="43"/>
      <c r="F629" s="43"/>
      <c r="G629" s="43"/>
      <c r="H629" s="244"/>
      <c r="I629" s="244"/>
      <c r="J629" s="244"/>
      <c r="K629" s="244"/>
      <c r="L629" s="244"/>
      <c r="M629" s="244"/>
      <c r="N629" s="244"/>
      <c r="O629" s="244"/>
      <c r="P629" s="244"/>
      <c r="Q629" s="245"/>
      <c r="R629" s="244"/>
      <c r="S629" s="244"/>
      <c r="T629" s="244"/>
      <c r="U629" s="244"/>
      <c r="V629" s="244"/>
      <c r="W629" s="245"/>
      <c r="X629" s="253"/>
      <c r="Y629" s="253"/>
      <c r="Z629" s="244"/>
      <c r="AA629" s="244"/>
      <c r="AB629" s="43"/>
      <c r="AC629" s="43"/>
      <c r="AD629" s="43"/>
      <c r="AE629" s="43"/>
      <c r="AF629" s="43"/>
      <c r="AG629" s="43"/>
      <c r="AH629" s="43"/>
    </row>
    <row r="630" spans="1:34">
      <c r="A630" s="43"/>
      <c r="B630" s="43"/>
      <c r="C630" s="43"/>
      <c r="D630" s="43"/>
      <c r="E630" s="43"/>
      <c r="F630" s="43"/>
      <c r="G630" s="43"/>
      <c r="H630" s="244"/>
      <c r="I630" s="244"/>
      <c r="J630" s="244"/>
      <c r="K630" s="244"/>
      <c r="L630" s="244"/>
      <c r="M630" s="244"/>
      <c r="N630" s="244"/>
      <c r="O630" s="244"/>
      <c r="P630" s="244"/>
      <c r="Q630" s="245"/>
      <c r="R630" s="244"/>
      <c r="S630" s="244"/>
      <c r="T630" s="244"/>
      <c r="U630" s="244"/>
      <c r="V630" s="244"/>
      <c r="W630" s="245"/>
      <c r="X630" s="253"/>
      <c r="Y630" s="253"/>
      <c r="Z630" s="244"/>
      <c r="AA630" s="244"/>
      <c r="AB630" s="43"/>
      <c r="AC630" s="43"/>
      <c r="AD630" s="43"/>
      <c r="AE630" s="43"/>
      <c r="AF630" s="43"/>
      <c r="AG630" s="43"/>
      <c r="AH630" s="43"/>
    </row>
    <row r="631" spans="1:34">
      <c r="A631" s="43"/>
      <c r="B631" s="43"/>
      <c r="C631" s="43"/>
      <c r="D631" s="43"/>
      <c r="E631" s="43"/>
      <c r="F631" s="43"/>
      <c r="G631" s="43"/>
      <c r="H631" s="244"/>
      <c r="I631" s="244"/>
      <c r="J631" s="244"/>
      <c r="K631" s="244"/>
      <c r="L631" s="244"/>
      <c r="M631" s="244"/>
      <c r="N631" s="244"/>
      <c r="O631" s="244"/>
      <c r="P631" s="244"/>
      <c r="Q631" s="245"/>
      <c r="R631" s="244"/>
      <c r="S631" s="244"/>
      <c r="T631" s="244"/>
      <c r="U631" s="244"/>
      <c r="V631" s="244"/>
      <c r="W631" s="245"/>
      <c r="X631" s="253"/>
      <c r="Y631" s="253"/>
      <c r="Z631" s="244"/>
      <c r="AA631" s="244"/>
      <c r="AB631" s="43"/>
      <c r="AC631" s="43"/>
      <c r="AD631" s="43"/>
      <c r="AE631" s="43"/>
      <c r="AF631" s="43"/>
      <c r="AG631" s="43"/>
      <c r="AH631" s="43"/>
    </row>
    <row r="632" spans="1:34">
      <c r="A632" s="43"/>
      <c r="B632" s="43"/>
      <c r="C632" s="43"/>
      <c r="D632" s="43"/>
      <c r="E632" s="43"/>
      <c r="F632" s="43"/>
      <c r="G632" s="43"/>
      <c r="H632" s="244"/>
      <c r="I632" s="244"/>
      <c r="J632" s="244"/>
      <c r="K632" s="244"/>
      <c r="L632" s="244"/>
      <c r="M632" s="244"/>
      <c r="N632" s="244"/>
      <c r="O632" s="244"/>
      <c r="P632" s="244"/>
      <c r="Q632" s="245"/>
      <c r="R632" s="244"/>
      <c r="S632" s="244"/>
      <c r="T632" s="244"/>
      <c r="U632" s="244"/>
      <c r="V632" s="244"/>
      <c r="W632" s="245"/>
      <c r="X632" s="253"/>
      <c r="Y632" s="253"/>
      <c r="Z632" s="244"/>
      <c r="AA632" s="244"/>
      <c r="AB632" s="43"/>
      <c r="AC632" s="43"/>
      <c r="AD632" s="43"/>
      <c r="AE632" s="43"/>
      <c r="AF632" s="43"/>
      <c r="AG632" s="43"/>
      <c r="AH632" s="43"/>
    </row>
    <row r="633" spans="1:34">
      <c r="A633" s="43"/>
      <c r="B633" s="43"/>
      <c r="C633" s="43"/>
      <c r="D633" s="43"/>
      <c r="E633" s="43"/>
      <c r="F633" s="43"/>
      <c r="G633" s="43"/>
      <c r="H633" s="244"/>
      <c r="I633" s="244"/>
      <c r="J633" s="244"/>
      <c r="K633" s="244"/>
      <c r="L633" s="244"/>
      <c r="M633" s="244"/>
      <c r="N633" s="244"/>
      <c r="O633" s="244"/>
      <c r="P633" s="244"/>
      <c r="Q633" s="245"/>
      <c r="R633" s="244"/>
      <c r="S633" s="244"/>
      <c r="T633" s="244"/>
      <c r="U633" s="244"/>
      <c r="V633" s="244"/>
      <c r="W633" s="245"/>
      <c r="X633" s="253"/>
      <c r="Y633" s="253"/>
      <c r="Z633" s="244"/>
      <c r="AA633" s="244"/>
      <c r="AB633" s="43"/>
      <c r="AC633" s="43"/>
      <c r="AD633" s="43"/>
      <c r="AE633" s="43"/>
      <c r="AF633" s="43"/>
      <c r="AG633" s="43"/>
      <c r="AH633" s="43"/>
    </row>
    <row r="634" spans="1:34">
      <c r="A634" s="43"/>
      <c r="B634" s="43"/>
      <c r="C634" s="43"/>
      <c r="D634" s="43"/>
      <c r="E634" s="43"/>
      <c r="F634" s="43"/>
      <c r="G634" s="43"/>
      <c r="H634" s="244"/>
      <c r="I634" s="244"/>
      <c r="J634" s="244"/>
      <c r="K634" s="244"/>
      <c r="L634" s="244"/>
      <c r="M634" s="244"/>
      <c r="N634" s="244"/>
      <c r="O634" s="244"/>
      <c r="P634" s="244"/>
      <c r="Q634" s="245"/>
      <c r="R634" s="244"/>
      <c r="S634" s="244"/>
      <c r="T634" s="244"/>
      <c r="U634" s="244"/>
      <c r="V634" s="244"/>
      <c r="W634" s="245"/>
      <c r="X634" s="253"/>
      <c r="Y634" s="253"/>
      <c r="Z634" s="244"/>
      <c r="AA634" s="244"/>
      <c r="AB634" s="43"/>
      <c r="AC634" s="43"/>
      <c r="AD634" s="43"/>
      <c r="AE634" s="43"/>
      <c r="AF634" s="43"/>
      <c r="AG634" s="43"/>
      <c r="AH634" s="43"/>
    </row>
    <row r="635" spans="1:34">
      <c r="A635" s="43"/>
      <c r="B635" s="43"/>
      <c r="C635" s="43"/>
      <c r="D635" s="43"/>
      <c r="E635" s="43"/>
      <c r="F635" s="43"/>
      <c r="G635" s="43"/>
      <c r="H635" s="244"/>
      <c r="I635" s="244"/>
      <c r="J635" s="244"/>
      <c r="K635" s="244"/>
      <c r="L635" s="244"/>
      <c r="M635" s="244"/>
      <c r="N635" s="244"/>
      <c r="O635" s="244"/>
      <c r="P635" s="244"/>
      <c r="Q635" s="245"/>
      <c r="R635" s="244"/>
      <c r="S635" s="244"/>
      <c r="T635" s="244"/>
      <c r="U635" s="244"/>
      <c r="V635" s="244"/>
      <c r="W635" s="245"/>
      <c r="X635" s="253"/>
      <c r="Y635" s="253"/>
      <c r="Z635" s="244"/>
      <c r="AA635" s="244"/>
      <c r="AB635" s="43"/>
      <c r="AC635" s="43"/>
      <c r="AD635" s="43"/>
      <c r="AE635" s="43"/>
      <c r="AF635" s="43"/>
      <c r="AG635" s="43"/>
      <c r="AH635" s="43"/>
    </row>
    <row r="636" spans="1:34">
      <c r="A636" s="43"/>
      <c r="B636" s="43"/>
      <c r="C636" s="43"/>
      <c r="D636" s="43"/>
      <c r="E636" s="43"/>
      <c r="F636" s="43"/>
      <c r="G636" s="43"/>
      <c r="H636" s="244"/>
      <c r="I636" s="244"/>
      <c r="J636" s="244"/>
      <c r="K636" s="244"/>
      <c r="L636" s="244"/>
      <c r="M636" s="244"/>
      <c r="N636" s="244"/>
      <c r="O636" s="244"/>
      <c r="P636" s="244"/>
      <c r="Q636" s="245"/>
      <c r="R636" s="244"/>
      <c r="S636" s="244"/>
      <c r="T636" s="244"/>
      <c r="U636" s="244"/>
      <c r="V636" s="244"/>
      <c r="W636" s="245"/>
      <c r="X636" s="253"/>
      <c r="Y636" s="253"/>
      <c r="Z636" s="244"/>
      <c r="AA636" s="244"/>
      <c r="AB636" s="43"/>
      <c r="AC636" s="43"/>
      <c r="AD636" s="43"/>
      <c r="AE636" s="43"/>
      <c r="AF636" s="43"/>
      <c r="AG636" s="43"/>
      <c r="AH636" s="43"/>
    </row>
    <row r="637" spans="1:34">
      <c r="A637" s="43"/>
      <c r="B637" s="43"/>
      <c r="C637" s="43"/>
      <c r="D637" s="43"/>
      <c r="E637" s="43"/>
      <c r="F637" s="43"/>
      <c r="G637" s="43"/>
      <c r="H637" s="244"/>
      <c r="I637" s="244"/>
      <c r="J637" s="244"/>
      <c r="K637" s="244"/>
      <c r="L637" s="244"/>
      <c r="M637" s="244"/>
      <c r="N637" s="244"/>
      <c r="O637" s="244"/>
      <c r="P637" s="244"/>
      <c r="Q637" s="245"/>
      <c r="R637" s="244"/>
      <c r="S637" s="244"/>
      <c r="T637" s="244"/>
      <c r="U637" s="244"/>
      <c r="V637" s="244"/>
      <c r="W637" s="245"/>
      <c r="X637" s="253"/>
      <c r="Y637" s="253"/>
      <c r="Z637" s="244"/>
      <c r="AA637" s="244"/>
      <c r="AB637" s="43"/>
      <c r="AC637" s="43"/>
      <c r="AD637" s="43"/>
      <c r="AE637" s="43"/>
      <c r="AF637" s="43"/>
      <c r="AG637" s="43"/>
      <c r="AH637" s="43"/>
    </row>
    <row r="638" spans="1:34">
      <c r="A638" s="43"/>
      <c r="B638" s="43"/>
      <c r="C638" s="43"/>
      <c r="D638" s="43"/>
      <c r="E638" s="43"/>
      <c r="F638" s="43"/>
      <c r="G638" s="43"/>
      <c r="H638" s="244"/>
      <c r="I638" s="244"/>
      <c r="J638" s="244"/>
      <c r="K638" s="244"/>
      <c r="L638" s="244"/>
      <c r="M638" s="244"/>
      <c r="N638" s="244"/>
      <c r="O638" s="244"/>
      <c r="P638" s="244"/>
      <c r="Q638" s="245"/>
      <c r="R638" s="244"/>
      <c r="S638" s="244"/>
      <c r="T638" s="244"/>
      <c r="U638" s="244"/>
      <c r="V638" s="244"/>
      <c r="W638" s="245"/>
      <c r="X638" s="253"/>
      <c r="Y638" s="253"/>
      <c r="Z638" s="244"/>
      <c r="AA638" s="244"/>
      <c r="AB638" s="43"/>
      <c r="AC638" s="43"/>
      <c r="AD638" s="43"/>
      <c r="AE638" s="43"/>
      <c r="AF638" s="43"/>
      <c r="AG638" s="43"/>
      <c r="AH638" s="43"/>
    </row>
    <row r="639" spans="1:34">
      <c r="A639" s="43"/>
      <c r="B639" s="43"/>
      <c r="C639" s="43"/>
      <c r="D639" s="43"/>
      <c r="E639" s="43"/>
      <c r="F639" s="43"/>
      <c r="G639" s="43"/>
      <c r="H639" s="244"/>
      <c r="I639" s="244"/>
      <c r="J639" s="244"/>
      <c r="K639" s="244"/>
      <c r="L639" s="244"/>
      <c r="M639" s="244"/>
      <c r="N639" s="244"/>
      <c r="O639" s="244"/>
      <c r="P639" s="244"/>
      <c r="Q639" s="245"/>
      <c r="R639" s="244"/>
      <c r="S639" s="244"/>
      <c r="T639" s="244"/>
      <c r="U639" s="244"/>
      <c r="V639" s="244"/>
      <c r="W639" s="245"/>
      <c r="X639" s="253"/>
      <c r="Y639" s="253"/>
      <c r="Z639" s="244"/>
      <c r="AA639" s="244"/>
      <c r="AB639" s="43"/>
      <c r="AC639" s="43"/>
      <c r="AD639" s="43"/>
      <c r="AE639" s="43"/>
      <c r="AF639" s="43"/>
      <c r="AG639" s="43"/>
      <c r="AH639" s="43"/>
    </row>
    <row r="640" spans="1:34">
      <c r="A640" s="43"/>
      <c r="B640" s="43"/>
      <c r="C640" s="43"/>
      <c r="D640" s="43"/>
      <c r="E640" s="43"/>
      <c r="F640" s="43"/>
      <c r="G640" s="43"/>
      <c r="H640" s="244"/>
      <c r="I640" s="244"/>
      <c r="J640" s="244"/>
      <c r="K640" s="244"/>
      <c r="L640" s="244"/>
      <c r="M640" s="244"/>
      <c r="N640" s="244"/>
      <c r="O640" s="244"/>
      <c r="P640" s="244"/>
      <c r="Q640" s="245"/>
      <c r="R640" s="244"/>
      <c r="S640" s="244"/>
      <c r="T640" s="244"/>
      <c r="U640" s="244"/>
      <c r="V640" s="244"/>
      <c r="W640" s="245"/>
      <c r="X640" s="253"/>
      <c r="Y640" s="253"/>
      <c r="Z640" s="244"/>
      <c r="AA640" s="244"/>
      <c r="AB640" s="43"/>
      <c r="AC640" s="43"/>
      <c r="AD640" s="43"/>
      <c r="AE640" s="43"/>
      <c r="AF640" s="43"/>
      <c r="AG640" s="43"/>
      <c r="AH640" s="43"/>
    </row>
    <row r="641" spans="1:34">
      <c r="A641" s="43"/>
      <c r="B641" s="43"/>
      <c r="C641" s="43"/>
      <c r="D641" s="43"/>
      <c r="E641" s="43"/>
      <c r="F641" s="43"/>
      <c r="G641" s="43"/>
      <c r="H641" s="244"/>
      <c r="I641" s="244"/>
      <c r="J641" s="244"/>
      <c r="K641" s="244"/>
      <c r="L641" s="244"/>
      <c r="M641" s="244"/>
      <c r="N641" s="244"/>
      <c r="O641" s="244"/>
      <c r="P641" s="244"/>
      <c r="Q641" s="245"/>
      <c r="R641" s="244"/>
      <c r="S641" s="244"/>
      <c r="T641" s="244"/>
      <c r="U641" s="244"/>
      <c r="V641" s="244"/>
      <c r="W641" s="245"/>
      <c r="X641" s="253"/>
      <c r="Y641" s="253"/>
      <c r="Z641" s="244"/>
      <c r="AA641" s="244"/>
      <c r="AB641" s="43"/>
      <c r="AC641" s="43"/>
      <c r="AD641" s="43"/>
      <c r="AE641" s="43"/>
      <c r="AF641" s="43"/>
      <c r="AG641" s="43"/>
      <c r="AH641" s="43"/>
    </row>
    <row r="642" spans="1:34">
      <c r="A642" s="43"/>
      <c r="B642" s="43"/>
      <c r="C642" s="43"/>
      <c r="D642" s="43"/>
      <c r="E642" s="43"/>
      <c r="F642" s="43"/>
      <c r="G642" s="43"/>
      <c r="H642" s="244"/>
      <c r="I642" s="244"/>
      <c r="J642" s="244"/>
      <c r="K642" s="244"/>
      <c r="L642" s="244"/>
      <c r="M642" s="244"/>
      <c r="N642" s="244"/>
      <c r="O642" s="244"/>
      <c r="P642" s="244"/>
      <c r="Q642" s="245"/>
      <c r="R642" s="244"/>
      <c r="S642" s="244"/>
      <c r="T642" s="244"/>
      <c r="U642" s="244"/>
      <c r="V642" s="244"/>
      <c r="W642" s="245"/>
      <c r="X642" s="253"/>
      <c r="Y642" s="253"/>
      <c r="Z642" s="244"/>
      <c r="AA642" s="244"/>
      <c r="AB642" s="43"/>
      <c r="AC642" s="43"/>
      <c r="AD642" s="43"/>
      <c r="AE642" s="43"/>
      <c r="AF642" s="43"/>
      <c r="AG642" s="43"/>
      <c r="AH642" s="43"/>
    </row>
    <row r="643" spans="1:34">
      <c r="A643" s="43"/>
      <c r="B643" s="43"/>
      <c r="C643" s="43"/>
      <c r="D643" s="43"/>
      <c r="E643" s="43"/>
      <c r="F643" s="43"/>
      <c r="G643" s="43"/>
      <c r="H643" s="244"/>
      <c r="I643" s="244"/>
      <c r="J643" s="244"/>
      <c r="K643" s="244"/>
      <c r="L643" s="244"/>
      <c r="M643" s="244"/>
      <c r="N643" s="244"/>
      <c r="O643" s="244"/>
      <c r="P643" s="244"/>
      <c r="Q643" s="245"/>
      <c r="R643" s="244"/>
      <c r="S643" s="244"/>
      <c r="T643" s="244"/>
      <c r="U643" s="244"/>
      <c r="V643" s="244"/>
      <c r="W643" s="245"/>
      <c r="X643" s="253"/>
      <c r="Y643" s="253"/>
      <c r="Z643" s="244"/>
      <c r="AA643" s="244"/>
      <c r="AB643" s="43"/>
      <c r="AC643" s="43"/>
      <c r="AD643" s="43"/>
      <c r="AE643" s="43"/>
      <c r="AF643" s="43"/>
      <c r="AG643" s="43"/>
      <c r="AH643" s="43"/>
    </row>
    <row r="644" spans="1:34">
      <c r="A644" s="43"/>
      <c r="B644" s="43"/>
      <c r="C644" s="43"/>
      <c r="D644" s="43"/>
      <c r="E644" s="43"/>
      <c r="F644" s="43"/>
      <c r="G644" s="43"/>
      <c r="H644" s="244"/>
      <c r="I644" s="244"/>
      <c r="J644" s="244"/>
      <c r="K644" s="244"/>
      <c r="L644" s="244"/>
      <c r="M644" s="244"/>
      <c r="N644" s="244"/>
      <c r="O644" s="244"/>
      <c r="P644" s="244"/>
      <c r="Q644" s="245"/>
      <c r="R644" s="244"/>
      <c r="S644" s="244"/>
      <c r="T644" s="244"/>
      <c r="U644" s="244"/>
      <c r="V644" s="244"/>
      <c r="W644" s="245"/>
      <c r="X644" s="253"/>
      <c r="Y644" s="253"/>
      <c r="Z644" s="244"/>
      <c r="AA644" s="244"/>
      <c r="AB644" s="43"/>
      <c r="AC644" s="43"/>
      <c r="AD644" s="43"/>
      <c r="AE644" s="43"/>
      <c r="AF644" s="43"/>
      <c r="AG644" s="43"/>
      <c r="AH644" s="43"/>
    </row>
    <row r="645" spans="1:34">
      <c r="A645" s="43"/>
      <c r="B645" s="43"/>
      <c r="C645" s="43"/>
      <c r="D645" s="43"/>
      <c r="E645" s="43"/>
      <c r="F645" s="43"/>
      <c r="G645" s="43"/>
      <c r="H645" s="244"/>
      <c r="I645" s="244"/>
      <c r="J645" s="244"/>
      <c r="K645" s="244"/>
      <c r="L645" s="244"/>
      <c r="M645" s="244"/>
      <c r="N645" s="244"/>
      <c r="O645" s="244"/>
      <c r="P645" s="244"/>
      <c r="Q645" s="245"/>
      <c r="R645" s="244"/>
      <c r="S645" s="244"/>
      <c r="T645" s="244"/>
      <c r="U645" s="244"/>
      <c r="V645" s="244"/>
      <c r="W645" s="245"/>
      <c r="X645" s="253"/>
      <c r="Y645" s="253"/>
      <c r="Z645" s="244"/>
      <c r="AA645" s="244"/>
      <c r="AB645" s="43"/>
      <c r="AC645" s="43"/>
      <c r="AD645" s="43"/>
      <c r="AE645" s="43"/>
      <c r="AF645" s="43"/>
      <c r="AG645" s="43"/>
      <c r="AH645" s="43"/>
    </row>
    <row r="646" spans="1:34">
      <c r="A646" s="43"/>
      <c r="B646" s="43"/>
      <c r="C646" s="43"/>
      <c r="D646" s="43"/>
      <c r="E646" s="43"/>
      <c r="F646" s="43"/>
      <c r="G646" s="43"/>
      <c r="H646" s="244"/>
      <c r="I646" s="244"/>
      <c r="J646" s="244"/>
      <c r="K646" s="244"/>
      <c r="L646" s="244"/>
      <c r="M646" s="244"/>
      <c r="N646" s="244"/>
      <c r="O646" s="244"/>
      <c r="P646" s="244"/>
      <c r="Q646" s="245"/>
      <c r="R646" s="244"/>
      <c r="S646" s="244"/>
      <c r="T646" s="244"/>
      <c r="U646" s="244"/>
      <c r="V646" s="244"/>
      <c r="W646" s="245"/>
      <c r="X646" s="253"/>
      <c r="Y646" s="253"/>
      <c r="Z646" s="244"/>
      <c r="AA646" s="244"/>
      <c r="AB646" s="43"/>
      <c r="AC646" s="43"/>
      <c r="AD646" s="43"/>
      <c r="AE646" s="43"/>
      <c r="AF646" s="43"/>
      <c r="AG646" s="43"/>
      <c r="AH646" s="43"/>
    </row>
    <row r="647" spans="1:34">
      <c r="A647" s="43"/>
      <c r="B647" s="43"/>
      <c r="C647" s="43"/>
      <c r="D647" s="43"/>
      <c r="E647" s="43"/>
      <c r="F647" s="43"/>
      <c r="G647" s="43"/>
      <c r="H647" s="244"/>
      <c r="I647" s="244"/>
      <c r="J647" s="244"/>
      <c r="K647" s="244"/>
      <c r="L647" s="244"/>
      <c r="M647" s="244"/>
      <c r="N647" s="244"/>
      <c r="O647" s="244"/>
      <c r="P647" s="244"/>
      <c r="Q647" s="245"/>
      <c r="R647" s="244"/>
      <c r="S647" s="244"/>
      <c r="T647" s="244"/>
      <c r="U647" s="244"/>
      <c r="V647" s="244"/>
      <c r="W647" s="245"/>
      <c r="X647" s="253"/>
      <c r="Y647" s="253"/>
      <c r="Z647" s="244"/>
      <c r="AA647" s="244"/>
      <c r="AB647" s="43"/>
      <c r="AC647" s="43"/>
      <c r="AD647" s="43"/>
      <c r="AE647" s="43"/>
      <c r="AF647" s="43"/>
      <c r="AG647" s="43"/>
      <c r="AH647" s="43"/>
    </row>
    <row r="648" spans="1:34">
      <c r="A648" s="43"/>
      <c r="B648" s="43"/>
      <c r="C648" s="43"/>
      <c r="D648" s="43"/>
      <c r="E648" s="43"/>
      <c r="F648" s="43"/>
      <c r="G648" s="43"/>
      <c r="H648" s="244"/>
      <c r="I648" s="244"/>
      <c r="J648" s="244"/>
      <c r="K648" s="244"/>
      <c r="L648" s="244"/>
      <c r="M648" s="244"/>
      <c r="N648" s="244"/>
      <c r="O648" s="244"/>
      <c r="P648" s="244"/>
      <c r="Q648" s="245"/>
      <c r="R648" s="244"/>
      <c r="S648" s="244"/>
      <c r="T648" s="244"/>
      <c r="U648" s="244"/>
      <c r="V648" s="244"/>
      <c r="W648" s="245"/>
      <c r="X648" s="253"/>
      <c r="Y648" s="253"/>
      <c r="Z648" s="244"/>
      <c r="AA648" s="244"/>
      <c r="AB648" s="43"/>
      <c r="AC648" s="43"/>
      <c r="AD648" s="43"/>
      <c r="AE648" s="43"/>
      <c r="AF648" s="43"/>
      <c r="AG648" s="43"/>
      <c r="AH648" s="43"/>
    </row>
    <row r="649" spans="1:34">
      <c r="A649" s="43"/>
      <c r="B649" s="43"/>
      <c r="C649" s="43"/>
      <c r="D649" s="43"/>
      <c r="E649" s="43"/>
      <c r="F649" s="43"/>
      <c r="G649" s="43"/>
      <c r="H649" s="244"/>
      <c r="I649" s="244"/>
      <c r="J649" s="244"/>
      <c r="K649" s="244"/>
      <c r="L649" s="244"/>
      <c r="M649" s="244"/>
      <c r="N649" s="244"/>
      <c r="O649" s="244"/>
      <c r="P649" s="244"/>
      <c r="Q649" s="245"/>
      <c r="R649" s="244"/>
      <c r="S649" s="244"/>
      <c r="T649" s="244"/>
      <c r="U649" s="244"/>
      <c r="V649" s="244"/>
      <c r="W649" s="245"/>
      <c r="X649" s="253"/>
      <c r="Y649" s="253"/>
      <c r="Z649" s="244"/>
      <c r="AA649" s="244"/>
      <c r="AB649" s="43"/>
      <c r="AC649" s="43"/>
      <c r="AD649" s="43"/>
      <c r="AE649" s="43"/>
      <c r="AF649" s="43"/>
      <c r="AG649" s="43"/>
      <c r="AH649" s="43"/>
    </row>
    <row r="650" spans="1:34">
      <c r="A650" s="43"/>
      <c r="B650" s="43"/>
      <c r="C650" s="43"/>
      <c r="D650" s="43"/>
      <c r="E650" s="43"/>
      <c r="F650" s="43"/>
      <c r="G650" s="43"/>
      <c r="H650" s="244"/>
      <c r="I650" s="244"/>
      <c r="J650" s="244"/>
      <c r="K650" s="244"/>
      <c r="L650" s="244"/>
      <c r="M650" s="244"/>
      <c r="N650" s="244"/>
      <c r="O650" s="244"/>
      <c r="P650" s="244"/>
      <c r="Q650" s="245"/>
      <c r="R650" s="244"/>
      <c r="S650" s="244"/>
      <c r="T650" s="244"/>
      <c r="U650" s="244"/>
      <c r="V650" s="244"/>
      <c r="W650" s="245"/>
      <c r="X650" s="253"/>
      <c r="Y650" s="253"/>
      <c r="Z650" s="244"/>
      <c r="AA650" s="244"/>
      <c r="AB650" s="43"/>
      <c r="AC650" s="43"/>
      <c r="AD650" s="43"/>
      <c r="AE650" s="43"/>
      <c r="AF650" s="43"/>
      <c r="AG650" s="43"/>
      <c r="AH650" s="43"/>
    </row>
    <row r="651" spans="1:34">
      <c r="A651" s="43"/>
      <c r="B651" s="43"/>
      <c r="C651" s="43"/>
      <c r="D651" s="43"/>
      <c r="E651" s="43"/>
      <c r="F651" s="43"/>
      <c r="G651" s="43"/>
      <c r="H651" s="244"/>
      <c r="I651" s="244"/>
      <c r="J651" s="244"/>
      <c r="K651" s="244"/>
      <c r="L651" s="244"/>
      <c r="M651" s="244"/>
      <c r="N651" s="244"/>
      <c r="O651" s="244"/>
      <c r="P651" s="244"/>
      <c r="Q651" s="245"/>
      <c r="R651" s="244"/>
      <c r="S651" s="244"/>
      <c r="T651" s="244"/>
      <c r="U651" s="244"/>
      <c r="V651" s="244"/>
      <c r="W651" s="245"/>
      <c r="X651" s="253"/>
      <c r="Y651" s="253"/>
      <c r="Z651" s="244"/>
      <c r="AA651" s="244"/>
      <c r="AB651" s="43"/>
      <c r="AC651" s="43"/>
      <c r="AD651" s="43"/>
      <c r="AE651" s="43"/>
      <c r="AF651" s="43"/>
      <c r="AG651" s="43"/>
      <c r="AH651" s="43"/>
    </row>
    <row r="652" spans="1:34">
      <c r="A652" s="43"/>
      <c r="B652" s="43"/>
      <c r="C652" s="43"/>
      <c r="D652" s="43"/>
      <c r="E652" s="43"/>
      <c r="F652" s="43"/>
      <c r="G652" s="43"/>
      <c r="H652" s="244"/>
      <c r="I652" s="244"/>
      <c r="J652" s="244"/>
      <c r="K652" s="244"/>
      <c r="L652" s="244"/>
      <c r="M652" s="244"/>
      <c r="N652" s="244"/>
      <c r="O652" s="244"/>
      <c r="P652" s="244"/>
      <c r="Q652" s="245"/>
      <c r="R652" s="244"/>
      <c r="S652" s="244"/>
      <c r="T652" s="244"/>
      <c r="U652" s="244"/>
      <c r="V652" s="244"/>
      <c r="W652" s="245"/>
      <c r="X652" s="253"/>
      <c r="Y652" s="253"/>
      <c r="Z652" s="244"/>
      <c r="AA652" s="244"/>
      <c r="AB652" s="43"/>
      <c r="AC652" s="43"/>
      <c r="AD652" s="43"/>
      <c r="AE652" s="43"/>
      <c r="AF652" s="43"/>
      <c r="AG652" s="43"/>
      <c r="AH652" s="43"/>
    </row>
    <row r="653" spans="1:34">
      <c r="A653" s="43"/>
      <c r="B653" s="43"/>
      <c r="C653" s="43"/>
      <c r="D653" s="43"/>
      <c r="E653" s="43"/>
      <c r="F653" s="43"/>
      <c r="G653" s="43"/>
      <c r="H653" s="244"/>
      <c r="I653" s="244"/>
      <c r="J653" s="244"/>
      <c r="K653" s="244"/>
      <c r="L653" s="244"/>
      <c r="M653" s="244"/>
      <c r="N653" s="244"/>
      <c r="O653" s="244"/>
      <c r="P653" s="244"/>
      <c r="Q653" s="245"/>
      <c r="R653" s="244"/>
      <c r="S653" s="244"/>
      <c r="T653" s="244"/>
      <c r="U653" s="244"/>
      <c r="V653" s="244"/>
      <c r="W653" s="245"/>
      <c r="X653" s="253"/>
      <c r="Y653" s="253"/>
      <c r="Z653" s="244"/>
      <c r="AA653" s="244"/>
      <c r="AB653" s="43"/>
      <c r="AC653" s="43"/>
      <c r="AD653" s="43"/>
      <c r="AE653" s="43"/>
      <c r="AF653" s="43"/>
      <c r="AG653" s="43"/>
      <c r="AH653" s="43"/>
    </row>
    <row r="654" spans="1:34">
      <c r="A654" s="43"/>
      <c r="B654" s="43"/>
      <c r="C654" s="43"/>
      <c r="D654" s="43"/>
      <c r="E654" s="43"/>
      <c r="F654" s="43"/>
      <c r="G654" s="43"/>
      <c r="H654" s="244"/>
      <c r="I654" s="244"/>
      <c r="J654" s="244"/>
      <c r="K654" s="244"/>
      <c r="L654" s="244"/>
      <c r="M654" s="244"/>
      <c r="N654" s="244"/>
      <c r="O654" s="244"/>
      <c r="P654" s="244"/>
      <c r="Q654" s="245"/>
      <c r="R654" s="244"/>
      <c r="S654" s="244"/>
      <c r="T654" s="244"/>
      <c r="U654" s="244"/>
      <c r="V654" s="244"/>
      <c r="W654" s="245"/>
      <c r="X654" s="253"/>
      <c r="Y654" s="253"/>
      <c r="Z654" s="244"/>
      <c r="AA654" s="244"/>
      <c r="AB654" s="43"/>
      <c r="AC654" s="43"/>
      <c r="AD654" s="43"/>
      <c r="AE654" s="43"/>
      <c r="AF654" s="43"/>
      <c r="AG654" s="43"/>
      <c r="AH654" s="43"/>
    </row>
    <row r="655" spans="1:34">
      <c r="A655" s="43"/>
      <c r="B655" s="43"/>
      <c r="C655" s="43"/>
      <c r="D655" s="43"/>
      <c r="E655" s="43"/>
      <c r="F655" s="43"/>
      <c r="G655" s="43"/>
      <c r="H655" s="244"/>
      <c r="I655" s="244"/>
      <c r="J655" s="244"/>
      <c r="K655" s="244"/>
      <c r="L655" s="244"/>
      <c r="M655" s="244"/>
      <c r="N655" s="244"/>
      <c r="O655" s="244"/>
      <c r="P655" s="244"/>
      <c r="Q655" s="245"/>
      <c r="R655" s="244"/>
      <c r="S655" s="244"/>
      <c r="T655" s="244"/>
      <c r="U655" s="244"/>
      <c r="V655" s="244"/>
      <c r="W655" s="245"/>
      <c r="X655" s="253"/>
      <c r="Y655" s="253"/>
      <c r="Z655" s="244"/>
      <c r="AA655" s="244"/>
      <c r="AB655" s="43"/>
      <c r="AC655" s="43"/>
      <c r="AD655" s="43"/>
      <c r="AE655" s="43"/>
      <c r="AF655" s="43"/>
      <c r="AG655" s="43"/>
      <c r="AH655" s="43"/>
    </row>
    <row r="656" spans="1:34">
      <c r="A656" s="43"/>
      <c r="B656" s="43"/>
      <c r="C656" s="43"/>
      <c r="D656" s="43"/>
      <c r="E656" s="43"/>
      <c r="F656" s="43"/>
      <c r="G656" s="43"/>
      <c r="H656" s="244"/>
      <c r="I656" s="244"/>
      <c r="J656" s="244"/>
      <c r="K656" s="244"/>
      <c r="L656" s="244"/>
      <c r="M656" s="244"/>
      <c r="N656" s="244"/>
      <c r="O656" s="244"/>
      <c r="P656" s="244"/>
      <c r="Q656" s="245"/>
      <c r="R656" s="244"/>
      <c r="S656" s="244"/>
      <c r="T656" s="244"/>
      <c r="U656" s="244"/>
      <c r="V656" s="244"/>
      <c r="W656" s="245"/>
      <c r="X656" s="253"/>
      <c r="Y656" s="253"/>
      <c r="Z656" s="244"/>
      <c r="AA656" s="244"/>
      <c r="AB656" s="43"/>
      <c r="AC656" s="43"/>
      <c r="AD656" s="43"/>
      <c r="AE656" s="43"/>
      <c r="AF656" s="43"/>
      <c r="AG656" s="43"/>
      <c r="AH656" s="43"/>
    </row>
    <row r="657" spans="1:34">
      <c r="A657" s="43"/>
      <c r="B657" s="43"/>
      <c r="C657" s="43"/>
      <c r="D657" s="43"/>
      <c r="E657" s="43"/>
      <c r="F657" s="43"/>
      <c r="G657" s="43"/>
      <c r="H657" s="244"/>
      <c r="I657" s="244"/>
      <c r="J657" s="244"/>
      <c r="K657" s="244"/>
      <c r="L657" s="244"/>
      <c r="M657" s="244"/>
      <c r="N657" s="244"/>
      <c r="O657" s="244"/>
      <c r="P657" s="244"/>
      <c r="Q657" s="245"/>
      <c r="R657" s="244"/>
      <c r="S657" s="244"/>
      <c r="T657" s="244"/>
      <c r="U657" s="244"/>
      <c r="V657" s="244"/>
      <c r="W657" s="245"/>
      <c r="X657" s="253"/>
      <c r="Y657" s="253"/>
      <c r="Z657" s="244"/>
      <c r="AA657" s="244"/>
      <c r="AB657" s="43"/>
      <c r="AC657" s="43"/>
      <c r="AD657" s="43"/>
      <c r="AE657" s="43"/>
      <c r="AF657" s="43"/>
      <c r="AG657" s="43"/>
      <c r="AH657" s="43"/>
    </row>
    <row r="658" spans="1:34">
      <c r="A658" s="43"/>
      <c r="B658" s="43"/>
      <c r="C658" s="43"/>
      <c r="D658" s="43"/>
      <c r="E658" s="43"/>
      <c r="F658" s="43"/>
      <c r="G658" s="43"/>
      <c r="H658" s="244"/>
      <c r="I658" s="244"/>
      <c r="J658" s="244"/>
      <c r="K658" s="244"/>
      <c r="L658" s="244"/>
      <c r="M658" s="244"/>
      <c r="N658" s="244"/>
      <c r="O658" s="244"/>
      <c r="P658" s="244"/>
      <c r="Q658" s="245"/>
      <c r="R658" s="244"/>
      <c r="S658" s="244"/>
      <c r="T658" s="244"/>
      <c r="U658" s="244"/>
      <c r="V658" s="244"/>
      <c r="W658" s="245"/>
      <c r="X658" s="253"/>
      <c r="Y658" s="253"/>
      <c r="Z658" s="244"/>
      <c r="AA658" s="244"/>
      <c r="AB658" s="43"/>
      <c r="AC658" s="43"/>
      <c r="AD658" s="43"/>
      <c r="AE658" s="43"/>
      <c r="AF658" s="43"/>
      <c r="AG658" s="43"/>
      <c r="AH658" s="43"/>
    </row>
    <row r="659" spans="1:34">
      <c r="A659" s="43"/>
      <c r="B659" s="43"/>
      <c r="C659" s="43"/>
      <c r="D659" s="43"/>
      <c r="E659" s="43"/>
      <c r="F659" s="43"/>
      <c r="G659" s="43"/>
      <c r="H659" s="244"/>
      <c r="I659" s="244"/>
      <c r="J659" s="244"/>
      <c r="K659" s="244"/>
      <c r="L659" s="244"/>
      <c r="M659" s="244"/>
      <c r="N659" s="244"/>
      <c r="O659" s="244"/>
      <c r="P659" s="244"/>
      <c r="Q659" s="245"/>
      <c r="R659" s="244"/>
      <c r="S659" s="244"/>
      <c r="T659" s="244"/>
      <c r="U659" s="244"/>
      <c r="V659" s="244"/>
      <c r="W659" s="245"/>
      <c r="X659" s="253"/>
      <c r="Y659" s="253"/>
      <c r="Z659" s="244"/>
      <c r="AA659" s="244"/>
      <c r="AB659" s="43"/>
      <c r="AC659" s="43"/>
      <c r="AD659" s="43"/>
      <c r="AE659" s="43"/>
      <c r="AF659" s="43"/>
      <c r="AG659" s="43"/>
      <c r="AH659" s="43"/>
    </row>
    <row r="660" spans="1:34">
      <c r="A660" s="43"/>
      <c r="B660" s="43"/>
      <c r="C660" s="43"/>
      <c r="D660" s="43"/>
      <c r="E660" s="43"/>
      <c r="F660" s="43"/>
      <c r="G660" s="43"/>
      <c r="H660" s="244"/>
      <c r="I660" s="244"/>
      <c r="J660" s="244"/>
      <c r="K660" s="244"/>
      <c r="L660" s="244"/>
      <c r="M660" s="244"/>
      <c r="N660" s="244"/>
      <c r="O660" s="244"/>
      <c r="P660" s="244"/>
      <c r="Q660" s="245"/>
      <c r="R660" s="244"/>
      <c r="S660" s="244"/>
      <c r="T660" s="244"/>
      <c r="U660" s="244"/>
      <c r="V660" s="244"/>
      <c r="W660" s="245"/>
      <c r="X660" s="253"/>
      <c r="Y660" s="253"/>
      <c r="Z660" s="244"/>
      <c r="AA660" s="244"/>
      <c r="AB660" s="43"/>
      <c r="AC660" s="43"/>
      <c r="AD660" s="43"/>
      <c r="AE660" s="43"/>
      <c r="AF660" s="43"/>
      <c r="AG660" s="43"/>
      <c r="AH660" s="43"/>
    </row>
    <row r="661" spans="1:34">
      <c r="A661" s="43"/>
      <c r="B661" s="43"/>
      <c r="C661" s="43"/>
      <c r="D661" s="43"/>
      <c r="E661" s="43"/>
      <c r="F661" s="43"/>
      <c r="G661" s="43"/>
      <c r="H661" s="244"/>
      <c r="I661" s="244"/>
      <c r="J661" s="244"/>
      <c r="K661" s="244"/>
      <c r="L661" s="244"/>
      <c r="M661" s="244"/>
      <c r="N661" s="244"/>
      <c r="O661" s="244"/>
      <c r="P661" s="244"/>
      <c r="Q661" s="245"/>
      <c r="R661" s="244"/>
      <c r="S661" s="244"/>
      <c r="T661" s="244"/>
      <c r="U661" s="244"/>
      <c r="V661" s="244"/>
      <c r="W661" s="245"/>
      <c r="X661" s="253"/>
      <c r="Y661" s="253"/>
      <c r="Z661" s="244"/>
      <c r="AA661" s="244"/>
      <c r="AB661" s="43"/>
      <c r="AC661" s="43"/>
      <c r="AD661" s="43"/>
      <c r="AE661" s="43"/>
      <c r="AF661" s="43"/>
      <c r="AG661" s="43"/>
      <c r="AH661" s="43"/>
    </row>
    <row r="662" spans="1:34">
      <c r="A662" s="43"/>
      <c r="B662" s="43"/>
      <c r="C662" s="43"/>
      <c r="D662" s="43"/>
      <c r="E662" s="43"/>
      <c r="F662" s="43"/>
      <c r="G662" s="43"/>
      <c r="H662" s="244"/>
      <c r="I662" s="244"/>
      <c r="J662" s="244"/>
      <c r="K662" s="244"/>
      <c r="L662" s="244"/>
      <c r="M662" s="244"/>
      <c r="N662" s="244"/>
      <c r="O662" s="244"/>
      <c r="P662" s="244"/>
      <c r="Q662" s="245"/>
      <c r="R662" s="244"/>
      <c r="S662" s="244"/>
      <c r="T662" s="244"/>
      <c r="U662" s="244"/>
      <c r="V662" s="244"/>
      <c r="W662" s="245"/>
      <c r="X662" s="253"/>
      <c r="Y662" s="253"/>
      <c r="Z662" s="244"/>
      <c r="AA662" s="244"/>
      <c r="AB662" s="43"/>
      <c r="AC662" s="43"/>
      <c r="AD662" s="43"/>
      <c r="AE662" s="43"/>
      <c r="AF662" s="43"/>
      <c r="AG662" s="43"/>
      <c r="AH662" s="43"/>
    </row>
    <row r="663" spans="1:34">
      <c r="A663" s="43"/>
      <c r="B663" s="43"/>
      <c r="C663" s="43"/>
      <c r="D663" s="43"/>
      <c r="E663" s="43"/>
      <c r="F663" s="43"/>
      <c r="G663" s="43"/>
      <c r="H663" s="244"/>
      <c r="I663" s="244"/>
      <c r="J663" s="244"/>
      <c r="K663" s="244"/>
      <c r="L663" s="244"/>
      <c r="M663" s="244"/>
      <c r="N663" s="244"/>
      <c r="O663" s="244"/>
      <c r="P663" s="244"/>
      <c r="Q663" s="245"/>
      <c r="R663" s="244"/>
      <c r="S663" s="244"/>
      <c r="T663" s="244"/>
      <c r="U663" s="244"/>
      <c r="V663" s="244"/>
      <c r="W663" s="245"/>
      <c r="X663" s="253"/>
      <c r="Y663" s="253"/>
      <c r="Z663" s="244"/>
      <c r="AA663" s="244"/>
      <c r="AB663" s="43"/>
      <c r="AC663" s="43"/>
      <c r="AD663" s="43"/>
      <c r="AE663" s="43"/>
      <c r="AF663" s="43"/>
      <c r="AG663" s="43"/>
      <c r="AH663" s="43"/>
    </row>
    <row r="664" spans="1:34">
      <c r="A664" s="43"/>
      <c r="B664" s="43"/>
      <c r="C664" s="43"/>
      <c r="D664" s="43"/>
      <c r="E664" s="43"/>
      <c r="F664" s="43"/>
      <c r="G664" s="43"/>
      <c r="H664" s="244"/>
      <c r="I664" s="244"/>
      <c r="J664" s="244"/>
      <c r="K664" s="244"/>
      <c r="L664" s="244"/>
      <c r="M664" s="244"/>
      <c r="N664" s="244"/>
      <c r="O664" s="244"/>
      <c r="P664" s="244"/>
      <c r="Q664" s="245"/>
      <c r="R664" s="244"/>
      <c r="S664" s="244"/>
      <c r="T664" s="244"/>
      <c r="U664" s="244"/>
      <c r="V664" s="244"/>
      <c r="W664" s="245"/>
      <c r="X664" s="253"/>
      <c r="Y664" s="253"/>
      <c r="Z664" s="244"/>
      <c r="AA664" s="244"/>
      <c r="AB664" s="43"/>
      <c r="AC664" s="43"/>
      <c r="AD664" s="43"/>
      <c r="AE664" s="43"/>
      <c r="AF664" s="43"/>
      <c r="AG664" s="43"/>
      <c r="AH664" s="43"/>
    </row>
    <row r="665" spans="1:34">
      <c r="A665" s="43"/>
      <c r="B665" s="43"/>
      <c r="C665" s="43"/>
      <c r="D665" s="43"/>
      <c r="E665" s="43"/>
      <c r="F665" s="43"/>
      <c r="G665" s="43"/>
      <c r="H665" s="244"/>
      <c r="I665" s="244"/>
      <c r="J665" s="244"/>
      <c r="K665" s="244"/>
      <c r="L665" s="244"/>
      <c r="M665" s="244"/>
      <c r="N665" s="244"/>
      <c r="O665" s="244"/>
      <c r="P665" s="244"/>
      <c r="Q665" s="245"/>
      <c r="R665" s="244"/>
      <c r="S665" s="244"/>
      <c r="T665" s="244"/>
      <c r="U665" s="244"/>
      <c r="V665" s="244"/>
      <c r="W665" s="245"/>
      <c r="X665" s="253"/>
      <c r="Y665" s="253"/>
      <c r="Z665" s="244"/>
      <c r="AA665" s="244"/>
      <c r="AB665" s="43"/>
      <c r="AC665" s="43"/>
      <c r="AD665" s="43"/>
      <c r="AE665" s="43"/>
      <c r="AF665" s="43"/>
      <c r="AG665" s="43"/>
      <c r="AH665" s="43"/>
    </row>
    <row r="666" spans="1:34">
      <c r="A666" s="43"/>
      <c r="B666" s="43"/>
      <c r="C666" s="43"/>
      <c r="D666" s="43"/>
      <c r="E666" s="43"/>
      <c r="F666" s="43"/>
      <c r="G666" s="43"/>
      <c r="H666" s="244"/>
      <c r="I666" s="244"/>
      <c r="J666" s="244"/>
      <c r="K666" s="244"/>
      <c r="L666" s="244"/>
      <c r="M666" s="244"/>
      <c r="N666" s="244"/>
      <c r="O666" s="244"/>
      <c r="P666" s="244"/>
      <c r="Q666" s="245"/>
      <c r="R666" s="244"/>
      <c r="S666" s="244"/>
      <c r="T666" s="244"/>
      <c r="U666" s="244"/>
      <c r="V666" s="244"/>
      <c r="W666" s="245"/>
      <c r="X666" s="253"/>
      <c r="Y666" s="253"/>
      <c r="Z666" s="244"/>
      <c r="AA666" s="244"/>
      <c r="AB666" s="43"/>
      <c r="AC666" s="43"/>
      <c r="AD666" s="43"/>
      <c r="AE666" s="43"/>
      <c r="AF666" s="43"/>
      <c r="AG666" s="43"/>
      <c r="AH666" s="43"/>
    </row>
    <row r="667" spans="1:34">
      <c r="A667" s="43"/>
      <c r="B667" s="43"/>
      <c r="C667" s="43"/>
      <c r="D667" s="43"/>
      <c r="E667" s="43"/>
      <c r="F667" s="43"/>
      <c r="G667" s="43"/>
      <c r="H667" s="244"/>
      <c r="I667" s="244"/>
      <c r="J667" s="244"/>
      <c r="K667" s="244"/>
      <c r="L667" s="244"/>
      <c r="M667" s="244"/>
      <c r="N667" s="244"/>
      <c r="O667" s="244"/>
      <c r="P667" s="244"/>
      <c r="Q667" s="245"/>
      <c r="R667" s="244"/>
      <c r="S667" s="244"/>
      <c r="T667" s="244"/>
      <c r="U667" s="244"/>
      <c r="V667" s="244"/>
      <c r="W667" s="245"/>
      <c r="X667" s="253"/>
      <c r="Y667" s="253"/>
      <c r="Z667" s="244"/>
      <c r="AA667" s="244"/>
      <c r="AB667" s="43"/>
      <c r="AC667" s="43"/>
      <c r="AD667" s="43"/>
      <c r="AE667" s="43"/>
      <c r="AF667" s="43"/>
      <c r="AG667" s="43"/>
      <c r="AH667" s="43"/>
    </row>
    <row r="668" spans="1:34">
      <c r="A668" s="43"/>
      <c r="B668" s="43"/>
      <c r="C668" s="43"/>
      <c r="D668" s="43"/>
      <c r="E668" s="43"/>
      <c r="F668" s="43"/>
      <c r="G668" s="43"/>
      <c r="H668" s="244"/>
      <c r="I668" s="244"/>
      <c r="J668" s="244"/>
      <c r="K668" s="244"/>
      <c r="L668" s="244"/>
      <c r="M668" s="244"/>
      <c r="N668" s="244"/>
      <c r="O668" s="244"/>
      <c r="P668" s="244"/>
      <c r="Q668" s="245"/>
      <c r="R668" s="244"/>
      <c r="S668" s="244"/>
      <c r="T668" s="244"/>
      <c r="U668" s="244"/>
      <c r="V668" s="244"/>
      <c r="W668" s="245"/>
      <c r="X668" s="253"/>
      <c r="Y668" s="253"/>
      <c r="Z668" s="244"/>
      <c r="AA668" s="244"/>
      <c r="AB668" s="43"/>
      <c r="AC668" s="43"/>
      <c r="AD668" s="43"/>
      <c r="AE668" s="43"/>
      <c r="AF668" s="43"/>
      <c r="AG668" s="43"/>
      <c r="AH668" s="43"/>
    </row>
    <row r="669" spans="1:34">
      <c r="A669" s="43"/>
      <c r="B669" s="43"/>
      <c r="C669" s="43"/>
      <c r="D669" s="43"/>
      <c r="E669" s="43"/>
      <c r="F669" s="43"/>
      <c r="G669" s="43"/>
      <c r="H669" s="244"/>
      <c r="I669" s="244"/>
      <c r="J669" s="244"/>
      <c r="K669" s="244"/>
      <c r="L669" s="244"/>
      <c r="M669" s="244"/>
      <c r="N669" s="244"/>
      <c r="O669" s="244"/>
      <c r="P669" s="244"/>
      <c r="Q669" s="245"/>
      <c r="R669" s="244"/>
      <c r="S669" s="244"/>
      <c r="T669" s="244"/>
      <c r="U669" s="244"/>
      <c r="V669" s="244"/>
      <c r="W669" s="245"/>
      <c r="X669" s="253"/>
      <c r="Y669" s="253"/>
      <c r="Z669" s="244"/>
      <c r="AA669" s="244"/>
      <c r="AB669" s="43"/>
      <c r="AC669" s="43"/>
      <c r="AD669" s="43"/>
      <c r="AE669" s="43"/>
      <c r="AF669" s="43"/>
      <c r="AG669" s="43"/>
      <c r="AH669" s="43"/>
    </row>
    <row r="670" spans="1:34">
      <c r="A670" s="43"/>
      <c r="B670" s="43"/>
      <c r="C670" s="43"/>
      <c r="D670" s="43"/>
      <c r="E670" s="43"/>
      <c r="F670" s="43"/>
      <c r="G670" s="43"/>
      <c r="H670" s="244"/>
      <c r="I670" s="244"/>
      <c r="J670" s="244"/>
      <c r="K670" s="244"/>
      <c r="L670" s="244"/>
      <c r="M670" s="244"/>
      <c r="N670" s="244"/>
      <c r="O670" s="244"/>
      <c r="P670" s="244"/>
      <c r="Q670" s="245"/>
      <c r="R670" s="244"/>
      <c r="S670" s="244"/>
      <c r="T670" s="244"/>
      <c r="U670" s="244"/>
      <c r="V670" s="244"/>
      <c r="W670" s="245"/>
      <c r="X670" s="253"/>
      <c r="Y670" s="253"/>
      <c r="Z670" s="244"/>
      <c r="AA670" s="244"/>
      <c r="AB670" s="43"/>
      <c r="AC670" s="43"/>
      <c r="AD670" s="43"/>
      <c r="AE670" s="43"/>
      <c r="AF670" s="43"/>
      <c r="AG670" s="43"/>
      <c r="AH670" s="43"/>
    </row>
    <row r="671" spans="1:34">
      <c r="A671" s="43"/>
      <c r="B671" s="43"/>
      <c r="C671" s="43"/>
      <c r="D671" s="43"/>
      <c r="E671" s="43"/>
      <c r="F671" s="43"/>
      <c r="G671" s="43"/>
      <c r="H671" s="244"/>
      <c r="I671" s="244"/>
      <c r="J671" s="244"/>
      <c r="K671" s="244"/>
      <c r="L671" s="244"/>
      <c r="M671" s="244"/>
      <c r="N671" s="244"/>
      <c r="O671" s="244"/>
      <c r="P671" s="244"/>
      <c r="Q671" s="245"/>
      <c r="R671" s="244"/>
      <c r="S671" s="244"/>
      <c r="T671" s="244"/>
      <c r="U671" s="244"/>
      <c r="V671" s="244"/>
      <c r="W671" s="245"/>
      <c r="X671" s="253"/>
      <c r="Y671" s="253"/>
      <c r="Z671" s="244"/>
      <c r="AA671" s="244"/>
      <c r="AB671" s="43"/>
      <c r="AC671" s="43"/>
      <c r="AD671" s="43"/>
      <c r="AE671" s="43"/>
      <c r="AF671" s="43"/>
      <c r="AG671" s="43"/>
      <c r="AH671" s="43"/>
    </row>
    <row r="672" spans="1:34">
      <c r="A672" s="43"/>
      <c r="B672" s="43"/>
      <c r="C672" s="43"/>
      <c r="D672" s="43"/>
      <c r="E672" s="43"/>
      <c r="F672" s="43"/>
      <c r="G672" s="43"/>
      <c r="H672" s="244"/>
      <c r="I672" s="244"/>
      <c r="J672" s="244"/>
      <c r="K672" s="244"/>
      <c r="L672" s="244"/>
      <c r="M672" s="244"/>
      <c r="N672" s="244"/>
      <c r="O672" s="244"/>
      <c r="P672" s="244"/>
      <c r="Q672" s="245"/>
      <c r="R672" s="244"/>
      <c r="S672" s="244"/>
      <c r="T672" s="244"/>
      <c r="U672" s="244"/>
      <c r="V672" s="244"/>
      <c r="W672" s="245"/>
      <c r="X672" s="253"/>
      <c r="Y672" s="253"/>
      <c r="Z672" s="244"/>
      <c r="AA672" s="244"/>
      <c r="AB672" s="43"/>
      <c r="AC672" s="43"/>
      <c r="AD672" s="43"/>
      <c r="AE672" s="43"/>
      <c r="AF672" s="43"/>
      <c r="AG672" s="43"/>
      <c r="AH672" s="43"/>
    </row>
    <row r="673" spans="1:34">
      <c r="A673" s="43"/>
      <c r="B673" s="43"/>
      <c r="C673" s="43"/>
      <c r="D673" s="43"/>
      <c r="E673" s="43"/>
      <c r="F673" s="43"/>
      <c r="G673" s="43"/>
      <c r="H673" s="244"/>
      <c r="I673" s="244"/>
      <c r="J673" s="244"/>
      <c r="K673" s="244"/>
      <c r="L673" s="244"/>
      <c r="M673" s="244"/>
      <c r="N673" s="244"/>
      <c r="O673" s="244"/>
      <c r="P673" s="244"/>
      <c r="Q673" s="245"/>
      <c r="R673" s="244"/>
      <c r="S673" s="244"/>
      <c r="T673" s="244"/>
      <c r="U673" s="244"/>
      <c r="V673" s="244"/>
      <c r="W673" s="245"/>
      <c r="X673" s="253"/>
      <c r="Y673" s="253"/>
      <c r="Z673" s="244"/>
      <c r="AA673" s="244"/>
      <c r="AB673" s="43"/>
      <c r="AC673" s="43"/>
      <c r="AD673" s="43"/>
      <c r="AE673" s="43"/>
      <c r="AF673" s="43"/>
      <c r="AG673" s="43"/>
      <c r="AH673" s="43"/>
    </row>
    <row r="674" spans="1:34">
      <c r="A674" s="43"/>
      <c r="B674" s="43"/>
      <c r="C674" s="43"/>
      <c r="D674" s="43"/>
      <c r="E674" s="43"/>
      <c r="F674" s="43"/>
      <c r="G674" s="43"/>
      <c r="H674" s="244"/>
      <c r="I674" s="244"/>
      <c r="J674" s="244"/>
      <c r="K674" s="244"/>
      <c r="L674" s="244"/>
      <c r="M674" s="244"/>
      <c r="N674" s="244"/>
      <c r="O674" s="244"/>
      <c r="P674" s="244"/>
      <c r="Q674" s="245"/>
      <c r="R674" s="244"/>
      <c r="S674" s="244"/>
      <c r="T674" s="244"/>
      <c r="U674" s="244"/>
      <c r="V674" s="244"/>
      <c r="W674" s="245"/>
      <c r="X674" s="253"/>
      <c r="Y674" s="253"/>
      <c r="Z674" s="244"/>
      <c r="AA674" s="244"/>
      <c r="AB674" s="43"/>
      <c r="AC674" s="43"/>
      <c r="AD674" s="43"/>
      <c r="AE674" s="43"/>
      <c r="AF674" s="43"/>
      <c r="AG674" s="43"/>
      <c r="AH674" s="43"/>
    </row>
    <row r="675" spans="1:34">
      <c r="A675" s="43"/>
      <c r="B675" s="43"/>
      <c r="C675" s="43"/>
      <c r="D675" s="43"/>
      <c r="E675" s="43"/>
      <c r="F675" s="43"/>
      <c r="G675" s="43"/>
      <c r="H675" s="244"/>
      <c r="I675" s="244"/>
      <c r="J675" s="244"/>
      <c r="K675" s="244"/>
      <c r="L675" s="244"/>
      <c r="M675" s="244"/>
      <c r="N675" s="244"/>
      <c r="O675" s="244"/>
      <c r="P675" s="244"/>
      <c r="Q675" s="245"/>
      <c r="R675" s="244"/>
      <c r="S675" s="244"/>
      <c r="T675" s="244"/>
      <c r="U675" s="244"/>
      <c r="V675" s="244"/>
      <c r="W675" s="245"/>
      <c r="X675" s="253"/>
      <c r="Y675" s="253"/>
      <c r="Z675" s="244"/>
      <c r="AA675" s="244"/>
      <c r="AB675" s="43"/>
      <c r="AC675" s="43"/>
      <c r="AD675" s="43"/>
      <c r="AE675" s="43"/>
      <c r="AF675" s="43"/>
      <c r="AG675" s="43"/>
      <c r="AH675" s="43"/>
    </row>
    <row r="676" spans="1:34">
      <c r="A676" s="43"/>
      <c r="B676" s="43"/>
      <c r="C676" s="43"/>
      <c r="D676" s="43"/>
      <c r="E676" s="43"/>
      <c r="F676" s="43"/>
      <c r="G676" s="43"/>
      <c r="H676" s="244"/>
      <c r="I676" s="244"/>
      <c r="J676" s="244"/>
      <c r="K676" s="244"/>
      <c r="L676" s="244"/>
      <c r="M676" s="244"/>
      <c r="N676" s="244"/>
      <c r="O676" s="244"/>
      <c r="P676" s="244"/>
      <c r="Q676" s="245"/>
      <c r="R676" s="244"/>
      <c r="S676" s="244"/>
      <c r="T676" s="244"/>
      <c r="U676" s="244"/>
      <c r="V676" s="244"/>
      <c r="W676" s="245"/>
      <c r="X676" s="253"/>
      <c r="Y676" s="253"/>
      <c r="Z676" s="244"/>
      <c r="AA676" s="244"/>
      <c r="AB676" s="43"/>
      <c r="AC676" s="43"/>
      <c r="AD676" s="43"/>
      <c r="AE676" s="43"/>
      <c r="AF676" s="43"/>
      <c r="AG676" s="43"/>
      <c r="AH676" s="43"/>
    </row>
    <row r="677" spans="1:34">
      <c r="A677" s="43"/>
      <c r="B677" s="43"/>
      <c r="C677" s="43"/>
      <c r="D677" s="43"/>
      <c r="E677" s="43"/>
      <c r="F677" s="43"/>
      <c r="G677" s="43"/>
      <c r="H677" s="244"/>
      <c r="I677" s="244"/>
      <c r="J677" s="244"/>
      <c r="K677" s="244"/>
      <c r="L677" s="244"/>
      <c r="M677" s="244"/>
      <c r="N677" s="244"/>
      <c r="O677" s="244"/>
      <c r="P677" s="244"/>
      <c r="Q677" s="245"/>
      <c r="R677" s="244"/>
      <c r="S677" s="244"/>
      <c r="T677" s="244"/>
      <c r="U677" s="244"/>
      <c r="V677" s="244"/>
      <c r="W677" s="245"/>
      <c r="X677" s="253"/>
      <c r="Y677" s="253"/>
      <c r="Z677" s="244"/>
      <c r="AA677" s="244"/>
      <c r="AB677" s="43"/>
      <c r="AC677" s="43"/>
      <c r="AD677" s="43"/>
      <c r="AE677" s="43"/>
      <c r="AF677" s="43"/>
      <c r="AG677" s="43"/>
      <c r="AH677" s="43"/>
    </row>
    <row r="678" spans="1:34">
      <c r="A678" s="43"/>
      <c r="B678" s="43"/>
      <c r="C678" s="43"/>
      <c r="D678" s="43"/>
      <c r="E678" s="43"/>
      <c r="F678" s="43"/>
      <c r="G678" s="43"/>
      <c r="H678" s="244"/>
      <c r="I678" s="244"/>
      <c r="J678" s="244"/>
      <c r="K678" s="244"/>
      <c r="L678" s="244"/>
      <c r="M678" s="244"/>
      <c r="N678" s="244"/>
      <c r="O678" s="244"/>
      <c r="P678" s="244"/>
      <c r="Q678" s="245"/>
      <c r="R678" s="244"/>
      <c r="S678" s="244"/>
      <c r="T678" s="244"/>
      <c r="U678" s="244"/>
      <c r="V678" s="244"/>
      <c r="W678" s="245"/>
      <c r="X678" s="253"/>
      <c r="Y678" s="253"/>
      <c r="Z678" s="244"/>
      <c r="AA678" s="244"/>
      <c r="AB678" s="43"/>
      <c r="AC678" s="43"/>
      <c r="AD678" s="43"/>
      <c r="AE678" s="43"/>
      <c r="AF678" s="43"/>
      <c r="AG678" s="43"/>
      <c r="AH678" s="43"/>
    </row>
    <row r="679" spans="1:34">
      <c r="A679" s="43"/>
      <c r="B679" s="43"/>
      <c r="C679" s="43"/>
      <c r="D679" s="43"/>
      <c r="E679" s="43"/>
      <c r="F679" s="43"/>
      <c r="G679" s="43"/>
      <c r="H679" s="244"/>
      <c r="I679" s="244"/>
      <c r="J679" s="244"/>
      <c r="K679" s="244"/>
      <c r="L679" s="244"/>
      <c r="M679" s="244"/>
      <c r="N679" s="244"/>
      <c r="O679" s="244"/>
      <c r="P679" s="244"/>
      <c r="Q679" s="245"/>
      <c r="R679" s="244"/>
      <c r="S679" s="244"/>
      <c r="T679" s="244"/>
      <c r="U679" s="244"/>
      <c r="V679" s="244"/>
      <c r="W679" s="245"/>
      <c r="X679" s="253"/>
      <c r="Y679" s="253"/>
      <c r="Z679" s="244"/>
      <c r="AA679" s="244"/>
      <c r="AB679" s="43"/>
      <c r="AC679" s="43"/>
      <c r="AD679" s="43"/>
      <c r="AE679" s="43"/>
      <c r="AF679" s="43"/>
      <c r="AG679" s="43"/>
      <c r="AH679" s="43"/>
    </row>
    <row r="680" spans="1:34">
      <c r="A680" s="43"/>
      <c r="B680" s="43"/>
      <c r="C680" s="43"/>
      <c r="D680" s="43"/>
      <c r="E680" s="43"/>
      <c r="F680" s="43"/>
      <c r="G680" s="43"/>
      <c r="H680" s="244"/>
      <c r="I680" s="244"/>
      <c r="J680" s="244"/>
      <c r="K680" s="244"/>
      <c r="L680" s="244"/>
      <c r="M680" s="244"/>
      <c r="N680" s="244"/>
      <c r="O680" s="244"/>
      <c r="P680" s="244"/>
      <c r="Q680" s="245"/>
      <c r="R680" s="244"/>
      <c r="S680" s="244"/>
      <c r="T680" s="244"/>
      <c r="U680" s="244"/>
      <c r="V680" s="244"/>
      <c r="W680" s="245"/>
      <c r="X680" s="253"/>
      <c r="Y680" s="253"/>
      <c r="Z680" s="244"/>
      <c r="AA680" s="244"/>
      <c r="AB680" s="43"/>
      <c r="AC680" s="43"/>
      <c r="AD680" s="43"/>
      <c r="AE680" s="43"/>
      <c r="AF680" s="43"/>
      <c r="AG680" s="43"/>
      <c r="AH680" s="43"/>
    </row>
    <row r="681" spans="1:34">
      <c r="A681" s="43"/>
      <c r="B681" s="43"/>
      <c r="C681" s="43"/>
      <c r="D681" s="43"/>
      <c r="E681" s="43"/>
      <c r="F681" s="43"/>
      <c r="G681" s="43"/>
      <c r="H681" s="244"/>
      <c r="I681" s="244"/>
      <c r="J681" s="244"/>
      <c r="K681" s="244"/>
      <c r="L681" s="244"/>
      <c r="M681" s="244"/>
      <c r="N681" s="244"/>
      <c r="O681" s="244"/>
      <c r="P681" s="244"/>
      <c r="Q681" s="245"/>
      <c r="R681" s="244"/>
      <c r="S681" s="244"/>
      <c r="T681" s="244"/>
      <c r="U681" s="244"/>
      <c r="V681" s="244"/>
      <c r="W681" s="245"/>
      <c r="X681" s="253"/>
      <c r="Y681" s="253"/>
      <c r="Z681" s="244"/>
      <c r="AA681" s="244"/>
      <c r="AB681" s="43"/>
      <c r="AC681" s="43"/>
      <c r="AD681" s="43"/>
      <c r="AE681" s="43"/>
      <c r="AF681" s="43"/>
      <c r="AG681" s="43"/>
      <c r="AH681" s="43"/>
    </row>
    <row r="682" spans="1:34">
      <c r="A682" s="43"/>
      <c r="B682" s="43"/>
      <c r="C682" s="43"/>
      <c r="D682" s="43"/>
      <c r="E682" s="43"/>
      <c r="F682" s="43"/>
      <c r="G682" s="43"/>
      <c r="H682" s="244"/>
      <c r="I682" s="244"/>
      <c r="J682" s="244"/>
      <c r="K682" s="244"/>
      <c r="L682" s="244"/>
      <c r="M682" s="244"/>
      <c r="N682" s="244"/>
      <c r="O682" s="244"/>
      <c r="P682" s="244"/>
      <c r="Q682" s="245"/>
      <c r="R682" s="244"/>
      <c r="S682" s="244"/>
      <c r="T682" s="244"/>
      <c r="U682" s="244"/>
      <c r="V682" s="244"/>
      <c r="W682" s="245"/>
      <c r="X682" s="253"/>
      <c r="Y682" s="253"/>
      <c r="Z682" s="244"/>
      <c r="AA682" s="244"/>
      <c r="AB682" s="43"/>
      <c r="AC682" s="43"/>
      <c r="AD682" s="43"/>
      <c r="AE682" s="43"/>
      <c r="AF682" s="43"/>
      <c r="AG682" s="43"/>
      <c r="AH682" s="43"/>
    </row>
    <row r="683" spans="1:34">
      <c r="A683" s="43"/>
      <c r="B683" s="43"/>
      <c r="C683" s="43"/>
      <c r="D683" s="43"/>
      <c r="E683" s="43"/>
      <c r="F683" s="43"/>
      <c r="G683" s="43"/>
      <c r="H683" s="244"/>
      <c r="I683" s="244"/>
      <c r="J683" s="244"/>
      <c r="K683" s="244"/>
      <c r="L683" s="244"/>
      <c r="M683" s="244"/>
      <c r="N683" s="244"/>
      <c r="O683" s="244"/>
      <c r="P683" s="244"/>
      <c r="Q683" s="245"/>
      <c r="R683" s="244"/>
      <c r="S683" s="244"/>
      <c r="T683" s="244"/>
      <c r="U683" s="244"/>
      <c r="V683" s="244"/>
      <c r="W683" s="245"/>
      <c r="X683" s="253"/>
      <c r="Y683" s="253"/>
      <c r="Z683" s="244"/>
      <c r="AA683" s="244"/>
      <c r="AB683" s="43"/>
      <c r="AC683" s="43"/>
      <c r="AD683" s="43"/>
      <c r="AE683" s="43"/>
      <c r="AF683" s="43"/>
      <c r="AG683" s="43"/>
      <c r="AH683" s="43"/>
    </row>
    <row r="684" spans="1:34">
      <c r="A684" s="43"/>
      <c r="B684" s="43"/>
      <c r="C684" s="43"/>
      <c r="D684" s="43"/>
      <c r="E684" s="43"/>
      <c r="F684" s="43"/>
      <c r="G684" s="43"/>
      <c r="H684" s="244"/>
      <c r="I684" s="244"/>
      <c r="J684" s="244"/>
      <c r="K684" s="244"/>
      <c r="L684" s="244"/>
      <c r="M684" s="244"/>
      <c r="N684" s="244"/>
      <c r="O684" s="244"/>
      <c r="P684" s="244"/>
      <c r="Q684" s="245"/>
      <c r="R684" s="244"/>
      <c r="S684" s="244"/>
      <c r="T684" s="244"/>
      <c r="U684" s="244"/>
      <c r="V684" s="244"/>
      <c r="W684" s="245"/>
      <c r="X684" s="253"/>
      <c r="Y684" s="253"/>
      <c r="Z684" s="244"/>
      <c r="AA684" s="244"/>
      <c r="AB684" s="43"/>
      <c r="AC684" s="43"/>
      <c r="AD684" s="43"/>
      <c r="AE684" s="43"/>
      <c r="AF684" s="43"/>
      <c r="AG684" s="43"/>
      <c r="AH684" s="43"/>
    </row>
    <row r="685" spans="1:34">
      <c r="A685" s="43"/>
      <c r="B685" s="43"/>
      <c r="C685" s="43"/>
      <c r="D685" s="43"/>
      <c r="E685" s="43"/>
      <c r="F685" s="43"/>
      <c r="G685" s="43"/>
      <c r="H685" s="244"/>
      <c r="I685" s="244"/>
      <c r="J685" s="244"/>
      <c r="K685" s="244"/>
      <c r="L685" s="244"/>
      <c r="M685" s="244"/>
      <c r="N685" s="244"/>
      <c r="O685" s="244"/>
      <c r="P685" s="244"/>
      <c r="Q685" s="245"/>
      <c r="R685" s="244"/>
      <c r="S685" s="244"/>
      <c r="T685" s="244"/>
      <c r="U685" s="244"/>
      <c r="V685" s="244"/>
      <c r="W685" s="245"/>
      <c r="X685" s="253"/>
      <c r="Y685" s="253"/>
      <c r="Z685" s="244"/>
      <c r="AA685" s="244"/>
      <c r="AB685" s="43"/>
      <c r="AC685" s="43"/>
      <c r="AD685" s="43"/>
      <c r="AE685" s="43"/>
      <c r="AF685" s="43"/>
      <c r="AG685" s="43"/>
      <c r="AH685" s="43"/>
    </row>
    <row r="686" spans="1:34">
      <c r="A686" s="43"/>
      <c r="B686" s="43"/>
      <c r="C686" s="43"/>
      <c r="D686" s="43"/>
      <c r="E686" s="43"/>
      <c r="F686" s="43"/>
      <c r="G686" s="43"/>
      <c r="H686" s="244"/>
      <c r="I686" s="244"/>
      <c r="J686" s="244"/>
      <c r="K686" s="244"/>
      <c r="L686" s="244"/>
      <c r="M686" s="244"/>
      <c r="N686" s="244"/>
      <c r="O686" s="244"/>
      <c r="P686" s="244"/>
      <c r="Q686" s="245"/>
      <c r="R686" s="244"/>
      <c r="S686" s="244"/>
      <c r="T686" s="244"/>
      <c r="U686" s="244"/>
      <c r="V686" s="244"/>
      <c r="W686" s="245"/>
      <c r="X686" s="253"/>
      <c r="Y686" s="253"/>
      <c r="Z686" s="244"/>
      <c r="AA686" s="244"/>
      <c r="AB686" s="43"/>
      <c r="AC686" s="43"/>
      <c r="AD686" s="43"/>
      <c r="AE686" s="43"/>
      <c r="AF686" s="43"/>
      <c r="AG686" s="43"/>
      <c r="AH686" s="43"/>
    </row>
    <row r="687" spans="1:34">
      <c r="A687" s="43"/>
      <c r="B687" s="43"/>
      <c r="C687" s="43"/>
      <c r="D687" s="43"/>
      <c r="E687" s="43"/>
      <c r="F687" s="43"/>
      <c r="G687" s="43"/>
      <c r="H687" s="244"/>
      <c r="I687" s="244"/>
      <c r="J687" s="244"/>
      <c r="K687" s="244"/>
      <c r="L687" s="244"/>
      <c r="M687" s="244"/>
      <c r="N687" s="244"/>
      <c r="O687" s="244"/>
      <c r="P687" s="244"/>
      <c r="Q687" s="245"/>
      <c r="R687" s="244"/>
      <c r="S687" s="244"/>
      <c r="T687" s="244"/>
      <c r="U687" s="244"/>
      <c r="V687" s="244"/>
      <c r="W687" s="245"/>
      <c r="X687" s="253"/>
      <c r="Y687" s="253"/>
      <c r="Z687" s="244"/>
      <c r="AA687" s="244"/>
      <c r="AB687" s="43"/>
      <c r="AC687" s="43"/>
      <c r="AD687" s="43"/>
      <c r="AE687" s="43"/>
      <c r="AF687" s="43"/>
      <c r="AG687" s="43"/>
      <c r="AH687" s="43"/>
    </row>
    <row r="688" spans="1:34">
      <c r="A688" s="43"/>
      <c r="B688" s="43"/>
      <c r="C688" s="43"/>
      <c r="D688" s="43"/>
      <c r="E688" s="43"/>
      <c r="F688" s="43"/>
      <c r="G688" s="43"/>
      <c r="H688" s="244"/>
      <c r="I688" s="244"/>
      <c r="J688" s="244"/>
      <c r="K688" s="244"/>
      <c r="L688" s="244"/>
      <c r="M688" s="244"/>
      <c r="N688" s="244"/>
      <c r="O688" s="244"/>
      <c r="P688" s="244"/>
      <c r="Q688" s="245"/>
      <c r="R688" s="244"/>
      <c r="S688" s="244"/>
      <c r="T688" s="244"/>
      <c r="U688" s="244"/>
      <c r="V688" s="244"/>
      <c r="W688" s="245"/>
      <c r="X688" s="253"/>
      <c r="Y688" s="253"/>
      <c r="Z688" s="244"/>
      <c r="AA688" s="244"/>
      <c r="AB688" s="43"/>
      <c r="AC688" s="43"/>
      <c r="AD688" s="43"/>
      <c r="AE688" s="43"/>
      <c r="AF688" s="43"/>
      <c r="AG688" s="43"/>
      <c r="AH688" s="43"/>
    </row>
    <row r="689" spans="1:34">
      <c r="A689" s="43"/>
      <c r="B689" s="43"/>
      <c r="C689" s="43"/>
      <c r="D689" s="43"/>
      <c r="E689" s="43"/>
      <c r="F689" s="43"/>
      <c r="G689" s="43"/>
      <c r="H689" s="244"/>
      <c r="I689" s="244"/>
      <c r="J689" s="244"/>
      <c r="K689" s="244"/>
      <c r="L689" s="244"/>
      <c r="M689" s="244"/>
      <c r="N689" s="244"/>
      <c r="O689" s="244"/>
      <c r="P689" s="244"/>
      <c r="Q689" s="245"/>
      <c r="R689" s="244"/>
      <c r="S689" s="244"/>
      <c r="T689" s="244"/>
      <c r="U689" s="244"/>
      <c r="V689" s="244"/>
      <c r="W689" s="245"/>
      <c r="X689" s="253"/>
      <c r="Y689" s="253"/>
      <c r="Z689" s="244"/>
      <c r="AA689" s="244"/>
      <c r="AB689" s="43"/>
      <c r="AC689" s="43"/>
      <c r="AD689" s="43"/>
      <c r="AE689" s="43"/>
      <c r="AF689" s="43"/>
      <c r="AG689" s="43"/>
      <c r="AH689" s="43"/>
    </row>
    <row r="690" spans="1:34">
      <c r="A690" s="43"/>
      <c r="B690" s="43"/>
      <c r="C690" s="43"/>
      <c r="D690" s="43"/>
      <c r="E690" s="43"/>
      <c r="F690" s="43"/>
      <c r="G690" s="43"/>
      <c r="H690" s="244"/>
      <c r="I690" s="244"/>
      <c r="J690" s="244"/>
      <c r="K690" s="244"/>
      <c r="L690" s="244"/>
      <c r="M690" s="244"/>
      <c r="N690" s="244"/>
      <c r="O690" s="244"/>
      <c r="P690" s="244"/>
      <c r="Q690" s="245"/>
      <c r="R690" s="244"/>
      <c r="S690" s="244"/>
      <c r="T690" s="244"/>
      <c r="U690" s="244"/>
      <c r="V690" s="244"/>
      <c r="W690" s="245"/>
      <c r="X690" s="253"/>
      <c r="Y690" s="253"/>
      <c r="Z690" s="244"/>
      <c r="AA690" s="244"/>
      <c r="AB690" s="43"/>
      <c r="AC690" s="43"/>
      <c r="AD690" s="43"/>
      <c r="AE690" s="43"/>
      <c r="AF690" s="43"/>
      <c r="AG690" s="43"/>
      <c r="AH690" s="43"/>
    </row>
    <row r="691" spans="1:34">
      <c r="A691" s="43"/>
      <c r="B691" s="43"/>
      <c r="C691" s="43"/>
      <c r="D691" s="43"/>
      <c r="E691" s="43"/>
      <c r="F691" s="43"/>
      <c r="G691" s="43"/>
      <c r="H691" s="244"/>
      <c r="I691" s="244"/>
      <c r="J691" s="244"/>
      <c r="K691" s="244"/>
      <c r="L691" s="244"/>
      <c r="M691" s="244"/>
      <c r="N691" s="244"/>
      <c r="O691" s="244"/>
      <c r="P691" s="244"/>
      <c r="Q691" s="245"/>
      <c r="R691" s="244"/>
      <c r="S691" s="244"/>
      <c r="T691" s="244"/>
      <c r="U691" s="244"/>
      <c r="V691" s="244"/>
      <c r="W691" s="245"/>
      <c r="X691" s="253"/>
      <c r="Y691" s="253"/>
      <c r="Z691" s="244"/>
      <c r="AA691" s="244"/>
      <c r="AB691" s="43"/>
      <c r="AC691" s="43"/>
      <c r="AD691" s="43"/>
      <c r="AE691" s="43"/>
      <c r="AF691" s="43"/>
      <c r="AG691" s="43"/>
      <c r="AH691" s="43"/>
    </row>
    <row r="692" spans="1:34">
      <c r="A692" s="43"/>
      <c r="B692" s="43"/>
      <c r="C692" s="43"/>
      <c r="D692" s="43"/>
      <c r="E692" s="43"/>
      <c r="F692" s="43"/>
      <c r="G692" s="43"/>
      <c r="H692" s="244"/>
      <c r="I692" s="244"/>
      <c r="J692" s="244"/>
      <c r="K692" s="244"/>
      <c r="L692" s="244"/>
      <c r="M692" s="244"/>
      <c r="N692" s="244"/>
      <c r="O692" s="244"/>
      <c r="P692" s="244"/>
      <c r="Q692" s="245"/>
      <c r="R692" s="244"/>
      <c r="S692" s="244"/>
      <c r="T692" s="244"/>
      <c r="U692" s="244"/>
      <c r="V692" s="244"/>
      <c r="W692" s="245"/>
      <c r="X692" s="253"/>
      <c r="Y692" s="253"/>
      <c r="Z692" s="244"/>
      <c r="AA692" s="244"/>
      <c r="AB692" s="43"/>
      <c r="AC692" s="43"/>
      <c r="AD692" s="43"/>
      <c r="AE692" s="43"/>
      <c r="AF692" s="43"/>
      <c r="AG692" s="43"/>
      <c r="AH692" s="43"/>
    </row>
    <row r="693" spans="1:34">
      <c r="A693" s="43"/>
      <c r="B693" s="43"/>
      <c r="C693" s="43"/>
      <c r="D693" s="43"/>
      <c r="E693" s="43"/>
      <c r="F693" s="43"/>
      <c r="G693" s="43"/>
      <c r="H693" s="244"/>
      <c r="I693" s="244"/>
      <c r="J693" s="244"/>
      <c r="K693" s="244"/>
      <c r="L693" s="244"/>
      <c r="M693" s="244"/>
      <c r="N693" s="244"/>
      <c r="O693" s="244"/>
      <c r="P693" s="244"/>
      <c r="Q693" s="245"/>
      <c r="R693" s="244"/>
      <c r="S693" s="244"/>
      <c r="T693" s="244"/>
      <c r="U693" s="244"/>
      <c r="V693" s="244"/>
      <c r="W693" s="245"/>
      <c r="X693" s="253"/>
      <c r="Y693" s="253"/>
      <c r="Z693" s="244"/>
      <c r="AA693" s="244"/>
      <c r="AB693" s="43"/>
      <c r="AC693" s="43"/>
      <c r="AD693" s="43"/>
      <c r="AE693" s="43"/>
      <c r="AF693" s="43"/>
      <c r="AG693" s="43"/>
      <c r="AH693" s="43"/>
    </row>
    <row r="694" spans="1:34">
      <c r="A694" s="43"/>
      <c r="B694" s="43"/>
      <c r="C694" s="43"/>
      <c r="D694" s="43"/>
      <c r="E694" s="43"/>
      <c r="F694" s="43"/>
      <c r="G694" s="43"/>
      <c r="H694" s="244"/>
      <c r="I694" s="244"/>
      <c r="J694" s="244"/>
      <c r="K694" s="244"/>
      <c r="L694" s="244"/>
      <c r="M694" s="244"/>
      <c r="N694" s="244"/>
      <c r="O694" s="244"/>
      <c r="P694" s="244"/>
      <c r="Q694" s="245"/>
      <c r="R694" s="244"/>
      <c r="S694" s="244"/>
      <c r="T694" s="244"/>
      <c r="U694" s="244"/>
      <c r="V694" s="244"/>
      <c r="W694" s="245"/>
      <c r="X694" s="253"/>
      <c r="Y694" s="253"/>
      <c r="Z694" s="244"/>
      <c r="AA694" s="244"/>
      <c r="AB694" s="43"/>
      <c r="AC694" s="43"/>
      <c r="AD694" s="43"/>
      <c r="AE694" s="43"/>
      <c r="AF694" s="43"/>
      <c r="AG694" s="43"/>
      <c r="AH694" s="43"/>
    </row>
    <row r="695" spans="1:34">
      <c r="A695" s="43"/>
      <c r="B695" s="43"/>
      <c r="C695" s="43"/>
      <c r="D695" s="43"/>
      <c r="E695" s="43"/>
      <c r="F695" s="43"/>
      <c r="G695" s="43"/>
      <c r="H695" s="244"/>
      <c r="I695" s="244"/>
      <c r="J695" s="244"/>
      <c r="K695" s="244"/>
      <c r="L695" s="244"/>
      <c r="M695" s="244"/>
      <c r="N695" s="244"/>
      <c r="O695" s="244"/>
      <c r="P695" s="244"/>
      <c r="Q695" s="245"/>
      <c r="R695" s="244"/>
      <c r="S695" s="244"/>
      <c r="T695" s="244"/>
      <c r="U695" s="244"/>
      <c r="V695" s="244"/>
      <c r="W695" s="245"/>
      <c r="X695" s="253"/>
      <c r="Y695" s="253"/>
      <c r="Z695" s="244"/>
      <c r="AA695" s="244"/>
      <c r="AB695" s="43"/>
      <c r="AC695" s="43"/>
      <c r="AD695" s="43"/>
      <c r="AE695" s="43"/>
      <c r="AF695" s="43"/>
      <c r="AG695" s="43"/>
      <c r="AH695" s="43"/>
    </row>
    <row r="696" spans="1:34">
      <c r="A696" s="43"/>
      <c r="B696" s="43"/>
      <c r="C696" s="43"/>
      <c r="D696" s="43"/>
      <c r="E696" s="43"/>
      <c r="F696" s="43"/>
      <c r="G696" s="43"/>
      <c r="H696" s="244"/>
      <c r="I696" s="244"/>
      <c r="J696" s="244"/>
      <c r="K696" s="244"/>
      <c r="L696" s="244"/>
      <c r="M696" s="244"/>
      <c r="N696" s="244"/>
      <c r="O696" s="244"/>
      <c r="P696" s="244"/>
      <c r="Q696" s="245"/>
      <c r="R696" s="244"/>
      <c r="S696" s="244"/>
      <c r="T696" s="244"/>
      <c r="U696" s="244"/>
      <c r="V696" s="244"/>
      <c r="W696" s="245"/>
      <c r="X696" s="253"/>
      <c r="Y696" s="253"/>
      <c r="Z696" s="244"/>
      <c r="AA696" s="244"/>
      <c r="AB696" s="43"/>
      <c r="AC696" s="43"/>
      <c r="AD696" s="43"/>
      <c r="AE696" s="43"/>
      <c r="AF696" s="43"/>
      <c r="AG696" s="43"/>
      <c r="AH696" s="43"/>
    </row>
    <row r="697" spans="1:34">
      <c r="A697" s="43"/>
      <c r="B697" s="43"/>
      <c r="C697" s="43"/>
      <c r="D697" s="43"/>
      <c r="E697" s="43"/>
      <c r="F697" s="43"/>
      <c r="G697" s="43"/>
      <c r="H697" s="244"/>
      <c r="I697" s="244"/>
      <c r="J697" s="244"/>
      <c r="K697" s="244"/>
      <c r="L697" s="244"/>
      <c r="M697" s="244"/>
      <c r="N697" s="244"/>
      <c r="O697" s="244"/>
      <c r="P697" s="244"/>
      <c r="Q697" s="245"/>
      <c r="R697" s="244"/>
      <c r="S697" s="244"/>
      <c r="T697" s="244"/>
      <c r="U697" s="244"/>
      <c r="V697" s="244"/>
      <c r="W697" s="245"/>
      <c r="X697" s="253"/>
      <c r="Y697" s="253"/>
      <c r="Z697" s="244"/>
      <c r="AA697" s="244"/>
      <c r="AB697" s="43"/>
      <c r="AC697" s="43"/>
      <c r="AD697" s="43"/>
      <c r="AE697" s="43"/>
      <c r="AF697" s="43"/>
      <c r="AG697" s="43"/>
      <c r="AH697" s="43"/>
    </row>
    <row r="698" spans="1:34">
      <c r="A698" s="43"/>
      <c r="B698" s="43"/>
      <c r="C698" s="43"/>
      <c r="D698" s="43"/>
      <c r="E698" s="43"/>
      <c r="F698" s="43"/>
      <c r="G698" s="43"/>
      <c r="H698" s="244"/>
      <c r="I698" s="244"/>
      <c r="J698" s="244"/>
      <c r="K698" s="244"/>
      <c r="L698" s="244"/>
      <c r="M698" s="244"/>
      <c r="N698" s="244"/>
      <c r="O698" s="244"/>
      <c r="P698" s="244"/>
      <c r="Q698" s="245"/>
      <c r="R698" s="244"/>
      <c r="S698" s="244"/>
      <c r="T698" s="244"/>
      <c r="U698" s="244"/>
      <c r="V698" s="244"/>
      <c r="W698" s="245"/>
      <c r="X698" s="253"/>
      <c r="Y698" s="253"/>
      <c r="Z698" s="244"/>
      <c r="AA698" s="244"/>
      <c r="AB698" s="43"/>
      <c r="AC698" s="43"/>
      <c r="AD698" s="43"/>
      <c r="AE698" s="43"/>
      <c r="AF698" s="43"/>
      <c r="AG698" s="43"/>
      <c r="AH698" s="43"/>
    </row>
    <row r="699" spans="1:34">
      <c r="A699" s="43"/>
      <c r="B699" s="43"/>
      <c r="C699" s="43"/>
      <c r="D699" s="43"/>
      <c r="E699" s="43"/>
      <c r="F699" s="43"/>
      <c r="G699" s="43"/>
      <c r="H699" s="244"/>
      <c r="I699" s="244"/>
      <c r="J699" s="244"/>
      <c r="K699" s="244"/>
      <c r="L699" s="244"/>
      <c r="M699" s="244"/>
      <c r="N699" s="244"/>
      <c r="O699" s="244"/>
      <c r="P699" s="244"/>
      <c r="Q699" s="245"/>
      <c r="R699" s="244"/>
      <c r="S699" s="244"/>
      <c r="T699" s="244"/>
      <c r="U699" s="244"/>
      <c r="V699" s="244"/>
      <c r="W699" s="245"/>
      <c r="X699" s="253"/>
      <c r="Y699" s="253"/>
      <c r="Z699" s="244"/>
      <c r="AA699" s="244"/>
      <c r="AB699" s="43"/>
      <c r="AC699" s="43"/>
      <c r="AD699" s="43"/>
      <c r="AE699" s="43"/>
      <c r="AF699" s="43"/>
      <c r="AG699" s="43"/>
      <c r="AH699" s="43"/>
    </row>
    <row r="700" spans="1:34">
      <c r="A700" s="43"/>
      <c r="B700" s="43"/>
      <c r="C700" s="43"/>
      <c r="D700" s="43"/>
      <c r="E700" s="43"/>
      <c r="F700" s="43"/>
      <c r="G700" s="43"/>
      <c r="H700" s="244"/>
      <c r="I700" s="244"/>
      <c r="J700" s="244"/>
      <c r="K700" s="244"/>
      <c r="L700" s="244"/>
      <c r="M700" s="244"/>
      <c r="N700" s="244"/>
      <c r="O700" s="244"/>
      <c r="P700" s="244"/>
      <c r="Q700" s="245"/>
      <c r="R700" s="244"/>
      <c r="S700" s="244"/>
      <c r="T700" s="244"/>
      <c r="U700" s="244"/>
      <c r="V700" s="244"/>
      <c r="W700" s="245"/>
      <c r="X700" s="253"/>
      <c r="Y700" s="253"/>
      <c r="Z700" s="244"/>
      <c r="AA700" s="244"/>
      <c r="AB700" s="43"/>
      <c r="AC700" s="43"/>
      <c r="AD700" s="43"/>
      <c r="AE700" s="43"/>
      <c r="AF700" s="43"/>
      <c r="AG700" s="43"/>
      <c r="AH700" s="43"/>
    </row>
    <row r="701" spans="1:34">
      <c r="A701" s="43"/>
      <c r="B701" s="43"/>
      <c r="C701" s="43"/>
      <c r="D701" s="43"/>
      <c r="E701" s="43"/>
      <c r="F701" s="43"/>
      <c r="G701" s="43"/>
      <c r="H701" s="244"/>
      <c r="I701" s="244"/>
      <c r="J701" s="244"/>
      <c r="K701" s="244"/>
      <c r="L701" s="244"/>
      <c r="M701" s="244"/>
      <c r="N701" s="244"/>
      <c r="O701" s="244"/>
      <c r="P701" s="244"/>
      <c r="Q701" s="245"/>
      <c r="R701" s="244"/>
      <c r="S701" s="244"/>
      <c r="T701" s="244"/>
      <c r="U701" s="244"/>
      <c r="V701" s="244"/>
      <c r="W701" s="245"/>
      <c r="X701" s="253"/>
      <c r="Y701" s="253"/>
      <c r="Z701" s="244"/>
      <c r="AA701" s="244"/>
      <c r="AB701" s="43"/>
      <c r="AC701" s="43"/>
      <c r="AD701" s="43"/>
      <c r="AE701" s="43"/>
      <c r="AF701" s="43"/>
      <c r="AG701" s="43"/>
      <c r="AH701" s="43"/>
    </row>
    <row r="702" spans="1:34">
      <c r="A702" s="43"/>
      <c r="B702" s="43"/>
      <c r="C702" s="43"/>
      <c r="D702" s="43"/>
      <c r="E702" s="43"/>
      <c r="F702" s="43"/>
      <c r="G702" s="43"/>
      <c r="H702" s="244"/>
      <c r="I702" s="244"/>
      <c r="J702" s="244"/>
      <c r="K702" s="244"/>
      <c r="L702" s="244"/>
      <c r="M702" s="244"/>
      <c r="N702" s="244"/>
      <c r="O702" s="244"/>
      <c r="P702" s="244"/>
      <c r="Q702" s="245"/>
      <c r="R702" s="244"/>
      <c r="S702" s="244"/>
      <c r="T702" s="244"/>
      <c r="U702" s="244"/>
      <c r="V702" s="244"/>
      <c r="W702" s="245"/>
      <c r="X702" s="253"/>
      <c r="Y702" s="253"/>
      <c r="Z702" s="244"/>
      <c r="AA702" s="244"/>
      <c r="AB702" s="43"/>
      <c r="AC702" s="43"/>
      <c r="AD702" s="43"/>
      <c r="AE702" s="43"/>
      <c r="AF702" s="43"/>
      <c r="AG702" s="43"/>
      <c r="AH702" s="43"/>
    </row>
    <row r="703" spans="1:34">
      <c r="A703" s="43"/>
      <c r="B703" s="43"/>
      <c r="C703" s="43"/>
      <c r="D703" s="43"/>
      <c r="E703" s="43"/>
      <c r="F703" s="43"/>
      <c r="G703" s="43"/>
      <c r="H703" s="244"/>
      <c r="I703" s="244"/>
      <c r="J703" s="244"/>
      <c r="K703" s="244"/>
      <c r="L703" s="244"/>
      <c r="M703" s="244"/>
      <c r="N703" s="244"/>
      <c r="O703" s="244"/>
      <c r="P703" s="244"/>
      <c r="Q703" s="245"/>
      <c r="R703" s="244"/>
      <c r="S703" s="244"/>
      <c r="T703" s="244"/>
      <c r="U703" s="244"/>
      <c r="V703" s="244"/>
      <c r="W703" s="245"/>
      <c r="X703" s="253"/>
      <c r="Y703" s="253"/>
      <c r="Z703" s="244"/>
      <c r="AA703" s="244"/>
      <c r="AB703" s="43"/>
      <c r="AC703" s="43"/>
      <c r="AD703" s="43"/>
      <c r="AE703" s="43"/>
      <c r="AF703" s="43"/>
      <c r="AG703" s="43"/>
      <c r="AH703" s="43"/>
    </row>
    <row r="704" spans="1:34">
      <c r="A704" s="43"/>
      <c r="B704" s="43"/>
      <c r="C704" s="43"/>
      <c r="D704" s="43"/>
      <c r="E704" s="43"/>
      <c r="F704" s="43"/>
      <c r="G704" s="43"/>
      <c r="H704" s="244"/>
      <c r="I704" s="244"/>
      <c r="J704" s="244"/>
      <c r="K704" s="244"/>
      <c r="L704" s="244"/>
      <c r="M704" s="244"/>
      <c r="N704" s="244"/>
      <c r="O704" s="244"/>
      <c r="P704" s="244"/>
      <c r="Q704" s="245"/>
      <c r="R704" s="244"/>
      <c r="S704" s="244"/>
      <c r="T704" s="244"/>
      <c r="U704" s="244"/>
      <c r="V704" s="244"/>
      <c r="W704" s="245"/>
      <c r="X704" s="253"/>
      <c r="Y704" s="253"/>
      <c r="Z704" s="244"/>
      <c r="AA704" s="244"/>
      <c r="AB704" s="43"/>
      <c r="AC704" s="43"/>
      <c r="AD704" s="43"/>
      <c r="AE704" s="43"/>
      <c r="AF704" s="43"/>
      <c r="AG704" s="43"/>
      <c r="AH704" s="43"/>
    </row>
    <row r="705" spans="1:34">
      <c r="A705" s="43"/>
      <c r="B705" s="43"/>
      <c r="C705" s="43"/>
      <c r="D705" s="43"/>
      <c r="E705" s="43"/>
      <c r="F705" s="43"/>
      <c r="G705" s="43"/>
      <c r="H705" s="244"/>
      <c r="I705" s="244"/>
      <c r="J705" s="244"/>
      <c r="K705" s="244"/>
      <c r="L705" s="244"/>
      <c r="M705" s="244"/>
      <c r="N705" s="244"/>
      <c r="O705" s="244"/>
      <c r="P705" s="244"/>
      <c r="Q705" s="245"/>
      <c r="R705" s="244"/>
      <c r="S705" s="244"/>
      <c r="T705" s="244"/>
      <c r="U705" s="244"/>
      <c r="V705" s="244"/>
      <c r="W705" s="245"/>
      <c r="X705" s="253"/>
      <c r="Y705" s="253"/>
      <c r="Z705" s="244"/>
      <c r="AA705" s="244"/>
      <c r="AB705" s="43"/>
      <c r="AC705" s="43"/>
      <c r="AD705" s="43"/>
      <c r="AE705" s="43"/>
      <c r="AF705" s="43"/>
      <c r="AG705" s="43"/>
      <c r="AH705" s="43"/>
    </row>
    <row r="706" spans="1:34">
      <c r="A706" s="43"/>
      <c r="B706" s="43"/>
      <c r="C706" s="43"/>
      <c r="D706" s="43"/>
      <c r="E706" s="43"/>
      <c r="F706" s="43"/>
      <c r="G706" s="43"/>
      <c r="H706" s="244"/>
      <c r="I706" s="244"/>
      <c r="J706" s="244"/>
      <c r="K706" s="244"/>
      <c r="L706" s="244"/>
      <c r="M706" s="244"/>
      <c r="N706" s="244"/>
      <c r="O706" s="244"/>
      <c r="P706" s="244"/>
      <c r="Q706" s="245"/>
      <c r="R706" s="244"/>
      <c r="S706" s="244"/>
      <c r="T706" s="244"/>
      <c r="U706" s="244"/>
      <c r="V706" s="244"/>
      <c r="W706" s="245"/>
      <c r="X706" s="253"/>
      <c r="Y706" s="253"/>
      <c r="Z706" s="244"/>
      <c r="AA706" s="244"/>
      <c r="AB706" s="43"/>
      <c r="AC706" s="43"/>
      <c r="AD706" s="43"/>
      <c r="AE706" s="43"/>
      <c r="AF706" s="43"/>
      <c r="AG706" s="43"/>
      <c r="AH706" s="43"/>
    </row>
    <row r="707" spans="1:34">
      <c r="A707" s="43"/>
      <c r="B707" s="43"/>
      <c r="C707" s="43"/>
      <c r="D707" s="43"/>
      <c r="E707" s="43"/>
      <c r="F707" s="43"/>
      <c r="G707" s="43"/>
      <c r="H707" s="244"/>
      <c r="I707" s="244"/>
      <c r="J707" s="244"/>
      <c r="K707" s="244"/>
      <c r="L707" s="244"/>
      <c r="M707" s="244"/>
      <c r="N707" s="244"/>
      <c r="O707" s="244"/>
      <c r="P707" s="244"/>
      <c r="Q707" s="245"/>
      <c r="R707" s="244"/>
      <c r="S707" s="244"/>
      <c r="T707" s="244"/>
      <c r="U707" s="244"/>
      <c r="V707" s="244"/>
      <c r="W707" s="245"/>
      <c r="X707" s="253"/>
      <c r="Y707" s="253"/>
      <c r="Z707" s="244"/>
      <c r="AA707" s="244"/>
      <c r="AB707" s="43"/>
      <c r="AC707" s="43"/>
      <c r="AD707" s="43"/>
      <c r="AE707" s="43"/>
      <c r="AF707" s="43"/>
      <c r="AG707" s="43"/>
      <c r="AH707" s="43"/>
    </row>
    <row r="708" spans="1:34">
      <c r="A708" s="43"/>
      <c r="B708" s="43"/>
      <c r="C708" s="43"/>
      <c r="D708" s="43"/>
      <c r="E708" s="43"/>
      <c r="F708" s="43"/>
      <c r="G708" s="43"/>
      <c r="H708" s="244"/>
      <c r="I708" s="244"/>
      <c r="J708" s="244"/>
      <c r="K708" s="244"/>
      <c r="L708" s="244"/>
      <c r="M708" s="244"/>
      <c r="N708" s="244"/>
      <c r="O708" s="244"/>
      <c r="P708" s="244"/>
      <c r="Q708" s="245"/>
      <c r="R708" s="244"/>
      <c r="S708" s="244"/>
      <c r="T708" s="244"/>
      <c r="U708" s="244"/>
      <c r="V708" s="244"/>
      <c r="W708" s="245"/>
      <c r="X708" s="253"/>
      <c r="Y708" s="253"/>
      <c r="Z708" s="244"/>
      <c r="AA708" s="244"/>
      <c r="AB708" s="43"/>
      <c r="AC708" s="43"/>
      <c r="AD708" s="43"/>
      <c r="AE708" s="43"/>
      <c r="AF708" s="43"/>
      <c r="AG708" s="43"/>
      <c r="AH708" s="43"/>
    </row>
    <row r="709" spans="1:34">
      <c r="A709" s="43"/>
      <c r="B709" s="43"/>
      <c r="C709" s="43"/>
      <c r="D709" s="43"/>
      <c r="E709" s="43"/>
      <c r="F709" s="43"/>
      <c r="G709" s="43"/>
      <c r="H709" s="244"/>
      <c r="I709" s="244"/>
      <c r="J709" s="244"/>
      <c r="K709" s="244"/>
      <c r="L709" s="244"/>
      <c r="M709" s="244"/>
      <c r="N709" s="244"/>
      <c r="O709" s="244"/>
      <c r="P709" s="244"/>
      <c r="Q709" s="245"/>
      <c r="R709" s="244"/>
      <c r="S709" s="244"/>
      <c r="T709" s="244"/>
      <c r="U709" s="244"/>
      <c r="V709" s="244"/>
      <c r="W709" s="245"/>
      <c r="X709" s="253"/>
      <c r="Y709" s="253"/>
      <c r="Z709" s="244"/>
      <c r="AA709" s="244"/>
      <c r="AB709" s="43"/>
      <c r="AC709" s="43"/>
      <c r="AD709" s="43"/>
      <c r="AE709" s="43"/>
      <c r="AF709" s="43"/>
      <c r="AG709" s="43"/>
      <c r="AH709" s="43"/>
    </row>
    <row r="710" spans="1:34">
      <c r="A710" s="43"/>
      <c r="B710" s="43"/>
      <c r="C710" s="43"/>
      <c r="D710" s="43"/>
      <c r="E710" s="43"/>
      <c r="F710" s="43"/>
      <c r="G710" s="43"/>
      <c r="H710" s="244"/>
      <c r="I710" s="244"/>
      <c r="J710" s="244"/>
      <c r="K710" s="244"/>
      <c r="L710" s="244"/>
      <c r="M710" s="244"/>
      <c r="N710" s="244"/>
      <c r="O710" s="244"/>
      <c r="P710" s="244"/>
      <c r="Q710" s="245"/>
      <c r="R710" s="244"/>
      <c r="S710" s="244"/>
      <c r="T710" s="244"/>
      <c r="U710" s="244"/>
      <c r="V710" s="244"/>
      <c r="W710" s="245"/>
      <c r="X710" s="253"/>
      <c r="Y710" s="253"/>
      <c r="Z710" s="244"/>
      <c r="AA710" s="244"/>
      <c r="AB710" s="43"/>
      <c r="AC710" s="43"/>
      <c r="AD710" s="43"/>
      <c r="AE710" s="43"/>
      <c r="AF710" s="43"/>
      <c r="AG710" s="43"/>
      <c r="AH710" s="43"/>
    </row>
    <row r="711" spans="1:34">
      <c r="A711" s="43"/>
      <c r="B711" s="43"/>
      <c r="C711" s="43"/>
      <c r="D711" s="43"/>
      <c r="E711" s="43"/>
      <c r="F711" s="43"/>
      <c r="G711" s="43"/>
      <c r="H711" s="244"/>
      <c r="I711" s="244"/>
      <c r="J711" s="244"/>
      <c r="K711" s="244"/>
      <c r="L711" s="244"/>
      <c r="M711" s="244"/>
      <c r="N711" s="244"/>
      <c r="O711" s="244"/>
      <c r="P711" s="244"/>
      <c r="Q711" s="245"/>
      <c r="R711" s="244"/>
      <c r="S711" s="244"/>
      <c r="T711" s="244"/>
      <c r="U711" s="244"/>
      <c r="V711" s="244"/>
      <c r="W711" s="245"/>
      <c r="X711" s="253"/>
      <c r="Y711" s="253"/>
      <c r="Z711" s="244"/>
      <c r="AA711" s="244"/>
      <c r="AB711" s="43"/>
      <c r="AC711" s="43"/>
      <c r="AD711" s="43"/>
      <c r="AE711" s="43"/>
      <c r="AF711" s="43"/>
      <c r="AG711" s="43"/>
      <c r="AH711" s="43"/>
    </row>
    <row r="712" spans="1:34">
      <c r="A712" s="43"/>
      <c r="B712" s="43"/>
      <c r="C712" s="43"/>
      <c r="D712" s="43"/>
      <c r="E712" s="43"/>
      <c r="F712" s="43"/>
      <c r="G712" s="43"/>
      <c r="H712" s="244"/>
      <c r="I712" s="244"/>
      <c r="J712" s="244"/>
      <c r="K712" s="244"/>
      <c r="L712" s="244"/>
      <c r="M712" s="244"/>
      <c r="N712" s="244"/>
      <c r="O712" s="244"/>
      <c r="P712" s="244"/>
      <c r="Q712" s="245"/>
      <c r="R712" s="244"/>
      <c r="S712" s="244"/>
      <c r="T712" s="244"/>
      <c r="U712" s="244"/>
      <c r="V712" s="244"/>
      <c r="W712" s="245"/>
      <c r="X712" s="253"/>
      <c r="Y712" s="253"/>
      <c r="Z712" s="244"/>
      <c r="AA712" s="244"/>
      <c r="AB712" s="43"/>
      <c r="AC712" s="43"/>
      <c r="AD712" s="43"/>
      <c r="AE712" s="43"/>
      <c r="AF712" s="43"/>
      <c r="AG712" s="43"/>
      <c r="AH712" s="43"/>
    </row>
    <row r="713" spans="1:34">
      <c r="A713" s="43"/>
      <c r="B713" s="43"/>
      <c r="C713" s="43"/>
      <c r="D713" s="43"/>
      <c r="E713" s="43"/>
      <c r="F713" s="43"/>
      <c r="G713" s="43"/>
      <c r="H713" s="244"/>
      <c r="I713" s="244"/>
      <c r="J713" s="244"/>
      <c r="K713" s="244"/>
      <c r="L713" s="244"/>
      <c r="M713" s="244"/>
      <c r="N713" s="244"/>
      <c r="O713" s="244"/>
      <c r="P713" s="244"/>
      <c r="Q713" s="245"/>
      <c r="R713" s="244"/>
      <c r="S713" s="244"/>
      <c r="T713" s="244"/>
      <c r="U713" s="244"/>
      <c r="V713" s="244"/>
      <c r="W713" s="245"/>
      <c r="X713" s="253"/>
      <c r="Y713" s="253"/>
      <c r="Z713" s="244"/>
      <c r="AA713" s="244"/>
      <c r="AB713" s="43"/>
      <c r="AC713" s="43"/>
      <c r="AD713" s="43"/>
      <c r="AE713" s="43"/>
      <c r="AF713" s="43"/>
      <c r="AG713" s="43"/>
      <c r="AH713" s="43"/>
    </row>
    <row r="714" spans="1:34">
      <c r="A714" s="43"/>
      <c r="B714" s="43"/>
      <c r="C714" s="43"/>
      <c r="D714" s="43"/>
      <c r="E714" s="43"/>
      <c r="F714" s="43"/>
      <c r="G714" s="43"/>
      <c r="H714" s="244"/>
      <c r="I714" s="244"/>
      <c r="J714" s="244"/>
      <c r="K714" s="244"/>
      <c r="L714" s="244"/>
      <c r="M714" s="244"/>
      <c r="N714" s="244"/>
      <c r="O714" s="244"/>
      <c r="P714" s="244"/>
      <c r="Q714" s="245"/>
      <c r="R714" s="244"/>
      <c r="S714" s="244"/>
      <c r="T714" s="244"/>
      <c r="U714" s="244"/>
      <c r="V714" s="244"/>
      <c r="W714" s="245"/>
      <c r="X714" s="253"/>
      <c r="Y714" s="253"/>
      <c r="Z714" s="244"/>
      <c r="AA714" s="244"/>
      <c r="AB714" s="43"/>
      <c r="AC714" s="43"/>
      <c r="AD714" s="43"/>
      <c r="AE714" s="43"/>
      <c r="AF714" s="43"/>
      <c r="AG714" s="43"/>
      <c r="AH714" s="43"/>
    </row>
    <row r="715" spans="1:34">
      <c r="A715" s="43"/>
      <c r="B715" s="43"/>
      <c r="C715" s="43"/>
      <c r="D715" s="43"/>
      <c r="E715" s="43"/>
      <c r="F715" s="43"/>
      <c r="G715" s="43"/>
      <c r="H715" s="244"/>
      <c r="I715" s="244"/>
      <c r="J715" s="244"/>
      <c r="K715" s="244"/>
      <c r="L715" s="244"/>
      <c r="M715" s="244"/>
      <c r="N715" s="244"/>
      <c r="O715" s="244"/>
      <c r="P715" s="244"/>
      <c r="Q715" s="245"/>
      <c r="R715" s="244"/>
      <c r="S715" s="244"/>
      <c r="T715" s="244"/>
      <c r="U715" s="244"/>
      <c r="V715" s="244"/>
      <c r="W715" s="245"/>
      <c r="X715" s="253"/>
      <c r="Y715" s="253"/>
      <c r="Z715" s="244"/>
      <c r="AA715" s="244"/>
      <c r="AB715" s="43"/>
      <c r="AC715" s="43"/>
      <c r="AD715" s="43"/>
      <c r="AE715" s="43"/>
      <c r="AF715" s="43"/>
      <c r="AG715" s="43"/>
      <c r="AH715" s="43"/>
    </row>
    <row r="716" spans="1:34">
      <c r="A716" s="43"/>
      <c r="B716" s="43"/>
      <c r="C716" s="43"/>
      <c r="D716" s="43"/>
      <c r="E716" s="43"/>
      <c r="F716" s="43"/>
      <c r="G716" s="43"/>
      <c r="H716" s="244"/>
      <c r="I716" s="244"/>
      <c r="J716" s="244"/>
      <c r="K716" s="244"/>
      <c r="L716" s="244"/>
      <c r="M716" s="244"/>
      <c r="N716" s="244"/>
      <c r="O716" s="244"/>
      <c r="P716" s="244"/>
      <c r="Q716" s="245"/>
      <c r="R716" s="244"/>
      <c r="S716" s="244"/>
      <c r="T716" s="244"/>
      <c r="U716" s="244"/>
      <c r="V716" s="244"/>
      <c r="W716" s="245"/>
      <c r="X716" s="253"/>
      <c r="Y716" s="253"/>
      <c r="Z716" s="244"/>
      <c r="AA716" s="244"/>
      <c r="AB716" s="43"/>
      <c r="AC716" s="43"/>
      <c r="AD716" s="43"/>
      <c r="AE716" s="43"/>
      <c r="AF716" s="43"/>
      <c r="AG716" s="43"/>
      <c r="AH716" s="43"/>
    </row>
    <row r="717" spans="1:34">
      <c r="A717" s="43"/>
      <c r="B717" s="43"/>
      <c r="C717" s="43"/>
      <c r="D717" s="43"/>
      <c r="E717" s="43"/>
      <c r="F717" s="43"/>
      <c r="G717" s="43"/>
      <c r="H717" s="244"/>
      <c r="I717" s="244"/>
      <c r="J717" s="244"/>
      <c r="K717" s="244"/>
      <c r="L717" s="244"/>
      <c r="M717" s="244"/>
      <c r="N717" s="244"/>
      <c r="O717" s="244"/>
      <c r="P717" s="244"/>
      <c r="Q717" s="245"/>
      <c r="R717" s="244"/>
      <c r="S717" s="244"/>
      <c r="T717" s="244"/>
      <c r="U717" s="244"/>
      <c r="V717" s="244"/>
      <c r="W717" s="245"/>
      <c r="X717" s="253"/>
      <c r="Y717" s="253"/>
      <c r="Z717" s="244"/>
      <c r="AA717" s="244"/>
      <c r="AB717" s="43"/>
      <c r="AC717" s="43"/>
      <c r="AD717" s="43"/>
      <c r="AE717" s="43"/>
      <c r="AF717" s="43"/>
      <c r="AG717" s="43"/>
      <c r="AH717" s="43"/>
    </row>
    <row r="718" spans="1:34">
      <c r="A718" s="43"/>
      <c r="B718" s="43"/>
      <c r="C718" s="43"/>
      <c r="D718" s="43"/>
      <c r="E718" s="43"/>
      <c r="F718" s="43"/>
      <c r="G718" s="43"/>
      <c r="H718" s="244"/>
      <c r="I718" s="244"/>
      <c r="J718" s="244"/>
      <c r="K718" s="244"/>
      <c r="L718" s="244"/>
      <c r="M718" s="244"/>
      <c r="N718" s="244"/>
      <c r="O718" s="244"/>
      <c r="P718" s="244"/>
      <c r="Q718" s="245"/>
      <c r="R718" s="244"/>
      <c r="S718" s="244"/>
      <c r="T718" s="244"/>
      <c r="U718" s="244"/>
      <c r="V718" s="244"/>
      <c r="W718" s="245"/>
      <c r="X718" s="253"/>
      <c r="Y718" s="253"/>
      <c r="Z718" s="244"/>
      <c r="AA718" s="244"/>
      <c r="AB718" s="43"/>
      <c r="AC718" s="43"/>
      <c r="AD718" s="43"/>
      <c r="AE718" s="43"/>
      <c r="AF718" s="43"/>
      <c r="AG718" s="43"/>
      <c r="AH718" s="43"/>
    </row>
    <row r="719" spans="1:34">
      <c r="A719" s="43"/>
      <c r="B719" s="43"/>
      <c r="C719" s="43"/>
      <c r="D719" s="43"/>
      <c r="E719" s="43"/>
      <c r="F719" s="43"/>
      <c r="G719" s="43"/>
      <c r="H719" s="244"/>
      <c r="I719" s="244"/>
      <c r="J719" s="244"/>
      <c r="K719" s="244"/>
      <c r="L719" s="244"/>
      <c r="M719" s="244"/>
      <c r="N719" s="244"/>
      <c r="O719" s="244"/>
      <c r="P719" s="244"/>
      <c r="Q719" s="245"/>
      <c r="R719" s="244"/>
      <c r="S719" s="244"/>
      <c r="T719" s="244"/>
      <c r="U719" s="244"/>
      <c r="V719" s="244"/>
      <c r="W719" s="245"/>
      <c r="X719" s="253"/>
      <c r="Y719" s="253"/>
      <c r="Z719" s="244"/>
      <c r="AA719" s="244"/>
      <c r="AB719" s="43"/>
      <c r="AC719" s="43"/>
      <c r="AD719" s="43"/>
      <c r="AE719" s="43"/>
      <c r="AF719" s="43"/>
      <c r="AG719" s="43"/>
      <c r="AH719" s="43"/>
    </row>
    <row r="720" spans="1:34">
      <c r="A720" s="43"/>
      <c r="B720" s="43"/>
      <c r="C720" s="43"/>
      <c r="D720" s="43"/>
      <c r="E720" s="43"/>
      <c r="F720" s="43"/>
      <c r="G720" s="43"/>
      <c r="H720" s="244"/>
      <c r="I720" s="244"/>
      <c r="J720" s="244"/>
      <c r="K720" s="244"/>
      <c r="L720" s="244"/>
      <c r="M720" s="244"/>
      <c r="N720" s="244"/>
      <c r="O720" s="244"/>
      <c r="P720" s="244"/>
      <c r="Q720" s="245"/>
      <c r="R720" s="244"/>
      <c r="S720" s="244"/>
      <c r="T720" s="244"/>
      <c r="U720" s="244"/>
      <c r="V720" s="244"/>
      <c r="W720" s="245"/>
      <c r="X720" s="253"/>
      <c r="Y720" s="253"/>
      <c r="Z720" s="244"/>
      <c r="AA720" s="244"/>
      <c r="AB720" s="43"/>
      <c r="AC720" s="43"/>
      <c r="AD720" s="43"/>
      <c r="AE720" s="43"/>
      <c r="AF720" s="43"/>
      <c r="AG720" s="43"/>
      <c r="AH720" s="43"/>
    </row>
    <row r="721" spans="1:34">
      <c r="A721" s="43"/>
      <c r="B721" s="43"/>
      <c r="C721" s="43"/>
      <c r="D721" s="43"/>
      <c r="E721" s="43"/>
      <c r="F721" s="43"/>
      <c r="G721" s="43"/>
      <c r="H721" s="244"/>
      <c r="I721" s="244"/>
      <c r="J721" s="244"/>
      <c r="K721" s="244"/>
      <c r="L721" s="244"/>
      <c r="M721" s="244"/>
      <c r="N721" s="244"/>
      <c r="O721" s="244"/>
      <c r="P721" s="244"/>
      <c r="Q721" s="245"/>
      <c r="R721" s="244"/>
      <c r="S721" s="244"/>
      <c r="T721" s="244"/>
      <c r="U721" s="244"/>
      <c r="V721" s="244"/>
      <c r="W721" s="245"/>
      <c r="X721" s="253"/>
      <c r="Y721" s="253"/>
      <c r="Z721" s="244"/>
      <c r="AA721" s="244"/>
      <c r="AB721" s="43"/>
      <c r="AC721" s="43"/>
      <c r="AD721" s="43"/>
      <c r="AE721" s="43"/>
      <c r="AF721" s="43"/>
      <c r="AG721" s="43"/>
      <c r="AH721" s="43"/>
    </row>
    <row r="722" spans="1:34">
      <c r="A722" s="43"/>
      <c r="B722" s="43"/>
      <c r="C722" s="43"/>
      <c r="D722" s="43"/>
      <c r="E722" s="43"/>
      <c r="F722" s="43"/>
      <c r="G722" s="43"/>
      <c r="H722" s="244"/>
      <c r="I722" s="244"/>
      <c r="J722" s="244"/>
      <c r="K722" s="244"/>
      <c r="L722" s="244"/>
      <c r="M722" s="244"/>
      <c r="N722" s="244"/>
      <c r="O722" s="244"/>
      <c r="P722" s="244"/>
      <c r="Q722" s="245"/>
      <c r="R722" s="244"/>
      <c r="S722" s="244"/>
      <c r="T722" s="244"/>
      <c r="U722" s="244"/>
      <c r="V722" s="244"/>
      <c r="W722" s="245"/>
      <c r="X722" s="253"/>
      <c r="Y722" s="253"/>
      <c r="Z722" s="244"/>
      <c r="AA722" s="244"/>
      <c r="AB722" s="43"/>
      <c r="AC722" s="43"/>
      <c r="AD722" s="43"/>
      <c r="AE722" s="43"/>
      <c r="AF722" s="43"/>
      <c r="AG722" s="43"/>
      <c r="AH722" s="43"/>
    </row>
    <row r="723" spans="1:34">
      <c r="A723" s="43"/>
      <c r="B723" s="43"/>
      <c r="C723" s="43"/>
      <c r="D723" s="43"/>
      <c r="E723" s="43"/>
      <c r="F723" s="43"/>
      <c r="G723" s="43"/>
      <c r="H723" s="244"/>
      <c r="I723" s="244"/>
      <c r="J723" s="244"/>
      <c r="K723" s="244"/>
      <c r="L723" s="244"/>
      <c r="M723" s="244"/>
      <c r="N723" s="244"/>
      <c r="O723" s="244"/>
      <c r="P723" s="244"/>
      <c r="Q723" s="245"/>
      <c r="R723" s="244"/>
      <c r="S723" s="244"/>
      <c r="T723" s="244"/>
      <c r="U723" s="244"/>
      <c r="V723" s="244"/>
      <c r="W723" s="245"/>
      <c r="X723" s="253"/>
      <c r="Y723" s="253"/>
      <c r="Z723" s="244"/>
      <c r="AA723" s="244"/>
      <c r="AB723" s="43"/>
      <c r="AC723" s="43"/>
      <c r="AD723" s="43"/>
      <c r="AE723" s="43"/>
      <c r="AF723" s="43"/>
      <c r="AG723" s="43"/>
      <c r="AH723" s="43"/>
    </row>
    <row r="724" spans="1:34">
      <c r="A724" s="43"/>
      <c r="B724" s="43"/>
      <c r="C724" s="43"/>
      <c r="D724" s="43"/>
      <c r="E724" s="43"/>
      <c r="F724" s="43"/>
      <c r="G724" s="43"/>
      <c r="H724" s="244"/>
      <c r="I724" s="244"/>
      <c r="J724" s="244"/>
      <c r="K724" s="244"/>
      <c r="L724" s="244"/>
      <c r="M724" s="244"/>
      <c r="N724" s="244"/>
      <c r="O724" s="244"/>
      <c r="P724" s="244"/>
      <c r="Q724" s="245"/>
      <c r="R724" s="244"/>
      <c r="S724" s="244"/>
      <c r="T724" s="244"/>
      <c r="U724" s="244"/>
      <c r="V724" s="244"/>
      <c r="W724" s="245"/>
      <c r="X724" s="253"/>
      <c r="Y724" s="253"/>
      <c r="Z724" s="244"/>
      <c r="AA724" s="244"/>
      <c r="AB724" s="43"/>
      <c r="AC724" s="43"/>
      <c r="AD724" s="43"/>
      <c r="AE724" s="43"/>
      <c r="AF724" s="43"/>
      <c r="AG724" s="43"/>
      <c r="AH724" s="43"/>
    </row>
    <row r="725" spans="1:34">
      <c r="A725" s="43"/>
      <c r="B725" s="43"/>
      <c r="C725" s="43"/>
      <c r="D725" s="43"/>
      <c r="E725" s="43"/>
      <c r="F725" s="43"/>
      <c r="G725" s="43"/>
      <c r="H725" s="244"/>
      <c r="I725" s="244"/>
      <c r="J725" s="244"/>
      <c r="K725" s="244"/>
      <c r="L725" s="244"/>
      <c r="M725" s="244"/>
      <c r="N725" s="244"/>
      <c r="O725" s="244"/>
      <c r="P725" s="244"/>
      <c r="Q725" s="245"/>
      <c r="R725" s="244"/>
      <c r="S725" s="244"/>
      <c r="T725" s="244"/>
      <c r="U725" s="244"/>
      <c r="V725" s="244"/>
      <c r="W725" s="245"/>
      <c r="X725" s="253"/>
      <c r="Y725" s="253"/>
      <c r="Z725" s="244"/>
      <c r="AA725" s="244"/>
      <c r="AB725" s="43"/>
      <c r="AC725" s="43"/>
      <c r="AD725" s="43"/>
      <c r="AE725" s="43"/>
      <c r="AF725" s="43"/>
      <c r="AG725" s="43"/>
      <c r="AH725" s="43"/>
    </row>
    <row r="726" spans="1:34">
      <c r="A726" s="43"/>
      <c r="B726" s="43"/>
      <c r="C726" s="43"/>
      <c r="D726" s="43"/>
      <c r="E726" s="43"/>
      <c r="F726" s="43"/>
      <c r="G726" s="43"/>
      <c r="H726" s="244"/>
      <c r="I726" s="244"/>
      <c r="J726" s="244"/>
      <c r="K726" s="244"/>
      <c r="L726" s="244"/>
      <c r="M726" s="244"/>
      <c r="N726" s="244"/>
      <c r="O726" s="244"/>
      <c r="P726" s="244"/>
      <c r="Q726" s="245"/>
      <c r="R726" s="244"/>
      <c r="S726" s="244"/>
      <c r="T726" s="244"/>
      <c r="U726" s="244"/>
      <c r="V726" s="244"/>
      <c r="W726" s="245"/>
      <c r="X726" s="253"/>
      <c r="Y726" s="253"/>
      <c r="Z726" s="244"/>
      <c r="AA726" s="244"/>
      <c r="AB726" s="43"/>
      <c r="AC726" s="43"/>
      <c r="AD726" s="43"/>
      <c r="AE726" s="43"/>
      <c r="AF726" s="43"/>
      <c r="AG726" s="43"/>
      <c r="AH726" s="43"/>
    </row>
    <row r="727" spans="1:34">
      <c r="A727" s="43"/>
      <c r="B727" s="43"/>
      <c r="C727" s="43"/>
      <c r="D727" s="43"/>
      <c r="E727" s="43"/>
      <c r="F727" s="43"/>
      <c r="G727" s="43"/>
      <c r="H727" s="244"/>
      <c r="I727" s="244"/>
      <c r="J727" s="244"/>
      <c r="K727" s="244"/>
      <c r="L727" s="244"/>
      <c r="M727" s="244"/>
      <c r="N727" s="244"/>
      <c r="O727" s="244"/>
      <c r="P727" s="244"/>
      <c r="Q727" s="245"/>
      <c r="R727" s="244"/>
      <c r="S727" s="244"/>
      <c r="T727" s="244"/>
      <c r="U727" s="244"/>
      <c r="V727" s="244"/>
      <c r="W727" s="245"/>
      <c r="X727" s="253"/>
      <c r="Y727" s="253"/>
      <c r="Z727" s="244"/>
      <c r="AA727" s="244"/>
      <c r="AB727" s="43"/>
      <c r="AC727" s="43"/>
      <c r="AD727" s="43"/>
      <c r="AE727" s="43"/>
      <c r="AF727" s="43"/>
      <c r="AG727" s="43"/>
      <c r="AH727" s="43"/>
    </row>
    <row r="728" spans="1:34">
      <c r="A728" s="43"/>
      <c r="B728" s="43"/>
      <c r="C728" s="43"/>
      <c r="D728" s="43"/>
      <c r="E728" s="43"/>
      <c r="F728" s="43"/>
      <c r="G728" s="43"/>
      <c r="H728" s="244"/>
      <c r="I728" s="244"/>
      <c r="J728" s="244"/>
      <c r="K728" s="244"/>
      <c r="L728" s="244"/>
      <c r="M728" s="244"/>
      <c r="N728" s="244"/>
      <c r="O728" s="244"/>
      <c r="P728" s="244"/>
      <c r="Q728" s="245"/>
      <c r="R728" s="244"/>
      <c r="S728" s="244"/>
      <c r="T728" s="244"/>
      <c r="U728" s="244"/>
      <c r="V728" s="244"/>
      <c r="W728" s="245"/>
      <c r="X728" s="253"/>
      <c r="Y728" s="253"/>
      <c r="Z728" s="244"/>
      <c r="AA728" s="244"/>
      <c r="AB728" s="43"/>
      <c r="AC728" s="43"/>
      <c r="AD728" s="43"/>
      <c r="AE728" s="43"/>
      <c r="AF728" s="43"/>
      <c r="AG728" s="43"/>
      <c r="AH728" s="43"/>
    </row>
    <row r="729" spans="1:34">
      <c r="A729" s="43"/>
      <c r="B729" s="43"/>
      <c r="C729" s="43"/>
      <c r="D729" s="43"/>
      <c r="E729" s="43"/>
      <c r="F729" s="43"/>
      <c r="G729" s="43"/>
      <c r="H729" s="244"/>
      <c r="I729" s="244"/>
      <c r="J729" s="244"/>
      <c r="K729" s="244"/>
      <c r="L729" s="244"/>
      <c r="M729" s="244"/>
      <c r="N729" s="244"/>
      <c r="O729" s="244"/>
      <c r="P729" s="244"/>
      <c r="Q729" s="245"/>
      <c r="R729" s="244"/>
      <c r="S729" s="244"/>
      <c r="T729" s="244"/>
      <c r="U729" s="244"/>
      <c r="V729" s="244"/>
      <c r="W729" s="245"/>
      <c r="X729" s="253"/>
      <c r="Y729" s="253"/>
      <c r="Z729" s="244"/>
      <c r="AA729" s="244"/>
      <c r="AB729" s="43"/>
      <c r="AC729" s="43"/>
      <c r="AD729" s="43"/>
      <c r="AE729" s="43"/>
      <c r="AF729" s="43"/>
      <c r="AG729" s="43"/>
      <c r="AH729" s="43"/>
    </row>
    <row r="730" spans="1:34">
      <c r="A730" s="43"/>
      <c r="B730" s="43"/>
      <c r="C730" s="43"/>
      <c r="D730" s="43"/>
      <c r="E730" s="43"/>
      <c r="F730" s="43"/>
      <c r="G730" s="43"/>
      <c r="H730" s="244"/>
      <c r="I730" s="244"/>
      <c r="J730" s="244"/>
      <c r="K730" s="244"/>
      <c r="L730" s="244"/>
      <c r="M730" s="244"/>
      <c r="N730" s="244"/>
      <c r="O730" s="244"/>
      <c r="P730" s="244"/>
      <c r="Q730" s="245"/>
      <c r="R730" s="244"/>
      <c r="S730" s="244"/>
      <c r="T730" s="244"/>
      <c r="U730" s="244"/>
      <c r="V730" s="244"/>
      <c r="W730" s="245"/>
      <c r="X730" s="253"/>
      <c r="Y730" s="253"/>
      <c r="Z730" s="244"/>
      <c r="AA730" s="244"/>
      <c r="AB730" s="43"/>
      <c r="AC730" s="43"/>
      <c r="AD730" s="43"/>
      <c r="AE730" s="43"/>
      <c r="AF730" s="43"/>
      <c r="AG730" s="43"/>
      <c r="AH730" s="43"/>
    </row>
    <row r="731" spans="1:34">
      <c r="A731" s="43"/>
      <c r="B731" s="43"/>
      <c r="C731" s="43"/>
      <c r="D731" s="43"/>
      <c r="E731" s="43"/>
      <c r="F731" s="43"/>
      <c r="G731" s="43"/>
      <c r="H731" s="244"/>
      <c r="I731" s="244"/>
      <c r="J731" s="244"/>
      <c r="K731" s="244"/>
      <c r="L731" s="244"/>
      <c r="M731" s="244"/>
      <c r="N731" s="244"/>
      <c r="O731" s="244"/>
      <c r="P731" s="244"/>
      <c r="Q731" s="245"/>
      <c r="R731" s="244"/>
      <c r="S731" s="244"/>
      <c r="T731" s="244"/>
      <c r="U731" s="244"/>
      <c r="V731" s="244"/>
      <c r="W731" s="245"/>
      <c r="X731" s="253"/>
      <c r="Y731" s="253"/>
      <c r="Z731" s="244"/>
      <c r="AA731" s="244"/>
      <c r="AB731" s="43"/>
      <c r="AC731" s="43"/>
      <c r="AD731" s="43"/>
      <c r="AE731" s="43"/>
      <c r="AF731" s="43"/>
      <c r="AG731" s="43"/>
      <c r="AH731" s="43"/>
    </row>
    <row r="732" spans="1:34">
      <c r="A732" s="43"/>
      <c r="B732" s="43"/>
      <c r="C732" s="43"/>
      <c r="D732" s="43"/>
      <c r="E732" s="43"/>
      <c r="F732" s="43"/>
      <c r="G732" s="43"/>
      <c r="H732" s="244"/>
      <c r="I732" s="244"/>
      <c r="J732" s="244"/>
      <c r="K732" s="244"/>
      <c r="L732" s="244"/>
      <c r="M732" s="244"/>
      <c r="N732" s="244"/>
      <c r="O732" s="244"/>
      <c r="P732" s="244"/>
      <c r="Q732" s="245"/>
      <c r="R732" s="244"/>
      <c r="S732" s="244"/>
      <c r="T732" s="244"/>
      <c r="U732" s="244"/>
      <c r="V732" s="244"/>
      <c r="W732" s="245"/>
      <c r="X732" s="253"/>
      <c r="Y732" s="253"/>
      <c r="Z732" s="244"/>
      <c r="AA732" s="244"/>
      <c r="AB732" s="43"/>
      <c r="AC732" s="43"/>
      <c r="AD732" s="43"/>
      <c r="AE732" s="43"/>
      <c r="AF732" s="43"/>
      <c r="AG732" s="43"/>
      <c r="AH732" s="43"/>
    </row>
    <row r="733" spans="1:34">
      <c r="A733" s="43"/>
      <c r="B733" s="43"/>
      <c r="C733" s="43"/>
      <c r="D733" s="43"/>
      <c r="E733" s="43"/>
      <c r="F733" s="43"/>
      <c r="G733" s="43"/>
      <c r="H733" s="244"/>
      <c r="I733" s="244"/>
      <c r="J733" s="244"/>
      <c r="K733" s="244"/>
      <c r="L733" s="244"/>
      <c r="M733" s="244"/>
      <c r="N733" s="244"/>
      <c r="O733" s="244"/>
      <c r="P733" s="244"/>
      <c r="Q733" s="245"/>
      <c r="R733" s="244"/>
      <c r="S733" s="244"/>
      <c r="T733" s="244"/>
      <c r="U733" s="244"/>
      <c r="V733" s="244"/>
      <c r="W733" s="245"/>
      <c r="X733" s="253"/>
      <c r="Y733" s="253"/>
      <c r="Z733" s="244"/>
      <c r="AA733" s="244"/>
      <c r="AB733" s="43"/>
      <c r="AC733" s="43"/>
      <c r="AD733" s="43"/>
      <c r="AE733" s="43"/>
      <c r="AF733" s="43"/>
      <c r="AG733" s="43"/>
      <c r="AH733" s="43"/>
    </row>
    <row r="734" spans="1:34">
      <c r="A734" s="43"/>
      <c r="B734" s="43"/>
      <c r="C734" s="43"/>
      <c r="D734" s="43"/>
      <c r="E734" s="43"/>
      <c r="F734" s="43"/>
      <c r="G734" s="43"/>
      <c r="H734" s="244"/>
      <c r="I734" s="244"/>
      <c r="J734" s="244"/>
      <c r="K734" s="244"/>
      <c r="L734" s="244"/>
      <c r="M734" s="244"/>
      <c r="N734" s="244"/>
      <c r="O734" s="244"/>
      <c r="P734" s="244"/>
      <c r="Q734" s="245"/>
      <c r="R734" s="244"/>
      <c r="S734" s="244"/>
      <c r="T734" s="244"/>
      <c r="U734" s="244"/>
      <c r="V734" s="244"/>
      <c r="W734" s="245"/>
      <c r="X734" s="253"/>
      <c r="Y734" s="253"/>
      <c r="Z734" s="244"/>
      <c r="AA734" s="244"/>
      <c r="AB734" s="43"/>
      <c r="AC734" s="43"/>
      <c r="AD734" s="43"/>
      <c r="AE734" s="43"/>
      <c r="AF734" s="43"/>
      <c r="AG734" s="43"/>
      <c r="AH734" s="43"/>
    </row>
    <row r="735" spans="1:34">
      <c r="A735" s="43"/>
      <c r="B735" s="43"/>
      <c r="C735" s="43"/>
      <c r="D735" s="43"/>
      <c r="E735" s="43"/>
      <c r="F735" s="43"/>
      <c r="G735" s="43"/>
      <c r="H735" s="244"/>
      <c r="I735" s="244"/>
      <c r="J735" s="244"/>
      <c r="K735" s="244"/>
      <c r="L735" s="244"/>
      <c r="M735" s="244"/>
      <c r="N735" s="244"/>
      <c r="O735" s="244"/>
      <c r="P735" s="244"/>
      <c r="Q735" s="245"/>
      <c r="R735" s="244"/>
      <c r="S735" s="244"/>
      <c r="T735" s="244"/>
      <c r="U735" s="244"/>
      <c r="V735" s="244"/>
      <c r="W735" s="245"/>
      <c r="X735" s="253"/>
      <c r="Y735" s="253"/>
      <c r="Z735" s="244"/>
      <c r="AA735" s="244"/>
      <c r="AB735" s="43"/>
      <c r="AC735" s="43"/>
      <c r="AD735" s="43"/>
      <c r="AE735" s="43"/>
      <c r="AF735" s="43"/>
      <c r="AG735" s="43"/>
      <c r="AH735" s="43"/>
    </row>
    <row r="736" spans="1:34">
      <c r="A736" s="43"/>
      <c r="B736" s="43"/>
      <c r="C736" s="43"/>
      <c r="D736" s="43"/>
      <c r="E736" s="43"/>
      <c r="F736" s="43"/>
      <c r="G736" s="43"/>
      <c r="H736" s="244"/>
      <c r="I736" s="244"/>
      <c r="J736" s="244"/>
      <c r="K736" s="244"/>
      <c r="L736" s="244"/>
      <c r="M736" s="244"/>
      <c r="N736" s="244"/>
      <c r="O736" s="244"/>
      <c r="P736" s="244"/>
      <c r="Q736" s="245"/>
      <c r="R736" s="244"/>
      <c r="S736" s="244"/>
      <c r="T736" s="244"/>
      <c r="U736" s="244"/>
      <c r="V736" s="244"/>
      <c r="W736" s="245"/>
      <c r="X736" s="253"/>
      <c r="Y736" s="253"/>
      <c r="Z736" s="244"/>
      <c r="AA736" s="244"/>
      <c r="AB736" s="43"/>
      <c r="AC736" s="43"/>
      <c r="AD736" s="43"/>
      <c r="AE736" s="43"/>
      <c r="AF736" s="43"/>
      <c r="AG736" s="43"/>
      <c r="AH736" s="43"/>
    </row>
    <row r="737" spans="1:34">
      <c r="A737" s="43"/>
      <c r="B737" s="43"/>
      <c r="C737" s="43"/>
      <c r="D737" s="43"/>
      <c r="E737" s="43"/>
      <c r="F737" s="43"/>
      <c r="G737" s="43"/>
      <c r="H737" s="244"/>
      <c r="I737" s="244"/>
      <c r="J737" s="244"/>
      <c r="K737" s="244"/>
      <c r="L737" s="244"/>
      <c r="M737" s="244"/>
      <c r="N737" s="244"/>
      <c r="O737" s="244"/>
      <c r="P737" s="244"/>
      <c r="Q737" s="245"/>
      <c r="R737" s="244"/>
      <c r="S737" s="244"/>
      <c r="T737" s="244"/>
      <c r="U737" s="244"/>
      <c r="V737" s="244"/>
      <c r="W737" s="245"/>
      <c r="X737" s="253"/>
      <c r="Y737" s="253"/>
      <c r="Z737" s="244"/>
      <c r="AA737" s="244"/>
      <c r="AB737" s="43"/>
      <c r="AC737" s="43"/>
      <c r="AD737" s="43"/>
      <c r="AE737" s="43"/>
      <c r="AF737" s="43"/>
      <c r="AG737" s="43"/>
      <c r="AH737" s="43"/>
    </row>
    <row r="738" spans="1:34">
      <c r="A738" s="43"/>
      <c r="B738" s="43"/>
      <c r="C738" s="43"/>
      <c r="D738" s="43"/>
      <c r="E738" s="43"/>
      <c r="F738" s="43"/>
      <c r="G738" s="43"/>
      <c r="H738" s="244"/>
      <c r="I738" s="244"/>
      <c r="J738" s="244"/>
      <c r="K738" s="244"/>
      <c r="L738" s="244"/>
      <c r="M738" s="244"/>
      <c r="N738" s="244"/>
      <c r="O738" s="244"/>
      <c r="P738" s="244"/>
      <c r="Q738" s="245"/>
      <c r="R738" s="244"/>
      <c r="S738" s="244"/>
      <c r="T738" s="244"/>
      <c r="U738" s="244"/>
      <c r="V738" s="244"/>
      <c r="W738" s="245"/>
      <c r="X738" s="253"/>
      <c r="Y738" s="253"/>
      <c r="Z738" s="244"/>
      <c r="AA738" s="244"/>
      <c r="AB738" s="43"/>
      <c r="AC738" s="43"/>
      <c r="AD738" s="43"/>
      <c r="AE738" s="43"/>
      <c r="AF738" s="43"/>
      <c r="AG738" s="43"/>
      <c r="AH738" s="43"/>
    </row>
    <row r="739" spans="1:34">
      <c r="A739" s="43"/>
      <c r="B739" s="43"/>
      <c r="C739" s="43"/>
      <c r="D739" s="43"/>
      <c r="E739" s="43"/>
      <c r="F739" s="43"/>
      <c r="G739" s="43"/>
      <c r="H739" s="244"/>
      <c r="I739" s="244"/>
      <c r="J739" s="244"/>
      <c r="K739" s="244"/>
      <c r="L739" s="244"/>
      <c r="M739" s="244"/>
      <c r="N739" s="244"/>
      <c r="O739" s="244"/>
      <c r="P739" s="244"/>
      <c r="Q739" s="245"/>
      <c r="R739" s="244"/>
      <c r="S739" s="244"/>
      <c r="T739" s="244"/>
      <c r="U739" s="244"/>
      <c r="V739" s="244"/>
      <c r="W739" s="245"/>
      <c r="X739" s="253"/>
      <c r="Y739" s="253"/>
      <c r="Z739" s="244"/>
      <c r="AA739" s="244"/>
      <c r="AB739" s="43"/>
      <c r="AC739" s="43"/>
      <c r="AD739" s="43"/>
      <c r="AE739" s="43"/>
      <c r="AF739" s="43"/>
      <c r="AG739" s="43"/>
      <c r="AH739" s="43"/>
    </row>
    <row r="740" spans="1:34">
      <c r="A740" s="43"/>
      <c r="B740" s="43"/>
      <c r="C740" s="43"/>
      <c r="D740" s="43"/>
      <c r="E740" s="43"/>
      <c r="F740" s="43"/>
      <c r="G740" s="43"/>
      <c r="H740" s="244"/>
      <c r="I740" s="244"/>
      <c r="J740" s="244"/>
      <c r="K740" s="244"/>
      <c r="L740" s="244"/>
      <c r="M740" s="244"/>
      <c r="N740" s="244"/>
      <c r="O740" s="244"/>
      <c r="P740" s="244"/>
      <c r="Q740" s="245"/>
      <c r="R740" s="244"/>
      <c r="S740" s="244"/>
      <c r="T740" s="244"/>
      <c r="U740" s="244"/>
      <c r="V740" s="244"/>
      <c r="W740" s="245"/>
      <c r="X740" s="253"/>
      <c r="Y740" s="253"/>
      <c r="Z740" s="244"/>
      <c r="AA740" s="244"/>
      <c r="AB740" s="43"/>
      <c r="AC740" s="43"/>
      <c r="AD740" s="43"/>
      <c r="AE740" s="43"/>
      <c r="AF740" s="43"/>
      <c r="AG740" s="43"/>
      <c r="AH740" s="43"/>
    </row>
    <row r="741" spans="1:34">
      <c r="A741" s="43"/>
      <c r="B741" s="43"/>
      <c r="C741" s="43"/>
      <c r="D741" s="43"/>
      <c r="E741" s="43"/>
      <c r="F741" s="43"/>
      <c r="G741" s="43"/>
      <c r="H741" s="244"/>
      <c r="I741" s="244"/>
      <c r="J741" s="244"/>
      <c r="K741" s="244"/>
      <c r="L741" s="244"/>
      <c r="M741" s="244"/>
      <c r="N741" s="244"/>
      <c r="O741" s="244"/>
      <c r="P741" s="244"/>
      <c r="Q741" s="245"/>
      <c r="R741" s="244"/>
      <c r="S741" s="244"/>
      <c r="T741" s="244"/>
      <c r="U741" s="244"/>
      <c r="V741" s="244"/>
      <c r="W741" s="245"/>
      <c r="X741" s="253"/>
      <c r="Y741" s="253"/>
      <c r="Z741" s="244"/>
      <c r="AA741" s="244"/>
      <c r="AB741" s="43"/>
      <c r="AC741" s="43"/>
      <c r="AD741" s="43"/>
      <c r="AE741" s="43"/>
      <c r="AF741" s="43"/>
      <c r="AG741" s="43"/>
      <c r="AH741" s="43"/>
    </row>
    <row r="742" spans="1:34">
      <c r="A742" s="43"/>
      <c r="B742" s="43"/>
      <c r="C742" s="43"/>
      <c r="D742" s="43"/>
      <c r="E742" s="43"/>
      <c r="F742" s="43"/>
      <c r="G742" s="43"/>
      <c r="H742" s="244"/>
      <c r="I742" s="244"/>
      <c r="J742" s="244"/>
      <c r="K742" s="244"/>
      <c r="L742" s="244"/>
      <c r="M742" s="244"/>
      <c r="N742" s="244"/>
      <c r="O742" s="244"/>
      <c r="P742" s="244"/>
      <c r="Q742" s="245"/>
      <c r="R742" s="244"/>
      <c r="S742" s="244"/>
      <c r="T742" s="244"/>
      <c r="U742" s="244"/>
      <c r="V742" s="244"/>
      <c r="W742" s="245"/>
      <c r="X742" s="253"/>
      <c r="Y742" s="253"/>
      <c r="Z742" s="244"/>
      <c r="AA742" s="244"/>
      <c r="AB742" s="43"/>
      <c r="AC742" s="43"/>
      <c r="AD742" s="43"/>
      <c r="AE742" s="43"/>
      <c r="AF742" s="43"/>
      <c r="AG742" s="43"/>
      <c r="AH742" s="43"/>
    </row>
    <row r="743" spans="1:34">
      <c r="A743" s="43"/>
      <c r="B743" s="43"/>
      <c r="C743" s="43"/>
      <c r="D743" s="43"/>
      <c r="E743" s="43"/>
      <c r="F743" s="43"/>
      <c r="G743" s="43"/>
      <c r="H743" s="244"/>
      <c r="I743" s="244"/>
      <c r="J743" s="244"/>
      <c r="K743" s="244"/>
      <c r="L743" s="244"/>
      <c r="M743" s="244"/>
      <c r="N743" s="244"/>
      <c r="O743" s="244"/>
      <c r="P743" s="244"/>
      <c r="Q743" s="245"/>
      <c r="R743" s="244"/>
      <c r="S743" s="244"/>
      <c r="T743" s="244"/>
      <c r="U743" s="244"/>
      <c r="V743" s="244"/>
      <c r="W743" s="245"/>
      <c r="X743" s="253"/>
      <c r="Y743" s="253"/>
      <c r="Z743" s="244"/>
      <c r="AA743" s="244"/>
      <c r="AB743" s="43"/>
      <c r="AC743" s="43"/>
      <c r="AD743" s="43"/>
      <c r="AE743" s="43"/>
      <c r="AF743" s="43"/>
      <c r="AG743" s="43"/>
      <c r="AH743" s="43"/>
    </row>
    <row r="744" spans="1:34">
      <c r="A744" s="43"/>
      <c r="B744" s="43"/>
      <c r="C744" s="43"/>
      <c r="D744" s="43"/>
      <c r="E744" s="43"/>
      <c r="F744" s="43"/>
      <c r="G744" s="43"/>
      <c r="H744" s="244"/>
      <c r="I744" s="244"/>
      <c r="J744" s="244"/>
      <c r="K744" s="244"/>
      <c r="L744" s="244"/>
      <c r="M744" s="244"/>
      <c r="N744" s="244"/>
      <c r="O744" s="244"/>
      <c r="P744" s="244"/>
      <c r="Q744" s="245"/>
      <c r="R744" s="244"/>
      <c r="S744" s="244"/>
      <c r="T744" s="244"/>
      <c r="U744" s="244"/>
      <c r="V744" s="244"/>
      <c r="W744" s="245"/>
      <c r="X744" s="253"/>
      <c r="Y744" s="253"/>
      <c r="Z744" s="244"/>
      <c r="AA744" s="244"/>
      <c r="AB744" s="43"/>
      <c r="AC744" s="43"/>
      <c r="AD744" s="43"/>
      <c r="AE744" s="43"/>
      <c r="AF744" s="43"/>
      <c r="AG744" s="43"/>
      <c r="AH744" s="43"/>
    </row>
    <row r="745" spans="1:34">
      <c r="A745" s="43"/>
      <c r="B745" s="43"/>
      <c r="C745" s="43"/>
      <c r="D745" s="43"/>
      <c r="E745" s="43"/>
      <c r="F745" s="43"/>
      <c r="G745" s="43"/>
      <c r="H745" s="244"/>
      <c r="I745" s="244"/>
      <c r="J745" s="244"/>
      <c r="K745" s="244"/>
      <c r="L745" s="244"/>
      <c r="M745" s="244"/>
      <c r="N745" s="244"/>
      <c r="O745" s="244"/>
      <c r="P745" s="244"/>
      <c r="Q745" s="245"/>
      <c r="R745" s="244"/>
      <c r="S745" s="244"/>
      <c r="T745" s="244"/>
      <c r="U745" s="244"/>
      <c r="V745" s="244"/>
      <c r="W745" s="245"/>
      <c r="X745" s="253"/>
      <c r="Y745" s="253"/>
      <c r="Z745" s="244"/>
      <c r="AA745" s="244"/>
      <c r="AB745" s="43"/>
      <c r="AC745" s="43"/>
      <c r="AD745" s="43"/>
      <c r="AE745" s="43"/>
      <c r="AF745" s="43"/>
      <c r="AG745" s="43"/>
      <c r="AH745" s="43"/>
    </row>
    <row r="746" spans="1:34">
      <c r="A746" s="43"/>
      <c r="B746" s="43"/>
      <c r="C746" s="43"/>
      <c r="D746" s="43"/>
      <c r="E746" s="43"/>
      <c r="F746" s="43"/>
      <c r="G746" s="43"/>
      <c r="H746" s="244"/>
      <c r="I746" s="244"/>
      <c r="J746" s="244"/>
      <c r="K746" s="244"/>
      <c r="L746" s="244"/>
      <c r="M746" s="244"/>
      <c r="N746" s="244"/>
      <c r="O746" s="244"/>
      <c r="P746" s="244"/>
      <c r="Q746" s="245"/>
      <c r="R746" s="244"/>
      <c r="S746" s="244"/>
      <c r="T746" s="244"/>
      <c r="U746" s="244"/>
      <c r="V746" s="244"/>
      <c r="W746" s="245"/>
      <c r="X746" s="253"/>
      <c r="Y746" s="253"/>
      <c r="Z746" s="244"/>
      <c r="AA746" s="244"/>
      <c r="AB746" s="43"/>
      <c r="AC746" s="43"/>
      <c r="AD746" s="43"/>
      <c r="AE746" s="43"/>
      <c r="AF746" s="43"/>
      <c r="AG746" s="43"/>
      <c r="AH746" s="43"/>
    </row>
    <row r="747" spans="1:34">
      <c r="A747" s="43"/>
      <c r="B747" s="43"/>
      <c r="C747" s="43"/>
      <c r="D747" s="43"/>
      <c r="E747" s="43"/>
      <c r="F747" s="43"/>
      <c r="G747" s="43"/>
      <c r="H747" s="244"/>
      <c r="I747" s="244"/>
      <c r="J747" s="244"/>
      <c r="K747" s="244"/>
      <c r="L747" s="244"/>
      <c r="M747" s="244"/>
      <c r="N747" s="244"/>
      <c r="O747" s="244"/>
      <c r="P747" s="244"/>
      <c r="Q747" s="245"/>
      <c r="R747" s="244"/>
      <c r="S747" s="244"/>
      <c r="T747" s="244"/>
      <c r="U747" s="244"/>
      <c r="V747" s="244"/>
      <c r="W747" s="245"/>
      <c r="X747" s="253"/>
      <c r="Y747" s="253"/>
      <c r="Z747" s="244"/>
      <c r="AA747" s="244"/>
      <c r="AB747" s="43"/>
      <c r="AC747" s="43"/>
      <c r="AD747" s="43"/>
      <c r="AE747" s="43"/>
      <c r="AF747" s="43"/>
      <c r="AG747" s="43"/>
      <c r="AH747" s="43"/>
    </row>
    <row r="748" spans="1:34">
      <c r="A748" s="43"/>
      <c r="B748" s="43"/>
      <c r="C748" s="43"/>
      <c r="D748" s="43"/>
      <c r="E748" s="43"/>
      <c r="F748" s="43"/>
      <c r="G748" s="43"/>
      <c r="H748" s="244"/>
      <c r="I748" s="244"/>
      <c r="J748" s="244"/>
      <c r="K748" s="244"/>
      <c r="L748" s="244"/>
      <c r="M748" s="244"/>
      <c r="N748" s="244"/>
      <c r="O748" s="244"/>
      <c r="P748" s="244"/>
      <c r="Q748" s="245"/>
      <c r="R748" s="244"/>
      <c r="S748" s="244"/>
      <c r="T748" s="244"/>
      <c r="U748" s="244"/>
      <c r="V748" s="244"/>
      <c r="W748" s="245"/>
      <c r="X748" s="253"/>
      <c r="Y748" s="253"/>
      <c r="Z748" s="244"/>
      <c r="AA748" s="244"/>
      <c r="AB748" s="43"/>
      <c r="AC748" s="43"/>
      <c r="AD748" s="43"/>
      <c r="AE748" s="43"/>
      <c r="AF748" s="43"/>
      <c r="AG748" s="43"/>
      <c r="AH748" s="43"/>
    </row>
    <row r="749" spans="1:34">
      <c r="A749" s="43"/>
      <c r="B749" s="43"/>
      <c r="C749" s="43"/>
      <c r="D749" s="43"/>
      <c r="E749" s="43"/>
      <c r="F749" s="43"/>
      <c r="G749" s="43"/>
      <c r="H749" s="244"/>
      <c r="I749" s="244"/>
      <c r="J749" s="244"/>
      <c r="K749" s="244"/>
      <c r="L749" s="244"/>
      <c r="M749" s="244"/>
      <c r="N749" s="244"/>
      <c r="O749" s="244"/>
      <c r="P749" s="244"/>
      <c r="Q749" s="245"/>
      <c r="R749" s="244"/>
      <c r="S749" s="244"/>
      <c r="T749" s="244"/>
      <c r="U749" s="244"/>
      <c r="V749" s="244"/>
      <c r="W749" s="245"/>
      <c r="X749" s="253"/>
      <c r="Y749" s="253"/>
      <c r="Z749" s="244"/>
      <c r="AA749" s="244"/>
      <c r="AB749" s="43"/>
      <c r="AC749" s="43"/>
      <c r="AD749" s="43"/>
      <c r="AE749" s="43"/>
      <c r="AF749" s="43"/>
      <c r="AG749" s="43"/>
      <c r="AH749" s="43"/>
    </row>
    <row r="750" spans="1:34">
      <c r="A750" s="43"/>
      <c r="B750" s="43"/>
      <c r="C750" s="43"/>
      <c r="D750" s="43"/>
      <c r="E750" s="43"/>
      <c r="F750" s="43"/>
      <c r="G750" s="43"/>
      <c r="H750" s="244"/>
      <c r="I750" s="244"/>
      <c r="J750" s="244"/>
      <c r="K750" s="244"/>
      <c r="L750" s="244"/>
      <c r="M750" s="244"/>
      <c r="N750" s="244"/>
      <c r="O750" s="244"/>
      <c r="P750" s="244"/>
      <c r="Q750" s="245"/>
      <c r="R750" s="244"/>
      <c r="S750" s="244"/>
      <c r="T750" s="244"/>
      <c r="U750" s="244"/>
      <c r="V750" s="244"/>
      <c r="W750" s="245"/>
      <c r="X750" s="253"/>
      <c r="Y750" s="253"/>
      <c r="Z750" s="244"/>
      <c r="AA750" s="244"/>
      <c r="AB750" s="43"/>
      <c r="AC750" s="43"/>
      <c r="AD750" s="43"/>
      <c r="AE750" s="43"/>
      <c r="AF750" s="43"/>
      <c r="AG750" s="43"/>
      <c r="AH750" s="43"/>
    </row>
    <row r="751" spans="1:34">
      <c r="A751" s="43"/>
      <c r="B751" s="43"/>
      <c r="C751" s="43"/>
      <c r="D751" s="43"/>
      <c r="E751" s="43"/>
      <c r="F751" s="43"/>
      <c r="G751" s="43"/>
      <c r="H751" s="244"/>
      <c r="I751" s="244"/>
      <c r="J751" s="244"/>
      <c r="K751" s="244"/>
      <c r="L751" s="244"/>
      <c r="M751" s="244"/>
      <c r="N751" s="244"/>
      <c r="O751" s="244"/>
      <c r="P751" s="244"/>
      <c r="Q751" s="245"/>
      <c r="R751" s="244"/>
      <c r="S751" s="244"/>
      <c r="T751" s="244"/>
      <c r="U751" s="244"/>
      <c r="V751" s="244"/>
      <c r="W751" s="245"/>
      <c r="X751" s="253"/>
      <c r="Y751" s="253"/>
      <c r="Z751" s="244"/>
      <c r="AA751" s="244"/>
      <c r="AB751" s="43"/>
      <c r="AC751" s="43"/>
      <c r="AD751" s="43"/>
      <c r="AE751" s="43"/>
      <c r="AF751" s="43"/>
      <c r="AG751" s="43"/>
      <c r="AH751" s="43"/>
    </row>
    <row r="752" spans="1:34">
      <c r="A752" s="43"/>
      <c r="B752" s="43"/>
      <c r="C752" s="43"/>
      <c r="D752" s="43"/>
      <c r="E752" s="43"/>
      <c r="F752" s="43"/>
      <c r="G752" s="43"/>
      <c r="H752" s="244"/>
      <c r="I752" s="244"/>
      <c r="J752" s="244"/>
      <c r="K752" s="244"/>
      <c r="L752" s="244"/>
      <c r="M752" s="244"/>
      <c r="N752" s="244"/>
      <c r="O752" s="244"/>
      <c r="P752" s="244"/>
      <c r="Q752" s="245"/>
      <c r="R752" s="244"/>
      <c r="S752" s="244"/>
      <c r="T752" s="244"/>
      <c r="U752" s="244"/>
      <c r="V752" s="244"/>
      <c r="W752" s="245"/>
      <c r="X752" s="253"/>
      <c r="Y752" s="253"/>
      <c r="Z752" s="244"/>
      <c r="AA752" s="244"/>
      <c r="AB752" s="43"/>
      <c r="AC752" s="43"/>
      <c r="AD752" s="43"/>
      <c r="AE752" s="43"/>
      <c r="AF752" s="43"/>
      <c r="AG752" s="43"/>
      <c r="AH752" s="43"/>
    </row>
    <row r="753" spans="1:34">
      <c r="A753" s="43"/>
      <c r="B753" s="43"/>
      <c r="C753" s="43"/>
      <c r="D753" s="43"/>
      <c r="E753" s="43"/>
      <c r="F753" s="43"/>
      <c r="G753" s="43"/>
      <c r="H753" s="244"/>
      <c r="I753" s="244"/>
      <c r="J753" s="244"/>
      <c r="K753" s="244"/>
      <c r="L753" s="244"/>
      <c r="M753" s="244"/>
      <c r="N753" s="244"/>
      <c r="O753" s="244"/>
      <c r="P753" s="244"/>
      <c r="Q753" s="245"/>
      <c r="R753" s="244"/>
      <c r="S753" s="244"/>
      <c r="T753" s="244"/>
      <c r="U753" s="244"/>
      <c r="V753" s="244"/>
      <c r="W753" s="245"/>
      <c r="X753" s="253"/>
      <c r="Y753" s="253"/>
      <c r="Z753" s="244"/>
      <c r="AA753" s="244"/>
      <c r="AB753" s="43"/>
      <c r="AC753" s="43"/>
      <c r="AD753" s="43"/>
      <c r="AE753" s="43"/>
      <c r="AF753" s="43"/>
      <c r="AG753" s="43"/>
      <c r="AH753" s="43"/>
    </row>
    <row r="754" spans="1:34">
      <c r="A754" s="43"/>
      <c r="B754" s="43"/>
      <c r="C754" s="43"/>
      <c r="D754" s="43"/>
      <c r="E754" s="43"/>
      <c r="F754" s="43"/>
      <c r="G754" s="43"/>
      <c r="H754" s="244"/>
      <c r="I754" s="244"/>
      <c r="J754" s="244"/>
      <c r="K754" s="244"/>
      <c r="L754" s="244"/>
      <c r="M754" s="244"/>
      <c r="N754" s="244"/>
      <c r="O754" s="244"/>
      <c r="P754" s="244"/>
      <c r="Q754" s="245"/>
      <c r="R754" s="244"/>
      <c r="S754" s="244"/>
      <c r="T754" s="244"/>
      <c r="U754" s="244"/>
      <c r="V754" s="244"/>
      <c r="W754" s="245"/>
      <c r="X754" s="253"/>
      <c r="Y754" s="253"/>
      <c r="Z754" s="244"/>
      <c r="AA754" s="244"/>
      <c r="AB754" s="43"/>
      <c r="AC754" s="43"/>
      <c r="AD754" s="43"/>
      <c r="AE754" s="43"/>
      <c r="AF754" s="43"/>
      <c r="AG754" s="43"/>
      <c r="AH754" s="43"/>
    </row>
    <row r="755" spans="1:34">
      <c r="A755" s="43"/>
      <c r="B755" s="43"/>
      <c r="C755" s="43"/>
      <c r="D755" s="43"/>
      <c r="E755" s="43"/>
      <c r="F755" s="43"/>
      <c r="G755" s="43"/>
      <c r="H755" s="244"/>
      <c r="I755" s="244"/>
      <c r="J755" s="244"/>
      <c r="K755" s="244"/>
      <c r="L755" s="244"/>
      <c r="M755" s="244"/>
      <c r="N755" s="244"/>
      <c r="O755" s="244"/>
      <c r="P755" s="244"/>
      <c r="Q755" s="245"/>
      <c r="R755" s="244"/>
      <c r="S755" s="244"/>
      <c r="T755" s="244"/>
      <c r="U755" s="244"/>
      <c r="V755" s="244"/>
      <c r="W755" s="245"/>
      <c r="X755" s="253"/>
      <c r="Y755" s="253"/>
      <c r="Z755" s="244"/>
      <c r="AA755" s="244"/>
      <c r="AB755" s="43"/>
      <c r="AC755" s="43"/>
      <c r="AD755" s="43"/>
      <c r="AE755" s="43"/>
      <c r="AF755" s="43"/>
      <c r="AG755" s="43"/>
      <c r="AH755" s="43"/>
    </row>
    <row r="756" spans="1:34">
      <c r="A756" s="43"/>
      <c r="B756" s="43"/>
      <c r="C756" s="43"/>
      <c r="D756" s="43"/>
      <c r="E756" s="43"/>
      <c r="F756" s="43"/>
      <c r="G756" s="43"/>
      <c r="H756" s="244"/>
      <c r="I756" s="244"/>
      <c r="J756" s="244"/>
      <c r="K756" s="244"/>
      <c r="L756" s="244"/>
      <c r="M756" s="244"/>
      <c r="N756" s="244"/>
      <c r="O756" s="244"/>
      <c r="P756" s="244"/>
      <c r="Q756" s="245"/>
      <c r="R756" s="244"/>
      <c r="S756" s="244"/>
      <c r="T756" s="244"/>
      <c r="U756" s="244"/>
      <c r="V756" s="244"/>
      <c r="W756" s="245"/>
      <c r="X756" s="253"/>
      <c r="Y756" s="253"/>
      <c r="Z756" s="244"/>
      <c r="AA756" s="244"/>
      <c r="AB756" s="43"/>
      <c r="AC756" s="43"/>
      <c r="AD756" s="43"/>
      <c r="AE756" s="43"/>
      <c r="AF756" s="43"/>
      <c r="AG756" s="43"/>
      <c r="AH756" s="43"/>
    </row>
    <row r="757" spans="1:34">
      <c r="A757" s="43"/>
      <c r="B757" s="43"/>
      <c r="C757" s="43"/>
      <c r="D757" s="43"/>
      <c r="E757" s="43"/>
      <c r="F757" s="43"/>
      <c r="G757" s="43"/>
      <c r="H757" s="244"/>
      <c r="I757" s="244"/>
      <c r="J757" s="244"/>
      <c r="K757" s="244"/>
      <c r="L757" s="244"/>
      <c r="M757" s="244"/>
      <c r="N757" s="244"/>
      <c r="O757" s="244"/>
      <c r="P757" s="244"/>
      <c r="Q757" s="245"/>
      <c r="R757" s="244"/>
      <c r="S757" s="244"/>
      <c r="T757" s="244"/>
      <c r="U757" s="244"/>
      <c r="V757" s="244"/>
      <c r="W757" s="245"/>
      <c r="X757" s="253"/>
      <c r="Y757" s="253"/>
      <c r="Z757" s="244"/>
      <c r="AA757" s="244"/>
      <c r="AB757" s="43"/>
      <c r="AC757" s="43"/>
      <c r="AD757" s="43"/>
      <c r="AE757" s="43"/>
      <c r="AF757" s="43"/>
      <c r="AG757" s="43"/>
      <c r="AH757" s="43"/>
    </row>
    <row r="758" spans="1:34">
      <c r="A758" s="43"/>
      <c r="B758" s="43"/>
      <c r="C758" s="43"/>
      <c r="D758" s="43"/>
      <c r="E758" s="43"/>
      <c r="F758" s="43"/>
      <c r="G758" s="43"/>
      <c r="H758" s="244"/>
      <c r="I758" s="244"/>
      <c r="J758" s="244"/>
      <c r="K758" s="244"/>
      <c r="L758" s="244"/>
      <c r="M758" s="244"/>
      <c r="N758" s="244"/>
      <c r="O758" s="244"/>
      <c r="P758" s="244"/>
      <c r="Q758" s="245"/>
      <c r="R758" s="244"/>
      <c r="S758" s="244"/>
      <c r="T758" s="244"/>
      <c r="U758" s="244"/>
      <c r="V758" s="244"/>
      <c r="W758" s="245"/>
      <c r="X758" s="253"/>
      <c r="Y758" s="253"/>
      <c r="Z758" s="244"/>
      <c r="AA758" s="244"/>
      <c r="AB758" s="43"/>
      <c r="AC758" s="43"/>
      <c r="AD758" s="43"/>
      <c r="AE758" s="43"/>
      <c r="AF758" s="43"/>
      <c r="AG758" s="43"/>
      <c r="AH758" s="43"/>
    </row>
    <row r="759" spans="1:34">
      <c r="A759" s="43"/>
      <c r="B759" s="43"/>
      <c r="C759" s="43"/>
      <c r="D759" s="43"/>
      <c r="E759" s="43"/>
      <c r="F759" s="43"/>
      <c r="G759" s="43"/>
      <c r="H759" s="244"/>
      <c r="I759" s="244"/>
      <c r="J759" s="244"/>
      <c r="K759" s="244"/>
      <c r="L759" s="244"/>
      <c r="M759" s="244"/>
      <c r="N759" s="244"/>
      <c r="O759" s="244"/>
      <c r="P759" s="244"/>
      <c r="Q759" s="245"/>
      <c r="R759" s="244"/>
      <c r="S759" s="244"/>
      <c r="T759" s="244"/>
      <c r="U759" s="244"/>
      <c r="V759" s="244"/>
      <c r="W759" s="245"/>
      <c r="X759" s="253"/>
      <c r="Y759" s="253"/>
      <c r="Z759" s="244"/>
      <c r="AA759" s="244"/>
      <c r="AB759" s="43"/>
      <c r="AC759" s="43"/>
      <c r="AD759" s="43"/>
      <c r="AE759" s="43"/>
      <c r="AF759" s="43"/>
      <c r="AG759" s="43"/>
      <c r="AH759" s="43"/>
    </row>
    <row r="760" spans="1:34">
      <c r="A760" s="43"/>
      <c r="B760" s="43"/>
      <c r="C760" s="43"/>
      <c r="D760" s="43"/>
      <c r="E760" s="43"/>
      <c r="F760" s="43"/>
      <c r="G760" s="43"/>
      <c r="H760" s="244"/>
      <c r="I760" s="244"/>
      <c r="J760" s="244"/>
      <c r="K760" s="244"/>
      <c r="L760" s="244"/>
      <c r="M760" s="244"/>
      <c r="N760" s="244"/>
      <c r="O760" s="244"/>
      <c r="P760" s="244"/>
      <c r="Q760" s="245"/>
      <c r="R760" s="244"/>
      <c r="S760" s="244"/>
      <c r="T760" s="244"/>
      <c r="U760" s="244"/>
      <c r="V760" s="244"/>
      <c r="W760" s="245"/>
      <c r="X760" s="253"/>
      <c r="Y760" s="253"/>
      <c r="Z760" s="244"/>
      <c r="AA760" s="244"/>
      <c r="AB760" s="43"/>
      <c r="AC760" s="43"/>
      <c r="AD760" s="43"/>
      <c r="AE760" s="43"/>
      <c r="AF760" s="43"/>
      <c r="AG760" s="43"/>
      <c r="AH760" s="43"/>
    </row>
    <row r="761" spans="1:34">
      <c r="A761" s="43"/>
      <c r="B761" s="43"/>
      <c r="C761" s="43"/>
      <c r="D761" s="43"/>
      <c r="E761" s="43"/>
      <c r="F761" s="43"/>
      <c r="G761" s="43"/>
      <c r="H761" s="244"/>
      <c r="I761" s="244"/>
      <c r="J761" s="244"/>
      <c r="K761" s="244"/>
      <c r="L761" s="244"/>
      <c r="M761" s="244"/>
      <c r="N761" s="244"/>
      <c r="O761" s="244"/>
      <c r="P761" s="244"/>
      <c r="Q761" s="245"/>
      <c r="R761" s="244"/>
      <c r="S761" s="244"/>
      <c r="T761" s="244"/>
      <c r="U761" s="244"/>
      <c r="V761" s="244"/>
      <c r="W761" s="245"/>
      <c r="X761" s="253"/>
      <c r="Y761" s="253"/>
      <c r="Z761" s="244"/>
      <c r="AA761" s="244"/>
      <c r="AB761" s="43"/>
      <c r="AC761" s="43"/>
      <c r="AD761" s="43"/>
      <c r="AE761" s="43"/>
      <c r="AF761" s="43"/>
      <c r="AG761" s="43"/>
      <c r="AH761" s="43"/>
    </row>
    <row r="762" spans="1:34">
      <c r="A762" s="43"/>
      <c r="B762" s="43"/>
      <c r="C762" s="43"/>
      <c r="D762" s="43"/>
      <c r="E762" s="43"/>
      <c r="F762" s="43"/>
      <c r="G762" s="43"/>
      <c r="H762" s="244"/>
      <c r="I762" s="244"/>
      <c r="J762" s="244"/>
      <c r="K762" s="244"/>
      <c r="L762" s="244"/>
      <c r="M762" s="244"/>
      <c r="N762" s="244"/>
      <c r="O762" s="244"/>
      <c r="P762" s="244"/>
      <c r="Q762" s="245"/>
      <c r="R762" s="244"/>
      <c r="S762" s="244"/>
      <c r="T762" s="244"/>
      <c r="U762" s="244"/>
      <c r="V762" s="244"/>
      <c r="W762" s="245"/>
      <c r="X762" s="253"/>
      <c r="Y762" s="253"/>
      <c r="Z762" s="244"/>
      <c r="AA762" s="244"/>
      <c r="AB762" s="43"/>
      <c r="AC762" s="43"/>
      <c r="AD762" s="43"/>
      <c r="AE762" s="43"/>
      <c r="AF762" s="43"/>
      <c r="AG762" s="43"/>
      <c r="AH762" s="43"/>
    </row>
    <row r="763" spans="1:34">
      <c r="A763" s="43"/>
      <c r="B763" s="43"/>
      <c r="C763" s="43"/>
      <c r="D763" s="43"/>
      <c r="E763" s="43"/>
      <c r="F763" s="43"/>
      <c r="G763" s="43"/>
      <c r="H763" s="244"/>
      <c r="I763" s="244"/>
      <c r="J763" s="244"/>
      <c r="K763" s="244"/>
      <c r="L763" s="244"/>
      <c r="M763" s="244"/>
      <c r="N763" s="244"/>
      <c r="O763" s="244"/>
      <c r="P763" s="244"/>
      <c r="Q763" s="245"/>
      <c r="R763" s="244"/>
      <c r="S763" s="244"/>
      <c r="T763" s="244"/>
      <c r="U763" s="244"/>
      <c r="V763" s="244"/>
      <c r="W763" s="245"/>
      <c r="X763" s="253"/>
      <c r="Y763" s="253"/>
      <c r="Z763" s="244"/>
      <c r="AA763" s="244"/>
      <c r="AB763" s="43"/>
      <c r="AC763" s="43"/>
      <c r="AD763" s="43"/>
      <c r="AE763" s="43"/>
      <c r="AF763" s="43"/>
      <c r="AG763" s="43"/>
      <c r="AH763" s="43"/>
    </row>
    <row r="764" spans="1:34">
      <c r="A764" s="43"/>
      <c r="B764" s="43"/>
      <c r="C764" s="43"/>
      <c r="D764" s="43"/>
      <c r="E764" s="43"/>
      <c r="F764" s="43"/>
      <c r="G764" s="43"/>
      <c r="H764" s="244"/>
      <c r="I764" s="244"/>
      <c r="J764" s="244"/>
      <c r="K764" s="244"/>
      <c r="L764" s="244"/>
      <c r="M764" s="244"/>
      <c r="N764" s="244"/>
      <c r="O764" s="244"/>
      <c r="P764" s="244"/>
      <c r="Q764" s="245"/>
      <c r="R764" s="244"/>
      <c r="S764" s="244"/>
      <c r="T764" s="244"/>
      <c r="U764" s="244"/>
      <c r="V764" s="244"/>
      <c r="W764" s="245"/>
      <c r="X764" s="253"/>
      <c r="Y764" s="253"/>
      <c r="Z764" s="244"/>
      <c r="AA764" s="244"/>
      <c r="AB764" s="43"/>
      <c r="AC764" s="43"/>
      <c r="AD764" s="43"/>
      <c r="AE764" s="43"/>
      <c r="AF764" s="43"/>
      <c r="AG764" s="43"/>
      <c r="AH764" s="43"/>
    </row>
    <row r="765" spans="1:34">
      <c r="A765" s="43"/>
      <c r="B765" s="43"/>
      <c r="C765" s="43"/>
      <c r="D765" s="43"/>
      <c r="E765" s="43"/>
      <c r="F765" s="43"/>
      <c r="G765" s="43"/>
      <c r="H765" s="244"/>
      <c r="I765" s="244"/>
      <c r="J765" s="244"/>
      <c r="K765" s="244"/>
      <c r="L765" s="244"/>
      <c r="M765" s="244"/>
      <c r="N765" s="244"/>
      <c r="O765" s="244"/>
      <c r="P765" s="244"/>
      <c r="Q765" s="245"/>
      <c r="R765" s="244"/>
      <c r="S765" s="244"/>
      <c r="T765" s="244"/>
      <c r="U765" s="244"/>
      <c r="V765" s="244"/>
      <c r="W765" s="245"/>
      <c r="X765" s="253"/>
      <c r="Y765" s="253"/>
      <c r="Z765" s="244"/>
      <c r="AA765" s="244"/>
      <c r="AB765" s="43"/>
      <c r="AC765" s="43"/>
      <c r="AD765" s="43"/>
      <c r="AE765" s="43"/>
      <c r="AF765" s="43"/>
      <c r="AG765" s="43"/>
      <c r="AH765" s="43"/>
    </row>
    <row r="766" spans="1:34">
      <c r="A766" s="43"/>
      <c r="B766" s="43"/>
      <c r="C766" s="43"/>
      <c r="D766" s="43"/>
      <c r="E766" s="43"/>
      <c r="F766" s="43"/>
      <c r="G766" s="43"/>
      <c r="H766" s="244"/>
      <c r="I766" s="244"/>
      <c r="J766" s="244"/>
      <c r="K766" s="244"/>
      <c r="L766" s="244"/>
      <c r="M766" s="244"/>
      <c r="N766" s="244"/>
      <c r="O766" s="244"/>
      <c r="P766" s="244"/>
      <c r="Q766" s="245"/>
      <c r="R766" s="244"/>
      <c r="S766" s="244"/>
      <c r="T766" s="244"/>
      <c r="U766" s="244"/>
      <c r="V766" s="244"/>
      <c r="W766" s="245"/>
      <c r="X766" s="253"/>
      <c r="Y766" s="253"/>
      <c r="Z766" s="244"/>
      <c r="AA766" s="244"/>
      <c r="AB766" s="43"/>
      <c r="AC766" s="43"/>
      <c r="AD766" s="43"/>
      <c r="AE766" s="43"/>
      <c r="AF766" s="43"/>
      <c r="AG766" s="43"/>
      <c r="AH766" s="43"/>
    </row>
    <row r="767" spans="1:34">
      <c r="A767" s="43"/>
      <c r="B767" s="43"/>
      <c r="C767" s="43"/>
      <c r="D767" s="43"/>
      <c r="E767" s="43"/>
      <c r="F767" s="43"/>
      <c r="G767" s="43"/>
      <c r="H767" s="244"/>
      <c r="I767" s="244"/>
      <c r="J767" s="244"/>
      <c r="K767" s="244"/>
      <c r="L767" s="244"/>
      <c r="M767" s="244"/>
      <c r="N767" s="244"/>
      <c r="O767" s="244"/>
      <c r="P767" s="244"/>
      <c r="Q767" s="245"/>
      <c r="R767" s="244"/>
      <c r="S767" s="244"/>
      <c r="T767" s="244"/>
      <c r="U767" s="244"/>
      <c r="V767" s="244"/>
      <c r="W767" s="245"/>
      <c r="X767" s="253"/>
      <c r="Y767" s="253"/>
      <c r="Z767" s="244"/>
      <c r="AA767" s="244"/>
      <c r="AB767" s="43"/>
      <c r="AC767" s="43"/>
      <c r="AD767" s="43"/>
      <c r="AE767" s="43"/>
      <c r="AF767" s="43"/>
      <c r="AG767" s="43"/>
      <c r="AH767" s="43"/>
    </row>
    <row r="768" spans="1:34">
      <c r="A768" s="43"/>
      <c r="B768" s="43"/>
      <c r="C768" s="43"/>
      <c r="D768" s="43"/>
      <c r="E768" s="43"/>
      <c r="F768" s="43"/>
      <c r="G768" s="43"/>
      <c r="H768" s="244"/>
      <c r="I768" s="244"/>
      <c r="J768" s="244"/>
      <c r="K768" s="244"/>
      <c r="L768" s="244"/>
      <c r="M768" s="244"/>
      <c r="N768" s="244"/>
      <c r="O768" s="244"/>
      <c r="P768" s="244"/>
      <c r="Q768" s="245"/>
      <c r="R768" s="244"/>
      <c r="S768" s="244"/>
      <c r="T768" s="244"/>
      <c r="U768" s="244"/>
      <c r="V768" s="244"/>
      <c r="W768" s="245"/>
      <c r="X768" s="253"/>
      <c r="Y768" s="253"/>
      <c r="Z768" s="244"/>
      <c r="AA768" s="244"/>
      <c r="AB768" s="43"/>
      <c r="AC768" s="43"/>
      <c r="AD768" s="43"/>
      <c r="AE768" s="43"/>
      <c r="AF768" s="43"/>
      <c r="AG768" s="43"/>
      <c r="AH768" s="43"/>
    </row>
    <row r="769" spans="1:34">
      <c r="A769" s="43"/>
      <c r="B769" s="43"/>
      <c r="C769" s="43"/>
      <c r="D769" s="43"/>
      <c r="E769" s="43"/>
      <c r="F769" s="43"/>
      <c r="G769" s="43"/>
      <c r="H769" s="244"/>
      <c r="I769" s="244"/>
      <c r="J769" s="244"/>
      <c r="K769" s="244"/>
      <c r="L769" s="244"/>
      <c r="M769" s="244"/>
      <c r="N769" s="244"/>
      <c r="O769" s="244"/>
      <c r="P769" s="244"/>
      <c r="Q769" s="245"/>
      <c r="R769" s="244"/>
      <c r="S769" s="244"/>
      <c r="T769" s="244"/>
      <c r="U769" s="244"/>
      <c r="V769" s="244"/>
      <c r="W769" s="245"/>
      <c r="X769" s="253"/>
      <c r="Y769" s="253"/>
      <c r="Z769" s="244"/>
      <c r="AA769" s="244"/>
      <c r="AB769" s="43"/>
      <c r="AC769" s="43"/>
      <c r="AD769" s="43"/>
      <c r="AE769" s="43"/>
      <c r="AF769" s="43"/>
      <c r="AG769" s="43"/>
      <c r="AH769" s="43"/>
    </row>
    <row r="770" spans="1:34">
      <c r="A770" s="43"/>
      <c r="B770" s="43"/>
      <c r="C770" s="43"/>
      <c r="D770" s="43"/>
      <c r="E770" s="43"/>
      <c r="F770" s="43"/>
      <c r="G770" s="43"/>
      <c r="H770" s="244"/>
      <c r="I770" s="244"/>
      <c r="J770" s="244"/>
      <c r="K770" s="244"/>
      <c r="L770" s="244"/>
      <c r="M770" s="244"/>
      <c r="N770" s="244"/>
      <c r="O770" s="244"/>
      <c r="P770" s="244"/>
      <c r="Q770" s="245"/>
      <c r="R770" s="244"/>
      <c r="S770" s="244"/>
      <c r="T770" s="244"/>
      <c r="U770" s="244"/>
      <c r="V770" s="244"/>
      <c r="W770" s="245"/>
      <c r="X770" s="253"/>
      <c r="Y770" s="253"/>
      <c r="Z770" s="244"/>
      <c r="AA770" s="244"/>
      <c r="AB770" s="43"/>
      <c r="AC770" s="43"/>
      <c r="AD770" s="43"/>
      <c r="AE770" s="43"/>
      <c r="AF770" s="43"/>
      <c r="AG770" s="43"/>
      <c r="AH770" s="43"/>
    </row>
    <row r="771" spans="1:34">
      <c r="A771" s="43"/>
      <c r="B771" s="43"/>
      <c r="C771" s="43"/>
      <c r="D771" s="43"/>
      <c r="E771" s="43"/>
      <c r="F771" s="43"/>
      <c r="G771" s="43"/>
      <c r="H771" s="244"/>
      <c r="I771" s="244"/>
      <c r="J771" s="244"/>
      <c r="K771" s="244"/>
      <c r="L771" s="244"/>
      <c r="M771" s="244"/>
      <c r="N771" s="244"/>
      <c r="O771" s="244"/>
      <c r="P771" s="244"/>
      <c r="Q771" s="245"/>
      <c r="R771" s="244"/>
      <c r="S771" s="244"/>
      <c r="T771" s="244"/>
      <c r="U771" s="244"/>
      <c r="V771" s="244"/>
      <c r="W771" s="245"/>
      <c r="X771" s="253"/>
      <c r="Y771" s="253"/>
      <c r="Z771" s="244"/>
      <c r="AA771" s="244"/>
      <c r="AB771" s="43"/>
      <c r="AC771" s="43"/>
      <c r="AD771" s="43"/>
      <c r="AE771" s="43"/>
      <c r="AF771" s="43"/>
      <c r="AG771" s="43"/>
      <c r="AH771" s="43"/>
    </row>
    <row r="772" spans="1:34">
      <c r="A772" s="43"/>
      <c r="B772" s="43"/>
      <c r="C772" s="43"/>
      <c r="D772" s="43"/>
      <c r="E772" s="43"/>
      <c r="F772" s="43"/>
      <c r="G772" s="43"/>
      <c r="H772" s="244"/>
      <c r="I772" s="244"/>
      <c r="J772" s="244"/>
      <c r="K772" s="244"/>
      <c r="L772" s="244"/>
      <c r="M772" s="244"/>
      <c r="N772" s="244"/>
      <c r="O772" s="244"/>
      <c r="P772" s="244"/>
      <c r="Q772" s="245"/>
      <c r="R772" s="244"/>
      <c r="S772" s="244"/>
      <c r="T772" s="244"/>
      <c r="U772" s="244"/>
      <c r="V772" s="244"/>
      <c r="W772" s="245"/>
      <c r="X772" s="253"/>
      <c r="Y772" s="253"/>
      <c r="Z772" s="244"/>
      <c r="AA772" s="244"/>
      <c r="AB772" s="43"/>
      <c r="AC772" s="43"/>
      <c r="AD772" s="43"/>
      <c r="AE772" s="43"/>
      <c r="AF772" s="43"/>
      <c r="AG772" s="43"/>
      <c r="AH772" s="43"/>
    </row>
    <row r="773" spans="1:34">
      <c r="A773" s="43"/>
      <c r="B773" s="43"/>
      <c r="C773" s="43"/>
      <c r="D773" s="43"/>
      <c r="E773" s="43"/>
      <c r="F773" s="43"/>
      <c r="G773" s="43"/>
      <c r="H773" s="244"/>
      <c r="I773" s="244"/>
      <c r="J773" s="244"/>
      <c r="K773" s="244"/>
      <c r="L773" s="244"/>
      <c r="M773" s="244"/>
      <c r="N773" s="244"/>
      <c r="O773" s="244"/>
      <c r="P773" s="244"/>
      <c r="Q773" s="245"/>
      <c r="R773" s="244"/>
      <c r="S773" s="244"/>
      <c r="T773" s="244"/>
      <c r="U773" s="244"/>
      <c r="V773" s="244"/>
      <c r="W773" s="245"/>
      <c r="X773" s="253"/>
      <c r="Y773" s="253"/>
      <c r="Z773" s="244"/>
      <c r="AA773" s="244"/>
      <c r="AB773" s="43"/>
      <c r="AC773" s="43"/>
      <c r="AD773" s="43"/>
      <c r="AE773" s="43"/>
      <c r="AF773" s="43"/>
      <c r="AG773" s="43"/>
      <c r="AH773" s="43"/>
    </row>
    <row r="774" spans="1:34">
      <c r="A774" s="43"/>
      <c r="B774" s="43"/>
      <c r="C774" s="43"/>
      <c r="D774" s="43"/>
      <c r="E774" s="43"/>
      <c r="F774" s="43"/>
      <c r="G774" s="43"/>
      <c r="H774" s="244"/>
      <c r="I774" s="244"/>
      <c r="J774" s="244"/>
      <c r="K774" s="244"/>
      <c r="L774" s="244"/>
      <c r="M774" s="244"/>
      <c r="N774" s="244"/>
      <c r="O774" s="244"/>
      <c r="P774" s="244"/>
      <c r="Q774" s="245"/>
      <c r="R774" s="244"/>
      <c r="S774" s="244"/>
      <c r="T774" s="244"/>
      <c r="U774" s="244"/>
      <c r="V774" s="244"/>
      <c r="W774" s="245"/>
      <c r="X774" s="253"/>
      <c r="Y774" s="253"/>
      <c r="Z774" s="244"/>
      <c r="AA774" s="244"/>
      <c r="AB774" s="43"/>
      <c r="AC774" s="43"/>
      <c r="AD774" s="43"/>
      <c r="AE774" s="43"/>
      <c r="AF774" s="43"/>
      <c r="AG774" s="43"/>
      <c r="AH774" s="43"/>
    </row>
    <row r="775" spans="1:34">
      <c r="A775" s="43"/>
      <c r="B775" s="43"/>
      <c r="C775" s="43"/>
      <c r="D775" s="43"/>
      <c r="E775" s="43"/>
      <c r="F775" s="43"/>
      <c r="G775" s="43"/>
      <c r="H775" s="244"/>
      <c r="I775" s="244"/>
      <c r="J775" s="244"/>
      <c r="K775" s="244"/>
      <c r="L775" s="244"/>
      <c r="M775" s="244"/>
      <c r="N775" s="244"/>
      <c r="O775" s="244"/>
      <c r="P775" s="244"/>
      <c r="Q775" s="245"/>
      <c r="R775" s="244"/>
      <c r="S775" s="244"/>
      <c r="T775" s="244"/>
      <c r="U775" s="244"/>
      <c r="V775" s="244"/>
      <c r="W775" s="245"/>
      <c r="X775" s="253"/>
      <c r="Y775" s="253"/>
      <c r="Z775" s="244"/>
      <c r="AA775" s="244"/>
      <c r="AB775" s="43"/>
      <c r="AC775" s="43"/>
      <c r="AD775" s="43"/>
      <c r="AE775" s="43"/>
      <c r="AF775" s="43"/>
      <c r="AG775" s="43"/>
      <c r="AH775" s="43"/>
    </row>
    <row r="776" spans="1:34">
      <c r="A776" s="43"/>
      <c r="B776" s="43"/>
      <c r="C776" s="43"/>
      <c r="D776" s="43"/>
      <c r="E776" s="43"/>
      <c r="F776" s="43"/>
      <c r="G776" s="43"/>
      <c r="H776" s="244"/>
      <c r="I776" s="244"/>
      <c r="J776" s="244"/>
      <c r="K776" s="244"/>
      <c r="L776" s="244"/>
      <c r="M776" s="244"/>
      <c r="N776" s="244"/>
      <c r="O776" s="244"/>
      <c r="P776" s="244"/>
      <c r="Q776" s="245"/>
      <c r="R776" s="244"/>
      <c r="S776" s="244"/>
      <c r="T776" s="244"/>
      <c r="U776" s="244"/>
      <c r="V776" s="244"/>
      <c r="W776" s="245"/>
      <c r="X776" s="253"/>
      <c r="Y776" s="253"/>
      <c r="Z776" s="244"/>
      <c r="AA776" s="244"/>
      <c r="AB776" s="43"/>
      <c r="AC776" s="43"/>
      <c r="AD776" s="43"/>
      <c r="AE776" s="43"/>
      <c r="AF776" s="43"/>
      <c r="AG776" s="43"/>
      <c r="AH776" s="43"/>
    </row>
    <row r="777" spans="1:34">
      <c r="A777" s="43"/>
      <c r="B777" s="43"/>
      <c r="C777" s="43"/>
      <c r="D777" s="43"/>
      <c r="E777" s="43"/>
      <c r="F777" s="43"/>
      <c r="G777" s="43"/>
      <c r="H777" s="244"/>
      <c r="I777" s="244"/>
      <c r="J777" s="244"/>
      <c r="K777" s="244"/>
      <c r="L777" s="244"/>
      <c r="M777" s="244"/>
      <c r="N777" s="244"/>
      <c r="O777" s="244"/>
      <c r="P777" s="244"/>
      <c r="Q777" s="245"/>
      <c r="R777" s="244"/>
      <c r="S777" s="244"/>
      <c r="T777" s="244"/>
      <c r="U777" s="244"/>
      <c r="V777" s="244"/>
      <c r="W777" s="245"/>
      <c r="X777" s="253"/>
      <c r="Y777" s="253"/>
      <c r="Z777" s="244"/>
      <c r="AA777" s="244"/>
      <c r="AB777" s="43"/>
      <c r="AC777" s="43"/>
      <c r="AD777" s="43"/>
      <c r="AE777" s="43"/>
      <c r="AF777" s="43"/>
      <c r="AG777" s="43"/>
      <c r="AH777" s="43"/>
    </row>
    <row r="778" spans="1:34">
      <c r="A778" s="43"/>
      <c r="B778" s="43"/>
      <c r="C778" s="43"/>
      <c r="D778" s="43"/>
      <c r="E778" s="43"/>
      <c r="F778" s="43"/>
      <c r="G778" s="43"/>
      <c r="H778" s="244"/>
      <c r="I778" s="244"/>
      <c r="J778" s="244"/>
      <c r="K778" s="244"/>
      <c r="L778" s="244"/>
      <c r="M778" s="244"/>
      <c r="N778" s="244"/>
      <c r="O778" s="244"/>
      <c r="P778" s="244"/>
      <c r="Q778" s="245"/>
      <c r="R778" s="244"/>
      <c r="S778" s="244"/>
      <c r="T778" s="244"/>
      <c r="U778" s="244"/>
      <c r="V778" s="244"/>
      <c r="W778" s="245"/>
      <c r="X778" s="253"/>
      <c r="Y778" s="253"/>
      <c r="Z778" s="244"/>
      <c r="AA778" s="244"/>
      <c r="AB778" s="43"/>
      <c r="AC778" s="43"/>
      <c r="AD778" s="43"/>
      <c r="AE778" s="43"/>
      <c r="AF778" s="43"/>
      <c r="AG778" s="43"/>
      <c r="AH778" s="43"/>
    </row>
    <row r="779" spans="1:34">
      <c r="A779" s="43"/>
      <c r="B779" s="43"/>
      <c r="C779" s="43"/>
      <c r="D779" s="43"/>
      <c r="E779" s="43"/>
      <c r="F779" s="43"/>
      <c r="G779" s="43"/>
      <c r="H779" s="244"/>
      <c r="I779" s="244"/>
      <c r="J779" s="244"/>
      <c r="K779" s="244"/>
      <c r="L779" s="244"/>
      <c r="M779" s="244"/>
      <c r="N779" s="244"/>
      <c r="O779" s="244"/>
      <c r="P779" s="244"/>
      <c r="Q779" s="245"/>
      <c r="R779" s="244"/>
      <c r="S779" s="244"/>
      <c r="T779" s="244"/>
      <c r="U779" s="244"/>
      <c r="V779" s="244"/>
      <c r="W779" s="245"/>
      <c r="X779" s="253"/>
      <c r="Y779" s="253"/>
      <c r="Z779" s="244"/>
      <c r="AA779" s="244"/>
      <c r="AB779" s="43"/>
      <c r="AC779" s="43"/>
      <c r="AD779" s="43"/>
      <c r="AE779" s="43"/>
      <c r="AF779" s="43"/>
      <c r="AG779" s="43"/>
      <c r="AH779" s="43"/>
    </row>
    <row r="780" spans="1:34">
      <c r="A780" s="43"/>
      <c r="B780" s="43"/>
      <c r="C780" s="43"/>
      <c r="D780" s="43"/>
      <c r="E780" s="43"/>
      <c r="F780" s="43"/>
      <c r="G780" s="43"/>
      <c r="H780" s="244"/>
      <c r="I780" s="244"/>
      <c r="J780" s="244"/>
      <c r="K780" s="244"/>
      <c r="L780" s="244"/>
      <c r="M780" s="244"/>
      <c r="N780" s="244"/>
      <c r="O780" s="244"/>
      <c r="P780" s="244"/>
      <c r="Q780" s="245"/>
      <c r="R780" s="244"/>
      <c r="S780" s="244"/>
      <c r="T780" s="244"/>
      <c r="U780" s="244"/>
      <c r="V780" s="244"/>
      <c r="W780" s="245"/>
      <c r="X780" s="253"/>
      <c r="Y780" s="253"/>
      <c r="Z780" s="244"/>
      <c r="AA780" s="244"/>
      <c r="AB780" s="43"/>
      <c r="AC780" s="43"/>
      <c r="AD780" s="43"/>
      <c r="AE780" s="43"/>
      <c r="AF780" s="43"/>
      <c r="AG780" s="43"/>
      <c r="AH780" s="43"/>
    </row>
    <row r="781" spans="1:34">
      <c r="A781" s="43"/>
      <c r="B781" s="43"/>
      <c r="C781" s="43"/>
      <c r="D781" s="43"/>
      <c r="E781" s="43"/>
      <c r="F781" s="43"/>
      <c r="G781" s="43"/>
      <c r="H781" s="244"/>
      <c r="I781" s="244"/>
      <c r="J781" s="244"/>
      <c r="K781" s="244"/>
      <c r="L781" s="244"/>
      <c r="M781" s="244"/>
      <c r="N781" s="244"/>
      <c r="O781" s="244"/>
      <c r="P781" s="244"/>
      <c r="Q781" s="245"/>
      <c r="R781" s="244"/>
      <c r="S781" s="244"/>
      <c r="T781" s="244"/>
      <c r="U781" s="244"/>
      <c r="V781" s="244"/>
      <c r="W781" s="245"/>
      <c r="X781" s="253"/>
      <c r="Y781" s="253"/>
      <c r="Z781" s="244"/>
      <c r="AA781" s="244"/>
      <c r="AB781" s="43"/>
      <c r="AC781" s="43"/>
      <c r="AD781" s="43"/>
      <c r="AE781" s="43"/>
      <c r="AF781" s="43"/>
      <c r="AG781" s="43"/>
      <c r="AH781" s="43"/>
    </row>
    <row r="782" spans="1:34">
      <c r="A782" s="43"/>
      <c r="B782" s="43"/>
      <c r="C782" s="43"/>
      <c r="D782" s="43"/>
      <c r="E782" s="43"/>
      <c r="F782" s="43"/>
      <c r="G782" s="43"/>
      <c r="H782" s="244"/>
      <c r="I782" s="244"/>
      <c r="J782" s="244"/>
      <c r="K782" s="244"/>
      <c r="L782" s="244"/>
      <c r="M782" s="244"/>
      <c r="N782" s="244"/>
      <c r="O782" s="244"/>
      <c r="P782" s="244"/>
      <c r="Q782" s="245"/>
      <c r="R782" s="244"/>
      <c r="S782" s="244"/>
      <c r="T782" s="244"/>
      <c r="U782" s="244"/>
      <c r="V782" s="244"/>
      <c r="W782" s="245"/>
      <c r="X782" s="253"/>
      <c r="Y782" s="253"/>
      <c r="Z782" s="244"/>
      <c r="AA782" s="244"/>
      <c r="AB782" s="43"/>
      <c r="AC782" s="43"/>
      <c r="AD782" s="43"/>
      <c r="AE782" s="43"/>
      <c r="AF782" s="43"/>
      <c r="AG782" s="43"/>
      <c r="AH782" s="43"/>
    </row>
    <row r="783" spans="1:34">
      <c r="A783" s="43"/>
      <c r="B783" s="43"/>
      <c r="C783" s="43"/>
      <c r="D783" s="43"/>
      <c r="E783" s="43"/>
      <c r="F783" s="43"/>
      <c r="G783" s="43"/>
      <c r="H783" s="244"/>
      <c r="I783" s="244"/>
      <c r="J783" s="244"/>
      <c r="K783" s="244"/>
      <c r="L783" s="244"/>
      <c r="M783" s="244"/>
      <c r="N783" s="244"/>
      <c r="O783" s="244"/>
      <c r="P783" s="244"/>
      <c r="Q783" s="245"/>
      <c r="R783" s="244"/>
      <c r="S783" s="244"/>
      <c r="T783" s="244"/>
      <c r="U783" s="244"/>
      <c r="V783" s="244"/>
      <c r="W783" s="245"/>
      <c r="X783" s="253"/>
      <c r="Y783" s="253"/>
      <c r="Z783" s="244"/>
      <c r="AA783" s="244"/>
      <c r="AB783" s="43"/>
      <c r="AC783" s="43"/>
      <c r="AD783" s="43"/>
      <c r="AE783" s="43"/>
      <c r="AF783" s="43"/>
      <c r="AG783" s="43"/>
      <c r="AH783" s="43"/>
    </row>
    <row r="784" spans="1:34">
      <c r="A784" s="43"/>
      <c r="B784" s="43"/>
      <c r="C784" s="43"/>
      <c r="D784" s="43"/>
      <c r="E784" s="43"/>
      <c r="F784" s="43"/>
      <c r="G784" s="43"/>
      <c r="H784" s="244"/>
      <c r="I784" s="244"/>
      <c r="J784" s="244"/>
      <c r="K784" s="244"/>
      <c r="L784" s="244"/>
      <c r="M784" s="244"/>
      <c r="N784" s="244"/>
      <c r="O784" s="244"/>
      <c r="P784" s="244"/>
      <c r="Q784" s="245"/>
      <c r="R784" s="244"/>
      <c r="S784" s="244"/>
      <c r="T784" s="244"/>
      <c r="U784" s="244"/>
      <c r="V784" s="244"/>
      <c r="W784" s="245"/>
      <c r="X784" s="253"/>
      <c r="Y784" s="253"/>
      <c r="Z784" s="244"/>
      <c r="AA784" s="244"/>
      <c r="AB784" s="43"/>
      <c r="AC784" s="43"/>
      <c r="AD784" s="43"/>
      <c r="AE784" s="43"/>
      <c r="AF784" s="43"/>
      <c r="AG784" s="43"/>
      <c r="AH784" s="43"/>
    </row>
    <row r="785" spans="1:34">
      <c r="A785" s="43"/>
      <c r="B785" s="43"/>
      <c r="C785" s="43"/>
      <c r="D785" s="43"/>
      <c r="E785" s="43"/>
      <c r="F785" s="43"/>
      <c r="G785" s="43"/>
      <c r="H785" s="244"/>
      <c r="I785" s="244"/>
      <c r="J785" s="244"/>
      <c r="K785" s="244"/>
      <c r="L785" s="244"/>
      <c r="M785" s="244"/>
      <c r="N785" s="244"/>
      <c r="O785" s="244"/>
      <c r="P785" s="244"/>
      <c r="Q785" s="245"/>
      <c r="R785" s="244"/>
      <c r="S785" s="244"/>
      <c r="T785" s="244"/>
      <c r="U785" s="244"/>
      <c r="V785" s="244"/>
      <c r="W785" s="245"/>
      <c r="X785" s="253"/>
      <c r="Y785" s="253"/>
      <c r="Z785" s="244"/>
      <c r="AA785" s="244"/>
      <c r="AB785" s="43"/>
      <c r="AC785" s="43"/>
      <c r="AD785" s="43"/>
      <c r="AE785" s="43"/>
      <c r="AF785" s="43"/>
      <c r="AG785" s="43"/>
      <c r="AH785" s="43"/>
    </row>
    <row r="786" spans="1:34">
      <c r="A786" s="43"/>
      <c r="B786" s="43"/>
      <c r="C786" s="43"/>
      <c r="D786" s="43"/>
      <c r="E786" s="43"/>
      <c r="F786" s="43"/>
      <c r="G786" s="43"/>
      <c r="H786" s="244"/>
      <c r="I786" s="244"/>
      <c r="J786" s="244"/>
      <c r="K786" s="244"/>
      <c r="L786" s="244"/>
      <c r="M786" s="244"/>
      <c r="N786" s="244"/>
      <c r="O786" s="244"/>
      <c r="P786" s="244"/>
      <c r="Q786" s="245"/>
      <c r="R786" s="244"/>
      <c r="S786" s="244"/>
      <c r="T786" s="244"/>
      <c r="U786" s="244"/>
      <c r="V786" s="244"/>
      <c r="W786" s="245"/>
      <c r="X786" s="253"/>
      <c r="Y786" s="253"/>
      <c r="Z786" s="244"/>
      <c r="AA786" s="244"/>
      <c r="AB786" s="43"/>
      <c r="AC786" s="43"/>
      <c r="AD786" s="43"/>
      <c r="AE786" s="43"/>
      <c r="AF786" s="43"/>
      <c r="AG786" s="43"/>
      <c r="AH786" s="43"/>
    </row>
    <row r="787" spans="1:34">
      <c r="A787" s="43"/>
      <c r="B787" s="43"/>
      <c r="C787" s="43"/>
      <c r="D787" s="43"/>
      <c r="E787" s="43"/>
      <c r="F787" s="43"/>
      <c r="G787" s="43"/>
      <c r="H787" s="244"/>
      <c r="I787" s="244"/>
      <c r="J787" s="244"/>
      <c r="K787" s="244"/>
      <c r="L787" s="244"/>
      <c r="M787" s="244"/>
      <c r="N787" s="244"/>
      <c r="O787" s="244"/>
      <c r="P787" s="244"/>
      <c r="Q787" s="245"/>
      <c r="R787" s="244"/>
      <c r="S787" s="244"/>
      <c r="T787" s="244"/>
      <c r="U787" s="244"/>
      <c r="V787" s="244"/>
      <c r="W787" s="245"/>
      <c r="X787" s="253"/>
      <c r="Y787" s="253"/>
      <c r="Z787" s="244"/>
      <c r="AA787" s="244"/>
      <c r="AB787" s="43"/>
      <c r="AC787" s="43"/>
      <c r="AD787" s="43"/>
      <c r="AE787" s="43"/>
      <c r="AF787" s="43"/>
      <c r="AG787" s="43"/>
      <c r="AH787" s="43"/>
    </row>
    <row r="788" spans="1:34">
      <c r="A788" s="43"/>
      <c r="B788" s="43"/>
      <c r="C788" s="43"/>
      <c r="D788" s="43"/>
      <c r="E788" s="43"/>
      <c r="F788" s="43"/>
      <c r="G788" s="43"/>
      <c r="H788" s="244"/>
      <c r="I788" s="244"/>
      <c r="J788" s="244"/>
      <c r="K788" s="244"/>
      <c r="L788" s="244"/>
      <c r="M788" s="244"/>
      <c r="N788" s="244"/>
      <c r="O788" s="244"/>
      <c r="P788" s="244"/>
      <c r="Q788" s="245"/>
      <c r="R788" s="244"/>
      <c r="S788" s="244"/>
      <c r="T788" s="244"/>
      <c r="U788" s="244"/>
      <c r="V788" s="244"/>
      <c r="W788" s="245"/>
      <c r="X788" s="253"/>
      <c r="Y788" s="253"/>
      <c r="Z788" s="244"/>
      <c r="AA788" s="244"/>
      <c r="AB788" s="43"/>
      <c r="AC788" s="43"/>
      <c r="AD788" s="43"/>
      <c r="AE788" s="43"/>
      <c r="AF788" s="43"/>
      <c r="AG788" s="43"/>
      <c r="AH788" s="43"/>
    </row>
    <row r="789" spans="1:34">
      <c r="A789" s="43"/>
      <c r="B789" s="43"/>
      <c r="C789" s="43"/>
      <c r="D789" s="43"/>
      <c r="E789" s="43"/>
      <c r="F789" s="43"/>
      <c r="G789" s="43"/>
      <c r="H789" s="244"/>
      <c r="I789" s="244"/>
      <c r="J789" s="244"/>
      <c r="K789" s="244"/>
      <c r="L789" s="244"/>
      <c r="M789" s="244"/>
      <c r="N789" s="244"/>
      <c r="O789" s="244"/>
      <c r="P789" s="244"/>
      <c r="Q789" s="245"/>
      <c r="R789" s="244"/>
      <c r="S789" s="244"/>
      <c r="T789" s="244"/>
      <c r="U789" s="244"/>
      <c r="V789" s="244"/>
      <c r="W789" s="245"/>
      <c r="X789" s="253"/>
      <c r="Y789" s="253"/>
      <c r="Z789" s="244"/>
      <c r="AA789" s="244"/>
      <c r="AB789" s="43"/>
      <c r="AC789" s="43"/>
      <c r="AD789" s="43"/>
      <c r="AE789" s="43"/>
      <c r="AF789" s="43"/>
      <c r="AG789" s="43"/>
      <c r="AH789" s="43"/>
    </row>
    <row r="790" spans="1:34">
      <c r="A790" s="43"/>
      <c r="B790" s="43"/>
      <c r="C790" s="43"/>
      <c r="D790" s="43"/>
      <c r="E790" s="43"/>
      <c r="F790" s="43"/>
      <c r="G790" s="43"/>
      <c r="H790" s="244"/>
      <c r="I790" s="244"/>
      <c r="J790" s="244"/>
      <c r="K790" s="244"/>
      <c r="L790" s="244"/>
      <c r="M790" s="244"/>
      <c r="N790" s="244"/>
      <c r="O790" s="244"/>
      <c r="P790" s="244"/>
      <c r="Q790" s="245"/>
      <c r="R790" s="244"/>
      <c r="S790" s="244"/>
      <c r="T790" s="244"/>
      <c r="U790" s="244"/>
      <c r="V790" s="244"/>
      <c r="W790" s="245"/>
      <c r="X790" s="253"/>
      <c r="Y790" s="253"/>
      <c r="Z790" s="244"/>
      <c r="AA790" s="244"/>
      <c r="AB790" s="43"/>
      <c r="AC790" s="43"/>
      <c r="AD790" s="43"/>
      <c r="AE790" s="43"/>
      <c r="AF790" s="43"/>
      <c r="AG790" s="43"/>
      <c r="AH790" s="43"/>
    </row>
    <row r="791" spans="1:34">
      <c r="A791" s="43"/>
      <c r="B791" s="43"/>
      <c r="C791" s="43"/>
      <c r="D791" s="43"/>
      <c r="E791" s="43"/>
      <c r="F791" s="43"/>
      <c r="G791" s="43"/>
      <c r="H791" s="244"/>
      <c r="I791" s="244"/>
      <c r="J791" s="244"/>
      <c r="K791" s="244"/>
      <c r="L791" s="244"/>
      <c r="M791" s="244"/>
      <c r="N791" s="244"/>
      <c r="O791" s="244"/>
      <c r="P791" s="244"/>
      <c r="Q791" s="245"/>
      <c r="R791" s="244"/>
      <c r="S791" s="244"/>
      <c r="T791" s="244"/>
      <c r="U791" s="244"/>
      <c r="V791" s="244"/>
      <c r="W791" s="245"/>
      <c r="X791" s="253"/>
      <c r="Y791" s="253"/>
      <c r="Z791" s="244"/>
      <c r="AA791" s="244"/>
      <c r="AB791" s="43"/>
      <c r="AC791" s="43"/>
      <c r="AD791" s="43"/>
      <c r="AE791" s="43"/>
      <c r="AF791" s="43"/>
      <c r="AG791" s="43"/>
      <c r="AH791" s="43"/>
    </row>
    <row r="792" spans="1:34">
      <c r="A792" s="43"/>
      <c r="B792" s="43"/>
      <c r="C792" s="43"/>
      <c r="D792" s="43"/>
      <c r="E792" s="43"/>
      <c r="F792" s="43"/>
      <c r="G792" s="43"/>
      <c r="H792" s="244"/>
      <c r="I792" s="244"/>
      <c r="J792" s="244"/>
      <c r="K792" s="244"/>
      <c r="L792" s="244"/>
      <c r="M792" s="244"/>
      <c r="N792" s="244"/>
      <c r="O792" s="244"/>
      <c r="P792" s="244"/>
      <c r="Q792" s="245"/>
      <c r="R792" s="244"/>
      <c r="S792" s="244"/>
      <c r="T792" s="244"/>
      <c r="U792" s="244"/>
      <c r="V792" s="244"/>
      <c r="W792" s="245"/>
      <c r="X792" s="253"/>
      <c r="Y792" s="253"/>
      <c r="Z792" s="244"/>
      <c r="AA792" s="244"/>
      <c r="AB792" s="43"/>
      <c r="AC792" s="43"/>
      <c r="AD792" s="43"/>
      <c r="AE792" s="43"/>
      <c r="AF792" s="43"/>
      <c r="AG792" s="43"/>
      <c r="AH792" s="43"/>
    </row>
    <row r="793" spans="1:34">
      <c r="A793" s="43"/>
      <c r="B793" s="43"/>
      <c r="C793" s="43"/>
      <c r="D793" s="43"/>
      <c r="E793" s="43"/>
      <c r="F793" s="43"/>
      <c r="G793" s="43"/>
      <c r="H793" s="244"/>
      <c r="I793" s="244"/>
      <c r="J793" s="244"/>
      <c r="K793" s="244"/>
      <c r="L793" s="244"/>
      <c r="M793" s="244"/>
      <c r="N793" s="244"/>
      <c r="O793" s="244"/>
      <c r="P793" s="244"/>
      <c r="Q793" s="245"/>
      <c r="R793" s="244"/>
      <c r="S793" s="244"/>
      <c r="T793" s="244"/>
      <c r="U793" s="244"/>
      <c r="V793" s="244"/>
      <c r="W793" s="245"/>
      <c r="X793" s="253"/>
      <c r="Y793" s="253"/>
      <c r="Z793" s="244"/>
      <c r="AA793" s="244"/>
      <c r="AB793" s="43"/>
      <c r="AC793" s="43"/>
      <c r="AD793" s="43"/>
      <c r="AE793" s="43"/>
      <c r="AF793" s="43"/>
      <c r="AG793" s="43"/>
      <c r="AH793" s="43"/>
    </row>
    <row r="794" spans="1:34">
      <c r="A794" s="43"/>
      <c r="B794" s="43"/>
      <c r="C794" s="43"/>
      <c r="D794" s="43"/>
      <c r="E794" s="43"/>
      <c r="F794" s="43"/>
      <c r="G794" s="43"/>
      <c r="H794" s="244"/>
      <c r="I794" s="244"/>
      <c r="J794" s="244"/>
      <c r="K794" s="244"/>
      <c r="L794" s="244"/>
      <c r="M794" s="244"/>
      <c r="N794" s="244"/>
      <c r="O794" s="244"/>
      <c r="P794" s="244"/>
      <c r="Q794" s="245"/>
      <c r="R794" s="244"/>
      <c r="S794" s="244"/>
      <c r="T794" s="244"/>
      <c r="U794" s="244"/>
      <c r="V794" s="244"/>
      <c r="W794" s="245"/>
      <c r="X794" s="253"/>
      <c r="Y794" s="253"/>
      <c r="Z794" s="244"/>
      <c r="AA794" s="244"/>
      <c r="AB794" s="43"/>
      <c r="AC794" s="43"/>
      <c r="AD794" s="43"/>
      <c r="AE794" s="43"/>
      <c r="AF794" s="43"/>
      <c r="AG794" s="43"/>
      <c r="AH794" s="43"/>
    </row>
    <row r="795" spans="1:34">
      <c r="A795" s="43"/>
      <c r="B795" s="43"/>
      <c r="C795" s="43"/>
      <c r="D795" s="43"/>
      <c r="E795" s="43"/>
      <c r="F795" s="43"/>
      <c r="G795" s="43"/>
      <c r="H795" s="244"/>
      <c r="I795" s="244"/>
      <c r="J795" s="244"/>
      <c r="K795" s="244"/>
      <c r="L795" s="244"/>
      <c r="M795" s="244"/>
      <c r="N795" s="244"/>
      <c r="O795" s="244"/>
      <c r="P795" s="244"/>
      <c r="Q795" s="245"/>
      <c r="R795" s="244"/>
      <c r="S795" s="244"/>
      <c r="T795" s="244"/>
      <c r="U795" s="244"/>
      <c r="V795" s="244"/>
      <c r="W795" s="245"/>
      <c r="X795" s="253"/>
      <c r="Y795" s="253"/>
      <c r="Z795" s="244"/>
      <c r="AA795" s="244"/>
      <c r="AB795" s="43"/>
      <c r="AC795" s="43"/>
      <c r="AD795" s="43"/>
      <c r="AE795" s="43"/>
      <c r="AF795" s="43"/>
      <c r="AG795" s="43"/>
      <c r="AH795" s="43"/>
    </row>
    <row r="796" spans="1:34">
      <c r="A796" s="43"/>
      <c r="B796" s="43"/>
      <c r="C796" s="43"/>
      <c r="D796" s="43"/>
      <c r="E796" s="43"/>
      <c r="F796" s="43"/>
      <c r="G796" s="43"/>
      <c r="H796" s="244"/>
      <c r="I796" s="244"/>
      <c r="J796" s="244"/>
      <c r="K796" s="244"/>
      <c r="L796" s="244"/>
      <c r="M796" s="244"/>
      <c r="N796" s="244"/>
      <c r="O796" s="244"/>
      <c r="P796" s="244"/>
      <c r="Q796" s="245"/>
      <c r="R796" s="244"/>
      <c r="S796" s="244"/>
      <c r="T796" s="244"/>
      <c r="U796" s="244"/>
      <c r="V796" s="244"/>
      <c r="W796" s="245"/>
      <c r="X796" s="253"/>
      <c r="Y796" s="253"/>
      <c r="Z796" s="244"/>
      <c r="AA796" s="244"/>
      <c r="AB796" s="43"/>
      <c r="AC796" s="43"/>
      <c r="AD796" s="43"/>
      <c r="AE796" s="43"/>
      <c r="AF796" s="43"/>
      <c r="AG796" s="43"/>
      <c r="AH796" s="43"/>
    </row>
    <row r="797" spans="1:34">
      <c r="A797" s="43"/>
      <c r="B797" s="43"/>
      <c r="C797" s="43"/>
      <c r="D797" s="43"/>
      <c r="E797" s="43"/>
      <c r="F797" s="43"/>
      <c r="G797" s="43"/>
      <c r="H797" s="244"/>
      <c r="I797" s="244"/>
      <c r="J797" s="244"/>
      <c r="K797" s="244"/>
      <c r="L797" s="244"/>
      <c r="M797" s="244"/>
      <c r="N797" s="244"/>
      <c r="O797" s="244"/>
      <c r="P797" s="244"/>
      <c r="Q797" s="245"/>
      <c r="R797" s="244"/>
      <c r="S797" s="244"/>
      <c r="T797" s="244"/>
      <c r="U797" s="244"/>
      <c r="V797" s="244"/>
      <c r="W797" s="245"/>
      <c r="X797" s="253"/>
      <c r="Y797" s="253"/>
      <c r="Z797" s="244"/>
      <c r="AA797" s="244"/>
      <c r="AB797" s="43"/>
      <c r="AC797" s="43"/>
      <c r="AD797" s="43"/>
      <c r="AE797" s="43"/>
      <c r="AF797" s="43"/>
      <c r="AG797" s="43"/>
      <c r="AH797" s="43"/>
    </row>
    <row r="798" spans="1:34">
      <c r="A798" s="43"/>
      <c r="B798" s="43"/>
      <c r="C798" s="43"/>
      <c r="D798" s="43"/>
      <c r="E798" s="43"/>
      <c r="F798" s="43"/>
      <c r="G798" s="43"/>
      <c r="H798" s="244"/>
      <c r="I798" s="244"/>
      <c r="J798" s="244"/>
      <c r="K798" s="244"/>
      <c r="L798" s="244"/>
      <c r="M798" s="244"/>
      <c r="N798" s="244"/>
      <c r="O798" s="244"/>
      <c r="P798" s="244"/>
      <c r="Q798" s="245"/>
      <c r="R798" s="244"/>
      <c r="S798" s="244"/>
      <c r="T798" s="244"/>
      <c r="U798" s="244"/>
      <c r="V798" s="244"/>
      <c r="W798" s="245"/>
      <c r="X798" s="253"/>
      <c r="Y798" s="253"/>
      <c r="Z798" s="244"/>
      <c r="AA798" s="244"/>
      <c r="AB798" s="43"/>
      <c r="AC798" s="43"/>
      <c r="AD798" s="43"/>
      <c r="AE798" s="43"/>
      <c r="AF798" s="43"/>
      <c r="AG798" s="43"/>
      <c r="AH798" s="43"/>
    </row>
    <row r="799" spans="1:34">
      <c r="A799" s="43"/>
      <c r="B799" s="43"/>
      <c r="C799" s="43"/>
      <c r="D799" s="43"/>
      <c r="E799" s="43"/>
      <c r="F799" s="43"/>
      <c r="G799" s="43"/>
      <c r="H799" s="244"/>
      <c r="I799" s="244"/>
      <c r="J799" s="244"/>
      <c r="K799" s="244"/>
      <c r="L799" s="244"/>
      <c r="M799" s="244"/>
      <c r="N799" s="244"/>
      <c r="O799" s="244"/>
      <c r="P799" s="244"/>
      <c r="Q799" s="245"/>
      <c r="R799" s="244"/>
      <c r="S799" s="244"/>
      <c r="T799" s="244"/>
      <c r="U799" s="244"/>
      <c r="V799" s="244"/>
      <c r="W799" s="245"/>
      <c r="X799" s="253"/>
      <c r="Y799" s="253"/>
      <c r="Z799" s="244"/>
      <c r="AA799" s="244"/>
      <c r="AB799" s="43"/>
      <c r="AC799" s="43"/>
      <c r="AD799" s="43"/>
      <c r="AE799" s="43"/>
      <c r="AF799" s="43"/>
      <c r="AG799" s="43"/>
      <c r="AH799" s="43"/>
    </row>
    <row r="800" spans="1:34">
      <c r="A800" s="43"/>
      <c r="B800" s="43"/>
      <c r="C800" s="43"/>
      <c r="D800" s="43"/>
      <c r="E800" s="43"/>
      <c r="F800" s="43"/>
      <c r="G800" s="43"/>
      <c r="H800" s="244"/>
      <c r="I800" s="244"/>
      <c r="J800" s="244"/>
      <c r="K800" s="244"/>
      <c r="L800" s="244"/>
      <c r="M800" s="244"/>
      <c r="N800" s="244"/>
      <c r="O800" s="244"/>
      <c r="P800" s="244"/>
      <c r="Q800" s="245"/>
      <c r="R800" s="244"/>
      <c r="S800" s="244"/>
      <c r="T800" s="244"/>
      <c r="U800" s="244"/>
      <c r="V800" s="244"/>
      <c r="W800" s="245"/>
      <c r="X800" s="253"/>
      <c r="Y800" s="253"/>
      <c r="Z800" s="244"/>
      <c r="AA800" s="244"/>
      <c r="AB800" s="43"/>
      <c r="AC800" s="43"/>
      <c r="AD800" s="43"/>
      <c r="AE800" s="43"/>
      <c r="AF800" s="43"/>
      <c r="AG800" s="43"/>
      <c r="AH800" s="43"/>
    </row>
    <row r="801" spans="1:34">
      <c r="A801" s="43"/>
      <c r="B801" s="43"/>
      <c r="C801" s="43"/>
      <c r="D801" s="43"/>
      <c r="E801" s="43"/>
      <c r="F801" s="43"/>
      <c r="G801" s="43"/>
      <c r="H801" s="244"/>
      <c r="I801" s="244"/>
      <c r="J801" s="244"/>
      <c r="K801" s="244"/>
      <c r="L801" s="244"/>
      <c r="M801" s="244"/>
      <c r="N801" s="244"/>
      <c r="O801" s="244"/>
      <c r="P801" s="244"/>
      <c r="Q801" s="245"/>
      <c r="R801" s="244"/>
      <c r="S801" s="244"/>
      <c r="T801" s="244"/>
      <c r="U801" s="244"/>
      <c r="V801" s="244"/>
      <c r="W801" s="245"/>
      <c r="X801" s="253"/>
      <c r="Y801" s="253"/>
      <c r="Z801" s="244"/>
      <c r="AA801" s="244"/>
      <c r="AB801" s="43"/>
      <c r="AC801" s="43"/>
      <c r="AD801" s="43"/>
      <c r="AE801" s="43"/>
      <c r="AF801" s="43"/>
      <c r="AG801" s="43"/>
      <c r="AH801" s="43"/>
    </row>
    <row r="802" spans="1:34">
      <c r="A802" s="43"/>
      <c r="B802" s="43"/>
      <c r="C802" s="43"/>
      <c r="D802" s="43"/>
      <c r="E802" s="43"/>
      <c r="F802" s="43"/>
      <c r="G802" s="43"/>
      <c r="H802" s="244"/>
      <c r="I802" s="244"/>
      <c r="J802" s="244"/>
      <c r="K802" s="244"/>
      <c r="L802" s="244"/>
      <c r="M802" s="244"/>
      <c r="N802" s="244"/>
      <c r="O802" s="244"/>
      <c r="P802" s="244"/>
      <c r="Q802" s="245"/>
      <c r="R802" s="244"/>
      <c r="S802" s="244"/>
      <c r="T802" s="244"/>
      <c r="U802" s="244"/>
      <c r="V802" s="244"/>
      <c r="W802" s="245"/>
      <c r="X802" s="253"/>
      <c r="Y802" s="253"/>
      <c r="Z802" s="244"/>
      <c r="AA802" s="244"/>
      <c r="AB802" s="43"/>
      <c r="AC802" s="43"/>
      <c r="AD802" s="43"/>
      <c r="AE802" s="43"/>
      <c r="AF802" s="43"/>
      <c r="AG802" s="43"/>
      <c r="AH802" s="43"/>
    </row>
    <row r="803" spans="1:34">
      <c r="A803" s="43"/>
      <c r="B803" s="43"/>
      <c r="C803" s="43"/>
      <c r="D803" s="43"/>
      <c r="E803" s="43"/>
      <c r="F803" s="43"/>
      <c r="G803" s="43"/>
      <c r="H803" s="244"/>
      <c r="I803" s="244"/>
      <c r="J803" s="244"/>
      <c r="K803" s="244"/>
      <c r="L803" s="244"/>
      <c r="M803" s="244"/>
      <c r="N803" s="244"/>
      <c r="O803" s="244"/>
      <c r="P803" s="244"/>
      <c r="Q803" s="245"/>
      <c r="R803" s="244"/>
      <c r="S803" s="244"/>
      <c r="T803" s="244"/>
      <c r="U803" s="244"/>
      <c r="V803" s="244"/>
      <c r="W803" s="245"/>
      <c r="X803" s="253"/>
      <c r="Y803" s="253"/>
      <c r="Z803" s="244"/>
      <c r="AA803" s="244"/>
      <c r="AB803" s="43"/>
      <c r="AC803" s="43"/>
      <c r="AD803" s="43"/>
      <c r="AE803" s="43"/>
      <c r="AF803" s="43"/>
      <c r="AG803" s="43"/>
      <c r="AH803" s="43"/>
    </row>
    <row r="804" spans="1:34">
      <c r="A804" s="43"/>
      <c r="B804" s="43"/>
      <c r="C804" s="43"/>
      <c r="D804" s="43"/>
      <c r="E804" s="43"/>
      <c r="F804" s="43"/>
      <c r="G804" s="43"/>
      <c r="H804" s="244"/>
      <c r="I804" s="244"/>
      <c r="J804" s="244"/>
      <c r="K804" s="244"/>
      <c r="L804" s="244"/>
      <c r="M804" s="244"/>
      <c r="N804" s="244"/>
      <c r="O804" s="244"/>
      <c r="P804" s="244"/>
      <c r="Q804" s="245"/>
      <c r="R804" s="244"/>
      <c r="S804" s="244"/>
      <c r="T804" s="244"/>
      <c r="U804" s="244"/>
      <c r="V804" s="244"/>
      <c r="W804" s="245"/>
      <c r="X804" s="253"/>
      <c r="Y804" s="253"/>
      <c r="Z804" s="244"/>
      <c r="AA804" s="244"/>
      <c r="AB804" s="43"/>
      <c r="AC804" s="43"/>
      <c r="AD804" s="43"/>
      <c r="AE804" s="43"/>
      <c r="AF804" s="43"/>
      <c r="AG804" s="43"/>
      <c r="AH804" s="43"/>
    </row>
    <row r="805" spans="1:34">
      <c r="A805" s="43"/>
      <c r="B805" s="43"/>
      <c r="C805" s="43"/>
      <c r="D805" s="43"/>
      <c r="E805" s="43"/>
      <c r="F805" s="43"/>
      <c r="G805" s="43"/>
      <c r="H805" s="244"/>
      <c r="I805" s="244"/>
      <c r="J805" s="244"/>
      <c r="K805" s="244"/>
      <c r="L805" s="244"/>
      <c r="M805" s="244"/>
      <c r="N805" s="244"/>
      <c r="O805" s="244"/>
      <c r="P805" s="244"/>
      <c r="Q805" s="245"/>
      <c r="R805" s="244"/>
      <c r="S805" s="244"/>
      <c r="T805" s="244"/>
      <c r="U805" s="244"/>
      <c r="V805" s="244"/>
      <c r="W805" s="245"/>
      <c r="X805" s="253"/>
      <c r="Y805" s="253"/>
      <c r="Z805" s="244"/>
      <c r="AA805" s="244"/>
      <c r="AB805" s="43"/>
      <c r="AC805" s="43"/>
      <c r="AD805" s="43"/>
      <c r="AE805" s="43"/>
      <c r="AF805" s="43"/>
      <c r="AG805" s="43"/>
      <c r="AH805" s="43"/>
    </row>
    <row r="806" spans="1:34">
      <c r="A806" s="43"/>
      <c r="B806" s="43"/>
      <c r="C806" s="43"/>
      <c r="D806" s="43"/>
      <c r="E806" s="43"/>
      <c r="F806" s="43"/>
      <c r="G806" s="43"/>
      <c r="H806" s="244"/>
      <c r="I806" s="244"/>
      <c r="J806" s="244"/>
      <c r="K806" s="244"/>
      <c r="L806" s="244"/>
      <c r="M806" s="244"/>
      <c r="N806" s="244"/>
      <c r="O806" s="244"/>
      <c r="P806" s="244"/>
      <c r="Q806" s="245"/>
      <c r="R806" s="244"/>
      <c r="S806" s="244"/>
      <c r="T806" s="244"/>
      <c r="U806" s="244"/>
      <c r="V806" s="244"/>
      <c r="W806" s="245"/>
      <c r="X806" s="253"/>
      <c r="Y806" s="253"/>
      <c r="Z806" s="244"/>
      <c r="AA806" s="244"/>
      <c r="AB806" s="43"/>
      <c r="AC806" s="43"/>
      <c r="AD806" s="43"/>
      <c r="AE806" s="43"/>
      <c r="AF806" s="43"/>
      <c r="AG806" s="43"/>
      <c r="AH806" s="43"/>
    </row>
    <row r="807" spans="1:34">
      <c r="A807" s="43"/>
      <c r="B807" s="43"/>
      <c r="C807" s="43"/>
      <c r="D807" s="43"/>
      <c r="E807" s="43"/>
      <c r="F807" s="43"/>
      <c r="G807" s="43"/>
      <c r="H807" s="244"/>
      <c r="I807" s="244"/>
      <c r="J807" s="244"/>
      <c r="K807" s="244"/>
      <c r="L807" s="244"/>
      <c r="M807" s="244"/>
      <c r="N807" s="244"/>
      <c r="O807" s="244"/>
      <c r="P807" s="244"/>
      <c r="Q807" s="245"/>
      <c r="R807" s="244"/>
      <c r="S807" s="244"/>
      <c r="T807" s="244"/>
      <c r="U807" s="244"/>
      <c r="V807" s="244"/>
      <c r="W807" s="245"/>
      <c r="X807" s="253"/>
      <c r="Y807" s="253"/>
      <c r="Z807" s="244"/>
      <c r="AA807" s="244"/>
      <c r="AB807" s="43"/>
      <c r="AC807" s="43"/>
      <c r="AD807" s="43"/>
      <c r="AE807" s="43"/>
      <c r="AF807" s="43"/>
      <c r="AG807" s="43"/>
      <c r="AH807" s="43"/>
    </row>
    <row r="808" spans="1:34">
      <c r="A808" s="43"/>
      <c r="B808" s="43"/>
      <c r="C808" s="43"/>
      <c r="D808" s="43"/>
      <c r="E808" s="43"/>
      <c r="F808" s="43"/>
      <c r="G808" s="43"/>
      <c r="H808" s="244"/>
      <c r="I808" s="244"/>
      <c r="J808" s="244"/>
      <c r="K808" s="244"/>
      <c r="L808" s="244"/>
      <c r="M808" s="244"/>
      <c r="N808" s="244"/>
      <c r="O808" s="244"/>
      <c r="P808" s="244"/>
      <c r="Q808" s="245"/>
      <c r="R808" s="244"/>
      <c r="S808" s="244"/>
      <c r="T808" s="244"/>
      <c r="U808" s="244"/>
      <c r="V808" s="244"/>
      <c r="W808" s="245"/>
      <c r="X808" s="253"/>
      <c r="Y808" s="253"/>
      <c r="Z808" s="244"/>
      <c r="AA808" s="244"/>
      <c r="AB808" s="43"/>
      <c r="AC808" s="43"/>
      <c r="AD808" s="43"/>
      <c r="AE808" s="43"/>
      <c r="AF808" s="43"/>
      <c r="AG808" s="43"/>
      <c r="AH808" s="43"/>
    </row>
    <row r="809" spans="1:34">
      <c r="A809" s="43"/>
      <c r="B809" s="43"/>
      <c r="C809" s="43"/>
      <c r="D809" s="43"/>
      <c r="E809" s="43"/>
      <c r="F809" s="43"/>
      <c r="G809" s="43"/>
      <c r="H809" s="244"/>
      <c r="I809" s="244"/>
      <c r="J809" s="244"/>
      <c r="K809" s="244"/>
      <c r="L809" s="244"/>
      <c r="M809" s="244"/>
      <c r="N809" s="244"/>
      <c r="O809" s="244"/>
      <c r="P809" s="244"/>
      <c r="Q809" s="245"/>
      <c r="R809" s="244"/>
      <c r="S809" s="244"/>
      <c r="T809" s="244"/>
      <c r="U809" s="244"/>
      <c r="V809" s="244"/>
      <c r="W809" s="245"/>
      <c r="X809" s="253"/>
      <c r="Y809" s="253"/>
      <c r="Z809" s="244"/>
      <c r="AA809" s="244"/>
      <c r="AB809" s="43"/>
      <c r="AC809" s="43"/>
      <c r="AD809" s="43"/>
      <c r="AE809" s="43"/>
      <c r="AF809" s="43"/>
      <c r="AG809" s="43"/>
      <c r="AH809" s="43"/>
    </row>
    <row r="810" spans="1:34">
      <c r="A810" s="43"/>
      <c r="B810" s="43"/>
      <c r="C810" s="43"/>
      <c r="D810" s="43"/>
      <c r="E810" s="43"/>
      <c r="F810" s="43"/>
      <c r="G810" s="43"/>
      <c r="H810" s="244"/>
      <c r="I810" s="244"/>
      <c r="J810" s="244"/>
      <c r="K810" s="244"/>
      <c r="L810" s="244"/>
      <c r="M810" s="244"/>
      <c r="N810" s="244"/>
      <c r="O810" s="244"/>
      <c r="P810" s="244"/>
      <c r="Q810" s="245"/>
      <c r="R810" s="244"/>
      <c r="S810" s="244"/>
      <c r="T810" s="244"/>
      <c r="U810" s="244"/>
      <c r="V810" s="244"/>
      <c r="W810" s="245"/>
      <c r="X810" s="253"/>
      <c r="Y810" s="253"/>
      <c r="Z810" s="244"/>
      <c r="AA810" s="244"/>
      <c r="AB810" s="43"/>
      <c r="AC810" s="43"/>
      <c r="AD810" s="43"/>
      <c r="AE810" s="43"/>
      <c r="AF810" s="43"/>
      <c r="AG810" s="43"/>
      <c r="AH810" s="43"/>
    </row>
    <row r="811" spans="1:34">
      <c r="A811" s="43"/>
      <c r="B811" s="43"/>
      <c r="C811" s="43"/>
      <c r="D811" s="43"/>
      <c r="E811" s="43"/>
      <c r="F811" s="43"/>
      <c r="G811" s="43"/>
      <c r="H811" s="244"/>
      <c r="I811" s="244"/>
      <c r="J811" s="244"/>
      <c r="K811" s="244"/>
      <c r="L811" s="244"/>
      <c r="M811" s="244"/>
      <c r="N811" s="244"/>
      <c r="O811" s="244"/>
      <c r="P811" s="244"/>
      <c r="Q811" s="245"/>
      <c r="R811" s="244"/>
      <c r="S811" s="244"/>
      <c r="T811" s="244"/>
      <c r="U811" s="244"/>
      <c r="V811" s="244"/>
      <c r="W811" s="245"/>
      <c r="X811" s="253"/>
      <c r="Y811" s="253"/>
      <c r="Z811" s="244"/>
      <c r="AA811" s="244"/>
      <c r="AB811" s="43"/>
      <c r="AC811" s="43"/>
      <c r="AD811" s="43"/>
      <c r="AE811" s="43"/>
      <c r="AF811" s="43"/>
      <c r="AG811" s="43"/>
      <c r="AH811" s="43"/>
    </row>
    <row r="812" spans="1:34">
      <c r="A812" s="43"/>
      <c r="B812" s="43"/>
      <c r="C812" s="43"/>
      <c r="D812" s="43"/>
      <c r="E812" s="43"/>
      <c r="F812" s="43"/>
      <c r="G812" s="43"/>
      <c r="H812" s="244"/>
      <c r="I812" s="244"/>
      <c r="J812" s="244"/>
      <c r="K812" s="244"/>
      <c r="L812" s="244"/>
      <c r="M812" s="244"/>
      <c r="N812" s="244"/>
      <c r="O812" s="244"/>
      <c r="P812" s="244"/>
      <c r="Q812" s="245"/>
      <c r="R812" s="244"/>
      <c r="S812" s="244"/>
      <c r="T812" s="244"/>
      <c r="U812" s="244"/>
      <c r="V812" s="244"/>
      <c r="W812" s="245"/>
      <c r="X812" s="253"/>
      <c r="Y812" s="253"/>
      <c r="Z812" s="244"/>
      <c r="AA812" s="244"/>
      <c r="AB812" s="43"/>
      <c r="AC812" s="43"/>
      <c r="AD812" s="43"/>
      <c r="AE812" s="43"/>
      <c r="AF812" s="43"/>
      <c r="AG812" s="43"/>
      <c r="AH812" s="43"/>
    </row>
    <row r="813" spans="1:34">
      <c r="A813" s="43"/>
      <c r="B813" s="43"/>
      <c r="C813" s="43"/>
      <c r="D813" s="43"/>
      <c r="E813" s="43"/>
      <c r="F813" s="43"/>
      <c r="G813" s="43"/>
      <c r="H813" s="244"/>
      <c r="I813" s="244"/>
      <c r="J813" s="244"/>
      <c r="K813" s="244"/>
      <c r="L813" s="244"/>
      <c r="M813" s="244"/>
      <c r="N813" s="244"/>
      <c r="O813" s="244"/>
      <c r="P813" s="244"/>
      <c r="Q813" s="245"/>
      <c r="R813" s="244"/>
      <c r="S813" s="244"/>
      <c r="T813" s="244"/>
      <c r="U813" s="244"/>
      <c r="V813" s="244"/>
      <c r="W813" s="245"/>
      <c r="X813" s="253"/>
      <c r="Y813" s="253"/>
      <c r="Z813" s="244"/>
      <c r="AA813" s="244"/>
      <c r="AB813" s="43"/>
      <c r="AC813" s="43"/>
      <c r="AD813" s="43"/>
      <c r="AE813" s="43"/>
      <c r="AF813" s="43"/>
      <c r="AG813" s="43"/>
      <c r="AH813" s="43"/>
    </row>
    <row r="814" spans="1:34">
      <c r="A814" s="43"/>
      <c r="B814" s="43"/>
      <c r="C814" s="43"/>
      <c r="D814" s="43"/>
      <c r="E814" s="43"/>
      <c r="F814" s="43"/>
      <c r="G814" s="43"/>
      <c r="H814" s="244"/>
      <c r="I814" s="244"/>
      <c r="J814" s="244"/>
      <c r="K814" s="244"/>
      <c r="L814" s="244"/>
      <c r="M814" s="244"/>
      <c r="N814" s="244"/>
      <c r="O814" s="244"/>
      <c r="P814" s="244"/>
      <c r="Q814" s="245"/>
      <c r="R814" s="244"/>
      <c r="S814" s="244"/>
      <c r="T814" s="244"/>
      <c r="U814" s="244"/>
      <c r="V814" s="244"/>
      <c r="W814" s="245"/>
      <c r="X814" s="253"/>
      <c r="Y814" s="253"/>
      <c r="Z814" s="244"/>
      <c r="AA814" s="244"/>
      <c r="AB814" s="43"/>
      <c r="AC814" s="43"/>
      <c r="AD814" s="43"/>
      <c r="AE814" s="43"/>
      <c r="AF814" s="43"/>
      <c r="AG814" s="43"/>
      <c r="AH814" s="43"/>
    </row>
    <row r="815" spans="1:34">
      <c r="A815" s="43"/>
      <c r="B815" s="43"/>
      <c r="C815" s="43"/>
      <c r="D815" s="43"/>
      <c r="E815" s="43"/>
      <c r="F815" s="43"/>
      <c r="G815" s="43"/>
      <c r="H815" s="244"/>
      <c r="I815" s="244"/>
      <c r="J815" s="244"/>
      <c r="K815" s="244"/>
      <c r="L815" s="244"/>
      <c r="M815" s="244"/>
      <c r="N815" s="244"/>
      <c r="O815" s="244"/>
      <c r="P815" s="244"/>
      <c r="Q815" s="245"/>
      <c r="R815" s="244"/>
      <c r="S815" s="244"/>
      <c r="T815" s="244"/>
      <c r="U815" s="244"/>
      <c r="V815" s="244"/>
      <c r="W815" s="245"/>
      <c r="X815" s="253"/>
      <c r="Y815" s="253"/>
      <c r="Z815" s="244"/>
      <c r="AA815" s="244"/>
      <c r="AB815" s="43"/>
      <c r="AC815" s="43"/>
      <c r="AD815" s="43"/>
      <c r="AE815" s="43"/>
      <c r="AF815" s="43"/>
      <c r="AG815" s="43"/>
      <c r="AH815" s="43"/>
    </row>
    <row r="816" spans="1:34">
      <c r="A816" s="43"/>
      <c r="B816" s="43"/>
      <c r="C816" s="43"/>
      <c r="D816" s="43"/>
      <c r="E816" s="43"/>
      <c r="F816" s="43"/>
      <c r="G816" s="43"/>
      <c r="H816" s="244"/>
      <c r="I816" s="244"/>
      <c r="J816" s="244"/>
      <c r="K816" s="244"/>
      <c r="L816" s="244"/>
      <c r="M816" s="244"/>
      <c r="N816" s="244"/>
      <c r="O816" s="244"/>
      <c r="P816" s="244"/>
      <c r="Q816" s="245"/>
      <c r="R816" s="244"/>
      <c r="S816" s="244"/>
      <c r="T816" s="244"/>
      <c r="U816" s="244"/>
      <c r="V816" s="244"/>
      <c r="W816" s="245"/>
      <c r="X816" s="253"/>
      <c r="Y816" s="253"/>
      <c r="Z816" s="244"/>
      <c r="AA816" s="244"/>
      <c r="AB816" s="43"/>
      <c r="AC816" s="43"/>
      <c r="AD816" s="43"/>
      <c r="AE816" s="43"/>
      <c r="AF816" s="43"/>
      <c r="AG816" s="43"/>
      <c r="AH816" s="43"/>
    </row>
    <row r="817" spans="1:34">
      <c r="A817" s="43"/>
      <c r="B817" s="43"/>
      <c r="C817" s="43"/>
      <c r="D817" s="43"/>
      <c r="E817" s="43"/>
      <c r="F817" s="43"/>
      <c r="G817" s="43"/>
      <c r="H817" s="244"/>
      <c r="I817" s="244"/>
      <c r="J817" s="244"/>
      <c r="K817" s="244"/>
      <c r="L817" s="244"/>
      <c r="M817" s="244"/>
      <c r="N817" s="244"/>
      <c r="O817" s="244"/>
      <c r="P817" s="244"/>
      <c r="Q817" s="245"/>
      <c r="R817" s="244"/>
      <c r="S817" s="244"/>
      <c r="T817" s="244"/>
      <c r="U817" s="244"/>
      <c r="V817" s="244"/>
      <c r="W817" s="245"/>
      <c r="X817" s="253"/>
      <c r="Y817" s="253"/>
      <c r="Z817" s="244"/>
      <c r="AA817" s="244"/>
      <c r="AB817" s="43"/>
      <c r="AC817" s="43"/>
      <c r="AD817" s="43"/>
      <c r="AE817" s="43"/>
      <c r="AF817" s="43"/>
      <c r="AG817" s="43"/>
      <c r="AH817" s="43"/>
    </row>
    <row r="818" spans="1:34">
      <c r="A818" s="43"/>
      <c r="B818" s="43"/>
      <c r="C818" s="43"/>
      <c r="D818" s="43"/>
      <c r="E818" s="43"/>
      <c r="F818" s="43"/>
      <c r="G818" s="43"/>
      <c r="H818" s="244"/>
      <c r="I818" s="244"/>
      <c r="J818" s="244"/>
      <c r="K818" s="244"/>
      <c r="L818" s="244"/>
      <c r="M818" s="244"/>
      <c r="N818" s="244"/>
      <c r="O818" s="244"/>
      <c r="P818" s="244"/>
      <c r="Q818" s="245"/>
      <c r="R818" s="244"/>
      <c r="S818" s="244"/>
      <c r="T818" s="244"/>
      <c r="U818" s="244"/>
      <c r="V818" s="244"/>
      <c r="W818" s="245"/>
      <c r="X818" s="253"/>
      <c r="Y818" s="253"/>
      <c r="Z818" s="244"/>
      <c r="AA818" s="244"/>
      <c r="AB818" s="43"/>
      <c r="AC818" s="43"/>
      <c r="AD818" s="43"/>
      <c r="AE818" s="43"/>
      <c r="AF818" s="43"/>
      <c r="AG818" s="43"/>
      <c r="AH818" s="43"/>
    </row>
    <row r="819" spans="1:34">
      <c r="A819" s="43"/>
      <c r="B819" s="43"/>
      <c r="C819" s="43"/>
      <c r="D819" s="43"/>
      <c r="E819" s="43"/>
      <c r="F819" s="43"/>
      <c r="G819" s="43"/>
      <c r="H819" s="244"/>
      <c r="I819" s="244"/>
      <c r="J819" s="244"/>
      <c r="K819" s="244"/>
      <c r="L819" s="244"/>
      <c r="M819" s="244"/>
      <c r="N819" s="244"/>
      <c r="O819" s="244"/>
      <c r="P819" s="244"/>
      <c r="Q819" s="245"/>
      <c r="R819" s="244"/>
      <c r="S819" s="244"/>
      <c r="T819" s="244"/>
      <c r="U819" s="244"/>
      <c r="V819" s="244"/>
      <c r="W819" s="245"/>
      <c r="X819" s="253"/>
      <c r="Y819" s="253"/>
      <c r="Z819" s="244"/>
      <c r="AA819" s="244"/>
      <c r="AB819" s="43"/>
      <c r="AC819" s="43"/>
      <c r="AD819" s="43"/>
      <c r="AE819" s="43"/>
      <c r="AF819" s="43"/>
      <c r="AG819" s="43"/>
      <c r="AH819" s="43"/>
    </row>
    <row r="820" spans="1:34">
      <c r="A820" s="43"/>
      <c r="B820" s="43"/>
      <c r="C820" s="43"/>
      <c r="D820" s="43"/>
      <c r="E820" s="43"/>
      <c r="F820" s="43"/>
      <c r="G820" s="43"/>
      <c r="H820" s="244"/>
      <c r="I820" s="244"/>
      <c r="J820" s="244"/>
      <c r="K820" s="244"/>
      <c r="L820" s="244"/>
      <c r="M820" s="244"/>
      <c r="N820" s="244"/>
      <c r="O820" s="244"/>
      <c r="P820" s="244"/>
      <c r="Q820" s="245"/>
      <c r="R820" s="244"/>
      <c r="S820" s="244"/>
      <c r="T820" s="244"/>
      <c r="U820" s="244"/>
      <c r="V820" s="244"/>
      <c r="W820" s="245"/>
      <c r="X820" s="253"/>
      <c r="Y820" s="253"/>
      <c r="Z820" s="244"/>
      <c r="AA820" s="244"/>
      <c r="AB820" s="43"/>
      <c r="AC820" s="43"/>
      <c r="AD820" s="43"/>
      <c r="AE820" s="43"/>
      <c r="AF820" s="43"/>
      <c r="AG820" s="43"/>
      <c r="AH820" s="43"/>
    </row>
    <row r="821" spans="1:34">
      <c r="A821" s="43"/>
      <c r="B821" s="43"/>
      <c r="C821" s="43"/>
      <c r="D821" s="43"/>
      <c r="E821" s="43"/>
      <c r="F821" s="43"/>
      <c r="G821" s="43"/>
      <c r="H821" s="244"/>
      <c r="I821" s="244"/>
      <c r="J821" s="244"/>
      <c r="K821" s="244"/>
      <c r="L821" s="244"/>
      <c r="M821" s="244"/>
      <c r="N821" s="244"/>
      <c r="O821" s="244"/>
      <c r="P821" s="244"/>
      <c r="Q821" s="245"/>
      <c r="R821" s="244"/>
      <c r="S821" s="244"/>
      <c r="T821" s="244"/>
      <c r="U821" s="244"/>
      <c r="V821" s="244"/>
      <c r="W821" s="245"/>
      <c r="X821" s="253"/>
      <c r="Y821" s="253"/>
      <c r="Z821" s="244"/>
      <c r="AA821" s="244"/>
      <c r="AB821" s="43"/>
      <c r="AC821" s="43"/>
      <c r="AD821" s="43"/>
      <c r="AE821" s="43"/>
      <c r="AF821" s="43"/>
      <c r="AG821" s="43"/>
      <c r="AH821" s="43"/>
    </row>
    <row r="822" spans="1:34">
      <c r="A822" s="43"/>
      <c r="B822" s="43"/>
      <c r="C822" s="43"/>
      <c r="D822" s="43"/>
      <c r="E822" s="43"/>
      <c r="F822" s="43"/>
      <c r="G822" s="43"/>
      <c r="H822" s="244"/>
      <c r="I822" s="244"/>
      <c r="J822" s="244"/>
      <c r="K822" s="244"/>
      <c r="L822" s="244"/>
      <c r="M822" s="244"/>
      <c r="N822" s="244"/>
      <c r="O822" s="244"/>
      <c r="P822" s="244"/>
      <c r="Q822" s="245"/>
      <c r="R822" s="244"/>
      <c r="S822" s="244"/>
      <c r="T822" s="244"/>
      <c r="U822" s="244"/>
      <c r="V822" s="244"/>
      <c r="W822" s="245"/>
      <c r="X822" s="253"/>
      <c r="Y822" s="253"/>
      <c r="Z822" s="244"/>
      <c r="AA822" s="244"/>
      <c r="AB822" s="43"/>
      <c r="AC822" s="43"/>
      <c r="AD822" s="43"/>
      <c r="AE822" s="43"/>
      <c r="AF822" s="43"/>
      <c r="AG822" s="43"/>
      <c r="AH822" s="43"/>
    </row>
    <row r="823" spans="1:34">
      <c r="A823" s="43"/>
      <c r="B823" s="43"/>
      <c r="C823" s="43"/>
      <c r="D823" s="43"/>
      <c r="E823" s="43"/>
      <c r="F823" s="43"/>
      <c r="G823" s="43"/>
      <c r="H823" s="244"/>
      <c r="I823" s="244"/>
      <c r="J823" s="244"/>
      <c r="K823" s="244"/>
      <c r="L823" s="244"/>
      <c r="M823" s="244"/>
      <c r="N823" s="244"/>
      <c r="O823" s="244"/>
      <c r="P823" s="244"/>
      <c r="Q823" s="245"/>
      <c r="R823" s="244"/>
      <c r="S823" s="244"/>
      <c r="T823" s="244"/>
      <c r="U823" s="244"/>
      <c r="V823" s="244"/>
      <c r="W823" s="245"/>
      <c r="X823" s="253"/>
      <c r="Y823" s="253"/>
      <c r="Z823" s="244"/>
      <c r="AA823" s="244"/>
      <c r="AB823" s="43"/>
      <c r="AC823" s="43"/>
      <c r="AD823" s="43"/>
      <c r="AE823" s="43"/>
      <c r="AF823" s="43"/>
      <c r="AG823" s="43"/>
      <c r="AH823" s="43"/>
    </row>
    <row r="824" spans="1:34">
      <c r="A824" s="43"/>
      <c r="B824" s="43"/>
      <c r="C824" s="43"/>
      <c r="D824" s="43"/>
      <c r="E824" s="43"/>
      <c r="F824" s="43"/>
      <c r="G824" s="43"/>
      <c r="H824" s="244"/>
      <c r="I824" s="244"/>
      <c r="J824" s="244"/>
      <c r="K824" s="244"/>
      <c r="L824" s="244"/>
      <c r="M824" s="244"/>
      <c r="N824" s="244"/>
      <c r="O824" s="244"/>
      <c r="P824" s="244"/>
      <c r="Q824" s="245"/>
      <c r="R824" s="244"/>
      <c r="S824" s="244"/>
      <c r="T824" s="244"/>
      <c r="U824" s="244"/>
      <c r="V824" s="244"/>
      <c r="W824" s="245"/>
      <c r="X824" s="253"/>
      <c r="Y824" s="253"/>
      <c r="Z824" s="244"/>
      <c r="AA824" s="244"/>
      <c r="AB824" s="43"/>
      <c r="AC824" s="43"/>
      <c r="AD824" s="43"/>
      <c r="AE824" s="43"/>
      <c r="AF824" s="43"/>
      <c r="AG824" s="43"/>
      <c r="AH824" s="43"/>
    </row>
    <row r="825" spans="1:34">
      <c r="A825" s="43"/>
      <c r="B825" s="43"/>
      <c r="C825" s="43"/>
      <c r="D825" s="43"/>
      <c r="E825" s="43"/>
      <c r="F825" s="43"/>
      <c r="G825" s="43"/>
      <c r="H825" s="244"/>
      <c r="I825" s="244"/>
      <c r="J825" s="244"/>
      <c r="K825" s="244"/>
      <c r="L825" s="244"/>
      <c r="M825" s="244"/>
      <c r="N825" s="244"/>
      <c r="O825" s="244"/>
      <c r="P825" s="244"/>
      <c r="Q825" s="245"/>
      <c r="R825" s="244"/>
      <c r="S825" s="244"/>
      <c r="T825" s="244"/>
      <c r="U825" s="244"/>
      <c r="V825" s="244"/>
      <c r="W825" s="245"/>
      <c r="X825" s="253"/>
      <c r="Y825" s="253"/>
      <c r="Z825" s="244"/>
      <c r="AA825" s="244"/>
      <c r="AB825" s="43"/>
      <c r="AC825" s="43"/>
      <c r="AD825" s="43"/>
      <c r="AE825" s="43"/>
      <c r="AF825" s="43"/>
      <c r="AG825" s="43"/>
      <c r="AH825" s="43"/>
    </row>
    <row r="826" spans="1:34">
      <c r="A826" s="43"/>
      <c r="B826" s="43"/>
      <c r="C826" s="43"/>
      <c r="D826" s="43"/>
      <c r="E826" s="43"/>
      <c r="F826" s="43"/>
      <c r="G826" s="43"/>
      <c r="H826" s="244"/>
      <c r="I826" s="244"/>
      <c r="J826" s="244"/>
      <c r="K826" s="244"/>
      <c r="L826" s="244"/>
      <c r="M826" s="244"/>
      <c r="N826" s="244"/>
      <c r="O826" s="244"/>
      <c r="P826" s="244"/>
      <c r="Q826" s="245"/>
      <c r="R826" s="244"/>
      <c r="S826" s="244"/>
      <c r="T826" s="244"/>
      <c r="U826" s="244"/>
      <c r="V826" s="244"/>
      <c r="W826" s="245"/>
      <c r="X826" s="253"/>
      <c r="Y826" s="253"/>
      <c r="Z826" s="244"/>
      <c r="AA826" s="244"/>
      <c r="AB826" s="43"/>
      <c r="AC826" s="43"/>
      <c r="AD826" s="43"/>
      <c r="AE826" s="43"/>
      <c r="AF826" s="43"/>
      <c r="AG826" s="43"/>
      <c r="AH826" s="43"/>
    </row>
    <row r="827" spans="1:34">
      <c r="A827" s="43"/>
      <c r="B827" s="43"/>
      <c r="C827" s="43"/>
      <c r="D827" s="43"/>
      <c r="E827" s="43"/>
      <c r="F827" s="43"/>
      <c r="G827" s="43"/>
      <c r="H827" s="244"/>
      <c r="I827" s="244"/>
      <c r="J827" s="244"/>
      <c r="K827" s="244"/>
      <c r="L827" s="244"/>
      <c r="M827" s="244"/>
      <c r="N827" s="244"/>
      <c r="O827" s="244"/>
      <c r="P827" s="244"/>
      <c r="Q827" s="245"/>
      <c r="R827" s="244"/>
      <c r="S827" s="244"/>
      <c r="T827" s="244"/>
      <c r="U827" s="244"/>
      <c r="V827" s="244"/>
      <c r="W827" s="245"/>
      <c r="X827" s="253"/>
      <c r="Y827" s="253"/>
      <c r="Z827" s="244"/>
      <c r="AA827" s="244"/>
      <c r="AB827" s="43"/>
      <c r="AC827" s="43"/>
      <c r="AD827" s="43"/>
      <c r="AE827" s="43"/>
      <c r="AF827" s="43"/>
      <c r="AG827" s="43"/>
      <c r="AH827" s="43"/>
    </row>
    <row r="828" spans="1:34">
      <c r="A828" s="43"/>
      <c r="B828" s="43"/>
      <c r="C828" s="43"/>
      <c r="D828" s="43"/>
      <c r="E828" s="43"/>
      <c r="F828" s="43"/>
      <c r="G828" s="43"/>
      <c r="H828" s="244"/>
      <c r="I828" s="244"/>
      <c r="J828" s="244"/>
      <c r="K828" s="244"/>
      <c r="L828" s="244"/>
      <c r="M828" s="244"/>
      <c r="N828" s="244"/>
      <c r="O828" s="244"/>
      <c r="P828" s="244"/>
      <c r="Q828" s="245"/>
      <c r="R828" s="244"/>
      <c r="S828" s="244"/>
      <c r="T828" s="244"/>
      <c r="U828" s="244"/>
      <c r="V828" s="244"/>
      <c r="W828" s="245"/>
      <c r="X828" s="253"/>
      <c r="Y828" s="253"/>
      <c r="Z828" s="244"/>
      <c r="AA828" s="244"/>
      <c r="AB828" s="43"/>
      <c r="AC828" s="43"/>
      <c r="AD828" s="43"/>
      <c r="AE828" s="43"/>
      <c r="AF828" s="43"/>
      <c r="AG828" s="43"/>
      <c r="AH828" s="43"/>
    </row>
    <row r="829" spans="1:34">
      <c r="A829" s="43"/>
      <c r="B829" s="43"/>
      <c r="C829" s="43"/>
      <c r="D829" s="43"/>
      <c r="E829" s="43"/>
      <c r="F829" s="43"/>
      <c r="G829" s="43"/>
      <c r="H829" s="244"/>
      <c r="I829" s="244"/>
      <c r="J829" s="244"/>
      <c r="K829" s="244"/>
      <c r="L829" s="244"/>
      <c r="M829" s="244"/>
      <c r="N829" s="244"/>
      <c r="O829" s="244"/>
      <c r="P829" s="244"/>
      <c r="Q829" s="245"/>
      <c r="R829" s="244"/>
      <c r="S829" s="244"/>
      <c r="T829" s="244"/>
      <c r="U829" s="244"/>
      <c r="V829" s="244"/>
      <c r="W829" s="245"/>
      <c r="X829" s="253"/>
      <c r="Y829" s="253"/>
      <c r="Z829" s="244"/>
      <c r="AA829" s="244"/>
      <c r="AB829" s="43"/>
      <c r="AC829" s="43"/>
      <c r="AD829" s="43"/>
      <c r="AE829" s="43"/>
      <c r="AF829" s="43"/>
      <c r="AG829" s="43"/>
      <c r="AH829" s="43"/>
    </row>
    <row r="830" spans="1:34">
      <c r="A830" s="43"/>
      <c r="B830" s="43"/>
      <c r="C830" s="43"/>
      <c r="D830" s="43"/>
      <c r="E830" s="43"/>
      <c r="F830" s="43"/>
      <c r="G830" s="43"/>
      <c r="H830" s="244"/>
      <c r="I830" s="244"/>
      <c r="J830" s="244"/>
      <c r="K830" s="244"/>
      <c r="L830" s="244"/>
      <c r="M830" s="244"/>
      <c r="N830" s="244"/>
      <c r="O830" s="244"/>
      <c r="P830" s="244"/>
      <c r="Q830" s="245"/>
      <c r="R830" s="244"/>
      <c r="S830" s="244"/>
      <c r="T830" s="244"/>
      <c r="U830" s="244"/>
      <c r="V830" s="244"/>
      <c r="W830" s="245"/>
      <c r="X830" s="253"/>
      <c r="Y830" s="253"/>
      <c r="Z830" s="244"/>
      <c r="AA830" s="244"/>
      <c r="AB830" s="43"/>
      <c r="AC830" s="43"/>
      <c r="AD830" s="43"/>
      <c r="AE830" s="43"/>
      <c r="AF830" s="43"/>
      <c r="AG830" s="43"/>
      <c r="AH830" s="43"/>
    </row>
    <row r="831" spans="1:34">
      <c r="A831" s="43"/>
      <c r="B831" s="43"/>
      <c r="C831" s="43"/>
      <c r="D831" s="43"/>
      <c r="E831" s="43"/>
      <c r="F831" s="43"/>
      <c r="G831" s="43"/>
      <c r="H831" s="244"/>
      <c r="I831" s="244"/>
      <c r="J831" s="244"/>
      <c r="K831" s="244"/>
      <c r="L831" s="244"/>
      <c r="M831" s="244"/>
      <c r="N831" s="244"/>
      <c r="O831" s="244"/>
      <c r="P831" s="244"/>
      <c r="Q831" s="245"/>
      <c r="R831" s="244"/>
      <c r="S831" s="244"/>
      <c r="T831" s="244"/>
      <c r="U831" s="244"/>
      <c r="V831" s="244"/>
      <c r="W831" s="245"/>
      <c r="X831" s="253"/>
      <c r="Y831" s="253"/>
      <c r="Z831" s="244"/>
      <c r="AA831" s="244"/>
      <c r="AB831" s="43"/>
      <c r="AC831" s="43"/>
      <c r="AD831" s="43"/>
      <c r="AE831" s="43"/>
      <c r="AF831" s="43"/>
      <c r="AG831" s="43"/>
      <c r="AH831" s="43"/>
    </row>
    <row r="832" spans="1:34">
      <c r="A832" s="43"/>
      <c r="B832" s="43"/>
      <c r="C832" s="43"/>
      <c r="D832" s="43"/>
      <c r="E832" s="43"/>
      <c r="F832" s="43"/>
      <c r="G832" s="43"/>
      <c r="H832" s="244"/>
      <c r="I832" s="244"/>
      <c r="J832" s="244"/>
      <c r="K832" s="244"/>
      <c r="L832" s="244"/>
      <c r="M832" s="244"/>
      <c r="N832" s="244"/>
      <c r="O832" s="244"/>
      <c r="P832" s="244"/>
      <c r="Q832" s="245"/>
      <c r="R832" s="244"/>
      <c r="S832" s="244"/>
      <c r="T832" s="244"/>
      <c r="U832" s="244"/>
      <c r="V832" s="244"/>
      <c r="W832" s="245"/>
      <c r="X832" s="253"/>
      <c r="Y832" s="253"/>
      <c r="Z832" s="244"/>
      <c r="AA832" s="244"/>
      <c r="AB832" s="43"/>
      <c r="AC832" s="43"/>
      <c r="AD832" s="43"/>
      <c r="AE832" s="43"/>
      <c r="AF832" s="43"/>
      <c r="AG832" s="43"/>
      <c r="AH832" s="43"/>
    </row>
    <row r="833" spans="1:34">
      <c r="A833" s="43"/>
      <c r="B833" s="43"/>
      <c r="C833" s="43"/>
      <c r="D833" s="43"/>
      <c r="E833" s="43"/>
      <c r="F833" s="43"/>
      <c r="G833" s="43"/>
      <c r="H833" s="244"/>
      <c r="I833" s="244"/>
      <c r="J833" s="244"/>
      <c r="K833" s="244"/>
      <c r="L833" s="244"/>
      <c r="M833" s="244"/>
      <c r="N833" s="244"/>
      <c r="O833" s="244"/>
      <c r="P833" s="244"/>
      <c r="Q833" s="245"/>
      <c r="R833" s="244"/>
      <c r="S833" s="244"/>
      <c r="T833" s="244"/>
      <c r="U833" s="244"/>
      <c r="V833" s="244"/>
      <c r="W833" s="245"/>
      <c r="X833" s="253"/>
      <c r="Y833" s="253"/>
      <c r="Z833" s="244"/>
      <c r="AA833" s="244"/>
      <c r="AB833" s="43"/>
      <c r="AC833" s="43"/>
      <c r="AD833" s="43"/>
      <c r="AE833" s="43"/>
      <c r="AF833" s="43"/>
      <c r="AG833" s="43"/>
      <c r="AH833" s="43"/>
    </row>
    <row r="834" spans="1:34">
      <c r="A834" s="43"/>
      <c r="B834" s="43"/>
      <c r="C834" s="43"/>
      <c r="D834" s="43"/>
      <c r="E834" s="43"/>
      <c r="F834" s="43"/>
      <c r="G834" s="43"/>
      <c r="H834" s="244"/>
      <c r="I834" s="244"/>
      <c r="J834" s="244"/>
      <c r="K834" s="244"/>
      <c r="L834" s="244"/>
      <c r="M834" s="244"/>
      <c r="N834" s="244"/>
      <c r="O834" s="244"/>
      <c r="P834" s="244"/>
      <c r="Q834" s="245"/>
      <c r="R834" s="244"/>
      <c r="S834" s="244"/>
      <c r="T834" s="244"/>
      <c r="U834" s="244"/>
      <c r="V834" s="244"/>
      <c r="W834" s="245"/>
      <c r="X834" s="253"/>
      <c r="Y834" s="253"/>
      <c r="Z834" s="244"/>
      <c r="AA834" s="244"/>
      <c r="AB834" s="43"/>
      <c r="AC834" s="43"/>
      <c r="AD834" s="43"/>
      <c r="AE834" s="43"/>
      <c r="AF834" s="43"/>
      <c r="AG834" s="43"/>
      <c r="AH834" s="43"/>
    </row>
    <row r="835" spans="1:34">
      <c r="A835" s="43"/>
      <c r="B835" s="43"/>
      <c r="C835" s="43"/>
      <c r="D835" s="43"/>
      <c r="E835" s="43"/>
      <c r="F835" s="43"/>
      <c r="G835" s="43"/>
      <c r="H835" s="244"/>
      <c r="I835" s="244"/>
      <c r="J835" s="244"/>
      <c r="K835" s="244"/>
      <c r="L835" s="244"/>
      <c r="M835" s="244"/>
      <c r="N835" s="244"/>
      <c r="O835" s="244"/>
      <c r="P835" s="244"/>
      <c r="Q835" s="245"/>
      <c r="R835" s="244"/>
      <c r="S835" s="244"/>
      <c r="T835" s="244"/>
      <c r="U835" s="244"/>
      <c r="V835" s="244"/>
      <c r="W835" s="245"/>
      <c r="X835" s="253"/>
      <c r="Y835" s="253"/>
      <c r="Z835" s="244"/>
      <c r="AA835" s="244"/>
      <c r="AB835" s="43"/>
      <c r="AC835" s="43"/>
      <c r="AD835" s="43"/>
      <c r="AE835" s="43"/>
      <c r="AF835" s="43"/>
      <c r="AG835" s="43"/>
      <c r="AH835" s="43"/>
    </row>
    <row r="836" spans="1:34">
      <c r="A836" s="43"/>
      <c r="B836" s="43"/>
      <c r="C836" s="43"/>
      <c r="D836" s="43"/>
      <c r="E836" s="43"/>
      <c r="F836" s="43"/>
      <c r="G836" s="43"/>
      <c r="H836" s="244"/>
      <c r="I836" s="244"/>
      <c r="J836" s="244"/>
      <c r="K836" s="244"/>
      <c r="L836" s="244"/>
      <c r="M836" s="244"/>
      <c r="N836" s="244"/>
      <c r="O836" s="244"/>
      <c r="P836" s="244"/>
      <c r="Q836" s="245"/>
      <c r="R836" s="244"/>
      <c r="S836" s="244"/>
      <c r="T836" s="244"/>
      <c r="U836" s="244"/>
      <c r="V836" s="244"/>
      <c r="W836" s="245"/>
      <c r="X836" s="253"/>
      <c r="Y836" s="253"/>
      <c r="Z836" s="244"/>
      <c r="AA836" s="244"/>
      <c r="AB836" s="43"/>
      <c r="AC836" s="43"/>
      <c r="AD836" s="43"/>
      <c r="AE836" s="43"/>
      <c r="AF836" s="43"/>
      <c r="AG836" s="43"/>
      <c r="AH836" s="43"/>
    </row>
    <row r="837" spans="1:34">
      <c r="A837" s="43"/>
      <c r="B837" s="43"/>
      <c r="C837" s="43"/>
      <c r="D837" s="43"/>
      <c r="E837" s="43"/>
      <c r="F837" s="43"/>
      <c r="G837" s="43"/>
      <c r="H837" s="244"/>
      <c r="I837" s="244"/>
      <c r="J837" s="244"/>
      <c r="K837" s="244"/>
      <c r="L837" s="244"/>
      <c r="M837" s="244"/>
      <c r="N837" s="244"/>
      <c r="O837" s="244"/>
      <c r="P837" s="244"/>
      <c r="Q837" s="245"/>
      <c r="R837" s="244"/>
      <c r="S837" s="244"/>
      <c r="T837" s="244"/>
      <c r="U837" s="244"/>
      <c r="V837" s="244"/>
      <c r="W837" s="245"/>
      <c r="X837" s="253"/>
      <c r="Y837" s="253"/>
      <c r="Z837" s="244"/>
      <c r="AA837" s="244"/>
      <c r="AB837" s="43"/>
      <c r="AC837" s="43"/>
      <c r="AD837" s="43"/>
      <c r="AE837" s="43"/>
      <c r="AF837" s="43"/>
      <c r="AG837" s="43"/>
      <c r="AH837" s="43"/>
    </row>
    <row r="838" spans="1:34">
      <c r="A838" s="43"/>
      <c r="B838" s="43"/>
      <c r="C838" s="43"/>
      <c r="D838" s="43"/>
      <c r="E838" s="43"/>
      <c r="F838" s="43"/>
      <c r="G838" s="43"/>
      <c r="H838" s="244"/>
      <c r="I838" s="244"/>
      <c r="J838" s="244"/>
      <c r="K838" s="244"/>
      <c r="L838" s="244"/>
      <c r="M838" s="244"/>
      <c r="N838" s="244"/>
      <c r="O838" s="244"/>
      <c r="P838" s="244"/>
      <c r="Q838" s="245"/>
      <c r="R838" s="244"/>
      <c r="S838" s="244"/>
      <c r="T838" s="244"/>
      <c r="U838" s="244"/>
      <c r="V838" s="244"/>
      <c r="W838" s="245"/>
      <c r="X838" s="253"/>
      <c r="Y838" s="253"/>
      <c r="Z838" s="244"/>
      <c r="AA838" s="244"/>
      <c r="AB838" s="43"/>
      <c r="AC838" s="43"/>
      <c r="AD838" s="43"/>
      <c r="AE838" s="43"/>
      <c r="AF838" s="43"/>
      <c r="AG838" s="43"/>
      <c r="AH838" s="43"/>
    </row>
    <row r="839" spans="1:34">
      <c r="A839" s="43"/>
      <c r="B839" s="43"/>
      <c r="C839" s="43"/>
      <c r="D839" s="43"/>
      <c r="E839" s="43"/>
      <c r="F839" s="43"/>
      <c r="G839" s="43"/>
      <c r="H839" s="244"/>
      <c r="I839" s="244"/>
      <c r="J839" s="244"/>
      <c r="K839" s="244"/>
      <c r="L839" s="244"/>
      <c r="M839" s="244"/>
      <c r="N839" s="244"/>
      <c r="O839" s="244"/>
      <c r="P839" s="244"/>
      <c r="Q839" s="245"/>
      <c r="R839" s="244"/>
      <c r="S839" s="244"/>
      <c r="T839" s="244"/>
      <c r="U839" s="244"/>
      <c r="V839" s="244"/>
      <c r="W839" s="245"/>
      <c r="X839" s="253"/>
      <c r="Y839" s="253"/>
      <c r="Z839" s="244"/>
      <c r="AA839" s="244"/>
      <c r="AB839" s="43"/>
      <c r="AC839" s="43"/>
      <c r="AD839" s="43"/>
      <c r="AE839" s="43"/>
      <c r="AF839" s="43"/>
      <c r="AG839" s="43"/>
      <c r="AH839" s="43"/>
    </row>
    <row r="840" spans="1:34">
      <c r="A840" s="43"/>
      <c r="B840" s="43"/>
      <c r="C840" s="43"/>
      <c r="D840" s="43"/>
      <c r="E840" s="43"/>
      <c r="F840" s="43"/>
      <c r="G840" s="43"/>
      <c r="H840" s="244"/>
      <c r="I840" s="244"/>
      <c r="J840" s="244"/>
      <c r="K840" s="244"/>
      <c r="L840" s="244"/>
      <c r="M840" s="244"/>
      <c r="N840" s="244"/>
      <c r="O840" s="244"/>
      <c r="P840" s="244"/>
      <c r="Q840" s="245"/>
      <c r="R840" s="244"/>
      <c r="S840" s="244"/>
      <c r="T840" s="244"/>
      <c r="U840" s="244"/>
      <c r="V840" s="244"/>
      <c r="W840" s="245"/>
      <c r="X840" s="253"/>
      <c r="Y840" s="253"/>
      <c r="Z840" s="244"/>
      <c r="AA840" s="244"/>
      <c r="AB840" s="43"/>
      <c r="AC840" s="43"/>
      <c r="AD840" s="43"/>
      <c r="AE840" s="43"/>
      <c r="AF840" s="43"/>
      <c r="AG840" s="43"/>
      <c r="AH840" s="43"/>
    </row>
    <row r="841" spans="1:34">
      <c r="A841" s="43"/>
      <c r="B841" s="43"/>
      <c r="C841" s="43"/>
      <c r="D841" s="43"/>
      <c r="E841" s="43"/>
      <c r="F841" s="43"/>
      <c r="G841" s="43"/>
      <c r="H841" s="244"/>
      <c r="I841" s="244"/>
      <c r="J841" s="244"/>
      <c r="K841" s="244"/>
      <c r="L841" s="244"/>
      <c r="M841" s="244"/>
      <c r="N841" s="244"/>
      <c r="O841" s="244"/>
      <c r="P841" s="244"/>
      <c r="Q841" s="245"/>
      <c r="R841" s="244"/>
      <c r="S841" s="244"/>
      <c r="T841" s="244"/>
      <c r="U841" s="244"/>
      <c r="V841" s="244"/>
      <c r="W841" s="245"/>
      <c r="X841" s="253"/>
      <c r="Y841" s="253"/>
      <c r="Z841" s="244"/>
      <c r="AA841" s="244"/>
      <c r="AB841" s="43"/>
      <c r="AC841" s="43"/>
      <c r="AD841" s="43"/>
      <c r="AE841" s="43"/>
      <c r="AF841" s="43"/>
      <c r="AG841" s="43"/>
      <c r="AH841" s="43"/>
    </row>
    <row r="842" spans="1:34">
      <c r="A842" s="43"/>
      <c r="B842" s="43"/>
      <c r="C842" s="43"/>
      <c r="D842" s="43"/>
      <c r="E842" s="43"/>
      <c r="F842" s="43"/>
      <c r="G842" s="43"/>
      <c r="H842" s="244"/>
      <c r="I842" s="244"/>
      <c r="J842" s="244"/>
      <c r="K842" s="244"/>
      <c r="L842" s="244"/>
      <c r="M842" s="244"/>
      <c r="N842" s="244"/>
      <c r="O842" s="244"/>
      <c r="P842" s="244"/>
      <c r="Q842" s="245"/>
      <c r="R842" s="244"/>
      <c r="S842" s="244"/>
      <c r="T842" s="244"/>
      <c r="U842" s="244"/>
      <c r="V842" s="244"/>
      <c r="W842" s="245"/>
      <c r="X842" s="253"/>
      <c r="Y842" s="253"/>
      <c r="Z842" s="244"/>
      <c r="AA842" s="244"/>
      <c r="AB842" s="43"/>
      <c r="AC842" s="43"/>
      <c r="AD842" s="43"/>
      <c r="AE842" s="43"/>
      <c r="AF842" s="43"/>
      <c r="AG842" s="43"/>
      <c r="AH842" s="43"/>
    </row>
    <row r="843" spans="1:34">
      <c r="A843" s="43"/>
      <c r="B843" s="43"/>
      <c r="C843" s="43"/>
      <c r="D843" s="43"/>
      <c r="E843" s="43"/>
      <c r="F843" s="43"/>
      <c r="G843" s="43"/>
      <c r="H843" s="244"/>
      <c r="I843" s="244"/>
      <c r="J843" s="244"/>
      <c r="K843" s="244"/>
      <c r="L843" s="244"/>
      <c r="M843" s="244"/>
      <c r="N843" s="244"/>
      <c r="O843" s="244"/>
      <c r="P843" s="244"/>
      <c r="Q843" s="245"/>
      <c r="R843" s="244"/>
      <c r="S843" s="244"/>
      <c r="T843" s="244"/>
      <c r="U843" s="244"/>
      <c r="V843" s="244"/>
      <c r="W843" s="245"/>
      <c r="X843" s="253"/>
      <c r="Y843" s="253"/>
      <c r="Z843" s="244"/>
      <c r="AA843" s="244"/>
      <c r="AB843" s="43"/>
      <c r="AC843" s="43"/>
      <c r="AD843" s="43"/>
      <c r="AE843" s="43"/>
      <c r="AF843" s="43"/>
      <c r="AG843" s="43"/>
      <c r="AH843" s="43"/>
    </row>
    <row r="844" spans="1:34">
      <c r="A844" s="43"/>
      <c r="B844" s="43"/>
      <c r="C844" s="43"/>
      <c r="D844" s="43"/>
      <c r="E844" s="43"/>
      <c r="F844" s="43"/>
      <c r="G844" s="43"/>
      <c r="H844" s="244"/>
      <c r="I844" s="244"/>
      <c r="J844" s="244"/>
      <c r="K844" s="244"/>
      <c r="L844" s="244"/>
      <c r="M844" s="244"/>
      <c r="N844" s="244"/>
      <c r="O844" s="244"/>
      <c r="P844" s="244"/>
      <c r="Q844" s="245"/>
      <c r="R844" s="244"/>
      <c r="S844" s="244"/>
      <c r="T844" s="244"/>
      <c r="U844" s="244"/>
      <c r="V844" s="244"/>
      <c r="W844" s="245"/>
      <c r="X844" s="253"/>
      <c r="Y844" s="253"/>
      <c r="Z844" s="244"/>
      <c r="AA844" s="244"/>
      <c r="AB844" s="43"/>
      <c r="AC844" s="43"/>
      <c r="AD844" s="43"/>
      <c r="AE844" s="43"/>
      <c r="AF844" s="43"/>
      <c r="AG844" s="43"/>
      <c r="AH844" s="43"/>
    </row>
    <row r="845" spans="1:34">
      <c r="A845" s="43"/>
      <c r="B845" s="43"/>
      <c r="C845" s="43"/>
      <c r="D845" s="43"/>
      <c r="E845" s="43"/>
      <c r="F845" s="43"/>
      <c r="G845" s="43"/>
      <c r="H845" s="244"/>
      <c r="I845" s="244"/>
      <c r="J845" s="244"/>
      <c r="K845" s="244"/>
      <c r="L845" s="244"/>
      <c r="M845" s="244"/>
      <c r="N845" s="244"/>
      <c r="O845" s="244"/>
      <c r="P845" s="244"/>
      <c r="Q845" s="245"/>
      <c r="R845" s="244"/>
      <c r="S845" s="244"/>
      <c r="T845" s="244"/>
      <c r="U845" s="244"/>
      <c r="V845" s="244"/>
      <c r="W845" s="245"/>
      <c r="X845" s="253"/>
      <c r="Y845" s="253"/>
      <c r="Z845" s="244"/>
      <c r="AA845" s="244"/>
      <c r="AB845" s="43"/>
      <c r="AC845" s="43"/>
      <c r="AD845" s="43"/>
      <c r="AE845" s="43"/>
      <c r="AF845" s="43"/>
      <c r="AG845" s="43"/>
      <c r="AH845" s="43"/>
    </row>
    <row r="846" spans="1:34">
      <c r="A846" s="43"/>
      <c r="B846" s="43"/>
      <c r="C846" s="43"/>
      <c r="D846" s="43"/>
      <c r="E846" s="43"/>
      <c r="F846" s="43"/>
      <c r="G846" s="43"/>
      <c r="H846" s="244"/>
      <c r="I846" s="244"/>
      <c r="J846" s="244"/>
      <c r="K846" s="244"/>
      <c r="L846" s="244"/>
      <c r="M846" s="244"/>
      <c r="N846" s="244"/>
      <c r="O846" s="244"/>
      <c r="P846" s="244"/>
      <c r="Q846" s="245"/>
      <c r="R846" s="244"/>
      <c r="S846" s="244"/>
      <c r="T846" s="244"/>
      <c r="U846" s="244"/>
      <c r="V846" s="244"/>
      <c r="W846" s="245"/>
      <c r="X846" s="253"/>
      <c r="Y846" s="253"/>
      <c r="Z846" s="244"/>
      <c r="AA846" s="244"/>
      <c r="AB846" s="43"/>
      <c r="AC846" s="43"/>
      <c r="AD846" s="43"/>
      <c r="AE846" s="43"/>
      <c r="AF846" s="43"/>
      <c r="AG846" s="43"/>
      <c r="AH846" s="43"/>
    </row>
    <row r="847" spans="1:34">
      <c r="A847" s="43"/>
      <c r="B847" s="43"/>
      <c r="C847" s="43"/>
      <c r="D847" s="43"/>
      <c r="E847" s="43"/>
      <c r="F847" s="43"/>
      <c r="G847" s="43"/>
      <c r="H847" s="244"/>
      <c r="I847" s="244"/>
      <c r="J847" s="244"/>
      <c r="K847" s="244"/>
      <c r="L847" s="244"/>
      <c r="M847" s="244"/>
      <c r="N847" s="244"/>
      <c r="O847" s="244"/>
      <c r="P847" s="244"/>
      <c r="Q847" s="245"/>
      <c r="R847" s="244"/>
      <c r="S847" s="244"/>
      <c r="T847" s="244"/>
      <c r="U847" s="244"/>
      <c r="V847" s="244"/>
      <c r="W847" s="245"/>
      <c r="X847" s="253"/>
      <c r="Y847" s="253"/>
      <c r="Z847" s="244"/>
      <c r="AA847" s="244"/>
      <c r="AB847" s="43"/>
      <c r="AC847" s="43"/>
      <c r="AD847" s="43"/>
      <c r="AE847" s="43"/>
      <c r="AF847" s="43"/>
      <c r="AG847" s="43"/>
      <c r="AH847" s="43"/>
    </row>
    <row r="848" spans="1:34">
      <c r="A848" s="43"/>
      <c r="B848" s="43"/>
      <c r="C848" s="43"/>
      <c r="D848" s="43"/>
      <c r="E848" s="43"/>
      <c r="F848" s="43"/>
      <c r="G848" s="43"/>
      <c r="H848" s="244"/>
      <c r="I848" s="244"/>
      <c r="J848" s="244"/>
      <c r="K848" s="244"/>
      <c r="L848" s="244"/>
      <c r="M848" s="244"/>
      <c r="N848" s="244"/>
      <c r="O848" s="244"/>
      <c r="P848" s="244"/>
      <c r="Q848" s="245"/>
      <c r="R848" s="244"/>
      <c r="S848" s="244"/>
      <c r="T848" s="244"/>
      <c r="U848" s="244"/>
      <c r="V848" s="244"/>
      <c r="W848" s="245"/>
      <c r="X848" s="253"/>
      <c r="Y848" s="253"/>
      <c r="Z848" s="244"/>
      <c r="AA848" s="244"/>
      <c r="AB848" s="43"/>
      <c r="AC848" s="43"/>
      <c r="AD848" s="43"/>
      <c r="AE848" s="43"/>
      <c r="AF848" s="43"/>
      <c r="AG848" s="43"/>
      <c r="AH848" s="43"/>
    </row>
    <row r="849" spans="1:34">
      <c r="A849" s="43"/>
      <c r="B849" s="43"/>
      <c r="C849" s="43"/>
      <c r="D849" s="43"/>
      <c r="E849" s="43"/>
      <c r="F849" s="43"/>
      <c r="G849" s="43"/>
      <c r="H849" s="244"/>
      <c r="I849" s="244"/>
      <c r="J849" s="244"/>
      <c r="K849" s="244"/>
      <c r="L849" s="244"/>
      <c r="M849" s="244"/>
      <c r="N849" s="244"/>
      <c r="O849" s="244"/>
      <c r="P849" s="244"/>
      <c r="Q849" s="245"/>
      <c r="R849" s="244"/>
      <c r="S849" s="244"/>
      <c r="T849" s="244"/>
      <c r="U849" s="244"/>
      <c r="V849" s="244"/>
      <c r="W849" s="245"/>
      <c r="X849" s="253"/>
      <c r="Y849" s="253"/>
      <c r="Z849" s="244"/>
      <c r="AA849" s="244"/>
      <c r="AB849" s="43"/>
      <c r="AC849" s="43"/>
      <c r="AD849" s="43"/>
      <c r="AE849" s="43"/>
      <c r="AF849" s="43"/>
      <c r="AG849" s="43"/>
      <c r="AH849" s="43"/>
    </row>
    <row r="850" spans="1:34">
      <c r="A850" s="43"/>
      <c r="B850" s="43"/>
      <c r="C850" s="43"/>
      <c r="D850" s="43"/>
      <c r="E850" s="43"/>
      <c r="F850" s="43"/>
      <c r="G850" s="43"/>
      <c r="H850" s="244"/>
      <c r="I850" s="244"/>
      <c r="J850" s="244"/>
      <c r="K850" s="244"/>
      <c r="L850" s="244"/>
      <c r="M850" s="244"/>
      <c r="N850" s="244"/>
      <c r="O850" s="244"/>
      <c r="P850" s="244"/>
      <c r="Q850" s="245"/>
      <c r="R850" s="244"/>
      <c r="S850" s="244"/>
      <c r="T850" s="244"/>
      <c r="U850" s="244"/>
      <c r="V850" s="244"/>
      <c r="W850" s="245"/>
      <c r="X850" s="253"/>
      <c r="Y850" s="253"/>
      <c r="Z850" s="244"/>
      <c r="AA850" s="244"/>
      <c r="AB850" s="43"/>
      <c r="AC850" s="43"/>
      <c r="AD850" s="43"/>
      <c r="AE850" s="43"/>
      <c r="AF850" s="43"/>
      <c r="AG850" s="43"/>
      <c r="AH850" s="43"/>
    </row>
    <row r="851" spans="1:34">
      <c r="A851" s="43"/>
      <c r="B851" s="43"/>
      <c r="C851" s="43"/>
      <c r="D851" s="43"/>
      <c r="E851" s="43"/>
      <c r="F851" s="43"/>
      <c r="G851" s="43"/>
      <c r="H851" s="244"/>
      <c r="I851" s="244"/>
      <c r="J851" s="244"/>
      <c r="K851" s="244"/>
      <c r="L851" s="244"/>
      <c r="M851" s="244"/>
      <c r="N851" s="244"/>
      <c r="O851" s="244"/>
      <c r="P851" s="244"/>
      <c r="Q851" s="245"/>
      <c r="R851" s="244"/>
      <c r="S851" s="244"/>
      <c r="T851" s="244"/>
      <c r="U851" s="244"/>
      <c r="V851" s="244"/>
      <c r="W851" s="245"/>
      <c r="X851" s="253"/>
      <c r="Y851" s="253"/>
      <c r="Z851" s="244"/>
      <c r="AA851" s="244"/>
      <c r="AB851" s="43"/>
      <c r="AC851" s="43"/>
      <c r="AD851" s="43"/>
      <c r="AE851" s="43"/>
      <c r="AF851" s="43"/>
      <c r="AG851" s="43"/>
      <c r="AH851" s="43"/>
    </row>
    <row r="852" spans="1:34">
      <c r="A852" s="43"/>
      <c r="B852" s="43"/>
      <c r="C852" s="43"/>
      <c r="D852" s="43"/>
      <c r="E852" s="43"/>
      <c r="F852" s="43"/>
      <c r="G852" s="43"/>
      <c r="H852" s="244"/>
      <c r="I852" s="244"/>
      <c r="J852" s="244"/>
      <c r="K852" s="244"/>
      <c r="L852" s="244"/>
      <c r="M852" s="244"/>
      <c r="N852" s="244"/>
      <c r="O852" s="244"/>
      <c r="P852" s="244"/>
      <c r="Q852" s="245"/>
      <c r="R852" s="244"/>
      <c r="S852" s="244"/>
      <c r="T852" s="244"/>
      <c r="U852" s="244"/>
      <c r="V852" s="244"/>
      <c r="W852" s="245"/>
      <c r="X852" s="253"/>
      <c r="Y852" s="253"/>
      <c r="Z852" s="244"/>
      <c r="AA852" s="244"/>
      <c r="AB852" s="43"/>
      <c r="AC852" s="43"/>
      <c r="AD852" s="43"/>
      <c r="AE852" s="43"/>
      <c r="AF852" s="43"/>
      <c r="AG852" s="43"/>
      <c r="AH852" s="43"/>
    </row>
    <row r="853" spans="1:34">
      <c r="A853" s="43"/>
      <c r="B853" s="43"/>
      <c r="C853" s="43"/>
      <c r="D853" s="43"/>
      <c r="E853" s="43"/>
      <c r="F853" s="43"/>
      <c r="G853" s="43"/>
      <c r="H853" s="244"/>
      <c r="I853" s="244"/>
      <c r="J853" s="244"/>
      <c r="K853" s="244"/>
      <c r="L853" s="244"/>
      <c r="M853" s="244"/>
      <c r="N853" s="244"/>
      <c r="O853" s="244"/>
      <c r="P853" s="244"/>
      <c r="Q853" s="245"/>
      <c r="R853" s="244"/>
      <c r="S853" s="244"/>
      <c r="T853" s="244"/>
      <c r="U853" s="244"/>
      <c r="V853" s="244"/>
      <c r="W853" s="245"/>
      <c r="X853" s="253"/>
      <c r="Y853" s="253"/>
      <c r="Z853" s="244"/>
      <c r="AA853" s="244"/>
      <c r="AB853" s="43"/>
      <c r="AC853" s="43"/>
      <c r="AD853" s="43"/>
      <c r="AE853" s="43"/>
      <c r="AF853" s="43"/>
      <c r="AG853" s="43"/>
      <c r="AH853" s="43"/>
    </row>
    <row r="854" spans="1:34">
      <c r="A854" s="43"/>
      <c r="B854" s="43"/>
      <c r="C854" s="43"/>
      <c r="D854" s="43"/>
      <c r="E854" s="43"/>
      <c r="F854" s="43"/>
      <c r="G854" s="43"/>
      <c r="H854" s="244"/>
      <c r="I854" s="244"/>
      <c r="J854" s="244"/>
      <c r="K854" s="244"/>
      <c r="L854" s="244"/>
      <c r="M854" s="244"/>
      <c r="N854" s="244"/>
      <c r="O854" s="244"/>
      <c r="P854" s="244"/>
      <c r="Q854" s="245"/>
      <c r="R854" s="244"/>
      <c r="S854" s="244"/>
      <c r="T854" s="244"/>
      <c r="U854" s="244"/>
      <c r="V854" s="244"/>
      <c r="W854" s="245"/>
      <c r="X854" s="253"/>
      <c r="Y854" s="253"/>
      <c r="Z854" s="244"/>
      <c r="AA854" s="244"/>
      <c r="AB854" s="43"/>
      <c r="AC854" s="43"/>
      <c r="AD854" s="43"/>
      <c r="AE854" s="43"/>
      <c r="AF854" s="43"/>
      <c r="AG854" s="43"/>
      <c r="AH854" s="43"/>
    </row>
    <row r="855" spans="1:34">
      <c r="A855" s="43"/>
      <c r="B855" s="43"/>
      <c r="C855" s="43"/>
      <c r="D855" s="43"/>
      <c r="E855" s="43"/>
      <c r="F855" s="43"/>
      <c r="G855" s="43"/>
      <c r="H855" s="244"/>
      <c r="I855" s="244"/>
      <c r="J855" s="244"/>
      <c r="K855" s="244"/>
      <c r="L855" s="244"/>
      <c r="M855" s="244"/>
      <c r="N855" s="244"/>
      <c r="O855" s="244"/>
      <c r="P855" s="244"/>
      <c r="Q855" s="245"/>
      <c r="R855" s="244"/>
      <c r="S855" s="244"/>
      <c r="T855" s="244"/>
      <c r="U855" s="244"/>
      <c r="V855" s="244"/>
      <c r="W855" s="245"/>
      <c r="X855" s="253"/>
      <c r="Y855" s="253"/>
      <c r="Z855" s="244"/>
      <c r="AA855" s="244"/>
      <c r="AB855" s="43"/>
      <c r="AC855" s="43"/>
      <c r="AD855" s="43"/>
      <c r="AE855" s="43"/>
      <c r="AF855" s="43"/>
      <c r="AG855" s="43"/>
      <c r="AH855" s="43"/>
    </row>
    <row r="856" spans="1:34">
      <c r="A856" s="43"/>
      <c r="B856" s="43"/>
      <c r="C856" s="43"/>
      <c r="D856" s="43"/>
      <c r="E856" s="43"/>
      <c r="F856" s="43"/>
      <c r="G856" s="43"/>
      <c r="H856" s="244"/>
      <c r="I856" s="244"/>
      <c r="J856" s="244"/>
      <c r="K856" s="244"/>
      <c r="L856" s="244"/>
      <c r="M856" s="244"/>
      <c r="N856" s="244"/>
      <c r="O856" s="244"/>
      <c r="P856" s="244"/>
      <c r="Q856" s="245"/>
      <c r="R856" s="244"/>
      <c r="S856" s="244"/>
      <c r="T856" s="244"/>
      <c r="U856" s="244"/>
      <c r="V856" s="244"/>
      <c r="W856" s="245"/>
      <c r="X856" s="253"/>
      <c r="Y856" s="253"/>
      <c r="Z856" s="244"/>
      <c r="AA856" s="244"/>
      <c r="AB856" s="43"/>
      <c r="AC856" s="43"/>
      <c r="AD856" s="43"/>
      <c r="AE856" s="43"/>
      <c r="AF856" s="43"/>
      <c r="AG856" s="43"/>
      <c r="AH856" s="43"/>
    </row>
    <row r="857" spans="1:34">
      <c r="A857" s="43"/>
      <c r="B857" s="43"/>
      <c r="C857" s="43"/>
      <c r="D857" s="43"/>
      <c r="E857" s="43"/>
      <c r="F857" s="43"/>
      <c r="G857" s="43"/>
      <c r="H857" s="244"/>
      <c r="I857" s="244"/>
      <c r="J857" s="244"/>
      <c r="K857" s="244"/>
      <c r="L857" s="244"/>
      <c r="M857" s="244"/>
      <c r="N857" s="244"/>
      <c r="O857" s="244"/>
      <c r="P857" s="244"/>
      <c r="Q857" s="245"/>
      <c r="R857" s="244"/>
      <c r="S857" s="244"/>
      <c r="T857" s="244"/>
      <c r="U857" s="244"/>
      <c r="V857" s="244"/>
      <c r="W857" s="245"/>
      <c r="X857" s="253"/>
      <c r="Y857" s="253"/>
      <c r="Z857" s="244"/>
      <c r="AA857" s="244"/>
      <c r="AB857" s="43"/>
      <c r="AC857" s="43"/>
      <c r="AD857" s="43"/>
      <c r="AE857" s="43"/>
      <c r="AF857" s="43"/>
      <c r="AG857" s="43"/>
      <c r="AH857" s="43"/>
    </row>
    <row r="858" spans="1:34">
      <c r="A858" s="43"/>
      <c r="B858" s="43"/>
      <c r="C858" s="43"/>
      <c r="D858" s="43"/>
      <c r="E858" s="43"/>
      <c r="F858" s="43"/>
      <c r="G858" s="43"/>
      <c r="H858" s="244"/>
      <c r="I858" s="244"/>
      <c r="J858" s="244"/>
      <c r="K858" s="244"/>
      <c r="L858" s="244"/>
      <c r="M858" s="244"/>
      <c r="N858" s="244"/>
      <c r="O858" s="244"/>
      <c r="P858" s="244"/>
      <c r="Q858" s="245"/>
      <c r="R858" s="244"/>
      <c r="S858" s="244"/>
      <c r="T858" s="244"/>
      <c r="U858" s="244"/>
      <c r="V858" s="244"/>
      <c r="W858" s="245"/>
      <c r="X858" s="253"/>
      <c r="Y858" s="253"/>
      <c r="Z858" s="244"/>
      <c r="AA858" s="244"/>
      <c r="AB858" s="43"/>
      <c r="AC858" s="43"/>
      <c r="AD858" s="43"/>
      <c r="AE858" s="43"/>
      <c r="AF858" s="43"/>
      <c r="AG858" s="43"/>
      <c r="AH858" s="43"/>
    </row>
    <row r="859" spans="1:34">
      <c r="A859" s="43"/>
      <c r="B859" s="43"/>
      <c r="C859" s="43"/>
      <c r="D859" s="43"/>
      <c r="E859" s="43"/>
      <c r="F859" s="43"/>
      <c r="G859" s="43"/>
      <c r="H859" s="244"/>
      <c r="I859" s="244"/>
      <c r="J859" s="244"/>
      <c r="K859" s="244"/>
      <c r="L859" s="244"/>
      <c r="M859" s="244"/>
      <c r="N859" s="244"/>
      <c r="O859" s="244"/>
      <c r="P859" s="244"/>
      <c r="Q859" s="245"/>
      <c r="R859" s="244"/>
      <c r="S859" s="244"/>
      <c r="T859" s="244"/>
      <c r="U859" s="244"/>
      <c r="V859" s="244"/>
      <c r="W859" s="245"/>
      <c r="X859" s="253"/>
      <c r="Y859" s="253"/>
      <c r="Z859" s="244"/>
      <c r="AA859" s="244"/>
      <c r="AB859" s="43"/>
      <c r="AC859" s="43"/>
      <c r="AD859" s="43"/>
      <c r="AE859" s="43"/>
      <c r="AF859" s="43"/>
      <c r="AG859" s="43"/>
      <c r="AH859" s="43"/>
    </row>
    <row r="860" spans="1:34">
      <c r="A860" s="43"/>
      <c r="B860" s="43"/>
      <c r="C860" s="43"/>
      <c r="D860" s="43"/>
      <c r="E860" s="43"/>
      <c r="F860" s="43"/>
      <c r="G860" s="43"/>
      <c r="H860" s="244"/>
      <c r="I860" s="244"/>
      <c r="J860" s="244"/>
      <c r="K860" s="244"/>
      <c r="L860" s="244"/>
      <c r="M860" s="244"/>
      <c r="N860" s="244"/>
      <c r="O860" s="244"/>
      <c r="P860" s="244"/>
      <c r="Q860" s="245"/>
      <c r="R860" s="244"/>
      <c r="S860" s="244"/>
      <c r="T860" s="244"/>
      <c r="U860" s="244"/>
      <c r="V860" s="244"/>
      <c r="W860" s="245"/>
      <c r="X860" s="253"/>
      <c r="Y860" s="253"/>
      <c r="Z860" s="244"/>
      <c r="AA860" s="244"/>
      <c r="AB860" s="43"/>
      <c r="AC860" s="43"/>
      <c r="AD860" s="43"/>
      <c r="AE860" s="43"/>
      <c r="AF860" s="43"/>
      <c r="AG860" s="43"/>
      <c r="AH860" s="43"/>
    </row>
    <row r="861" spans="1:34">
      <c r="A861" s="43"/>
      <c r="B861" s="43"/>
      <c r="C861" s="43"/>
      <c r="D861" s="43"/>
      <c r="E861" s="43"/>
      <c r="F861" s="43"/>
      <c r="G861" s="43"/>
      <c r="H861" s="244"/>
      <c r="I861" s="244"/>
      <c r="J861" s="244"/>
      <c r="K861" s="244"/>
      <c r="L861" s="244"/>
      <c r="M861" s="244"/>
      <c r="N861" s="244"/>
      <c r="O861" s="244"/>
      <c r="P861" s="244"/>
      <c r="Q861" s="245"/>
      <c r="R861" s="244"/>
      <c r="S861" s="244"/>
      <c r="T861" s="244"/>
      <c r="U861" s="244"/>
      <c r="V861" s="244"/>
      <c r="W861" s="245"/>
      <c r="X861" s="253"/>
      <c r="Y861" s="253"/>
      <c r="Z861" s="244"/>
      <c r="AA861" s="244"/>
      <c r="AB861" s="43"/>
      <c r="AC861" s="43"/>
      <c r="AD861" s="43"/>
      <c r="AE861" s="43"/>
      <c r="AF861" s="43"/>
      <c r="AG861" s="43"/>
      <c r="AH861" s="43"/>
    </row>
    <row r="862" spans="1:34">
      <c r="A862" s="43"/>
      <c r="B862" s="43"/>
      <c r="C862" s="43"/>
      <c r="D862" s="43"/>
      <c r="E862" s="43"/>
      <c r="F862" s="43"/>
      <c r="G862" s="43"/>
      <c r="H862" s="244"/>
      <c r="I862" s="244"/>
      <c r="J862" s="244"/>
      <c r="K862" s="244"/>
      <c r="L862" s="244"/>
      <c r="M862" s="244"/>
      <c r="N862" s="244"/>
      <c r="O862" s="244"/>
      <c r="P862" s="244"/>
      <c r="Q862" s="245"/>
      <c r="R862" s="244"/>
      <c r="S862" s="244"/>
      <c r="T862" s="244"/>
      <c r="U862" s="244"/>
      <c r="V862" s="244"/>
      <c r="W862" s="245"/>
      <c r="X862" s="253"/>
      <c r="Y862" s="253"/>
      <c r="Z862" s="244"/>
      <c r="AA862" s="244"/>
      <c r="AB862" s="43"/>
      <c r="AC862" s="43"/>
      <c r="AD862" s="43"/>
      <c r="AE862" s="43"/>
      <c r="AF862" s="43"/>
      <c r="AG862" s="43"/>
      <c r="AH862" s="43"/>
    </row>
    <row r="863" spans="1:34">
      <c r="A863" s="43"/>
      <c r="B863" s="43"/>
      <c r="C863" s="43"/>
      <c r="D863" s="43"/>
      <c r="E863" s="43"/>
      <c r="F863" s="43"/>
      <c r="G863" s="43"/>
      <c r="H863" s="244"/>
      <c r="I863" s="244"/>
      <c r="J863" s="244"/>
      <c r="K863" s="244"/>
      <c r="L863" s="244"/>
      <c r="M863" s="244"/>
      <c r="N863" s="244"/>
      <c r="O863" s="244"/>
      <c r="P863" s="244"/>
      <c r="Q863" s="245"/>
      <c r="R863" s="244"/>
      <c r="S863" s="244"/>
      <c r="T863" s="244"/>
      <c r="U863" s="244"/>
      <c r="V863" s="244"/>
      <c r="W863" s="245"/>
      <c r="X863" s="253"/>
      <c r="Y863" s="253"/>
      <c r="Z863" s="244"/>
      <c r="AA863" s="244"/>
      <c r="AB863" s="43"/>
      <c r="AC863" s="43"/>
      <c r="AD863" s="43"/>
      <c r="AE863" s="43"/>
      <c r="AF863" s="43"/>
      <c r="AG863" s="43"/>
      <c r="AH863" s="43"/>
    </row>
    <row r="864" spans="1:34">
      <c r="A864" s="43"/>
      <c r="B864" s="43"/>
      <c r="C864" s="43"/>
      <c r="D864" s="43"/>
      <c r="E864" s="43"/>
      <c r="F864" s="43"/>
      <c r="G864" s="43"/>
      <c r="H864" s="244"/>
      <c r="I864" s="244"/>
      <c r="J864" s="244"/>
      <c r="K864" s="244"/>
      <c r="L864" s="244"/>
      <c r="M864" s="244"/>
      <c r="N864" s="244"/>
      <c r="O864" s="244"/>
      <c r="P864" s="244"/>
      <c r="Q864" s="245"/>
      <c r="R864" s="244"/>
      <c r="S864" s="244"/>
      <c r="T864" s="244"/>
      <c r="U864" s="244"/>
      <c r="V864" s="244"/>
      <c r="W864" s="245"/>
      <c r="X864" s="253"/>
      <c r="Y864" s="253"/>
      <c r="Z864" s="244"/>
      <c r="AA864" s="244"/>
      <c r="AB864" s="43"/>
      <c r="AC864" s="43"/>
      <c r="AD864" s="43"/>
      <c r="AE864" s="43"/>
      <c r="AF864" s="43"/>
      <c r="AG864" s="43"/>
      <c r="AH864" s="43"/>
    </row>
    <row r="865" spans="1:34">
      <c r="A865" s="43"/>
      <c r="B865" s="43"/>
      <c r="C865" s="43"/>
      <c r="D865" s="43"/>
      <c r="E865" s="43"/>
      <c r="F865" s="43"/>
      <c r="G865" s="43"/>
      <c r="H865" s="244"/>
      <c r="I865" s="244"/>
      <c r="J865" s="244"/>
      <c r="K865" s="244"/>
      <c r="L865" s="244"/>
      <c r="M865" s="244"/>
      <c r="N865" s="244"/>
      <c r="O865" s="244"/>
      <c r="P865" s="244"/>
      <c r="Q865" s="245"/>
      <c r="R865" s="244"/>
      <c r="S865" s="244"/>
      <c r="T865" s="244"/>
      <c r="U865" s="244"/>
      <c r="V865" s="244"/>
      <c r="W865" s="245"/>
      <c r="X865" s="253"/>
      <c r="Y865" s="253"/>
      <c r="Z865" s="244"/>
      <c r="AA865" s="244"/>
      <c r="AB865" s="43"/>
      <c r="AC865" s="43"/>
      <c r="AD865" s="43"/>
      <c r="AE865" s="43"/>
      <c r="AF865" s="43"/>
      <c r="AG865" s="43"/>
      <c r="AH865" s="43"/>
    </row>
    <row r="866" spans="1:34">
      <c r="A866" s="43"/>
      <c r="B866" s="43"/>
      <c r="C866" s="43"/>
      <c r="D866" s="43"/>
      <c r="E866" s="43"/>
      <c r="F866" s="43"/>
      <c r="G866" s="43"/>
      <c r="H866" s="244"/>
      <c r="I866" s="244"/>
      <c r="J866" s="244"/>
      <c r="K866" s="244"/>
      <c r="L866" s="244"/>
      <c r="M866" s="244"/>
      <c r="N866" s="244"/>
      <c r="O866" s="244"/>
      <c r="P866" s="244"/>
      <c r="Q866" s="245"/>
      <c r="R866" s="244"/>
      <c r="S866" s="244"/>
      <c r="T866" s="244"/>
      <c r="U866" s="244"/>
      <c r="V866" s="244"/>
      <c r="W866" s="245"/>
      <c r="X866" s="253"/>
      <c r="Y866" s="253"/>
      <c r="Z866" s="244"/>
      <c r="AA866" s="244"/>
      <c r="AB866" s="43"/>
      <c r="AC866" s="43"/>
      <c r="AD866" s="43"/>
      <c r="AE866" s="43"/>
      <c r="AF866" s="43"/>
      <c r="AG866" s="43"/>
      <c r="AH866" s="43"/>
    </row>
    <row r="867" spans="1:34">
      <c r="A867" s="43"/>
      <c r="B867" s="43"/>
      <c r="C867" s="43"/>
      <c r="D867" s="43"/>
      <c r="E867" s="43"/>
      <c r="F867" s="43"/>
      <c r="G867" s="43"/>
      <c r="H867" s="244"/>
      <c r="I867" s="244"/>
      <c r="J867" s="244"/>
      <c r="K867" s="244"/>
      <c r="L867" s="244"/>
      <c r="M867" s="244"/>
      <c r="N867" s="244"/>
      <c r="O867" s="244"/>
      <c r="P867" s="244"/>
      <c r="Q867" s="245"/>
      <c r="R867" s="244"/>
      <c r="S867" s="244"/>
      <c r="T867" s="244"/>
      <c r="U867" s="244"/>
      <c r="V867" s="244"/>
      <c r="W867" s="245"/>
      <c r="X867" s="253"/>
      <c r="Y867" s="253"/>
      <c r="Z867" s="244"/>
      <c r="AA867" s="244"/>
      <c r="AB867" s="43"/>
      <c r="AC867" s="43"/>
      <c r="AD867" s="43"/>
      <c r="AE867" s="43"/>
      <c r="AF867" s="43"/>
      <c r="AG867" s="43"/>
      <c r="AH867" s="43"/>
    </row>
    <row r="868" spans="1:34">
      <c r="A868" s="43"/>
      <c r="B868" s="43"/>
      <c r="C868" s="43"/>
      <c r="D868" s="43"/>
      <c r="E868" s="43"/>
      <c r="F868" s="43"/>
      <c r="G868" s="43"/>
      <c r="H868" s="244"/>
      <c r="I868" s="244"/>
      <c r="J868" s="244"/>
      <c r="K868" s="244"/>
      <c r="L868" s="244"/>
      <c r="M868" s="244"/>
      <c r="N868" s="244"/>
      <c r="O868" s="244"/>
      <c r="P868" s="244"/>
      <c r="Q868" s="245"/>
      <c r="R868" s="244"/>
      <c r="S868" s="244"/>
      <c r="T868" s="244"/>
      <c r="U868" s="244"/>
      <c r="V868" s="244"/>
      <c r="W868" s="245"/>
      <c r="X868" s="253"/>
      <c r="Y868" s="253"/>
      <c r="Z868" s="244"/>
      <c r="AA868" s="244"/>
      <c r="AB868" s="43"/>
      <c r="AC868" s="43"/>
      <c r="AD868" s="43"/>
      <c r="AE868" s="43"/>
      <c r="AF868" s="43"/>
      <c r="AG868" s="43"/>
      <c r="AH868" s="43"/>
    </row>
    <row r="869" spans="1:34">
      <c r="A869" s="43"/>
      <c r="B869" s="43"/>
      <c r="C869" s="43"/>
      <c r="D869" s="43"/>
      <c r="E869" s="43"/>
      <c r="F869" s="43"/>
      <c r="G869" s="43"/>
      <c r="H869" s="244"/>
      <c r="I869" s="244"/>
      <c r="J869" s="244"/>
      <c r="K869" s="244"/>
      <c r="L869" s="244"/>
      <c r="M869" s="244"/>
      <c r="N869" s="244"/>
      <c r="O869" s="244"/>
      <c r="P869" s="244"/>
      <c r="Q869" s="245"/>
      <c r="R869" s="244"/>
      <c r="S869" s="244"/>
      <c r="T869" s="244"/>
      <c r="U869" s="244"/>
      <c r="V869" s="244"/>
      <c r="W869" s="245"/>
      <c r="X869" s="253"/>
      <c r="Y869" s="253"/>
      <c r="Z869" s="244"/>
      <c r="AA869" s="244"/>
      <c r="AB869" s="43"/>
      <c r="AC869" s="43"/>
      <c r="AD869" s="43"/>
      <c r="AE869" s="43"/>
      <c r="AF869" s="43"/>
      <c r="AG869" s="43"/>
      <c r="AH869" s="43"/>
    </row>
    <row r="870" spans="1:34">
      <c r="A870" s="43"/>
      <c r="B870" s="43"/>
      <c r="C870" s="43"/>
      <c r="D870" s="43"/>
      <c r="E870" s="43"/>
      <c r="F870" s="43"/>
      <c r="G870" s="43"/>
      <c r="H870" s="244"/>
      <c r="I870" s="244"/>
      <c r="J870" s="244"/>
      <c r="K870" s="244"/>
      <c r="L870" s="244"/>
      <c r="M870" s="244"/>
      <c r="N870" s="244"/>
      <c r="O870" s="244"/>
      <c r="P870" s="244"/>
      <c r="Q870" s="245"/>
      <c r="R870" s="244"/>
      <c r="S870" s="244"/>
      <c r="T870" s="244"/>
      <c r="U870" s="244"/>
      <c r="V870" s="244"/>
      <c r="W870" s="245"/>
      <c r="X870" s="253"/>
      <c r="Y870" s="253"/>
      <c r="Z870" s="244"/>
      <c r="AA870" s="244"/>
      <c r="AB870" s="43"/>
      <c r="AC870" s="43"/>
      <c r="AD870" s="43"/>
      <c r="AE870" s="43"/>
      <c r="AF870" s="43"/>
      <c r="AG870" s="43"/>
      <c r="AH870" s="43"/>
    </row>
  </sheetData>
  <autoFilter ref="A1:AB15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97"/>
  <sheetViews>
    <sheetView workbookViewId="0"/>
  </sheetViews>
  <sheetFormatPr defaultColWidth="14.44140625" defaultRowHeight="15" customHeight="1"/>
  <cols>
    <col min="1" max="1" width="9.6640625" customWidth="1"/>
    <col min="2" max="3" width="14" customWidth="1"/>
    <col min="4" max="4" width="23.88671875" customWidth="1"/>
    <col min="5" max="5" width="24.6640625" customWidth="1"/>
    <col min="6" max="6" width="36.33203125" customWidth="1"/>
    <col min="7" max="7" width="9.6640625" customWidth="1"/>
    <col min="8" max="8" width="8.5546875" customWidth="1"/>
    <col min="9" max="9" width="8" customWidth="1"/>
    <col min="10" max="10" width="10" customWidth="1"/>
    <col min="11" max="12" width="8.6640625" customWidth="1"/>
    <col min="13" max="13" width="7" customWidth="1"/>
    <col min="14" max="14" width="8.5546875" customWidth="1"/>
    <col min="15" max="15" width="9.5546875" customWidth="1"/>
    <col min="16" max="16" width="7.5546875" customWidth="1"/>
    <col min="17" max="17" width="9.44140625" customWidth="1"/>
    <col min="18" max="19" width="7" customWidth="1"/>
    <col min="20" max="20" width="5.88671875" customWidth="1"/>
    <col min="21" max="21" width="20.6640625" customWidth="1"/>
    <col min="22" max="22" width="14" customWidth="1"/>
    <col min="23" max="23" width="8.88671875" customWidth="1"/>
  </cols>
  <sheetData>
    <row r="1" spans="1:23">
      <c r="A1" s="254" t="s">
        <v>1</v>
      </c>
      <c r="B1" s="254" t="s">
        <v>4</v>
      </c>
      <c r="C1" s="255" t="s">
        <v>161</v>
      </c>
      <c r="D1" s="254" t="s">
        <v>162</v>
      </c>
      <c r="E1" s="254" t="s">
        <v>163</v>
      </c>
      <c r="F1" s="254" t="s">
        <v>6</v>
      </c>
      <c r="G1" s="254" t="s">
        <v>166</v>
      </c>
      <c r="H1" s="256" t="s">
        <v>15</v>
      </c>
      <c r="I1" s="257" t="s">
        <v>174</v>
      </c>
      <c r="J1" s="258" t="s">
        <v>1083</v>
      </c>
      <c r="K1" s="258" t="s">
        <v>1084</v>
      </c>
      <c r="L1" s="259" t="s">
        <v>958</v>
      </c>
      <c r="M1" s="260" t="s">
        <v>960</v>
      </c>
      <c r="N1" s="259" t="s">
        <v>11</v>
      </c>
      <c r="O1" s="258" t="s">
        <v>931</v>
      </c>
      <c r="P1" s="258" t="s">
        <v>186</v>
      </c>
      <c r="Q1" s="261" t="s">
        <v>961</v>
      </c>
      <c r="R1" s="258" t="s">
        <v>962</v>
      </c>
      <c r="S1" s="258" t="s">
        <v>1085</v>
      </c>
      <c r="T1" s="257"/>
      <c r="U1" s="257"/>
      <c r="V1" s="257"/>
      <c r="W1" s="257"/>
    </row>
    <row r="2" spans="1:23">
      <c r="A2" s="212" t="s">
        <v>231</v>
      </c>
      <c r="B2" s="212" t="s">
        <v>232</v>
      </c>
      <c r="C2" s="212" t="e">
        <f>VLOOKUP(A2,'Amazon Live Products'!E:G,3,0)</f>
        <v>#N/A</v>
      </c>
      <c r="D2" s="212" t="s">
        <v>234</v>
      </c>
      <c r="E2" s="212" t="s">
        <v>235</v>
      </c>
      <c r="F2" s="212" t="s">
        <v>238</v>
      </c>
      <c r="G2" s="212">
        <v>85167990</v>
      </c>
      <c r="H2" s="236" t="e">
        <f>VLOOKUP(B2,'Amazon Live Products'!F:P,11,0)</f>
        <v>#N/A</v>
      </c>
      <c r="I2" s="262" t="e">
        <f>VLOOKUP(B2,'Amazon Live Products'!F:Q,12,0)</f>
        <v>#N/A</v>
      </c>
      <c r="J2" s="263" t="e">
        <f t="shared" ref="J2:J97" si="0">R2*35%</f>
        <v>#N/A</v>
      </c>
      <c r="K2" s="263" t="e">
        <f t="shared" ref="K2:K14" si="1">R2*10%</f>
        <v>#N/A</v>
      </c>
      <c r="L2" s="264">
        <v>60</v>
      </c>
      <c r="M2" s="265" t="e">
        <f t="shared" ref="M2:M97" si="2">R2*1%</f>
        <v>#N/A</v>
      </c>
      <c r="N2" s="264" t="e">
        <f t="shared" ref="N2:N97" si="3">R2-(R2/1.18)</f>
        <v>#N/A</v>
      </c>
      <c r="O2" s="263" t="e">
        <f t="shared" ref="O2:O97" si="4">H2+J2+K2+L2+M2+N2</f>
        <v>#N/A</v>
      </c>
      <c r="P2" s="263" t="e">
        <f t="shared" ref="P2:P97" si="5">R2-O2</f>
        <v>#N/A</v>
      </c>
      <c r="Q2" s="266" t="e">
        <f t="shared" ref="Q2:Q97" si="6">P2/R2</f>
        <v>#N/A</v>
      </c>
      <c r="R2" s="263" t="e">
        <f>S2+T2</f>
        <v>#N/A</v>
      </c>
      <c r="S2" s="263" t="e">
        <f>VLOOKUP(A2,'Amazon Live Products'!E:AF,28,0)</f>
        <v>#N/A</v>
      </c>
      <c r="T2" s="263" t="e">
        <f t="shared" ref="T2:T97" si="7">S2*10%</f>
        <v>#N/A</v>
      </c>
      <c r="U2" s="263" t="s">
        <v>1086</v>
      </c>
      <c r="V2" s="263" t="e">
        <f t="shared" ref="V2:V13" si="8">C2</f>
        <v>#N/A</v>
      </c>
      <c r="W2" s="263"/>
    </row>
    <row r="3" spans="1:23">
      <c r="A3" s="212" t="s">
        <v>240</v>
      </c>
      <c r="B3" s="212" t="s">
        <v>241</v>
      </c>
      <c r="C3" s="212" t="str">
        <f>VLOOKUP(A3,'Amazon Live Products'!E:G,3,0)</f>
        <v>GS-02</v>
      </c>
      <c r="D3" s="212" t="s">
        <v>234</v>
      </c>
      <c r="E3" s="212" t="s">
        <v>235</v>
      </c>
      <c r="F3" s="212" t="s">
        <v>244</v>
      </c>
      <c r="G3" s="212">
        <v>85167990</v>
      </c>
      <c r="H3" s="236">
        <f>VLOOKUP(B3,'Amazon Live Products'!F:P,11,0)</f>
        <v>1046.0171955200001</v>
      </c>
      <c r="I3" s="262">
        <f>VLOOKUP(B3,'Amazon Live Products'!F:Q,12,0)</f>
        <v>1234.3002907136001</v>
      </c>
      <c r="J3" s="263">
        <f t="shared" si="0"/>
        <v>874.65</v>
      </c>
      <c r="K3" s="263">
        <f t="shared" si="1"/>
        <v>249.9</v>
      </c>
      <c r="L3" s="264">
        <v>60</v>
      </c>
      <c r="M3" s="265">
        <f t="shared" si="2"/>
        <v>24.990000000000002</v>
      </c>
      <c r="N3" s="264">
        <f t="shared" si="3"/>
        <v>381.20338983050851</v>
      </c>
      <c r="O3" s="264">
        <f t="shared" si="4"/>
        <v>2636.7605853505083</v>
      </c>
      <c r="P3" s="264">
        <f t="shared" si="5"/>
        <v>-137.76058535050834</v>
      </c>
      <c r="Q3" s="266">
        <f t="shared" si="6"/>
        <v>-5.512628465406496E-2</v>
      </c>
      <c r="R3" s="263">
        <v>2499</v>
      </c>
      <c r="S3" s="267">
        <f>VLOOKUP(A3,'Amazon Live Products'!E:AF,28,0)</f>
        <v>2049</v>
      </c>
      <c r="T3" s="263">
        <f t="shared" si="7"/>
        <v>204.9</v>
      </c>
      <c r="U3" s="263" t="s">
        <v>1087</v>
      </c>
      <c r="V3" s="263" t="str">
        <f t="shared" si="8"/>
        <v>GS-02</v>
      </c>
      <c r="W3" s="263"/>
    </row>
    <row r="4" spans="1:23">
      <c r="A4" s="212" t="s">
        <v>246</v>
      </c>
      <c r="B4" s="212" t="s">
        <v>247</v>
      </c>
      <c r="C4" s="212" t="str">
        <f>VLOOKUP(A4,'Amazon Live Products'!E:G,3,0)</f>
        <v>SC-01</v>
      </c>
      <c r="D4" s="212" t="s">
        <v>234</v>
      </c>
      <c r="E4" s="212" t="s">
        <v>249</v>
      </c>
      <c r="F4" s="212" t="s">
        <v>251</v>
      </c>
      <c r="G4" s="212">
        <v>85098000</v>
      </c>
      <c r="H4" s="236">
        <f>VLOOKUP(B4,'Amazon Live Products'!F:P,11,0)</f>
        <v>1491.5552235294117</v>
      </c>
      <c r="I4" s="262">
        <f>VLOOKUP(B4,'Amazon Live Products'!F:Q,12,0)</f>
        <v>1760.0351637647057</v>
      </c>
      <c r="J4" s="263">
        <f t="shared" si="0"/>
        <v>1399.6499999999999</v>
      </c>
      <c r="K4" s="263">
        <f t="shared" si="1"/>
        <v>399.90000000000003</v>
      </c>
      <c r="L4" s="264">
        <v>60</v>
      </c>
      <c r="M4" s="265">
        <f t="shared" si="2"/>
        <v>39.99</v>
      </c>
      <c r="N4" s="264">
        <f t="shared" si="3"/>
        <v>610.01694915254211</v>
      </c>
      <c r="O4" s="264">
        <f t="shared" si="4"/>
        <v>4001.1121726819533</v>
      </c>
      <c r="P4" s="264">
        <f t="shared" si="5"/>
        <v>-2.1121726819533251</v>
      </c>
      <c r="Q4" s="266">
        <f t="shared" si="6"/>
        <v>-5.2817521429190429E-4</v>
      </c>
      <c r="R4" s="263">
        <v>3999</v>
      </c>
      <c r="S4" s="267">
        <f>VLOOKUP(A4,'Amazon Live Products'!E:AF,28,0)</f>
        <v>3399</v>
      </c>
      <c r="T4" s="263">
        <f t="shared" si="7"/>
        <v>339.90000000000003</v>
      </c>
      <c r="U4" s="263" t="s">
        <v>1088</v>
      </c>
      <c r="V4" s="263" t="str">
        <f t="shared" si="8"/>
        <v>SC-01</v>
      </c>
      <c r="W4" s="263"/>
    </row>
    <row r="5" spans="1:23">
      <c r="A5" s="212" t="s">
        <v>253</v>
      </c>
      <c r="B5" s="212" t="s">
        <v>254</v>
      </c>
      <c r="C5" s="212" t="str">
        <f>VLOOKUP(A5,'Amazon Live Products'!E:G,3,0)</f>
        <v>NP-01</v>
      </c>
      <c r="D5" s="212" t="s">
        <v>256</v>
      </c>
      <c r="E5" s="212" t="s">
        <v>257</v>
      </c>
      <c r="F5" s="212" t="s">
        <v>259</v>
      </c>
      <c r="G5" s="212">
        <v>94043090</v>
      </c>
      <c r="H5" s="236">
        <f>VLOOKUP(B5,'Amazon Live Products'!F:P,11,0)</f>
        <v>343.33742390588236</v>
      </c>
      <c r="I5" s="262">
        <f>VLOOKUP(B5,'Amazon Live Products'!F:Q,12,0)</f>
        <v>405.13816020894114</v>
      </c>
      <c r="J5" s="263">
        <f t="shared" si="0"/>
        <v>349.65</v>
      </c>
      <c r="K5" s="263">
        <f t="shared" si="1"/>
        <v>99.9</v>
      </c>
      <c r="L5" s="264">
        <v>60</v>
      </c>
      <c r="M5" s="265">
        <f t="shared" si="2"/>
        <v>9.99</v>
      </c>
      <c r="N5" s="264">
        <f t="shared" si="3"/>
        <v>152.38983050847457</v>
      </c>
      <c r="O5" s="264">
        <f t="shared" si="4"/>
        <v>1015.2672544143569</v>
      </c>
      <c r="P5" s="264">
        <f t="shared" si="5"/>
        <v>-16.267254414356898</v>
      </c>
      <c r="Q5" s="266">
        <f t="shared" si="6"/>
        <v>-1.6283537952309208E-2</v>
      </c>
      <c r="R5" s="263">
        <v>999</v>
      </c>
      <c r="S5" s="267">
        <f>VLOOKUP(A5,'Amazon Live Products'!E:AF,28,0)</f>
        <v>699</v>
      </c>
      <c r="T5" s="263">
        <f t="shared" si="7"/>
        <v>69.900000000000006</v>
      </c>
      <c r="U5" s="263" t="s">
        <v>1088</v>
      </c>
      <c r="V5" s="263" t="str">
        <f t="shared" si="8"/>
        <v>NP-01</v>
      </c>
      <c r="W5" s="263"/>
    </row>
    <row r="6" spans="1:23">
      <c r="A6" s="212" t="s">
        <v>262</v>
      </c>
      <c r="B6" s="212" t="s">
        <v>263</v>
      </c>
      <c r="C6" s="212" t="str">
        <f>VLOOKUP(A6,'Amazon Live Products'!E:G,3,0)</f>
        <v>NP-02</v>
      </c>
      <c r="D6" s="212" t="s">
        <v>256</v>
      </c>
      <c r="E6" s="212" t="s">
        <v>257</v>
      </c>
      <c r="F6" s="212" t="s">
        <v>265</v>
      </c>
      <c r="G6" s="212">
        <v>94043090</v>
      </c>
      <c r="H6" s="236">
        <f>VLOOKUP(B6,'Amazon Live Products'!F:P,11,0)</f>
        <v>343.33742390588236</v>
      </c>
      <c r="I6" s="262">
        <f>VLOOKUP(B6,'Amazon Live Products'!F:Q,12,0)</f>
        <v>405.13816020894114</v>
      </c>
      <c r="J6" s="263">
        <f t="shared" si="0"/>
        <v>349.65</v>
      </c>
      <c r="K6" s="263">
        <f t="shared" si="1"/>
        <v>99.9</v>
      </c>
      <c r="L6" s="264">
        <v>60</v>
      </c>
      <c r="M6" s="265">
        <f t="shared" si="2"/>
        <v>9.99</v>
      </c>
      <c r="N6" s="264">
        <f t="shared" si="3"/>
        <v>152.38983050847457</v>
      </c>
      <c r="O6" s="264">
        <f t="shared" si="4"/>
        <v>1015.2672544143569</v>
      </c>
      <c r="P6" s="264">
        <f t="shared" si="5"/>
        <v>-16.267254414356898</v>
      </c>
      <c r="Q6" s="266">
        <f t="shared" si="6"/>
        <v>-1.6283537952309208E-2</v>
      </c>
      <c r="R6" s="263">
        <v>999</v>
      </c>
      <c r="S6" s="267">
        <f>VLOOKUP(A6,'Amazon Live Products'!E:AF,28,0)</f>
        <v>699</v>
      </c>
      <c r="T6" s="263">
        <f t="shared" si="7"/>
        <v>69.900000000000006</v>
      </c>
      <c r="U6" s="263" t="s">
        <v>1089</v>
      </c>
      <c r="V6" s="263" t="str">
        <f t="shared" si="8"/>
        <v>NP-02</v>
      </c>
      <c r="W6" s="263"/>
    </row>
    <row r="7" spans="1:23">
      <c r="A7" s="212" t="s">
        <v>267</v>
      </c>
      <c r="B7" s="187" t="s">
        <v>268</v>
      </c>
      <c r="C7" s="212" t="str">
        <f>VLOOKUP(A7,'Amazon Live Products'!E:G,3,0)</f>
        <v>NP-03</v>
      </c>
      <c r="D7" s="212" t="s">
        <v>256</v>
      </c>
      <c r="E7" s="212" t="s">
        <v>257</v>
      </c>
      <c r="F7" s="212" t="s">
        <v>936</v>
      </c>
      <c r="G7" s="212">
        <v>94043090</v>
      </c>
      <c r="H7" s="236">
        <f>VLOOKUP(B7,'Amazon Live Products'!F:P,11,0)</f>
        <v>343.33742390588236</v>
      </c>
      <c r="I7" s="262">
        <f>VLOOKUP(B7,'Amazon Live Products'!F:Q,12,0)</f>
        <v>405.13816020894114</v>
      </c>
      <c r="J7" s="263">
        <f t="shared" si="0"/>
        <v>349.65</v>
      </c>
      <c r="K7" s="263">
        <f t="shared" si="1"/>
        <v>99.9</v>
      </c>
      <c r="L7" s="264">
        <v>60</v>
      </c>
      <c r="M7" s="265">
        <f t="shared" si="2"/>
        <v>9.99</v>
      </c>
      <c r="N7" s="264">
        <f t="shared" si="3"/>
        <v>152.38983050847457</v>
      </c>
      <c r="O7" s="264">
        <f t="shared" si="4"/>
        <v>1015.2672544143569</v>
      </c>
      <c r="P7" s="264">
        <f t="shared" si="5"/>
        <v>-16.267254414356898</v>
      </c>
      <c r="Q7" s="266">
        <f t="shared" si="6"/>
        <v>-1.6283537952309208E-2</v>
      </c>
      <c r="R7" s="263">
        <v>999</v>
      </c>
      <c r="S7" s="267">
        <f>VLOOKUP(A7,'Amazon Live Products'!E:AF,28,0)</f>
        <v>699</v>
      </c>
      <c r="T7" s="263">
        <f t="shared" si="7"/>
        <v>69.900000000000006</v>
      </c>
      <c r="U7" s="263" t="s">
        <v>1088</v>
      </c>
      <c r="V7" s="263" t="str">
        <f t="shared" si="8"/>
        <v>NP-03</v>
      </c>
      <c r="W7" s="263"/>
    </row>
    <row r="8" spans="1:23">
      <c r="A8" s="212" t="s">
        <v>311</v>
      </c>
      <c r="B8" s="212" t="s">
        <v>312</v>
      </c>
      <c r="C8" s="212" t="str">
        <f>VLOOKUP(A8,'Amazon Live Products'!E:G,3,0)</f>
        <v>DF-01-BK</v>
      </c>
      <c r="D8" s="212" t="s">
        <v>314</v>
      </c>
      <c r="E8" s="212" t="s">
        <v>315</v>
      </c>
      <c r="F8" s="212" t="s">
        <v>318</v>
      </c>
      <c r="G8" s="212">
        <v>84244900</v>
      </c>
      <c r="H8" s="236">
        <f>VLOOKUP(B8,'Amazon Live Products'!F:P,11,0)</f>
        <v>891.00488400000006</v>
      </c>
      <c r="I8" s="262">
        <f>VLOOKUP(B8,'Amazon Live Products'!F:Q,12,0)</f>
        <v>1051.3857631200001</v>
      </c>
      <c r="J8" s="263">
        <f t="shared" si="0"/>
        <v>588.66499999999996</v>
      </c>
      <c r="K8" s="263">
        <f t="shared" si="1"/>
        <v>168.19000000000003</v>
      </c>
      <c r="L8" s="264">
        <v>60</v>
      </c>
      <c r="M8" s="265">
        <f t="shared" si="2"/>
        <v>16.819000000000003</v>
      </c>
      <c r="N8" s="264">
        <f t="shared" si="3"/>
        <v>256.56101694915242</v>
      </c>
      <c r="O8" s="264">
        <f t="shared" si="4"/>
        <v>1981.2399009491523</v>
      </c>
      <c r="P8" s="267">
        <f t="shared" si="5"/>
        <v>-299.33990094915225</v>
      </c>
      <c r="Q8" s="266">
        <f t="shared" si="6"/>
        <v>-0.17797722869918084</v>
      </c>
      <c r="R8" s="267">
        <f>S8+T8</f>
        <v>1681.9</v>
      </c>
      <c r="S8" s="267">
        <f>VLOOKUP(A8,'Amazon Live Products'!E:AF,28,0)</f>
        <v>1529</v>
      </c>
      <c r="T8" s="263">
        <f t="shared" si="7"/>
        <v>152.9</v>
      </c>
      <c r="U8" s="263" t="s">
        <v>1090</v>
      </c>
      <c r="V8" s="263" t="str">
        <f t="shared" si="8"/>
        <v>DF-01-BK</v>
      </c>
      <c r="W8" s="263"/>
    </row>
    <row r="9" spans="1:23">
      <c r="A9" s="212" t="s">
        <v>324</v>
      </c>
      <c r="B9" s="212" t="s">
        <v>325</v>
      </c>
      <c r="C9" s="212" t="str">
        <f>VLOOKUP(A9,'Amazon Live Products'!E:G,3,0)</f>
        <v>GS-04</v>
      </c>
      <c r="D9" s="212" t="s">
        <v>234</v>
      </c>
      <c r="E9" s="212" t="s">
        <v>235</v>
      </c>
      <c r="F9" s="212" t="s">
        <v>327</v>
      </c>
      <c r="G9" s="212">
        <v>85167990</v>
      </c>
      <c r="H9" s="236">
        <f>VLOOKUP(B9,'Amazon Live Products'!F:P,11,0)</f>
        <v>1246.85079552</v>
      </c>
      <c r="I9" s="262">
        <f>VLOOKUP(B9,'Amazon Live Products'!F:Q,12,0)</f>
        <v>1471.2839387136</v>
      </c>
      <c r="J9" s="263">
        <f t="shared" si="0"/>
        <v>1049.6499999999999</v>
      </c>
      <c r="K9" s="263">
        <f t="shared" si="1"/>
        <v>299.90000000000003</v>
      </c>
      <c r="L9" s="264">
        <v>60</v>
      </c>
      <c r="M9" s="265">
        <f t="shared" si="2"/>
        <v>29.990000000000002</v>
      </c>
      <c r="N9" s="264">
        <f t="shared" si="3"/>
        <v>457.47457627118638</v>
      </c>
      <c r="O9" s="264">
        <f t="shared" si="4"/>
        <v>3143.8653717911861</v>
      </c>
      <c r="P9" s="264">
        <f t="shared" si="5"/>
        <v>-144.86537179118613</v>
      </c>
      <c r="Q9" s="266">
        <f t="shared" si="6"/>
        <v>-4.8304558783323154E-2</v>
      </c>
      <c r="R9" s="263">
        <v>2999</v>
      </c>
      <c r="S9" s="267">
        <f>VLOOKUP(A9,'Amazon Live Products'!E:AF,28,0)</f>
        <v>2199</v>
      </c>
      <c r="T9" s="263">
        <f t="shared" si="7"/>
        <v>219.9</v>
      </c>
      <c r="U9" s="263" t="s">
        <v>1087</v>
      </c>
      <c r="V9" s="263" t="str">
        <f t="shared" si="8"/>
        <v>GS-04</v>
      </c>
      <c r="W9" s="263"/>
    </row>
    <row r="10" spans="1:23">
      <c r="A10" s="212" t="s">
        <v>329</v>
      </c>
      <c r="B10" s="212" t="s">
        <v>330</v>
      </c>
      <c r="C10" s="212" t="str">
        <f>VLOOKUP(A10,'Amazon Live Products'!E:G,3,0)</f>
        <v>ET-01-BK</v>
      </c>
      <c r="D10" s="212" t="s">
        <v>314</v>
      </c>
      <c r="E10" s="212" t="s">
        <v>315</v>
      </c>
      <c r="F10" s="212" t="s">
        <v>333</v>
      </c>
      <c r="G10" s="212">
        <v>85098000</v>
      </c>
      <c r="H10" s="236">
        <f>VLOOKUP(B10,'Amazon Live Products'!F:P,11,0)</f>
        <v>235.44048000000001</v>
      </c>
      <c r="I10" s="262">
        <f>VLOOKUP(B10,'Amazon Live Products'!F:Q,12,0)</f>
        <v>277.81976639999999</v>
      </c>
      <c r="J10" s="263">
        <f t="shared" si="0"/>
        <v>115.11499999999998</v>
      </c>
      <c r="K10" s="263">
        <f t="shared" si="1"/>
        <v>32.89</v>
      </c>
      <c r="L10" s="264">
        <v>60</v>
      </c>
      <c r="M10" s="265">
        <f t="shared" si="2"/>
        <v>3.2889999999999997</v>
      </c>
      <c r="N10" s="264">
        <f t="shared" si="3"/>
        <v>50.171186440677957</v>
      </c>
      <c r="O10" s="264">
        <f t="shared" si="4"/>
        <v>496.90566644067792</v>
      </c>
      <c r="P10" s="267">
        <f t="shared" si="5"/>
        <v>-168.00566644067794</v>
      </c>
      <c r="Q10" s="266">
        <f t="shared" si="6"/>
        <v>-0.51081078273237446</v>
      </c>
      <c r="R10" s="267">
        <f t="shared" ref="R10:R14" si="9">S10+T10</f>
        <v>328.9</v>
      </c>
      <c r="S10" s="267">
        <f>VLOOKUP(A10,'Amazon Live Products'!E:AF,28,0)</f>
        <v>299</v>
      </c>
      <c r="T10" s="263">
        <f t="shared" si="7"/>
        <v>29.900000000000002</v>
      </c>
      <c r="U10" s="263" t="s">
        <v>1091</v>
      </c>
      <c r="V10" s="263" t="str">
        <f t="shared" si="8"/>
        <v>ET-01-BK</v>
      </c>
      <c r="W10" s="263"/>
    </row>
    <row r="11" spans="1:23">
      <c r="A11" s="212" t="s">
        <v>335</v>
      </c>
      <c r="B11" s="212" t="s">
        <v>336</v>
      </c>
      <c r="C11" s="212" t="str">
        <f>VLOOKUP(A11,'Amazon Live Products'!E:G,3,0)</f>
        <v>ET-02-GN</v>
      </c>
      <c r="D11" s="212" t="s">
        <v>314</v>
      </c>
      <c r="E11" s="212" t="s">
        <v>315</v>
      </c>
      <c r="F11" s="212" t="s">
        <v>338</v>
      </c>
      <c r="G11" s="212">
        <v>85098000</v>
      </c>
      <c r="H11" s="236">
        <f>VLOOKUP(B11,'Amazon Live Products'!F:P,11,0)</f>
        <v>235.44048000000001</v>
      </c>
      <c r="I11" s="262">
        <f>VLOOKUP(B11,'Amazon Live Products'!F:Q,12,0)</f>
        <v>277.81976639999999</v>
      </c>
      <c r="J11" s="263">
        <f t="shared" si="0"/>
        <v>115.11499999999998</v>
      </c>
      <c r="K11" s="263">
        <f t="shared" si="1"/>
        <v>32.89</v>
      </c>
      <c r="L11" s="264">
        <v>60</v>
      </c>
      <c r="M11" s="265">
        <f t="shared" si="2"/>
        <v>3.2889999999999997</v>
      </c>
      <c r="N11" s="264">
        <f t="shared" si="3"/>
        <v>50.171186440677957</v>
      </c>
      <c r="O11" s="264">
        <f t="shared" si="4"/>
        <v>496.90566644067792</v>
      </c>
      <c r="P11" s="267">
        <f t="shared" si="5"/>
        <v>-168.00566644067794</v>
      </c>
      <c r="Q11" s="266">
        <f t="shared" si="6"/>
        <v>-0.51081078273237446</v>
      </c>
      <c r="R11" s="267">
        <f t="shared" si="9"/>
        <v>328.9</v>
      </c>
      <c r="S11" s="267">
        <f>VLOOKUP(A11,'Amazon Live Products'!E:AF,28,0)</f>
        <v>299</v>
      </c>
      <c r="T11" s="263">
        <f t="shared" si="7"/>
        <v>29.900000000000002</v>
      </c>
      <c r="U11" s="263" t="s">
        <v>1091</v>
      </c>
      <c r="V11" s="263" t="str">
        <f t="shared" si="8"/>
        <v>ET-02-GN</v>
      </c>
      <c r="W11" s="263"/>
    </row>
    <row r="12" spans="1:23">
      <c r="A12" s="212" t="s">
        <v>340</v>
      </c>
      <c r="B12" s="212" t="s">
        <v>341</v>
      </c>
      <c r="C12" s="212" t="e">
        <f>VLOOKUP(A12,'Amazon Live Products'!E:G,3,0)</f>
        <v>#N/A</v>
      </c>
      <c r="D12" s="212" t="s">
        <v>314</v>
      </c>
      <c r="E12" s="212" t="s">
        <v>315</v>
      </c>
      <c r="F12" s="212" t="s">
        <v>343</v>
      </c>
      <c r="G12" s="212">
        <v>85098000</v>
      </c>
      <c r="H12" s="236" t="e">
        <f>VLOOKUP(B12,'Amazon Live Products'!F:P,11,0)</f>
        <v>#N/A</v>
      </c>
      <c r="I12" s="262" t="e">
        <f>VLOOKUP(B12,'Amazon Live Products'!F:Q,12,0)</f>
        <v>#N/A</v>
      </c>
      <c r="J12" s="263" t="e">
        <f t="shared" si="0"/>
        <v>#N/A</v>
      </c>
      <c r="K12" s="263" t="e">
        <f t="shared" si="1"/>
        <v>#N/A</v>
      </c>
      <c r="L12" s="264">
        <v>60</v>
      </c>
      <c r="M12" s="265" t="e">
        <f t="shared" si="2"/>
        <v>#N/A</v>
      </c>
      <c r="N12" s="264" t="e">
        <f t="shared" si="3"/>
        <v>#N/A</v>
      </c>
      <c r="O12" s="263" t="e">
        <f t="shared" si="4"/>
        <v>#N/A</v>
      </c>
      <c r="P12" s="263" t="e">
        <f t="shared" si="5"/>
        <v>#N/A</v>
      </c>
      <c r="Q12" s="266" t="e">
        <f t="shared" si="6"/>
        <v>#N/A</v>
      </c>
      <c r="R12" s="263" t="e">
        <f t="shared" si="9"/>
        <v>#N/A</v>
      </c>
      <c r="S12" s="263" t="e">
        <f>VLOOKUP(A12,'Amazon Live Products'!E:AF,28,0)</f>
        <v>#N/A</v>
      </c>
      <c r="T12" s="263" t="e">
        <f t="shared" si="7"/>
        <v>#N/A</v>
      </c>
      <c r="U12" s="263" t="s">
        <v>1091</v>
      </c>
      <c r="V12" s="263" t="e">
        <f t="shared" si="8"/>
        <v>#N/A</v>
      </c>
      <c r="W12" s="263"/>
    </row>
    <row r="13" spans="1:23">
      <c r="A13" s="212" t="s">
        <v>418</v>
      </c>
      <c r="B13" s="212" t="s">
        <v>419</v>
      </c>
      <c r="C13" s="212" t="str">
        <f>VLOOKUP(A13,'Amazon Live Products'!E:G,3,0)</f>
        <v>SC-02</v>
      </c>
      <c r="D13" s="212" t="s">
        <v>234</v>
      </c>
      <c r="E13" s="212" t="s">
        <v>249</v>
      </c>
      <c r="F13" s="212" t="s">
        <v>422</v>
      </c>
      <c r="G13" s="212">
        <v>85098000</v>
      </c>
      <c r="H13" s="236">
        <f>VLOOKUP(B13,'Amazon Live Products'!F:P,11,0)</f>
        <v>1133.3995199999999</v>
      </c>
      <c r="I13" s="262">
        <f>VLOOKUP(B13,'Amazon Live Products'!F:Q,12,0)</f>
        <v>1337.4114335999998</v>
      </c>
      <c r="J13" s="263">
        <f t="shared" si="0"/>
        <v>942.86500000000001</v>
      </c>
      <c r="K13" s="263">
        <f t="shared" si="1"/>
        <v>269.39000000000004</v>
      </c>
      <c r="L13" s="264">
        <v>60</v>
      </c>
      <c r="M13" s="265">
        <f t="shared" si="2"/>
        <v>26.939</v>
      </c>
      <c r="N13" s="264">
        <f t="shared" si="3"/>
        <v>410.93389830508477</v>
      </c>
      <c r="O13" s="264">
        <f t="shared" si="4"/>
        <v>2843.5274183050842</v>
      </c>
      <c r="P13" s="267">
        <f t="shared" si="5"/>
        <v>-149.62741830508412</v>
      </c>
      <c r="Q13" s="266">
        <f t="shared" si="6"/>
        <v>-5.5543048481786303E-2</v>
      </c>
      <c r="R13" s="267">
        <f t="shared" si="9"/>
        <v>2693.9</v>
      </c>
      <c r="S13" s="267">
        <f>VLOOKUP(A13,'Amazon Live Products'!E:AF,28,0)</f>
        <v>2449</v>
      </c>
      <c r="T13" s="263">
        <f t="shared" si="7"/>
        <v>244.9</v>
      </c>
      <c r="U13" s="263" t="s">
        <v>1087</v>
      </c>
      <c r="V13" s="263" t="str">
        <f t="shared" si="8"/>
        <v>SC-02</v>
      </c>
      <c r="W13" s="263"/>
    </row>
    <row r="14" spans="1:23">
      <c r="A14" s="212" t="s">
        <v>424</v>
      </c>
      <c r="B14" s="212" t="s">
        <v>425</v>
      </c>
      <c r="C14" s="187" t="str">
        <f>VLOOKUP(A14,'Amazon Live Products'!E:G,3,0)</f>
        <v>MR-01</v>
      </c>
      <c r="D14" s="212" t="s">
        <v>234</v>
      </c>
      <c r="E14" s="212" t="s">
        <v>249</v>
      </c>
      <c r="F14" s="212" t="s">
        <v>427</v>
      </c>
      <c r="G14" s="212">
        <v>85086000</v>
      </c>
      <c r="H14" s="236">
        <f>VLOOKUP(B14,'Amazon Live Products'!F:P,11,0)</f>
        <v>936.55584000000022</v>
      </c>
      <c r="I14" s="262">
        <f>VLOOKUP(B14,'Amazon Live Products'!F:Q,12,0)</f>
        <v>1105.1358912000003</v>
      </c>
      <c r="J14" s="263">
        <f t="shared" si="0"/>
        <v>1116.115</v>
      </c>
      <c r="K14" s="263">
        <f t="shared" si="1"/>
        <v>318.89000000000004</v>
      </c>
      <c r="L14" s="264">
        <v>60</v>
      </c>
      <c r="M14" s="265">
        <f t="shared" si="2"/>
        <v>31.889000000000003</v>
      </c>
      <c r="N14" s="264">
        <f t="shared" si="3"/>
        <v>486.44237288135582</v>
      </c>
      <c r="O14" s="264">
        <f t="shared" si="4"/>
        <v>2949.892212881356</v>
      </c>
      <c r="P14" s="267">
        <f t="shared" si="5"/>
        <v>239.00778711864405</v>
      </c>
      <c r="Q14" s="266">
        <f t="shared" si="6"/>
        <v>7.4949915995686303E-2</v>
      </c>
      <c r="R14" s="267">
        <f t="shared" si="9"/>
        <v>3188.9</v>
      </c>
      <c r="S14" s="267">
        <f>VLOOKUP(A14,'Amazon Live Products'!E:AF,28,0)</f>
        <v>2899</v>
      </c>
      <c r="T14" s="263">
        <f t="shared" si="7"/>
        <v>289.90000000000003</v>
      </c>
      <c r="U14" s="263"/>
      <c r="V14" s="263"/>
      <c r="W14" s="263"/>
    </row>
    <row r="15" spans="1:23">
      <c r="A15" s="212" t="s">
        <v>434</v>
      </c>
      <c r="B15" s="212" t="s">
        <v>435</v>
      </c>
      <c r="C15" s="212" t="str">
        <f>VLOOKUP(A15,'Amazon Live Products'!E:G,3,0)</f>
        <v>CR-01</v>
      </c>
      <c r="D15" s="212" t="s">
        <v>314</v>
      </c>
      <c r="E15" s="212" t="s">
        <v>437</v>
      </c>
      <c r="F15" s="212" t="s">
        <v>439</v>
      </c>
      <c r="G15" s="212">
        <v>82142090</v>
      </c>
      <c r="H15" s="236">
        <f>VLOOKUP(B15,'Amazon Live Products'!F:P,11,0)</f>
        <v>446.35852800000004</v>
      </c>
      <c r="I15" s="262">
        <f>VLOOKUP(B15,'Amazon Live Products'!F:Q,12,0)</f>
        <v>526.70306303999996</v>
      </c>
      <c r="J15" s="263">
        <f t="shared" si="0"/>
        <v>349.65</v>
      </c>
      <c r="K15" s="263"/>
      <c r="L15" s="264">
        <v>60</v>
      </c>
      <c r="M15" s="265">
        <f t="shared" si="2"/>
        <v>9.99</v>
      </c>
      <c r="N15" s="264">
        <f t="shared" si="3"/>
        <v>152.38983050847457</v>
      </c>
      <c r="O15" s="264">
        <f t="shared" si="4"/>
        <v>1018.3883585084747</v>
      </c>
      <c r="P15" s="264">
        <f t="shared" si="5"/>
        <v>-19.388358508474653</v>
      </c>
      <c r="Q15" s="266">
        <f t="shared" si="6"/>
        <v>-1.9407766274749404E-2</v>
      </c>
      <c r="R15" s="263">
        <v>999</v>
      </c>
      <c r="S15" s="267">
        <f>VLOOKUP(A15,'Amazon Live Products'!E:AF,28,0)</f>
        <v>779</v>
      </c>
      <c r="T15" s="263">
        <f t="shared" si="7"/>
        <v>77.900000000000006</v>
      </c>
      <c r="U15" s="263" t="s">
        <v>1092</v>
      </c>
      <c r="V15" s="263" t="str">
        <f t="shared" ref="V15:V25" si="10">C15</f>
        <v>CR-01</v>
      </c>
      <c r="W15" s="263" t="s">
        <v>1093</v>
      </c>
    </row>
    <row r="16" spans="1:23">
      <c r="A16" s="212" t="s">
        <v>441</v>
      </c>
      <c r="B16" s="212" t="s">
        <v>442</v>
      </c>
      <c r="C16" s="212" t="str">
        <f>VLOOKUP(A16,'Amazon Live Products'!E:G,3,0)</f>
        <v>T-01</v>
      </c>
      <c r="D16" s="212" t="s">
        <v>314</v>
      </c>
      <c r="E16" s="212" t="s">
        <v>444</v>
      </c>
      <c r="F16" s="212" t="s">
        <v>445</v>
      </c>
      <c r="G16" s="212">
        <v>85101000</v>
      </c>
      <c r="H16" s="236">
        <f>VLOOKUP(B16,'Amazon Live Products'!F:P,11,0)</f>
        <v>433.64851200000004</v>
      </c>
      <c r="I16" s="262">
        <f>VLOOKUP(B16,'Amazon Live Products'!F:Q,12,0)</f>
        <v>511.70524416000001</v>
      </c>
      <c r="J16" s="263">
        <f t="shared" si="0"/>
        <v>367.15</v>
      </c>
      <c r="K16" s="263">
        <f>R16*0</f>
        <v>0</v>
      </c>
      <c r="L16" s="264">
        <v>60</v>
      </c>
      <c r="M16" s="265">
        <f t="shared" si="2"/>
        <v>10.49</v>
      </c>
      <c r="N16" s="264">
        <f t="shared" si="3"/>
        <v>160.01694915254234</v>
      </c>
      <c r="O16" s="264">
        <f t="shared" si="4"/>
        <v>1031.3054611525424</v>
      </c>
      <c r="P16" s="264">
        <f t="shared" si="5"/>
        <v>17.694538847457579</v>
      </c>
      <c r="Q16" s="266">
        <f t="shared" si="6"/>
        <v>1.6868006527604937E-2</v>
      </c>
      <c r="R16" s="263">
        <v>1049</v>
      </c>
      <c r="S16" s="267">
        <f>VLOOKUP(A16,'Amazon Live Products'!E:AF,28,0)</f>
        <v>999</v>
      </c>
      <c r="T16" s="263">
        <f t="shared" si="7"/>
        <v>99.9</v>
      </c>
      <c r="U16" s="263" t="s">
        <v>1092</v>
      </c>
      <c r="V16" s="263" t="str">
        <f t="shared" si="10"/>
        <v>T-01</v>
      </c>
      <c r="W16" s="263"/>
    </row>
    <row r="17" spans="1:23">
      <c r="A17" s="212" t="s">
        <v>448</v>
      </c>
      <c r="B17" s="212" t="s">
        <v>449</v>
      </c>
      <c r="C17" s="212" t="str">
        <f>VLOOKUP(A17,'Amazon Live Products'!E:G,3,0)</f>
        <v>T-02</v>
      </c>
      <c r="D17" s="212" t="s">
        <v>314</v>
      </c>
      <c r="E17" s="212" t="s">
        <v>444</v>
      </c>
      <c r="F17" s="212" t="s">
        <v>451</v>
      </c>
      <c r="G17" s="212">
        <v>85101000</v>
      </c>
      <c r="H17" s="236">
        <f>VLOOKUP(B17,'Amazon Live Products'!F:P,11,0)</f>
        <v>509.20848000000007</v>
      </c>
      <c r="I17" s="262">
        <f>VLOOKUP(B17,'Amazon Live Products'!F:Q,12,0)</f>
        <v>600.86600640000006</v>
      </c>
      <c r="J17" s="263">
        <f t="shared" si="0"/>
        <v>489.65</v>
      </c>
      <c r="K17" s="263">
        <f>R17*5%</f>
        <v>69.95</v>
      </c>
      <c r="L17" s="264">
        <v>60</v>
      </c>
      <c r="M17" s="265">
        <f t="shared" si="2"/>
        <v>13.99</v>
      </c>
      <c r="N17" s="264">
        <f t="shared" si="3"/>
        <v>213.4067796610168</v>
      </c>
      <c r="O17" s="264">
        <f t="shared" si="4"/>
        <v>1356.205259661017</v>
      </c>
      <c r="P17" s="264">
        <f t="shared" si="5"/>
        <v>42.794740338983047</v>
      </c>
      <c r="Q17" s="266">
        <f t="shared" si="6"/>
        <v>3.0589521328794174E-2</v>
      </c>
      <c r="R17" s="263">
        <v>1399</v>
      </c>
      <c r="S17" s="267">
        <f>VLOOKUP(A17,'Amazon Live Products'!E:AF,28,0)</f>
        <v>1099</v>
      </c>
      <c r="T17" s="263">
        <f t="shared" si="7"/>
        <v>109.9</v>
      </c>
      <c r="U17" s="263"/>
      <c r="V17" s="263" t="str">
        <f t="shared" si="10"/>
        <v>T-02</v>
      </c>
      <c r="W17" s="263" t="s">
        <v>1093</v>
      </c>
    </row>
    <row r="18" spans="1:23">
      <c r="A18" s="212" t="s">
        <v>454</v>
      </c>
      <c r="B18" s="212" t="s">
        <v>455</v>
      </c>
      <c r="C18" s="212" t="str">
        <f>VLOOKUP(A18,'Amazon Live Products'!E:G,3,0)</f>
        <v>GS-05</v>
      </c>
      <c r="D18" s="212" t="s">
        <v>234</v>
      </c>
      <c r="E18" s="212" t="s">
        <v>235</v>
      </c>
      <c r="F18" s="212" t="s">
        <v>457</v>
      </c>
      <c r="G18" s="212">
        <v>85167990</v>
      </c>
      <c r="H18" s="236">
        <f>VLOOKUP(B18,'Amazon Live Products'!F:P,11,0)</f>
        <v>821.30399999999997</v>
      </c>
      <c r="I18" s="262">
        <f>VLOOKUP(B18,'Amazon Live Products'!F:Q,12,0)</f>
        <v>969.13871999999992</v>
      </c>
      <c r="J18" s="263">
        <f t="shared" si="0"/>
        <v>769.61500000000001</v>
      </c>
      <c r="K18" s="263">
        <f t="shared" ref="K18:K20" si="11">R18*10%</f>
        <v>219.89000000000001</v>
      </c>
      <c r="L18" s="264">
        <v>60</v>
      </c>
      <c r="M18" s="265">
        <f t="shared" si="2"/>
        <v>21.989000000000001</v>
      </c>
      <c r="N18" s="264">
        <f t="shared" si="3"/>
        <v>335.42542372881348</v>
      </c>
      <c r="O18" s="264">
        <f t="shared" si="4"/>
        <v>2228.2234237288135</v>
      </c>
      <c r="P18" s="267">
        <f t="shared" si="5"/>
        <v>-29.323423728813395</v>
      </c>
      <c r="Q18" s="266">
        <f t="shared" si="6"/>
        <v>-1.3335496716000452E-2</v>
      </c>
      <c r="R18" s="267">
        <f>S18+T18</f>
        <v>2198.9</v>
      </c>
      <c r="S18" s="267">
        <f>VLOOKUP(A18,'Amazon Live Products'!E:AF,28,0)</f>
        <v>1999</v>
      </c>
      <c r="T18" s="263">
        <f t="shared" si="7"/>
        <v>199.9</v>
      </c>
      <c r="U18" s="263"/>
      <c r="V18" s="263" t="str">
        <f t="shared" si="10"/>
        <v>GS-05</v>
      </c>
      <c r="W18" s="263"/>
    </row>
    <row r="19" spans="1:23">
      <c r="A19" s="212" t="s">
        <v>462</v>
      </c>
      <c r="B19" s="212" t="s">
        <v>463</v>
      </c>
      <c r="C19" s="212" t="str">
        <f>VLOOKUP(A19,'Amazon Live Products'!E:G,3,0)</f>
        <v>V-01</v>
      </c>
      <c r="D19" s="212" t="s">
        <v>314</v>
      </c>
      <c r="E19" s="212" t="s">
        <v>465</v>
      </c>
      <c r="F19" s="212" t="s">
        <v>466</v>
      </c>
      <c r="G19" s="212">
        <v>85163100</v>
      </c>
      <c r="H19" s="236">
        <f>VLOOKUP(B19,'Amazon Live Products'!F:P,11,0)</f>
        <v>602.28960000000006</v>
      </c>
      <c r="I19" s="262">
        <f>VLOOKUP(B19,'Amazon Live Products'!F:Q,12,0)</f>
        <v>710.701728</v>
      </c>
      <c r="J19" s="263">
        <f t="shared" si="0"/>
        <v>629.65</v>
      </c>
      <c r="K19" s="263">
        <f t="shared" si="11"/>
        <v>179.9</v>
      </c>
      <c r="L19" s="264">
        <v>60</v>
      </c>
      <c r="M19" s="265">
        <f t="shared" si="2"/>
        <v>17.990000000000002</v>
      </c>
      <c r="N19" s="264">
        <f t="shared" si="3"/>
        <v>274.42372881355914</v>
      </c>
      <c r="O19" s="264">
        <f t="shared" si="4"/>
        <v>1764.2533288135594</v>
      </c>
      <c r="P19" s="264">
        <f t="shared" si="5"/>
        <v>34.746671186440608</v>
      </c>
      <c r="Q19" s="266">
        <f t="shared" si="6"/>
        <v>1.9314436457165431E-2</v>
      </c>
      <c r="R19" s="263">
        <v>1799</v>
      </c>
      <c r="S19" s="267">
        <f>VLOOKUP(A19,'Amazon Live Products'!E:AF,28,0)</f>
        <v>1249</v>
      </c>
      <c r="T19" s="263">
        <f t="shared" si="7"/>
        <v>124.9</v>
      </c>
      <c r="U19" s="263"/>
      <c r="V19" s="263" t="str">
        <f t="shared" si="10"/>
        <v>V-01</v>
      </c>
      <c r="W19" s="263"/>
    </row>
    <row r="20" spans="1:23">
      <c r="A20" s="212" t="s">
        <v>468</v>
      </c>
      <c r="B20" s="212" t="s">
        <v>469</v>
      </c>
      <c r="C20" s="212" t="str">
        <f>VLOOKUP(A20,'Amazon Live Products'!E:G,3,0)</f>
        <v>V-01 Rose Gold</v>
      </c>
      <c r="D20" s="212" t="s">
        <v>314</v>
      </c>
      <c r="E20" s="212" t="s">
        <v>465</v>
      </c>
      <c r="F20" s="212" t="s">
        <v>466</v>
      </c>
      <c r="G20" s="212">
        <v>85163100</v>
      </c>
      <c r="H20" s="236">
        <f>VLOOKUP(B20,'Amazon Live Products'!F:P,11,0)</f>
        <v>547.53599999999994</v>
      </c>
      <c r="I20" s="262">
        <f>VLOOKUP(B20,'Amazon Live Products'!F:Q,12,0)</f>
        <v>646.09247999999991</v>
      </c>
      <c r="J20" s="263">
        <f t="shared" si="0"/>
        <v>615.65</v>
      </c>
      <c r="K20" s="263">
        <f t="shared" si="11"/>
        <v>175.9</v>
      </c>
      <c r="L20" s="264">
        <v>60</v>
      </c>
      <c r="M20" s="265">
        <f t="shared" si="2"/>
        <v>17.59</v>
      </c>
      <c r="N20" s="264">
        <f t="shared" si="3"/>
        <v>268.32203389830511</v>
      </c>
      <c r="O20" s="264">
        <f t="shared" si="4"/>
        <v>1684.998033898305</v>
      </c>
      <c r="P20" s="264">
        <f t="shared" si="5"/>
        <v>74.001966101694961</v>
      </c>
      <c r="Q20" s="266">
        <f t="shared" si="6"/>
        <v>4.2070475327853872E-2</v>
      </c>
      <c r="R20" s="263">
        <v>1759</v>
      </c>
      <c r="S20" s="267">
        <f>VLOOKUP(A20,'Amazon Live Products'!E:AF,28,0)</f>
        <v>1499</v>
      </c>
      <c r="T20" s="263">
        <f t="shared" si="7"/>
        <v>149.9</v>
      </c>
      <c r="U20" s="263"/>
      <c r="V20" s="263" t="str">
        <f t="shared" si="10"/>
        <v>V-01 Rose Gold</v>
      </c>
      <c r="W20" s="263"/>
    </row>
    <row r="21" spans="1:23">
      <c r="A21" s="69" t="s">
        <v>485</v>
      </c>
      <c r="B21" s="212" t="s">
        <v>472</v>
      </c>
      <c r="C21" s="212" t="str">
        <f>VLOOKUP(A21,'Amazon Live Products'!E:G,3,0)</f>
        <v>HS-01</v>
      </c>
      <c r="D21" s="212" t="s">
        <v>314</v>
      </c>
      <c r="E21" s="212" t="s">
        <v>465</v>
      </c>
      <c r="F21" s="212" t="s">
        <v>474</v>
      </c>
      <c r="G21" s="212">
        <v>85163200</v>
      </c>
      <c r="H21" s="236">
        <f>VLOOKUP(B21,'Amazon Live Products'!F:P,11,0)</f>
        <v>314.285664</v>
      </c>
      <c r="I21" s="262">
        <f>VLOOKUP(B21,'Amazon Live Products'!F:Q,12,0)</f>
        <v>370.85708352</v>
      </c>
      <c r="J21" s="263">
        <f t="shared" si="0"/>
        <v>314.64999999999998</v>
      </c>
      <c r="K21" s="263">
        <f t="shared" ref="K21:K22" si="12">R21*5%</f>
        <v>44.95</v>
      </c>
      <c r="L21" s="264">
        <v>60</v>
      </c>
      <c r="M21" s="265">
        <f t="shared" si="2"/>
        <v>8.99</v>
      </c>
      <c r="N21" s="264">
        <f t="shared" si="3"/>
        <v>137.13559322033893</v>
      </c>
      <c r="O21" s="264">
        <f t="shared" si="4"/>
        <v>880.01125722033896</v>
      </c>
      <c r="P21" s="264">
        <f t="shared" si="5"/>
        <v>18.988742779661038</v>
      </c>
      <c r="Q21" s="266">
        <f t="shared" si="6"/>
        <v>2.1122072057465004E-2</v>
      </c>
      <c r="R21" s="263">
        <v>899</v>
      </c>
      <c r="S21" s="267">
        <f>VLOOKUP(A21,'Amazon Live Products'!E:AF,28,0)</f>
        <v>799</v>
      </c>
      <c r="T21" s="263">
        <f t="shared" si="7"/>
        <v>79.900000000000006</v>
      </c>
      <c r="U21" s="263"/>
      <c r="V21" s="263" t="str">
        <f t="shared" si="10"/>
        <v>HS-01</v>
      </c>
      <c r="W21" s="263"/>
    </row>
    <row r="22" spans="1:23">
      <c r="A22" s="69" t="s">
        <v>488</v>
      </c>
      <c r="B22" s="212" t="s">
        <v>476</v>
      </c>
      <c r="C22" s="212" t="str">
        <f>VLOOKUP(A22,'Amazon Live Products'!E:G,3,0)</f>
        <v>HS-02</v>
      </c>
      <c r="D22" s="212" t="s">
        <v>234</v>
      </c>
      <c r="E22" s="212" t="s">
        <v>235</v>
      </c>
      <c r="F22" s="212" t="s">
        <v>478</v>
      </c>
      <c r="G22" s="212">
        <v>85163200</v>
      </c>
      <c r="H22" s="236">
        <f>VLOOKUP(B22,'Amazon Live Products'!F:P,11,0)</f>
        <v>324.14131200000003</v>
      </c>
      <c r="I22" s="262">
        <f>VLOOKUP(B22,'Amazon Live Products'!F:Q,12,0)</f>
        <v>382.48674815999999</v>
      </c>
      <c r="J22" s="263">
        <f t="shared" si="0"/>
        <v>314.64999999999998</v>
      </c>
      <c r="K22" s="263">
        <f t="shared" si="12"/>
        <v>44.95</v>
      </c>
      <c r="L22" s="264">
        <v>60</v>
      </c>
      <c r="M22" s="265">
        <f t="shared" si="2"/>
        <v>8.99</v>
      </c>
      <c r="N22" s="264">
        <f t="shared" si="3"/>
        <v>137.13559322033893</v>
      </c>
      <c r="O22" s="264">
        <f t="shared" si="4"/>
        <v>889.86690522033905</v>
      </c>
      <c r="P22" s="264">
        <f t="shared" si="5"/>
        <v>9.1330947796609507</v>
      </c>
      <c r="Q22" s="266">
        <f t="shared" si="6"/>
        <v>1.015917105635256E-2</v>
      </c>
      <c r="R22" s="263">
        <v>899</v>
      </c>
      <c r="S22" s="267">
        <f>VLOOKUP(A22,'Amazon Live Products'!E:AF,28,0)</f>
        <v>849</v>
      </c>
      <c r="T22" s="263">
        <f t="shared" si="7"/>
        <v>84.9</v>
      </c>
      <c r="U22" s="263"/>
      <c r="V22" s="263" t="str">
        <f t="shared" si="10"/>
        <v>HS-02</v>
      </c>
      <c r="W22" s="263"/>
    </row>
    <row r="23" spans="1:23">
      <c r="A23" s="69" t="s">
        <v>508</v>
      </c>
      <c r="B23" s="212" t="s">
        <v>509</v>
      </c>
      <c r="C23" s="212" t="str">
        <f>VLOOKUP(A23,'Amazon Live Products'!E:G,3,0)</f>
        <v>HD-01</v>
      </c>
      <c r="D23" s="212" t="s">
        <v>465</v>
      </c>
      <c r="E23" s="212"/>
      <c r="F23" s="212" t="s">
        <v>482</v>
      </c>
      <c r="G23" s="212">
        <v>85163100</v>
      </c>
      <c r="H23" s="236">
        <f>VLOOKUP(B23,'Amazon Live Products'!F:P,11,0)</f>
        <v>640.61712</v>
      </c>
      <c r="I23" s="262">
        <f>VLOOKUP(B23,'Amazon Live Products'!F:Q,12,0)</f>
        <v>755.92820159999997</v>
      </c>
      <c r="J23" s="263">
        <f t="shared" si="0"/>
        <v>612.15</v>
      </c>
      <c r="K23" s="263">
        <f t="shared" ref="K23:K26" si="13">R23*10%</f>
        <v>174.9</v>
      </c>
      <c r="L23" s="264">
        <v>60</v>
      </c>
      <c r="M23" s="265">
        <f t="shared" si="2"/>
        <v>17.490000000000002</v>
      </c>
      <c r="N23" s="264">
        <f t="shared" si="3"/>
        <v>266.79661016949149</v>
      </c>
      <c r="O23" s="264">
        <f t="shared" si="4"/>
        <v>1771.9537301694916</v>
      </c>
      <c r="P23" s="264">
        <f t="shared" si="5"/>
        <v>-22.953730169491564</v>
      </c>
      <c r="Q23" s="266">
        <f t="shared" si="6"/>
        <v>-1.3123916620635542E-2</v>
      </c>
      <c r="R23" s="263">
        <v>1749</v>
      </c>
      <c r="S23" s="267">
        <f>VLOOKUP(A23,'Amazon Live Products'!E:AF,28,0)</f>
        <v>1243</v>
      </c>
      <c r="T23" s="263">
        <f t="shared" si="7"/>
        <v>124.30000000000001</v>
      </c>
      <c r="U23" s="263"/>
      <c r="V23" s="263" t="str">
        <f t="shared" si="10"/>
        <v>HD-01</v>
      </c>
      <c r="W23" s="263" t="s">
        <v>1093</v>
      </c>
    </row>
    <row r="24" spans="1:23">
      <c r="A24" s="69" t="s">
        <v>538</v>
      </c>
      <c r="B24" s="212" t="s">
        <v>539</v>
      </c>
      <c r="C24" s="212" t="str">
        <f>VLOOKUP(A24,'Amazon Live Products'!E:G,3,0)</f>
        <v>HD-02</v>
      </c>
      <c r="D24" s="212" t="s">
        <v>465</v>
      </c>
      <c r="E24" s="212"/>
      <c r="F24" s="212" t="s">
        <v>484</v>
      </c>
      <c r="G24" s="212">
        <v>85163100</v>
      </c>
      <c r="H24" s="236">
        <f>VLOOKUP(B24,'Amazon Live Products'!F:P,11,0)</f>
        <v>371.22940800000003</v>
      </c>
      <c r="I24" s="262">
        <f>VLOOKUP(B24,'Amazon Live Products'!F:Q,12,0)</f>
        <v>438.05070144000001</v>
      </c>
      <c r="J24" s="263">
        <f t="shared" si="0"/>
        <v>317.23999999999995</v>
      </c>
      <c r="K24" s="263">
        <f t="shared" si="13"/>
        <v>90.64</v>
      </c>
      <c r="L24" s="264">
        <v>60</v>
      </c>
      <c r="M24" s="265">
        <f t="shared" si="2"/>
        <v>9.0640000000000001</v>
      </c>
      <c r="N24" s="264">
        <f t="shared" si="3"/>
        <v>138.26440677966093</v>
      </c>
      <c r="O24" s="264">
        <f t="shared" si="4"/>
        <v>986.43781477966081</v>
      </c>
      <c r="P24" s="267">
        <f t="shared" si="5"/>
        <v>-80.037814779660835</v>
      </c>
      <c r="Q24" s="266">
        <f t="shared" si="6"/>
        <v>-8.8302973057878237E-2</v>
      </c>
      <c r="R24" s="267">
        <f t="shared" ref="R24:R26" si="14">S24+T24</f>
        <v>906.4</v>
      </c>
      <c r="S24" s="267">
        <f>VLOOKUP(A24,'Amazon Live Products'!E:AF,28,0)</f>
        <v>824</v>
      </c>
      <c r="T24" s="263">
        <f t="shared" si="7"/>
        <v>82.4</v>
      </c>
      <c r="U24" s="263"/>
      <c r="V24" s="263" t="str">
        <f t="shared" si="10"/>
        <v>HD-02</v>
      </c>
      <c r="W24" s="263"/>
    </row>
    <row r="25" spans="1:23">
      <c r="A25" s="212" t="s">
        <v>496</v>
      </c>
      <c r="B25" s="212" t="s">
        <v>497</v>
      </c>
      <c r="C25" s="212" t="str">
        <f>VLOOKUP(A25,'Amazon Live Products'!E:G,3,0)</f>
        <v>SC-03</v>
      </c>
      <c r="D25" s="212" t="s">
        <v>234</v>
      </c>
      <c r="E25" s="212" t="s">
        <v>249</v>
      </c>
      <c r="F25" s="212" t="s">
        <v>499</v>
      </c>
      <c r="G25" s="212">
        <v>85167990</v>
      </c>
      <c r="H25" s="236">
        <f>VLOOKUP(B25,'Amazon Live Products'!F:P,11,0)</f>
        <v>3230.4624000000003</v>
      </c>
      <c r="I25" s="262">
        <f>VLOOKUP(B25,'Amazon Live Products'!F:Q,12,0)</f>
        <v>3811.9456320000004</v>
      </c>
      <c r="J25" s="263">
        <f t="shared" si="0"/>
        <v>2694.6149999999998</v>
      </c>
      <c r="K25" s="263">
        <f t="shared" si="13"/>
        <v>769.89</v>
      </c>
      <c r="L25" s="264">
        <v>60</v>
      </c>
      <c r="M25" s="265">
        <f t="shared" si="2"/>
        <v>76.989000000000004</v>
      </c>
      <c r="N25" s="264">
        <f t="shared" si="3"/>
        <v>1174.4084745762711</v>
      </c>
      <c r="O25" s="264">
        <f t="shared" si="4"/>
        <v>8006.3648745762712</v>
      </c>
      <c r="P25" s="267">
        <f t="shared" si="5"/>
        <v>-307.46487457627154</v>
      </c>
      <c r="Q25" s="266">
        <f t="shared" si="6"/>
        <v>-3.9936208364347053E-2</v>
      </c>
      <c r="R25" s="267">
        <f t="shared" si="14"/>
        <v>7698.9</v>
      </c>
      <c r="S25" s="267">
        <f>VLOOKUP(A25,'Amazon Live Products'!E:AF,28,0)</f>
        <v>6999</v>
      </c>
      <c r="T25" s="263">
        <f t="shared" si="7"/>
        <v>699.90000000000009</v>
      </c>
      <c r="U25" s="263" t="s">
        <v>1094</v>
      </c>
      <c r="V25" s="263" t="str">
        <f t="shared" si="10"/>
        <v>SC-03</v>
      </c>
      <c r="W25" s="263"/>
    </row>
    <row r="26" spans="1:23">
      <c r="A26" s="212" t="s">
        <v>500</v>
      </c>
      <c r="B26" s="212" t="s">
        <v>501</v>
      </c>
      <c r="C26" s="212" t="str">
        <f>VLOOKUP(A26,'Amazon Live Products'!E:G,3,0)</f>
        <v>LR-01</v>
      </c>
      <c r="D26" s="212" t="s">
        <v>234</v>
      </c>
      <c r="E26" s="212" t="s">
        <v>235</v>
      </c>
      <c r="F26" s="212" t="s">
        <v>503</v>
      </c>
      <c r="G26" s="212">
        <v>85167990</v>
      </c>
      <c r="H26" s="236">
        <f>VLOOKUP(B26,'Amazon Live Products'!F:P,11,0)</f>
        <v>372.32447999999999</v>
      </c>
      <c r="I26" s="262">
        <f>VLOOKUP(B26,'Amazon Live Products'!F:Q,12,0)</f>
        <v>439.3428864</v>
      </c>
      <c r="J26" s="263">
        <f t="shared" si="0"/>
        <v>384.61500000000001</v>
      </c>
      <c r="K26" s="263">
        <f t="shared" si="13"/>
        <v>109.89000000000001</v>
      </c>
      <c r="L26" s="264">
        <v>60</v>
      </c>
      <c r="M26" s="265">
        <f t="shared" si="2"/>
        <v>10.989000000000001</v>
      </c>
      <c r="N26" s="264">
        <f t="shared" si="3"/>
        <v>167.628813559322</v>
      </c>
      <c r="O26" s="264">
        <f t="shared" si="4"/>
        <v>1105.4472935593221</v>
      </c>
      <c r="P26" s="267">
        <f t="shared" si="5"/>
        <v>-6.5472935593220427</v>
      </c>
      <c r="Q26" s="266">
        <f t="shared" si="6"/>
        <v>-5.958043097026155E-3</v>
      </c>
      <c r="R26" s="267">
        <f t="shared" si="14"/>
        <v>1098.9000000000001</v>
      </c>
      <c r="S26" s="267">
        <f>VLOOKUP(A26,'Amazon Live Products'!E:AF,28,0)</f>
        <v>999</v>
      </c>
      <c r="T26" s="263">
        <f t="shared" si="7"/>
        <v>99.9</v>
      </c>
      <c r="U26" s="263"/>
      <c r="V26" s="263"/>
      <c r="W26" s="263"/>
    </row>
    <row r="27" spans="1:23">
      <c r="A27" s="212" t="s">
        <v>504</v>
      </c>
      <c r="B27" s="212" t="s">
        <v>505</v>
      </c>
      <c r="C27" s="212" t="str">
        <f>VLOOKUP(A27,'Amazon Live Products'!E:G,3,0)</f>
        <v>LR-02</v>
      </c>
      <c r="D27" s="212" t="s">
        <v>234</v>
      </c>
      <c r="E27" s="212" t="s">
        <v>235</v>
      </c>
      <c r="F27" s="212" t="s">
        <v>939</v>
      </c>
      <c r="G27" s="212">
        <v>85167990</v>
      </c>
      <c r="H27" s="236">
        <f>VLOOKUP(B27,'Amazon Live Products'!F:P,11,0)</f>
        <v>744.64895999999999</v>
      </c>
      <c r="I27" s="262">
        <f>VLOOKUP(B27,'Amazon Live Products'!F:Q,12,0)</f>
        <v>878.6857728</v>
      </c>
      <c r="J27" s="263">
        <f t="shared" si="0"/>
        <v>612.15</v>
      </c>
      <c r="K27" s="263">
        <f>R27*5%</f>
        <v>87.45</v>
      </c>
      <c r="L27" s="264">
        <v>60</v>
      </c>
      <c r="M27" s="265">
        <f t="shared" si="2"/>
        <v>17.490000000000002</v>
      </c>
      <c r="N27" s="264">
        <f t="shared" si="3"/>
        <v>266.79661016949149</v>
      </c>
      <c r="O27" s="264">
        <f t="shared" si="4"/>
        <v>1788.5355701694916</v>
      </c>
      <c r="P27" s="264">
        <f t="shared" si="5"/>
        <v>-39.535570169491621</v>
      </c>
      <c r="Q27" s="266">
        <f t="shared" si="6"/>
        <v>-2.2604671337616709E-2</v>
      </c>
      <c r="R27" s="263">
        <v>1749</v>
      </c>
      <c r="S27" s="267">
        <f>VLOOKUP(A27,'Amazon Live Products'!E:AF,28,0)</f>
        <v>1499</v>
      </c>
      <c r="T27" s="263">
        <f t="shared" si="7"/>
        <v>149.9</v>
      </c>
      <c r="U27" s="263"/>
      <c r="V27" s="263" t="str">
        <f t="shared" ref="V27:V37" si="15">C27</f>
        <v>LR-02</v>
      </c>
      <c r="W27" s="263"/>
    </row>
    <row r="28" spans="1:23">
      <c r="A28" s="212" t="s">
        <v>512</v>
      </c>
      <c r="B28" s="212" t="s">
        <v>940</v>
      </c>
      <c r="C28" s="212" t="str">
        <f>VLOOKUP(A28,'Amazon Live Products'!E:G,3,0)</f>
        <v>HM-01</v>
      </c>
      <c r="D28" s="212" t="s">
        <v>314</v>
      </c>
      <c r="E28" s="212" t="s">
        <v>465</v>
      </c>
      <c r="F28" s="212" t="s">
        <v>516</v>
      </c>
      <c r="G28" s="212">
        <v>90191020</v>
      </c>
      <c r="H28" s="236">
        <f>VLOOKUP(B28,'Amazon Live Products'!F:P,11,0)</f>
        <v>448.35120000000001</v>
      </c>
      <c r="I28" s="262">
        <f>VLOOKUP(B28,'Amazon Live Products'!F:Q,12,0)</f>
        <v>529.05441599999995</v>
      </c>
      <c r="J28" s="263">
        <f t="shared" si="0"/>
        <v>454.65</v>
      </c>
      <c r="K28" s="263">
        <f>R28*10%</f>
        <v>129.9</v>
      </c>
      <c r="L28" s="264">
        <v>60</v>
      </c>
      <c r="M28" s="265">
        <f t="shared" si="2"/>
        <v>12.99</v>
      </c>
      <c r="N28" s="264">
        <f t="shared" si="3"/>
        <v>198.15254237288127</v>
      </c>
      <c r="O28" s="264">
        <f t="shared" si="4"/>
        <v>1304.0437423728813</v>
      </c>
      <c r="P28" s="264">
        <f t="shared" si="5"/>
        <v>-5.0437423728812973</v>
      </c>
      <c r="Q28" s="266">
        <f t="shared" si="6"/>
        <v>-3.8827885857438777E-3</v>
      </c>
      <c r="R28" s="263">
        <v>1299</v>
      </c>
      <c r="S28" s="267">
        <f>VLOOKUP(A28,'Amazon Live Products'!E:AF,28,0)</f>
        <v>939</v>
      </c>
      <c r="T28" s="263">
        <f t="shared" si="7"/>
        <v>93.9</v>
      </c>
      <c r="U28" s="263"/>
      <c r="V28" s="263" t="str">
        <f t="shared" si="15"/>
        <v>HM-01</v>
      </c>
      <c r="W28" s="263"/>
    </row>
    <row r="29" spans="1:23">
      <c r="A29" s="212" t="s">
        <v>520</v>
      </c>
      <c r="B29" s="212" t="s">
        <v>521</v>
      </c>
      <c r="C29" s="212" t="str">
        <f>VLOOKUP(A29,'Amazon Live Products'!E:G,3,0)</f>
        <v>HM-02</v>
      </c>
      <c r="D29" s="212" t="s">
        <v>314</v>
      </c>
      <c r="E29" s="212" t="s">
        <v>465</v>
      </c>
      <c r="F29" s="212" t="s">
        <v>524</v>
      </c>
      <c r="G29" s="212">
        <v>90191020</v>
      </c>
      <c r="H29" s="236">
        <f>VLOOKUP(B29,'Amazon Live Products'!F:P,11,0)</f>
        <v>597.80160000000001</v>
      </c>
      <c r="I29" s="262">
        <f>VLOOKUP(B29,'Amazon Live Products'!F:Q,12,0)</f>
        <v>705.405888</v>
      </c>
      <c r="J29" s="263">
        <f t="shared" si="0"/>
        <v>524.65</v>
      </c>
      <c r="K29" s="263">
        <f>R29*5%</f>
        <v>74.95</v>
      </c>
      <c r="L29" s="264">
        <v>60</v>
      </c>
      <c r="M29" s="265">
        <f t="shared" si="2"/>
        <v>14.99</v>
      </c>
      <c r="N29" s="264">
        <f t="shared" si="3"/>
        <v>228.66101694915255</v>
      </c>
      <c r="O29" s="264">
        <f t="shared" si="4"/>
        <v>1501.0526169491525</v>
      </c>
      <c r="P29" s="264">
        <f t="shared" si="5"/>
        <v>-2.0526169491524797</v>
      </c>
      <c r="Q29" s="266">
        <f t="shared" si="6"/>
        <v>-1.3693241822231353E-3</v>
      </c>
      <c r="R29" s="263">
        <v>1499</v>
      </c>
      <c r="S29" s="267">
        <f>VLOOKUP(A29,'Amazon Live Products'!E:AF,28,0)</f>
        <v>1399</v>
      </c>
      <c r="T29" s="263">
        <f t="shared" si="7"/>
        <v>139.9</v>
      </c>
      <c r="U29" s="263"/>
      <c r="V29" s="263" t="str">
        <f t="shared" si="15"/>
        <v>HM-02</v>
      </c>
      <c r="W29" s="263" t="s">
        <v>1093</v>
      </c>
    </row>
    <row r="30" spans="1:23">
      <c r="A30" s="212" t="s">
        <v>525</v>
      </c>
      <c r="B30" s="212" t="s">
        <v>526</v>
      </c>
      <c r="C30" s="212" t="str">
        <f>VLOOKUP(A30,'Amazon Live Products'!E:G,3,0)</f>
        <v>ETC-04-WH</v>
      </c>
      <c r="D30" s="212" t="s">
        <v>314</v>
      </c>
      <c r="E30" s="212" t="s">
        <v>315</v>
      </c>
      <c r="F30" s="212" t="s">
        <v>528</v>
      </c>
      <c r="G30" s="212">
        <v>85098000</v>
      </c>
      <c r="H30" s="236">
        <f>VLOOKUP(B30,'Amazon Live Products'!F:P,11,0)</f>
        <v>338.37724799999995</v>
      </c>
      <c r="I30" s="262">
        <f>VLOOKUP(B30,'Amazon Live Products'!F:Q,12,0)</f>
        <v>399.28515263999992</v>
      </c>
      <c r="J30" s="263">
        <f t="shared" si="0"/>
        <v>307.61499999999995</v>
      </c>
      <c r="K30" s="263">
        <f t="shared" ref="K30:K76" si="16">R30*10%</f>
        <v>87.89</v>
      </c>
      <c r="L30" s="264">
        <v>60</v>
      </c>
      <c r="M30" s="265">
        <f t="shared" si="2"/>
        <v>8.7889999999999997</v>
      </c>
      <c r="N30" s="264">
        <f t="shared" si="3"/>
        <v>134.0694915254237</v>
      </c>
      <c r="O30" s="264">
        <f t="shared" si="4"/>
        <v>936.74073952542358</v>
      </c>
      <c r="P30" s="267">
        <f t="shared" si="5"/>
        <v>-57.840739525423601</v>
      </c>
      <c r="Q30" s="266">
        <f t="shared" si="6"/>
        <v>-6.5810376067156215E-2</v>
      </c>
      <c r="R30" s="267">
        <f t="shared" ref="R30:R32" si="17">S30+T30</f>
        <v>878.9</v>
      </c>
      <c r="S30" s="267">
        <f>VLOOKUP(A30,'Amazon Live Products'!E:AF,28,0)</f>
        <v>799</v>
      </c>
      <c r="T30" s="263">
        <f t="shared" si="7"/>
        <v>79.900000000000006</v>
      </c>
      <c r="U30" s="263"/>
      <c r="V30" s="263" t="str">
        <f t="shared" si="15"/>
        <v>ETC-04-WH</v>
      </c>
      <c r="W30" s="263"/>
    </row>
    <row r="31" spans="1:23">
      <c r="A31" s="212" t="s">
        <v>529</v>
      </c>
      <c r="B31" s="212" t="s">
        <v>530</v>
      </c>
      <c r="C31" s="212" t="str">
        <f>VLOOKUP(A31,'Amazon Live Products'!E:G,3,0)</f>
        <v>ETC-05-PI</v>
      </c>
      <c r="D31" s="212" t="s">
        <v>314</v>
      </c>
      <c r="E31" s="212" t="s">
        <v>315</v>
      </c>
      <c r="F31" s="212" t="s">
        <v>532</v>
      </c>
      <c r="G31" s="212">
        <v>85098000</v>
      </c>
      <c r="H31" s="236">
        <f>VLOOKUP(B31,'Amazon Live Products'!F:P,11,0)</f>
        <v>344.94768000000005</v>
      </c>
      <c r="I31" s="262">
        <f>VLOOKUP(B31,'Amazon Live Products'!F:Q,12,0)</f>
        <v>407.03826240000001</v>
      </c>
      <c r="J31" s="263">
        <f t="shared" si="0"/>
        <v>271.03999999999996</v>
      </c>
      <c r="K31" s="263">
        <f t="shared" si="16"/>
        <v>77.44</v>
      </c>
      <c r="L31" s="264">
        <v>60</v>
      </c>
      <c r="M31" s="265">
        <f t="shared" si="2"/>
        <v>7.7439999999999998</v>
      </c>
      <c r="N31" s="264">
        <f t="shared" si="3"/>
        <v>118.128813559322</v>
      </c>
      <c r="O31" s="264">
        <f t="shared" si="4"/>
        <v>879.30049355932204</v>
      </c>
      <c r="P31" s="267">
        <f t="shared" si="5"/>
        <v>-104.90049355932206</v>
      </c>
      <c r="Q31" s="266">
        <f t="shared" si="6"/>
        <v>-0.13546034808796753</v>
      </c>
      <c r="R31" s="267">
        <f t="shared" si="17"/>
        <v>774.4</v>
      </c>
      <c r="S31" s="267">
        <f>VLOOKUP(A31,'Amazon Live Products'!E:AF,28,0)</f>
        <v>704</v>
      </c>
      <c r="T31" s="263">
        <f t="shared" si="7"/>
        <v>70.400000000000006</v>
      </c>
      <c r="U31" s="263"/>
      <c r="V31" s="263" t="str">
        <f t="shared" si="15"/>
        <v>ETC-05-PI</v>
      </c>
      <c r="W31" s="263"/>
    </row>
    <row r="32" spans="1:23">
      <c r="A32" s="212" t="s">
        <v>533</v>
      </c>
      <c r="B32" s="212" t="s">
        <v>534</v>
      </c>
      <c r="C32" s="212" t="str">
        <f>VLOOKUP(A32,'Amazon Live Products'!E:G,3,0)</f>
        <v>SW-01</v>
      </c>
      <c r="D32" s="212" t="s">
        <v>234</v>
      </c>
      <c r="E32" s="212" t="s">
        <v>235</v>
      </c>
      <c r="F32" s="212" t="s">
        <v>537</v>
      </c>
      <c r="G32" s="212">
        <v>84521021</v>
      </c>
      <c r="H32" s="236">
        <f>VLOOKUP(B32,'Amazon Live Products'!F:P,11,0)</f>
        <v>344.73225600000001</v>
      </c>
      <c r="I32" s="262">
        <f>VLOOKUP(B32,'Amazon Live Products'!F:Q,12,0)</f>
        <v>406.78406208000001</v>
      </c>
      <c r="J32" s="263">
        <f t="shared" si="0"/>
        <v>423.11500000000001</v>
      </c>
      <c r="K32" s="263">
        <f t="shared" si="16"/>
        <v>120.89000000000001</v>
      </c>
      <c r="L32" s="264">
        <v>60</v>
      </c>
      <c r="M32" s="265">
        <f t="shared" si="2"/>
        <v>12.089</v>
      </c>
      <c r="N32" s="264">
        <f t="shared" si="3"/>
        <v>184.40847457627115</v>
      </c>
      <c r="O32" s="264">
        <f t="shared" si="4"/>
        <v>1145.2347305762712</v>
      </c>
      <c r="P32" s="267">
        <f t="shared" si="5"/>
        <v>63.665269423728887</v>
      </c>
      <c r="Q32" s="266">
        <f t="shared" si="6"/>
        <v>5.266380132660177E-2</v>
      </c>
      <c r="R32" s="267">
        <f t="shared" si="17"/>
        <v>1208.9000000000001</v>
      </c>
      <c r="S32" s="267">
        <f>VLOOKUP(A32,'Amazon Live Products'!E:AF,28,0)</f>
        <v>1099</v>
      </c>
      <c r="T32" s="263">
        <f t="shared" si="7"/>
        <v>109.9</v>
      </c>
      <c r="U32" s="263"/>
      <c r="V32" s="263" t="str">
        <f t="shared" si="15"/>
        <v>SW-01</v>
      </c>
      <c r="W32" s="263"/>
    </row>
    <row r="33" spans="1:23">
      <c r="A33" s="212" t="s">
        <v>543</v>
      </c>
      <c r="B33" s="212" t="s">
        <v>544</v>
      </c>
      <c r="C33" s="212" t="str">
        <f>VLOOKUP(A33,'Amazon Live Products'!E:G,3,0)</f>
        <v>EA-01</v>
      </c>
      <c r="D33" s="212" t="s">
        <v>314</v>
      </c>
      <c r="E33" s="212" t="s">
        <v>465</v>
      </c>
      <c r="F33" s="212" t="s">
        <v>547</v>
      </c>
      <c r="G33" s="212">
        <v>90191020</v>
      </c>
      <c r="H33" s="236">
        <f>VLOOKUP(B33,'Amazon Live Products'!F:P,11,0)</f>
        <v>597.80160000000001</v>
      </c>
      <c r="I33" s="262">
        <f>VLOOKUP(B33,'Amazon Live Products'!F:Q,12,0)</f>
        <v>705.405888</v>
      </c>
      <c r="J33" s="263">
        <f t="shared" si="0"/>
        <v>528.15</v>
      </c>
      <c r="K33" s="263">
        <f t="shared" si="16"/>
        <v>150.9</v>
      </c>
      <c r="L33" s="264">
        <v>60</v>
      </c>
      <c r="M33" s="265">
        <f t="shared" si="2"/>
        <v>15.09</v>
      </c>
      <c r="N33" s="264">
        <f t="shared" si="3"/>
        <v>230.18644067796595</v>
      </c>
      <c r="O33" s="264">
        <f t="shared" si="4"/>
        <v>1582.1280406779658</v>
      </c>
      <c r="P33" s="264">
        <f t="shared" si="5"/>
        <v>-73.128040677965828</v>
      </c>
      <c r="Q33" s="266">
        <f t="shared" si="6"/>
        <v>-4.8461259561276226E-2</v>
      </c>
      <c r="R33" s="263">
        <v>1509</v>
      </c>
      <c r="S33" s="267">
        <f>VLOOKUP(A33,'Amazon Live Products'!E:AF,28,0)</f>
        <v>1099</v>
      </c>
      <c r="T33" s="263">
        <f t="shared" si="7"/>
        <v>109.9</v>
      </c>
      <c r="U33" s="263"/>
      <c r="V33" s="263" t="str">
        <f t="shared" si="15"/>
        <v>EA-01</v>
      </c>
      <c r="W33" s="263" t="s">
        <v>1095</v>
      </c>
    </row>
    <row r="34" spans="1:23">
      <c r="A34" s="212" t="s">
        <v>557</v>
      </c>
      <c r="B34" s="212" t="s">
        <v>558</v>
      </c>
      <c r="C34" s="212" t="str">
        <f>VLOOKUP(A34,'Amazon Live Products'!E:G,3,0)</f>
        <v>WF-02-BL</v>
      </c>
      <c r="D34" s="212" t="s">
        <v>304</v>
      </c>
      <c r="E34" s="212" t="s">
        <v>304</v>
      </c>
      <c r="F34" s="212" t="s">
        <v>561</v>
      </c>
      <c r="G34" s="212">
        <v>84212190</v>
      </c>
      <c r="H34" s="236">
        <f>VLOOKUP(B34,'Amazon Live Products'!F:P,11,0)</f>
        <v>437.24340000000001</v>
      </c>
      <c r="I34" s="262">
        <f>VLOOKUP(B34,'Amazon Live Products'!F:Q,12,0)</f>
        <v>515.94721200000004</v>
      </c>
      <c r="J34" s="263">
        <f t="shared" si="0"/>
        <v>480.86500000000001</v>
      </c>
      <c r="K34" s="263">
        <f t="shared" si="16"/>
        <v>137.39000000000001</v>
      </c>
      <c r="L34" s="264">
        <v>60</v>
      </c>
      <c r="M34" s="265">
        <f t="shared" si="2"/>
        <v>13.739000000000001</v>
      </c>
      <c r="N34" s="264">
        <f t="shared" si="3"/>
        <v>209.57796610169476</v>
      </c>
      <c r="O34" s="264">
        <f t="shared" si="4"/>
        <v>1338.815366101695</v>
      </c>
      <c r="P34" s="267">
        <f t="shared" si="5"/>
        <v>35.084633898305128</v>
      </c>
      <c r="Q34" s="266">
        <f t="shared" si="6"/>
        <v>2.5536526601867039E-2</v>
      </c>
      <c r="R34" s="267">
        <f t="shared" ref="R34:R35" si="18">S34+T34</f>
        <v>1373.9</v>
      </c>
      <c r="S34" s="267">
        <f>VLOOKUP(A34,'Amazon Live Products'!E:AF,28,0)</f>
        <v>1249</v>
      </c>
      <c r="T34" s="263">
        <f t="shared" si="7"/>
        <v>124.9</v>
      </c>
      <c r="U34" s="263"/>
      <c r="V34" s="263" t="str">
        <f t="shared" si="15"/>
        <v>WF-02-BL</v>
      </c>
      <c r="W34" s="263"/>
    </row>
    <row r="35" spans="1:23">
      <c r="A35" s="212" t="s">
        <v>562</v>
      </c>
      <c r="B35" s="212" t="s">
        <v>563</v>
      </c>
      <c r="C35" s="212" t="str">
        <f>VLOOKUP(A35,'Amazon Live Products'!E:G,3,0)</f>
        <v>ETR-06</v>
      </c>
      <c r="D35" s="212" t="s">
        <v>314</v>
      </c>
      <c r="E35" s="212" t="s">
        <v>315</v>
      </c>
      <c r="F35" s="212" t="s">
        <v>565</v>
      </c>
      <c r="G35" s="212">
        <v>85098000</v>
      </c>
      <c r="H35" s="236">
        <f>VLOOKUP(B35,'Amazon Live Products'!F:P,11,0)</f>
        <v>565.05715200000009</v>
      </c>
      <c r="I35" s="262">
        <f>VLOOKUP(B35,'Amazon Live Products'!F:Q,12,0)</f>
        <v>666.76743936000003</v>
      </c>
      <c r="J35" s="263">
        <f t="shared" si="0"/>
        <v>461.61500000000001</v>
      </c>
      <c r="K35" s="263">
        <f t="shared" si="16"/>
        <v>131.89000000000001</v>
      </c>
      <c r="L35" s="264">
        <v>60</v>
      </c>
      <c r="M35" s="265">
        <f t="shared" si="2"/>
        <v>13.189000000000002</v>
      </c>
      <c r="N35" s="264">
        <f t="shared" si="3"/>
        <v>201.1881355932203</v>
      </c>
      <c r="O35" s="264">
        <f t="shared" si="4"/>
        <v>1432.9392875932206</v>
      </c>
      <c r="P35" s="267">
        <f t="shared" si="5"/>
        <v>-114.03928759322048</v>
      </c>
      <c r="Q35" s="266">
        <f t="shared" si="6"/>
        <v>-8.6465454237031211E-2</v>
      </c>
      <c r="R35" s="267">
        <f t="shared" si="18"/>
        <v>1318.9</v>
      </c>
      <c r="S35" s="267">
        <f>VLOOKUP(A35,'Amazon Live Products'!E:AF,28,0)</f>
        <v>1199</v>
      </c>
      <c r="T35" s="263">
        <f t="shared" si="7"/>
        <v>119.9</v>
      </c>
      <c r="U35" s="263"/>
      <c r="V35" s="263" t="str">
        <f t="shared" si="15"/>
        <v>ETR-06</v>
      </c>
      <c r="W35" s="263"/>
    </row>
    <row r="36" spans="1:23">
      <c r="A36" s="212" t="s">
        <v>570</v>
      </c>
      <c r="B36" s="212" t="s">
        <v>571</v>
      </c>
      <c r="C36" s="212" t="str">
        <f>VLOOKUP(A36,'Amazon Live Products'!E:G,3,0)</f>
        <v>FS-01</v>
      </c>
      <c r="D36" s="212" t="s">
        <v>314</v>
      </c>
      <c r="E36" s="212" t="s">
        <v>437</v>
      </c>
      <c r="F36" s="212" t="s">
        <v>574</v>
      </c>
      <c r="G36" s="212">
        <v>85437093</v>
      </c>
      <c r="H36" s="236">
        <f>VLOOKUP(B36,'Amazon Live Products'!F:P,11,0)</f>
        <v>728.22288000000015</v>
      </c>
      <c r="I36" s="262">
        <f>VLOOKUP(B36,'Amazon Live Products'!F:Q,12,0)</f>
        <v>859.30299840000009</v>
      </c>
      <c r="J36" s="263">
        <f t="shared" si="0"/>
        <v>664.65</v>
      </c>
      <c r="K36" s="263">
        <f t="shared" si="16"/>
        <v>189.9</v>
      </c>
      <c r="L36" s="264">
        <v>60</v>
      </c>
      <c r="M36" s="265">
        <f t="shared" si="2"/>
        <v>18.990000000000002</v>
      </c>
      <c r="N36" s="264">
        <f t="shared" si="3"/>
        <v>289.67796610169489</v>
      </c>
      <c r="O36" s="264">
        <f t="shared" si="4"/>
        <v>1951.4408461016951</v>
      </c>
      <c r="P36" s="264">
        <f t="shared" si="5"/>
        <v>-52.440846101695115</v>
      </c>
      <c r="Q36" s="266">
        <f t="shared" si="6"/>
        <v>-2.7614979516427128E-2</v>
      </c>
      <c r="R36" s="263">
        <v>1899</v>
      </c>
      <c r="S36" s="267">
        <f>VLOOKUP(A36,'Amazon Live Products'!E:AF,28,0)</f>
        <v>1699</v>
      </c>
      <c r="T36" s="263">
        <f t="shared" si="7"/>
        <v>169.9</v>
      </c>
      <c r="U36" s="263"/>
      <c r="V36" s="263" t="str">
        <f t="shared" si="15"/>
        <v>FS-01</v>
      </c>
      <c r="W36" s="263"/>
    </row>
    <row r="37" spans="1:23">
      <c r="A37" s="212" t="s">
        <v>575</v>
      </c>
      <c r="B37" s="212" t="s">
        <v>576</v>
      </c>
      <c r="C37" s="212" t="str">
        <f>VLOOKUP(A37,'Amazon Live Products'!E:G,3,0)</f>
        <v>HSB-03</v>
      </c>
      <c r="D37" s="212" t="s">
        <v>314</v>
      </c>
      <c r="E37" s="212" t="s">
        <v>465</v>
      </c>
      <c r="F37" s="212" t="s">
        <v>579</v>
      </c>
      <c r="G37" s="212">
        <v>85163200</v>
      </c>
      <c r="H37" s="236">
        <f>VLOOKUP(B37,'Amazon Live Products'!F:P,11,0)</f>
        <v>694.27564800000005</v>
      </c>
      <c r="I37" s="262">
        <f>VLOOKUP(B37,'Amazon Live Products'!F:Q,12,0)</f>
        <v>819.24526463999996</v>
      </c>
      <c r="J37" s="263">
        <f t="shared" si="0"/>
        <v>769.65</v>
      </c>
      <c r="K37" s="263">
        <f t="shared" si="16"/>
        <v>219.9</v>
      </c>
      <c r="L37" s="264">
        <v>60</v>
      </c>
      <c r="M37" s="265">
        <f t="shared" si="2"/>
        <v>21.990000000000002</v>
      </c>
      <c r="N37" s="264">
        <f t="shared" si="3"/>
        <v>335.4406779661017</v>
      </c>
      <c r="O37" s="264">
        <f t="shared" si="4"/>
        <v>2101.2563259661019</v>
      </c>
      <c r="P37" s="264">
        <f t="shared" si="5"/>
        <v>97.74367403389806</v>
      </c>
      <c r="Q37" s="266">
        <f t="shared" si="6"/>
        <v>4.4449146900362918E-2</v>
      </c>
      <c r="R37" s="263">
        <v>2199</v>
      </c>
      <c r="S37" s="267">
        <f>VLOOKUP(A37,'Amazon Live Products'!E:AF,28,0)</f>
        <v>1899</v>
      </c>
      <c r="T37" s="263">
        <f t="shared" si="7"/>
        <v>189.9</v>
      </c>
      <c r="U37" s="263"/>
      <c r="V37" s="263" t="str">
        <f t="shared" si="15"/>
        <v>HSB-03</v>
      </c>
      <c r="W37" s="263"/>
    </row>
    <row r="38" spans="1:23">
      <c r="A38" s="212" t="s">
        <v>580</v>
      </c>
      <c r="B38" s="212" t="s">
        <v>581</v>
      </c>
      <c r="C38" s="212" t="str">
        <f>VLOOKUP(A38,'Amazon Live Products'!E:G,3,0)</f>
        <v>HSB-04</v>
      </c>
      <c r="D38" s="212" t="s">
        <v>314</v>
      </c>
      <c r="E38" s="212" t="s">
        <v>465</v>
      </c>
      <c r="F38" s="212" t="s">
        <v>583</v>
      </c>
      <c r="G38" s="212">
        <v>85163200</v>
      </c>
      <c r="H38" s="236">
        <f>VLOOKUP(B38,'Amazon Live Products'!F:P,11,0)</f>
        <v>809.25820799999997</v>
      </c>
      <c r="I38" s="262">
        <f>VLOOKUP(B38,'Amazon Live Products'!F:Q,12,0)</f>
        <v>954.92468543999996</v>
      </c>
      <c r="J38" s="263">
        <f t="shared" si="0"/>
        <v>962.11500000000001</v>
      </c>
      <c r="K38" s="263">
        <f t="shared" si="16"/>
        <v>274.89000000000004</v>
      </c>
      <c r="L38" s="264">
        <v>60</v>
      </c>
      <c r="M38" s="265">
        <f t="shared" si="2"/>
        <v>27.489000000000001</v>
      </c>
      <c r="N38" s="264">
        <f t="shared" si="3"/>
        <v>419.32372881355923</v>
      </c>
      <c r="O38" s="264">
        <f t="shared" si="4"/>
        <v>2553.0759368135596</v>
      </c>
      <c r="P38" s="267">
        <f t="shared" si="5"/>
        <v>195.82406318644053</v>
      </c>
      <c r="Q38" s="266">
        <f t="shared" si="6"/>
        <v>7.1237245147673808E-2</v>
      </c>
      <c r="R38" s="267">
        <f t="shared" ref="R38:R40" si="19">S38+T38</f>
        <v>2748.9</v>
      </c>
      <c r="S38" s="267">
        <f>VLOOKUP(A38,'Amazon Live Products'!E:AF,28,0)</f>
        <v>2499</v>
      </c>
      <c r="T38" s="263">
        <f t="shared" si="7"/>
        <v>249.9</v>
      </c>
      <c r="U38" s="263"/>
      <c r="V38" s="263"/>
      <c r="W38" s="263"/>
    </row>
    <row r="39" spans="1:23">
      <c r="A39" s="212" t="s">
        <v>584</v>
      </c>
      <c r="B39" s="212" t="s">
        <v>585</v>
      </c>
      <c r="C39" s="212" t="str">
        <f>VLOOKUP(A39,'Amazon Live Products'!E:G,3,0)</f>
        <v>MR-02</v>
      </c>
      <c r="D39" s="212" t="s">
        <v>234</v>
      </c>
      <c r="E39" s="212" t="s">
        <v>249</v>
      </c>
      <c r="F39" s="212" t="s">
        <v>945</v>
      </c>
      <c r="G39" s="212">
        <v>85086000</v>
      </c>
      <c r="H39" s="236">
        <f>VLOOKUP(B39,'Amazon Live Products'!F:P,11,0)</f>
        <v>1125.8596800000003</v>
      </c>
      <c r="I39" s="262">
        <f>VLOOKUP(B39,'Amazon Live Products'!F:Q,12,0)</f>
        <v>1328.5144224000003</v>
      </c>
      <c r="J39" s="263">
        <f t="shared" si="0"/>
        <v>1270.115</v>
      </c>
      <c r="K39" s="263">
        <f t="shared" si="16"/>
        <v>362.89000000000004</v>
      </c>
      <c r="L39" s="264">
        <v>60</v>
      </c>
      <c r="M39" s="265">
        <f t="shared" si="2"/>
        <v>36.289000000000001</v>
      </c>
      <c r="N39" s="264">
        <f t="shared" si="3"/>
        <v>553.56101694915242</v>
      </c>
      <c r="O39" s="264">
        <f t="shared" si="4"/>
        <v>3408.7146969491528</v>
      </c>
      <c r="P39" s="267">
        <f t="shared" si="5"/>
        <v>220.18530305084732</v>
      </c>
      <c r="Q39" s="266">
        <f t="shared" si="6"/>
        <v>6.0675494792043684E-2</v>
      </c>
      <c r="R39" s="267">
        <f t="shared" si="19"/>
        <v>3628.9</v>
      </c>
      <c r="S39" s="267">
        <f>VLOOKUP(A39,'Amazon Live Products'!E:AF,28,0)</f>
        <v>3299</v>
      </c>
      <c r="T39" s="263">
        <f t="shared" si="7"/>
        <v>329.90000000000003</v>
      </c>
      <c r="U39" s="263"/>
      <c r="V39" s="263"/>
      <c r="W39" s="263"/>
    </row>
    <row r="40" spans="1:23">
      <c r="A40" s="212" t="s">
        <v>589</v>
      </c>
      <c r="B40" s="212" t="s">
        <v>590</v>
      </c>
      <c r="C40" s="212" t="str">
        <f>VLOOKUP(A40,'Amazon Live Products'!E:G,3,0)</f>
        <v>LE-02</v>
      </c>
      <c r="D40" s="212" t="s">
        <v>314</v>
      </c>
      <c r="E40" s="212" t="s">
        <v>437</v>
      </c>
      <c r="F40" s="212" t="s">
        <v>593</v>
      </c>
      <c r="G40" s="212">
        <v>85437093</v>
      </c>
      <c r="H40" s="236">
        <f>VLOOKUP(B40,'Amazon Live Products'!F:P,11,0)</f>
        <v>528.05808000000002</v>
      </c>
      <c r="I40" s="262">
        <f>VLOOKUP(B40,'Amazon Live Products'!F:Q,12,0)</f>
        <v>623.10853439999994</v>
      </c>
      <c r="J40" s="263">
        <f t="shared" si="0"/>
        <v>769.61500000000001</v>
      </c>
      <c r="K40" s="263">
        <f t="shared" si="16"/>
        <v>219.89000000000001</v>
      </c>
      <c r="L40" s="264">
        <v>60</v>
      </c>
      <c r="M40" s="265">
        <f t="shared" si="2"/>
        <v>21.989000000000001</v>
      </c>
      <c r="N40" s="264">
        <f t="shared" si="3"/>
        <v>335.42542372881348</v>
      </c>
      <c r="O40" s="264">
        <f t="shared" si="4"/>
        <v>1934.9775037288136</v>
      </c>
      <c r="P40" s="267">
        <f t="shared" si="5"/>
        <v>263.92249627118645</v>
      </c>
      <c r="Q40" s="266">
        <f t="shared" si="6"/>
        <v>0.12002478342406951</v>
      </c>
      <c r="R40" s="267">
        <f t="shared" si="19"/>
        <v>2198.9</v>
      </c>
      <c r="S40" s="267">
        <f>VLOOKUP(A40,'Amazon Live Products'!E:AF,28,0)</f>
        <v>1999</v>
      </c>
      <c r="T40" s="263">
        <f t="shared" si="7"/>
        <v>199.9</v>
      </c>
      <c r="U40" s="263"/>
      <c r="V40" s="263"/>
      <c r="W40" s="263"/>
    </row>
    <row r="41" spans="1:23">
      <c r="A41" s="212" t="s">
        <v>594</v>
      </c>
      <c r="B41" s="212" t="s">
        <v>595</v>
      </c>
      <c r="C41" s="212" t="str">
        <f>VLOOKUP(A41,'Amazon Live Products'!E:G,3,0)</f>
        <v>LE-03</v>
      </c>
      <c r="D41" s="212" t="s">
        <v>314</v>
      </c>
      <c r="E41" s="212" t="s">
        <v>437</v>
      </c>
      <c r="F41" s="212" t="s">
        <v>598</v>
      </c>
      <c r="G41" s="212">
        <v>85437099</v>
      </c>
      <c r="H41" s="236">
        <f>VLOOKUP(B41,'Amazon Live Products'!F:P,11,0)</f>
        <v>845.33723999999995</v>
      </c>
      <c r="I41" s="262">
        <f>VLOOKUP(B41,'Amazon Live Products'!F:Q,12,0)</f>
        <v>997.4979431999999</v>
      </c>
      <c r="J41" s="263">
        <f t="shared" si="0"/>
        <v>717.15</v>
      </c>
      <c r="K41" s="263">
        <f t="shared" si="16"/>
        <v>204.9</v>
      </c>
      <c r="L41" s="264">
        <v>60</v>
      </c>
      <c r="M41" s="265">
        <f t="shared" si="2"/>
        <v>20.490000000000002</v>
      </c>
      <c r="N41" s="264">
        <f t="shared" si="3"/>
        <v>312.5593220338983</v>
      </c>
      <c r="O41" s="264">
        <f t="shared" si="4"/>
        <v>2160.4365620338986</v>
      </c>
      <c r="P41" s="264">
        <f t="shared" si="5"/>
        <v>-111.43656203389855</v>
      </c>
      <c r="Q41" s="266">
        <f t="shared" si="6"/>
        <v>-5.4385828225426334E-2</v>
      </c>
      <c r="R41" s="263">
        <v>2049</v>
      </c>
      <c r="S41" s="267">
        <f>VLOOKUP(A41,'Amazon Live Products'!E:AF,28,0)</f>
        <v>1699</v>
      </c>
      <c r="T41" s="263">
        <f t="shared" si="7"/>
        <v>169.9</v>
      </c>
      <c r="U41" s="263"/>
      <c r="V41" s="263" t="str">
        <f t="shared" ref="V41:V49" si="20">C41</f>
        <v>LE-03</v>
      </c>
      <c r="W41" s="263"/>
    </row>
    <row r="42" spans="1:23">
      <c r="A42" s="212" t="s">
        <v>599</v>
      </c>
      <c r="B42" s="212" t="s">
        <v>600</v>
      </c>
      <c r="C42" s="212" t="str">
        <f>VLOOKUP(A42,'Amazon Live Products'!E:G,3,0)</f>
        <v>FS-01</v>
      </c>
      <c r="D42" s="212" t="s">
        <v>234</v>
      </c>
      <c r="E42" s="212" t="s">
        <v>249</v>
      </c>
      <c r="F42" s="212" t="s">
        <v>602</v>
      </c>
      <c r="G42" s="212">
        <v>85086000</v>
      </c>
      <c r="H42" s="236">
        <f>VLOOKUP(B42,'Amazon Live Products'!F:P,11,0)</f>
        <v>826.95888000000014</v>
      </c>
      <c r="I42" s="262">
        <f>VLOOKUP(B42,'Amazon Live Products'!F:Q,12,0)</f>
        <v>975.81147840000006</v>
      </c>
      <c r="J42" s="263">
        <f t="shared" si="0"/>
        <v>769.61500000000001</v>
      </c>
      <c r="K42" s="263">
        <f t="shared" si="16"/>
        <v>219.89000000000001</v>
      </c>
      <c r="L42" s="264">
        <v>60</v>
      </c>
      <c r="M42" s="265">
        <f t="shared" si="2"/>
        <v>21.989000000000001</v>
      </c>
      <c r="N42" s="264">
        <f t="shared" si="3"/>
        <v>335.42542372881348</v>
      </c>
      <c r="O42" s="264">
        <f t="shared" si="4"/>
        <v>2233.878303728814</v>
      </c>
      <c r="P42" s="267">
        <f t="shared" si="5"/>
        <v>-34.978303728813898</v>
      </c>
      <c r="Q42" s="266">
        <f t="shared" si="6"/>
        <v>-1.590718255892214E-2</v>
      </c>
      <c r="R42" s="267">
        <f t="shared" ref="R42:R44" si="21">S42+T42</f>
        <v>2198.9</v>
      </c>
      <c r="S42" s="267">
        <f>VLOOKUP(A42,'Amazon Live Products'!E:AF,28,0)</f>
        <v>1999</v>
      </c>
      <c r="T42" s="263">
        <f t="shared" si="7"/>
        <v>199.9</v>
      </c>
      <c r="U42" s="263"/>
      <c r="V42" s="263" t="str">
        <f t="shared" si="20"/>
        <v>FS-01</v>
      </c>
      <c r="W42" s="263"/>
    </row>
    <row r="43" spans="1:23">
      <c r="A43" s="212" t="s">
        <v>603</v>
      </c>
      <c r="B43" s="212" t="s">
        <v>937</v>
      </c>
      <c r="C43" s="212" t="str">
        <f>VLOOKUP(A43,'Amazon Live Products'!E:G,3,0)</f>
        <v>SS-01</v>
      </c>
      <c r="D43" s="212" t="s">
        <v>234</v>
      </c>
      <c r="E43" s="212" t="s">
        <v>249</v>
      </c>
      <c r="F43" s="212" t="s">
        <v>607</v>
      </c>
      <c r="G43" s="212">
        <v>85098000</v>
      </c>
      <c r="H43" s="236">
        <f>VLOOKUP(B43,'Amazon Live Products'!F:P,11,0)</f>
        <v>1017.3218879999999</v>
      </c>
      <c r="I43" s="262">
        <f>VLOOKUP(B43,'Amazon Live Products'!F:Q,12,0)</f>
        <v>1200.4398278399999</v>
      </c>
      <c r="J43" s="263">
        <f t="shared" si="0"/>
        <v>1039.115</v>
      </c>
      <c r="K43" s="263">
        <f t="shared" si="16"/>
        <v>296.89000000000004</v>
      </c>
      <c r="L43" s="264">
        <v>60</v>
      </c>
      <c r="M43" s="265">
        <f t="shared" si="2"/>
        <v>29.689</v>
      </c>
      <c r="N43" s="264">
        <f t="shared" si="3"/>
        <v>452.88305084745753</v>
      </c>
      <c r="O43" s="264">
        <f t="shared" si="4"/>
        <v>2895.8989388474574</v>
      </c>
      <c r="P43" s="267">
        <f t="shared" si="5"/>
        <v>73.001061152542661</v>
      </c>
      <c r="Q43" s="266">
        <f t="shared" si="6"/>
        <v>2.4588588754266786E-2</v>
      </c>
      <c r="R43" s="267">
        <f t="shared" si="21"/>
        <v>2968.9</v>
      </c>
      <c r="S43" s="267">
        <f>VLOOKUP(A43,'Amazon Live Products'!E:AF,28,0)</f>
        <v>2699</v>
      </c>
      <c r="T43" s="263">
        <f t="shared" si="7"/>
        <v>269.90000000000003</v>
      </c>
      <c r="U43" s="263"/>
      <c r="V43" s="263" t="str">
        <f t="shared" si="20"/>
        <v>SS-01</v>
      </c>
      <c r="W43" s="263"/>
    </row>
    <row r="44" spans="1:23">
      <c r="A44" s="212" t="s">
        <v>608</v>
      </c>
      <c r="B44" s="212" t="s">
        <v>609</v>
      </c>
      <c r="C44" s="212" t="str">
        <f>VLOOKUP(A44,'Amazon Live Products'!E:G,3,0)</f>
        <v>VC-02</v>
      </c>
      <c r="D44" s="212" t="s">
        <v>234</v>
      </c>
      <c r="E44" s="212" t="s">
        <v>249</v>
      </c>
      <c r="F44" s="212" t="s">
        <v>612</v>
      </c>
      <c r="G44" s="212">
        <v>85086000</v>
      </c>
      <c r="H44" s="236">
        <f>VLOOKUP(B44,'Amazon Live Products'!F:P,11,0)</f>
        <v>1178.297472</v>
      </c>
      <c r="I44" s="262">
        <f>VLOOKUP(B44,'Amazon Live Products'!F:Q,12,0)</f>
        <v>1390.3910169599999</v>
      </c>
      <c r="J44" s="263">
        <f t="shared" si="0"/>
        <v>962.11500000000001</v>
      </c>
      <c r="K44" s="263">
        <f t="shared" si="16"/>
        <v>274.89000000000004</v>
      </c>
      <c r="L44" s="264">
        <v>60</v>
      </c>
      <c r="M44" s="265">
        <f t="shared" si="2"/>
        <v>27.489000000000001</v>
      </c>
      <c r="N44" s="264">
        <f t="shared" si="3"/>
        <v>419.32372881355923</v>
      </c>
      <c r="O44" s="264">
        <f t="shared" si="4"/>
        <v>2922.1152008135591</v>
      </c>
      <c r="P44" s="267">
        <f t="shared" si="5"/>
        <v>-173.21520081355902</v>
      </c>
      <c r="Q44" s="266">
        <f t="shared" si="6"/>
        <v>-6.3012550770693371E-2</v>
      </c>
      <c r="R44" s="267">
        <f t="shared" si="21"/>
        <v>2748.9</v>
      </c>
      <c r="S44" s="267">
        <f>VLOOKUP(A44,'Amazon Live Products'!E:AF,28,0)</f>
        <v>2499</v>
      </c>
      <c r="T44" s="263">
        <f t="shared" si="7"/>
        <v>249.9</v>
      </c>
      <c r="U44" s="263"/>
      <c r="V44" s="263" t="str">
        <f t="shared" si="20"/>
        <v>VC-02</v>
      </c>
      <c r="W44" s="263"/>
    </row>
    <row r="45" spans="1:23">
      <c r="A45" s="212" t="s">
        <v>615</v>
      </c>
      <c r="B45" s="212" t="s">
        <v>616</v>
      </c>
      <c r="C45" s="212" t="str">
        <f>VLOOKUP(A45,'Amazon Live Products'!E:G,3,0)</f>
        <v>CM-01-BL</v>
      </c>
      <c r="D45" s="212" t="s">
        <v>314</v>
      </c>
      <c r="E45" s="212" t="s">
        <v>618</v>
      </c>
      <c r="F45" s="212" t="s">
        <v>620</v>
      </c>
      <c r="G45" s="212">
        <v>90191020</v>
      </c>
      <c r="H45" s="236">
        <f>VLOOKUP(B45,'Amazon Live Products'!F:P,11,0)</f>
        <v>468.27792000000011</v>
      </c>
      <c r="I45" s="262">
        <f>VLOOKUP(B45,'Amazon Live Products'!F:Q,12,0)</f>
        <v>524.47127040000021</v>
      </c>
      <c r="J45" s="263">
        <f t="shared" si="0"/>
        <v>519.04999999999995</v>
      </c>
      <c r="K45" s="263">
        <f t="shared" si="16"/>
        <v>148.30000000000001</v>
      </c>
      <c r="L45" s="264">
        <v>60</v>
      </c>
      <c r="M45" s="265">
        <f t="shared" si="2"/>
        <v>14.83</v>
      </c>
      <c r="N45" s="264">
        <f t="shared" si="3"/>
        <v>226.22033898305085</v>
      </c>
      <c r="O45" s="264">
        <f t="shared" si="4"/>
        <v>1436.6782589830509</v>
      </c>
      <c r="P45" s="264">
        <f t="shared" si="5"/>
        <v>46.32174101694909</v>
      </c>
      <c r="Q45" s="266">
        <f t="shared" si="6"/>
        <v>3.1235159148313613E-2</v>
      </c>
      <c r="R45" s="263">
        <v>1483</v>
      </c>
      <c r="S45" s="267">
        <f>VLOOKUP(A45,'Amazon Live Products'!E:AF,28,0)</f>
        <v>1275</v>
      </c>
      <c r="T45" s="263">
        <f t="shared" si="7"/>
        <v>127.5</v>
      </c>
      <c r="U45" s="263"/>
      <c r="V45" s="263" t="str">
        <f t="shared" si="20"/>
        <v>CM-01-BL</v>
      </c>
      <c r="W45" s="263" t="s">
        <v>1093</v>
      </c>
    </row>
    <row r="46" spans="1:23">
      <c r="A46" s="212" t="s">
        <v>621</v>
      </c>
      <c r="B46" s="212" t="s">
        <v>622</v>
      </c>
      <c r="C46" s="212" t="str">
        <f>VLOOKUP(A46,'Amazon Live Products'!E:G,3,0)</f>
        <v>CM-02-PR</v>
      </c>
      <c r="D46" s="212" t="s">
        <v>314</v>
      </c>
      <c r="E46" s="212" t="s">
        <v>618</v>
      </c>
      <c r="F46" s="212" t="s">
        <v>624</v>
      </c>
      <c r="G46" s="212">
        <v>90191020</v>
      </c>
      <c r="H46" s="236">
        <f>VLOOKUP(B46,'Amazon Live Products'!F:P,11,0)</f>
        <v>468.27792000000011</v>
      </c>
      <c r="I46" s="262">
        <f>VLOOKUP(B46,'Amazon Live Products'!F:Q,12,0)</f>
        <v>524.47127040000021</v>
      </c>
      <c r="J46" s="263">
        <f t="shared" si="0"/>
        <v>519.04999999999995</v>
      </c>
      <c r="K46" s="263">
        <f t="shared" si="16"/>
        <v>148.30000000000001</v>
      </c>
      <c r="L46" s="264">
        <v>60</v>
      </c>
      <c r="M46" s="265">
        <f t="shared" si="2"/>
        <v>14.83</v>
      </c>
      <c r="N46" s="264">
        <f t="shared" si="3"/>
        <v>226.22033898305085</v>
      </c>
      <c r="O46" s="264">
        <f t="shared" si="4"/>
        <v>1436.6782589830509</v>
      </c>
      <c r="P46" s="264">
        <f t="shared" si="5"/>
        <v>46.32174101694909</v>
      </c>
      <c r="Q46" s="266">
        <f t="shared" si="6"/>
        <v>3.1235159148313613E-2</v>
      </c>
      <c r="R46" s="263">
        <v>1483</v>
      </c>
      <c r="S46" s="267">
        <f>VLOOKUP(A46,'Amazon Live Products'!E:AF,28,0)</f>
        <v>1299</v>
      </c>
      <c r="T46" s="263">
        <f t="shared" si="7"/>
        <v>129.9</v>
      </c>
      <c r="U46" s="263"/>
      <c r="V46" s="263" t="str">
        <f t="shared" si="20"/>
        <v>CM-02-PR</v>
      </c>
      <c r="W46" s="263" t="s">
        <v>1093</v>
      </c>
    </row>
    <row r="47" spans="1:23">
      <c r="A47" s="212" t="s">
        <v>625</v>
      </c>
      <c r="B47" s="212" t="s">
        <v>626</v>
      </c>
      <c r="C47" s="212" t="str">
        <f>VLOOKUP(A47,'Amazon Live Products'!E:G,3,0)</f>
        <v>TI-01</v>
      </c>
      <c r="D47" s="212" t="s">
        <v>628</v>
      </c>
      <c r="E47" s="212" t="s">
        <v>629</v>
      </c>
      <c r="F47" s="212" t="s">
        <v>631</v>
      </c>
      <c r="G47" s="212">
        <v>84148090</v>
      </c>
      <c r="H47" s="236">
        <f>VLOOKUP(B47,'Amazon Live Products'!F:P,11,0)</f>
        <v>1039.6676399999999</v>
      </c>
      <c r="I47" s="262">
        <f>VLOOKUP(B47,'Amazon Live Products'!F:Q,12,0)</f>
        <v>1226.8078151999998</v>
      </c>
      <c r="J47" s="263">
        <f t="shared" si="0"/>
        <v>885.11500000000001</v>
      </c>
      <c r="K47" s="263">
        <f t="shared" si="16"/>
        <v>252.89000000000001</v>
      </c>
      <c r="L47" s="264">
        <v>60</v>
      </c>
      <c r="M47" s="265">
        <f t="shared" si="2"/>
        <v>25.289000000000001</v>
      </c>
      <c r="N47" s="264">
        <f t="shared" si="3"/>
        <v>385.76440677966093</v>
      </c>
      <c r="O47" s="264">
        <f t="shared" si="4"/>
        <v>2648.7260467796609</v>
      </c>
      <c r="P47" s="267">
        <f t="shared" si="5"/>
        <v>-119.82604677966083</v>
      </c>
      <c r="Q47" s="266">
        <f t="shared" si="6"/>
        <v>-4.738267498899159E-2</v>
      </c>
      <c r="R47" s="267">
        <f t="shared" ref="R47:R62" si="22">S47+T47</f>
        <v>2528.9</v>
      </c>
      <c r="S47" s="267">
        <f>VLOOKUP(A47,'Amazon Live Products'!E:AF,28,0)</f>
        <v>2299</v>
      </c>
      <c r="T47" s="263">
        <f t="shared" si="7"/>
        <v>229.9</v>
      </c>
      <c r="U47" s="263"/>
      <c r="V47" s="263" t="str">
        <f t="shared" si="20"/>
        <v>TI-01</v>
      </c>
      <c r="W47" s="263"/>
    </row>
    <row r="48" spans="1:23">
      <c r="A48" s="212" t="s">
        <v>632</v>
      </c>
      <c r="B48" s="212" t="s">
        <v>633</v>
      </c>
      <c r="C48" s="212" t="str">
        <f>VLOOKUP(A48,'Amazon Live Products'!E:G,3,0)</f>
        <v>TM-01</v>
      </c>
      <c r="D48" s="212" t="s">
        <v>314</v>
      </c>
      <c r="E48" s="212" t="s">
        <v>444</v>
      </c>
      <c r="F48" s="212" t="s">
        <v>636</v>
      </c>
      <c r="G48" s="212">
        <v>85101000</v>
      </c>
      <c r="H48" s="236">
        <f>VLOOKUP(B48,'Amazon Live Products'!F:P,11,0)</f>
        <v>405.17664000000002</v>
      </c>
      <c r="I48" s="262">
        <f>VLOOKUP(B48,'Amazon Live Products'!F:Q,12,0)</f>
        <v>478.10843519999997</v>
      </c>
      <c r="J48" s="263">
        <f t="shared" si="0"/>
        <v>304.14999999999998</v>
      </c>
      <c r="K48" s="263">
        <f t="shared" si="16"/>
        <v>86.9</v>
      </c>
      <c r="L48" s="264">
        <v>60</v>
      </c>
      <c r="M48" s="265">
        <f t="shared" si="2"/>
        <v>8.69</v>
      </c>
      <c r="N48" s="264">
        <f t="shared" si="3"/>
        <v>132.5593220338983</v>
      </c>
      <c r="O48" s="264">
        <f t="shared" si="4"/>
        <v>997.47596203389833</v>
      </c>
      <c r="P48" s="267">
        <f t="shared" si="5"/>
        <v>-128.47596203389833</v>
      </c>
      <c r="Q48" s="266">
        <f t="shared" si="6"/>
        <v>-0.14784345458446296</v>
      </c>
      <c r="R48" s="267">
        <f t="shared" si="22"/>
        <v>869</v>
      </c>
      <c r="S48" s="267">
        <f>VLOOKUP(A48,'Amazon Live Products'!E:AF,28,0)</f>
        <v>790</v>
      </c>
      <c r="T48" s="263">
        <f t="shared" si="7"/>
        <v>79</v>
      </c>
      <c r="U48" s="263"/>
      <c r="V48" s="263" t="str">
        <f t="shared" si="20"/>
        <v>TM-01</v>
      </c>
      <c r="W48" s="263"/>
    </row>
    <row r="49" spans="1:23">
      <c r="A49" s="212" t="s">
        <v>947</v>
      </c>
      <c r="B49" s="212" t="s">
        <v>938</v>
      </c>
      <c r="C49" s="212" t="str">
        <f>VLOOKUP(A49,'Amazon Live Products'!E:G,3,0)</f>
        <v>SPM-01</v>
      </c>
      <c r="D49" s="212" t="s">
        <v>249</v>
      </c>
      <c r="E49" s="212"/>
      <c r="F49" s="212" t="s">
        <v>948</v>
      </c>
      <c r="G49" s="212">
        <v>85098000</v>
      </c>
      <c r="H49" s="236" t="e">
        <f>VLOOKUP(B49,'Amazon Live Products'!F:P,11,0)</f>
        <v>#N/A</v>
      </c>
      <c r="I49" s="262" t="e">
        <f>VLOOKUP(B49,'Amazon Live Products'!F:Q,12,0)</f>
        <v>#N/A</v>
      </c>
      <c r="J49" s="263">
        <f t="shared" si="0"/>
        <v>1539.6149999999998</v>
      </c>
      <c r="K49" s="263">
        <f t="shared" si="16"/>
        <v>439.89</v>
      </c>
      <c r="L49" s="264">
        <v>60</v>
      </c>
      <c r="M49" s="265">
        <f t="shared" si="2"/>
        <v>43.988999999999997</v>
      </c>
      <c r="N49" s="264">
        <f t="shared" si="3"/>
        <v>671.01864406779623</v>
      </c>
      <c r="O49" s="263" t="e">
        <f t="shared" si="4"/>
        <v>#N/A</v>
      </c>
      <c r="P49" s="263" t="e">
        <f t="shared" si="5"/>
        <v>#N/A</v>
      </c>
      <c r="Q49" s="266" t="e">
        <f t="shared" si="6"/>
        <v>#N/A</v>
      </c>
      <c r="R49" s="267">
        <f t="shared" si="22"/>
        <v>4398.8999999999996</v>
      </c>
      <c r="S49" s="267">
        <f>VLOOKUP(A49,'Amazon Live Products'!E:AF,28,0)</f>
        <v>3999</v>
      </c>
      <c r="T49" s="263">
        <f t="shared" si="7"/>
        <v>399.90000000000003</v>
      </c>
      <c r="U49" s="263"/>
      <c r="V49" s="263" t="str">
        <f t="shared" si="20"/>
        <v>SPM-01</v>
      </c>
      <c r="W49" s="263"/>
    </row>
    <row r="50" spans="1:23">
      <c r="A50" s="212" t="s">
        <v>642</v>
      </c>
      <c r="B50" s="212" t="s">
        <v>643</v>
      </c>
      <c r="C50" s="212" t="str">
        <f>VLOOKUP(A50,'Amazon Live Products'!E:G,3,0)</f>
        <v>LE-04</v>
      </c>
      <c r="D50" s="212" t="s">
        <v>314</v>
      </c>
      <c r="E50" s="212" t="s">
        <v>437</v>
      </c>
      <c r="F50" s="212" t="s">
        <v>645</v>
      </c>
      <c r="G50" s="212">
        <v>85437093</v>
      </c>
      <c r="H50" s="236">
        <f>VLOOKUP(B50,'Amazon Live Products'!F:P,11,0)</f>
        <v>498.16799999999995</v>
      </c>
      <c r="I50" s="262">
        <f>VLOOKUP(B50,'Amazon Live Products'!F:Q,12,0)</f>
        <v>587.83823999999993</v>
      </c>
      <c r="J50" s="263">
        <f t="shared" si="0"/>
        <v>577.11500000000001</v>
      </c>
      <c r="K50" s="263">
        <f t="shared" si="16"/>
        <v>164.89000000000001</v>
      </c>
      <c r="L50" s="264">
        <v>60</v>
      </c>
      <c r="M50" s="265">
        <f t="shared" si="2"/>
        <v>16.489000000000001</v>
      </c>
      <c r="N50" s="264">
        <f t="shared" si="3"/>
        <v>251.52711864406774</v>
      </c>
      <c r="O50" s="264">
        <f t="shared" si="4"/>
        <v>1568.1891186440678</v>
      </c>
      <c r="P50" s="267">
        <f t="shared" si="5"/>
        <v>80.710881355932315</v>
      </c>
      <c r="Q50" s="266">
        <f t="shared" si="6"/>
        <v>4.8948317882183463E-2</v>
      </c>
      <c r="R50" s="267">
        <f t="shared" si="22"/>
        <v>1648.9</v>
      </c>
      <c r="S50" s="267">
        <f>VLOOKUP(A50,'Amazon Live Products'!E:AF,28,0)</f>
        <v>1499</v>
      </c>
      <c r="T50" s="263">
        <f t="shared" si="7"/>
        <v>149.9</v>
      </c>
      <c r="U50" s="263"/>
      <c r="V50" s="263"/>
      <c r="W50" s="263"/>
    </row>
    <row r="51" spans="1:23">
      <c r="A51" s="212" t="s">
        <v>646</v>
      </c>
      <c r="B51" s="212" t="s">
        <v>647</v>
      </c>
      <c r="C51" s="212" t="str">
        <f>VLOOKUP(A51,'Amazon Live Products'!E:G,3,0)</f>
        <v>TI-02</v>
      </c>
      <c r="D51" s="212" t="s">
        <v>628</v>
      </c>
      <c r="E51" s="212" t="s">
        <v>629</v>
      </c>
      <c r="F51" s="212" t="s">
        <v>949</v>
      </c>
      <c r="G51" s="212">
        <v>84148090</v>
      </c>
      <c r="H51" s="236">
        <f>VLOOKUP(B51,'Amazon Live Products'!F:P,11,0)</f>
        <v>680.15639999999996</v>
      </c>
      <c r="I51" s="262">
        <f>VLOOKUP(B51,'Amazon Live Products'!F:Q,12,0)</f>
        <v>802.58455199999992</v>
      </c>
      <c r="J51" s="263">
        <f t="shared" si="0"/>
        <v>577.11500000000001</v>
      </c>
      <c r="K51" s="263">
        <f t="shared" si="16"/>
        <v>164.89000000000001</v>
      </c>
      <c r="L51" s="264">
        <v>60</v>
      </c>
      <c r="M51" s="265">
        <f t="shared" si="2"/>
        <v>16.489000000000001</v>
      </c>
      <c r="N51" s="264">
        <f t="shared" si="3"/>
        <v>251.52711864406774</v>
      </c>
      <c r="O51" s="264">
        <f t="shared" si="4"/>
        <v>1750.177518644068</v>
      </c>
      <c r="P51" s="267">
        <f t="shared" si="5"/>
        <v>-101.27751864406787</v>
      </c>
      <c r="Q51" s="266">
        <f t="shared" si="6"/>
        <v>-6.1421261837629852E-2</v>
      </c>
      <c r="R51" s="267">
        <f t="shared" si="22"/>
        <v>1648.9</v>
      </c>
      <c r="S51" s="267">
        <f>VLOOKUP(A51,'Amazon Live Products'!E:AF,28,0)</f>
        <v>1499</v>
      </c>
      <c r="T51" s="263">
        <f t="shared" si="7"/>
        <v>149.9</v>
      </c>
      <c r="U51" s="263"/>
      <c r="V51" s="263" t="str">
        <f t="shared" ref="V51:V56" si="23">C51</f>
        <v>TI-02</v>
      </c>
      <c r="W51" s="263"/>
    </row>
    <row r="52" spans="1:23">
      <c r="A52" s="212" t="s">
        <v>651</v>
      </c>
      <c r="B52" s="212" t="s">
        <v>652</v>
      </c>
      <c r="C52" s="212" t="str">
        <f>VLOOKUP(A52,'Amazon Live Products'!E:G,3,0)</f>
        <v>TIC-03</v>
      </c>
      <c r="D52" s="212" t="s">
        <v>628</v>
      </c>
      <c r="E52" s="212" t="s">
        <v>629</v>
      </c>
      <c r="F52" s="212" t="s">
        <v>654</v>
      </c>
      <c r="G52" s="212">
        <v>84148090</v>
      </c>
      <c r="H52" s="236">
        <f>VLOOKUP(B52,'Amazon Live Products'!F:P,11,0)</f>
        <v>680.15639999999996</v>
      </c>
      <c r="I52" s="262">
        <f>VLOOKUP(B52,'Amazon Live Products'!F:Q,12,0)</f>
        <v>802.58455199999992</v>
      </c>
      <c r="J52" s="263">
        <f t="shared" si="0"/>
        <v>750.36500000000001</v>
      </c>
      <c r="K52" s="263">
        <f t="shared" si="16"/>
        <v>214.39000000000001</v>
      </c>
      <c r="L52" s="264">
        <v>60</v>
      </c>
      <c r="M52" s="265">
        <f t="shared" si="2"/>
        <v>21.439</v>
      </c>
      <c r="N52" s="264">
        <f t="shared" si="3"/>
        <v>327.0355932203388</v>
      </c>
      <c r="O52" s="264">
        <f t="shared" si="4"/>
        <v>2053.3859932203391</v>
      </c>
      <c r="P52" s="267">
        <f t="shared" si="5"/>
        <v>90.514006779661031</v>
      </c>
      <c r="Q52" s="266">
        <f t="shared" si="6"/>
        <v>4.2219323093269756E-2</v>
      </c>
      <c r="R52" s="267">
        <f t="shared" si="22"/>
        <v>2143.9</v>
      </c>
      <c r="S52" s="267">
        <f>VLOOKUP(A52,'Amazon Live Products'!E:AF,28,0)</f>
        <v>1949</v>
      </c>
      <c r="T52" s="263">
        <f t="shared" si="7"/>
        <v>194.9</v>
      </c>
      <c r="U52" s="263"/>
      <c r="V52" s="263" t="str">
        <f t="shared" si="23"/>
        <v>TIC-03</v>
      </c>
      <c r="W52" s="263"/>
    </row>
    <row r="53" spans="1:23">
      <c r="A53" s="212" t="s">
        <v>655</v>
      </c>
      <c r="B53" s="212" t="s">
        <v>656</v>
      </c>
      <c r="C53" s="212" t="str">
        <f>VLOOKUP(A53,'Amazon Live Products'!E:G,3,0)</f>
        <v>TIC-04</v>
      </c>
      <c r="D53" s="212" t="s">
        <v>628</v>
      </c>
      <c r="E53" s="212" t="s">
        <v>629</v>
      </c>
      <c r="F53" s="212" t="s">
        <v>658</v>
      </c>
      <c r="G53" s="212">
        <v>84148090</v>
      </c>
      <c r="H53" s="236">
        <f>VLOOKUP(B53,'Amazon Live Products'!F:P,11,0)</f>
        <v>915.29618399999993</v>
      </c>
      <c r="I53" s="262">
        <f>VLOOKUP(B53,'Amazon Live Products'!F:Q,12,0)</f>
        <v>1080.0494971199998</v>
      </c>
      <c r="J53" s="263">
        <f t="shared" si="0"/>
        <v>885.11500000000001</v>
      </c>
      <c r="K53" s="263">
        <f t="shared" si="16"/>
        <v>252.89000000000001</v>
      </c>
      <c r="L53" s="264">
        <v>60</v>
      </c>
      <c r="M53" s="265">
        <f t="shared" si="2"/>
        <v>25.289000000000001</v>
      </c>
      <c r="N53" s="264">
        <f t="shared" si="3"/>
        <v>385.76440677966093</v>
      </c>
      <c r="O53" s="264">
        <f t="shared" si="4"/>
        <v>2524.3545907796611</v>
      </c>
      <c r="P53" s="267">
        <f t="shared" si="5"/>
        <v>4.5454092203390246</v>
      </c>
      <c r="Q53" s="266">
        <f t="shared" si="6"/>
        <v>1.7973859070501105E-3</v>
      </c>
      <c r="R53" s="267">
        <f t="shared" si="22"/>
        <v>2528.9</v>
      </c>
      <c r="S53" s="267">
        <f>VLOOKUP(A53,'Amazon Live Products'!E:AF,28,0)</f>
        <v>2299</v>
      </c>
      <c r="T53" s="263">
        <f t="shared" si="7"/>
        <v>229.9</v>
      </c>
      <c r="U53" s="263"/>
      <c r="V53" s="263" t="str">
        <f t="shared" si="23"/>
        <v>TIC-04</v>
      </c>
      <c r="W53" s="263"/>
    </row>
    <row r="54" spans="1:23">
      <c r="A54" s="212" t="s">
        <v>659</v>
      </c>
      <c r="B54" s="212" t="s">
        <v>660</v>
      </c>
      <c r="C54" s="212" t="str">
        <f>VLOOKUP(A54,'Amazon Live Products'!E:G,3,0)</f>
        <v>VC-03</v>
      </c>
      <c r="D54" s="212" t="s">
        <v>234</v>
      </c>
      <c r="E54" s="212" t="s">
        <v>249</v>
      </c>
      <c r="F54" s="212" t="s">
        <v>662</v>
      </c>
      <c r="G54" s="212">
        <v>85086000</v>
      </c>
      <c r="H54" s="236">
        <f>VLOOKUP(B54,'Amazon Live Products'!F:P,11,0)</f>
        <v>736.98345600000005</v>
      </c>
      <c r="I54" s="262">
        <f>VLOOKUP(B54,'Amazon Live Products'!F:Q,12,0)</f>
        <v>869.64047807999998</v>
      </c>
      <c r="J54" s="263">
        <f t="shared" si="0"/>
        <v>769.61500000000001</v>
      </c>
      <c r="K54" s="263">
        <f t="shared" si="16"/>
        <v>219.89000000000001</v>
      </c>
      <c r="L54" s="264">
        <v>60</v>
      </c>
      <c r="M54" s="265">
        <f t="shared" si="2"/>
        <v>21.989000000000001</v>
      </c>
      <c r="N54" s="264">
        <f t="shared" si="3"/>
        <v>335.42542372881348</v>
      </c>
      <c r="O54" s="264">
        <f t="shared" si="4"/>
        <v>2143.9028797288138</v>
      </c>
      <c r="P54" s="267">
        <f t="shared" si="5"/>
        <v>54.997120271186304</v>
      </c>
      <c r="Q54" s="266">
        <f t="shared" si="6"/>
        <v>2.5011196630672746E-2</v>
      </c>
      <c r="R54" s="267">
        <f t="shared" si="22"/>
        <v>2198.9</v>
      </c>
      <c r="S54" s="267">
        <f>VLOOKUP(A54,'Amazon Live Products'!E:AF,28,0)</f>
        <v>1999</v>
      </c>
      <c r="T54" s="263">
        <f t="shared" si="7"/>
        <v>199.9</v>
      </c>
      <c r="U54" s="263"/>
      <c r="V54" s="263" t="str">
        <f t="shared" si="23"/>
        <v>VC-03</v>
      </c>
      <c r="W54" s="263"/>
    </row>
    <row r="55" spans="1:23">
      <c r="A55" s="212" t="s">
        <v>663</v>
      </c>
      <c r="B55" s="212" t="s">
        <v>664</v>
      </c>
      <c r="C55" s="212" t="str">
        <f>VLOOKUP(A55,'Amazon Live Products'!E:G,3,0)</f>
        <v>TM-02</v>
      </c>
      <c r="D55" s="212" t="s">
        <v>314</v>
      </c>
      <c r="E55" s="212" t="s">
        <v>444</v>
      </c>
      <c r="F55" s="212" t="s">
        <v>667</v>
      </c>
      <c r="G55" s="212">
        <v>85101000</v>
      </c>
      <c r="H55" s="236">
        <f>VLOOKUP(B55,'Amazon Live Products'!F:P,11,0)</f>
        <v>1095.0719999999999</v>
      </c>
      <c r="I55" s="262">
        <f>VLOOKUP(B55,'Amazon Live Products'!F:Q,12,0)</f>
        <v>1292.1849599999998</v>
      </c>
      <c r="J55" s="263">
        <f t="shared" si="0"/>
        <v>846.61500000000001</v>
      </c>
      <c r="K55" s="263">
        <f t="shared" si="16"/>
        <v>241.89000000000001</v>
      </c>
      <c r="L55" s="264">
        <v>60</v>
      </c>
      <c r="M55" s="265">
        <f t="shared" si="2"/>
        <v>24.189</v>
      </c>
      <c r="N55" s="264">
        <f t="shared" si="3"/>
        <v>368.98474576271155</v>
      </c>
      <c r="O55" s="264">
        <f t="shared" si="4"/>
        <v>2636.7507457627112</v>
      </c>
      <c r="P55" s="267">
        <f t="shared" si="5"/>
        <v>-217.85074576271109</v>
      </c>
      <c r="Q55" s="266">
        <f t="shared" si="6"/>
        <v>-9.0061906553686011E-2</v>
      </c>
      <c r="R55" s="267">
        <f t="shared" si="22"/>
        <v>2418.9</v>
      </c>
      <c r="S55" s="267">
        <f>VLOOKUP(A55,'Amazon Live Products'!E:AF,28,0)</f>
        <v>2199</v>
      </c>
      <c r="T55" s="263">
        <f t="shared" si="7"/>
        <v>219.9</v>
      </c>
      <c r="U55" s="263"/>
      <c r="V55" s="263" t="str">
        <f t="shared" si="23"/>
        <v>TM-02</v>
      </c>
      <c r="W55" s="263"/>
    </row>
    <row r="56" spans="1:23">
      <c r="A56" s="212" t="s">
        <v>668</v>
      </c>
      <c r="B56" s="212" t="s">
        <v>944</v>
      </c>
      <c r="C56" s="212" t="str">
        <f>VLOOKUP(A56,'Amazon Live Products'!E:G,3,0)</f>
        <v>CF-01</v>
      </c>
      <c r="D56" s="212" t="s">
        <v>671</v>
      </c>
      <c r="E56" s="212" t="s">
        <v>950</v>
      </c>
      <c r="F56" s="212" t="s">
        <v>673</v>
      </c>
      <c r="G56" s="212">
        <v>85167100</v>
      </c>
      <c r="H56" s="236">
        <f>VLOOKUP(B56,'Amazon Live Products'!F:P,11,0)</f>
        <v>569.43744000000004</v>
      </c>
      <c r="I56" s="262">
        <f>VLOOKUP(B56,'Amazon Live Products'!F:Q,12,0)</f>
        <v>671.93617919999997</v>
      </c>
      <c r="J56" s="263">
        <f t="shared" si="0"/>
        <v>577.11500000000001</v>
      </c>
      <c r="K56" s="263">
        <f t="shared" si="16"/>
        <v>164.89000000000001</v>
      </c>
      <c r="L56" s="264">
        <v>60</v>
      </c>
      <c r="M56" s="265">
        <f t="shared" si="2"/>
        <v>16.489000000000001</v>
      </c>
      <c r="N56" s="264">
        <f t="shared" si="3"/>
        <v>251.52711864406774</v>
      </c>
      <c r="O56" s="264">
        <f t="shared" si="4"/>
        <v>1639.4585586440678</v>
      </c>
      <c r="P56" s="267">
        <f t="shared" si="5"/>
        <v>9.4414413559322838</v>
      </c>
      <c r="Q56" s="266">
        <f t="shared" si="6"/>
        <v>5.7259029388879151E-3</v>
      </c>
      <c r="R56" s="267">
        <f t="shared" si="22"/>
        <v>1648.9</v>
      </c>
      <c r="S56" s="267">
        <f>VLOOKUP(A56,'Amazon Live Products'!E:AF,28,0)</f>
        <v>1499</v>
      </c>
      <c r="T56" s="263">
        <f t="shared" si="7"/>
        <v>149.9</v>
      </c>
      <c r="U56" s="263"/>
      <c r="V56" s="263" t="str">
        <f t="shared" si="23"/>
        <v>CF-01</v>
      </c>
      <c r="W56" s="263"/>
    </row>
    <row r="57" spans="1:23">
      <c r="A57" s="212" t="s">
        <v>675</v>
      </c>
      <c r="B57" s="212" t="s">
        <v>676</v>
      </c>
      <c r="C57" s="212" t="str">
        <f>VLOOKUP(A57,'Amazon Live Products'!E:G,3,0)</f>
        <v>TM-03</v>
      </c>
      <c r="D57" s="212" t="s">
        <v>314</v>
      </c>
      <c r="E57" s="212"/>
      <c r="F57" s="212" t="s">
        <v>678</v>
      </c>
      <c r="G57" s="212">
        <v>85101000</v>
      </c>
      <c r="H57" s="236">
        <f>VLOOKUP(B57,'Amazon Live Products'!F:P,11,0)</f>
        <v>498.25776000000002</v>
      </c>
      <c r="I57" s="262">
        <f>VLOOKUP(B57,'Amazon Live Products'!F:Q,12,0)</f>
        <v>587.94415679999997</v>
      </c>
      <c r="J57" s="263">
        <f t="shared" si="0"/>
        <v>436.20499999999998</v>
      </c>
      <c r="K57" s="263">
        <f t="shared" si="16"/>
        <v>124.63</v>
      </c>
      <c r="L57" s="264">
        <v>60</v>
      </c>
      <c r="M57" s="265">
        <f t="shared" si="2"/>
        <v>12.462999999999999</v>
      </c>
      <c r="N57" s="264">
        <f t="shared" si="3"/>
        <v>190.11355932203378</v>
      </c>
      <c r="O57" s="264">
        <f t="shared" si="4"/>
        <v>1321.6693193220337</v>
      </c>
      <c r="P57" s="267">
        <f t="shared" si="5"/>
        <v>-75.369319322033789</v>
      </c>
      <c r="Q57" s="266">
        <f t="shared" si="6"/>
        <v>-6.0474459858809108E-2</v>
      </c>
      <c r="R57" s="267">
        <f t="shared" si="22"/>
        <v>1246.3</v>
      </c>
      <c r="S57" s="267">
        <f>VLOOKUP(A57,'Amazon Live Products'!E:AF,28,0)</f>
        <v>1133</v>
      </c>
      <c r="T57" s="263">
        <f t="shared" si="7"/>
        <v>113.30000000000001</v>
      </c>
      <c r="U57" s="263"/>
      <c r="V57" s="263"/>
      <c r="W57" s="263"/>
    </row>
    <row r="58" spans="1:23">
      <c r="A58" s="212" t="s">
        <v>679</v>
      </c>
      <c r="B58" s="212" t="s">
        <v>680</v>
      </c>
      <c r="C58" s="212" t="str">
        <f>VLOOKUP(A58,'Amazon Live Products'!E:G,3,0)</f>
        <v>TM-04</v>
      </c>
      <c r="D58" s="212" t="s">
        <v>314</v>
      </c>
      <c r="E58" s="212"/>
      <c r="F58" s="212" t="s">
        <v>682</v>
      </c>
      <c r="G58" s="212">
        <v>85101000</v>
      </c>
      <c r="H58" s="236">
        <f>VLOOKUP(B58,'Amazon Live Products'!F:P,11,0)</f>
        <v>385.46534400000002</v>
      </c>
      <c r="I58" s="262">
        <f>VLOOKUP(B58,'Amazon Live Products'!F:Q,12,0)</f>
        <v>454.84910592</v>
      </c>
      <c r="J58" s="263">
        <f t="shared" si="0"/>
        <v>384.61500000000001</v>
      </c>
      <c r="K58" s="263">
        <f t="shared" si="16"/>
        <v>109.89000000000001</v>
      </c>
      <c r="L58" s="264">
        <v>60</v>
      </c>
      <c r="M58" s="265">
        <f t="shared" si="2"/>
        <v>10.989000000000001</v>
      </c>
      <c r="N58" s="264">
        <f t="shared" si="3"/>
        <v>167.628813559322</v>
      </c>
      <c r="O58" s="264">
        <f t="shared" si="4"/>
        <v>1118.5881575593221</v>
      </c>
      <c r="P58" s="267">
        <f t="shared" si="5"/>
        <v>-19.688157559322008</v>
      </c>
      <c r="Q58" s="266">
        <f t="shared" si="6"/>
        <v>-1.791624129522432E-2</v>
      </c>
      <c r="R58" s="267">
        <f t="shared" si="22"/>
        <v>1098.9000000000001</v>
      </c>
      <c r="S58" s="267">
        <f>VLOOKUP(A58,'Amazon Live Products'!E:AF,28,0)</f>
        <v>999</v>
      </c>
      <c r="T58" s="263">
        <f t="shared" si="7"/>
        <v>99.9</v>
      </c>
      <c r="U58" s="263"/>
      <c r="V58" s="263" t="str">
        <f t="shared" ref="V58:V60" si="24">C58</f>
        <v>TM-04</v>
      </c>
      <c r="W58" s="263"/>
    </row>
    <row r="59" spans="1:23">
      <c r="A59" s="212" t="s">
        <v>683</v>
      </c>
      <c r="B59" s="212" t="s">
        <v>684</v>
      </c>
      <c r="C59" s="212" t="str">
        <f>VLOOKUP(A59,'Amazon Live Products'!E:G,3,0)</f>
        <v>KE-01</v>
      </c>
      <c r="D59" s="212" t="s">
        <v>234</v>
      </c>
      <c r="E59" s="212" t="s">
        <v>671</v>
      </c>
      <c r="F59" s="212" t="s">
        <v>687</v>
      </c>
      <c r="G59" s="212">
        <v>85167990</v>
      </c>
      <c r="H59" s="236">
        <f>VLOOKUP(B59,'Amazon Live Products'!F:P,11,0)</f>
        <v>793.92719999999986</v>
      </c>
      <c r="I59" s="262">
        <f>VLOOKUP(B59,'Amazon Live Products'!F:Q,12,0)</f>
        <v>936.83409599999982</v>
      </c>
      <c r="J59" s="263">
        <f t="shared" si="0"/>
        <v>654.11500000000001</v>
      </c>
      <c r="K59" s="263">
        <f t="shared" si="16"/>
        <v>186.89000000000001</v>
      </c>
      <c r="L59" s="264">
        <v>60</v>
      </c>
      <c r="M59" s="265">
        <f t="shared" si="2"/>
        <v>18.689</v>
      </c>
      <c r="N59" s="264">
        <f t="shared" si="3"/>
        <v>285.08644067796604</v>
      </c>
      <c r="O59" s="264">
        <f t="shared" si="4"/>
        <v>1998.7076406779661</v>
      </c>
      <c r="P59" s="267">
        <f t="shared" si="5"/>
        <v>-129.80764067796599</v>
      </c>
      <c r="Q59" s="266">
        <f t="shared" si="6"/>
        <v>-6.9456707516702867E-2</v>
      </c>
      <c r="R59" s="267">
        <f t="shared" si="22"/>
        <v>1868.9</v>
      </c>
      <c r="S59" s="267">
        <f>VLOOKUP(A59,'Amazon Live Products'!E:AF,28,0)</f>
        <v>1699</v>
      </c>
      <c r="T59" s="263">
        <f t="shared" si="7"/>
        <v>169.9</v>
      </c>
      <c r="U59" s="263"/>
      <c r="V59" s="263" t="str">
        <f t="shared" si="24"/>
        <v>KE-01</v>
      </c>
      <c r="W59" s="263"/>
    </row>
    <row r="60" spans="1:23">
      <c r="A60" s="212" t="s">
        <v>688</v>
      </c>
      <c r="B60" s="212" t="s">
        <v>689</v>
      </c>
      <c r="C60" s="212" t="str">
        <f>VLOOKUP(A60,'Amazon Live Products'!E:G,3,0)</f>
        <v>KE-02</v>
      </c>
      <c r="D60" s="212" t="s">
        <v>234</v>
      </c>
      <c r="E60" s="212" t="s">
        <v>671</v>
      </c>
      <c r="F60" s="212" t="s">
        <v>691</v>
      </c>
      <c r="G60" s="212">
        <v>85167990</v>
      </c>
      <c r="H60" s="236">
        <f>VLOOKUP(B60,'Amazon Live Products'!F:P,11,0)</f>
        <v>793.92719999999986</v>
      </c>
      <c r="I60" s="262">
        <f>VLOOKUP(B60,'Amazon Live Products'!F:Q,12,0)</f>
        <v>936.83409599999982</v>
      </c>
      <c r="J60" s="263">
        <f t="shared" si="0"/>
        <v>577.11500000000001</v>
      </c>
      <c r="K60" s="263">
        <f t="shared" si="16"/>
        <v>164.89000000000001</v>
      </c>
      <c r="L60" s="264">
        <v>60</v>
      </c>
      <c r="M60" s="265">
        <f t="shared" si="2"/>
        <v>16.489000000000001</v>
      </c>
      <c r="N60" s="264">
        <f t="shared" si="3"/>
        <v>251.52711864406774</v>
      </c>
      <c r="O60" s="264">
        <f t="shared" si="4"/>
        <v>1863.9483186440677</v>
      </c>
      <c r="P60" s="267">
        <f t="shared" si="5"/>
        <v>-215.04831864406765</v>
      </c>
      <c r="Q60" s="266">
        <f t="shared" si="6"/>
        <v>-0.13041926050340691</v>
      </c>
      <c r="R60" s="267">
        <f t="shared" si="22"/>
        <v>1648.9</v>
      </c>
      <c r="S60" s="267">
        <f>VLOOKUP(A60,'Amazon Live Products'!E:AF,28,0)</f>
        <v>1499</v>
      </c>
      <c r="T60" s="263">
        <f t="shared" si="7"/>
        <v>149.9</v>
      </c>
      <c r="U60" s="263"/>
      <c r="V60" s="263" t="str">
        <f t="shared" si="24"/>
        <v>KE-02</v>
      </c>
      <c r="W60" s="263"/>
    </row>
    <row r="61" spans="1:23">
      <c r="A61" s="212" t="s">
        <v>695</v>
      </c>
      <c r="B61" s="212" t="s">
        <v>696</v>
      </c>
      <c r="C61" s="212" t="str">
        <f>VLOOKUP(A61,'Amazon Live Products'!E:G,3,0)</f>
        <v>V-02</v>
      </c>
      <c r="D61" s="212" t="s">
        <v>314</v>
      </c>
      <c r="E61" s="212" t="s">
        <v>465</v>
      </c>
      <c r="F61" s="212" t="s">
        <v>699</v>
      </c>
      <c r="G61" s="212">
        <v>85163100</v>
      </c>
      <c r="H61" s="236">
        <f>VLOOKUP(B61,'Amazon Live Products'!F:P,11,0)</f>
        <v>911.09990400000004</v>
      </c>
      <c r="I61" s="262">
        <f>VLOOKUP(B61,'Amazon Live Products'!F:Q,12,0)</f>
        <v>1075.0978867199999</v>
      </c>
      <c r="J61" s="263">
        <f t="shared" si="0"/>
        <v>769.61500000000001</v>
      </c>
      <c r="K61" s="263">
        <f t="shared" si="16"/>
        <v>219.89000000000001</v>
      </c>
      <c r="L61" s="264">
        <v>60</v>
      </c>
      <c r="M61" s="265">
        <f t="shared" si="2"/>
        <v>21.989000000000001</v>
      </c>
      <c r="N61" s="264">
        <f t="shared" si="3"/>
        <v>335.42542372881348</v>
      </c>
      <c r="O61" s="264">
        <f t="shared" si="4"/>
        <v>2318.0193277288136</v>
      </c>
      <c r="P61" s="267">
        <f t="shared" si="5"/>
        <v>-119.11932772881346</v>
      </c>
      <c r="Q61" s="266">
        <f t="shared" si="6"/>
        <v>-5.4172235085185073E-2</v>
      </c>
      <c r="R61" s="267">
        <f t="shared" si="22"/>
        <v>2198.9</v>
      </c>
      <c r="S61" s="267">
        <f>VLOOKUP(A61,'Amazon Live Products'!E:AF,28,0)</f>
        <v>1999</v>
      </c>
      <c r="T61" s="263">
        <f t="shared" si="7"/>
        <v>199.9</v>
      </c>
      <c r="U61" s="263"/>
      <c r="V61" s="263"/>
      <c r="W61" s="263"/>
    </row>
    <row r="62" spans="1:23">
      <c r="A62" s="212" t="s">
        <v>700</v>
      </c>
      <c r="B62" s="212" t="s">
        <v>701</v>
      </c>
      <c r="C62" s="212" t="str">
        <f>VLOOKUP(A62,'Amazon Live Products'!E:G,3,0)</f>
        <v>V-03</v>
      </c>
      <c r="D62" s="212" t="s">
        <v>314</v>
      </c>
      <c r="E62" s="212" t="s">
        <v>465</v>
      </c>
      <c r="F62" s="212" t="s">
        <v>703</v>
      </c>
      <c r="G62" s="212">
        <v>85163100</v>
      </c>
      <c r="H62" s="236">
        <f>VLOOKUP(B62,'Amazon Live Products'!F:P,11,0)</f>
        <v>708.51158400000008</v>
      </c>
      <c r="I62" s="262">
        <f>VLOOKUP(B62,'Amazon Live Products'!F:Q,12,0)</f>
        <v>836.04366912</v>
      </c>
      <c r="J62" s="263">
        <f t="shared" si="0"/>
        <v>769.23</v>
      </c>
      <c r="K62" s="263">
        <f t="shared" si="16"/>
        <v>219.78000000000003</v>
      </c>
      <c r="L62" s="264">
        <v>60</v>
      </c>
      <c r="M62" s="265">
        <f t="shared" si="2"/>
        <v>21.978000000000002</v>
      </c>
      <c r="N62" s="264">
        <f t="shared" si="3"/>
        <v>335.257627118644</v>
      </c>
      <c r="O62" s="264">
        <f t="shared" si="4"/>
        <v>2114.7572111186441</v>
      </c>
      <c r="P62" s="267">
        <f t="shared" si="5"/>
        <v>83.042788881356046</v>
      </c>
      <c r="Q62" s="266">
        <f t="shared" si="6"/>
        <v>3.778450672552372E-2</v>
      </c>
      <c r="R62" s="267">
        <f t="shared" si="22"/>
        <v>2197.8000000000002</v>
      </c>
      <c r="S62" s="267">
        <f>VLOOKUP(A62,'Amazon Live Products'!E:AF,28,0)</f>
        <v>1998</v>
      </c>
      <c r="T62" s="263">
        <f t="shared" si="7"/>
        <v>199.8</v>
      </c>
      <c r="U62" s="263"/>
      <c r="V62" s="263" t="str">
        <f t="shared" ref="V62:V65" si="25">C62</f>
        <v>V-03</v>
      </c>
      <c r="W62" s="263"/>
    </row>
    <row r="63" spans="1:23">
      <c r="A63" s="212" t="s">
        <v>704</v>
      </c>
      <c r="B63" s="212" t="s">
        <v>705</v>
      </c>
      <c r="C63" s="212" t="str">
        <f>VLOOKUP(A63,'Amazon Live Products'!E:G,3,0)</f>
        <v>SC-04</v>
      </c>
      <c r="D63" s="212" t="s">
        <v>234</v>
      </c>
      <c r="E63" s="212" t="s">
        <v>249</v>
      </c>
      <c r="F63" s="212" t="s">
        <v>708</v>
      </c>
      <c r="G63" s="212">
        <v>85098000</v>
      </c>
      <c r="H63" s="236">
        <f>VLOOKUP(B63,'Amazon Live Products'!F:P,11,0)</f>
        <v>2190.1439999999998</v>
      </c>
      <c r="I63" s="262">
        <f>VLOOKUP(B63,'Amazon Live Products'!F:Q,12,0)</f>
        <v>2584.3699199999996</v>
      </c>
      <c r="J63" s="263">
        <f t="shared" si="0"/>
        <v>2225.6499999999996</v>
      </c>
      <c r="K63" s="263">
        <f t="shared" si="16"/>
        <v>635.90000000000009</v>
      </c>
      <c r="L63" s="264">
        <v>60</v>
      </c>
      <c r="M63" s="265">
        <f t="shared" si="2"/>
        <v>63.59</v>
      </c>
      <c r="N63" s="264">
        <f t="shared" si="3"/>
        <v>970.01694915254211</v>
      </c>
      <c r="O63" s="264">
        <f t="shared" si="4"/>
        <v>6145.3009491525418</v>
      </c>
      <c r="P63" s="264">
        <f t="shared" si="5"/>
        <v>213.69905084745824</v>
      </c>
      <c r="Q63" s="266">
        <f t="shared" si="6"/>
        <v>3.3605763618093761E-2</v>
      </c>
      <c r="R63" s="263">
        <v>6359</v>
      </c>
      <c r="S63" s="267">
        <f>VLOOKUP(A63,'Amazon Live Products'!E:AF,28,0)</f>
        <v>5799</v>
      </c>
      <c r="T63" s="263">
        <f t="shared" si="7"/>
        <v>579.9</v>
      </c>
      <c r="U63" s="263"/>
      <c r="V63" s="263" t="str">
        <f t="shared" si="25"/>
        <v>SC-04</v>
      </c>
      <c r="W63" s="263"/>
    </row>
    <row r="64" spans="1:23">
      <c r="A64" s="212" t="s">
        <v>712</v>
      </c>
      <c r="B64" s="212" t="s">
        <v>713</v>
      </c>
      <c r="C64" s="212" t="str">
        <f>VLOOKUP(A64,'Amazon Live Products'!E:G,3,0)</f>
        <v>VC-05</v>
      </c>
      <c r="D64" s="212" t="s">
        <v>234</v>
      </c>
      <c r="E64" s="212" t="s">
        <v>249</v>
      </c>
      <c r="F64" s="212" t="s">
        <v>716</v>
      </c>
      <c r="G64" s="212">
        <v>85086000</v>
      </c>
      <c r="H64" s="236">
        <f>VLOOKUP(B64,'Amazon Live Products'!F:P,11,0)</f>
        <v>966.94857600000012</v>
      </c>
      <c r="I64" s="262">
        <f>VLOOKUP(B64,'Amazon Live Products'!F:Q,12,0)</f>
        <v>1140.9993196800001</v>
      </c>
      <c r="J64" s="263">
        <f t="shared" si="0"/>
        <v>885.11500000000001</v>
      </c>
      <c r="K64" s="263">
        <f t="shared" si="16"/>
        <v>252.89000000000001</v>
      </c>
      <c r="L64" s="264">
        <v>60</v>
      </c>
      <c r="M64" s="265">
        <f t="shared" si="2"/>
        <v>25.289000000000001</v>
      </c>
      <c r="N64" s="264">
        <f t="shared" si="3"/>
        <v>385.76440677966093</v>
      </c>
      <c r="O64" s="264">
        <f t="shared" si="4"/>
        <v>2576.006982779661</v>
      </c>
      <c r="P64" s="267">
        <f t="shared" si="5"/>
        <v>-47.106982779660939</v>
      </c>
      <c r="Q64" s="266">
        <f t="shared" si="6"/>
        <v>-1.8627459677986846E-2</v>
      </c>
      <c r="R64" s="267">
        <f t="shared" ref="R64:R80" si="26">S64+T64</f>
        <v>2528.9</v>
      </c>
      <c r="S64" s="267">
        <f>VLOOKUP(A64,'Amazon Live Products'!E:AF,28,0)</f>
        <v>2299</v>
      </c>
      <c r="T64" s="263">
        <f t="shared" si="7"/>
        <v>229.9</v>
      </c>
      <c r="U64" s="263"/>
      <c r="V64" s="263" t="str">
        <f t="shared" si="25"/>
        <v>VC-05</v>
      </c>
      <c r="W64" s="263"/>
    </row>
    <row r="65" spans="1:23">
      <c r="A65" s="212" t="s">
        <v>717</v>
      </c>
      <c r="B65" s="212" t="s">
        <v>718</v>
      </c>
      <c r="C65" s="212" t="str">
        <f>VLOOKUP(A65,'Amazon Live Products'!E:G,3,0)</f>
        <v>VC-04</v>
      </c>
      <c r="D65" s="212" t="s">
        <v>234</v>
      </c>
      <c r="E65" s="212" t="s">
        <v>249</v>
      </c>
      <c r="F65" s="212" t="s">
        <v>716</v>
      </c>
      <c r="G65" s="212">
        <v>85086000</v>
      </c>
      <c r="H65" s="236">
        <f>VLOOKUP(B65,'Amazon Live Products'!F:P,11,0)</f>
        <v>1023.8923199999999</v>
      </c>
      <c r="I65" s="262">
        <f>VLOOKUP(B65,'Amazon Live Products'!F:Q,12,0)</f>
        <v>1208.1929375999998</v>
      </c>
      <c r="J65" s="263">
        <f t="shared" si="0"/>
        <v>962.11500000000001</v>
      </c>
      <c r="K65" s="263">
        <f t="shared" si="16"/>
        <v>274.89000000000004</v>
      </c>
      <c r="L65" s="264">
        <v>60</v>
      </c>
      <c r="M65" s="265">
        <f t="shared" si="2"/>
        <v>27.489000000000001</v>
      </c>
      <c r="N65" s="264">
        <f t="shared" si="3"/>
        <v>419.32372881355923</v>
      </c>
      <c r="O65" s="264">
        <f t="shared" si="4"/>
        <v>2767.7100488135593</v>
      </c>
      <c r="P65" s="267">
        <f t="shared" si="5"/>
        <v>-18.810048813559206</v>
      </c>
      <c r="Q65" s="266">
        <f t="shared" si="6"/>
        <v>-6.8427548523260964E-3</v>
      </c>
      <c r="R65" s="267">
        <f t="shared" si="26"/>
        <v>2748.9</v>
      </c>
      <c r="S65" s="267">
        <f>VLOOKUP(A65,'Amazon Live Products'!E:AF,28,0)</f>
        <v>2499</v>
      </c>
      <c r="T65" s="263">
        <f t="shared" si="7"/>
        <v>249.9</v>
      </c>
      <c r="U65" s="263"/>
      <c r="V65" s="263" t="str">
        <f t="shared" si="25"/>
        <v>VC-04</v>
      </c>
      <c r="W65" s="263"/>
    </row>
    <row r="66" spans="1:23">
      <c r="A66" s="212" t="s">
        <v>724</v>
      </c>
      <c r="B66" s="212" t="s">
        <v>725</v>
      </c>
      <c r="C66" s="212" t="str">
        <f>VLOOKUP(A66,'Amazon Live Products'!E:G,3,0)</f>
        <v>BR-01</v>
      </c>
      <c r="D66" s="212" t="s">
        <v>314</v>
      </c>
      <c r="E66" s="212"/>
      <c r="F66" s="212" t="s">
        <v>727</v>
      </c>
      <c r="G66" s="212">
        <v>85437093</v>
      </c>
      <c r="H66" s="236">
        <f>VLOOKUP(B66,'Amazon Live Products'!F:P,11,0)</f>
        <v>448.35120000000001</v>
      </c>
      <c r="I66" s="262">
        <f>VLOOKUP(B66,'Amazon Live Products'!F:Q,12,0)</f>
        <v>529.05441599999995</v>
      </c>
      <c r="J66" s="263">
        <f t="shared" si="0"/>
        <v>596.36500000000001</v>
      </c>
      <c r="K66" s="263">
        <f t="shared" si="16"/>
        <v>170.39000000000001</v>
      </c>
      <c r="L66" s="264">
        <v>60</v>
      </c>
      <c r="M66" s="265">
        <f t="shared" si="2"/>
        <v>17.039000000000001</v>
      </c>
      <c r="N66" s="264">
        <f t="shared" si="3"/>
        <v>259.9169491525422</v>
      </c>
      <c r="O66" s="264">
        <f t="shared" si="4"/>
        <v>1552.0621491525424</v>
      </c>
      <c r="P66" s="267">
        <f t="shared" si="5"/>
        <v>151.83785084745773</v>
      </c>
      <c r="Q66" s="266">
        <f t="shared" si="6"/>
        <v>8.9111949555406841E-2</v>
      </c>
      <c r="R66" s="267">
        <f t="shared" si="26"/>
        <v>1703.9</v>
      </c>
      <c r="S66" s="267">
        <f>VLOOKUP(A66,'Amazon Live Products'!E:AF,28,0)</f>
        <v>1549</v>
      </c>
      <c r="T66" s="263">
        <f t="shared" si="7"/>
        <v>154.9</v>
      </c>
      <c r="U66" s="263"/>
      <c r="V66" s="263"/>
      <c r="W66" s="263"/>
    </row>
    <row r="67" spans="1:23">
      <c r="A67" s="212" t="s">
        <v>728</v>
      </c>
      <c r="B67" s="212" t="s">
        <v>729</v>
      </c>
      <c r="C67" s="212" t="str">
        <f>VLOOKUP(A67,'Amazon Live Products'!E:G,3,0)</f>
        <v>IPL-01</v>
      </c>
      <c r="D67" s="212" t="s">
        <v>314</v>
      </c>
      <c r="E67" s="212" t="s">
        <v>465</v>
      </c>
      <c r="F67" s="212" t="s">
        <v>731</v>
      </c>
      <c r="G67" s="212">
        <v>85437093</v>
      </c>
      <c r="H67" s="236">
        <f>VLOOKUP(B67,'Amazon Live Products'!F:P,11,0)</f>
        <v>1095.9695999999999</v>
      </c>
      <c r="I67" s="262">
        <f>VLOOKUP(B67,'Amazon Live Products'!F:Q,12,0)</f>
        <v>1293.2441279999998</v>
      </c>
      <c r="J67" s="263">
        <f t="shared" si="0"/>
        <v>1270.115</v>
      </c>
      <c r="K67" s="263">
        <f t="shared" si="16"/>
        <v>362.89000000000004</v>
      </c>
      <c r="L67" s="264">
        <v>60</v>
      </c>
      <c r="M67" s="265">
        <f t="shared" si="2"/>
        <v>36.289000000000001</v>
      </c>
      <c r="N67" s="264">
        <f t="shared" si="3"/>
        <v>553.56101694915242</v>
      </c>
      <c r="O67" s="264">
        <f t="shared" si="4"/>
        <v>3378.8246169491526</v>
      </c>
      <c r="P67" s="267">
        <f t="shared" si="5"/>
        <v>250.07538305084745</v>
      </c>
      <c r="Q67" s="266">
        <f t="shared" si="6"/>
        <v>6.8912172573189517E-2</v>
      </c>
      <c r="R67" s="267">
        <f t="shared" si="26"/>
        <v>3628.9</v>
      </c>
      <c r="S67" s="267">
        <f>VLOOKUP(A67,'Amazon Live Products'!E:AF,28,0)</f>
        <v>3299</v>
      </c>
      <c r="T67" s="263">
        <f t="shared" si="7"/>
        <v>329.90000000000003</v>
      </c>
      <c r="U67" s="263"/>
      <c r="V67" s="263" t="str">
        <f>C67</f>
        <v>IPL-01</v>
      </c>
      <c r="W67" s="263"/>
    </row>
    <row r="68" spans="1:23">
      <c r="A68" s="212" t="s">
        <v>736</v>
      </c>
      <c r="B68" s="212" t="s">
        <v>737</v>
      </c>
      <c r="C68" s="212" t="str">
        <f>VLOOKUP(A68,'Amazon Live Products'!E:G,3,0)</f>
        <v>EA-02</v>
      </c>
      <c r="D68" s="212" t="s">
        <v>314</v>
      </c>
      <c r="E68" s="212" t="s">
        <v>465</v>
      </c>
      <c r="F68" s="212" t="s">
        <v>739</v>
      </c>
      <c r="G68" s="212">
        <v>90191020</v>
      </c>
      <c r="H68" s="236">
        <f>VLOOKUP(B68,'Amazon Live Products'!F:P,11,0)</f>
        <v>1011.2810400000001</v>
      </c>
      <c r="I68" s="262">
        <f>VLOOKUP(B68,'Amazon Live Products'!F:Q,12,0)</f>
        <v>1193.3116272</v>
      </c>
      <c r="J68" s="263">
        <f t="shared" si="0"/>
        <v>1000.615</v>
      </c>
      <c r="K68" s="263">
        <f t="shared" si="16"/>
        <v>285.89000000000004</v>
      </c>
      <c r="L68" s="264">
        <v>60</v>
      </c>
      <c r="M68" s="265">
        <f t="shared" si="2"/>
        <v>28.589000000000002</v>
      </c>
      <c r="N68" s="264">
        <f t="shared" si="3"/>
        <v>436.10338983050815</v>
      </c>
      <c r="O68" s="264">
        <f t="shared" si="4"/>
        <v>2822.478429830508</v>
      </c>
      <c r="P68" s="267">
        <f t="shared" si="5"/>
        <v>36.421570169492043</v>
      </c>
      <c r="Q68" s="266">
        <f t="shared" si="6"/>
        <v>1.2739714634821799E-2</v>
      </c>
      <c r="R68" s="267">
        <f t="shared" si="26"/>
        <v>2858.9</v>
      </c>
      <c r="S68" s="267">
        <f>VLOOKUP(A68,'Amazon Live Products'!E:AF,28,0)</f>
        <v>2599</v>
      </c>
      <c r="T68" s="263">
        <f t="shared" si="7"/>
        <v>259.90000000000003</v>
      </c>
      <c r="U68" s="263"/>
      <c r="V68" s="263"/>
      <c r="W68" s="263"/>
    </row>
    <row r="69" spans="1:23">
      <c r="A69" s="212" t="s">
        <v>740</v>
      </c>
      <c r="B69" s="212" t="s">
        <v>946</v>
      </c>
      <c r="C69" s="212" t="str">
        <f>VLOOKUP(A69,'Amazon Live Products'!E:G,3,0)</f>
        <v>SS-02</v>
      </c>
      <c r="D69" s="212" t="s">
        <v>249</v>
      </c>
      <c r="E69" s="212"/>
      <c r="F69" s="212" t="s">
        <v>743</v>
      </c>
      <c r="G69" s="212">
        <v>85098000</v>
      </c>
      <c r="H69" s="236">
        <f>VLOOKUP(B69,'Amazon Live Products'!F:P,11,0)</f>
        <v>896.70240000000001</v>
      </c>
      <c r="I69" s="262">
        <f>VLOOKUP(B69,'Amazon Live Products'!F:Q,12,0)</f>
        <v>1058.1088319999999</v>
      </c>
      <c r="J69" s="263">
        <f t="shared" si="0"/>
        <v>808.11500000000001</v>
      </c>
      <c r="K69" s="263">
        <f t="shared" si="16"/>
        <v>230.89000000000001</v>
      </c>
      <c r="L69" s="264">
        <v>60</v>
      </c>
      <c r="M69" s="265">
        <f t="shared" si="2"/>
        <v>23.089000000000002</v>
      </c>
      <c r="N69" s="264">
        <f t="shared" si="3"/>
        <v>352.20508474576263</v>
      </c>
      <c r="O69" s="264">
        <f t="shared" si="4"/>
        <v>2371.0014847457624</v>
      </c>
      <c r="P69" s="267">
        <f t="shared" si="5"/>
        <v>-62.101484745762264</v>
      </c>
      <c r="Q69" s="266">
        <f t="shared" si="6"/>
        <v>-2.689656751949511E-2</v>
      </c>
      <c r="R69" s="267">
        <f t="shared" si="26"/>
        <v>2308.9</v>
      </c>
      <c r="S69" s="267">
        <f>VLOOKUP(A69,'Amazon Live Products'!E:AF,28,0)</f>
        <v>2099</v>
      </c>
      <c r="T69" s="263">
        <f t="shared" si="7"/>
        <v>209.9</v>
      </c>
      <c r="U69" s="263"/>
      <c r="V69" s="263" t="str">
        <f>C69</f>
        <v>SS-02</v>
      </c>
      <c r="W69" s="263"/>
    </row>
    <row r="70" spans="1:23">
      <c r="A70" s="212" t="s">
        <v>744</v>
      </c>
      <c r="B70" s="212" t="s">
        <v>745</v>
      </c>
      <c r="C70" s="212" t="str">
        <f>VLOOKUP(A70,'Amazon Live Products'!E:G,3,0)</f>
        <v>CFM-01</v>
      </c>
      <c r="D70" s="212" t="s">
        <v>314</v>
      </c>
      <c r="E70" s="212" t="s">
        <v>618</v>
      </c>
      <c r="F70" s="212" t="s">
        <v>748</v>
      </c>
      <c r="G70" s="212">
        <v>90191020</v>
      </c>
      <c r="H70" s="236">
        <f>VLOOKUP(B70,'Amazon Live Products'!F:P,11,0)</f>
        <v>836.92223999999999</v>
      </c>
      <c r="I70" s="262">
        <f>VLOOKUP(B70,'Amazon Live Products'!F:Q,12,0)</f>
        <v>937.35290880000002</v>
      </c>
      <c r="J70" s="263">
        <f t="shared" si="0"/>
        <v>1035.2649999999999</v>
      </c>
      <c r="K70" s="263">
        <f t="shared" si="16"/>
        <v>295.79000000000002</v>
      </c>
      <c r="L70" s="264">
        <v>60</v>
      </c>
      <c r="M70" s="265">
        <f t="shared" si="2"/>
        <v>29.579000000000001</v>
      </c>
      <c r="N70" s="264">
        <f t="shared" si="3"/>
        <v>451.20508474576263</v>
      </c>
      <c r="O70" s="264">
        <f t="shared" si="4"/>
        <v>2708.7613247457625</v>
      </c>
      <c r="P70" s="267">
        <f t="shared" si="5"/>
        <v>249.13867525423757</v>
      </c>
      <c r="Q70" s="266">
        <f t="shared" si="6"/>
        <v>8.4228227882699735E-2</v>
      </c>
      <c r="R70" s="267">
        <f t="shared" si="26"/>
        <v>2957.9</v>
      </c>
      <c r="S70" s="267">
        <f>VLOOKUP(A70,'Amazon Live Products'!E:AF,28,0)</f>
        <v>2689</v>
      </c>
      <c r="T70" s="263">
        <f t="shared" si="7"/>
        <v>268.90000000000003</v>
      </c>
      <c r="U70" s="263"/>
      <c r="V70" s="263"/>
      <c r="W70" s="263"/>
    </row>
    <row r="71" spans="1:23">
      <c r="A71" s="212" t="s">
        <v>749</v>
      </c>
      <c r="B71" s="212" t="s">
        <v>952</v>
      </c>
      <c r="C71" s="212" t="str">
        <f>VLOOKUP(A71,'Amazon Live Products'!E:G,3,0)</f>
        <v>KM-01</v>
      </c>
      <c r="D71" s="212" t="s">
        <v>314</v>
      </c>
      <c r="E71" s="212" t="s">
        <v>618</v>
      </c>
      <c r="F71" s="212" t="s">
        <v>752</v>
      </c>
      <c r="G71" s="212">
        <v>90191020</v>
      </c>
      <c r="H71" s="236">
        <f>VLOOKUP(B71,'Amazon Live Products'!F:P,11,0)</f>
        <v>861.83064000000002</v>
      </c>
      <c r="I71" s="262">
        <f>VLOOKUP(B71,'Amazon Live Products'!F:Q,12,0)</f>
        <v>965.25031680000006</v>
      </c>
      <c r="J71" s="263">
        <f t="shared" si="0"/>
        <v>557.86500000000001</v>
      </c>
      <c r="K71" s="263">
        <f t="shared" si="16"/>
        <v>159.39000000000001</v>
      </c>
      <c r="L71" s="264">
        <v>60</v>
      </c>
      <c r="M71" s="265">
        <f t="shared" si="2"/>
        <v>15.939000000000002</v>
      </c>
      <c r="N71" s="264">
        <f t="shared" si="3"/>
        <v>243.13728813559305</v>
      </c>
      <c r="O71" s="264">
        <f t="shared" si="4"/>
        <v>1898.1619281355931</v>
      </c>
      <c r="P71" s="267">
        <f t="shared" si="5"/>
        <v>-304.26192813559305</v>
      </c>
      <c r="Q71" s="266">
        <f t="shared" si="6"/>
        <v>-0.1908914788478531</v>
      </c>
      <c r="R71" s="267">
        <f t="shared" si="26"/>
        <v>1593.9</v>
      </c>
      <c r="S71" s="267">
        <f>VLOOKUP(A71,'Amazon Live Products'!E:AF,28,0)</f>
        <v>1449</v>
      </c>
      <c r="T71" s="263">
        <f t="shared" si="7"/>
        <v>144.9</v>
      </c>
      <c r="U71" s="263"/>
      <c r="V71" s="263" t="str">
        <f t="shared" ref="V71:V72" si="27">C71</f>
        <v>KM-01</v>
      </c>
      <c r="W71" s="263"/>
    </row>
    <row r="72" spans="1:23">
      <c r="A72" s="212" t="s">
        <v>764</v>
      </c>
      <c r="B72" s="212" t="s">
        <v>943</v>
      </c>
      <c r="C72" s="212" t="str">
        <f>VLOOKUP(A72,'Amazon Live Products'!E:G,3,0)</f>
        <v>EM-02</v>
      </c>
      <c r="D72" s="212" t="s">
        <v>314</v>
      </c>
      <c r="E72" s="212" t="s">
        <v>618</v>
      </c>
      <c r="F72" s="212" t="s">
        <v>767</v>
      </c>
      <c r="G72" s="212">
        <v>90191020</v>
      </c>
      <c r="H72" s="236">
        <f>VLOOKUP(B72,'Amazon Live Products'!F:P,11,0)</f>
        <v>1195.6032</v>
      </c>
      <c r="I72" s="262">
        <f>VLOOKUP(B72,'Amazon Live Products'!F:Q,12,0)</f>
        <v>1339.0755840000002</v>
      </c>
      <c r="J72" s="263">
        <f t="shared" si="0"/>
        <v>678.755</v>
      </c>
      <c r="K72" s="263">
        <f t="shared" si="16"/>
        <v>193.93</v>
      </c>
      <c r="L72" s="264">
        <v>60</v>
      </c>
      <c r="M72" s="265">
        <f t="shared" si="2"/>
        <v>19.393000000000001</v>
      </c>
      <c r="N72" s="264">
        <f t="shared" si="3"/>
        <v>295.82542372881358</v>
      </c>
      <c r="O72" s="264">
        <f t="shared" si="4"/>
        <v>2443.5066237288138</v>
      </c>
      <c r="P72" s="267">
        <f t="shared" si="5"/>
        <v>-504.20662372881384</v>
      </c>
      <c r="Q72" s="266">
        <f t="shared" si="6"/>
        <v>-0.25999413382602682</v>
      </c>
      <c r="R72" s="267">
        <f t="shared" si="26"/>
        <v>1939.3</v>
      </c>
      <c r="S72" s="267">
        <f>VLOOKUP(A72,'Amazon Live Products'!E:AF,28,0)</f>
        <v>1763</v>
      </c>
      <c r="T72" s="263">
        <f t="shared" si="7"/>
        <v>176.3</v>
      </c>
      <c r="U72" s="263"/>
      <c r="V72" s="263" t="str">
        <f t="shared" si="27"/>
        <v>EM-02</v>
      </c>
      <c r="W72" s="263"/>
    </row>
    <row r="73" spans="1:23">
      <c r="A73" s="212" t="s">
        <v>768</v>
      </c>
      <c r="B73" s="212" t="s">
        <v>1096</v>
      </c>
      <c r="C73" s="212" t="e">
        <f>VLOOKUP(A73,'Amazon Live Products'!E:G,3,0)</f>
        <v>#N/A</v>
      </c>
      <c r="D73" s="212" t="s">
        <v>314</v>
      </c>
      <c r="E73" s="212" t="s">
        <v>618</v>
      </c>
      <c r="F73" s="212" t="s">
        <v>771</v>
      </c>
      <c r="G73" s="212">
        <v>90191020</v>
      </c>
      <c r="H73" s="236" t="e">
        <f>VLOOKUP(B73,'Amazon Live Products'!F:P,11,0)</f>
        <v>#N/A</v>
      </c>
      <c r="I73" s="262" t="e">
        <f>VLOOKUP(B73,'Amazon Live Products'!F:Q,12,0)</f>
        <v>#N/A</v>
      </c>
      <c r="J73" s="263" t="e">
        <f t="shared" si="0"/>
        <v>#N/A</v>
      </c>
      <c r="K73" s="263" t="e">
        <f t="shared" si="16"/>
        <v>#N/A</v>
      </c>
      <c r="L73" s="264">
        <v>60</v>
      </c>
      <c r="M73" s="265" t="e">
        <f t="shared" si="2"/>
        <v>#N/A</v>
      </c>
      <c r="N73" s="264" t="e">
        <f t="shared" si="3"/>
        <v>#N/A</v>
      </c>
      <c r="O73" s="263" t="e">
        <f t="shared" si="4"/>
        <v>#N/A</v>
      </c>
      <c r="P73" s="263" t="e">
        <f t="shared" si="5"/>
        <v>#N/A</v>
      </c>
      <c r="Q73" s="266" t="e">
        <f t="shared" si="6"/>
        <v>#N/A</v>
      </c>
      <c r="R73" s="263" t="e">
        <f t="shared" si="26"/>
        <v>#N/A</v>
      </c>
      <c r="S73" s="263" t="e">
        <f>VLOOKUP(A73,'Amazon Live Products'!E:AF,28,0)</f>
        <v>#N/A</v>
      </c>
      <c r="T73" s="263" t="e">
        <f t="shared" si="7"/>
        <v>#N/A</v>
      </c>
      <c r="U73" s="263"/>
      <c r="V73" s="263"/>
      <c r="W73" s="263"/>
    </row>
    <row r="74" spans="1:23">
      <c r="A74" s="212" t="s">
        <v>775</v>
      </c>
      <c r="B74" s="212" t="s">
        <v>955</v>
      </c>
      <c r="C74" s="212" t="str">
        <f>VLOOKUP(A74,'Amazon Live Products'!E:G,3,0)</f>
        <v>BM-02</v>
      </c>
      <c r="D74" s="212" t="s">
        <v>314</v>
      </c>
      <c r="E74" s="212" t="s">
        <v>618</v>
      </c>
      <c r="F74" s="212" t="s">
        <v>778</v>
      </c>
      <c r="G74" s="212">
        <v>90191020</v>
      </c>
      <c r="H74" s="268">
        <f>VLOOKUP(B74,'Amazon Live Products'!F:P,11,0)</f>
        <v>779.13475200000005</v>
      </c>
      <c r="I74" s="262">
        <f>VLOOKUP(B74,'Amazon Live Products'!F:Q,12,0)</f>
        <v>872.63092224000013</v>
      </c>
      <c r="J74" s="263">
        <f t="shared" si="0"/>
        <v>715.71500000000003</v>
      </c>
      <c r="K74" s="263">
        <f t="shared" si="16"/>
        <v>204.49</v>
      </c>
      <c r="L74" s="264">
        <v>60</v>
      </c>
      <c r="M74" s="265">
        <f t="shared" si="2"/>
        <v>20.449000000000002</v>
      </c>
      <c r="N74" s="264">
        <f t="shared" si="3"/>
        <v>311.93389830508477</v>
      </c>
      <c r="O74" s="264">
        <f t="shared" si="4"/>
        <v>2091.7226503050852</v>
      </c>
      <c r="P74" s="267">
        <f t="shared" si="5"/>
        <v>-46.822650305085062</v>
      </c>
      <c r="Q74" s="266">
        <f t="shared" si="6"/>
        <v>-2.2897281189830827E-2</v>
      </c>
      <c r="R74" s="267">
        <f t="shared" si="26"/>
        <v>2044.9</v>
      </c>
      <c r="S74" s="267">
        <f>VLOOKUP(A74,'Amazon Live Products'!E:AF,28,0)</f>
        <v>1859</v>
      </c>
      <c r="T74" s="263">
        <f t="shared" si="7"/>
        <v>185.9</v>
      </c>
      <c r="U74" s="263"/>
      <c r="V74" s="263" t="str">
        <f>C74</f>
        <v>BM-02</v>
      </c>
      <c r="W74" s="263"/>
    </row>
    <row r="75" spans="1:23">
      <c r="A75" s="212" t="s">
        <v>779</v>
      </c>
      <c r="B75" s="212" t="s">
        <v>780</v>
      </c>
      <c r="C75" s="212" t="str">
        <f>VLOOKUP(A75,'Amazon Live Products'!E:G,3,0)</f>
        <v>VC-06</v>
      </c>
      <c r="D75" s="212" t="s">
        <v>234</v>
      </c>
      <c r="E75" s="212" t="s">
        <v>249</v>
      </c>
      <c r="F75" s="212" t="s">
        <v>782</v>
      </c>
      <c r="G75" s="212">
        <v>85086000</v>
      </c>
      <c r="H75" s="236">
        <f>VLOOKUP(B75,'Amazon Live Products'!F:P,11,0)</f>
        <v>737.28863999999999</v>
      </c>
      <c r="I75" s="262">
        <f>VLOOKUP(B75,'Amazon Live Products'!F:Q,12,0)</f>
        <v>870.00059519999991</v>
      </c>
      <c r="J75" s="263">
        <f t="shared" si="0"/>
        <v>538.61500000000001</v>
      </c>
      <c r="K75" s="263">
        <f t="shared" si="16"/>
        <v>153.89000000000001</v>
      </c>
      <c r="L75" s="264">
        <v>60</v>
      </c>
      <c r="M75" s="265">
        <f t="shared" si="2"/>
        <v>15.389000000000001</v>
      </c>
      <c r="N75" s="264">
        <f t="shared" si="3"/>
        <v>234.74745762711859</v>
      </c>
      <c r="O75" s="264">
        <f t="shared" si="4"/>
        <v>1739.9300976271186</v>
      </c>
      <c r="P75" s="267">
        <f t="shared" si="5"/>
        <v>-201.03009762711849</v>
      </c>
      <c r="Q75" s="266">
        <f t="shared" si="6"/>
        <v>-0.13063233324265286</v>
      </c>
      <c r="R75" s="267">
        <f t="shared" si="26"/>
        <v>1538.9</v>
      </c>
      <c r="S75" s="267">
        <f>VLOOKUP(A75,'Amazon Live Products'!E:AF,28,0)</f>
        <v>1399</v>
      </c>
      <c r="T75" s="263">
        <f t="shared" si="7"/>
        <v>139.9</v>
      </c>
      <c r="U75" s="263"/>
      <c r="V75" s="263"/>
      <c r="W75" s="263"/>
    </row>
    <row r="76" spans="1:23">
      <c r="A76" s="212" t="s">
        <v>783</v>
      </c>
      <c r="B76" s="212" t="s">
        <v>784</v>
      </c>
      <c r="C76" s="212" t="str">
        <f>VLOOKUP(A76,'Amazon Live Products'!E:G,3,0)</f>
        <v>SC-05</v>
      </c>
      <c r="D76" s="212" t="s">
        <v>786</v>
      </c>
      <c r="E76" s="212"/>
      <c r="F76" s="212" t="s">
        <v>787</v>
      </c>
      <c r="G76" s="212">
        <v>85098000</v>
      </c>
      <c r="H76" s="236">
        <f>VLOOKUP(B76,'Amazon Live Products'!F:P,11,0)</f>
        <v>1182.67776</v>
      </c>
      <c r="I76" s="262">
        <f>VLOOKUP(B76,'Amazon Live Products'!F:Q,12,0)</f>
        <v>1395.5597568000001</v>
      </c>
      <c r="J76" s="263">
        <f t="shared" si="0"/>
        <v>1077.615</v>
      </c>
      <c r="K76" s="263">
        <f t="shared" si="16"/>
        <v>307.89000000000004</v>
      </c>
      <c r="L76" s="264">
        <v>60</v>
      </c>
      <c r="M76" s="265">
        <f t="shared" si="2"/>
        <v>30.789000000000001</v>
      </c>
      <c r="N76" s="264">
        <f t="shared" si="3"/>
        <v>469.66271186440645</v>
      </c>
      <c r="O76" s="264">
        <f t="shared" si="4"/>
        <v>3128.6344718644068</v>
      </c>
      <c r="P76" s="267">
        <f t="shared" si="5"/>
        <v>-49.734471864406714</v>
      </c>
      <c r="Q76" s="266">
        <f t="shared" si="6"/>
        <v>-1.6153324844719451E-2</v>
      </c>
      <c r="R76" s="267">
        <f t="shared" si="26"/>
        <v>3078.9</v>
      </c>
      <c r="S76" s="267">
        <f>VLOOKUP(A76,'Amazon Live Products'!E:AF,28,0)</f>
        <v>2799</v>
      </c>
      <c r="T76" s="263">
        <f t="shared" si="7"/>
        <v>279.90000000000003</v>
      </c>
      <c r="U76" s="263"/>
      <c r="V76" s="263" t="str">
        <f t="shared" ref="V76:V77" si="28">C76</f>
        <v>SC-05</v>
      </c>
      <c r="W76" s="263"/>
    </row>
    <row r="77" spans="1:23">
      <c r="A77" s="212" t="s">
        <v>788</v>
      </c>
      <c r="B77" s="212" t="s">
        <v>789</v>
      </c>
      <c r="C77" s="212" t="str">
        <f>VLOOKUP(A77,'Amazon Live Products'!E:G,3,0)</f>
        <v>ST-01</v>
      </c>
      <c r="D77" s="212" t="s">
        <v>671</v>
      </c>
      <c r="E77" s="212"/>
      <c r="F77" s="212" t="s">
        <v>791</v>
      </c>
      <c r="G77" s="212">
        <v>85094090</v>
      </c>
      <c r="H77" s="236">
        <f>VLOOKUP(B77,'Amazon Live Products'!F:P,11,0)</f>
        <v>2792.4336000000003</v>
      </c>
      <c r="I77" s="262">
        <f>VLOOKUP(B77,'Amazon Live Products'!F:Q,12,0)</f>
        <v>3295.0716480000001</v>
      </c>
      <c r="J77" s="263">
        <f t="shared" si="0"/>
        <v>2309.6149999999998</v>
      </c>
      <c r="K77" s="263">
        <f>R77*0%</f>
        <v>0</v>
      </c>
      <c r="L77" s="264">
        <v>60</v>
      </c>
      <c r="M77" s="265">
        <f t="shared" si="2"/>
        <v>65.989000000000004</v>
      </c>
      <c r="N77" s="264">
        <f t="shared" si="3"/>
        <v>1006.6118644067792</v>
      </c>
      <c r="O77" s="264">
        <f t="shared" si="4"/>
        <v>6234.6494644067789</v>
      </c>
      <c r="P77" s="267">
        <f t="shared" si="5"/>
        <v>364.25053559322077</v>
      </c>
      <c r="Q77" s="266">
        <f t="shared" si="6"/>
        <v>5.5198674869026777E-2</v>
      </c>
      <c r="R77" s="267">
        <f t="shared" si="26"/>
        <v>6598.9</v>
      </c>
      <c r="S77" s="267">
        <f>VLOOKUP(A77,'Amazon Live Products'!E:AF,28,0)</f>
        <v>5999</v>
      </c>
      <c r="T77" s="263">
        <f t="shared" si="7"/>
        <v>599.9</v>
      </c>
      <c r="U77" s="263" t="s">
        <v>1097</v>
      </c>
      <c r="V77" s="263" t="str">
        <f t="shared" si="28"/>
        <v>ST-01</v>
      </c>
      <c r="W77" s="263"/>
    </row>
    <row r="78" spans="1:23">
      <c r="A78" s="212" t="s">
        <v>792</v>
      </c>
      <c r="B78" s="212"/>
      <c r="C78" s="212" t="str">
        <f>VLOOKUP(A78,'Amazon Live Products'!E:G,3,0)</f>
        <v>ETC-07-WH</v>
      </c>
      <c r="D78" s="212" t="s">
        <v>795</v>
      </c>
      <c r="E78" s="212"/>
      <c r="F78" s="212" t="s">
        <v>796</v>
      </c>
      <c r="G78" s="212">
        <v>85098000</v>
      </c>
      <c r="H78" s="236" t="e">
        <f>VLOOKUP(B78,'Amazon Live Products'!F:P,11,0)</f>
        <v>#N/A</v>
      </c>
      <c r="I78" s="262" t="e">
        <f>VLOOKUP(B78,'Amazon Live Products'!F:Q,12,0)</f>
        <v>#N/A</v>
      </c>
      <c r="J78" s="263">
        <f t="shared" si="0"/>
        <v>269.11499999999995</v>
      </c>
      <c r="K78" s="263">
        <f t="shared" ref="K78:K97" si="29">R78*10%</f>
        <v>76.89</v>
      </c>
      <c r="L78" s="264">
        <v>60</v>
      </c>
      <c r="M78" s="265">
        <f t="shared" si="2"/>
        <v>7.6890000000000001</v>
      </c>
      <c r="N78" s="264">
        <f t="shared" si="3"/>
        <v>117.28983050847455</v>
      </c>
      <c r="O78" s="263" t="e">
        <f t="shared" si="4"/>
        <v>#N/A</v>
      </c>
      <c r="P78" s="263" t="e">
        <f t="shared" si="5"/>
        <v>#N/A</v>
      </c>
      <c r="Q78" s="266" t="e">
        <f t="shared" si="6"/>
        <v>#N/A</v>
      </c>
      <c r="R78" s="267">
        <f t="shared" si="26"/>
        <v>768.9</v>
      </c>
      <c r="S78" s="267">
        <f>VLOOKUP(A78,'Amazon Live Products'!E:AF,28,0)</f>
        <v>699</v>
      </c>
      <c r="T78" s="263">
        <f t="shared" si="7"/>
        <v>69.900000000000006</v>
      </c>
      <c r="U78" s="263"/>
      <c r="V78" s="263"/>
      <c r="W78" s="263"/>
    </row>
    <row r="79" spans="1:23">
      <c r="A79" s="212" t="s">
        <v>797</v>
      </c>
      <c r="B79" s="212" t="s">
        <v>798</v>
      </c>
      <c r="C79" s="212" t="str">
        <f>VLOOKUP(A79,'Amazon Live Products'!E:G,3,0)</f>
        <v>BM-03</v>
      </c>
      <c r="D79" s="212" t="s">
        <v>800</v>
      </c>
      <c r="E79" s="212"/>
      <c r="F79" s="212" t="s">
        <v>801</v>
      </c>
      <c r="G79" s="212">
        <v>90191020</v>
      </c>
      <c r="H79" s="236">
        <f>VLOOKUP(B79,'Amazon Live Products'!F:P,11,0)</f>
        <v>797.06880000000001</v>
      </c>
      <c r="I79" s="262">
        <f>VLOOKUP(B79,'Amazon Live Products'!F:Q,12,0)</f>
        <v>940.54118399999993</v>
      </c>
      <c r="J79" s="263">
        <f t="shared" si="0"/>
        <v>787.32499999999993</v>
      </c>
      <c r="K79" s="263">
        <f t="shared" si="29"/>
        <v>224.95000000000002</v>
      </c>
      <c r="L79" s="264">
        <v>60</v>
      </c>
      <c r="M79" s="265">
        <f t="shared" si="2"/>
        <v>22.495000000000001</v>
      </c>
      <c r="N79" s="264">
        <f t="shared" si="3"/>
        <v>343.14406779660999</v>
      </c>
      <c r="O79" s="264">
        <f t="shared" si="4"/>
        <v>2234.9828677966098</v>
      </c>
      <c r="P79" s="267">
        <f t="shared" si="5"/>
        <v>14.517132203390247</v>
      </c>
      <c r="Q79" s="266">
        <f t="shared" si="6"/>
        <v>6.4534928665882403E-3</v>
      </c>
      <c r="R79" s="267">
        <f t="shared" si="26"/>
        <v>2249.5</v>
      </c>
      <c r="S79" s="267">
        <f>VLOOKUP(A79,'Amazon Live Products'!E:AF,28,0)</f>
        <v>2045</v>
      </c>
      <c r="T79" s="263">
        <f t="shared" si="7"/>
        <v>204.5</v>
      </c>
      <c r="U79" s="263"/>
      <c r="V79" s="263" t="str">
        <f t="shared" ref="V79:V83" si="30">C79</f>
        <v>BM-03</v>
      </c>
      <c r="W79" s="263"/>
    </row>
    <row r="80" spans="1:23">
      <c r="A80" s="212" t="s">
        <v>802</v>
      </c>
      <c r="B80" s="212" t="s">
        <v>803</v>
      </c>
      <c r="C80" s="212" t="str">
        <f>VLOOKUP(A80,'Amazon Live Products'!E:G,3,0)</f>
        <v>PM-01</v>
      </c>
      <c r="D80" s="212" t="s">
        <v>800</v>
      </c>
      <c r="E80" s="212"/>
      <c r="F80" s="212" t="s">
        <v>805</v>
      </c>
      <c r="G80" s="212">
        <v>90191020</v>
      </c>
      <c r="H80" s="236">
        <f>VLOOKUP(B80,'Amazon Live Products'!F:P,11,0)</f>
        <v>787.10544000000004</v>
      </c>
      <c r="I80" s="262">
        <f>VLOOKUP(B80,'Amazon Live Products'!F:Q,12,0)</f>
        <v>928.7844192</v>
      </c>
      <c r="J80" s="263">
        <f t="shared" si="0"/>
        <v>840.45500000000004</v>
      </c>
      <c r="K80" s="263">
        <f t="shared" si="29"/>
        <v>240.13000000000002</v>
      </c>
      <c r="L80" s="264">
        <v>60</v>
      </c>
      <c r="M80" s="265">
        <f t="shared" si="2"/>
        <v>24.013000000000002</v>
      </c>
      <c r="N80" s="264">
        <f t="shared" si="3"/>
        <v>366.29999999999995</v>
      </c>
      <c r="O80" s="264">
        <f t="shared" si="4"/>
        <v>2318.0034400000004</v>
      </c>
      <c r="P80" s="267">
        <f t="shared" si="5"/>
        <v>83.296559999999772</v>
      </c>
      <c r="Q80" s="266">
        <f t="shared" si="6"/>
        <v>3.4688110606754578E-2</v>
      </c>
      <c r="R80" s="267">
        <f t="shared" si="26"/>
        <v>2401.3000000000002</v>
      </c>
      <c r="S80" s="267">
        <f>VLOOKUP(A80,'Amazon Live Products'!E:AF,28,0)</f>
        <v>2183</v>
      </c>
      <c r="T80" s="263">
        <f t="shared" si="7"/>
        <v>218.3</v>
      </c>
      <c r="U80" s="263"/>
      <c r="V80" s="263" t="str">
        <f t="shared" si="30"/>
        <v>PM-01</v>
      </c>
      <c r="W80" s="263"/>
    </row>
    <row r="81" spans="1:23">
      <c r="A81" s="212" t="s">
        <v>810</v>
      </c>
      <c r="B81" s="212" t="s">
        <v>811</v>
      </c>
      <c r="C81" s="212" t="str">
        <f>VLOOKUP(A81,'Amazon Live Products'!E:G,3,0)</f>
        <v>NP-06</v>
      </c>
      <c r="D81" s="212" t="s">
        <v>813</v>
      </c>
      <c r="E81" s="212"/>
      <c r="F81" s="212" t="s">
        <v>814</v>
      </c>
      <c r="G81" s="212">
        <v>94043090</v>
      </c>
      <c r="H81" s="236">
        <f>VLOOKUP(B81,'Amazon Live Products'!F:P,11,0)</f>
        <v>413.80342390588237</v>
      </c>
      <c r="I81" s="262">
        <f>VLOOKUP(B81,'Amazon Live Products'!F:Q,12,0)</f>
        <v>488.2880402089412</v>
      </c>
      <c r="J81" s="263">
        <f t="shared" si="0"/>
        <v>426.65</v>
      </c>
      <c r="K81" s="263">
        <f t="shared" si="29"/>
        <v>121.9</v>
      </c>
      <c r="L81" s="264">
        <v>60</v>
      </c>
      <c r="M81" s="265">
        <f t="shared" si="2"/>
        <v>12.19</v>
      </c>
      <c r="N81" s="264">
        <f t="shared" si="3"/>
        <v>185.94915254237276</v>
      </c>
      <c r="O81" s="264">
        <f t="shared" si="4"/>
        <v>1220.492576448255</v>
      </c>
      <c r="P81" s="264">
        <f t="shared" si="5"/>
        <v>-1.4925764482550221</v>
      </c>
      <c r="Q81" s="266">
        <f t="shared" si="6"/>
        <v>-1.2244269468868105E-3</v>
      </c>
      <c r="R81" s="263">
        <v>1219</v>
      </c>
      <c r="S81" s="267">
        <f>VLOOKUP(A81,'Amazon Live Products'!E:AF,28,0)</f>
        <v>1099</v>
      </c>
      <c r="T81" s="263">
        <f t="shared" si="7"/>
        <v>109.9</v>
      </c>
      <c r="U81" s="263"/>
      <c r="V81" s="263" t="str">
        <f t="shared" si="30"/>
        <v>NP-06</v>
      </c>
      <c r="W81" s="263"/>
    </row>
    <row r="82" spans="1:23">
      <c r="A82" s="212" t="s">
        <v>815</v>
      </c>
      <c r="B82" s="212" t="s">
        <v>816</v>
      </c>
      <c r="C82" s="212" t="str">
        <f>VLOOKUP(A82,'Amazon Live Products'!E:G,3,0)</f>
        <v>NP-07</v>
      </c>
      <c r="D82" s="212" t="s">
        <v>813</v>
      </c>
      <c r="E82" s="212"/>
      <c r="F82" s="212" t="s">
        <v>818</v>
      </c>
      <c r="G82" s="212">
        <v>94043090</v>
      </c>
      <c r="H82" s="236">
        <f>VLOOKUP(B82,'Amazon Live Products'!F:P,11,0)</f>
        <v>413.80342390588237</v>
      </c>
      <c r="I82" s="262">
        <f>VLOOKUP(B82,'Amazon Live Products'!F:Q,12,0)</f>
        <v>488.2880402089412</v>
      </c>
      <c r="J82" s="263">
        <f t="shared" si="0"/>
        <v>426.65</v>
      </c>
      <c r="K82" s="263">
        <f t="shared" si="29"/>
        <v>121.9</v>
      </c>
      <c r="L82" s="264">
        <v>60</v>
      </c>
      <c r="M82" s="265">
        <f t="shared" si="2"/>
        <v>12.19</v>
      </c>
      <c r="N82" s="264">
        <f t="shared" si="3"/>
        <v>185.94915254237276</v>
      </c>
      <c r="O82" s="264">
        <f t="shared" si="4"/>
        <v>1220.492576448255</v>
      </c>
      <c r="P82" s="264">
        <f t="shared" si="5"/>
        <v>-1.4925764482550221</v>
      </c>
      <c r="Q82" s="266">
        <f t="shared" si="6"/>
        <v>-1.2244269468868105E-3</v>
      </c>
      <c r="R82" s="263">
        <v>1219</v>
      </c>
      <c r="S82" s="267">
        <f>VLOOKUP(A82,'Amazon Live Products'!E:AF,28,0)</f>
        <v>1099</v>
      </c>
      <c r="T82" s="263">
        <f t="shared" si="7"/>
        <v>109.9</v>
      </c>
      <c r="U82" s="263"/>
      <c r="V82" s="263" t="str">
        <f t="shared" si="30"/>
        <v>NP-07</v>
      </c>
      <c r="W82" s="263"/>
    </row>
    <row r="83" spans="1:23">
      <c r="A83" s="212" t="s">
        <v>819</v>
      </c>
      <c r="B83" s="212" t="s">
        <v>820</v>
      </c>
      <c r="C83" s="212" t="str">
        <f>VLOOKUP(A83,'Amazon Live Products'!E:G,3,0)</f>
        <v>AP-01</v>
      </c>
      <c r="D83" s="212" t="s">
        <v>234</v>
      </c>
      <c r="E83" s="212"/>
      <c r="F83" s="212" t="s">
        <v>822</v>
      </c>
      <c r="G83" s="212">
        <v>84213920</v>
      </c>
      <c r="H83" s="236">
        <f>VLOOKUP(B83,'Amazon Live Products'!F:P,11,0)</f>
        <v>8247.764227171765</v>
      </c>
      <c r="I83" s="262">
        <f>VLOOKUP(B83,'Amazon Live Products'!F:Q,12,0)</f>
        <v>9732.3617880626825</v>
      </c>
      <c r="J83" s="263">
        <f t="shared" si="0"/>
        <v>5932.5</v>
      </c>
      <c r="K83" s="263">
        <f t="shared" si="29"/>
        <v>1695</v>
      </c>
      <c r="L83" s="264">
        <v>60</v>
      </c>
      <c r="M83" s="265">
        <f t="shared" si="2"/>
        <v>169.5</v>
      </c>
      <c r="N83" s="264">
        <f t="shared" si="3"/>
        <v>2585.5932203389821</v>
      </c>
      <c r="O83" s="264">
        <f t="shared" si="4"/>
        <v>18690.357447510745</v>
      </c>
      <c r="P83" s="264">
        <f t="shared" si="5"/>
        <v>-1740.3574475107453</v>
      </c>
      <c r="Q83" s="266">
        <f t="shared" si="6"/>
        <v>-0.1026759556053537</v>
      </c>
      <c r="R83" s="263">
        <v>16950</v>
      </c>
      <c r="S83" s="267">
        <f>VLOOKUP(A83,'Amazon Live Products'!E:AF,28,0)</f>
        <v>15990</v>
      </c>
      <c r="T83" s="263">
        <f t="shared" si="7"/>
        <v>1599</v>
      </c>
      <c r="U83" s="263" t="s">
        <v>1098</v>
      </c>
      <c r="V83" s="263" t="str">
        <f t="shared" si="30"/>
        <v>AP-01</v>
      </c>
      <c r="W83" s="263"/>
    </row>
    <row r="84" spans="1:23">
      <c r="A84" s="212" t="s">
        <v>827</v>
      </c>
      <c r="B84" s="212" t="s">
        <v>828</v>
      </c>
      <c r="C84" s="212" t="str">
        <f>VLOOKUP(A84,'Amazon Live Products'!E:G,3,0)</f>
        <v>HU-01</v>
      </c>
      <c r="D84" s="212" t="s">
        <v>234</v>
      </c>
      <c r="E84" s="212"/>
      <c r="F84" s="212" t="s">
        <v>830</v>
      </c>
      <c r="G84" s="212">
        <v>85098000</v>
      </c>
      <c r="H84" s="236">
        <f>VLOOKUP(B84,'Amazon Live Products'!F:P,11,0)</f>
        <v>657.55793912470597</v>
      </c>
      <c r="I84" s="262">
        <f>VLOOKUP(B84,'Amazon Live Products'!F:Q,12,0)</f>
        <v>775.91836816715295</v>
      </c>
      <c r="J84" s="263">
        <f t="shared" si="0"/>
        <v>711.86500000000001</v>
      </c>
      <c r="K84" s="263">
        <f t="shared" si="29"/>
        <v>203.39000000000001</v>
      </c>
      <c r="L84" s="264">
        <v>60</v>
      </c>
      <c r="M84" s="265">
        <f t="shared" si="2"/>
        <v>20.339000000000002</v>
      </c>
      <c r="N84" s="264">
        <f t="shared" si="3"/>
        <v>310.25593220338965</v>
      </c>
      <c r="O84" s="264">
        <f t="shared" si="4"/>
        <v>1963.4078713280956</v>
      </c>
      <c r="P84" s="267">
        <f t="shared" si="5"/>
        <v>70.492128671904538</v>
      </c>
      <c r="Q84" s="266">
        <f t="shared" si="6"/>
        <v>3.4658601048185522E-2</v>
      </c>
      <c r="R84" s="267">
        <f t="shared" ref="R84:R97" si="31">S84+T84</f>
        <v>2033.9</v>
      </c>
      <c r="S84" s="267">
        <f>VLOOKUP(A84,'Amazon Live Products'!E:AF,28,0)</f>
        <v>1849</v>
      </c>
      <c r="T84" s="263">
        <f t="shared" si="7"/>
        <v>184.9</v>
      </c>
      <c r="U84" s="263"/>
      <c r="V84" s="263"/>
      <c r="W84" s="263"/>
    </row>
    <row r="85" spans="1:23">
      <c r="A85" s="212" t="s">
        <v>831</v>
      </c>
      <c r="B85" s="212" t="s">
        <v>832</v>
      </c>
      <c r="C85" s="212" t="str">
        <f>VLOOKUP(A85,'Amazon Live Products'!E:G,3,0)</f>
        <v>HU-02</v>
      </c>
      <c r="D85" s="212" t="s">
        <v>234</v>
      </c>
      <c r="E85" s="212"/>
      <c r="F85" s="212" t="s">
        <v>834</v>
      </c>
      <c r="G85" s="212">
        <v>85098000</v>
      </c>
      <c r="H85" s="236">
        <f>VLOOKUP(B85,'Amazon Live Products'!F:P,11,0)</f>
        <v>657.55793912470597</v>
      </c>
      <c r="I85" s="262">
        <f>VLOOKUP(B85,'Amazon Live Products'!F:Q,12,0)</f>
        <v>775.91836816715295</v>
      </c>
      <c r="J85" s="263">
        <f t="shared" si="0"/>
        <v>692.61500000000001</v>
      </c>
      <c r="K85" s="263">
        <f t="shared" si="29"/>
        <v>197.89000000000001</v>
      </c>
      <c r="L85" s="264">
        <v>60</v>
      </c>
      <c r="M85" s="265">
        <f t="shared" si="2"/>
        <v>19.789000000000001</v>
      </c>
      <c r="N85" s="264">
        <f t="shared" si="3"/>
        <v>301.86610169491519</v>
      </c>
      <c r="O85" s="264">
        <f t="shared" si="4"/>
        <v>1929.7180408196211</v>
      </c>
      <c r="P85" s="267">
        <f t="shared" si="5"/>
        <v>49.181959180378954</v>
      </c>
      <c r="Q85" s="266">
        <f t="shared" si="6"/>
        <v>2.4853180646004825E-2</v>
      </c>
      <c r="R85" s="267">
        <f t="shared" si="31"/>
        <v>1978.9</v>
      </c>
      <c r="S85" s="267">
        <f>VLOOKUP(A85,'Amazon Live Products'!E:AF,28,0)</f>
        <v>1799</v>
      </c>
      <c r="T85" s="263">
        <f t="shared" si="7"/>
        <v>179.9</v>
      </c>
      <c r="U85" s="263"/>
      <c r="V85" s="263" t="str">
        <f t="shared" ref="V85:V86" si="32">C85</f>
        <v>HU-02</v>
      </c>
      <c r="W85" s="263"/>
    </row>
    <row r="86" spans="1:23">
      <c r="A86" s="212" t="s">
        <v>855</v>
      </c>
      <c r="B86" s="212" t="s">
        <v>856</v>
      </c>
      <c r="C86" s="212" t="str">
        <f>VLOOKUP(A86,'Amazon Live Products'!E:G,3,0)</f>
        <v>PM-02</v>
      </c>
      <c r="D86" s="212" t="s">
        <v>800</v>
      </c>
      <c r="E86" s="212"/>
      <c r="F86" s="212" t="s">
        <v>858</v>
      </c>
      <c r="G86" s="212">
        <v>90191020</v>
      </c>
      <c r="H86" s="236">
        <f>VLOOKUP(B86,'Amazon Live Products'!F:P,11,0)</f>
        <v>797.06880000000001</v>
      </c>
      <c r="I86" s="262">
        <f>VLOOKUP(B86,'Amazon Live Products'!F:Q,12,0)</f>
        <v>940.54118399999993</v>
      </c>
      <c r="J86" s="263">
        <f t="shared" si="0"/>
        <v>719.56499999999994</v>
      </c>
      <c r="K86" s="263">
        <f t="shared" si="29"/>
        <v>205.59000000000003</v>
      </c>
      <c r="L86" s="264">
        <v>60</v>
      </c>
      <c r="M86" s="265">
        <f t="shared" si="2"/>
        <v>20.559000000000001</v>
      </c>
      <c r="N86" s="264">
        <f t="shared" si="3"/>
        <v>313.61186440677966</v>
      </c>
      <c r="O86" s="264">
        <f t="shared" si="4"/>
        <v>2116.3946644067801</v>
      </c>
      <c r="P86" s="267">
        <f t="shared" si="5"/>
        <v>-60.494664406779975</v>
      </c>
      <c r="Q86" s="266">
        <f t="shared" si="6"/>
        <v>-2.9424906078496023E-2</v>
      </c>
      <c r="R86" s="267">
        <f t="shared" si="31"/>
        <v>2055.9</v>
      </c>
      <c r="S86" s="267">
        <f>VLOOKUP(A86,'Amazon Live Products'!E:AF,28,0)</f>
        <v>1869</v>
      </c>
      <c r="T86" s="263">
        <f t="shared" si="7"/>
        <v>186.9</v>
      </c>
      <c r="U86" s="263"/>
      <c r="V86" s="263" t="str">
        <f t="shared" si="32"/>
        <v>PM-02</v>
      </c>
      <c r="W86" s="263"/>
    </row>
    <row r="87" spans="1:23">
      <c r="A87" s="212" t="s">
        <v>859</v>
      </c>
      <c r="B87" s="212" t="s">
        <v>860</v>
      </c>
      <c r="C87" s="212" t="str">
        <f>VLOOKUP(A87,'Amazon Live Products'!E:G,3,0)</f>
        <v>AP-03</v>
      </c>
      <c r="D87" s="212" t="s">
        <v>234</v>
      </c>
      <c r="E87" s="212"/>
      <c r="F87" s="212" t="s">
        <v>862</v>
      </c>
      <c r="G87" s="212">
        <v>84213920</v>
      </c>
      <c r="H87" s="236">
        <f>VLOOKUP(B87,'Amazon Live Products'!F:P,11,0)</f>
        <v>1743.5880000000002</v>
      </c>
      <c r="I87" s="262">
        <f>VLOOKUP(B87,'Amazon Live Products'!F:Q,12,0)</f>
        <v>2057.4338400000001</v>
      </c>
      <c r="J87" s="263">
        <f t="shared" si="0"/>
        <v>1385.615</v>
      </c>
      <c r="K87" s="263">
        <f t="shared" si="29"/>
        <v>395.89000000000004</v>
      </c>
      <c r="L87" s="264">
        <v>60</v>
      </c>
      <c r="M87" s="265">
        <f t="shared" si="2"/>
        <v>39.588999999999999</v>
      </c>
      <c r="N87" s="264">
        <f t="shared" si="3"/>
        <v>603.89999999999964</v>
      </c>
      <c r="O87" s="264">
        <f t="shared" si="4"/>
        <v>4228.5820000000003</v>
      </c>
      <c r="P87" s="267">
        <f t="shared" si="5"/>
        <v>-269.68200000000024</v>
      </c>
      <c r="Q87" s="266">
        <f t="shared" si="6"/>
        <v>-6.8120437495263891E-2</v>
      </c>
      <c r="R87" s="267">
        <f t="shared" si="31"/>
        <v>3958.9</v>
      </c>
      <c r="S87" s="267">
        <f>VLOOKUP(A87,'Amazon Live Products'!E:AF,28,0)</f>
        <v>3599</v>
      </c>
      <c r="T87" s="263">
        <f t="shared" si="7"/>
        <v>359.90000000000003</v>
      </c>
      <c r="U87" s="263"/>
      <c r="V87" s="263"/>
      <c r="W87" s="263"/>
    </row>
    <row r="88" spans="1:23">
      <c r="A88" s="212" t="s">
        <v>863</v>
      </c>
      <c r="B88" s="212" t="s">
        <v>864</v>
      </c>
      <c r="C88" s="212" t="str">
        <f>VLOOKUP(A88,'Amazon Live Products'!E:G,3,0)</f>
        <v>TM-05</v>
      </c>
      <c r="D88" s="212" t="s">
        <v>314</v>
      </c>
      <c r="E88" s="212"/>
      <c r="F88" s="212" t="s">
        <v>866</v>
      </c>
      <c r="G88" s="212">
        <v>85101000</v>
      </c>
      <c r="H88" s="236">
        <f>VLOOKUP(B88,'Amazon Live Products'!F:P,11,0)</f>
        <v>985.56479999999999</v>
      </c>
      <c r="I88" s="262">
        <f>VLOOKUP(B88,'Amazon Live Products'!F:Q,12,0)</f>
        <v>1162.9664639999999</v>
      </c>
      <c r="J88" s="263">
        <f t="shared" si="0"/>
        <v>962.11500000000001</v>
      </c>
      <c r="K88" s="263">
        <f t="shared" si="29"/>
        <v>274.89000000000004</v>
      </c>
      <c r="L88" s="264">
        <v>60</v>
      </c>
      <c r="M88" s="265">
        <f t="shared" si="2"/>
        <v>27.489000000000001</v>
      </c>
      <c r="N88" s="264">
        <f t="shared" si="3"/>
        <v>419.32372881355923</v>
      </c>
      <c r="O88" s="264">
        <f t="shared" si="4"/>
        <v>2729.382528813559</v>
      </c>
      <c r="P88" s="267">
        <f t="shared" si="5"/>
        <v>19.517471186441071</v>
      </c>
      <c r="Q88" s="266">
        <f t="shared" si="6"/>
        <v>7.1001022905311474E-3</v>
      </c>
      <c r="R88" s="267">
        <f t="shared" si="31"/>
        <v>2748.9</v>
      </c>
      <c r="S88" s="267">
        <f>VLOOKUP(A88,'Amazon Live Products'!E:AF,28,0)</f>
        <v>2499</v>
      </c>
      <c r="T88" s="263">
        <f t="shared" si="7"/>
        <v>249.9</v>
      </c>
      <c r="U88" s="263"/>
      <c r="V88" s="263" t="str">
        <f t="shared" ref="V88:V93" si="33">C88</f>
        <v>TM-05</v>
      </c>
      <c r="W88" s="263"/>
    </row>
    <row r="89" spans="1:23">
      <c r="A89" s="212" t="s">
        <v>870</v>
      </c>
      <c r="B89" s="212"/>
      <c r="C89" s="212" t="str">
        <f>VLOOKUP(A89,'Amazon Live Products'!E:G,3,0)</f>
        <v>ETC-08-BL</v>
      </c>
      <c r="D89" s="212" t="s">
        <v>795</v>
      </c>
      <c r="E89" s="212"/>
      <c r="F89" s="212" t="s">
        <v>873</v>
      </c>
      <c r="G89" s="212">
        <v>85098000</v>
      </c>
      <c r="H89" s="236" t="e">
        <f>VLOOKUP(B89,'Amazon Live Products'!F:P,11,0)</f>
        <v>#N/A</v>
      </c>
      <c r="I89" s="262" t="e">
        <f>VLOOKUP(B89,'Amazon Live Products'!F:Q,12,0)</f>
        <v>#N/A</v>
      </c>
      <c r="J89" s="263">
        <f t="shared" si="0"/>
        <v>307.61499999999995</v>
      </c>
      <c r="K89" s="263">
        <f t="shared" si="29"/>
        <v>87.89</v>
      </c>
      <c r="L89" s="264">
        <v>60</v>
      </c>
      <c r="M89" s="265">
        <f t="shared" si="2"/>
        <v>8.7889999999999997</v>
      </c>
      <c r="N89" s="264">
        <f t="shared" si="3"/>
        <v>134.0694915254237</v>
      </c>
      <c r="O89" s="263" t="e">
        <f t="shared" si="4"/>
        <v>#N/A</v>
      </c>
      <c r="P89" s="263" t="e">
        <f t="shared" si="5"/>
        <v>#N/A</v>
      </c>
      <c r="Q89" s="266" t="e">
        <f t="shared" si="6"/>
        <v>#N/A</v>
      </c>
      <c r="R89" s="267">
        <f t="shared" si="31"/>
        <v>878.9</v>
      </c>
      <c r="S89" s="267">
        <f>VLOOKUP(A89,'Amazon Live Products'!E:AF,28,0)</f>
        <v>799</v>
      </c>
      <c r="T89" s="263">
        <f t="shared" si="7"/>
        <v>79.900000000000006</v>
      </c>
      <c r="U89" s="263"/>
      <c r="V89" s="263" t="str">
        <f t="shared" si="33"/>
        <v>ETC-08-BL</v>
      </c>
      <c r="W89" s="263"/>
    </row>
    <row r="90" spans="1:23">
      <c r="A90" s="212" t="s">
        <v>874</v>
      </c>
      <c r="B90" s="212"/>
      <c r="C90" s="212" t="str">
        <f>VLOOKUP(A90,'Amazon Live Products'!E:G,3,0)</f>
        <v>KE-03</v>
      </c>
      <c r="D90" s="212" t="s">
        <v>234</v>
      </c>
      <c r="E90" s="212" t="s">
        <v>671</v>
      </c>
      <c r="F90" s="212" t="s">
        <v>878</v>
      </c>
      <c r="G90" s="212">
        <v>85167990</v>
      </c>
      <c r="H90" s="236" t="e">
        <f>VLOOKUP(B90,'Amazon Live Products'!F:P,11,0)</f>
        <v>#N/A</v>
      </c>
      <c r="I90" s="262" t="e">
        <f>VLOOKUP(B90,'Amazon Live Products'!F:Q,12,0)</f>
        <v>#N/A</v>
      </c>
      <c r="J90" s="263">
        <f t="shared" si="0"/>
        <v>269.11499999999995</v>
      </c>
      <c r="K90" s="263">
        <f t="shared" si="29"/>
        <v>76.89</v>
      </c>
      <c r="L90" s="264">
        <v>60</v>
      </c>
      <c r="M90" s="265">
        <f t="shared" si="2"/>
        <v>7.6890000000000001</v>
      </c>
      <c r="N90" s="264">
        <f t="shared" si="3"/>
        <v>117.28983050847455</v>
      </c>
      <c r="O90" s="263" t="e">
        <f t="shared" si="4"/>
        <v>#N/A</v>
      </c>
      <c r="P90" s="263" t="e">
        <f t="shared" si="5"/>
        <v>#N/A</v>
      </c>
      <c r="Q90" s="266" t="e">
        <f t="shared" si="6"/>
        <v>#N/A</v>
      </c>
      <c r="R90" s="267">
        <f t="shared" si="31"/>
        <v>768.9</v>
      </c>
      <c r="S90" s="267">
        <f>VLOOKUP(A90,'Amazon Live Products'!E:AF,28,0)</f>
        <v>699</v>
      </c>
      <c r="T90" s="263">
        <f t="shared" si="7"/>
        <v>69.900000000000006</v>
      </c>
      <c r="U90" s="263"/>
      <c r="V90" s="263" t="str">
        <f t="shared" si="33"/>
        <v>KE-03</v>
      </c>
      <c r="W90" s="263"/>
    </row>
    <row r="91" spans="1:23">
      <c r="A91" s="212" t="s">
        <v>491</v>
      </c>
      <c r="B91" s="212" t="s">
        <v>492</v>
      </c>
      <c r="C91" s="212" t="str">
        <f>VLOOKUP(A91,'Amazon Live Products'!E:G,3,0)</f>
        <v>SM-01</v>
      </c>
      <c r="D91" s="212" t="s">
        <v>234</v>
      </c>
      <c r="E91" s="212" t="s">
        <v>671</v>
      </c>
      <c r="F91" s="212" t="s">
        <v>1099</v>
      </c>
      <c r="G91" s="212"/>
      <c r="H91" s="236">
        <f>VLOOKUP(B91,'Amazon Live Products'!F:P,11,0)</f>
        <v>1916.3760000000002</v>
      </c>
      <c r="I91" s="262">
        <f>VLOOKUP(B91,'Amazon Live Products'!F:Q,12,0)</f>
        <v>2261.32368</v>
      </c>
      <c r="J91" s="263">
        <f t="shared" si="0"/>
        <v>1462.6149999999998</v>
      </c>
      <c r="K91" s="263">
        <f t="shared" si="29"/>
        <v>417.89</v>
      </c>
      <c r="L91" s="264">
        <v>60</v>
      </c>
      <c r="M91" s="265">
        <f t="shared" si="2"/>
        <v>41.788999999999994</v>
      </c>
      <c r="N91" s="264">
        <f t="shared" si="3"/>
        <v>637.45932203389793</v>
      </c>
      <c r="O91" s="264">
        <f t="shared" si="4"/>
        <v>4536.1293220338976</v>
      </c>
      <c r="P91" s="267">
        <f t="shared" si="5"/>
        <v>-357.22932203389792</v>
      </c>
      <c r="Q91" s="266">
        <f t="shared" si="6"/>
        <v>-8.5484056099427594E-2</v>
      </c>
      <c r="R91" s="267">
        <f t="shared" si="31"/>
        <v>4178.8999999999996</v>
      </c>
      <c r="S91" s="267">
        <f>VLOOKUP(A91,'Amazon Live Products'!E:AF,28,0)</f>
        <v>3799</v>
      </c>
      <c r="T91" s="263">
        <f t="shared" si="7"/>
        <v>379.90000000000003</v>
      </c>
      <c r="U91" s="263"/>
      <c r="V91" s="263" t="str">
        <f t="shared" si="33"/>
        <v>SM-01</v>
      </c>
      <c r="W91" s="263"/>
    </row>
    <row r="92" spans="1:23">
      <c r="A92" s="212" t="s">
        <v>835</v>
      </c>
      <c r="B92" s="212" t="s">
        <v>836</v>
      </c>
      <c r="C92" s="212" t="str">
        <f>VLOOKUP(A92,'Amazon Live Products'!E:G,3,0)</f>
        <v>LE-08</v>
      </c>
      <c r="D92" s="263"/>
      <c r="E92" s="263"/>
      <c r="F92" s="263" t="s">
        <v>838</v>
      </c>
      <c r="G92" s="263"/>
      <c r="H92" s="236">
        <f>VLOOKUP(B92,'Amazon Live Products'!F:P,11,0)</f>
        <v>647.61840000000007</v>
      </c>
      <c r="I92" s="262">
        <f>VLOOKUP(B92,'Amazon Live Products'!F:Q,12,0)</f>
        <v>764.18971199999999</v>
      </c>
      <c r="J92" s="263">
        <f t="shared" si="0"/>
        <v>577.11500000000001</v>
      </c>
      <c r="K92" s="263">
        <f t="shared" si="29"/>
        <v>164.89000000000001</v>
      </c>
      <c r="L92" s="264">
        <v>60</v>
      </c>
      <c r="M92" s="265">
        <f t="shared" si="2"/>
        <v>16.489000000000001</v>
      </c>
      <c r="N92" s="264">
        <f t="shared" si="3"/>
        <v>251.52711864406774</v>
      </c>
      <c r="O92" s="264">
        <f t="shared" si="4"/>
        <v>1717.6395186440679</v>
      </c>
      <c r="P92" s="267">
        <f t="shared" si="5"/>
        <v>-68.739518644067857</v>
      </c>
      <c r="Q92" s="266">
        <f t="shared" si="6"/>
        <v>-4.1688106400671873E-2</v>
      </c>
      <c r="R92" s="267">
        <f t="shared" si="31"/>
        <v>1648.9</v>
      </c>
      <c r="S92" s="267">
        <f>VLOOKUP(A92,'Amazon Live Products'!E:AF,28,0)</f>
        <v>1499</v>
      </c>
      <c r="T92" s="263">
        <f t="shared" si="7"/>
        <v>149.9</v>
      </c>
      <c r="U92" s="263"/>
      <c r="V92" s="263" t="str">
        <f t="shared" si="33"/>
        <v>LE-08</v>
      </c>
      <c r="W92" s="263"/>
    </row>
    <row r="93" spans="1:23">
      <c r="A93" s="69" t="s">
        <v>874</v>
      </c>
      <c r="B93" s="75" t="s">
        <v>875</v>
      </c>
      <c r="C93" s="43" t="s">
        <v>876</v>
      </c>
      <c r="D93" s="69"/>
      <c r="H93" s="236">
        <f>VLOOKUP(B93,'Amazon Live Products'!F:P,11,0)</f>
        <v>275</v>
      </c>
      <c r="I93" s="262">
        <f>VLOOKUP(B93,'Amazon Live Products'!F:Q,12,0)</f>
        <v>324.5</v>
      </c>
      <c r="J93" s="263">
        <f t="shared" si="0"/>
        <v>269.11499999999995</v>
      </c>
      <c r="K93" s="263">
        <f t="shared" si="29"/>
        <v>76.89</v>
      </c>
      <c r="L93" s="264">
        <v>60</v>
      </c>
      <c r="M93" s="265">
        <f t="shared" si="2"/>
        <v>7.6890000000000001</v>
      </c>
      <c r="N93" s="264">
        <f t="shared" si="3"/>
        <v>117.28983050847455</v>
      </c>
      <c r="O93" s="264">
        <f t="shared" si="4"/>
        <v>805.98383050847451</v>
      </c>
      <c r="P93" s="267">
        <f t="shared" si="5"/>
        <v>-37.083830508474534</v>
      </c>
      <c r="Q93" s="266">
        <f t="shared" si="6"/>
        <v>-4.822971843994607E-2</v>
      </c>
      <c r="R93" s="267">
        <f t="shared" si="31"/>
        <v>768.9</v>
      </c>
      <c r="S93" s="267">
        <f>VLOOKUP(A93,'Amazon Live Products'!E:AF,28,0)</f>
        <v>699</v>
      </c>
      <c r="T93" s="263">
        <f t="shared" si="7"/>
        <v>69.900000000000006</v>
      </c>
      <c r="V93" s="2" t="str">
        <f t="shared" si="33"/>
        <v>KE-03</v>
      </c>
    </row>
    <row r="94" spans="1:23">
      <c r="A94" s="2" t="s">
        <v>879</v>
      </c>
      <c r="B94" s="161" t="s">
        <v>880</v>
      </c>
      <c r="C94" s="182" t="s">
        <v>881</v>
      </c>
      <c r="D94" s="69"/>
      <c r="H94" s="236">
        <f>VLOOKUP(B94,'Amazon Live Products'!F:P,11,0)</f>
        <v>216.82425600000002</v>
      </c>
      <c r="I94" s="262">
        <f>VLOOKUP(B94,'Amazon Live Products'!F:Q,12,0)</f>
        <v>255.85262208</v>
      </c>
      <c r="J94" s="263">
        <f t="shared" si="0"/>
        <v>211.36499999999998</v>
      </c>
      <c r="K94" s="263">
        <f t="shared" si="29"/>
        <v>60.39</v>
      </c>
      <c r="L94" s="264">
        <v>60</v>
      </c>
      <c r="M94" s="265">
        <f t="shared" si="2"/>
        <v>6.0389999999999997</v>
      </c>
      <c r="N94" s="264">
        <f t="shared" si="3"/>
        <v>92.120338983050829</v>
      </c>
      <c r="O94" s="264">
        <f t="shared" si="4"/>
        <v>646.7385949830508</v>
      </c>
      <c r="P94" s="267">
        <f t="shared" si="5"/>
        <v>-42.838594983050825</v>
      </c>
      <c r="Q94" s="266">
        <f t="shared" si="6"/>
        <v>-7.093657059620935E-2</v>
      </c>
      <c r="R94" s="267">
        <f t="shared" si="31"/>
        <v>603.9</v>
      </c>
      <c r="S94" s="267">
        <f>VLOOKUP(A94,'Amazon Live Products'!E:AF,28,0)</f>
        <v>549</v>
      </c>
      <c r="T94" s="263">
        <f t="shared" si="7"/>
        <v>54.900000000000006</v>
      </c>
    </row>
    <row r="95" spans="1:23">
      <c r="A95" s="2" t="s">
        <v>884</v>
      </c>
      <c r="B95" s="161" t="s">
        <v>885</v>
      </c>
      <c r="C95" s="182" t="s">
        <v>886</v>
      </c>
      <c r="D95" s="69"/>
      <c r="H95" s="236">
        <f>VLOOKUP(B95,'Amazon Live Products'!F:P,11,0)</f>
        <v>246.3912</v>
      </c>
      <c r="I95" s="262">
        <f>VLOOKUP(B95,'Amazon Live Products'!F:Q,12,0)</f>
        <v>290.74161599999996</v>
      </c>
      <c r="J95" s="263">
        <f t="shared" si="0"/>
        <v>230.61499999999998</v>
      </c>
      <c r="K95" s="263">
        <f t="shared" si="29"/>
        <v>65.89</v>
      </c>
      <c r="L95" s="264">
        <v>60</v>
      </c>
      <c r="M95" s="265">
        <f t="shared" si="2"/>
        <v>6.5889999999999995</v>
      </c>
      <c r="N95" s="264">
        <f t="shared" si="3"/>
        <v>100.5101694915254</v>
      </c>
      <c r="O95" s="264">
        <f t="shared" si="4"/>
        <v>709.99536949152548</v>
      </c>
      <c r="P95" s="267">
        <f t="shared" si="5"/>
        <v>-51.095369491525503</v>
      </c>
      <c r="Q95" s="266">
        <f t="shared" si="6"/>
        <v>-7.7546470620011396E-2</v>
      </c>
      <c r="R95" s="267">
        <f t="shared" si="31"/>
        <v>658.9</v>
      </c>
      <c r="S95" s="267">
        <f>VLOOKUP(A95,'Amazon Live Products'!E:AF,28,0)</f>
        <v>599</v>
      </c>
      <c r="T95" s="263">
        <f t="shared" si="7"/>
        <v>59.900000000000006</v>
      </c>
    </row>
    <row r="96" spans="1:23">
      <c r="A96" s="2" t="s">
        <v>889</v>
      </c>
      <c r="B96" s="161" t="s">
        <v>890</v>
      </c>
      <c r="C96" s="182" t="s">
        <v>891</v>
      </c>
      <c r="D96" s="69"/>
      <c r="H96" s="236">
        <f>VLOOKUP(B96,'Amazon Live Products'!F:P,11,0)</f>
        <v>1089.59664</v>
      </c>
      <c r="I96" s="262">
        <f>VLOOKUP(B96,'Amazon Live Products'!F:Q,12,0)</f>
        <v>1285.7240351999999</v>
      </c>
      <c r="J96" s="263">
        <f t="shared" si="0"/>
        <v>923.61500000000001</v>
      </c>
      <c r="K96" s="263">
        <f t="shared" si="29"/>
        <v>263.89000000000004</v>
      </c>
      <c r="L96" s="264">
        <v>60</v>
      </c>
      <c r="M96" s="265">
        <f t="shared" si="2"/>
        <v>26.389000000000003</v>
      </c>
      <c r="N96" s="264">
        <f t="shared" si="3"/>
        <v>402.54406779660985</v>
      </c>
      <c r="O96" s="264">
        <f t="shared" si="4"/>
        <v>2766.0347077966098</v>
      </c>
      <c r="P96" s="267">
        <f t="shared" si="5"/>
        <v>-127.13470779660975</v>
      </c>
      <c r="Q96" s="266">
        <f t="shared" si="6"/>
        <v>-4.8177160103304306E-2</v>
      </c>
      <c r="R96" s="267">
        <f t="shared" si="31"/>
        <v>2638.9</v>
      </c>
      <c r="S96" s="267">
        <f>VLOOKUP(A96,'Amazon Live Products'!E:AF,28,0)</f>
        <v>2399</v>
      </c>
      <c r="T96" s="263">
        <f t="shared" si="7"/>
        <v>239.9</v>
      </c>
    </row>
    <row r="97" spans="1:20">
      <c r="A97" s="2" t="s">
        <v>895</v>
      </c>
      <c r="B97" s="161" t="s">
        <v>896</v>
      </c>
      <c r="C97" s="182" t="s">
        <v>897</v>
      </c>
      <c r="D97" s="69"/>
      <c r="H97" s="236">
        <f>VLOOKUP(B97,'Amazon Live Products'!F:P,11,0)</f>
        <v>120.45792</v>
      </c>
      <c r="I97" s="262">
        <f>VLOOKUP(B97,'Amazon Live Products'!F:Q,12,0)</f>
        <v>142.14034559999999</v>
      </c>
      <c r="J97" s="263">
        <f t="shared" si="0"/>
        <v>138.21499999999997</v>
      </c>
      <c r="K97" s="263">
        <f t="shared" si="29"/>
        <v>39.49</v>
      </c>
      <c r="L97" s="264">
        <v>60</v>
      </c>
      <c r="M97" s="265">
        <f t="shared" si="2"/>
        <v>3.9489999999999998</v>
      </c>
      <c r="N97" s="264">
        <f t="shared" si="3"/>
        <v>60.238983050847423</v>
      </c>
      <c r="O97" s="264">
        <f t="shared" si="4"/>
        <v>422.35090305084742</v>
      </c>
      <c r="P97" s="267">
        <f t="shared" si="5"/>
        <v>-27.450903050847444</v>
      </c>
      <c r="Q97" s="266">
        <f t="shared" si="6"/>
        <v>-6.9513555459223719E-2</v>
      </c>
      <c r="R97" s="267">
        <f t="shared" si="31"/>
        <v>394.9</v>
      </c>
      <c r="S97" s="267">
        <f>VLOOKUP(A97,'Amazon Live Products'!E:AF,28,0)</f>
        <v>359</v>
      </c>
      <c r="T97" s="263">
        <f t="shared" si="7"/>
        <v>35.9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A1:Y911"/>
  <sheetViews>
    <sheetView workbookViewId="0">
      <selection sqref="A1:Y911"/>
    </sheetView>
  </sheetViews>
  <sheetFormatPr defaultColWidth="14.44140625" defaultRowHeight="15" customHeight="1"/>
  <cols>
    <col min="1" max="1" width="9.44140625" customWidth="1"/>
    <col min="2" max="2" width="9.6640625" customWidth="1"/>
    <col min="3" max="3" width="13.88671875" customWidth="1"/>
    <col min="4" max="4" width="9.6640625" customWidth="1"/>
    <col min="5" max="6" width="20.88671875" customWidth="1"/>
    <col min="7" max="8" width="9.109375" customWidth="1"/>
    <col min="9" max="9" width="15.88671875" customWidth="1"/>
    <col min="10" max="10" width="10.6640625" customWidth="1"/>
    <col min="11" max="11" width="7" customWidth="1"/>
    <col min="12" max="12" width="10.6640625" customWidth="1"/>
    <col min="13" max="13" width="7.33203125" customWidth="1"/>
    <col min="14" max="14" width="12.44140625" customWidth="1"/>
    <col min="15" max="15" width="10.33203125" customWidth="1"/>
    <col min="16" max="16" width="12.33203125" customWidth="1"/>
    <col min="17" max="17" width="8.5546875" customWidth="1"/>
    <col min="18" max="18" width="15.88671875" customWidth="1"/>
    <col min="19" max="19" width="19.5546875" customWidth="1"/>
    <col min="20" max="20" width="8.5546875" customWidth="1"/>
    <col min="21" max="21" width="12.109375" customWidth="1"/>
  </cols>
  <sheetData>
    <row r="1" spans="1:25" ht="14.4">
      <c r="A1" s="269" t="s">
        <v>160</v>
      </c>
      <c r="B1" s="269" t="s">
        <v>1</v>
      </c>
      <c r="C1" s="269" t="s">
        <v>4</v>
      </c>
      <c r="D1" s="269" t="s">
        <v>161</v>
      </c>
      <c r="E1" s="269" t="s">
        <v>162</v>
      </c>
      <c r="F1" s="269" t="s">
        <v>163</v>
      </c>
      <c r="G1" s="203" t="s">
        <v>15</v>
      </c>
      <c r="H1" s="203" t="s">
        <v>174</v>
      </c>
      <c r="I1" s="203" t="s">
        <v>1100</v>
      </c>
      <c r="J1" s="270" t="s">
        <v>1101</v>
      </c>
      <c r="K1" s="270" t="s">
        <v>960</v>
      </c>
      <c r="L1" s="270" t="s">
        <v>447</v>
      </c>
      <c r="M1" s="270" t="s">
        <v>11</v>
      </c>
      <c r="N1" s="203" t="s">
        <v>931</v>
      </c>
      <c r="O1" s="270" t="s">
        <v>186</v>
      </c>
      <c r="P1" s="204" t="s">
        <v>961</v>
      </c>
      <c r="Q1" s="270" t="s">
        <v>962</v>
      </c>
      <c r="R1" s="270" t="s">
        <v>963</v>
      </c>
      <c r="S1" s="270" t="s">
        <v>1102</v>
      </c>
      <c r="T1" s="270" t="s">
        <v>9</v>
      </c>
      <c r="U1" s="203" t="s">
        <v>1103</v>
      </c>
      <c r="V1" s="182"/>
      <c r="W1" s="182"/>
      <c r="X1" s="182"/>
      <c r="Y1" s="182"/>
    </row>
    <row r="2" spans="1:25" ht="14.4" hidden="1">
      <c r="A2" s="271" t="s">
        <v>1104</v>
      </c>
      <c r="B2" s="271" t="s">
        <v>240</v>
      </c>
      <c r="C2" s="272" t="s">
        <v>241</v>
      </c>
      <c r="D2" s="271" t="s">
        <v>242</v>
      </c>
      <c r="E2" s="271" t="s">
        <v>234</v>
      </c>
      <c r="F2" s="271" t="s">
        <v>235</v>
      </c>
      <c r="G2" s="205">
        <f>VLOOKUP(C2,'Margin Calculation'!G:Y,19,0)</f>
        <v>1066.3371935999999</v>
      </c>
      <c r="H2" s="205">
        <f>VLOOKUP(C2,'Margin Calculation'!G:Z,20,0)</f>
        <v>1258.2778884479999</v>
      </c>
      <c r="I2" s="182">
        <v>30</v>
      </c>
      <c r="J2" s="179">
        <f t="shared" ref="J2:J92" si="0">Q2*5%</f>
        <v>85.960000000000008</v>
      </c>
      <c r="K2" s="179">
        <f t="shared" ref="K2:K92" si="1">Q2*5%</f>
        <v>85.960000000000008</v>
      </c>
      <c r="L2" s="179">
        <f t="shared" ref="L2:L92" si="2">Q2*3%</f>
        <v>51.576000000000001</v>
      </c>
      <c r="M2" s="179">
        <f t="shared" ref="M2:M92" si="3">Q2-(Q2/1.18)</f>
        <v>262.25084745762706</v>
      </c>
      <c r="N2" s="205">
        <f t="shared" ref="N2:N92" si="4">G2+J2+K2+L2+M2+I2</f>
        <v>1582.084041057627</v>
      </c>
      <c r="O2" s="179">
        <f t="shared" ref="O2:O92" si="5">Q2-N2</f>
        <v>137.11595894237303</v>
      </c>
      <c r="P2" s="184">
        <f t="shared" ref="P2:P92" si="6">O2/Q2</f>
        <v>7.9755676443911711E-2</v>
      </c>
      <c r="Q2" s="179">
        <f>R2*0.8</f>
        <v>1719.2</v>
      </c>
      <c r="R2" s="179">
        <v>2149</v>
      </c>
      <c r="S2" s="179"/>
      <c r="T2" s="179" t="e">
        <f>VLOOKUP(C2,'Margin Calculation'!G:AR,40,0)</f>
        <v>#REF!</v>
      </c>
      <c r="U2" s="182"/>
      <c r="V2" s="182"/>
      <c r="W2" s="182"/>
      <c r="X2" s="182"/>
      <c r="Y2" s="182"/>
    </row>
    <row r="3" spans="1:25" ht="14.4">
      <c r="A3" s="271" t="s">
        <v>934</v>
      </c>
      <c r="B3" s="271" t="s">
        <v>246</v>
      </c>
      <c r="C3" s="272" t="s">
        <v>247</v>
      </c>
      <c r="D3" s="271" t="s">
        <v>248</v>
      </c>
      <c r="E3" s="271" t="s">
        <v>234</v>
      </c>
      <c r="F3" s="271" t="s">
        <v>249</v>
      </c>
      <c r="G3" s="205">
        <f>VLOOKUP(C3,'Margin Calculation'!G:Y,19,0)</f>
        <v>1521.9733235294116</v>
      </c>
      <c r="H3" s="205">
        <f>VLOOKUP(C3,'Margin Calculation'!G:Z,20,0)</f>
        <v>1795.9285217647055</v>
      </c>
      <c r="I3" s="182">
        <v>30</v>
      </c>
      <c r="J3" s="179">
        <f t="shared" si="0"/>
        <v>139.96</v>
      </c>
      <c r="K3" s="179">
        <f t="shared" si="1"/>
        <v>139.96</v>
      </c>
      <c r="L3" s="179">
        <f t="shared" si="2"/>
        <v>83.975999999999999</v>
      </c>
      <c r="M3" s="179">
        <f t="shared" si="3"/>
        <v>426.9966101694913</v>
      </c>
      <c r="N3" s="205">
        <f t="shared" si="4"/>
        <v>2342.8659336989031</v>
      </c>
      <c r="O3" s="179">
        <f t="shared" si="5"/>
        <v>456.33406630109721</v>
      </c>
      <c r="P3" s="184">
        <f t="shared" si="6"/>
        <v>0.16302303025903728</v>
      </c>
      <c r="Q3" s="233">
        <f>S3</f>
        <v>2799.2000000000003</v>
      </c>
      <c r="R3" s="179">
        <v>3499</v>
      </c>
      <c r="S3" s="179">
        <f>R3*0.8</f>
        <v>2799.2000000000003</v>
      </c>
      <c r="T3" s="179" t="e">
        <f>VLOOKUP(C3,'Margin Calculation'!G:AR,40,0)</f>
        <v>#REF!</v>
      </c>
      <c r="U3" s="182"/>
      <c r="V3" s="182"/>
      <c r="W3" s="182"/>
      <c r="X3" s="182"/>
      <c r="Y3" s="182"/>
    </row>
    <row r="4" spans="1:25" ht="14.4" hidden="1">
      <c r="A4" s="271"/>
      <c r="B4" s="271" t="s">
        <v>253</v>
      </c>
      <c r="C4" s="272" t="s">
        <v>254</v>
      </c>
      <c r="D4" s="271" t="s">
        <v>255</v>
      </c>
      <c r="E4" s="271" t="s">
        <v>256</v>
      </c>
      <c r="F4" s="271" t="s">
        <v>257</v>
      </c>
      <c r="G4" s="205">
        <f>VLOOKUP(C4,'Margin Calculation'!G:Y,19,0)</f>
        <v>355.33344600000004</v>
      </c>
      <c r="H4" s="205">
        <f>VLOOKUP(C4,'Margin Calculation'!G:Z,20,0)</f>
        <v>397.97345952000006</v>
      </c>
      <c r="I4" s="182">
        <v>30</v>
      </c>
      <c r="J4" s="179">
        <f t="shared" si="0"/>
        <v>27.960000000000004</v>
      </c>
      <c r="K4" s="179">
        <f t="shared" si="1"/>
        <v>27.960000000000004</v>
      </c>
      <c r="L4" s="179">
        <f t="shared" si="2"/>
        <v>16.776</v>
      </c>
      <c r="M4" s="179">
        <f t="shared" si="3"/>
        <v>85.301694915254245</v>
      </c>
      <c r="N4" s="205">
        <f t="shared" si="4"/>
        <v>543.33114091525431</v>
      </c>
      <c r="O4" s="179">
        <f t="shared" si="5"/>
        <v>15.868859084745736</v>
      </c>
      <c r="P4" s="184">
        <f t="shared" si="6"/>
        <v>2.8377788062850028E-2</v>
      </c>
      <c r="Q4" s="179">
        <f t="shared" ref="Q4:Q10" si="7">R4*0.8</f>
        <v>559.20000000000005</v>
      </c>
      <c r="R4" s="179">
        <v>699</v>
      </c>
      <c r="S4" s="179"/>
      <c r="T4" s="179" t="e">
        <f>VLOOKUP(C4,'Margin Calculation'!G:AR,40,0)</f>
        <v>#REF!</v>
      </c>
      <c r="U4" s="182"/>
      <c r="V4" s="182"/>
      <c r="W4" s="182"/>
      <c r="X4" s="182"/>
      <c r="Y4" s="182"/>
    </row>
    <row r="5" spans="1:25" ht="14.4" hidden="1">
      <c r="A5" s="271"/>
      <c r="B5" s="271" t="s">
        <v>262</v>
      </c>
      <c r="C5" s="272" t="s">
        <v>263</v>
      </c>
      <c r="D5" s="271" t="s">
        <v>264</v>
      </c>
      <c r="E5" s="271" t="s">
        <v>256</v>
      </c>
      <c r="F5" s="271" t="s">
        <v>257</v>
      </c>
      <c r="G5" s="205">
        <f>VLOOKUP(C5,'Margin Calculation'!G:Y,19,0)</f>
        <v>355.33344600000004</v>
      </c>
      <c r="H5" s="205">
        <f>VLOOKUP(C5,'Margin Calculation'!G:Z,20,0)</f>
        <v>397.97345952000006</v>
      </c>
      <c r="I5" s="182">
        <v>30</v>
      </c>
      <c r="J5" s="179">
        <f t="shared" si="0"/>
        <v>27.960000000000004</v>
      </c>
      <c r="K5" s="179">
        <f t="shared" si="1"/>
        <v>27.960000000000004</v>
      </c>
      <c r="L5" s="179">
        <f t="shared" si="2"/>
        <v>16.776</v>
      </c>
      <c r="M5" s="179">
        <f t="shared" si="3"/>
        <v>85.301694915254245</v>
      </c>
      <c r="N5" s="205">
        <f t="shared" si="4"/>
        <v>543.33114091525431</v>
      </c>
      <c r="O5" s="179">
        <f t="shared" si="5"/>
        <v>15.868859084745736</v>
      </c>
      <c r="P5" s="184">
        <f t="shared" si="6"/>
        <v>2.8377788062850028E-2</v>
      </c>
      <c r="Q5" s="179">
        <f t="shared" si="7"/>
        <v>559.20000000000005</v>
      </c>
      <c r="R5" s="179">
        <v>699</v>
      </c>
      <c r="S5" s="179"/>
      <c r="T5" s="179" t="e">
        <f>VLOOKUP(C5,'Margin Calculation'!G:AR,40,0)</f>
        <v>#REF!</v>
      </c>
      <c r="U5" s="182"/>
      <c r="V5" s="182"/>
      <c r="W5" s="182"/>
      <c r="X5" s="182"/>
      <c r="Y5" s="182"/>
    </row>
    <row r="6" spans="1:25" ht="14.4" hidden="1">
      <c r="A6" s="271" t="s">
        <v>1104</v>
      </c>
      <c r="B6" s="271" t="s">
        <v>267</v>
      </c>
      <c r="C6" s="272" t="s">
        <v>268</v>
      </c>
      <c r="D6" s="271" t="s">
        <v>269</v>
      </c>
      <c r="E6" s="271" t="s">
        <v>256</v>
      </c>
      <c r="F6" s="271" t="s">
        <v>257</v>
      </c>
      <c r="G6" s="205">
        <f>VLOOKUP(C6,'Margin Calculation'!G:Y,19,0)</f>
        <v>355.33344600000004</v>
      </c>
      <c r="H6" s="205">
        <f>VLOOKUP(C6,'Margin Calculation'!G:Z,20,0)</f>
        <v>397.97345952000006</v>
      </c>
      <c r="I6" s="182">
        <v>30</v>
      </c>
      <c r="J6" s="179">
        <f t="shared" si="0"/>
        <v>27.960000000000004</v>
      </c>
      <c r="K6" s="179">
        <f t="shared" si="1"/>
        <v>27.960000000000004</v>
      </c>
      <c r="L6" s="179">
        <f t="shared" si="2"/>
        <v>16.776</v>
      </c>
      <c r="M6" s="179">
        <f t="shared" si="3"/>
        <v>85.301694915254245</v>
      </c>
      <c r="N6" s="205">
        <f t="shared" si="4"/>
        <v>543.33114091525431</v>
      </c>
      <c r="O6" s="179">
        <f t="shared" si="5"/>
        <v>15.868859084745736</v>
      </c>
      <c r="P6" s="184">
        <f t="shared" si="6"/>
        <v>2.8377788062850028E-2</v>
      </c>
      <c r="Q6" s="179">
        <f t="shared" si="7"/>
        <v>559.20000000000005</v>
      </c>
      <c r="R6" s="179">
        <v>699</v>
      </c>
      <c r="S6" s="179"/>
      <c r="T6" s="179" t="e">
        <f>VLOOKUP(C6,'Margin Calculation'!G:AR,40,0)</f>
        <v>#REF!</v>
      </c>
      <c r="U6" s="182"/>
      <c r="V6" s="182"/>
      <c r="W6" s="182"/>
      <c r="X6" s="182"/>
      <c r="Y6" s="182"/>
    </row>
    <row r="7" spans="1:25" ht="14.4" hidden="1">
      <c r="A7" s="271" t="s">
        <v>1104</v>
      </c>
      <c r="B7" s="273" t="s">
        <v>324</v>
      </c>
      <c r="C7" s="274" t="s">
        <v>325</v>
      </c>
      <c r="D7" s="273" t="s">
        <v>326</v>
      </c>
      <c r="E7" s="271" t="s">
        <v>234</v>
      </c>
      <c r="F7" s="271" t="s">
        <v>235</v>
      </c>
      <c r="G7" s="205">
        <f>VLOOKUP(C7,'Margin Calculation'!G:Y,19,0)</f>
        <v>1278.2511936000001</v>
      </c>
      <c r="H7" s="205">
        <f>VLOOKUP(C7,'Margin Calculation'!G:Z,20,0)</f>
        <v>1508.3364084479999</v>
      </c>
      <c r="I7" s="182">
        <v>30</v>
      </c>
      <c r="J7" s="179">
        <f t="shared" si="0"/>
        <v>87.960000000000008</v>
      </c>
      <c r="K7" s="179">
        <f t="shared" si="1"/>
        <v>87.960000000000008</v>
      </c>
      <c r="L7" s="179">
        <f t="shared" si="2"/>
        <v>52.775999999999996</v>
      </c>
      <c r="M7" s="179">
        <f t="shared" si="3"/>
        <v>268.35254237288132</v>
      </c>
      <c r="N7" s="205">
        <f t="shared" si="4"/>
        <v>1805.2997359728815</v>
      </c>
      <c r="O7" s="179">
        <f t="shared" si="5"/>
        <v>-46.09973597288149</v>
      </c>
      <c r="P7" s="184">
        <f t="shared" si="6"/>
        <v>-2.6204943140564738E-2</v>
      </c>
      <c r="Q7" s="179">
        <f t="shared" si="7"/>
        <v>1759.2</v>
      </c>
      <c r="R7" s="179">
        <v>2199</v>
      </c>
      <c r="S7" s="179"/>
      <c r="T7" s="179" t="e">
        <f>VLOOKUP(C7,'Margin Calculation'!G:AR,40,0)</f>
        <v>#REF!</v>
      </c>
      <c r="U7" s="182"/>
      <c r="V7" s="182"/>
      <c r="W7" s="182"/>
      <c r="X7" s="182"/>
      <c r="Y7" s="182"/>
    </row>
    <row r="8" spans="1:25" ht="14.4" hidden="1">
      <c r="A8" s="271" t="s">
        <v>1104</v>
      </c>
      <c r="B8" s="271" t="s">
        <v>329</v>
      </c>
      <c r="C8" s="274" t="s">
        <v>407</v>
      </c>
      <c r="D8" s="273" t="s">
        <v>331</v>
      </c>
      <c r="E8" s="271" t="s">
        <v>314</v>
      </c>
      <c r="F8" s="271" t="s">
        <v>315</v>
      </c>
      <c r="G8" s="275">
        <f>VLOOKUP(C8,'Margin Calculation'!G:Y,19,0)</f>
        <v>251.99100000000001</v>
      </c>
      <c r="H8" s="275">
        <f>VLOOKUP(C8,'Margin Calculation'!G:Z,20,0)</f>
        <v>297.34938</v>
      </c>
      <c r="I8" s="43">
        <v>30</v>
      </c>
      <c r="J8" s="244">
        <f t="shared" si="0"/>
        <v>11.96</v>
      </c>
      <c r="K8" s="244">
        <f t="shared" si="1"/>
        <v>11.96</v>
      </c>
      <c r="L8" s="244">
        <f t="shared" si="2"/>
        <v>7.1760000000000002</v>
      </c>
      <c r="M8" s="179">
        <f t="shared" si="3"/>
        <v>36.488135593220335</v>
      </c>
      <c r="N8" s="205">
        <f t="shared" si="4"/>
        <v>349.57513559322035</v>
      </c>
      <c r="O8" s="244">
        <f t="shared" si="5"/>
        <v>-110.37513559322034</v>
      </c>
      <c r="P8" s="245">
        <f t="shared" si="6"/>
        <v>-0.4614345133495833</v>
      </c>
      <c r="Q8" s="179">
        <f t="shared" si="7"/>
        <v>239.20000000000002</v>
      </c>
      <c r="R8" s="179">
        <v>299</v>
      </c>
      <c r="S8" s="244"/>
      <c r="T8" s="244" t="e">
        <f>VLOOKUP(C8,'Margin Calculation'!G:AR,40,0)</f>
        <v>#REF!</v>
      </c>
      <c r="U8" s="43"/>
      <c r="V8" s="182"/>
      <c r="W8" s="43"/>
      <c r="X8" s="43"/>
      <c r="Y8" s="43"/>
    </row>
    <row r="9" spans="1:25" ht="14.4" hidden="1">
      <c r="A9" s="271" t="s">
        <v>1104</v>
      </c>
      <c r="B9" s="271" t="s">
        <v>335</v>
      </c>
      <c r="C9" s="274" t="s">
        <v>412</v>
      </c>
      <c r="D9" s="273" t="s">
        <v>337</v>
      </c>
      <c r="E9" s="271" t="s">
        <v>314</v>
      </c>
      <c r="F9" s="271" t="s">
        <v>315</v>
      </c>
      <c r="G9" s="275">
        <f>VLOOKUP(C9,'Margin Calculation'!G:Y,19,0)</f>
        <v>251.99100000000001</v>
      </c>
      <c r="H9" s="275">
        <f>VLOOKUP(C9,'Margin Calculation'!G:Z,20,0)</f>
        <v>297.34938</v>
      </c>
      <c r="I9" s="43">
        <v>30</v>
      </c>
      <c r="J9" s="244">
        <f t="shared" si="0"/>
        <v>11.96</v>
      </c>
      <c r="K9" s="244">
        <f t="shared" si="1"/>
        <v>11.96</v>
      </c>
      <c r="L9" s="244">
        <f t="shared" si="2"/>
        <v>7.1760000000000002</v>
      </c>
      <c r="M9" s="179">
        <f t="shared" si="3"/>
        <v>36.488135593220335</v>
      </c>
      <c r="N9" s="205">
        <f t="shared" si="4"/>
        <v>349.57513559322035</v>
      </c>
      <c r="O9" s="244">
        <f t="shared" si="5"/>
        <v>-110.37513559322034</v>
      </c>
      <c r="P9" s="245">
        <f t="shared" si="6"/>
        <v>-0.4614345133495833</v>
      </c>
      <c r="Q9" s="179">
        <f t="shared" si="7"/>
        <v>239.20000000000002</v>
      </c>
      <c r="R9" s="179">
        <v>299</v>
      </c>
      <c r="S9" s="244"/>
      <c r="T9" s="244" t="e">
        <f>VLOOKUP(C9,'Margin Calculation'!G:AR,40,0)</f>
        <v>#REF!</v>
      </c>
      <c r="U9" s="43"/>
      <c r="V9" s="182"/>
      <c r="W9" s="43"/>
      <c r="X9" s="43"/>
      <c r="Y9" s="43"/>
    </row>
    <row r="10" spans="1:25" ht="14.4" hidden="1">
      <c r="A10" s="271"/>
      <c r="B10" s="271" t="s">
        <v>418</v>
      </c>
      <c r="C10" s="274" t="s">
        <v>419</v>
      </c>
      <c r="D10" s="271" t="s">
        <v>420</v>
      </c>
      <c r="E10" s="271" t="s">
        <v>234</v>
      </c>
      <c r="F10" s="271" t="s">
        <v>249</v>
      </c>
      <c r="G10" s="205">
        <f>VLOOKUP(C10,'Margin Calculation'!G:Y,19,0)</f>
        <v>1159.1586</v>
      </c>
      <c r="H10" s="205">
        <f>VLOOKUP(C10,'Margin Calculation'!G:Z,20,0)</f>
        <v>1367.8071479999999</v>
      </c>
      <c r="I10" s="182">
        <v>30</v>
      </c>
      <c r="J10" s="179">
        <f t="shared" si="0"/>
        <v>97.960000000000008</v>
      </c>
      <c r="K10" s="179">
        <f t="shared" si="1"/>
        <v>97.960000000000008</v>
      </c>
      <c r="L10" s="179">
        <f t="shared" si="2"/>
        <v>58.775999999999996</v>
      </c>
      <c r="M10" s="179">
        <f t="shared" si="3"/>
        <v>298.86101694915237</v>
      </c>
      <c r="N10" s="205">
        <f t="shared" si="4"/>
        <v>1742.7156169491525</v>
      </c>
      <c r="O10" s="179">
        <f t="shared" si="5"/>
        <v>216.48438305084755</v>
      </c>
      <c r="P10" s="184">
        <f t="shared" si="6"/>
        <v>0.11049631637956694</v>
      </c>
      <c r="Q10" s="179">
        <f t="shared" si="7"/>
        <v>1959.2</v>
      </c>
      <c r="R10" s="179">
        <v>2449</v>
      </c>
      <c r="S10" s="179"/>
      <c r="T10" s="179" t="e">
        <f>VLOOKUP(C10,'Margin Calculation'!G:AR,40,0)</f>
        <v>#REF!</v>
      </c>
      <c r="U10" s="182"/>
      <c r="V10" s="182"/>
      <c r="W10" s="182"/>
      <c r="X10" s="182"/>
      <c r="Y10" s="182"/>
    </row>
    <row r="11" spans="1:25" ht="14.4">
      <c r="A11" s="271" t="s">
        <v>934</v>
      </c>
      <c r="B11" s="271" t="s">
        <v>424</v>
      </c>
      <c r="C11" s="274" t="s">
        <v>425</v>
      </c>
      <c r="D11" s="271" t="s">
        <v>426</v>
      </c>
      <c r="E11" s="271" t="s">
        <v>234</v>
      </c>
      <c r="F11" s="271" t="s">
        <v>249</v>
      </c>
      <c r="G11" s="205">
        <f>VLOOKUP(C11,'Margin Calculation'!G:Y,19,0)</f>
        <v>957.84120000000019</v>
      </c>
      <c r="H11" s="205">
        <f>VLOOKUP(C11,'Margin Calculation'!G:Z,20,0)</f>
        <v>1130.2526160000002</v>
      </c>
      <c r="I11" s="182">
        <v>30</v>
      </c>
      <c r="J11" s="179">
        <f t="shared" si="0"/>
        <v>104.35000000000001</v>
      </c>
      <c r="K11" s="179">
        <f t="shared" si="1"/>
        <v>104.35000000000001</v>
      </c>
      <c r="L11" s="179">
        <f t="shared" si="2"/>
        <v>62.61</v>
      </c>
      <c r="M11" s="179">
        <f t="shared" si="3"/>
        <v>318.35593220338978</v>
      </c>
      <c r="N11" s="205">
        <f t="shared" si="4"/>
        <v>1577.5071322033898</v>
      </c>
      <c r="O11" s="179">
        <f t="shared" si="5"/>
        <v>509.4928677966102</v>
      </c>
      <c r="P11" s="184">
        <f t="shared" si="6"/>
        <v>0.24412691317518456</v>
      </c>
      <c r="Q11" s="233">
        <v>2087</v>
      </c>
      <c r="R11" s="179">
        <v>2899</v>
      </c>
      <c r="S11" s="179">
        <f>R11*0.8</f>
        <v>2319.2000000000003</v>
      </c>
      <c r="T11" s="179" t="e">
        <f>VLOOKUP(C11,'Margin Calculation'!G:AR,40,0)</f>
        <v>#REF!</v>
      </c>
      <c r="U11" s="182"/>
      <c r="V11" s="182"/>
      <c r="W11" s="182"/>
      <c r="X11" s="182"/>
      <c r="Y11" s="182"/>
    </row>
    <row r="12" spans="1:25" ht="14.4" hidden="1">
      <c r="A12" s="271" t="s">
        <v>1104</v>
      </c>
      <c r="B12" s="271" t="s">
        <v>434</v>
      </c>
      <c r="C12" s="274" t="s">
        <v>435</v>
      </c>
      <c r="D12" s="271" t="s">
        <v>436</v>
      </c>
      <c r="E12" s="271" t="s">
        <v>314</v>
      </c>
      <c r="F12" s="271" t="s">
        <v>437</v>
      </c>
      <c r="G12" s="205">
        <f>VLOOKUP(C12,'Margin Calculation'!G:Y,19,0)</f>
        <v>456.50304000000006</v>
      </c>
      <c r="H12" s="205">
        <f>VLOOKUP(C12,'Margin Calculation'!G:Z,20,0)</f>
        <v>538.67358720000004</v>
      </c>
      <c r="I12" s="182">
        <v>30</v>
      </c>
      <c r="J12" s="179">
        <f t="shared" si="0"/>
        <v>35.96</v>
      </c>
      <c r="K12" s="179">
        <f t="shared" si="1"/>
        <v>35.96</v>
      </c>
      <c r="L12" s="179">
        <f t="shared" si="2"/>
        <v>21.576000000000001</v>
      </c>
      <c r="M12" s="179">
        <f t="shared" si="3"/>
        <v>109.70847457627121</v>
      </c>
      <c r="N12" s="205">
        <f t="shared" si="4"/>
        <v>689.70751457627125</v>
      </c>
      <c r="O12" s="179">
        <f t="shared" si="5"/>
        <v>29.492485423728795</v>
      </c>
      <c r="P12" s="184">
        <f t="shared" si="6"/>
        <v>4.1007349031880969E-2</v>
      </c>
      <c r="Q12" s="179">
        <f t="shared" ref="Q12:Q14" si="8">R12*0.8</f>
        <v>719.2</v>
      </c>
      <c r="R12" s="179">
        <v>899</v>
      </c>
      <c r="S12" s="179"/>
      <c r="T12" s="179" t="e">
        <f>VLOOKUP(C12,'Margin Calculation'!G:AR,40,0)</f>
        <v>#REF!</v>
      </c>
      <c r="U12" s="182"/>
      <c r="V12" s="182"/>
      <c r="W12" s="182"/>
      <c r="X12" s="182"/>
      <c r="Y12" s="182"/>
    </row>
    <row r="13" spans="1:25" ht="14.4" hidden="1">
      <c r="A13" s="271"/>
      <c r="B13" s="271" t="s">
        <v>441</v>
      </c>
      <c r="C13" s="274" t="s">
        <v>442</v>
      </c>
      <c r="D13" s="271" t="s">
        <v>443</v>
      </c>
      <c r="E13" s="271" t="s">
        <v>314</v>
      </c>
      <c r="F13" s="271" t="s">
        <v>444</v>
      </c>
      <c r="G13" s="205">
        <f>VLOOKUP(C13,'Margin Calculation'!G:Y,19,0)</f>
        <v>443.50416000000001</v>
      </c>
      <c r="H13" s="205">
        <f>VLOOKUP(C13,'Margin Calculation'!G:Z,20,0)</f>
        <v>523.33490879999999</v>
      </c>
      <c r="I13" s="182">
        <v>30</v>
      </c>
      <c r="J13" s="179">
        <f t="shared" si="0"/>
        <v>39.960000000000008</v>
      </c>
      <c r="K13" s="179">
        <f t="shared" si="1"/>
        <v>39.960000000000008</v>
      </c>
      <c r="L13" s="179">
        <f t="shared" si="2"/>
        <v>23.975999999999999</v>
      </c>
      <c r="M13" s="179">
        <f t="shared" si="3"/>
        <v>121.91186440677961</v>
      </c>
      <c r="N13" s="205">
        <f t="shared" si="4"/>
        <v>699.31202440677964</v>
      </c>
      <c r="O13" s="179">
        <f t="shared" si="5"/>
        <v>99.887975593220403</v>
      </c>
      <c r="P13" s="184">
        <f t="shared" si="6"/>
        <v>0.12498495444597146</v>
      </c>
      <c r="Q13" s="179">
        <f t="shared" si="8"/>
        <v>799.2</v>
      </c>
      <c r="R13" s="179">
        <v>999</v>
      </c>
      <c r="S13" s="179"/>
      <c r="T13" s="179" t="e">
        <f>VLOOKUP(C13,'Margin Calculation'!G:AR,40,0)</f>
        <v>#REF!</v>
      </c>
      <c r="U13" s="182"/>
      <c r="V13" s="182"/>
      <c r="W13" s="182"/>
      <c r="X13" s="182"/>
      <c r="Y13" s="182"/>
    </row>
    <row r="14" spans="1:25" ht="14.4" hidden="1">
      <c r="A14" s="271" t="s">
        <v>1104</v>
      </c>
      <c r="B14" s="271" t="s">
        <v>448</v>
      </c>
      <c r="C14" s="274" t="s">
        <v>449</v>
      </c>
      <c r="D14" s="271" t="s">
        <v>450</v>
      </c>
      <c r="E14" s="271" t="s">
        <v>314</v>
      </c>
      <c r="F14" s="271" t="s">
        <v>444</v>
      </c>
      <c r="G14" s="205">
        <f>VLOOKUP(C14,'Margin Calculation'!G:Y,19,0)</f>
        <v>520.78140000000008</v>
      </c>
      <c r="H14" s="205">
        <f>VLOOKUP(C14,'Margin Calculation'!G:Z,20,0)</f>
        <v>614.52205200000003</v>
      </c>
      <c r="I14" s="182">
        <v>30</v>
      </c>
      <c r="J14" s="179">
        <f t="shared" si="0"/>
        <v>47.960000000000008</v>
      </c>
      <c r="K14" s="179">
        <f t="shared" si="1"/>
        <v>47.960000000000008</v>
      </c>
      <c r="L14" s="179">
        <f t="shared" si="2"/>
        <v>28.776</v>
      </c>
      <c r="M14" s="179">
        <f t="shared" si="3"/>
        <v>146.31864406779653</v>
      </c>
      <c r="N14" s="205">
        <f t="shared" si="4"/>
        <v>821.79604406779663</v>
      </c>
      <c r="O14" s="179">
        <f t="shared" si="5"/>
        <v>137.40395593220342</v>
      </c>
      <c r="P14" s="184">
        <f t="shared" si="6"/>
        <v>0.14324849450813534</v>
      </c>
      <c r="Q14" s="179">
        <f t="shared" si="8"/>
        <v>959.2</v>
      </c>
      <c r="R14" s="179">
        <v>1199</v>
      </c>
      <c r="S14" s="179"/>
      <c r="T14" s="179" t="e">
        <f>VLOOKUP(C14,'Margin Calculation'!G:AR,40,0)</f>
        <v>#REF!</v>
      </c>
      <c r="U14" s="182"/>
      <c r="V14" s="182"/>
      <c r="W14" s="182"/>
      <c r="X14" s="182"/>
      <c r="Y14" s="182"/>
    </row>
    <row r="15" spans="1:25" ht="14.4">
      <c r="A15" s="274" t="s">
        <v>934</v>
      </c>
      <c r="B15" s="274" t="s">
        <v>454</v>
      </c>
      <c r="C15" s="274" t="s">
        <v>455</v>
      </c>
      <c r="D15" s="271" t="s">
        <v>456</v>
      </c>
      <c r="E15" s="271" t="s">
        <v>234</v>
      </c>
      <c r="F15" s="271" t="s">
        <v>235</v>
      </c>
      <c r="G15" s="205">
        <f>VLOOKUP(C15,'Margin Calculation'!G:Y,19,0)</f>
        <v>839.97</v>
      </c>
      <c r="H15" s="205">
        <f>VLOOKUP(C15,'Margin Calculation'!G:Z,20,0)</f>
        <v>991.16459999999995</v>
      </c>
      <c r="I15" s="182">
        <v>30</v>
      </c>
      <c r="J15" s="179">
        <f t="shared" si="0"/>
        <v>71.95</v>
      </c>
      <c r="K15" s="179">
        <f t="shared" si="1"/>
        <v>71.95</v>
      </c>
      <c r="L15" s="179">
        <f t="shared" si="2"/>
        <v>43.17</v>
      </c>
      <c r="M15" s="179">
        <f t="shared" si="3"/>
        <v>219.50847457627106</v>
      </c>
      <c r="N15" s="205">
        <f t="shared" si="4"/>
        <v>1276.5484745762712</v>
      </c>
      <c r="O15" s="179">
        <f t="shared" si="5"/>
        <v>162.45152542372875</v>
      </c>
      <c r="P15" s="184">
        <f t="shared" si="6"/>
        <v>0.11289195651405751</v>
      </c>
      <c r="Q15" s="233">
        <v>1439</v>
      </c>
      <c r="R15" s="179">
        <v>1999</v>
      </c>
      <c r="S15" s="179">
        <f>R15*0.8</f>
        <v>1599.2</v>
      </c>
      <c r="T15" s="179" t="e">
        <f>VLOOKUP(C15,'Margin Calculation'!G:AR,40,0)</f>
        <v>#REF!</v>
      </c>
      <c r="U15" s="182"/>
      <c r="V15" s="182"/>
      <c r="W15" s="182"/>
      <c r="X15" s="182"/>
      <c r="Y15" s="182"/>
    </row>
    <row r="16" spans="1:25" ht="14.4" hidden="1">
      <c r="A16" s="271" t="s">
        <v>1104</v>
      </c>
      <c r="B16" s="271" t="s">
        <v>462</v>
      </c>
      <c r="C16" s="276" t="s">
        <v>463</v>
      </c>
      <c r="D16" s="271" t="s">
        <v>464</v>
      </c>
      <c r="E16" s="271" t="s">
        <v>314</v>
      </c>
      <c r="F16" s="271" t="s">
        <v>465</v>
      </c>
      <c r="G16" s="205">
        <f>VLOOKUP(C16,'Margin Calculation'!G:Y,19,0)</f>
        <v>615.97800000000007</v>
      </c>
      <c r="H16" s="205">
        <f>VLOOKUP(C16,'Margin Calculation'!G:Z,20,0)</f>
        <v>726.85404000000005</v>
      </c>
      <c r="I16" s="182">
        <v>30</v>
      </c>
      <c r="J16" s="179">
        <f t="shared" si="0"/>
        <v>59.960000000000008</v>
      </c>
      <c r="K16" s="179">
        <f t="shared" si="1"/>
        <v>59.960000000000008</v>
      </c>
      <c r="L16" s="179">
        <f t="shared" si="2"/>
        <v>35.975999999999999</v>
      </c>
      <c r="M16" s="179">
        <f t="shared" si="3"/>
        <v>182.92881355932195</v>
      </c>
      <c r="N16" s="205">
        <f t="shared" si="4"/>
        <v>984.80281355932209</v>
      </c>
      <c r="O16" s="179">
        <f t="shared" si="5"/>
        <v>214.39718644067796</v>
      </c>
      <c r="P16" s="184">
        <f t="shared" si="6"/>
        <v>0.17878351104125914</v>
      </c>
      <c r="Q16" s="179">
        <f t="shared" ref="Q16:Q19" si="9">R16*0.8</f>
        <v>1199.2</v>
      </c>
      <c r="R16" s="179">
        <v>1499</v>
      </c>
      <c r="S16" s="179"/>
      <c r="T16" s="179" t="e">
        <f>VLOOKUP(C16,'Margin Calculation'!G:AR,40,0)</f>
        <v>#REF!</v>
      </c>
      <c r="U16" s="182"/>
      <c r="V16" s="182"/>
      <c r="W16" s="182"/>
      <c r="X16" s="182"/>
      <c r="Y16" s="182"/>
    </row>
    <row r="17" spans="1:25" ht="14.4" hidden="1">
      <c r="A17" s="271" t="s">
        <v>1104</v>
      </c>
      <c r="B17" s="271" t="s">
        <v>468</v>
      </c>
      <c r="C17" s="276" t="s">
        <v>469</v>
      </c>
      <c r="D17" s="271" t="s">
        <v>470</v>
      </c>
      <c r="E17" s="271" t="s">
        <v>314</v>
      </c>
      <c r="F17" s="271" t="s">
        <v>465</v>
      </c>
      <c r="G17" s="205">
        <f>VLOOKUP(C17,'Margin Calculation'!G:Y,19,0)</f>
        <v>559.9799999999999</v>
      </c>
      <c r="H17" s="205">
        <f>VLOOKUP(C17,'Margin Calculation'!G:Z,20,0)</f>
        <v>660.77639999999985</v>
      </c>
      <c r="I17" s="182">
        <v>30</v>
      </c>
      <c r="J17" s="179">
        <f t="shared" si="0"/>
        <v>59.960000000000008</v>
      </c>
      <c r="K17" s="179">
        <f t="shared" si="1"/>
        <v>59.960000000000008</v>
      </c>
      <c r="L17" s="179">
        <f t="shared" si="2"/>
        <v>35.975999999999999</v>
      </c>
      <c r="M17" s="179">
        <f t="shared" si="3"/>
        <v>182.92881355932195</v>
      </c>
      <c r="N17" s="205">
        <f t="shared" si="4"/>
        <v>928.80481355932193</v>
      </c>
      <c r="O17" s="179">
        <f t="shared" si="5"/>
        <v>270.39518644067812</v>
      </c>
      <c r="P17" s="184">
        <f t="shared" si="6"/>
        <v>0.22547964179509516</v>
      </c>
      <c r="Q17" s="179">
        <f t="shared" si="9"/>
        <v>1199.2</v>
      </c>
      <c r="R17" s="179">
        <v>1499</v>
      </c>
      <c r="S17" s="179"/>
      <c r="T17" s="179" t="e">
        <f>VLOOKUP(C17,'Margin Calculation'!G:AR,40,0)</f>
        <v>#REF!</v>
      </c>
      <c r="U17" s="182"/>
      <c r="V17" s="182"/>
      <c r="W17" s="182"/>
      <c r="X17" s="182"/>
      <c r="Y17" s="182"/>
    </row>
    <row r="18" spans="1:25" ht="14.4" hidden="1">
      <c r="A18" s="271"/>
      <c r="B18" s="271" t="s">
        <v>485</v>
      </c>
      <c r="C18" s="140" t="s">
        <v>472</v>
      </c>
      <c r="D18" s="271" t="s">
        <v>486</v>
      </c>
      <c r="E18" s="271" t="s">
        <v>234</v>
      </c>
      <c r="F18" s="271" t="s">
        <v>235</v>
      </c>
      <c r="G18" s="205">
        <f>VLOOKUP(C18,'Margin Calculation'!G:Y,19,0)</f>
        <v>321.42851999999999</v>
      </c>
      <c r="H18" s="205">
        <f>VLOOKUP(C18,'Margin Calculation'!G:Z,20,0)</f>
        <v>379.28565359999999</v>
      </c>
      <c r="I18" s="182">
        <v>30</v>
      </c>
      <c r="J18" s="179">
        <f t="shared" si="0"/>
        <v>31.960000000000004</v>
      </c>
      <c r="K18" s="179">
        <f t="shared" si="1"/>
        <v>31.960000000000004</v>
      </c>
      <c r="L18" s="179">
        <f t="shared" si="2"/>
        <v>19.176000000000002</v>
      </c>
      <c r="M18" s="179">
        <f t="shared" si="3"/>
        <v>97.505084745762701</v>
      </c>
      <c r="N18" s="205">
        <f t="shared" si="4"/>
        <v>532.02960474576264</v>
      </c>
      <c r="O18" s="179">
        <f t="shared" si="5"/>
        <v>107.17039525423741</v>
      </c>
      <c r="P18" s="184">
        <f t="shared" si="6"/>
        <v>0.16766332173691709</v>
      </c>
      <c r="Q18" s="179">
        <f t="shared" si="9"/>
        <v>639.20000000000005</v>
      </c>
      <c r="R18" s="179">
        <v>799</v>
      </c>
      <c r="S18" s="179"/>
      <c r="T18" s="179" t="e">
        <f>VLOOKUP(C18,'Margin Calculation'!G:AR,40,0)</f>
        <v>#REF!</v>
      </c>
      <c r="U18" s="182"/>
      <c r="V18" s="182"/>
      <c r="W18" s="182"/>
      <c r="X18" s="182"/>
      <c r="Y18" s="182"/>
    </row>
    <row r="19" spans="1:25" ht="14.4" hidden="1">
      <c r="A19" s="274"/>
      <c r="B19" s="274" t="s">
        <v>496</v>
      </c>
      <c r="C19" s="272" t="s">
        <v>497</v>
      </c>
      <c r="D19" s="271" t="s">
        <v>498</v>
      </c>
      <c r="E19" s="271" t="s">
        <v>234</v>
      </c>
      <c r="F19" s="271" t="s">
        <v>249</v>
      </c>
      <c r="G19" s="205">
        <f>VLOOKUP(C19,'Margin Calculation'!G:Y,19,0)</f>
        <v>3303.8820000000001</v>
      </c>
      <c r="H19" s="205">
        <f>VLOOKUP(C19,'Margin Calculation'!G:Z,20,0)</f>
        <v>3898.5807599999998</v>
      </c>
      <c r="I19" s="182">
        <v>30</v>
      </c>
      <c r="J19" s="179">
        <f t="shared" si="0"/>
        <v>299.96000000000004</v>
      </c>
      <c r="K19" s="179">
        <f t="shared" si="1"/>
        <v>299.96000000000004</v>
      </c>
      <c r="L19" s="179">
        <f t="shared" si="2"/>
        <v>179.97600000000003</v>
      </c>
      <c r="M19" s="179">
        <f t="shared" si="3"/>
        <v>915.13220338983047</v>
      </c>
      <c r="N19" s="205">
        <f t="shared" si="4"/>
        <v>5028.9102033898307</v>
      </c>
      <c r="O19" s="179">
        <f t="shared" si="5"/>
        <v>970.28979661017001</v>
      </c>
      <c r="P19" s="184">
        <f t="shared" si="6"/>
        <v>0.16173653097249133</v>
      </c>
      <c r="Q19" s="179">
        <f t="shared" si="9"/>
        <v>5999.2000000000007</v>
      </c>
      <c r="R19" s="179">
        <v>7499</v>
      </c>
      <c r="S19" s="179"/>
      <c r="T19" s="179" t="e">
        <f>VLOOKUP(C19,'Margin Calculation'!G:AR,40,0)</f>
        <v>#REF!</v>
      </c>
      <c r="U19" s="182"/>
      <c r="V19" s="182"/>
      <c r="W19" s="182"/>
      <c r="X19" s="182"/>
      <c r="Y19" s="182"/>
    </row>
    <row r="20" spans="1:25" ht="14.4">
      <c r="A20" s="271" t="s">
        <v>934</v>
      </c>
      <c r="B20" s="271" t="s">
        <v>500</v>
      </c>
      <c r="C20" s="272" t="s">
        <v>501</v>
      </c>
      <c r="D20" s="271" t="s">
        <v>459</v>
      </c>
      <c r="E20" s="271" t="s">
        <v>234</v>
      </c>
      <c r="F20" s="271" t="s">
        <v>235</v>
      </c>
      <c r="G20" s="205">
        <f>VLOOKUP(C20,'Margin Calculation'!G:Y,19,0)</f>
        <v>380.78639999999996</v>
      </c>
      <c r="H20" s="205">
        <f>VLOOKUP(C20,'Margin Calculation'!G:Z,20,0)</f>
        <v>449.32795199999993</v>
      </c>
      <c r="I20" s="182">
        <v>30</v>
      </c>
      <c r="J20" s="179">
        <f t="shared" si="0"/>
        <v>35.950000000000003</v>
      </c>
      <c r="K20" s="179">
        <f t="shared" si="1"/>
        <v>35.950000000000003</v>
      </c>
      <c r="L20" s="179">
        <f t="shared" si="2"/>
        <v>21.57</v>
      </c>
      <c r="M20" s="179">
        <f t="shared" si="3"/>
        <v>109.67796610169489</v>
      </c>
      <c r="N20" s="205">
        <f t="shared" si="4"/>
        <v>613.93436610169488</v>
      </c>
      <c r="O20" s="179">
        <f t="shared" si="5"/>
        <v>105.06563389830512</v>
      </c>
      <c r="P20" s="184">
        <f t="shared" si="6"/>
        <v>0.1461274463119682</v>
      </c>
      <c r="Q20" s="233">
        <v>719</v>
      </c>
      <c r="R20" s="179">
        <v>999</v>
      </c>
      <c r="S20" s="179">
        <f>R20*0.8</f>
        <v>799.2</v>
      </c>
      <c r="T20" s="179" t="e">
        <f>VLOOKUP(C20,'Margin Calculation'!G:AR,40,0)</f>
        <v>#REF!</v>
      </c>
      <c r="U20" s="182"/>
      <c r="V20" s="182"/>
      <c r="W20" s="182"/>
      <c r="X20" s="182"/>
      <c r="Y20" s="182"/>
    </row>
    <row r="21" spans="1:25" ht="14.4" hidden="1">
      <c r="A21" s="271" t="s">
        <v>1104</v>
      </c>
      <c r="B21" s="274" t="s">
        <v>504</v>
      </c>
      <c r="C21" s="276" t="s">
        <v>505</v>
      </c>
      <c r="D21" s="271" t="s">
        <v>506</v>
      </c>
      <c r="E21" s="271" t="s">
        <v>234</v>
      </c>
      <c r="F21" s="271" t="s">
        <v>235</v>
      </c>
      <c r="G21" s="205">
        <f>VLOOKUP(C21,'Margin Calculation'!G:Y,19,0)</f>
        <v>761.57279999999992</v>
      </c>
      <c r="H21" s="205">
        <f>VLOOKUP(C21,'Margin Calculation'!G:Z,20,0)</f>
        <v>898.65590399999985</v>
      </c>
      <c r="I21" s="182">
        <v>30</v>
      </c>
      <c r="J21" s="179">
        <f t="shared" si="0"/>
        <v>59.960000000000008</v>
      </c>
      <c r="K21" s="179">
        <f t="shared" si="1"/>
        <v>59.960000000000008</v>
      </c>
      <c r="L21" s="179">
        <f t="shared" si="2"/>
        <v>35.975999999999999</v>
      </c>
      <c r="M21" s="179">
        <f t="shared" si="3"/>
        <v>182.92881355932195</v>
      </c>
      <c r="N21" s="205">
        <f t="shared" si="4"/>
        <v>1130.3976135593221</v>
      </c>
      <c r="O21" s="179">
        <f t="shared" si="5"/>
        <v>68.802386440677992</v>
      </c>
      <c r="P21" s="184">
        <f t="shared" si="6"/>
        <v>5.7373571081285851E-2</v>
      </c>
      <c r="Q21" s="179">
        <f t="shared" ref="Q21:Q23" si="10">R21*0.8</f>
        <v>1199.2</v>
      </c>
      <c r="R21" s="179">
        <v>1499</v>
      </c>
      <c r="S21" s="179"/>
      <c r="T21" s="179" t="e">
        <f>VLOOKUP(C21,'Margin Calculation'!G:AR,40,0)</f>
        <v>#REF!</v>
      </c>
      <c r="U21" s="182"/>
      <c r="V21" s="182"/>
      <c r="W21" s="182"/>
      <c r="X21" s="182"/>
      <c r="Y21" s="182"/>
    </row>
    <row r="22" spans="1:25" ht="14.4" hidden="1">
      <c r="A22" s="271" t="s">
        <v>1104</v>
      </c>
      <c r="B22" s="271" t="s">
        <v>508</v>
      </c>
      <c r="C22" s="276" t="s">
        <v>509</v>
      </c>
      <c r="D22" s="271" t="s">
        <v>481</v>
      </c>
      <c r="E22" s="271" t="s">
        <v>314</v>
      </c>
      <c r="F22" s="271" t="s">
        <v>465</v>
      </c>
      <c r="G22" s="205">
        <f>VLOOKUP(C22,'Margin Calculation'!G:Y,19,0)</f>
        <v>655.17660000000001</v>
      </c>
      <c r="H22" s="205">
        <f>VLOOKUP(C22,'Margin Calculation'!G:Z,20,0)</f>
        <v>773.10838799999999</v>
      </c>
      <c r="I22" s="182">
        <v>30</v>
      </c>
      <c r="J22" s="179">
        <f t="shared" si="0"/>
        <v>59.960000000000008</v>
      </c>
      <c r="K22" s="179">
        <f t="shared" si="1"/>
        <v>59.960000000000008</v>
      </c>
      <c r="L22" s="179">
        <f t="shared" si="2"/>
        <v>35.975999999999999</v>
      </c>
      <c r="M22" s="179">
        <f t="shared" si="3"/>
        <v>182.92881355932195</v>
      </c>
      <c r="N22" s="205">
        <f t="shared" si="4"/>
        <v>1024.0014135593219</v>
      </c>
      <c r="O22" s="179">
        <f t="shared" si="5"/>
        <v>175.19858644067813</v>
      </c>
      <c r="P22" s="184">
        <f t="shared" si="6"/>
        <v>0.14609621951357415</v>
      </c>
      <c r="Q22" s="179">
        <f t="shared" si="10"/>
        <v>1199.2</v>
      </c>
      <c r="R22" s="179">
        <v>1499</v>
      </c>
      <c r="S22" s="179"/>
      <c r="T22" s="179" t="e">
        <f>VLOOKUP(C22,'Margin Calculation'!G:AR,40,0)</f>
        <v>#REF!</v>
      </c>
      <c r="U22" s="182"/>
      <c r="V22" s="182"/>
      <c r="W22" s="182"/>
      <c r="X22" s="182"/>
      <c r="Y22" s="182"/>
    </row>
    <row r="23" spans="1:25" ht="14.4" hidden="1">
      <c r="A23" s="274" t="s">
        <v>953</v>
      </c>
      <c r="B23" s="274" t="s">
        <v>512</v>
      </c>
      <c r="C23" s="272" t="s">
        <v>513</v>
      </c>
      <c r="D23" s="271" t="s">
        <v>514</v>
      </c>
      <c r="E23" s="271" t="s">
        <v>314</v>
      </c>
      <c r="F23" s="271" t="s">
        <v>465</v>
      </c>
      <c r="G23" s="205">
        <f>VLOOKUP(C23,'Margin Calculation'!G:Y,19,0)</f>
        <v>458.541</v>
      </c>
      <c r="H23" s="205">
        <f>VLOOKUP(C23,'Margin Calculation'!G:Z,20,0)</f>
        <v>513.56592000000001</v>
      </c>
      <c r="I23" s="182">
        <v>30</v>
      </c>
      <c r="J23" s="179">
        <f t="shared" si="0"/>
        <v>38.360000000000007</v>
      </c>
      <c r="K23" s="179">
        <f t="shared" si="1"/>
        <v>38.360000000000007</v>
      </c>
      <c r="L23" s="179">
        <f t="shared" si="2"/>
        <v>23.016000000000002</v>
      </c>
      <c r="M23" s="179">
        <f t="shared" si="3"/>
        <v>117.03050847457621</v>
      </c>
      <c r="N23" s="205">
        <f t="shared" si="4"/>
        <v>705.30750847457614</v>
      </c>
      <c r="O23" s="179">
        <f t="shared" si="5"/>
        <v>61.892491525423907</v>
      </c>
      <c r="P23" s="184">
        <f t="shared" si="6"/>
        <v>8.067321627401447E-2</v>
      </c>
      <c r="Q23" s="179">
        <f t="shared" si="10"/>
        <v>767.2</v>
      </c>
      <c r="R23" s="179">
        <v>959</v>
      </c>
      <c r="S23" s="179"/>
      <c r="T23" s="179" t="e">
        <f>VLOOKUP(C23,'Margin Calculation'!G:AR,40,0)</f>
        <v>#REF!</v>
      </c>
      <c r="U23" s="182"/>
      <c r="V23" s="182"/>
      <c r="W23" s="182"/>
      <c r="X23" s="182"/>
      <c r="Y23" s="182"/>
    </row>
    <row r="24" spans="1:25" ht="14.4">
      <c r="A24" s="271" t="s">
        <v>934</v>
      </c>
      <c r="B24" s="271" t="s">
        <v>520</v>
      </c>
      <c r="C24" s="272" t="s">
        <v>521</v>
      </c>
      <c r="D24" s="271" t="s">
        <v>522</v>
      </c>
      <c r="E24" s="271" t="s">
        <v>314</v>
      </c>
      <c r="F24" s="271" t="s">
        <v>465</v>
      </c>
      <c r="G24" s="205">
        <f>VLOOKUP(C24,'Margin Calculation'!G:Y,19,0)</f>
        <v>611.38800000000003</v>
      </c>
      <c r="H24" s="205">
        <f>VLOOKUP(C24,'Margin Calculation'!G:Z,20,0)</f>
        <v>684.75456000000008</v>
      </c>
      <c r="I24" s="182">
        <v>30</v>
      </c>
      <c r="J24" s="179">
        <f t="shared" si="0"/>
        <v>50.400000000000006</v>
      </c>
      <c r="K24" s="179">
        <f t="shared" si="1"/>
        <v>50.400000000000006</v>
      </c>
      <c r="L24" s="179">
        <f t="shared" si="2"/>
        <v>30.24</v>
      </c>
      <c r="M24" s="179">
        <f t="shared" si="3"/>
        <v>153.7627118644067</v>
      </c>
      <c r="N24" s="205">
        <f t="shared" si="4"/>
        <v>926.19071186440669</v>
      </c>
      <c r="O24" s="179">
        <f t="shared" si="5"/>
        <v>81.809288135593306</v>
      </c>
      <c r="P24" s="184">
        <f t="shared" si="6"/>
        <v>8.1160008071025108E-2</v>
      </c>
      <c r="Q24" s="233">
        <v>1008</v>
      </c>
      <c r="R24" s="179">
        <v>1419</v>
      </c>
      <c r="S24" s="179">
        <f>R24*0.8</f>
        <v>1135.2</v>
      </c>
      <c r="T24" s="179" t="e">
        <f>VLOOKUP(C24,'Margin Calculation'!G:AR,40,0)</f>
        <v>#REF!</v>
      </c>
      <c r="U24" s="182"/>
      <c r="V24" s="182"/>
      <c r="W24" s="182"/>
      <c r="X24" s="182"/>
      <c r="Y24" s="182"/>
    </row>
    <row r="25" spans="1:25" ht="14.4" hidden="1">
      <c r="A25" s="271" t="s">
        <v>1104</v>
      </c>
      <c r="B25" s="271" t="s">
        <v>525</v>
      </c>
      <c r="C25" s="272" t="s">
        <v>526</v>
      </c>
      <c r="D25" s="271" t="s">
        <v>527</v>
      </c>
      <c r="E25" s="271" t="s">
        <v>314</v>
      </c>
      <c r="F25" s="271" t="s">
        <v>315</v>
      </c>
      <c r="G25" s="205">
        <f>VLOOKUP(C25,'Margin Calculation'!G:Y,19,0)</f>
        <v>346.06763999999998</v>
      </c>
      <c r="H25" s="205">
        <f>VLOOKUP(C25,'Margin Calculation'!G:Z,20,0)</f>
        <v>408.35981519999996</v>
      </c>
      <c r="I25" s="182">
        <v>30</v>
      </c>
      <c r="J25" s="179">
        <f t="shared" si="0"/>
        <v>31.960000000000004</v>
      </c>
      <c r="K25" s="179">
        <f t="shared" si="1"/>
        <v>31.960000000000004</v>
      </c>
      <c r="L25" s="179">
        <f t="shared" si="2"/>
        <v>19.176000000000002</v>
      </c>
      <c r="M25" s="179">
        <f t="shared" si="3"/>
        <v>97.505084745762701</v>
      </c>
      <c r="N25" s="205">
        <f t="shared" si="4"/>
        <v>556.66872474576257</v>
      </c>
      <c r="O25" s="179">
        <f t="shared" si="5"/>
        <v>82.531275254237471</v>
      </c>
      <c r="P25" s="184">
        <f t="shared" si="6"/>
        <v>0.1291165132262789</v>
      </c>
      <c r="Q25" s="179">
        <f t="shared" ref="Q25:Q33" si="11">R25*0.8</f>
        <v>639.20000000000005</v>
      </c>
      <c r="R25" s="179">
        <v>799</v>
      </c>
      <c r="S25" s="179"/>
      <c r="T25" s="179" t="e">
        <f>VLOOKUP(C25,'Margin Calculation'!G:AR,40,0)</f>
        <v>#REF!</v>
      </c>
      <c r="U25" s="182"/>
      <c r="V25" s="182"/>
      <c r="W25" s="182"/>
      <c r="X25" s="182"/>
      <c r="Y25" s="182"/>
    </row>
    <row r="26" spans="1:25" ht="14.4" hidden="1">
      <c r="A26" s="271"/>
      <c r="B26" s="271" t="s">
        <v>529</v>
      </c>
      <c r="C26" s="272" t="s">
        <v>530</v>
      </c>
      <c r="D26" s="271" t="s">
        <v>531</v>
      </c>
      <c r="E26" s="271" t="s">
        <v>314</v>
      </c>
      <c r="F26" s="271" t="s">
        <v>315</v>
      </c>
      <c r="G26" s="205">
        <f>VLOOKUP(C26,'Margin Calculation'!G:Y,19,0)</f>
        <v>352.78740000000005</v>
      </c>
      <c r="H26" s="205">
        <f>VLOOKUP(C26,'Margin Calculation'!G:Z,20,0)</f>
        <v>416.28913200000005</v>
      </c>
      <c r="I26" s="182">
        <v>30</v>
      </c>
      <c r="J26" s="179">
        <f t="shared" si="0"/>
        <v>31.960000000000004</v>
      </c>
      <c r="K26" s="179">
        <f t="shared" si="1"/>
        <v>31.960000000000004</v>
      </c>
      <c r="L26" s="179">
        <f t="shared" si="2"/>
        <v>19.176000000000002</v>
      </c>
      <c r="M26" s="179">
        <f t="shared" si="3"/>
        <v>97.505084745762701</v>
      </c>
      <c r="N26" s="205">
        <f t="shared" si="4"/>
        <v>563.38848474576275</v>
      </c>
      <c r="O26" s="179">
        <f t="shared" si="5"/>
        <v>75.811515254237293</v>
      </c>
      <c r="P26" s="184">
        <f t="shared" si="6"/>
        <v>0.1186037472688318</v>
      </c>
      <c r="Q26" s="179">
        <f t="shared" si="11"/>
        <v>639.20000000000005</v>
      </c>
      <c r="R26" s="179">
        <v>799</v>
      </c>
      <c r="S26" s="179"/>
      <c r="T26" s="179" t="e">
        <f>VLOOKUP(C26,'Margin Calculation'!G:AR,40,0)</f>
        <v>#REF!</v>
      </c>
      <c r="U26" s="182"/>
      <c r="V26" s="182"/>
      <c r="W26" s="182"/>
      <c r="X26" s="182"/>
      <c r="Y26" s="182"/>
    </row>
    <row r="27" spans="1:25" ht="14.4" hidden="1">
      <c r="A27" s="271"/>
      <c r="B27" s="271" t="s">
        <v>533</v>
      </c>
      <c r="C27" s="272" t="s">
        <v>534</v>
      </c>
      <c r="D27" s="271" t="s">
        <v>535</v>
      </c>
      <c r="E27" s="271" t="s">
        <v>234</v>
      </c>
      <c r="F27" s="271" t="s">
        <v>235</v>
      </c>
      <c r="G27" s="205">
        <f>VLOOKUP(C27,'Margin Calculation'!G:Y,19,0)</f>
        <v>352.56708000000003</v>
      </c>
      <c r="H27" s="205">
        <f>VLOOKUP(C27,'Margin Calculation'!G:Z,20,0)</f>
        <v>394.87512960000009</v>
      </c>
      <c r="I27" s="182">
        <v>30</v>
      </c>
      <c r="J27" s="179">
        <f t="shared" si="0"/>
        <v>43.960000000000008</v>
      </c>
      <c r="K27" s="179">
        <f t="shared" si="1"/>
        <v>43.960000000000008</v>
      </c>
      <c r="L27" s="179">
        <f t="shared" si="2"/>
        <v>26.376000000000001</v>
      </c>
      <c r="M27" s="179">
        <f t="shared" si="3"/>
        <v>134.11525423728813</v>
      </c>
      <c r="N27" s="205">
        <f t="shared" si="4"/>
        <v>630.97833423728821</v>
      </c>
      <c r="O27" s="179">
        <f t="shared" si="5"/>
        <v>248.22166576271184</v>
      </c>
      <c r="P27" s="184">
        <f t="shared" si="6"/>
        <v>0.2823267353988988</v>
      </c>
      <c r="Q27" s="179">
        <f t="shared" si="11"/>
        <v>879.2</v>
      </c>
      <c r="R27" s="179">
        <v>1099</v>
      </c>
      <c r="S27" s="179"/>
      <c r="T27" s="179" t="e">
        <f>VLOOKUP(C27,'Margin Calculation'!G:AR,40,0)</f>
        <v>#REF!</v>
      </c>
      <c r="U27" s="182"/>
      <c r="V27" s="182"/>
      <c r="W27" s="182"/>
      <c r="X27" s="182"/>
      <c r="Y27" s="182"/>
    </row>
    <row r="28" spans="1:25" ht="14.4" hidden="1">
      <c r="A28" s="274"/>
      <c r="B28" s="274" t="s">
        <v>538</v>
      </c>
      <c r="C28" s="276" t="s">
        <v>539</v>
      </c>
      <c r="D28" s="271" t="s">
        <v>483</v>
      </c>
      <c r="E28" s="271" t="s">
        <v>314</v>
      </c>
      <c r="F28" s="271" t="s">
        <v>465</v>
      </c>
      <c r="G28" s="205">
        <f>VLOOKUP(C28,'Margin Calculation'!G:Y,19,0)</f>
        <v>379.66644000000002</v>
      </c>
      <c r="H28" s="205">
        <f>VLOOKUP(C28,'Margin Calculation'!G:Z,20,0)</f>
        <v>448.00639919999998</v>
      </c>
      <c r="I28" s="182">
        <v>30</v>
      </c>
      <c r="J28" s="179">
        <f t="shared" si="0"/>
        <v>39.960000000000008</v>
      </c>
      <c r="K28" s="179">
        <f t="shared" si="1"/>
        <v>39.960000000000008</v>
      </c>
      <c r="L28" s="179">
        <f t="shared" si="2"/>
        <v>23.975999999999999</v>
      </c>
      <c r="M28" s="179">
        <f t="shared" si="3"/>
        <v>121.91186440677961</v>
      </c>
      <c r="N28" s="205">
        <f t="shared" si="4"/>
        <v>635.47430440677965</v>
      </c>
      <c r="O28" s="179">
        <f t="shared" si="5"/>
        <v>163.72569559322039</v>
      </c>
      <c r="P28" s="184">
        <f t="shared" si="6"/>
        <v>0.20486198147299847</v>
      </c>
      <c r="Q28" s="179">
        <f t="shared" si="11"/>
        <v>799.2</v>
      </c>
      <c r="R28" s="179">
        <v>999</v>
      </c>
      <c r="S28" s="179"/>
      <c r="T28" s="179" t="e">
        <f>VLOOKUP(C28,'Margin Calculation'!G:AR,40,0)</f>
        <v>#REF!</v>
      </c>
      <c r="U28" s="182"/>
      <c r="V28" s="182"/>
      <c r="W28" s="182"/>
      <c r="X28" s="182"/>
      <c r="Y28" s="182"/>
    </row>
    <row r="29" spans="1:25" ht="14.4" hidden="1">
      <c r="A29" s="271" t="s">
        <v>1104</v>
      </c>
      <c r="B29" s="274" t="s">
        <v>543</v>
      </c>
      <c r="C29" s="272" t="s">
        <v>544</v>
      </c>
      <c r="D29" s="271" t="s">
        <v>545</v>
      </c>
      <c r="E29" s="271" t="s">
        <v>314</v>
      </c>
      <c r="F29" s="271" t="s">
        <v>465</v>
      </c>
      <c r="G29" s="205">
        <f>VLOOKUP(C29,'Margin Calculation'!G:Y,19,0)</f>
        <v>611.38800000000003</v>
      </c>
      <c r="H29" s="205">
        <f>VLOOKUP(C29,'Margin Calculation'!G:Z,20,0)</f>
        <v>721.43784000000005</v>
      </c>
      <c r="I29" s="182">
        <v>30</v>
      </c>
      <c r="J29" s="179">
        <f t="shared" si="0"/>
        <v>43.960000000000008</v>
      </c>
      <c r="K29" s="179">
        <f t="shared" si="1"/>
        <v>43.960000000000008</v>
      </c>
      <c r="L29" s="179">
        <f t="shared" si="2"/>
        <v>26.376000000000001</v>
      </c>
      <c r="M29" s="179">
        <f t="shared" si="3"/>
        <v>134.11525423728813</v>
      </c>
      <c r="N29" s="205">
        <f t="shared" si="4"/>
        <v>889.79925423728821</v>
      </c>
      <c r="O29" s="179">
        <f t="shared" si="5"/>
        <v>-10.599254237288164</v>
      </c>
      <c r="P29" s="184">
        <f t="shared" si="6"/>
        <v>-1.2055566693912834E-2</v>
      </c>
      <c r="Q29" s="179">
        <f t="shared" si="11"/>
        <v>879.2</v>
      </c>
      <c r="R29" s="179">
        <v>1099</v>
      </c>
      <c r="S29" s="179"/>
      <c r="T29" s="179" t="e">
        <f>VLOOKUP(C29,'Margin Calculation'!G:AR,40,0)</f>
        <v>#REF!</v>
      </c>
      <c r="U29" s="182"/>
      <c r="V29" s="182"/>
      <c r="W29" s="182"/>
      <c r="X29" s="182"/>
      <c r="Y29" s="182"/>
    </row>
    <row r="30" spans="1:25" ht="14.4" hidden="1">
      <c r="A30" s="271"/>
      <c r="B30" s="271" t="s">
        <v>557</v>
      </c>
      <c r="C30" s="271" t="s">
        <v>558</v>
      </c>
      <c r="D30" s="273" t="s">
        <v>559</v>
      </c>
      <c r="E30" s="271" t="s">
        <v>304</v>
      </c>
      <c r="F30" s="271" t="s">
        <v>304</v>
      </c>
      <c r="G30" s="205">
        <f>VLOOKUP(C30,'Margin Calculation'!G:Y,19,0)</f>
        <v>447.18074999999999</v>
      </c>
      <c r="H30" s="205">
        <f>VLOOKUP(C30,'Margin Calculation'!G:Z,20,0)</f>
        <v>527.67328499999996</v>
      </c>
      <c r="I30" s="182">
        <v>30</v>
      </c>
      <c r="J30" s="179">
        <f t="shared" si="0"/>
        <v>49.960000000000008</v>
      </c>
      <c r="K30" s="179">
        <f t="shared" si="1"/>
        <v>49.960000000000008</v>
      </c>
      <c r="L30" s="179">
        <f t="shared" si="2"/>
        <v>29.975999999999999</v>
      </c>
      <c r="M30" s="179">
        <f t="shared" si="3"/>
        <v>152.42033898305078</v>
      </c>
      <c r="N30" s="205">
        <f t="shared" si="4"/>
        <v>759.49708898305084</v>
      </c>
      <c r="O30" s="179">
        <f t="shared" si="5"/>
        <v>239.7029110169492</v>
      </c>
      <c r="P30" s="184">
        <f t="shared" si="6"/>
        <v>0.23989482687845196</v>
      </c>
      <c r="Q30" s="179">
        <f t="shared" si="11"/>
        <v>999.2</v>
      </c>
      <c r="R30" s="179">
        <v>1249</v>
      </c>
      <c r="S30" s="179"/>
      <c r="T30" s="179" t="e">
        <f>VLOOKUP(C30,'Margin Calculation'!G:AR,40,0)</f>
        <v>#REF!</v>
      </c>
      <c r="U30" s="182"/>
      <c r="V30" s="182"/>
      <c r="W30" s="182"/>
      <c r="X30" s="182"/>
      <c r="Y30" s="182"/>
    </row>
    <row r="31" spans="1:25" ht="14.4" hidden="1">
      <c r="A31" s="271" t="s">
        <v>1104</v>
      </c>
      <c r="B31" s="271" t="s">
        <v>562</v>
      </c>
      <c r="C31" s="274" t="s">
        <v>563</v>
      </c>
      <c r="D31" s="273" t="s">
        <v>564</v>
      </c>
      <c r="E31" s="271" t="s">
        <v>314</v>
      </c>
      <c r="F31" s="271" t="s">
        <v>315</v>
      </c>
      <c r="G31" s="205">
        <f>VLOOKUP(C31,'Margin Calculation'!G:Y,19,0)</f>
        <v>577.89936</v>
      </c>
      <c r="H31" s="205">
        <f>VLOOKUP(C31,'Margin Calculation'!G:Z,20,0)</f>
        <v>681.92124479999995</v>
      </c>
      <c r="I31" s="182">
        <v>30</v>
      </c>
      <c r="J31" s="179">
        <f t="shared" si="0"/>
        <v>47.960000000000008</v>
      </c>
      <c r="K31" s="179">
        <f t="shared" si="1"/>
        <v>47.960000000000008</v>
      </c>
      <c r="L31" s="179">
        <f t="shared" si="2"/>
        <v>28.776</v>
      </c>
      <c r="M31" s="179">
        <f t="shared" si="3"/>
        <v>146.31864406779653</v>
      </c>
      <c r="N31" s="205">
        <f t="shared" si="4"/>
        <v>878.91400406779655</v>
      </c>
      <c r="O31" s="179">
        <f t="shared" si="5"/>
        <v>80.285995932203491</v>
      </c>
      <c r="P31" s="184">
        <f t="shared" si="6"/>
        <v>8.3700996593206303E-2</v>
      </c>
      <c r="Q31" s="179">
        <f t="shared" si="11"/>
        <v>959.2</v>
      </c>
      <c r="R31" s="179">
        <v>1199</v>
      </c>
      <c r="S31" s="179"/>
      <c r="T31" s="179" t="e">
        <f>VLOOKUP(C31,'Margin Calculation'!G:AR,40,0)</f>
        <v>#REF!</v>
      </c>
      <c r="U31" s="182"/>
      <c r="V31" s="182"/>
      <c r="W31" s="182"/>
      <c r="X31" s="182"/>
      <c r="Y31" s="182"/>
    </row>
    <row r="32" spans="1:25" ht="14.4" hidden="1">
      <c r="A32" s="271" t="s">
        <v>1104</v>
      </c>
      <c r="B32" s="271" t="s">
        <v>570</v>
      </c>
      <c r="C32" s="274" t="s">
        <v>571</v>
      </c>
      <c r="D32" s="273" t="s">
        <v>572</v>
      </c>
      <c r="E32" s="271" t="s">
        <v>314</v>
      </c>
      <c r="F32" s="271" t="s">
        <v>437</v>
      </c>
      <c r="G32" s="205">
        <f>VLOOKUP(C32,'Margin Calculation'!G:Y,19,0)</f>
        <v>744.77340000000015</v>
      </c>
      <c r="H32" s="205">
        <f>VLOOKUP(C32,'Margin Calculation'!G:Z,20,0)</f>
        <v>878.83261200000015</v>
      </c>
      <c r="I32" s="182">
        <v>30</v>
      </c>
      <c r="J32" s="179">
        <f t="shared" si="0"/>
        <v>67.960000000000008</v>
      </c>
      <c r="K32" s="179">
        <f t="shared" si="1"/>
        <v>67.960000000000008</v>
      </c>
      <c r="L32" s="179">
        <f t="shared" si="2"/>
        <v>40.776000000000003</v>
      </c>
      <c r="M32" s="179">
        <f t="shared" si="3"/>
        <v>207.33559322033898</v>
      </c>
      <c r="N32" s="205">
        <f t="shared" si="4"/>
        <v>1158.8049932203392</v>
      </c>
      <c r="O32" s="179">
        <f t="shared" si="5"/>
        <v>200.39500677966089</v>
      </c>
      <c r="P32" s="184">
        <f t="shared" si="6"/>
        <v>0.14743599674783761</v>
      </c>
      <c r="Q32" s="179">
        <f t="shared" si="11"/>
        <v>1359.2</v>
      </c>
      <c r="R32" s="179">
        <v>1699</v>
      </c>
      <c r="S32" s="179"/>
      <c r="T32" s="179" t="e">
        <f>VLOOKUP(C32,'Margin Calculation'!G:AR,40,0)</f>
        <v>#REF!</v>
      </c>
      <c r="U32" s="182"/>
      <c r="V32" s="182"/>
      <c r="W32" s="182"/>
      <c r="X32" s="182"/>
      <c r="Y32" s="182"/>
    </row>
    <row r="33" spans="1:25" ht="14.4" hidden="1">
      <c r="A33" s="271" t="s">
        <v>1104</v>
      </c>
      <c r="B33" s="271" t="s">
        <v>575</v>
      </c>
      <c r="C33" s="274" t="s">
        <v>576</v>
      </c>
      <c r="D33" s="273" t="s">
        <v>577</v>
      </c>
      <c r="E33" s="271" t="s">
        <v>314</v>
      </c>
      <c r="F33" s="271" t="s">
        <v>465</v>
      </c>
      <c r="G33" s="205">
        <f>VLOOKUP(C33,'Margin Calculation'!G:Y,19,0)</f>
        <v>710.05464000000006</v>
      </c>
      <c r="H33" s="205">
        <f>VLOOKUP(C33,'Margin Calculation'!G:Z,20,0)</f>
        <v>837.86447520000002</v>
      </c>
      <c r="I33" s="182">
        <v>30</v>
      </c>
      <c r="J33" s="179">
        <f t="shared" si="0"/>
        <v>75.960000000000008</v>
      </c>
      <c r="K33" s="179">
        <f t="shared" si="1"/>
        <v>75.960000000000008</v>
      </c>
      <c r="L33" s="179">
        <f t="shared" si="2"/>
        <v>45.576000000000001</v>
      </c>
      <c r="M33" s="179">
        <f t="shared" si="3"/>
        <v>231.74237288135578</v>
      </c>
      <c r="N33" s="205">
        <f t="shared" si="4"/>
        <v>1169.2930128813559</v>
      </c>
      <c r="O33" s="179">
        <f t="shared" si="5"/>
        <v>349.90698711864411</v>
      </c>
      <c r="P33" s="184">
        <f t="shared" si="6"/>
        <v>0.23032318794012907</v>
      </c>
      <c r="Q33" s="179">
        <f t="shared" si="11"/>
        <v>1519.2</v>
      </c>
      <c r="R33" s="179">
        <v>1899</v>
      </c>
      <c r="S33" s="179"/>
      <c r="T33" s="179" t="e">
        <f>VLOOKUP(C33,'Margin Calculation'!G:AR,40,0)</f>
        <v>#REF!</v>
      </c>
      <c r="U33" s="182"/>
      <c r="V33" s="182"/>
      <c r="W33" s="182"/>
      <c r="X33" s="182"/>
      <c r="Y33" s="182"/>
    </row>
    <row r="34" spans="1:25" ht="14.4">
      <c r="A34" s="271" t="s">
        <v>934</v>
      </c>
      <c r="B34" s="271" t="s">
        <v>580</v>
      </c>
      <c r="C34" s="274" t="s">
        <v>581</v>
      </c>
      <c r="D34" s="273" t="s">
        <v>582</v>
      </c>
      <c r="E34" s="271" t="s">
        <v>314</v>
      </c>
      <c r="F34" s="271" t="s">
        <v>465</v>
      </c>
      <c r="G34" s="205">
        <f>VLOOKUP(C34,'Margin Calculation'!G:Y,19,0)</f>
        <v>827.65044</v>
      </c>
      <c r="H34" s="205">
        <f>VLOOKUP(C34,'Margin Calculation'!G:Z,20,0)</f>
        <v>976.62751919999994</v>
      </c>
      <c r="I34" s="182">
        <v>30</v>
      </c>
      <c r="J34" s="179">
        <f t="shared" si="0"/>
        <v>89.95</v>
      </c>
      <c r="K34" s="179">
        <f t="shared" si="1"/>
        <v>89.95</v>
      </c>
      <c r="L34" s="179">
        <f t="shared" si="2"/>
        <v>53.97</v>
      </c>
      <c r="M34" s="179">
        <f t="shared" si="3"/>
        <v>274.42372881355914</v>
      </c>
      <c r="N34" s="205">
        <f t="shared" si="4"/>
        <v>1365.9441688135591</v>
      </c>
      <c r="O34" s="179">
        <f t="shared" si="5"/>
        <v>433.05583118644086</v>
      </c>
      <c r="P34" s="184">
        <f t="shared" si="6"/>
        <v>0.24072030638490319</v>
      </c>
      <c r="Q34" s="233">
        <v>1799</v>
      </c>
      <c r="R34" s="179">
        <v>2399</v>
      </c>
      <c r="S34" s="179">
        <f>R34*0.8</f>
        <v>1919.2</v>
      </c>
      <c r="T34" s="179" t="e">
        <f>VLOOKUP(C34,'Margin Calculation'!G:AR,40,0)</f>
        <v>#REF!</v>
      </c>
      <c r="U34" s="182"/>
      <c r="V34" s="182"/>
      <c r="W34" s="182"/>
      <c r="X34" s="182"/>
      <c r="Y34" s="182"/>
    </row>
    <row r="35" spans="1:25" ht="14.4" hidden="1">
      <c r="A35" s="271" t="s">
        <v>1104</v>
      </c>
      <c r="B35" s="271" t="s">
        <v>584</v>
      </c>
      <c r="C35" s="274" t="s">
        <v>585</v>
      </c>
      <c r="D35" s="273" t="s">
        <v>586</v>
      </c>
      <c r="E35" s="271" t="s">
        <v>234</v>
      </c>
      <c r="F35" s="271" t="s">
        <v>249</v>
      </c>
      <c r="G35" s="205">
        <f>VLOOKUP(C35,'Margin Calculation'!G:Y,19,0)</f>
        <v>1151.4474000000002</v>
      </c>
      <c r="H35" s="205">
        <f>VLOOKUP(C35,'Margin Calculation'!G:Z,20,0)</f>
        <v>1358.7079320000003</v>
      </c>
      <c r="I35" s="182">
        <v>30</v>
      </c>
      <c r="J35" s="179">
        <f t="shared" si="0"/>
        <v>131.96</v>
      </c>
      <c r="K35" s="179">
        <f t="shared" si="1"/>
        <v>131.96</v>
      </c>
      <c r="L35" s="179">
        <f t="shared" si="2"/>
        <v>79.176000000000002</v>
      </c>
      <c r="M35" s="179">
        <f t="shared" si="3"/>
        <v>402.58983050847428</v>
      </c>
      <c r="N35" s="205">
        <f t="shared" si="4"/>
        <v>1927.1332305084745</v>
      </c>
      <c r="O35" s="179">
        <f t="shared" si="5"/>
        <v>712.06676949152575</v>
      </c>
      <c r="P35" s="184">
        <f t="shared" si="6"/>
        <v>0.26980401996496123</v>
      </c>
      <c r="Q35" s="179">
        <f t="shared" ref="Q35:Q37" si="12">R35*0.8</f>
        <v>2639.2000000000003</v>
      </c>
      <c r="R35" s="179">
        <v>3299</v>
      </c>
      <c r="S35" s="179"/>
      <c r="T35" s="179" t="e">
        <f>VLOOKUP(C35,'Margin Calculation'!G:AR,40,0)</f>
        <v>#REF!</v>
      </c>
      <c r="U35" s="182"/>
      <c r="V35" s="182"/>
      <c r="W35" s="182"/>
      <c r="X35" s="182"/>
      <c r="Y35" s="182"/>
    </row>
    <row r="36" spans="1:25" ht="14.4" hidden="1">
      <c r="A36" s="271" t="s">
        <v>1104</v>
      </c>
      <c r="B36" s="271" t="s">
        <v>589</v>
      </c>
      <c r="C36" s="274" t="s">
        <v>590</v>
      </c>
      <c r="D36" s="273" t="s">
        <v>591</v>
      </c>
      <c r="E36" s="271" t="s">
        <v>314</v>
      </c>
      <c r="F36" s="271" t="s">
        <v>437</v>
      </c>
      <c r="G36" s="205">
        <f>VLOOKUP(C36,'Margin Calculation'!G:Y,19,0)</f>
        <v>540.05939999999998</v>
      </c>
      <c r="H36" s="205">
        <f>VLOOKUP(C36,'Margin Calculation'!G:Z,20,0)</f>
        <v>637.27009199999998</v>
      </c>
      <c r="I36" s="182">
        <v>30</v>
      </c>
      <c r="J36" s="179">
        <f t="shared" si="0"/>
        <v>79.960000000000008</v>
      </c>
      <c r="K36" s="179">
        <f t="shared" si="1"/>
        <v>79.960000000000008</v>
      </c>
      <c r="L36" s="179">
        <f t="shared" si="2"/>
        <v>47.975999999999999</v>
      </c>
      <c r="M36" s="179">
        <f t="shared" si="3"/>
        <v>243.94576271186429</v>
      </c>
      <c r="N36" s="205">
        <f t="shared" si="4"/>
        <v>1021.9011627118643</v>
      </c>
      <c r="O36" s="179">
        <f t="shared" si="5"/>
        <v>577.2988372881357</v>
      </c>
      <c r="P36" s="184">
        <f t="shared" si="6"/>
        <v>0.36099226943980472</v>
      </c>
      <c r="Q36" s="179">
        <f t="shared" si="12"/>
        <v>1599.2</v>
      </c>
      <c r="R36" s="179">
        <v>1999</v>
      </c>
      <c r="S36" s="179"/>
      <c r="T36" s="179" t="e">
        <f>VLOOKUP(C36,'Margin Calculation'!G:AR,40,0)</f>
        <v>#REF!</v>
      </c>
      <c r="U36" s="182"/>
      <c r="V36" s="182"/>
      <c r="W36" s="182"/>
      <c r="X36" s="182"/>
      <c r="Y36" s="182"/>
    </row>
    <row r="37" spans="1:25" ht="14.4" hidden="1">
      <c r="A37" s="271" t="s">
        <v>1104</v>
      </c>
      <c r="B37" s="271" t="s">
        <v>594</v>
      </c>
      <c r="C37" s="274" t="s">
        <v>595</v>
      </c>
      <c r="D37" s="273" t="s">
        <v>596</v>
      </c>
      <c r="E37" s="271" t="s">
        <v>314</v>
      </c>
      <c r="F37" s="271" t="s">
        <v>437</v>
      </c>
      <c r="G37" s="205">
        <f>VLOOKUP(C37,'Margin Calculation'!G:Y,19,0)</f>
        <v>864.54944999999998</v>
      </c>
      <c r="H37" s="205">
        <f>VLOOKUP(C37,'Margin Calculation'!G:Z,20,0)</f>
        <v>1020.1683509999999</v>
      </c>
      <c r="I37" s="182">
        <v>30</v>
      </c>
      <c r="J37" s="179">
        <f t="shared" si="0"/>
        <v>67.960000000000008</v>
      </c>
      <c r="K37" s="179">
        <f t="shared" si="1"/>
        <v>67.960000000000008</v>
      </c>
      <c r="L37" s="179">
        <f t="shared" si="2"/>
        <v>40.776000000000003</v>
      </c>
      <c r="M37" s="179">
        <f t="shared" si="3"/>
        <v>207.33559322033898</v>
      </c>
      <c r="N37" s="205">
        <f t="shared" si="4"/>
        <v>1278.5810432203391</v>
      </c>
      <c r="O37" s="179">
        <f t="shared" si="5"/>
        <v>80.618956779660948</v>
      </c>
      <c r="P37" s="184">
        <f t="shared" si="6"/>
        <v>5.9313535005636367E-2</v>
      </c>
      <c r="Q37" s="179">
        <f t="shared" si="12"/>
        <v>1359.2</v>
      </c>
      <c r="R37" s="179">
        <v>1699</v>
      </c>
      <c r="S37" s="179"/>
      <c r="T37" s="179" t="e">
        <f>VLOOKUP(C37,'Margin Calculation'!G:AR,40,0)</f>
        <v>#REF!</v>
      </c>
      <c r="U37" s="182"/>
      <c r="V37" s="182"/>
      <c r="W37" s="182"/>
      <c r="X37" s="182"/>
      <c r="Y37" s="182"/>
    </row>
    <row r="38" spans="1:25" ht="14.4">
      <c r="A38" s="271" t="s">
        <v>934</v>
      </c>
      <c r="B38" s="271" t="s">
        <v>599</v>
      </c>
      <c r="C38" s="274" t="s">
        <v>600</v>
      </c>
      <c r="D38" s="273" t="s">
        <v>601</v>
      </c>
      <c r="E38" s="271" t="s">
        <v>234</v>
      </c>
      <c r="F38" s="271" t="s">
        <v>249</v>
      </c>
      <c r="G38" s="205">
        <f>VLOOKUP(C38,'Margin Calculation'!G:Y,19,0)</f>
        <v>845.75340000000006</v>
      </c>
      <c r="H38" s="205">
        <f>VLOOKUP(C38,'Margin Calculation'!G:Z,20,0)</f>
        <v>997.989012</v>
      </c>
      <c r="I38" s="182">
        <v>30</v>
      </c>
      <c r="J38" s="179">
        <f t="shared" si="0"/>
        <v>71.95</v>
      </c>
      <c r="K38" s="179">
        <f t="shared" si="1"/>
        <v>71.95</v>
      </c>
      <c r="L38" s="179">
        <f t="shared" si="2"/>
        <v>43.17</v>
      </c>
      <c r="M38" s="179">
        <f t="shared" si="3"/>
        <v>219.50847457627106</v>
      </c>
      <c r="N38" s="205">
        <f t="shared" si="4"/>
        <v>1282.3318745762713</v>
      </c>
      <c r="O38" s="179">
        <f t="shared" si="5"/>
        <v>156.66812542372872</v>
      </c>
      <c r="P38" s="184">
        <f t="shared" si="6"/>
        <v>0.10887291551336256</v>
      </c>
      <c r="Q38" s="233">
        <v>1439</v>
      </c>
      <c r="R38" s="179">
        <v>1999</v>
      </c>
      <c r="S38" s="179">
        <f>R38*0.8</f>
        <v>1599.2</v>
      </c>
      <c r="T38" s="179" t="e">
        <f>VLOOKUP(C38,'Margin Calculation'!G:AR,40,0)</f>
        <v>#REF!</v>
      </c>
      <c r="U38" s="182"/>
      <c r="V38" s="182"/>
      <c r="W38" s="182"/>
      <c r="X38" s="182"/>
      <c r="Y38" s="182"/>
    </row>
    <row r="39" spans="1:25" ht="14.4" hidden="1">
      <c r="A39" s="271" t="s">
        <v>953</v>
      </c>
      <c r="B39" s="271" t="s">
        <v>603</v>
      </c>
      <c r="C39" s="274" t="s">
        <v>604</v>
      </c>
      <c r="D39" s="273" t="s">
        <v>605</v>
      </c>
      <c r="E39" s="271" t="s">
        <v>234</v>
      </c>
      <c r="F39" s="271" t="s">
        <v>249</v>
      </c>
      <c r="G39" s="205">
        <f>VLOOKUP(C39,'Margin Calculation'!G:Y,19,0)</f>
        <v>1040.4428399999999</v>
      </c>
      <c r="H39" s="205">
        <f>VLOOKUP(C39,'Margin Calculation'!G:Z,20,0)</f>
        <v>1227.7225511999998</v>
      </c>
      <c r="I39" s="182">
        <v>30</v>
      </c>
      <c r="J39" s="179">
        <f t="shared" si="0"/>
        <v>107.96000000000002</v>
      </c>
      <c r="K39" s="179">
        <f t="shared" si="1"/>
        <v>107.96000000000002</v>
      </c>
      <c r="L39" s="179">
        <f t="shared" si="2"/>
        <v>64.77600000000001</v>
      </c>
      <c r="M39" s="179">
        <f t="shared" si="3"/>
        <v>329.36949152542365</v>
      </c>
      <c r="N39" s="205">
        <f t="shared" si="4"/>
        <v>1680.5083315254237</v>
      </c>
      <c r="O39" s="179">
        <f t="shared" si="5"/>
        <v>478.69166847457655</v>
      </c>
      <c r="P39" s="184">
        <f t="shared" si="6"/>
        <v>0.22169862378407582</v>
      </c>
      <c r="Q39" s="179">
        <f>R39*0.8</f>
        <v>2159.2000000000003</v>
      </c>
      <c r="R39" s="179">
        <v>2699</v>
      </c>
      <c r="S39" s="179"/>
      <c r="T39" s="179" t="e">
        <f>VLOOKUP(C39,'Margin Calculation'!G:AR,40,0)</f>
        <v>#REF!</v>
      </c>
      <c r="U39" s="182"/>
      <c r="V39" s="182"/>
      <c r="W39" s="182"/>
      <c r="X39" s="182"/>
      <c r="Y39" s="182"/>
    </row>
    <row r="40" spans="1:25" ht="14.4">
      <c r="A40" s="271" t="s">
        <v>934</v>
      </c>
      <c r="B40" s="271" t="s">
        <v>608</v>
      </c>
      <c r="C40" s="271" t="s">
        <v>609</v>
      </c>
      <c r="D40" s="273" t="s">
        <v>610</v>
      </c>
      <c r="E40" s="271" t="s">
        <v>234</v>
      </c>
      <c r="F40" s="271" t="s">
        <v>249</v>
      </c>
      <c r="G40" s="205">
        <f>VLOOKUP(C40,'Margin Calculation'!G:Y,19,0)</f>
        <v>1205.0769600000001</v>
      </c>
      <c r="H40" s="205">
        <f>VLOOKUP(C40,'Margin Calculation'!G:Z,20,0)</f>
        <v>1421.9908128</v>
      </c>
      <c r="I40" s="182">
        <v>30</v>
      </c>
      <c r="J40" s="179">
        <f t="shared" si="0"/>
        <v>89.95</v>
      </c>
      <c r="K40" s="179">
        <f t="shared" si="1"/>
        <v>89.95</v>
      </c>
      <c r="L40" s="179">
        <f t="shared" si="2"/>
        <v>53.97</v>
      </c>
      <c r="M40" s="179">
        <f t="shared" si="3"/>
        <v>274.42372881355914</v>
      </c>
      <c r="N40" s="205">
        <f t="shared" si="4"/>
        <v>1743.3706888135594</v>
      </c>
      <c r="O40" s="179">
        <f t="shared" si="5"/>
        <v>55.629311186440646</v>
      </c>
      <c r="P40" s="184">
        <f t="shared" si="6"/>
        <v>3.0922351965781348E-2</v>
      </c>
      <c r="Q40" s="233">
        <v>1799</v>
      </c>
      <c r="R40" s="179">
        <v>2499</v>
      </c>
      <c r="S40" s="179">
        <f>R40*0.8</f>
        <v>1999.2</v>
      </c>
      <c r="T40" s="179" t="e">
        <f>VLOOKUP(C40,'Margin Calculation'!G:AR,40,0)</f>
        <v>#REF!</v>
      </c>
      <c r="U40" s="182"/>
      <c r="V40" s="182"/>
      <c r="W40" s="182"/>
      <c r="X40" s="182"/>
      <c r="Y40" s="182"/>
    </row>
    <row r="41" spans="1:25" ht="14.4" hidden="1">
      <c r="A41" s="271" t="s">
        <v>1104</v>
      </c>
      <c r="B41" s="271" t="s">
        <v>615</v>
      </c>
      <c r="C41" s="271" t="s">
        <v>616</v>
      </c>
      <c r="D41" s="273" t="s">
        <v>617</v>
      </c>
      <c r="E41" s="271" t="s">
        <v>314</v>
      </c>
      <c r="F41" s="271" t="s">
        <v>618</v>
      </c>
      <c r="G41" s="205">
        <f>VLOOKUP(C41,'Margin Calculation'!G:Y,19,0)</f>
        <v>478.92060000000009</v>
      </c>
      <c r="H41" s="205">
        <f>VLOOKUP(C41,'Margin Calculation'!G:Z,20,0)</f>
        <v>536.39107200000012</v>
      </c>
      <c r="I41" s="182">
        <v>30</v>
      </c>
      <c r="J41" s="179">
        <f t="shared" si="0"/>
        <v>46.360000000000007</v>
      </c>
      <c r="K41" s="179">
        <f t="shared" si="1"/>
        <v>46.360000000000007</v>
      </c>
      <c r="L41" s="179">
        <f t="shared" si="2"/>
        <v>27.815999999999999</v>
      </c>
      <c r="M41" s="179">
        <f t="shared" si="3"/>
        <v>141.43728813559323</v>
      </c>
      <c r="N41" s="205">
        <f t="shared" si="4"/>
        <v>770.89388813559333</v>
      </c>
      <c r="O41" s="179">
        <f t="shared" si="5"/>
        <v>156.30611186440672</v>
      </c>
      <c r="P41" s="184">
        <f t="shared" si="6"/>
        <v>0.16857863660958447</v>
      </c>
      <c r="Q41" s="179">
        <f t="shared" ref="Q41:Q55" si="13">R41*0.8</f>
        <v>927.2</v>
      </c>
      <c r="R41" s="179">
        <v>1159</v>
      </c>
      <c r="S41" s="179"/>
      <c r="T41" s="179" t="e">
        <f>VLOOKUP(C41,'Margin Calculation'!G:AR,40,0)</f>
        <v>#REF!</v>
      </c>
      <c r="U41" s="182"/>
      <c r="V41" s="182"/>
      <c r="W41" s="182"/>
      <c r="X41" s="182"/>
      <c r="Y41" s="182"/>
    </row>
    <row r="42" spans="1:25" ht="14.4" hidden="1">
      <c r="A42" s="271"/>
      <c r="B42" s="271" t="s">
        <v>621</v>
      </c>
      <c r="C42" s="271" t="s">
        <v>622</v>
      </c>
      <c r="D42" s="273" t="s">
        <v>623</v>
      </c>
      <c r="E42" s="271" t="s">
        <v>314</v>
      </c>
      <c r="F42" s="271" t="s">
        <v>618</v>
      </c>
      <c r="G42" s="205">
        <f>VLOOKUP(C42,'Margin Calculation'!G:Y,19,0)</f>
        <v>478.92060000000009</v>
      </c>
      <c r="H42" s="205">
        <f>VLOOKUP(C42,'Margin Calculation'!G:Z,20,0)</f>
        <v>536.39107200000012</v>
      </c>
      <c r="I42" s="182">
        <v>30</v>
      </c>
      <c r="J42" s="179">
        <f t="shared" si="0"/>
        <v>51.960000000000008</v>
      </c>
      <c r="K42" s="179">
        <f t="shared" si="1"/>
        <v>51.960000000000008</v>
      </c>
      <c r="L42" s="179">
        <f t="shared" si="2"/>
        <v>31.176000000000002</v>
      </c>
      <c r="M42" s="179">
        <f t="shared" si="3"/>
        <v>158.52203389830504</v>
      </c>
      <c r="N42" s="205">
        <f t="shared" si="4"/>
        <v>802.53863389830519</v>
      </c>
      <c r="O42" s="179">
        <f t="shared" si="5"/>
        <v>236.66136610169485</v>
      </c>
      <c r="P42" s="184">
        <f t="shared" si="6"/>
        <v>0.22773418601009895</v>
      </c>
      <c r="Q42" s="179">
        <f t="shared" si="13"/>
        <v>1039.2</v>
      </c>
      <c r="R42" s="179">
        <v>1299</v>
      </c>
      <c r="S42" s="179"/>
      <c r="T42" s="179" t="e">
        <f>VLOOKUP(C42,'Margin Calculation'!G:AR,40,0)</f>
        <v>#REF!</v>
      </c>
      <c r="U42" s="182"/>
      <c r="V42" s="182"/>
      <c r="W42" s="182"/>
      <c r="X42" s="182"/>
      <c r="Y42" s="182"/>
    </row>
    <row r="43" spans="1:25" ht="14.4" hidden="1">
      <c r="A43" s="271" t="s">
        <v>1104</v>
      </c>
      <c r="B43" s="271" t="s">
        <v>625</v>
      </c>
      <c r="C43" s="274" t="s">
        <v>626</v>
      </c>
      <c r="D43" s="273" t="s">
        <v>627</v>
      </c>
      <c r="E43" s="271" t="s">
        <v>628</v>
      </c>
      <c r="F43" s="271" t="s">
        <v>629</v>
      </c>
      <c r="G43" s="205">
        <f>VLOOKUP(C43,'Margin Calculation'!G:Y,19,0)</f>
        <v>1063.2964499999998</v>
      </c>
      <c r="H43" s="205">
        <f>VLOOKUP(C43,'Margin Calculation'!G:Z,20,0)</f>
        <v>1254.6898109999997</v>
      </c>
      <c r="I43" s="182">
        <v>30</v>
      </c>
      <c r="J43" s="179">
        <f t="shared" si="0"/>
        <v>91.960000000000008</v>
      </c>
      <c r="K43" s="179">
        <f t="shared" si="1"/>
        <v>91.960000000000008</v>
      </c>
      <c r="L43" s="179">
        <f t="shared" si="2"/>
        <v>55.176000000000002</v>
      </c>
      <c r="M43" s="179">
        <f t="shared" si="3"/>
        <v>280.55593220338983</v>
      </c>
      <c r="N43" s="205">
        <f t="shared" si="4"/>
        <v>1612.9483822033897</v>
      </c>
      <c r="O43" s="179">
        <f t="shared" si="5"/>
        <v>226.25161779661039</v>
      </c>
      <c r="P43" s="184">
        <f t="shared" si="6"/>
        <v>0.12301632111603436</v>
      </c>
      <c r="Q43" s="179">
        <f t="shared" si="13"/>
        <v>1839.2</v>
      </c>
      <c r="R43" s="179">
        <v>2299</v>
      </c>
      <c r="S43" s="179"/>
      <c r="T43" s="179" t="e">
        <f>VLOOKUP(C43,'Margin Calculation'!G:AR,40,0)</f>
        <v>#REF!</v>
      </c>
      <c r="U43" s="182"/>
      <c r="V43" s="182"/>
      <c r="W43" s="182"/>
      <c r="X43" s="182"/>
      <c r="Y43" s="182"/>
    </row>
    <row r="44" spans="1:25" ht="14.4" hidden="1">
      <c r="A44" s="271" t="s">
        <v>1104</v>
      </c>
      <c r="B44" s="271" t="s">
        <v>632</v>
      </c>
      <c r="C44" s="274" t="s">
        <v>633</v>
      </c>
      <c r="D44" s="273" t="s">
        <v>634</v>
      </c>
      <c r="E44" s="271" t="s">
        <v>314</v>
      </c>
      <c r="F44" s="271" t="s">
        <v>444</v>
      </c>
      <c r="G44" s="205">
        <f>VLOOKUP(C44,'Margin Calculation'!G:Y,19,0)</f>
        <v>414.3852</v>
      </c>
      <c r="H44" s="205">
        <f>VLOOKUP(C44,'Margin Calculation'!G:Z,20,0)</f>
        <v>488.97453599999994</v>
      </c>
      <c r="I44" s="182">
        <v>30</v>
      </c>
      <c r="J44" s="179">
        <f t="shared" si="0"/>
        <v>35.96</v>
      </c>
      <c r="K44" s="179">
        <f t="shared" si="1"/>
        <v>35.96</v>
      </c>
      <c r="L44" s="179">
        <f t="shared" si="2"/>
        <v>21.576000000000001</v>
      </c>
      <c r="M44" s="179">
        <f t="shared" si="3"/>
        <v>109.70847457627121</v>
      </c>
      <c r="N44" s="205">
        <f t="shared" si="4"/>
        <v>647.58967457627114</v>
      </c>
      <c r="O44" s="179">
        <f t="shared" si="5"/>
        <v>71.610325423728909</v>
      </c>
      <c r="P44" s="184">
        <f t="shared" si="6"/>
        <v>9.9569417997398366E-2</v>
      </c>
      <c r="Q44" s="179">
        <f t="shared" si="13"/>
        <v>719.2</v>
      </c>
      <c r="R44" s="179">
        <v>899</v>
      </c>
      <c r="S44" s="179"/>
      <c r="T44" s="179" t="e">
        <f>VLOOKUP(C44,'Margin Calculation'!G:AR,40,0)</f>
        <v>#REF!</v>
      </c>
      <c r="U44" s="182"/>
      <c r="V44" s="182"/>
      <c r="W44" s="182"/>
      <c r="X44" s="182"/>
      <c r="Y44" s="182"/>
    </row>
    <row r="45" spans="1:25" ht="14.4" hidden="1">
      <c r="A45" s="271"/>
      <c r="B45" s="271" t="s">
        <v>637</v>
      </c>
      <c r="C45" s="271" t="s">
        <v>638</v>
      </c>
      <c r="D45" s="273" t="s">
        <v>639</v>
      </c>
      <c r="E45" s="273" t="s">
        <v>249</v>
      </c>
      <c r="F45" s="273"/>
      <c r="G45" s="205">
        <f>VLOOKUP(C45,'Margin Calculation'!G:Y,19,0)</f>
        <v>2351.9160000000002</v>
      </c>
      <c r="H45" s="205">
        <f>VLOOKUP(C45,'Margin Calculation'!G:Z,20,0)</f>
        <v>2775.2608800000003</v>
      </c>
      <c r="I45" s="182">
        <v>30</v>
      </c>
      <c r="J45" s="179">
        <f t="shared" si="0"/>
        <v>159.96000000000004</v>
      </c>
      <c r="K45" s="179">
        <f t="shared" si="1"/>
        <v>159.96000000000004</v>
      </c>
      <c r="L45" s="179">
        <f t="shared" si="2"/>
        <v>95.975999999999999</v>
      </c>
      <c r="M45" s="179">
        <f t="shared" si="3"/>
        <v>488.01355932203387</v>
      </c>
      <c r="N45" s="205">
        <f t="shared" si="4"/>
        <v>3285.8255593220342</v>
      </c>
      <c r="O45" s="179">
        <f t="shared" si="5"/>
        <v>-86.625559322033951</v>
      </c>
      <c r="P45" s="184">
        <f t="shared" si="6"/>
        <v>-2.707725660228618E-2</v>
      </c>
      <c r="Q45" s="179">
        <f t="shared" si="13"/>
        <v>3199.2000000000003</v>
      </c>
      <c r="R45" s="179">
        <v>3999</v>
      </c>
      <c r="S45" s="179"/>
      <c r="T45" s="179" t="e">
        <f>VLOOKUP(C45,'Margin Calculation'!G:AR,40,0)</f>
        <v>#REF!</v>
      </c>
      <c r="U45" s="182"/>
      <c r="V45" s="182"/>
      <c r="W45" s="182"/>
      <c r="X45" s="182"/>
      <c r="Y45" s="182"/>
    </row>
    <row r="46" spans="1:25" ht="14.4" hidden="1">
      <c r="A46" s="271" t="s">
        <v>1104</v>
      </c>
      <c r="B46" s="271" t="s">
        <v>642</v>
      </c>
      <c r="C46" s="274" t="s">
        <v>643</v>
      </c>
      <c r="D46" s="273" t="s">
        <v>644</v>
      </c>
      <c r="E46" s="271" t="s">
        <v>314</v>
      </c>
      <c r="F46" s="271" t="s">
        <v>437</v>
      </c>
      <c r="G46" s="205">
        <f>VLOOKUP(C46,'Margin Calculation'!G:Y,19,0)</f>
        <v>509.48999999999995</v>
      </c>
      <c r="H46" s="205">
        <f>VLOOKUP(C46,'Margin Calculation'!G:Z,20,0)</f>
        <v>601.19819999999993</v>
      </c>
      <c r="I46" s="182">
        <v>30</v>
      </c>
      <c r="J46" s="179">
        <f t="shared" si="0"/>
        <v>59.960000000000008</v>
      </c>
      <c r="K46" s="179">
        <f t="shared" si="1"/>
        <v>59.960000000000008</v>
      </c>
      <c r="L46" s="179">
        <f t="shared" si="2"/>
        <v>35.975999999999999</v>
      </c>
      <c r="M46" s="179">
        <f t="shared" si="3"/>
        <v>182.92881355932195</v>
      </c>
      <c r="N46" s="205">
        <f t="shared" si="4"/>
        <v>878.31481355932192</v>
      </c>
      <c r="O46" s="179">
        <f t="shared" si="5"/>
        <v>320.88518644067813</v>
      </c>
      <c r="P46" s="184">
        <f t="shared" si="6"/>
        <v>0.26758271050757015</v>
      </c>
      <c r="Q46" s="179">
        <f t="shared" si="13"/>
        <v>1199.2</v>
      </c>
      <c r="R46" s="179">
        <v>1499</v>
      </c>
      <c r="S46" s="179"/>
      <c r="T46" s="179" t="e">
        <f>VLOOKUP(C46,'Margin Calculation'!G:AR,40,0)</f>
        <v>#REF!</v>
      </c>
      <c r="U46" s="182"/>
      <c r="V46" s="182"/>
      <c r="W46" s="182"/>
      <c r="X46" s="182"/>
      <c r="Y46" s="182"/>
    </row>
    <row r="47" spans="1:25" ht="14.4" hidden="1">
      <c r="A47" s="271" t="s">
        <v>1104</v>
      </c>
      <c r="B47" s="271" t="s">
        <v>646</v>
      </c>
      <c r="C47" s="274" t="s">
        <v>647</v>
      </c>
      <c r="D47" s="273" t="s">
        <v>648</v>
      </c>
      <c r="E47" s="271" t="s">
        <v>628</v>
      </c>
      <c r="F47" s="271" t="s">
        <v>629</v>
      </c>
      <c r="G47" s="205">
        <f>VLOOKUP(C47,'Margin Calculation'!G:Y,19,0)</f>
        <v>695.61449999999991</v>
      </c>
      <c r="H47" s="205">
        <f>VLOOKUP(C47,'Margin Calculation'!G:Z,20,0)</f>
        <v>820.82510999999988</v>
      </c>
      <c r="I47" s="182">
        <v>30</v>
      </c>
      <c r="J47" s="179">
        <f t="shared" si="0"/>
        <v>59.960000000000008</v>
      </c>
      <c r="K47" s="179">
        <f t="shared" si="1"/>
        <v>59.960000000000008</v>
      </c>
      <c r="L47" s="179">
        <f t="shared" si="2"/>
        <v>35.975999999999999</v>
      </c>
      <c r="M47" s="179">
        <f t="shared" si="3"/>
        <v>182.92881355932195</v>
      </c>
      <c r="N47" s="205">
        <f t="shared" si="4"/>
        <v>1064.4393135593218</v>
      </c>
      <c r="O47" s="179">
        <f t="shared" si="5"/>
        <v>134.76068644067823</v>
      </c>
      <c r="P47" s="184">
        <f t="shared" si="6"/>
        <v>0.11237548902658291</v>
      </c>
      <c r="Q47" s="179">
        <f t="shared" si="13"/>
        <v>1199.2</v>
      </c>
      <c r="R47" s="179">
        <v>1499</v>
      </c>
      <c r="S47" s="179"/>
      <c r="T47" s="179" t="e">
        <f>VLOOKUP(C47,'Margin Calculation'!G:AR,40,0)</f>
        <v>#REF!</v>
      </c>
      <c r="U47" s="182"/>
      <c r="V47" s="182"/>
      <c r="W47" s="182"/>
      <c r="X47" s="182"/>
      <c r="Y47" s="182"/>
    </row>
    <row r="48" spans="1:25" ht="14.4" hidden="1">
      <c r="A48" s="271" t="s">
        <v>1104</v>
      </c>
      <c r="B48" s="271" t="s">
        <v>651</v>
      </c>
      <c r="C48" s="274" t="s">
        <v>652</v>
      </c>
      <c r="D48" s="273" t="s">
        <v>653</v>
      </c>
      <c r="E48" s="271" t="s">
        <v>628</v>
      </c>
      <c r="F48" s="271" t="s">
        <v>629</v>
      </c>
      <c r="G48" s="205">
        <f>VLOOKUP(C48,'Margin Calculation'!G:Y,19,0)</f>
        <v>695.61449999999991</v>
      </c>
      <c r="H48" s="205">
        <f>VLOOKUP(C48,'Margin Calculation'!G:Z,20,0)</f>
        <v>820.82510999999988</v>
      </c>
      <c r="I48" s="182">
        <v>30</v>
      </c>
      <c r="J48" s="179">
        <f t="shared" si="0"/>
        <v>77.960000000000008</v>
      </c>
      <c r="K48" s="179">
        <f t="shared" si="1"/>
        <v>77.960000000000008</v>
      </c>
      <c r="L48" s="179">
        <f t="shared" si="2"/>
        <v>46.775999999999996</v>
      </c>
      <c r="M48" s="179">
        <f t="shared" si="3"/>
        <v>237.84406779661003</v>
      </c>
      <c r="N48" s="205">
        <f t="shared" si="4"/>
        <v>1166.1545677966101</v>
      </c>
      <c r="O48" s="179">
        <f t="shared" si="5"/>
        <v>393.04543220338996</v>
      </c>
      <c r="P48" s="184">
        <f t="shared" si="6"/>
        <v>0.25208147268047071</v>
      </c>
      <c r="Q48" s="179">
        <f t="shared" si="13"/>
        <v>1559.2</v>
      </c>
      <c r="R48" s="179">
        <v>1949</v>
      </c>
      <c r="S48" s="179"/>
      <c r="T48" s="179" t="e">
        <f>VLOOKUP(C48,'Margin Calculation'!G:AR,40,0)</f>
        <v>#REF!</v>
      </c>
      <c r="U48" s="182"/>
      <c r="V48" s="182"/>
      <c r="W48" s="182"/>
      <c r="X48" s="182"/>
      <c r="Y48" s="182"/>
    </row>
    <row r="49" spans="1:25" ht="14.4" hidden="1">
      <c r="A49" s="271"/>
      <c r="B49" s="271" t="s">
        <v>655</v>
      </c>
      <c r="C49" s="274" t="s">
        <v>656</v>
      </c>
      <c r="D49" s="273" t="s">
        <v>657</v>
      </c>
      <c r="E49" s="271" t="s">
        <v>628</v>
      </c>
      <c r="F49" s="271" t="s">
        <v>629</v>
      </c>
      <c r="G49" s="205">
        <f>VLOOKUP(C49,'Margin Calculation'!G:Y,19,0)</f>
        <v>936.09836999999993</v>
      </c>
      <c r="H49" s="205">
        <f>VLOOKUP(C49,'Margin Calculation'!G:Z,20,0)</f>
        <v>1104.5960765999998</v>
      </c>
      <c r="I49" s="182">
        <v>30</v>
      </c>
      <c r="J49" s="179">
        <f t="shared" si="0"/>
        <v>91.960000000000008</v>
      </c>
      <c r="K49" s="179">
        <f t="shared" si="1"/>
        <v>91.960000000000008</v>
      </c>
      <c r="L49" s="179">
        <f t="shared" si="2"/>
        <v>55.176000000000002</v>
      </c>
      <c r="M49" s="179">
        <f t="shared" si="3"/>
        <v>280.55593220338983</v>
      </c>
      <c r="N49" s="205">
        <f t="shared" si="4"/>
        <v>1485.7503022033898</v>
      </c>
      <c r="O49" s="179">
        <f t="shared" si="5"/>
        <v>353.44969779661028</v>
      </c>
      <c r="P49" s="184">
        <f t="shared" si="6"/>
        <v>0.19217578175109301</v>
      </c>
      <c r="Q49" s="179">
        <f t="shared" si="13"/>
        <v>1839.2</v>
      </c>
      <c r="R49" s="179">
        <v>2299</v>
      </c>
      <c r="S49" s="179"/>
      <c r="T49" s="179" t="e">
        <f>VLOOKUP(C49,'Margin Calculation'!G:AR,40,0)</f>
        <v>#REF!</v>
      </c>
      <c r="U49" s="182"/>
      <c r="V49" s="182"/>
      <c r="W49" s="182"/>
      <c r="X49" s="182"/>
      <c r="Y49" s="182"/>
    </row>
    <row r="50" spans="1:25" ht="14.4" hidden="1">
      <c r="A50" s="271" t="s">
        <v>1104</v>
      </c>
      <c r="B50" s="271" t="s">
        <v>659</v>
      </c>
      <c r="C50" s="274" t="s">
        <v>660</v>
      </c>
      <c r="D50" s="273" t="s">
        <v>661</v>
      </c>
      <c r="E50" s="271" t="s">
        <v>234</v>
      </c>
      <c r="F50" s="271" t="s">
        <v>249</v>
      </c>
      <c r="G50" s="205">
        <f>VLOOKUP(C50,'Margin Calculation'!G:Y,19,0)</f>
        <v>753.73308000000009</v>
      </c>
      <c r="H50" s="205">
        <f>VLOOKUP(C50,'Margin Calculation'!G:Z,20,0)</f>
        <v>889.40503440000009</v>
      </c>
      <c r="I50" s="182">
        <v>30</v>
      </c>
      <c r="J50" s="179">
        <f t="shared" si="0"/>
        <v>79.960000000000008</v>
      </c>
      <c r="K50" s="179">
        <f t="shared" si="1"/>
        <v>79.960000000000008</v>
      </c>
      <c r="L50" s="179">
        <f t="shared" si="2"/>
        <v>47.975999999999999</v>
      </c>
      <c r="M50" s="179">
        <f t="shared" si="3"/>
        <v>243.94576271186429</v>
      </c>
      <c r="N50" s="205">
        <f t="shared" si="4"/>
        <v>1235.5748427118644</v>
      </c>
      <c r="O50" s="179">
        <f t="shared" si="5"/>
        <v>363.6251572881356</v>
      </c>
      <c r="P50" s="184">
        <f t="shared" si="6"/>
        <v>0.22737941301159054</v>
      </c>
      <c r="Q50" s="179">
        <f t="shared" si="13"/>
        <v>1599.2</v>
      </c>
      <c r="R50" s="179">
        <v>1999</v>
      </c>
      <c r="S50" s="179"/>
      <c r="T50" s="179" t="e">
        <f>VLOOKUP(C50,'Margin Calculation'!G:AR,40,0)</f>
        <v>#REF!</v>
      </c>
      <c r="U50" s="182"/>
      <c r="V50" s="182"/>
      <c r="W50" s="182"/>
      <c r="X50" s="182"/>
      <c r="Y50" s="182"/>
    </row>
    <row r="51" spans="1:25" ht="14.4" hidden="1">
      <c r="A51" s="271" t="s">
        <v>1104</v>
      </c>
      <c r="B51" s="271" t="s">
        <v>663</v>
      </c>
      <c r="C51" s="274" t="s">
        <v>664</v>
      </c>
      <c r="D51" s="273" t="s">
        <v>665</v>
      </c>
      <c r="E51" s="271" t="s">
        <v>314</v>
      </c>
      <c r="F51" s="271" t="s">
        <v>444</v>
      </c>
      <c r="G51" s="205">
        <f>VLOOKUP(C51,'Margin Calculation'!G:Y,19,0)</f>
        <v>1119.9599999999998</v>
      </c>
      <c r="H51" s="205">
        <f>VLOOKUP(C51,'Margin Calculation'!G:Z,20,0)</f>
        <v>1321.5527999999997</v>
      </c>
      <c r="I51" s="182">
        <v>30</v>
      </c>
      <c r="J51" s="179">
        <f t="shared" si="0"/>
        <v>87.960000000000008</v>
      </c>
      <c r="K51" s="179">
        <f t="shared" si="1"/>
        <v>87.960000000000008</v>
      </c>
      <c r="L51" s="179">
        <f t="shared" si="2"/>
        <v>52.775999999999996</v>
      </c>
      <c r="M51" s="179">
        <f t="shared" si="3"/>
        <v>268.35254237288132</v>
      </c>
      <c r="N51" s="205">
        <f t="shared" si="4"/>
        <v>1647.0085423728813</v>
      </c>
      <c r="O51" s="179">
        <f t="shared" si="5"/>
        <v>112.19145762711878</v>
      </c>
      <c r="P51" s="184">
        <f t="shared" si="6"/>
        <v>6.3774134622054779E-2</v>
      </c>
      <c r="Q51" s="179">
        <f t="shared" si="13"/>
        <v>1759.2</v>
      </c>
      <c r="R51" s="179">
        <v>2199</v>
      </c>
      <c r="S51" s="179"/>
      <c r="T51" s="179" t="e">
        <f>VLOOKUP(C51,'Margin Calculation'!G:AR,40,0)</f>
        <v>#REF!</v>
      </c>
      <c r="U51" s="182"/>
      <c r="V51" s="182"/>
      <c r="W51" s="182"/>
      <c r="X51" s="182"/>
      <c r="Y51" s="182"/>
    </row>
    <row r="52" spans="1:25" ht="14.4" hidden="1">
      <c r="A52" s="271" t="s">
        <v>1104</v>
      </c>
      <c r="B52" s="271" t="s">
        <v>675</v>
      </c>
      <c r="C52" s="274" t="s">
        <v>676</v>
      </c>
      <c r="D52" s="273" t="s">
        <v>677</v>
      </c>
      <c r="E52" s="273" t="s">
        <v>314</v>
      </c>
      <c r="F52" s="273"/>
      <c r="G52" s="205">
        <f>VLOOKUP(C52,'Margin Calculation'!G:Y,19,0)</f>
        <v>509.58179999999999</v>
      </c>
      <c r="H52" s="205">
        <f>VLOOKUP(C52,'Margin Calculation'!G:Z,20,0)</f>
        <v>601.30652399999997</v>
      </c>
      <c r="I52" s="182">
        <v>30</v>
      </c>
      <c r="J52" s="179">
        <f t="shared" si="0"/>
        <v>47.960000000000008</v>
      </c>
      <c r="K52" s="179">
        <f t="shared" si="1"/>
        <v>47.960000000000008</v>
      </c>
      <c r="L52" s="179">
        <f t="shared" si="2"/>
        <v>28.776</v>
      </c>
      <c r="M52" s="179">
        <f t="shared" si="3"/>
        <v>146.31864406779653</v>
      </c>
      <c r="N52" s="205">
        <f t="shared" si="4"/>
        <v>810.59644406779648</v>
      </c>
      <c r="O52" s="179">
        <f t="shared" si="5"/>
        <v>148.60355593220356</v>
      </c>
      <c r="P52" s="184">
        <f t="shared" si="6"/>
        <v>0.15492447449145491</v>
      </c>
      <c r="Q52" s="179">
        <f t="shared" si="13"/>
        <v>959.2</v>
      </c>
      <c r="R52" s="179">
        <v>1199</v>
      </c>
      <c r="S52" s="179"/>
      <c r="T52" s="179" t="e">
        <f>VLOOKUP(C52,'Margin Calculation'!G:AR,40,0)</f>
        <v>#REF!</v>
      </c>
      <c r="U52" s="182"/>
      <c r="V52" s="182"/>
      <c r="W52" s="182"/>
      <c r="X52" s="182"/>
      <c r="Y52" s="182"/>
    </row>
    <row r="53" spans="1:25" ht="14.4" hidden="1">
      <c r="A53" s="271" t="s">
        <v>1104</v>
      </c>
      <c r="B53" s="271" t="s">
        <v>679</v>
      </c>
      <c r="C53" s="274" t="s">
        <v>680</v>
      </c>
      <c r="D53" s="273" t="s">
        <v>681</v>
      </c>
      <c r="E53" s="273" t="s">
        <v>314</v>
      </c>
      <c r="F53" s="273"/>
      <c r="G53" s="205">
        <f>VLOOKUP(C53,'Margin Calculation'!G:Y,19,0)</f>
        <v>394.22592000000003</v>
      </c>
      <c r="H53" s="205">
        <f>VLOOKUP(C53,'Margin Calculation'!G:Z,20,0)</f>
        <v>465.1865856</v>
      </c>
      <c r="I53" s="182">
        <v>30</v>
      </c>
      <c r="J53" s="179">
        <f t="shared" si="0"/>
        <v>47.960000000000008</v>
      </c>
      <c r="K53" s="179">
        <f t="shared" si="1"/>
        <v>47.960000000000008</v>
      </c>
      <c r="L53" s="179">
        <f t="shared" si="2"/>
        <v>28.776</v>
      </c>
      <c r="M53" s="179">
        <f t="shared" si="3"/>
        <v>146.31864406779653</v>
      </c>
      <c r="N53" s="205">
        <f t="shared" si="4"/>
        <v>695.24056406779653</v>
      </c>
      <c r="O53" s="179">
        <f t="shared" si="5"/>
        <v>263.95943593220352</v>
      </c>
      <c r="P53" s="184">
        <f t="shared" si="6"/>
        <v>0.27518706831964501</v>
      </c>
      <c r="Q53" s="179">
        <f t="shared" si="13"/>
        <v>959.2</v>
      </c>
      <c r="R53" s="179">
        <v>1199</v>
      </c>
      <c r="S53" s="179"/>
      <c r="T53" s="179" t="e">
        <f>VLOOKUP(C53,'Margin Calculation'!G:AR,40,0)</f>
        <v>#REF!</v>
      </c>
      <c r="U53" s="182"/>
      <c r="V53" s="182"/>
      <c r="W53" s="182"/>
      <c r="X53" s="182"/>
      <c r="Y53" s="182"/>
    </row>
    <row r="54" spans="1:25" ht="14.4" hidden="1">
      <c r="A54" s="271" t="s">
        <v>1104</v>
      </c>
      <c r="B54" s="271" t="s">
        <v>683</v>
      </c>
      <c r="C54" s="274" t="s">
        <v>684</v>
      </c>
      <c r="D54" s="273" t="s">
        <v>685</v>
      </c>
      <c r="E54" s="271" t="s">
        <v>234</v>
      </c>
      <c r="F54" s="271" t="s">
        <v>671</v>
      </c>
      <c r="G54" s="205">
        <f>VLOOKUP(C54,'Margin Calculation'!G:Y,19,0)</f>
        <v>811.97099999999989</v>
      </c>
      <c r="H54" s="205">
        <f>VLOOKUP(C54,'Margin Calculation'!G:Z,20,0)</f>
        <v>958.12577999999985</v>
      </c>
      <c r="I54" s="182">
        <v>30</v>
      </c>
      <c r="J54" s="179">
        <f t="shared" si="0"/>
        <v>67.960000000000008</v>
      </c>
      <c r="K54" s="179">
        <f t="shared" si="1"/>
        <v>67.960000000000008</v>
      </c>
      <c r="L54" s="179">
        <f t="shared" si="2"/>
        <v>40.776000000000003</v>
      </c>
      <c r="M54" s="179">
        <f t="shared" si="3"/>
        <v>207.33559322033898</v>
      </c>
      <c r="N54" s="205">
        <f t="shared" si="4"/>
        <v>1226.0025932203389</v>
      </c>
      <c r="O54" s="179">
        <f t="shared" si="5"/>
        <v>133.19740677966115</v>
      </c>
      <c r="P54" s="184">
        <f t="shared" si="6"/>
        <v>9.7996914935006729E-2</v>
      </c>
      <c r="Q54" s="179">
        <f t="shared" si="13"/>
        <v>1359.2</v>
      </c>
      <c r="R54" s="179">
        <v>1699</v>
      </c>
      <c r="S54" s="179"/>
      <c r="T54" s="179" t="e">
        <f>VLOOKUP(C54,'Margin Calculation'!G:AR,40,0)</f>
        <v>#REF!</v>
      </c>
      <c r="U54" s="182"/>
      <c r="V54" s="182"/>
      <c r="W54" s="182"/>
      <c r="X54" s="182"/>
      <c r="Y54" s="182"/>
    </row>
    <row r="55" spans="1:25" ht="14.4" hidden="1">
      <c r="A55" s="271" t="s">
        <v>1104</v>
      </c>
      <c r="B55" s="271" t="s">
        <v>688</v>
      </c>
      <c r="C55" s="274" t="s">
        <v>689</v>
      </c>
      <c r="D55" s="273" t="s">
        <v>690</v>
      </c>
      <c r="E55" s="271" t="s">
        <v>234</v>
      </c>
      <c r="F55" s="271" t="s">
        <v>671</v>
      </c>
      <c r="G55" s="205">
        <f>VLOOKUP(C55,'Margin Calculation'!G:Y,19,0)</f>
        <v>811.97099999999989</v>
      </c>
      <c r="H55" s="205">
        <f>VLOOKUP(C55,'Margin Calculation'!G:Z,20,0)</f>
        <v>958.12577999999985</v>
      </c>
      <c r="I55" s="182">
        <v>30</v>
      </c>
      <c r="J55" s="179">
        <f t="shared" si="0"/>
        <v>59.960000000000008</v>
      </c>
      <c r="K55" s="179">
        <f t="shared" si="1"/>
        <v>59.960000000000008</v>
      </c>
      <c r="L55" s="179">
        <f t="shared" si="2"/>
        <v>35.975999999999999</v>
      </c>
      <c r="M55" s="179">
        <f t="shared" si="3"/>
        <v>182.92881355932195</v>
      </c>
      <c r="N55" s="205">
        <f t="shared" si="4"/>
        <v>1180.7958135593219</v>
      </c>
      <c r="O55" s="179">
        <f t="shared" si="5"/>
        <v>18.404186440678131</v>
      </c>
      <c r="P55" s="184">
        <f t="shared" si="6"/>
        <v>1.5347053402833665E-2</v>
      </c>
      <c r="Q55" s="179">
        <f t="shared" si="13"/>
        <v>1199.2</v>
      </c>
      <c r="R55" s="179">
        <v>1499</v>
      </c>
      <c r="S55" s="179"/>
      <c r="T55" s="179" t="e">
        <f>VLOOKUP(C55,'Margin Calculation'!G:AR,40,0)</f>
        <v>#REF!</v>
      </c>
      <c r="U55" s="182"/>
      <c r="V55" s="182"/>
      <c r="W55" s="182"/>
      <c r="X55" s="182"/>
      <c r="Y55" s="182"/>
    </row>
    <row r="56" spans="1:25" ht="14.4">
      <c r="A56" s="271" t="s">
        <v>934</v>
      </c>
      <c r="B56" s="271" t="s">
        <v>695</v>
      </c>
      <c r="C56" s="271" t="s">
        <v>696</v>
      </c>
      <c r="D56" s="273" t="s">
        <v>697</v>
      </c>
      <c r="E56" s="271" t="s">
        <v>314</v>
      </c>
      <c r="F56" s="271" t="s">
        <v>465</v>
      </c>
      <c r="G56" s="205">
        <f>VLOOKUP(C56,'Margin Calculation'!G:Y,19,0)</f>
        <v>931.80672000000004</v>
      </c>
      <c r="H56" s="205">
        <f>VLOOKUP(C56,'Margin Calculation'!G:Z,20,0)</f>
        <v>1099.5319296</v>
      </c>
      <c r="I56" s="182">
        <v>30</v>
      </c>
      <c r="J56" s="179">
        <f t="shared" si="0"/>
        <v>107.95</v>
      </c>
      <c r="K56" s="179">
        <f t="shared" si="1"/>
        <v>107.95</v>
      </c>
      <c r="L56" s="179">
        <f t="shared" si="2"/>
        <v>64.77</v>
      </c>
      <c r="M56" s="179">
        <f t="shared" si="3"/>
        <v>329.33898305084745</v>
      </c>
      <c r="N56" s="205">
        <f t="shared" si="4"/>
        <v>1571.8157030508476</v>
      </c>
      <c r="O56" s="179">
        <f t="shared" si="5"/>
        <v>587.18429694915244</v>
      </c>
      <c r="P56" s="184">
        <f t="shared" si="6"/>
        <v>0.27197049418673108</v>
      </c>
      <c r="Q56" s="233">
        <v>2159</v>
      </c>
      <c r="R56" s="179">
        <v>1999</v>
      </c>
      <c r="S56" s="179">
        <f t="shared" ref="S56:S58" si="14">R56*0.8</f>
        <v>1599.2</v>
      </c>
      <c r="T56" s="179" t="e">
        <f>VLOOKUP(C56,'Margin Calculation'!G:AR,40,0)</f>
        <v>#REF!</v>
      </c>
      <c r="U56" s="182"/>
      <c r="V56" s="182"/>
      <c r="W56" s="182"/>
      <c r="X56" s="182"/>
      <c r="Y56" s="182"/>
    </row>
    <row r="57" spans="1:25" ht="14.4">
      <c r="A57" s="271" t="s">
        <v>934</v>
      </c>
      <c r="B57" s="271" t="s">
        <v>700</v>
      </c>
      <c r="C57" s="274" t="s">
        <v>701</v>
      </c>
      <c r="D57" s="273" t="s">
        <v>702</v>
      </c>
      <c r="E57" s="271" t="s">
        <v>314</v>
      </c>
      <c r="F57" s="271" t="s">
        <v>465</v>
      </c>
      <c r="G57" s="205">
        <f>VLOOKUP(C57,'Margin Calculation'!G:Y,19,0)</f>
        <v>724.61412000000007</v>
      </c>
      <c r="H57" s="205">
        <f>VLOOKUP(C57,'Margin Calculation'!G:Z,20,0)</f>
        <v>855.04466160000004</v>
      </c>
      <c r="I57" s="182">
        <v>30</v>
      </c>
      <c r="J57" s="179">
        <f t="shared" si="0"/>
        <v>71.95</v>
      </c>
      <c r="K57" s="179">
        <f t="shared" si="1"/>
        <v>71.95</v>
      </c>
      <c r="L57" s="179">
        <f t="shared" si="2"/>
        <v>43.17</v>
      </c>
      <c r="M57" s="179">
        <f t="shared" si="3"/>
        <v>219.50847457627106</v>
      </c>
      <c r="N57" s="205">
        <f t="shared" si="4"/>
        <v>1161.1925945762712</v>
      </c>
      <c r="O57" s="179">
        <f t="shared" si="5"/>
        <v>277.80740542372882</v>
      </c>
      <c r="P57" s="184">
        <f t="shared" si="6"/>
        <v>0.19305587590252177</v>
      </c>
      <c r="Q57" s="233">
        <v>1439</v>
      </c>
      <c r="R57" s="179">
        <v>1999</v>
      </c>
      <c r="S57" s="179">
        <f t="shared" si="14"/>
        <v>1599.2</v>
      </c>
      <c r="T57" s="179" t="e">
        <f>VLOOKUP(C57,'Margin Calculation'!G:AR,40,0)</f>
        <v>#REF!</v>
      </c>
      <c r="U57" s="182"/>
      <c r="V57" s="182"/>
      <c r="W57" s="182"/>
      <c r="X57" s="182"/>
      <c r="Y57" s="182"/>
    </row>
    <row r="58" spans="1:25" ht="14.4">
      <c r="A58" s="271" t="s">
        <v>934</v>
      </c>
      <c r="B58" s="271" t="s">
        <v>704</v>
      </c>
      <c r="C58" s="274" t="s">
        <v>705</v>
      </c>
      <c r="D58" s="273" t="s">
        <v>706</v>
      </c>
      <c r="E58" s="271" t="s">
        <v>234</v>
      </c>
      <c r="F58" s="271" t="s">
        <v>249</v>
      </c>
      <c r="G58" s="205">
        <f>VLOOKUP(C58,'Margin Calculation'!G:Y,19,0)</f>
        <v>2239.9199999999996</v>
      </c>
      <c r="H58" s="205">
        <f>VLOOKUP(C58,'Margin Calculation'!G:Z,20,0)</f>
        <v>2643.1055999999994</v>
      </c>
      <c r="I58" s="182">
        <v>30</v>
      </c>
      <c r="J58" s="179">
        <f t="shared" si="0"/>
        <v>215.95000000000002</v>
      </c>
      <c r="K58" s="179">
        <f t="shared" si="1"/>
        <v>215.95000000000002</v>
      </c>
      <c r="L58" s="179">
        <f t="shared" si="2"/>
        <v>129.57</v>
      </c>
      <c r="M58" s="179">
        <f t="shared" si="3"/>
        <v>658.83050847457616</v>
      </c>
      <c r="N58" s="205">
        <f t="shared" si="4"/>
        <v>3490.2205084745756</v>
      </c>
      <c r="O58" s="179">
        <f t="shared" si="5"/>
        <v>828.77949152542442</v>
      </c>
      <c r="P58" s="184">
        <f t="shared" si="6"/>
        <v>0.19189152385399963</v>
      </c>
      <c r="Q58" s="233">
        <v>4319</v>
      </c>
      <c r="R58" s="179">
        <v>5799</v>
      </c>
      <c r="S58" s="179">
        <f t="shared" si="14"/>
        <v>4639.2</v>
      </c>
      <c r="T58" s="179" t="e">
        <f>VLOOKUP(C58,'Margin Calculation'!G:AR,40,0)</f>
        <v>#REF!</v>
      </c>
      <c r="U58" s="182"/>
      <c r="V58" s="182"/>
      <c r="W58" s="182"/>
      <c r="X58" s="182"/>
      <c r="Y58" s="182"/>
    </row>
    <row r="59" spans="1:25" ht="14.4" hidden="1">
      <c r="A59" s="271" t="s">
        <v>1104</v>
      </c>
      <c r="B59" s="271" t="s">
        <v>712</v>
      </c>
      <c r="C59" s="274" t="s">
        <v>713</v>
      </c>
      <c r="D59" s="273" t="s">
        <v>714</v>
      </c>
      <c r="E59" s="271" t="s">
        <v>234</v>
      </c>
      <c r="F59" s="271" t="s">
        <v>249</v>
      </c>
      <c r="G59" s="205">
        <f>VLOOKUP(C59,'Margin Calculation'!G:Y,19,0)</f>
        <v>988.92468000000008</v>
      </c>
      <c r="H59" s="205">
        <f>VLOOKUP(C59,'Margin Calculation'!G:Z,20,0)</f>
        <v>1166.9311224</v>
      </c>
      <c r="I59" s="182">
        <v>30</v>
      </c>
      <c r="J59" s="179">
        <f t="shared" si="0"/>
        <v>91.960000000000008</v>
      </c>
      <c r="K59" s="179">
        <f t="shared" si="1"/>
        <v>91.960000000000008</v>
      </c>
      <c r="L59" s="179">
        <f t="shared" si="2"/>
        <v>55.176000000000002</v>
      </c>
      <c r="M59" s="179">
        <f t="shared" si="3"/>
        <v>280.55593220338983</v>
      </c>
      <c r="N59" s="205">
        <f t="shared" si="4"/>
        <v>1538.5766122033899</v>
      </c>
      <c r="O59" s="179">
        <f t="shared" si="5"/>
        <v>300.62338779661013</v>
      </c>
      <c r="P59" s="184">
        <f t="shared" si="6"/>
        <v>0.16345334264713468</v>
      </c>
      <c r="Q59" s="179">
        <f t="shared" ref="Q59:Q65" si="15">R59*0.8</f>
        <v>1839.2</v>
      </c>
      <c r="R59" s="179">
        <v>2299</v>
      </c>
      <c r="S59" s="179"/>
      <c r="T59" s="179" t="e">
        <f>VLOOKUP(C59,'Margin Calculation'!G:AR,40,0)</f>
        <v>#REF!</v>
      </c>
      <c r="U59" s="182"/>
      <c r="V59" s="182"/>
      <c r="W59" s="182"/>
      <c r="X59" s="182"/>
      <c r="Y59" s="182"/>
    </row>
    <row r="60" spans="1:25" ht="14.4" hidden="1">
      <c r="A60" s="271" t="s">
        <v>1104</v>
      </c>
      <c r="B60" s="271" t="s">
        <v>717</v>
      </c>
      <c r="C60" s="274" t="s">
        <v>718</v>
      </c>
      <c r="D60" s="273" t="s">
        <v>719</v>
      </c>
      <c r="E60" s="271" t="s">
        <v>234</v>
      </c>
      <c r="F60" s="271" t="s">
        <v>249</v>
      </c>
      <c r="G60" s="205">
        <f>VLOOKUP(C60,'Margin Calculation'!G:Y,19,0)</f>
        <v>1047.1625999999999</v>
      </c>
      <c r="H60" s="205">
        <f>VLOOKUP(C60,'Margin Calculation'!G:Z,20,0)</f>
        <v>1235.6518679999997</v>
      </c>
      <c r="I60" s="182">
        <v>30</v>
      </c>
      <c r="J60" s="179">
        <f t="shared" si="0"/>
        <v>99.960000000000008</v>
      </c>
      <c r="K60" s="179">
        <f t="shared" si="1"/>
        <v>99.960000000000008</v>
      </c>
      <c r="L60" s="179">
        <f t="shared" si="2"/>
        <v>59.975999999999999</v>
      </c>
      <c r="M60" s="179">
        <f t="shared" si="3"/>
        <v>304.96271186440663</v>
      </c>
      <c r="N60" s="205">
        <f t="shared" si="4"/>
        <v>1642.0213118644065</v>
      </c>
      <c r="O60" s="179">
        <f t="shared" si="5"/>
        <v>357.17868813559357</v>
      </c>
      <c r="P60" s="184">
        <f t="shared" si="6"/>
        <v>0.17866080839115325</v>
      </c>
      <c r="Q60" s="179">
        <f t="shared" si="15"/>
        <v>1999.2</v>
      </c>
      <c r="R60" s="179">
        <v>2499</v>
      </c>
      <c r="S60" s="179"/>
      <c r="T60" s="179" t="e">
        <f>VLOOKUP(C60,'Margin Calculation'!G:AR,40,0)</f>
        <v>#REF!</v>
      </c>
      <c r="U60" s="182"/>
      <c r="V60" s="182"/>
      <c r="W60" s="182"/>
      <c r="X60" s="182"/>
      <c r="Y60" s="182"/>
    </row>
    <row r="61" spans="1:25" ht="14.4" hidden="1">
      <c r="A61" s="271"/>
      <c r="B61" s="271" t="s">
        <v>720</v>
      </c>
      <c r="C61" s="274" t="s">
        <v>721</v>
      </c>
      <c r="D61" s="273" t="s">
        <v>722</v>
      </c>
      <c r="E61" s="273" t="s">
        <v>314</v>
      </c>
      <c r="F61" s="273"/>
      <c r="G61" s="205">
        <f>VLOOKUP(C61,'Margin Calculation'!G:Y,19,0)</f>
        <v>611.38800000000003</v>
      </c>
      <c r="H61" s="205">
        <f>VLOOKUP(C61,'Margin Calculation'!G:Z,20,0)</f>
        <v>721.43784000000005</v>
      </c>
      <c r="I61" s="182">
        <v>30</v>
      </c>
      <c r="J61" s="179">
        <f t="shared" si="0"/>
        <v>67.960000000000008</v>
      </c>
      <c r="K61" s="179">
        <f t="shared" si="1"/>
        <v>67.960000000000008</v>
      </c>
      <c r="L61" s="179">
        <f t="shared" si="2"/>
        <v>40.776000000000003</v>
      </c>
      <c r="M61" s="179">
        <f t="shared" si="3"/>
        <v>207.33559322033898</v>
      </c>
      <c r="N61" s="205">
        <f t="shared" si="4"/>
        <v>1025.419593220339</v>
      </c>
      <c r="O61" s="179">
        <f t="shared" si="5"/>
        <v>333.78040677966101</v>
      </c>
      <c r="P61" s="184">
        <f t="shared" si="6"/>
        <v>0.24557122335172232</v>
      </c>
      <c r="Q61" s="179">
        <f t="shared" si="15"/>
        <v>1359.2</v>
      </c>
      <c r="R61" s="179">
        <v>1699</v>
      </c>
      <c r="S61" s="179"/>
      <c r="T61" s="179" t="e">
        <f>VLOOKUP(C61,'Margin Calculation'!G:AR,40,0)</f>
        <v>#REF!</v>
      </c>
      <c r="U61" s="182"/>
      <c r="V61" s="182"/>
      <c r="W61" s="182"/>
      <c r="X61" s="182"/>
      <c r="Y61" s="182"/>
    </row>
    <row r="62" spans="1:25" ht="14.4" hidden="1">
      <c r="A62" s="271" t="s">
        <v>1104</v>
      </c>
      <c r="B62" s="271" t="s">
        <v>724</v>
      </c>
      <c r="C62" s="271" t="s">
        <v>725</v>
      </c>
      <c r="D62" s="273" t="s">
        <v>726</v>
      </c>
      <c r="E62" s="273" t="s">
        <v>314</v>
      </c>
      <c r="F62" s="273"/>
      <c r="G62" s="205">
        <f>VLOOKUP(C62,'Margin Calculation'!G:Y,19,0)</f>
        <v>458.541</v>
      </c>
      <c r="H62" s="205">
        <f>VLOOKUP(C62,'Margin Calculation'!G:Z,20,0)</f>
        <v>541.07837999999992</v>
      </c>
      <c r="I62" s="182">
        <v>30</v>
      </c>
      <c r="J62" s="179">
        <f t="shared" si="0"/>
        <v>61.960000000000008</v>
      </c>
      <c r="K62" s="179">
        <f t="shared" si="1"/>
        <v>61.960000000000008</v>
      </c>
      <c r="L62" s="179">
        <f t="shared" si="2"/>
        <v>37.176000000000002</v>
      </c>
      <c r="M62" s="179">
        <f t="shared" si="3"/>
        <v>189.03050847457621</v>
      </c>
      <c r="N62" s="205">
        <f t="shared" si="4"/>
        <v>838.66750847457627</v>
      </c>
      <c r="O62" s="179">
        <f t="shared" si="5"/>
        <v>400.53249152542378</v>
      </c>
      <c r="P62" s="184">
        <f t="shared" si="6"/>
        <v>0.32321860194111018</v>
      </c>
      <c r="Q62" s="179">
        <f t="shared" si="15"/>
        <v>1239.2</v>
      </c>
      <c r="R62" s="179">
        <v>1549</v>
      </c>
      <c r="S62" s="179"/>
      <c r="T62" s="179" t="e">
        <f>VLOOKUP(C62,'Margin Calculation'!G:AR,40,0)</f>
        <v>#REF!</v>
      </c>
      <c r="U62" s="182"/>
      <c r="V62" s="182"/>
      <c r="W62" s="182"/>
      <c r="X62" s="182"/>
      <c r="Y62" s="182"/>
    </row>
    <row r="63" spans="1:25" ht="14.4" hidden="1">
      <c r="A63" s="271"/>
      <c r="B63" s="271" t="s">
        <v>728</v>
      </c>
      <c r="C63" s="274" t="s">
        <v>729</v>
      </c>
      <c r="D63" s="273" t="s">
        <v>730</v>
      </c>
      <c r="E63" s="271" t="s">
        <v>314</v>
      </c>
      <c r="F63" s="271" t="s">
        <v>465</v>
      </c>
      <c r="G63" s="205">
        <f>VLOOKUP(C63,'Margin Calculation'!G:Y,19,0)</f>
        <v>1120.8779999999999</v>
      </c>
      <c r="H63" s="205">
        <f>VLOOKUP(C63,'Margin Calculation'!G:Z,20,0)</f>
        <v>1322.6360399999999</v>
      </c>
      <c r="I63" s="182">
        <v>30</v>
      </c>
      <c r="J63" s="179">
        <f t="shared" si="0"/>
        <v>119.96000000000002</v>
      </c>
      <c r="K63" s="179">
        <f t="shared" si="1"/>
        <v>119.96000000000002</v>
      </c>
      <c r="L63" s="179">
        <f t="shared" si="2"/>
        <v>71.975999999999999</v>
      </c>
      <c r="M63" s="179">
        <f t="shared" si="3"/>
        <v>365.97966101694919</v>
      </c>
      <c r="N63" s="205">
        <f t="shared" si="4"/>
        <v>1828.7536610169491</v>
      </c>
      <c r="O63" s="179">
        <f t="shared" si="5"/>
        <v>570.44633898305119</v>
      </c>
      <c r="P63" s="184">
        <f t="shared" si="6"/>
        <v>0.23776522965282224</v>
      </c>
      <c r="Q63" s="179">
        <f t="shared" si="15"/>
        <v>2399.2000000000003</v>
      </c>
      <c r="R63" s="179">
        <v>2999</v>
      </c>
      <c r="S63" s="179"/>
      <c r="T63" s="179" t="e">
        <f>VLOOKUP(C63,'Margin Calculation'!G:AR,40,0)</f>
        <v>#REF!</v>
      </c>
      <c r="U63" s="182"/>
      <c r="V63" s="182"/>
      <c r="W63" s="182"/>
      <c r="X63" s="182"/>
      <c r="Y63" s="182"/>
    </row>
    <row r="64" spans="1:25" ht="14.4" hidden="1">
      <c r="A64" s="271"/>
      <c r="B64" s="271" t="s">
        <v>732</v>
      </c>
      <c r="C64" s="271" t="s">
        <v>733</v>
      </c>
      <c r="D64" s="273" t="s">
        <v>734</v>
      </c>
      <c r="E64" s="271" t="s">
        <v>314</v>
      </c>
      <c r="F64" s="271" t="s">
        <v>437</v>
      </c>
      <c r="G64" s="205">
        <f>VLOOKUP(C64,'Margin Calculation'!G:Y,19,0)</f>
        <v>601.19820000000004</v>
      </c>
      <c r="H64" s="205">
        <f>VLOOKUP(C64,'Margin Calculation'!G:Z,20,0)</f>
        <v>709.41387599999996</v>
      </c>
      <c r="I64" s="182">
        <v>30</v>
      </c>
      <c r="J64" s="179">
        <f t="shared" si="0"/>
        <v>63.960000000000008</v>
      </c>
      <c r="K64" s="179">
        <f t="shared" si="1"/>
        <v>63.960000000000008</v>
      </c>
      <c r="L64" s="179">
        <f t="shared" si="2"/>
        <v>38.375999999999998</v>
      </c>
      <c r="M64" s="179">
        <f t="shared" si="3"/>
        <v>195.13220338983047</v>
      </c>
      <c r="N64" s="205">
        <f t="shared" si="4"/>
        <v>992.62640338983056</v>
      </c>
      <c r="O64" s="179">
        <f t="shared" si="5"/>
        <v>286.57359661016949</v>
      </c>
      <c r="P64" s="184">
        <f t="shared" si="6"/>
        <v>0.22402563837567971</v>
      </c>
      <c r="Q64" s="179">
        <f t="shared" si="15"/>
        <v>1279.2</v>
      </c>
      <c r="R64" s="179">
        <v>1599</v>
      </c>
      <c r="S64" s="179"/>
      <c r="T64" s="179" t="e">
        <f>VLOOKUP(C64,'Margin Calculation'!G:AR,40,0)</f>
        <v>#REF!</v>
      </c>
      <c r="U64" s="182"/>
      <c r="V64" s="182"/>
      <c r="W64" s="182"/>
      <c r="X64" s="182"/>
      <c r="Y64" s="182"/>
    </row>
    <row r="65" spans="1:25" ht="14.4" hidden="1">
      <c r="A65" s="271" t="s">
        <v>1104</v>
      </c>
      <c r="B65" s="271" t="s">
        <v>736</v>
      </c>
      <c r="C65" s="274" t="s">
        <v>737</v>
      </c>
      <c r="D65" s="273" t="s">
        <v>738</v>
      </c>
      <c r="E65" s="271" t="s">
        <v>314</v>
      </c>
      <c r="F65" s="271" t="s">
        <v>465</v>
      </c>
      <c r="G65" s="205">
        <f>VLOOKUP(C65,'Margin Calculation'!G:Y,19,0)</f>
        <v>1034.2646999999999</v>
      </c>
      <c r="H65" s="205">
        <f>VLOOKUP(C65,'Margin Calculation'!G:Z,20,0)</f>
        <v>1220.4323459999998</v>
      </c>
      <c r="I65" s="182">
        <v>30</v>
      </c>
      <c r="J65" s="179">
        <f t="shared" si="0"/>
        <v>103.96000000000002</v>
      </c>
      <c r="K65" s="179">
        <f t="shared" si="1"/>
        <v>103.96000000000002</v>
      </c>
      <c r="L65" s="179">
        <f t="shared" si="2"/>
        <v>62.376000000000005</v>
      </c>
      <c r="M65" s="179">
        <f t="shared" si="3"/>
        <v>317.16610169491514</v>
      </c>
      <c r="N65" s="205">
        <f t="shared" si="4"/>
        <v>1651.7268016949151</v>
      </c>
      <c r="O65" s="179">
        <f t="shared" si="5"/>
        <v>427.47319830508513</v>
      </c>
      <c r="P65" s="184">
        <f t="shared" si="6"/>
        <v>0.20559503573734372</v>
      </c>
      <c r="Q65" s="179">
        <f t="shared" si="15"/>
        <v>2079.2000000000003</v>
      </c>
      <c r="R65" s="179">
        <v>2599</v>
      </c>
      <c r="S65" s="179"/>
      <c r="T65" s="179" t="e">
        <f>VLOOKUP(C65,'Margin Calculation'!G:AR,40,0)</f>
        <v>#REF!</v>
      </c>
      <c r="U65" s="182"/>
      <c r="V65" s="182"/>
      <c r="W65" s="182"/>
      <c r="X65" s="182"/>
      <c r="Y65" s="182"/>
    </row>
    <row r="66" spans="1:25" ht="14.4">
      <c r="A66" s="271" t="s">
        <v>934</v>
      </c>
      <c r="B66" s="271" t="s">
        <v>740</v>
      </c>
      <c r="C66" s="274" t="s">
        <v>741</v>
      </c>
      <c r="D66" s="273" t="s">
        <v>742</v>
      </c>
      <c r="E66" s="273" t="s">
        <v>249</v>
      </c>
      <c r="F66" s="273"/>
      <c r="G66" s="205">
        <f>VLOOKUP(C66,'Margin Calculation'!G:Y,19,0)</f>
        <v>917.08199999999999</v>
      </c>
      <c r="H66" s="205">
        <f>VLOOKUP(C66,'Margin Calculation'!G:Z,20,0)</f>
        <v>1082.1567599999998</v>
      </c>
      <c r="I66" s="182">
        <v>30</v>
      </c>
      <c r="J66" s="179">
        <f t="shared" si="0"/>
        <v>77.850000000000009</v>
      </c>
      <c r="K66" s="179">
        <f t="shared" si="1"/>
        <v>77.850000000000009</v>
      </c>
      <c r="L66" s="179">
        <f t="shared" si="2"/>
        <v>46.71</v>
      </c>
      <c r="M66" s="179">
        <f t="shared" si="3"/>
        <v>237.50847457627106</v>
      </c>
      <c r="N66" s="205">
        <f t="shared" si="4"/>
        <v>1387.000474576271</v>
      </c>
      <c r="O66" s="179">
        <f t="shared" si="5"/>
        <v>169.99952542372898</v>
      </c>
      <c r="P66" s="184">
        <f t="shared" si="6"/>
        <v>0.10918402403579254</v>
      </c>
      <c r="Q66" s="233">
        <v>1557</v>
      </c>
      <c r="R66" s="179">
        <v>2099</v>
      </c>
      <c r="S66" s="179">
        <f>R66*0.8</f>
        <v>1679.2</v>
      </c>
      <c r="T66" s="179" t="e">
        <f>VLOOKUP(C66,'Margin Calculation'!G:AR,40,0)</f>
        <v>#REF!</v>
      </c>
      <c r="U66" s="182"/>
      <c r="V66" s="182"/>
      <c r="W66" s="182"/>
      <c r="X66" s="182"/>
      <c r="Y66" s="182"/>
    </row>
    <row r="67" spans="1:25" ht="14.4" hidden="1">
      <c r="A67" s="271" t="s">
        <v>1104</v>
      </c>
      <c r="B67" s="271" t="s">
        <v>744</v>
      </c>
      <c r="C67" s="274" t="s">
        <v>745</v>
      </c>
      <c r="D67" s="273" t="s">
        <v>746</v>
      </c>
      <c r="E67" s="271" t="s">
        <v>314</v>
      </c>
      <c r="F67" s="271" t="s">
        <v>618</v>
      </c>
      <c r="G67" s="205">
        <f>VLOOKUP(C67,'Margin Calculation'!G:Y,19,0)</f>
        <v>855.94319999999993</v>
      </c>
      <c r="H67" s="205">
        <f>VLOOKUP(C67,'Margin Calculation'!G:Z,20,0)</f>
        <v>1010.0129759999999</v>
      </c>
      <c r="I67" s="182">
        <v>30</v>
      </c>
      <c r="J67" s="179">
        <f t="shared" si="0"/>
        <v>85</v>
      </c>
      <c r="K67" s="179">
        <f t="shared" si="1"/>
        <v>85</v>
      </c>
      <c r="L67" s="179">
        <f t="shared" si="2"/>
        <v>51</v>
      </c>
      <c r="M67" s="179">
        <f t="shared" si="3"/>
        <v>259.32203389830511</v>
      </c>
      <c r="N67" s="205">
        <f t="shared" si="4"/>
        <v>1366.265233898305</v>
      </c>
      <c r="O67" s="179">
        <f t="shared" si="5"/>
        <v>333.73476610169496</v>
      </c>
      <c r="P67" s="184">
        <f t="shared" si="6"/>
        <v>0.19631456829511468</v>
      </c>
      <c r="Q67" s="179">
        <v>1700</v>
      </c>
      <c r="R67" s="179">
        <v>2689</v>
      </c>
      <c r="S67" s="179"/>
      <c r="T67" s="179" t="e">
        <f>VLOOKUP(C67,'Margin Calculation'!G:AR,40,0)</f>
        <v>#REF!</v>
      </c>
      <c r="U67" s="182"/>
      <c r="V67" s="182"/>
      <c r="W67" s="182"/>
      <c r="X67" s="182"/>
      <c r="Y67" s="182"/>
    </row>
    <row r="68" spans="1:25" ht="14.4" hidden="1">
      <c r="A68" s="271"/>
      <c r="B68" s="271" t="s">
        <v>749</v>
      </c>
      <c r="C68" s="274" t="s">
        <v>750</v>
      </c>
      <c r="D68" s="273" t="s">
        <v>751</v>
      </c>
      <c r="E68" s="271" t="s">
        <v>314</v>
      </c>
      <c r="F68" s="271" t="s">
        <v>618</v>
      </c>
      <c r="G68" s="205">
        <f>VLOOKUP(C68,'Margin Calculation'!G:Y,19,0)</f>
        <v>881.41770000000008</v>
      </c>
      <c r="H68" s="205">
        <f>VLOOKUP(C68,'Margin Calculation'!G:Z,20,0)</f>
        <v>1040.0728860000002</v>
      </c>
      <c r="I68" s="182">
        <v>30</v>
      </c>
      <c r="J68" s="179">
        <f t="shared" si="0"/>
        <v>57.960000000000008</v>
      </c>
      <c r="K68" s="179">
        <f t="shared" si="1"/>
        <v>57.960000000000008</v>
      </c>
      <c r="L68" s="179">
        <f t="shared" si="2"/>
        <v>34.776000000000003</v>
      </c>
      <c r="M68" s="179">
        <f t="shared" si="3"/>
        <v>176.8271186440677</v>
      </c>
      <c r="N68" s="205">
        <f t="shared" si="4"/>
        <v>1238.9408186440678</v>
      </c>
      <c r="O68" s="179">
        <f t="shared" si="5"/>
        <v>-79.740818644067758</v>
      </c>
      <c r="P68" s="184">
        <f t="shared" si="6"/>
        <v>-6.8789526090465625E-2</v>
      </c>
      <c r="Q68" s="179">
        <f t="shared" ref="Q68:Q92" si="16">R68*0.8</f>
        <v>1159.2</v>
      </c>
      <c r="R68" s="179">
        <v>1449</v>
      </c>
      <c r="S68" s="179"/>
      <c r="T68" s="179" t="e">
        <f>VLOOKUP(C68,'Margin Calculation'!G:AR,40,0)</f>
        <v>#REF!</v>
      </c>
      <c r="U68" s="182"/>
      <c r="V68" s="182"/>
      <c r="W68" s="182"/>
      <c r="X68" s="182"/>
      <c r="Y68" s="182"/>
    </row>
    <row r="69" spans="1:25" ht="14.4" hidden="1">
      <c r="A69" s="271"/>
      <c r="B69" s="271" t="s">
        <v>764</v>
      </c>
      <c r="C69" s="274" t="s">
        <v>765</v>
      </c>
      <c r="D69" s="273" t="s">
        <v>766</v>
      </c>
      <c r="E69" s="271" t="s">
        <v>314</v>
      </c>
      <c r="F69" s="271" t="s">
        <v>618</v>
      </c>
      <c r="G69" s="205">
        <f>VLOOKUP(C69,'Margin Calculation'!G:Y,19,0)</f>
        <v>1222.7760000000001</v>
      </c>
      <c r="H69" s="205">
        <f>VLOOKUP(C69,'Margin Calculation'!G:Z,20,0)</f>
        <v>1442.8756800000001</v>
      </c>
      <c r="I69" s="182">
        <v>30</v>
      </c>
      <c r="J69" s="179">
        <f t="shared" si="0"/>
        <v>70.52000000000001</v>
      </c>
      <c r="K69" s="179">
        <f t="shared" si="1"/>
        <v>70.52000000000001</v>
      </c>
      <c r="L69" s="179">
        <f t="shared" si="2"/>
        <v>42.311999999999998</v>
      </c>
      <c r="M69" s="179">
        <f t="shared" si="3"/>
        <v>215.14576271186434</v>
      </c>
      <c r="N69" s="205">
        <f t="shared" si="4"/>
        <v>1651.2737627118643</v>
      </c>
      <c r="O69" s="179">
        <f t="shared" si="5"/>
        <v>-240.87376271186417</v>
      </c>
      <c r="P69" s="184">
        <f t="shared" si="6"/>
        <v>-0.17078400646048225</v>
      </c>
      <c r="Q69" s="179">
        <f t="shared" si="16"/>
        <v>1410.4</v>
      </c>
      <c r="R69" s="179">
        <v>1763</v>
      </c>
      <c r="S69" s="179"/>
      <c r="T69" s="179" t="e">
        <f>VLOOKUP(C69,'Margin Calculation'!G:AR,40,0)</f>
        <v>#REF!</v>
      </c>
      <c r="U69" s="182"/>
      <c r="V69" s="182"/>
      <c r="W69" s="182"/>
      <c r="X69" s="182"/>
      <c r="Y69" s="182"/>
    </row>
    <row r="70" spans="1:25" ht="14.4" hidden="1">
      <c r="A70" s="271" t="s">
        <v>1104</v>
      </c>
      <c r="B70" s="271" t="s">
        <v>954</v>
      </c>
      <c r="C70" s="274" t="s">
        <v>769</v>
      </c>
      <c r="D70" s="273" t="s">
        <v>770</v>
      </c>
      <c r="E70" s="271" t="s">
        <v>314</v>
      </c>
      <c r="F70" s="271" t="s">
        <v>618</v>
      </c>
      <c r="G70" s="205">
        <f>VLOOKUP(C70,'Margin Calculation'!G:Y,19,0)</f>
        <v>781.55766000000006</v>
      </c>
      <c r="H70" s="205">
        <f>VLOOKUP(C70,'Margin Calculation'!G:Z,20,0)</f>
        <v>922.23803880000003</v>
      </c>
      <c r="I70" s="182">
        <v>30</v>
      </c>
      <c r="J70" s="179">
        <f t="shared" si="0"/>
        <v>70.36</v>
      </c>
      <c r="K70" s="179">
        <f t="shared" si="1"/>
        <v>70.36</v>
      </c>
      <c r="L70" s="179">
        <f t="shared" si="2"/>
        <v>42.216000000000001</v>
      </c>
      <c r="M70" s="179">
        <f t="shared" si="3"/>
        <v>214.65762711864409</v>
      </c>
      <c r="N70" s="205">
        <f t="shared" si="4"/>
        <v>1209.1512871186442</v>
      </c>
      <c r="O70" s="179">
        <f t="shared" si="5"/>
        <v>198.04871288135587</v>
      </c>
      <c r="P70" s="184">
        <f t="shared" si="6"/>
        <v>0.14073956287759798</v>
      </c>
      <c r="Q70" s="179">
        <f t="shared" si="16"/>
        <v>1407.2</v>
      </c>
      <c r="R70" s="179">
        <v>1759</v>
      </c>
      <c r="S70" s="179"/>
      <c r="T70" s="179" t="e">
        <f>VLOOKUP(C70,'Margin Calculation'!G:AR,40,0)</f>
        <v>#REF!</v>
      </c>
      <c r="U70" s="182"/>
      <c r="V70" s="182"/>
      <c r="W70" s="182"/>
      <c r="X70" s="182"/>
      <c r="Y70" s="182"/>
    </row>
    <row r="71" spans="1:25" ht="14.4" hidden="1">
      <c r="A71" s="271" t="s">
        <v>1104</v>
      </c>
      <c r="B71" s="271" t="s">
        <v>775</v>
      </c>
      <c r="C71" s="274" t="s">
        <v>776</v>
      </c>
      <c r="D71" s="273" t="s">
        <v>777</v>
      </c>
      <c r="E71" s="271" t="s">
        <v>314</v>
      </c>
      <c r="F71" s="271" t="s">
        <v>618</v>
      </c>
      <c r="G71" s="205">
        <f>VLOOKUP(C71,'Margin Calculation'!G:Y,19,0)</f>
        <v>946.84235999999999</v>
      </c>
      <c r="H71" s="205">
        <f>VLOOKUP(C71,'Margin Calculation'!G:Z,20,0)</f>
        <v>1117.2739847999999</v>
      </c>
      <c r="I71" s="182">
        <v>30</v>
      </c>
      <c r="J71" s="179">
        <f t="shared" si="0"/>
        <v>74.36</v>
      </c>
      <c r="K71" s="179">
        <f t="shared" si="1"/>
        <v>74.36</v>
      </c>
      <c r="L71" s="179">
        <f t="shared" si="2"/>
        <v>44.616</v>
      </c>
      <c r="M71" s="179">
        <f t="shared" si="3"/>
        <v>226.86101694915237</v>
      </c>
      <c r="N71" s="205">
        <f t="shared" si="4"/>
        <v>1397.0393769491523</v>
      </c>
      <c r="O71" s="179">
        <f t="shared" si="5"/>
        <v>90.160623050847789</v>
      </c>
      <c r="P71" s="184">
        <f t="shared" si="6"/>
        <v>6.0624410335427509E-2</v>
      </c>
      <c r="Q71" s="179">
        <f t="shared" si="16"/>
        <v>1487.2</v>
      </c>
      <c r="R71" s="179">
        <v>1859</v>
      </c>
      <c r="S71" s="179"/>
      <c r="T71" s="179" t="e">
        <f>VLOOKUP(C71,'Margin Calculation'!G:AR,40,0)</f>
        <v>#REF!</v>
      </c>
      <c r="U71" s="182"/>
      <c r="V71" s="182"/>
      <c r="W71" s="182"/>
      <c r="X71" s="182"/>
      <c r="Y71" s="182"/>
    </row>
    <row r="72" spans="1:25" ht="14.4" hidden="1">
      <c r="A72" s="271" t="s">
        <v>1104</v>
      </c>
      <c r="B72" s="271" t="s">
        <v>779</v>
      </c>
      <c r="C72" s="274" t="s">
        <v>780</v>
      </c>
      <c r="D72" s="273" t="s">
        <v>781</v>
      </c>
      <c r="E72" s="271" t="s">
        <v>234</v>
      </c>
      <c r="F72" s="271" t="s">
        <v>249</v>
      </c>
      <c r="G72" s="205">
        <f>VLOOKUP(C72,'Margin Calculation'!G:Y,19,0)</f>
        <v>754.04520000000002</v>
      </c>
      <c r="H72" s="205">
        <f>VLOOKUP(C72,'Margin Calculation'!G:Z,20,0)</f>
        <v>889.77333599999997</v>
      </c>
      <c r="I72" s="182">
        <v>30</v>
      </c>
      <c r="J72" s="179">
        <f t="shared" si="0"/>
        <v>55.960000000000008</v>
      </c>
      <c r="K72" s="179">
        <f t="shared" si="1"/>
        <v>55.960000000000008</v>
      </c>
      <c r="L72" s="179">
        <f t="shared" si="2"/>
        <v>33.576000000000001</v>
      </c>
      <c r="M72" s="179">
        <f t="shared" si="3"/>
        <v>170.72542372881355</v>
      </c>
      <c r="N72" s="205">
        <f t="shared" si="4"/>
        <v>1100.2666237288136</v>
      </c>
      <c r="O72" s="179">
        <f t="shared" si="5"/>
        <v>18.933376271186489</v>
      </c>
      <c r="P72" s="184">
        <f t="shared" si="6"/>
        <v>1.691688373050973E-2</v>
      </c>
      <c r="Q72" s="179">
        <f t="shared" si="16"/>
        <v>1119.2</v>
      </c>
      <c r="R72" s="179">
        <v>1399</v>
      </c>
      <c r="S72" s="179"/>
      <c r="T72" s="179" t="e">
        <f>VLOOKUP(C72,'Margin Calculation'!G:AR,40,0)</f>
        <v>#REF!</v>
      </c>
      <c r="U72" s="182"/>
      <c r="V72" s="182"/>
      <c r="W72" s="182"/>
      <c r="X72" s="182"/>
      <c r="Y72" s="182"/>
    </row>
    <row r="73" spans="1:25" ht="14.4" hidden="1">
      <c r="A73" s="271" t="s">
        <v>1104</v>
      </c>
      <c r="B73" s="271" t="s">
        <v>783</v>
      </c>
      <c r="C73" s="274" t="s">
        <v>784</v>
      </c>
      <c r="D73" s="271" t="s">
        <v>785</v>
      </c>
      <c r="E73" s="271" t="s">
        <v>786</v>
      </c>
      <c r="F73" s="271"/>
      <c r="G73" s="205">
        <f>VLOOKUP(C73,'Margin Calculation'!G:Y,19,0)</f>
        <v>1209.5568000000001</v>
      </c>
      <c r="H73" s="205">
        <f>VLOOKUP(C73,'Margin Calculation'!G:Z,20,0)</f>
        <v>1427.277024</v>
      </c>
      <c r="I73" s="182">
        <v>30</v>
      </c>
      <c r="J73" s="179">
        <f t="shared" si="0"/>
        <v>111.96000000000002</v>
      </c>
      <c r="K73" s="179">
        <f t="shared" si="1"/>
        <v>111.96000000000002</v>
      </c>
      <c r="L73" s="179">
        <f t="shared" si="2"/>
        <v>67.176000000000002</v>
      </c>
      <c r="M73" s="179">
        <f t="shared" si="3"/>
        <v>341.57288135593217</v>
      </c>
      <c r="N73" s="205">
        <f t="shared" si="4"/>
        <v>1872.2256813559322</v>
      </c>
      <c r="O73" s="179">
        <f t="shared" si="5"/>
        <v>366.97431864406803</v>
      </c>
      <c r="P73" s="184">
        <f t="shared" si="6"/>
        <v>0.16388635166312432</v>
      </c>
      <c r="Q73" s="179">
        <f t="shared" si="16"/>
        <v>2239.2000000000003</v>
      </c>
      <c r="R73" s="179">
        <v>2799</v>
      </c>
      <c r="S73" s="179"/>
      <c r="T73" s="179" t="e">
        <f>VLOOKUP(C73,'Margin Calculation'!G:AR,40,0)</f>
        <v>#REF!</v>
      </c>
      <c r="U73" s="182"/>
      <c r="V73" s="182"/>
      <c r="W73" s="182"/>
      <c r="X73" s="182"/>
      <c r="Y73" s="182"/>
    </row>
    <row r="74" spans="1:25" ht="14.4" hidden="1">
      <c r="A74" s="271" t="s">
        <v>1104</v>
      </c>
      <c r="B74" s="271" t="s">
        <v>788</v>
      </c>
      <c r="C74" s="274" t="s">
        <v>789</v>
      </c>
      <c r="D74" s="271" t="s">
        <v>790</v>
      </c>
      <c r="E74" s="271" t="s">
        <v>671</v>
      </c>
      <c r="F74" s="271"/>
      <c r="G74" s="205">
        <f>VLOOKUP(C74,'Margin Calculation'!G:Y,19,0)</f>
        <v>2855.8980000000001</v>
      </c>
      <c r="H74" s="205">
        <f>VLOOKUP(C74,'Margin Calculation'!G:Z,20,0)</f>
        <v>3369.95964</v>
      </c>
      <c r="I74" s="182">
        <v>30</v>
      </c>
      <c r="J74" s="179">
        <f t="shared" si="0"/>
        <v>247.96000000000004</v>
      </c>
      <c r="K74" s="179">
        <f t="shared" si="1"/>
        <v>247.96000000000004</v>
      </c>
      <c r="L74" s="179">
        <f t="shared" si="2"/>
        <v>148.77600000000001</v>
      </c>
      <c r="M74" s="179">
        <f t="shared" si="3"/>
        <v>756.48813559322025</v>
      </c>
      <c r="N74" s="205">
        <f t="shared" si="4"/>
        <v>4287.0821355932203</v>
      </c>
      <c r="O74" s="179">
        <f t="shared" si="5"/>
        <v>672.11786440678043</v>
      </c>
      <c r="P74" s="184">
        <f t="shared" si="6"/>
        <v>0.13552949354871358</v>
      </c>
      <c r="Q74" s="179">
        <f t="shared" si="16"/>
        <v>4959.2000000000007</v>
      </c>
      <c r="R74" s="179">
        <v>6199</v>
      </c>
      <c r="S74" s="179"/>
      <c r="T74" s="179" t="e">
        <f>VLOOKUP(C74,'Margin Calculation'!G:AR,40,0)</f>
        <v>#REF!</v>
      </c>
      <c r="U74" s="182"/>
      <c r="V74" s="182"/>
      <c r="W74" s="182"/>
      <c r="X74" s="182"/>
      <c r="Y74" s="182"/>
    </row>
    <row r="75" spans="1:25" ht="14.4" hidden="1">
      <c r="A75" s="271" t="s">
        <v>1104</v>
      </c>
      <c r="B75" s="271" t="s">
        <v>792</v>
      </c>
      <c r="C75" s="274" t="s">
        <v>793</v>
      </c>
      <c r="D75" s="273" t="s">
        <v>794</v>
      </c>
      <c r="E75" s="273" t="s">
        <v>795</v>
      </c>
      <c r="F75" s="273"/>
      <c r="G75" s="205">
        <f>VLOOKUP(C75,'Margin Calculation'!G:Y,19,0)</f>
        <v>318.06864000000002</v>
      </c>
      <c r="H75" s="205">
        <f>VLOOKUP(C75,'Margin Calculation'!G:Z,20,0)</f>
        <v>375.32099520000003</v>
      </c>
      <c r="I75" s="182">
        <v>30</v>
      </c>
      <c r="J75" s="179">
        <f t="shared" si="0"/>
        <v>27.960000000000004</v>
      </c>
      <c r="K75" s="179">
        <f t="shared" si="1"/>
        <v>27.960000000000004</v>
      </c>
      <c r="L75" s="179">
        <f t="shared" si="2"/>
        <v>16.776</v>
      </c>
      <c r="M75" s="179">
        <f t="shared" si="3"/>
        <v>85.301694915254245</v>
      </c>
      <c r="N75" s="205">
        <f t="shared" si="4"/>
        <v>506.06633491525423</v>
      </c>
      <c r="O75" s="179">
        <f t="shared" si="5"/>
        <v>53.133665084745815</v>
      </c>
      <c r="P75" s="184">
        <f t="shared" si="6"/>
        <v>9.5017283771004671E-2</v>
      </c>
      <c r="Q75" s="179">
        <f t="shared" si="16"/>
        <v>559.20000000000005</v>
      </c>
      <c r="R75" s="179">
        <v>699</v>
      </c>
      <c r="S75" s="179"/>
      <c r="T75" s="179" t="e">
        <f>VLOOKUP(C75,'Margin Calculation'!G:AR,40,0)</f>
        <v>#REF!</v>
      </c>
      <c r="U75" s="182"/>
      <c r="V75" s="182"/>
      <c r="W75" s="182"/>
      <c r="X75" s="182"/>
      <c r="Y75" s="182"/>
    </row>
    <row r="76" spans="1:25" ht="14.4" hidden="1">
      <c r="A76" s="271"/>
      <c r="B76" s="271" t="s">
        <v>802</v>
      </c>
      <c r="C76" s="274" t="s">
        <v>803</v>
      </c>
      <c r="D76" s="273" t="s">
        <v>804</v>
      </c>
      <c r="E76" s="273" t="s">
        <v>800</v>
      </c>
      <c r="F76" s="273"/>
      <c r="G76" s="205">
        <f>VLOOKUP(C76,'Margin Calculation'!G:Y,19,0)</f>
        <v>804.99420000000009</v>
      </c>
      <c r="H76" s="205">
        <f>VLOOKUP(C76,'Margin Calculation'!G:Z,20,0)</f>
        <v>949.89315600000009</v>
      </c>
      <c r="I76" s="182">
        <v>30</v>
      </c>
      <c r="J76" s="179">
        <f t="shared" si="0"/>
        <v>159.96000000000004</v>
      </c>
      <c r="K76" s="179">
        <f t="shared" si="1"/>
        <v>159.96000000000004</v>
      </c>
      <c r="L76" s="179">
        <f t="shared" si="2"/>
        <v>95.975999999999999</v>
      </c>
      <c r="M76" s="179">
        <f t="shared" si="3"/>
        <v>488.01355932203387</v>
      </c>
      <c r="N76" s="205">
        <f t="shared" si="4"/>
        <v>1738.9037593220341</v>
      </c>
      <c r="O76" s="179">
        <f t="shared" si="5"/>
        <v>1460.2962406779661</v>
      </c>
      <c r="P76" s="184">
        <f t="shared" si="6"/>
        <v>0.45645668938421041</v>
      </c>
      <c r="Q76" s="179">
        <f t="shared" si="16"/>
        <v>3199.2000000000003</v>
      </c>
      <c r="R76" s="179">
        <v>3999</v>
      </c>
      <c r="S76" s="179"/>
      <c r="T76" s="179" t="e">
        <f>VLOOKUP(C76,'Margin Calculation'!G:AR,40,0)</f>
        <v>#REF!</v>
      </c>
      <c r="U76" s="182"/>
      <c r="V76" s="182"/>
      <c r="W76" s="182"/>
      <c r="X76" s="182"/>
      <c r="Y76" s="182"/>
    </row>
    <row r="77" spans="1:25" ht="14.4" hidden="1">
      <c r="A77" s="271"/>
      <c r="B77" s="271" t="s">
        <v>810</v>
      </c>
      <c r="C77" s="272" t="s">
        <v>811</v>
      </c>
      <c r="D77" s="271" t="s">
        <v>812</v>
      </c>
      <c r="E77" s="271" t="s">
        <v>813</v>
      </c>
      <c r="F77" s="271"/>
      <c r="G77" s="205">
        <f>VLOOKUP(C77,'Margin Calculation'!G:Y,19,0)</f>
        <v>429.92094600000001</v>
      </c>
      <c r="H77" s="205">
        <f>VLOOKUP(C77,'Margin Calculation'!G:Z,20,0)</f>
        <v>481.51145952000007</v>
      </c>
      <c r="I77" s="182">
        <v>30</v>
      </c>
      <c r="J77" s="179">
        <f t="shared" si="0"/>
        <v>43.960000000000008</v>
      </c>
      <c r="K77" s="179">
        <f t="shared" si="1"/>
        <v>43.960000000000008</v>
      </c>
      <c r="L77" s="179">
        <f t="shared" si="2"/>
        <v>26.376000000000001</v>
      </c>
      <c r="M77" s="179">
        <f t="shared" si="3"/>
        <v>134.11525423728813</v>
      </c>
      <c r="N77" s="205">
        <f t="shared" si="4"/>
        <v>708.33220023728813</v>
      </c>
      <c r="O77" s="179">
        <f t="shared" si="5"/>
        <v>170.86779976271191</v>
      </c>
      <c r="P77" s="184">
        <f t="shared" si="6"/>
        <v>0.19434463121327558</v>
      </c>
      <c r="Q77" s="179">
        <f t="shared" si="16"/>
        <v>879.2</v>
      </c>
      <c r="R77" s="179">
        <v>1099</v>
      </c>
      <c r="S77" s="179"/>
      <c r="T77" s="179" t="e">
        <f>VLOOKUP(C77,'Margin Calculation'!G:AR,40,0)</f>
        <v>#REF!</v>
      </c>
      <c r="U77" s="182"/>
      <c r="V77" s="182"/>
      <c r="W77" s="182"/>
      <c r="X77" s="182"/>
      <c r="Y77" s="182"/>
    </row>
    <row r="78" spans="1:25" ht="14.4" hidden="1">
      <c r="A78" s="271" t="s">
        <v>1104</v>
      </c>
      <c r="B78" s="271" t="s">
        <v>815</v>
      </c>
      <c r="C78" s="272" t="s">
        <v>816</v>
      </c>
      <c r="D78" s="271" t="s">
        <v>817</v>
      </c>
      <c r="E78" s="271" t="s">
        <v>813</v>
      </c>
      <c r="F78" s="271"/>
      <c r="G78" s="205">
        <f>VLOOKUP(C78,'Margin Calculation'!G:Y,19,0)</f>
        <v>429.92094600000001</v>
      </c>
      <c r="H78" s="205">
        <f>VLOOKUP(C78,'Margin Calculation'!G:Z,20,0)</f>
        <v>481.51145952000007</v>
      </c>
      <c r="I78" s="182">
        <v>30</v>
      </c>
      <c r="J78" s="179">
        <f t="shared" si="0"/>
        <v>43.960000000000008</v>
      </c>
      <c r="K78" s="179">
        <f t="shared" si="1"/>
        <v>43.960000000000008</v>
      </c>
      <c r="L78" s="179">
        <f t="shared" si="2"/>
        <v>26.376000000000001</v>
      </c>
      <c r="M78" s="179">
        <f t="shared" si="3"/>
        <v>134.11525423728813</v>
      </c>
      <c r="N78" s="205">
        <f t="shared" si="4"/>
        <v>708.33220023728813</v>
      </c>
      <c r="O78" s="179">
        <f t="shared" si="5"/>
        <v>170.86779976271191</v>
      </c>
      <c r="P78" s="184">
        <f t="shared" si="6"/>
        <v>0.19434463121327558</v>
      </c>
      <c r="Q78" s="179">
        <f t="shared" si="16"/>
        <v>879.2</v>
      </c>
      <c r="R78" s="179">
        <v>1099</v>
      </c>
      <c r="S78" s="179"/>
      <c r="T78" s="179" t="e">
        <f>VLOOKUP(C78,'Margin Calculation'!G:AR,40,0)</f>
        <v>#REF!</v>
      </c>
      <c r="U78" s="182"/>
      <c r="V78" s="182"/>
      <c r="W78" s="182"/>
      <c r="X78" s="182"/>
      <c r="Y78" s="182"/>
    </row>
    <row r="79" spans="1:25" ht="14.4" hidden="1">
      <c r="A79" s="271" t="s">
        <v>1104</v>
      </c>
      <c r="B79" s="271" t="s">
        <v>819</v>
      </c>
      <c r="C79" s="272" t="s">
        <v>820</v>
      </c>
      <c r="D79" s="271" t="s">
        <v>821</v>
      </c>
      <c r="E79" s="271" t="s">
        <v>234</v>
      </c>
      <c r="F79" s="271"/>
      <c r="G79" s="205">
        <f>VLOOKUP(C79,'Margin Calculation'!G:Y,19,0)</f>
        <v>8295.4063129764709</v>
      </c>
      <c r="H79" s="205">
        <f>VLOOKUP(C79,'Margin Calculation'!G:Z,20,0)</f>
        <v>9290.8550705336474</v>
      </c>
      <c r="I79" s="182">
        <v>30</v>
      </c>
      <c r="J79" s="179">
        <f t="shared" si="0"/>
        <v>639.6</v>
      </c>
      <c r="K79" s="179">
        <f t="shared" si="1"/>
        <v>639.6</v>
      </c>
      <c r="L79" s="179">
        <f t="shared" si="2"/>
        <v>383.76</v>
      </c>
      <c r="M79" s="179">
        <f t="shared" si="3"/>
        <v>1951.3220338983047</v>
      </c>
      <c r="N79" s="205">
        <f t="shared" si="4"/>
        <v>11939.688346874776</v>
      </c>
      <c r="O79" s="179">
        <f t="shared" si="5"/>
        <v>852.31165312522353</v>
      </c>
      <c r="P79" s="184">
        <f t="shared" si="6"/>
        <v>6.662849070710003E-2</v>
      </c>
      <c r="Q79" s="179">
        <f t="shared" si="16"/>
        <v>12792</v>
      </c>
      <c r="R79" s="179">
        <v>15990</v>
      </c>
      <c r="S79" s="179"/>
      <c r="T79" s="179" t="e">
        <f>VLOOKUP(C79,'Margin Calculation'!G:AR,40,0)</f>
        <v>#REF!</v>
      </c>
      <c r="U79" s="182"/>
      <c r="V79" s="182"/>
      <c r="W79" s="182"/>
      <c r="X79" s="182"/>
      <c r="Y79" s="182"/>
    </row>
    <row r="80" spans="1:25" ht="14.4" hidden="1">
      <c r="A80" s="271" t="s">
        <v>1104</v>
      </c>
      <c r="B80" s="271" t="s">
        <v>827</v>
      </c>
      <c r="C80" s="272" t="s">
        <v>828</v>
      </c>
      <c r="D80" s="271" t="s">
        <v>829</v>
      </c>
      <c r="E80" s="271" t="s">
        <v>234</v>
      </c>
      <c r="F80" s="271"/>
      <c r="G80" s="205">
        <f>VLOOKUP(C80,'Margin Calculation'!G:Y,19,0)</f>
        <v>674.89533656470587</v>
      </c>
      <c r="H80" s="205">
        <f>VLOOKUP(C80,'Margin Calculation'!G:Z,20,0)</f>
        <v>755.88277695247064</v>
      </c>
      <c r="I80" s="182">
        <v>30</v>
      </c>
      <c r="J80" s="179">
        <f t="shared" si="0"/>
        <v>73.960000000000008</v>
      </c>
      <c r="K80" s="179">
        <f t="shared" si="1"/>
        <v>73.960000000000008</v>
      </c>
      <c r="L80" s="179">
        <f t="shared" si="2"/>
        <v>44.375999999999998</v>
      </c>
      <c r="M80" s="179">
        <f t="shared" si="3"/>
        <v>225.64067796610175</v>
      </c>
      <c r="N80" s="205">
        <f t="shared" si="4"/>
        <v>1122.8320145308076</v>
      </c>
      <c r="O80" s="179">
        <f t="shared" si="5"/>
        <v>356.36798546919249</v>
      </c>
      <c r="P80" s="184">
        <f t="shared" si="6"/>
        <v>0.24091940607706361</v>
      </c>
      <c r="Q80" s="179">
        <f t="shared" si="16"/>
        <v>1479.2</v>
      </c>
      <c r="R80" s="179">
        <v>1849</v>
      </c>
      <c r="S80" s="179"/>
      <c r="T80" s="179" t="e">
        <f>VLOOKUP(C80,'Margin Calculation'!G:AR,40,0)</f>
        <v>#REF!</v>
      </c>
      <c r="U80" s="182"/>
      <c r="V80" s="182"/>
      <c r="W80" s="182"/>
      <c r="X80" s="182"/>
      <c r="Y80" s="182"/>
    </row>
    <row r="81" spans="1:25" ht="14.4" hidden="1">
      <c r="A81" s="271"/>
      <c r="B81" s="271" t="s">
        <v>831</v>
      </c>
      <c r="C81" s="272" t="s">
        <v>832</v>
      </c>
      <c r="D81" s="271" t="s">
        <v>833</v>
      </c>
      <c r="E81" s="271" t="s">
        <v>234</v>
      </c>
      <c r="F81" s="271"/>
      <c r="G81" s="205">
        <f>VLOOKUP(C81,'Margin Calculation'!G:Y,19,0)</f>
        <v>674.89533656470587</v>
      </c>
      <c r="H81" s="205">
        <f>VLOOKUP(C81,'Margin Calculation'!G:Z,20,0)</f>
        <v>755.88277695247064</v>
      </c>
      <c r="I81" s="182">
        <v>30</v>
      </c>
      <c r="J81" s="179">
        <f t="shared" si="0"/>
        <v>71.960000000000008</v>
      </c>
      <c r="K81" s="179">
        <f t="shared" si="1"/>
        <v>71.960000000000008</v>
      </c>
      <c r="L81" s="179">
        <f t="shared" si="2"/>
        <v>43.176000000000002</v>
      </c>
      <c r="M81" s="179">
        <f t="shared" si="3"/>
        <v>219.53898305084749</v>
      </c>
      <c r="N81" s="205">
        <f t="shared" si="4"/>
        <v>1111.5303196155535</v>
      </c>
      <c r="O81" s="179">
        <f t="shared" si="5"/>
        <v>327.66968038444656</v>
      </c>
      <c r="P81" s="184">
        <f t="shared" si="6"/>
        <v>0.22767487519764212</v>
      </c>
      <c r="Q81" s="179">
        <f t="shared" si="16"/>
        <v>1439.2</v>
      </c>
      <c r="R81" s="179">
        <v>1799</v>
      </c>
      <c r="S81" s="179"/>
      <c r="T81" s="179" t="e">
        <f>VLOOKUP(C81,'Margin Calculation'!G:AR,40,0)</f>
        <v>#REF!</v>
      </c>
      <c r="U81" s="182"/>
      <c r="V81" s="182"/>
      <c r="W81" s="182"/>
      <c r="X81" s="182"/>
      <c r="Y81" s="182"/>
    </row>
    <row r="82" spans="1:25" ht="14.4" hidden="1">
      <c r="A82" s="271"/>
      <c r="B82" s="271" t="s">
        <v>839</v>
      </c>
      <c r="C82" s="274" t="s">
        <v>840</v>
      </c>
      <c r="D82" s="273" t="s">
        <v>841</v>
      </c>
      <c r="E82" s="273" t="s">
        <v>800</v>
      </c>
      <c r="F82" s="273"/>
      <c r="G82" s="205">
        <f>VLOOKUP(C82,'Margin Calculation'!G:Y,19,0)</f>
        <v>367.85177999999996</v>
      </c>
      <c r="H82" s="205">
        <f>VLOOKUP(C82,'Margin Calculation'!G:Z,20,0)</f>
        <v>434.06510039999995</v>
      </c>
      <c r="I82" s="182">
        <v>30</v>
      </c>
      <c r="J82" s="179">
        <f t="shared" si="0"/>
        <v>37.160000000000004</v>
      </c>
      <c r="K82" s="179">
        <f t="shared" si="1"/>
        <v>37.160000000000004</v>
      </c>
      <c r="L82" s="179">
        <f t="shared" si="2"/>
        <v>22.295999999999999</v>
      </c>
      <c r="M82" s="179">
        <f t="shared" si="3"/>
        <v>113.36949152542365</v>
      </c>
      <c r="N82" s="205">
        <f t="shared" si="4"/>
        <v>607.8372715254236</v>
      </c>
      <c r="O82" s="179">
        <f t="shared" si="5"/>
        <v>135.36272847457644</v>
      </c>
      <c r="P82" s="184">
        <f t="shared" si="6"/>
        <v>0.18213499525642685</v>
      </c>
      <c r="Q82" s="179">
        <f t="shared" si="16"/>
        <v>743.2</v>
      </c>
      <c r="R82" s="179">
        <v>929</v>
      </c>
      <c r="S82" s="179"/>
      <c r="T82" s="179" t="e">
        <f>VLOOKUP(C82,'Margin Calculation'!G:AR,40,0)</f>
        <v>#REF!</v>
      </c>
      <c r="U82" s="182"/>
      <c r="V82" s="182"/>
      <c r="W82" s="182"/>
      <c r="X82" s="182"/>
      <c r="Y82" s="182"/>
    </row>
    <row r="83" spans="1:25" ht="14.4" hidden="1">
      <c r="A83" s="271" t="s">
        <v>1104</v>
      </c>
      <c r="B83" s="271" t="s">
        <v>843</v>
      </c>
      <c r="C83" s="274" t="s">
        <v>844</v>
      </c>
      <c r="D83" s="273" t="s">
        <v>845</v>
      </c>
      <c r="E83" s="273" t="s">
        <v>800</v>
      </c>
      <c r="F83" s="273"/>
      <c r="G83" s="205">
        <f>VLOOKUP(C83,'Margin Calculation'!G:Y,19,0)</f>
        <v>830.46870000000001</v>
      </c>
      <c r="H83" s="205">
        <f>VLOOKUP(C83,'Margin Calculation'!G:Z,20,0)</f>
        <v>979.95306599999992</v>
      </c>
      <c r="I83" s="182">
        <v>30</v>
      </c>
      <c r="J83" s="179">
        <f t="shared" si="0"/>
        <v>78.760000000000005</v>
      </c>
      <c r="K83" s="179">
        <f t="shared" si="1"/>
        <v>78.760000000000005</v>
      </c>
      <c r="L83" s="179">
        <f t="shared" si="2"/>
        <v>47.256</v>
      </c>
      <c r="M83" s="179">
        <f t="shared" si="3"/>
        <v>240.28474576271174</v>
      </c>
      <c r="N83" s="205">
        <f t="shared" si="4"/>
        <v>1305.5294457627117</v>
      </c>
      <c r="O83" s="179">
        <f t="shared" si="5"/>
        <v>269.67055423728834</v>
      </c>
      <c r="P83" s="184">
        <f t="shared" si="6"/>
        <v>0.17119766013032525</v>
      </c>
      <c r="Q83" s="179">
        <f t="shared" si="16"/>
        <v>1575.2</v>
      </c>
      <c r="R83" s="179">
        <v>1969</v>
      </c>
      <c r="S83" s="179"/>
      <c r="T83" s="179" t="e">
        <f>VLOOKUP(C83,'Margin Calculation'!G:AR,40,0)</f>
        <v>#REF!</v>
      </c>
      <c r="U83" s="182"/>
      <c r="V83" s="182"/>
      <c r="W83" s="182"/>
      <c r="X83" s="182"/>
      <c r="Y83" s="182"/>
    </row>
    <row r="84" spans="1:25" ht="14.4" hidden="1">
      <c r="A84" s="271" t="s">
        <v>1104</v>
      </c>
      <c r="B84" s="271" t="s">
        <v>851</v>
      </c>
      <c r="C84" s="274" t="s">
        <v>852</v>
      </c>
      <c r="D84" s="273" t="s">
        <v>853</v>
      </c>
      <c r="E84" s="273" t="s">
        <v>800</v>
      </c>
      <c r="F84" s="273"/>
      <c r="G84" s="205">
        <f>VLOOKUP(C84,'Margin Calculation'!G:Y,19,0)</f>
        <v>2751.2459999999996</v>
      </c>
      <c r="H84" s="205">
        <f>VLOOKUP(C84,'Margin Calculation'!G:Z,20,0)</f>
        <v>3246.4702799999995</v>
      </c>
      <c r="I84" s="182">
        <v>30</v>
      </c>
      <c r="J84" s="179">
        <f t="shared" si="0"/>
        <v>239.96</v>
      </c>
      <c r="K84" s="179">
        <f t="shared" si="1"/>
        <v>239.96</v>
      </c>
      <c r="L84" s="179">
        <f t="shared" si="2"/>
        <v>143.976</v>
      </c>
      <c r="M84" s="179">
        <f t="shared" si="3"/>
        <v>732.08135593220322</v>
      </c>
      <c r="N84" s="205">
        <f t="shared" si="4"/>
        <v>4137.223355932203</v>
      </c>
      <c r="O84" s="179">
        <f t="shared" si="5"/>
        <v>661.97664406779677</v>
      </c>
      <c r="P84" s="184">
        <f t="shared" si="6"/>
        <v>0.13793478997912084</v>
      </c>
      <c r="Q84" s="179">
        <f t="shared" si="16"/>
        <v>4799.2</v>
      </c>
      <c r="R84" s="179">
        <v>5999</v>
      </c>
      <c r="S84" s="179"/>
      <c r="T84" s="179" t="e">
        <f>VLOOKUP(C84,'Margin Calculation'!G:AR,40,0)</f>
        <v>#REF!</v>
      </c>
      <c r="U84" s="182"/>
      <c r="V84" s="182"/>
      <c r="W84" s="182"/>
      <c r="X84" s="182"/>
      <c r="Y84" s="182"/>
    </row>
    <row r="85" spans="1:25" ht="14.4" hidden="1">
      <c r="A85" s="271" t="s">
        <v>1104</v>
      </c>
      <c r="B85" s="271" t="s">
        <v>859</v>
      </c>
      <c r="C85" s="272" t="s">
        <v>860</v>
      </c>
      <c r="D85" s="271" t="s">
        <v>861</v>
      </c>
      <c r="E85" s="271" t="s">
        <v>234</v>
      </c>
      <c r="F85" s="271"/>
      <c r="G85" s="205">
        <f>VLOOKUP(C85,'Margin Calculation'!G:Y,19,0)</f>
        <v>1783.2150000000001</v>
      </c>
      <c r="H85" s="205">
        <f>VLOOKUP(C85,'Margin Calculation'!G:Z,20,0)</f>
        <v>2104.1937000000003</v>
      </c>
      <c r="I85" s="182">
        <v>30</v>
      </c>
      <c r="J85" s="179">
        <f t="shared" si="0"/>
        <v>143.96</v>
      </c>
      <c r="K85" s="179">
        <f t="shared" si="1"/>
        <v>143.96</v>
      </c>
      <c r="L85" s="179">
        <f t="shared" si="2"/>
        <v>86.376000000000005</v>
      </c>
      <c r="M85" s="179">
        <f t="shared" si="3"/>
        <v>439.19999999999982</v>
      </c>
      <c r="N85" s="205">
        <f t="shared" si="4"/>
        <v>2626.7110000000002</v>
      </c>
      <c r="O85" s="179">
        <f t="shared" si="5"/>
        <v>252.48900000000003</v>
      </c>
      <c r="P85" s="184">
        <f t="shared" si="6"/>
        <v>8.7694151153098088E-2</v>
      </c>
      <c r="Q85" s="179">
        <f t="shared" si="16"/>
        <v>2879.2000000000003</v>
      </c>
      <c r="R85" s="179">
        <v>3599</v>
      </c>
      <c r="S85" s="179"/>
      <c r="T85" s="179" t="e">
        <f>VLOOKUP(C85,'Margin Calculation'!G:AR,40,0)</f>
        <v>#REF!</v>
      </c>
      <c r="U85" s="182"/>
      <c r="V85" s="182"/>
      <c r="W85" s="182"/>
      <c r="X85" s="182"/>
      <c r="Y85" s="182"/>
    </row>
    <row r="86" spans="1:25" ht="14.4" hidden="1">
      <c r="A86" s="271" t="s">
        <v>1104</v>
      </c>
      <c r="B86" s="271" t="s">
        <v>863</v>
      </c>
      <c r="C86" s="271" t="s">
        <v>864</v>
      </c>
      <c r="D86" s="271" t="s">
        <v>865</v>
      </c>
      <c r="E86" s="271" t="s">
        <v>314</v>
      </c>
      <c r="F86" s="271"/>
      <c r="G86" s="205">
        <f>VLOOKUP(C86,'Margin Calculation'!G:Y,19,0)</f>
        <v>1007.9640000000001</v>
      </c>
      <c r="H86" s="205">
        <f>VLOOKUP(C86,'Margin Calculation'!G:Z,20,0)</f>
        <v>1189.39752</v>
      </c>
      <c r="I86" s="182">
        <v>30</v>
      </c>
      <c r="J86" s="179">
        <f t="shared" si="0"/>
        <v>99.960000000000008</v>
      </c>
      <c r="K86" s="179">
        <f t="shared" si="1"/>
        <v>99.960000000000008</v>
      </c>
      <c r="L86" s="179">
        <f t="shared" si="2"/>
        <v>59.975999999999999</v>
      </c>
      <c r="M86" s="179">
        <f t="shared" si="3"/>
        <v>304.96271186440663</v>
      </c>
      <c r="N86" s="205">
        <f t="shared" si="4"/>
        <v>1602.8227118644068</v>
      </c>
      <c r="O86" s="179">
        <f t="shared" si="5"/>
        <v>396.37728813559329</v>
      </c>
      <c r="P86" s="184">
        <f t="shared" si="6"/>
        <v>0.19826795124829596</v>
      </c>
      <c r="Q86" s="179">
        <f t="shared" si="16"/>
        <v>1999.2</v>
      </c>
      <c r="R86" s="179">
        <v>2499</v>
      </c>
      <c r="S86" s="179"/>
      <c r="T86" s="179" t="e">
        <f>VLOOKUP(C86,'Margin Calculation'!G:AR,40,0)</f>
        <v>#REF!</v>
      </c>
      <c r="U86" s="182"/>
      <c r="V86" s="182"/>
      <c r="W86" s="182"/>
      <c r="X86" s="182"/>
      <c r="Y86" s="182"/>
    </row>
    <row r="87" spans="1:25" ht="14.4" hidden="1">
      <c r="A87" s="271" t="s">
        <v>1104</v>
      </c>
      <c r="B87" s="271" t="s">
        <v>870</v>
      </c>
      <c r="C87" s="274" t="s">
        <v>871</v>
      </c>
      <c r="D87" s="273" t="s">
        <v>872</v>
      </c>
      <c r="E87" s="273" t="s">
        <v>795</v>
      </c>
      <c r="F87" s="273"/>
      <c r="G87" s="205">
        <f>VLOOKUP(C87,'Margin Calculation'!G:Y,19,0)</f>
        <v>346.06763999999998</v>
      </c>
      <c r="H87" s="205">
        <f>VLOOKUP(C87,'Margin Calculation'!G:Z,20,0)</f>
        <v>408.35981519999996</v>
      </c>
      <c r="I87" s="182">
        <v>30</v>
      </c>
      <c r="J87" s="179">
        <f t="shared" si="0"/>
        <v>31.960000000000004</v>
      </c>
      <c r="K87" s="179">
        <f t="shared" si="1"/>
        <v>31.960000000000004</v>
      </c>
      <c r="L87" s="179">
        <f t="shared" si="2"/>
        <v>19.176000000000002</v>
      </c>
      <c r="M87" s="179">
        <f t="shared" si="3"/>
        <v>97.505084745762701</v>
      </c>
      <c r="N87" s="205">
        <f t="shared" si="4"/>
        <v>556.66872474576257</v>
      </c>
      <c r="O87" s="179">
        <f t="shared" si="5"/>
        <v>82.531275254237471</v>
      </c>
      <c r="P87" s="184">
        <f t="shared" si="6"/>
        <v>0.1291165132262789</v>
      </c>
      <c r="Q87" s="179">
        <f t="shared" si="16"/>
        <v>639.20000000000005</v>
      </c>
      <c r="R87" s="179">
        <v>799</v>
      </c>
      <c r="S87" s="179"/>
      <c r="T87" s="179" t="e">
        <f>VLOOKUP(C87,'Margin Calculation'!G:AR,40,0)</f>
        <v>#REF!</v>
      </c>
      <c r="U87" s="182"/>
      <c r="V87" s="182"/>
      <c r="W87" s="182"/>
      <c r="X87" s="182"/>
      <c r="Y87" s="182"/>
    </row>
    <row r="88" spans="1:25" ht="14.4" hidden="1">
      <c r="A88" s="271" t="s">
        <v>1104</v>
      </c>
      <c r="B88" s="271" t="s">
        <v>874</v>
      </c>
      <c r="C88" s="274" t="s">
        <v>875</v>
      </c>
      <c r="D88" s="273" t="s">
        <v>876</v>
      </c>
      <c r="E88" s="277" t="s">
        <v>234</v>
      </c>
      <c r="F88" s="273" t="s">
        <v>671</v>
      </c>
      <c r="G88" s="205">
        <f>VLOOKUP(C88,'Margin Calculation'!G:Y,19,0)</f>
        <v>275</v>
      </c>
      <c r="H88" s="205">
        <f>VLOOKUP(C88,'Margin Calculation'!G:Z,20,0)</f>
        <v>324.5</v>
      </c>
      <c r="I88" s="182">
        <v>30</v>
      </c>
      <c r="J88" s="179">
        <f t="shared" si="0"/>
        <v>27.960000000000004</v>
      </c>
      <c r="K88" s="179">
        <f t="shared" si="1"/>
        <v>27.960000000000004</v>
      </c>
      <c r="L88" s="179">
        <f t="shared" si="2"/>
        <v>16.776</v>
      </c>
      <c r="M88" s="179">
        <f t="shared" si="3"/>
        <v>85.301694915254245</v>
      </c>
      <c r="N88" s="205">
        <f t="shared" si="4"/>
        <v>462.99769491525421</v>
      </c>
      <c r="O88" s="179">
        <f t="shared" si="5"/>
        <v>96.202305084745831</v>
      </c>
      <c r="P88" s="184">
        <f t="shared" si="6"/>
        <v>0.17203559564511056</v>
      </c>
      <c r="Q88" s="179">
        <f t="shared" si="16"/>
        <v>559.20000000000005</v>
      </c>
      <c r="R88" s="179">
        <v>699</v>
      </c>
      <c r="S88" s="179"/>
      <c r="T88" s="179" t="e">
        <f>VLOOKUP(C88,'Margin Calculation'!G:AR,40,0)</f>
        <v>#REF!</v>
      </c>
      <c r="U88" s="182"/>
      <c r="V88" s="182"/>
      <c r="W88" s="182"/>
      <c r="X88" s="182"/>
      <c r="Y88" s="182"/>
    </row>
    <row r="89" spans="1:25" ht="14.4" hidden="1">
      <c r="A89" s="271" t="s">
        <v>1104</v>
      </c>
      <c r="B89" s="278" t="s">
        <v>879</v>
      </c>
      <c r="C89" s="279" t="s">
        <v>880</v>
      </c>
      <c r="D89" s="278" t="s">
        <v>881</v>
      </c>
      <c r="E89" s="277" t="s">
        <v>234</v>
      </c>
      <c r="F89" s="273" t="s">
        <v>671</v>
      </c>
      <c r="G89" s="205">
        <f>VLOOKUP(C89,'Margin Calculation'!G:Y,19,0)</f>
        <v>221.75208000000001</v>
      </c>
      <c r="H89" s="205">
        <f>VLOOKUP(C89,'Margin Calculation'!G:Z,20,0)</f>
        <v>261.6674544</v>
      </c>
      <c r="I89" s="182">
        <v>30</v>
      </c>
      <c r="J89" s="179">
        <f t="shared" si="0"/>
        <v>21.960000000000004</v>
      </c>
      <c r="K89" s="179">
        <f t="shared" si="1"/>
        <v>21.960000000000004</v>
      </c>
      <c r="L89" s="179">
        <f t="shared" si="2"/>
        <v>13.176</v>
      </c>
      <c r="M89" s="179">
        <f t="shared" si="3"/>
        <v>66.996610169491532</v>
      </c>
      <c r="N89" s="205">
        <f t="shared" si="4"/>
        <v>375.84469016949151</v>
      </c>
      <c r="O89" s="179">
        <f t="shared" si="5"/>
        <v>63.355309830508531</v>
      </c>
      <c r="P89" s="184">
        <f t="shared" si="6"/>
        <v>0.14425161618968244</v>
      </c>
      <c r="Q89" s="179">
        <f t="shared" si="16"/>
        <v>439.20000000000005</v>
      </c>
      <c r="R89" s="179">
        <v>549</v>
      </c>
      <c r="S89" s="179"/>
      <c r="T89" s="179" t="e">
        <f>VLOOKUP(C89,'Margin Calculation'!G:AR,40,0)</f>
        <v>#REF!</v>
      </c>
      <c r="U89" s="182"/>
      <c r="V89" s="182"/>
      <c r="W89" s="182"/>
      <c r="X89" s="182"/>
      <c r="Y89" s="182"/>
    </row>
    <row r="90" spans="1:25" ht="14.4" hidden="1">
      <c r="A90" s="271" t="s">
        <v>1104</v>
      </c>
      <c r="B90" s="278" t="s">
        <v>884</v>
      </c>
      <c r="C90" s="279" t="s">
        <v>885</v>
      </c>
      <c r="D90" s="278" t="s">
        <v>886</v>
      </c>
      <c r="E90" s="277" t="s">
        <v>234</v>
      </c>
      <c r="F90" s="273" t="s">
        <v>671</v>
      </c>
      <c r="G90" s="205">
        <f>VLOOKUP(C90,'Margin Calculation'!G:Y,19,0)</f>
        <v>251.99100000000001</v>
      </c>
      <c r="H90" s="205">
        <f>VLOOKUP(C90,'Margin Calculation'!G:Z,20,0)</f>
        <v>297.34938</v>
      </c>
      <c r="I90" s="182">
        <v>30</v>
      </c>
      <c r="J90" s="179">
        <f t="shared" si="0"/>
        <v>23.960000000000004</v>
      </c>
      <c r="K90" s="179">
        <f t="shared" si="1"/>
        <v>23.960000000000004</v>
      </c>
      <c r="L90" s="179">
        <f t="shared" si="2"/>
        <v>14.376000000000001</v>
      </c>
      <c r="M90" s="179">
        <f t="shared" si="3"/>
        <v>73.098305084745732</v>
      </c>
      <c r="N90" s="205">
        <f t="shared" si="4"/>
        <v>417.38530508474571</v>
      </c>
      <c r="O90" s="179">
        <f t="shared" si="5"/>
        <v>61.814694915254336</v>
      </c>
      <c r="P90" s="184">
        <f t="shared" si="6"/>
        <v>0.12899560708525529</v>
      </c>
      <c r="Q90" s="179">
        <f t="shared" si="16"/>
        <v>479.20000000000005</v>
      </c>
      <c r="R90" s="179">
        <v>599</v>
      </c>
      <c r="S90" s="179"/>
      <c r="T90" s="179" t="e">
        <f>VLOOKUP(C90,'Margin Calculation'!G:AR,40,0)</f>
        <v>#REF!</v>
      </c>
      <c r="U90" s="182"/>
      <c r="V90" s="182"/>
      <c r="W90" s="182"/>
      <c r="X90" s="182"/>
      <c r="Y90" s="182"/>
    </row>
    <row r="91" spans="1:25" ht="14.4" hidden="1">
      <c r="A91" s="271" t="s">
        <v>1104</v>
      </c>
      <c r="B91" s="278" t="s">
        <v>889</v>
      </c>
      <c r="C91" s="279" t="s">
        <v>890</v>
      </c>
      <c r="D91" s="278" t="s">
        <v>891</v>
      </c>
      <c r="E91" s="277" t="s">
        <v>234</v>
      </c>
      <c r="F91" s="273" t="s">
        <v>671</v>
      </c>
      <c r="G91" s="205">
        <f>VLOOKUP(C91,'Margin Calculation'!G:Y,19,0)</f>
        <v>1114.3602000000001</v>
      </c>
      <c r="H91" s="205">
        <f>VLOOKUP(C91,'Margin Calculation'!G:Z,20,0)</f>
        <v>1314.9450360000001</v>
      </c>
      <c r="I91" s="182">
        <v>30</v>
      </c>
      <c r="J91" s="179">
        <f t="shared" si="0"/>
        <v>95.960000000000008</v>
      </c>
      <c r="K91" s="179">
        <f t="shared" si="1"/>
        <v>95.960000000000008</v>
      </c>
      <c r="L91" s="179">
        <f t="shared" si="2"/>
        <v>57.576000000000001</v>
      </c>
      <c r="M91" s="179">
        <f t="shared" si="3"/>
        <v>292.75932203389812</v>
      </c>
      <c r="N91" s="205">
        <f t="shared" si="4"/>
        <v>1686.6155220338983</v>
      </c>
      <c r="O91" s="179">
        <f t="shared" si="5"/>
        <v>232.58447796610176</v>
      </c>
      <c r="P91" s="184">
        <f t="shared" si="6"/>
        <v>0.12118824404236231</v>
      </c>
      <c r="Q91" s="179">
        <f t="shared" si="16"/>
        <v>1919.2</v>
      </c>
      <c r="R91" s="179">
        <v>2399</v>
      </c>
      <c r="S91" s="179"/>
      <c r="T91" s="179" t="e">
        <f>VLOOKUP(C91,'Margin Calculation'!G:AR,40,0)</f>
        <v>#REF!</v>
      </c>
      <c r="U91" s="182"/>
      <c r="V91" s="182"/>
      <c r="W91" s="182"/>
      <c r="X91" s="182"/>
      <c r="Y91" s="182"/>
    </row>
    <row r="92" spans="1:25" ht="14.4" hidden="1">
      <c r="A92" s="271" t="s">
        <v>1104</v>
      </c>
      <c r="B92" s="278" t="s">
        <v>895</v>
      </c>
      <c r="C92" s="279" t="s">
        <v>896</v>
      </c>
      <c r="D92" s="278" t="s">
        <v>897</v>
      </c>
      <c r="E92" s="271" t="s">
        <v>234</v>
      </c>
      <c r="F92" s="271" t="s">
        <v>235</v>
      </c>
      <c r="G92" s="205">
        <f>VLOOKUP(C92,'Margin Calculation'!G:Y,19,0)</f>
        <v>123.1956</v>
      </c>
      <c r="H92" s="205">
        <f>VLOOKUP(C92,'Margin Calculation'!G:Z,20,0)</f>
        <v>145.37080799999998</v>
      </c>
      <c r="I92" s="182">
        <v>30</v>
      </c>
      <c r="J92" s="179">
        <f t="shared" si="0"/>
        <v>14.36</v>
      </c>
      <c r="K92" s="179">
        <f t="shared" si="1"/>
        <v>14.36</v>
      </c>
      <c r="L92" s="179">
        <f t="shared" si="2"/>
        <v>8.6159999999999997</v>
      </c>
      <c r="M92" s="179">
        <f t="shared" si="3"/>
        <v>43.810169491525414</v>
      </c>
      <c r="N92" s="205">
        <f t="shared" si="4"/>
        <v>234.34176949152538</v>
      </c>
      <c r="O92" s="179">
        <f t="shared" si="5"/>
        <v>52.858230508474605</v>
      </c>
      <c r="P92" s="184">
        <f t="shared" si="6"/>
        <v>0.18404676360889488</v>
      </c>
      <c r="Q92" s="179">
        <f t="shared" si="16"/>
        <v>287.2</v>
      </c>
      <c r="R92" s="179">
        <v>359</v>
      </c>
      <c r="S92" s="179"/>
      <c r="T92" s="179" t="e">
        <f>VLOOKUP(C92,'Margin Calculation'!G:AR,40,0)</f>
        <v>#REF!</v>
      </c>
      <c r="U92" s="182"/>
      <c r="V92" s="182"/>
      <c r="W92" s="182"/>
      <c r="X92" s="182"/>
      <c r="Y92" s="182"/>
    </row>
    <row r="93" spans="1:25" ht="14.4">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row>
    <row r="94" spans="1:25" ht="14.4">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row>
    <row r="95" spans="1:25" ht="14.4">
      <c r="A95" s="182"/>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row>
    <row r="96" spans="1:25" ht="14.4">
      <c r="A96" s="182"/>
      <c r="B96" s="182"/>
      <c r="C96" s="182"/>
      <c r="D96" s="182"/>
      <c r="E96" s="182"/>
      <c r="F96" s="182"/>
      <c r="G96" s="182"/>
      <c r="H96" s="182"/>
      <c r="I96" s="182"/>
      <c r="J96" s="182"/>
      <c r="K96" s="182"/>
      <c r="L96" s="182"/>
      <c r="M96" s="182"/>
      <c r="N96" s="182"/>
      <c r="O96" s="182"/>
      <c r="P96" s="182"/>
      <c r="Q96" s="182"/>
      <c r="R96" s="182"/>
      <c r="S96" s="182"/>
      <c r="T96" s="182"/>
      <c r="U96" s="182"/>
      <c r="V96" s="182"/>
      <c r="W96" s="182"/>
      <c r="X96" s="182"/>
      <c r="Y96" s="182"/>
    </row>
    <row r="97" spans="1:25" ht="14.4">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row>
    <row r="98" spans="1:25" ht="14.4">
      <c r="A98" s="182"/>
      <c r="B98" s="182"/>
      <c r="C98" s="182"/>
      <c r="D98" s="182"/>
      <c r="E98" s="182"/>
      <c r="F98" s="182"/>
      <c r="G98" s="182"/>
      <c r="H98" s="182"/>
      <c r="I98" s="182"/>
      <c r="J98" s="182"/>
      <c r="K98" s="182"/>
      <c r="L98" s="182"/>
      <c r="M98" s="182"/>
      <c r="N98" s="182"/>
      <c r="O98" s="182"/>
      <c r="P98" s="182"/>
      <c r="Q98" s="182"/>
      <c r="R98" s="182"/>
      <c r="S98" s="182"/>
      <c r="T98" s="182"/>
      <c r="U98" s="182"/>
      <c r="V98" s="182"/>
      <c r="W98" s="182"/>
      <c r="X98" s="182"/>
      <c r="Y98" s="182"/>
    </row>
    <row r="99" spans="1:25" ht="14.4">
      <c r="A99" s="182"/>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row>
    <row r="100" spans="1:25" ht="14.4">
      <c r="A100" s="182"/>
      <c r="B100" s="182"/>
      <c r="C100" s="182"/>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row>
    <row r="101" spans="1:25" ht="14.4">
      <c r="A101" s="182"/>
      <c r="B101" s="182"/>
      <c r="C101" s="182"/>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row>
    <row r="102" spans="1:25" ht="14.4">
      <c r="A102" s="182"/>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row>
    <row r="103" spans="1:25" ht="14.4">
      <c r="A103" s="182"/>
      <c r="B103" s="182"/>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row>
    <row r="104" spans="1:25" ht="14.4">
      <c r="A104" s="182"/>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row>
    <row r="105" spans="1:25" ht="14.4">
      <c r="A105" s="182"/>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row>
    <row r="106" spans="1:25" ht="14.4">
      <c r="A106" s="182"/>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row>
    <row r="107" spans="1:25" ht="14.4">
      <c r="A107" s="182"/>
      <c r="B107" s="182"/>
      <c r="C107" s="182"/>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row>
    <row r="108" spans="1:25" ht="14.4">
      <c r="A108" s="182"/>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row>
    <row r="109" spans="1:25" ht="14.4">
      <c r="A109" s="182"/>
      <c r="B109" s="182"/>
      <c r="C109" s="182"/>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82"/>
    </row>
    <row r="110" spans="1:25" ht="14.4">
      <c r="A110" s="182"/>
      <c r="B110" s="182"/>
      <c r="C110" s="182"/>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row>
    <row r="111" spans="1:25" ht="14.4">
      <c r="A111" s="182"/>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row>
    <row r="112" spans="1:25" ht="14.4">
      <c r="A112" s="182"/>
      <c r="B112" s="182"/>
      <c r="C112" s="182"/>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row>
    <row r="113" spans="1:25" ht="14.4">
      <c r="A113" s="182"/>
      <c r="B113" s="182"/>
      <c r="C113" s="182"/>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row>
    <row r="114" spans="1:25" ht="14.4">
      <c r="A114" s="182"/>
      <c r="B114" s="182"/>
      <c r="C114" s="182"/>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row>
    <row r="115" spans="1:25" ht="14.4">
      <c r="A115" s="182"/>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row>
    <row r="116" spans="1:25" ht="14.4">
      <c r="A116" s="182"/>
      <c r="B116" s="182"/>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row>
    <row r="117" spans="1:25" ht="14.4">
      <c r="A117" s="182"/>
      <c r="B117" s="182"/>
      <c r="C117" s="182"/>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row>
    <row r="118" spans="1:25" ht="14.4">
      <c r="A118" s="182"/>
      <c r="B118" s="182"/>
      <c r="C118" s="182"/>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row>
    <row r="119" spans="1:25" ht="14.4">
      <c r="A119" s="182"/>
      <c r="B119" s="182"/>
      <c r="C119" s="182"/>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row>
    <row r="120" spans="1:25" ht="14.4">
      <c r="A120" s="182"/>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row>
    <row r="121" spans="1:25" ht="14.4">
      <c r="A121" s="182"/>
      <c r="B121" s="182"/>
      <c r="C121" s="182"/>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row>
    <row r="122" spans="1:25" ht="14.4">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row>
    <row r="123" spans="1:25" ht="14.4">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row>
    <row r="124" spans="1:25" ht="14.4">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row>
    <row r="125" spans="1:25" ht="14.4">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row>
    <row r="126" spans="1:25" ht="14.4">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row>
    <row r="127" spans="1:25" ht="14.4">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row>
    <row r="128" spans="1:25" ht="14.4">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row>
    <row r="129" spans="1:25" ht="14.4">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row>
    <row r="130" spans="1:25" ht="14.4">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row>
    <row r="131" spans="1:25" ht="14.4">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row>
    <row r="132" spans="1:25" ht="14.4">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row>
    <row r="133" spans="1:25" ht="14.4">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row>
    <row r="134" spans="1:25" ht="14.4">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row>
    <row r="135" spans="1:25" ht="14.4">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row>
    <row r="136" spans="1:25" ht="14.4">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row>
    <row r="137" spans="1:25" ht="14.4">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row>
    <row r="138" spans="1:25" ht="14.4">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row>
    <row r="139" spans="1:25" ht="14.4">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row>
    <row r="140" spans="1:25" ht="14.4">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row>
    <row r="141" spans="1:25" ht="14.4">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row>
    <row r="142" spans="1:25" ht="14.4">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row>
    <row r="143" spans="1:25" ht="14.4">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row>
    <row r="144" spans="1:25" ht="14.4">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row>
    <row r="145" spans="1:25" ht="14.4">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row>
    <row r="146" spans="1:25" ht="14.4">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row>
    <row r="147" spans="1:25" ht="14.4">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row>
    <row r="148" spans="1:25" ht="14.4">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row>
    <row r="149" spans="1:25" ht="14.4">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row>
    <row r="150" spans="1:25" ht="14.4">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row>
    <row r="151" spans="1:25" ht="14.4">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row>
    <row r="152" spans="1:25" ht="14.4">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row>
    <row r="153" spans="1:25" ht="14.4">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row>
    <row r="154" spans="1:25" ht="14.4">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row>
    <row r="155" spans="1:25" ht="14.4">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row>
    <row r="156" spans="1:25" ht="14.4">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row>
    <row r="157" spans="1:25" ht="14.4">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row>
    <row r="158" spans="1:25" ht="14.4">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row>
    <row r="159" spans="1:25" ht="14.4">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row>
    <row r="160" spans="1:25" ht="14.4">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row>
    <row r="161" spans="1:25" ht="14.4">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row>
    <row r="162" spans="1:25" ht="14.4">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row>
    <row r="163" spans="1:25" ht="14.4">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row>
    <row r="164" spans="1:25" ht="14.4">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row>
    <row r="165" spans="1:25" ht="14.4">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row>
    <row r="166" spans="1:25" ht="14.4">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row>
    <row r="167" spans="1:25" ht="14.4">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row>
    <row r="168" spans="1:25" ht="14.4">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row>
    <row r="169" spans="1:25" ht="14.4">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row>
    <row r="170" spans="1:25" ht="14.4">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row>
    <row r="171" spans="1:25" ht="14.4">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row>
    <row r="172" spans="1:25" ht="14.4">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row>
    <row r="173" spans="1:25" ht="14.4">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row>
    <row r="174" spans="1:25" ht="14.4">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row>
    <row r="175" spans="1:25" ht="14.4">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row>
    <row r="176" spans="1:25" ht="14.4">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row>
    <row r="177" spans="1:25" ht="14.4">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row>
    <row r="178" spans="1:25" ht="14.4">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row>
    <row r="179" spans="1:25" ht="14.4">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row>
    <row r="180" spans="1:25" ht="14.4">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row>
    <row r="181" spans="1:25" ht="14.4">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row>
    <row r="182" spans="1:25" ht="14.4">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row>
    <row r="183" spans="1:25" ht="14.4">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row>
    <row r="184" spans="1:25" ht="14.4">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row>
    <row r="185" spans="1:25" ht="14.4">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row>
    <row r="186" spans="1:25" ht="14.4">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row>
    <row r="187" spans="1:25" ht="14.4">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row>
    <row r="188" spans="1:25" ht="14.4">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row>
    <row r="189" spans="1:25" ht="14.4">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row>
    <row r="190" spans="1:25" ht="14.4">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row>
    <row r="191" spans="1:25" ht="14.4">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row>
    <row r="192" spans="1:25" ht="14.4">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row>
    <row r="193" spans="1:25" ht="14.4">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row>
    <row r="194" spans="1:25" ht="14.4">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row>
    <row r="195" spans="1:25" ht="14.4">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row>
    <row r="196" spans="1:25" ht="14.4">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row>
    <row r="197" spans="1:25" ht="14.4">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row>
    <row r="198" spans="1:25" ht="14.4">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row>
    <row r="199" spans="1:25" ht="14.4">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row>
    <row r="200" spans="1:25" ht="14.4">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row>
    <row r="201" spans="1:25" ht="14.4">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row>
    <row r="202" spans="1:25" ht="14.4">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row>
    <row r="203" spans="1:25" ht="14.4">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row>
    <row r="204" spans="1:25" ht="14.4">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row>
    <row r="205" spans="1:25" ht="14.4">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row>
    <row r="206" spans="1:25" ht="14.4">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row>
    <row r="207" spans="1:25" ht="14.4">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row>
    <row r="208" spans="1:25" ht="14.4">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row>
    <row r="209" spans="1:25" ht="14.4">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row>
    <row r="210" spans="1:25" ht="14.4">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row>
    <row r="211" spans="1:25" ht="14.4">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row>
    <row r="212" spans="1:25" ht="14.4">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row>
    <row r="213" spans="1:25" ht="14.4">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row>
    <row r="214" spans="1:25" ht="14.4">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row>
    <row r="215" spans="1:25" ht="14.4">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row>
    <row r="216" spans="1:25" ht="14.4">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row>
    <row r="217" spans="1:25" ht="14.4">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row>
    <row r="218" spans="1:25" ht="14.4">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row>
    <row r="219" spans="1:25" ht="14.4">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row>
    <row r="220" spans="1:25" ht="14.4">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row>
    <row r="221" spans="1:25" ht="14.4">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row>
    <row r="222" spans="1:25" ht="14.4">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row>
    <row r="223" spans="1:25" ht="14.4">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row>
    <row r="224" spans="1:25" ht="14.4">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row>
    <row r="225" spans="1:25" ht="14.4">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row>
    <row r="226" spans="1:25" ht="14.4">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row>
    <row r="227" spans="1:25" ht="14.4">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row>
    <row r="228" spans="1:25" ht="14.4">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row>
    <row r="229" spans="1:25" ht="14.4">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row>
    <row r="230" spans="1:25" ht="14.4">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row>
    <row r="231" spans="1:25" ht="14.4">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row>
    <row r="232" spans="1:25" ht="14.4">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row>
    <row r="233" spans="1:25" ht="14.4">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row>
    <row r="234" spans="1:25" ht="14.4">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row>
    <row r="235" spans="1:25" ht="14.4">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row>
    <row r="236" spans="1:25" ht="14.4">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row>
    <row r="237" spans="1:25" ht="14.4">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row>
    <row r="238" spans="1:25" ht="14.4">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row>
    <row r="239" spans="1:25" ht="14.4">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row>
    <row r="240" spans="1:25" ht="14.4">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row>
    <row r="241" spans="1:25" ht="14.4">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row>
    <row r="242" spans="1:25" ht="14.4">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row>
    <row r="243" spans="1:25" ht="14.4">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row>
    <row r="244" spans="1:25" ht="14.4">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row>
    <row r="245" spans="1:25" ht="14.4">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row>
    <row r="246" spans="1:25" ht="14.4">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row>
    <row r="247" spans="1:25" ht="14.4">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row>
    <row r="248" spans="1:25" ht="14.4">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row>
    <row r="249" spans="1:25" ht="14.4">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row>
    <row r="250" spans="1:25" ht="14.4">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row>
    <row r="251" spans="1:25" ht="14.4">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row>
    <row r="252" spans="1:25" ht="14.4">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row>
    <row r="253" spans="1:25" ht="14.4">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row>
    <row r="254" spans="1:25" ht="14.4">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row>
    <row r="255" spans="1:25" ht="14.4">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row>
    <row r="256" spans="1:25" ht="14.4">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row>
    <row r="257" spans="1:25" ht="14.4">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row>
    <row r="258" spans="1:25" ht="14.4">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row>
    <row r="259" spans="1:25" ht="14.4">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row>
    <row r="260" spans="1:25" ht="14.4">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row>
    <row r="261" spans="1:25" ht="14.4">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row>
    <row r="262" spans="1:25" ht="14.4">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row>
    <row r="263" spans="1:25" ht="14.4">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row>
    <row r="264" spans="1:25" ht="14.4">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row>
    <row r="265" spans="1:25" ht="14.4">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row>
    <row r="266" spans="1:25" ht="14.4">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row>
    <row r="267" spans="1:25" ht="14.4">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row>
    <row r="268" spans="1:25" ht="14.4">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row>
    <row r="269" spans="1:25" ht="14.4">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row>
    <row r="270" spans="1:25" ht="14.4">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row>
    <row r="271" spans="1:25" ht="14.4">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row>
    <row r="272" spans="1:25" ht="14.4">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row>
    <row r="273" spans="1:25" ht="14.4">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row>
    <row r="274" spans="1:25" ht="14.4">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row>
    <row r="275" spans="1:25" ht="14.4">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row>
    <row r="276" spans="1:25" ht="14.4">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row>
    <row r="277" spans="1:25" ht="14.4">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row>
    <row r="278" spans="1:25" ht="14.4">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row>
    <row r="279" spans="1:25" ht="14.4">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row>
    <row r="280" spans="1:25" ht="14.4">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row>
    <row r="281" spans="1:25" ht="14.4">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row>
    <row r="282" spans="1:25" ht="14.4">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row>
    <row r="283" spans="1:25" ht="14.4">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row>
    <row r="284" spans="1:25" ht="14.4">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row>
    <row r="285" spans="1:25" ht="14.4">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row>
    <row r="286" spans="1:25" ht="14.4">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row>
    <row r="287" spans="1:25" ht="14.4">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row>
    <row r="288" spans="1:25" ht="14.4">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row>
    <row r="289" spans="1:25" ht="14.4">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row>
    <row r="290" spans="1:25" ht="14.4">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row>
    <row r="291" spans="1:25" ht="14.4">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row>
    <row r="292" spans="1:25" ht="14.4">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row>
    <row r="293" spans="1:25" ht="14.4">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row>
    <row r="294" spans="1:25" ht="14.4">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row>
    <row r="295" spans="1:25" ht="14.4">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row>
    <row r="296" spans="1:25" ht="14.4">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row>
    <row r="297" spans="1:25" ht="14.4">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row>
    <row r="298" spans="1:25" ht="14.4">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row>
    <row r="299" spans="1:25" ht="14.4">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row>
    <row r="300" spans="1:25" ht="14.4">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row>
    <row r="301" spans="1:25" ht="14.4">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row>
    <row r="302" spans="1:25" ht="14.4">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row>
    <row r="303" spans="1:25" ht="14.4">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row>
    <row r="304" spans="1:25" ht="14.4">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row>
    <row r="305" spans="1:25" ht="14.4">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row>
    <row r="306" spans="1:25" ht="14.4">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row>
    <row r="307" spans="1:25" ht="14.4">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row>
    <row r="308" spans="1:25" ht="14.4">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row>
    <row r="309" spans="1:25" ht="14.4">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row>
    <row r="310" spans="1:25" ht="14.4">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row>
    <row r="311" spans="1:25" ht="14.4">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row>
    <row r="312" spans="1:25" ht="14.4">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row>
    <row r="313" spans="1:25" ht="14.4">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row>
    <row r="314" spans="1:25" ht="14.4">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row>
    <row r="315" spans="1:25" ht="14.4">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row>
    <row r="316" spans="1:25" ht="14.4">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row>
    <row r="317" spans="1:25" ht="14.4">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row>
    <row r="318" spans="1:25" ht="14.4">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row>
    <row r="319" spans="1:25" ht="14.4">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row>
    <row r="320" spans="1:25" ht="14.4">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row>
    <row r="321" spans="1:25" ht="14.4">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row>
    <row r="322" spans="1:25" ht="14.4">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row>
    <row r="323" spans="1:25" ht="14.4">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row>
    <row r="324" spans="1:25" ht="14.4">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row>
    <row r="325" spans="1:25" ht="14.4">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row>
    <row r="326" spans="1:25" ht="14.4">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row>
    <row r="327" spans="1:25" ht="14.4">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row>
    <row r="328" spans="1:25" ht="14.4">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row>
    <row r="329" spans="1:25" ht="14.4">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row>
    <row r="330" spans="1:25" ht="14.4">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row>
    <row r="331" spans="1:25" ht="14.4">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row>
    <row r="332" spans="1:25" ht="14.4">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row>
    <row r="333" spans="1:25" ht="14.4">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row>
    <row r="334" spans="1:25" ht="14.4">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row>
    <row r="335" spans="1:25" ht="14.4">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row>
    <row r="336" spans="1:25" ht="14.4">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row>
    <row r="337" spans="1:25" ht="14.4">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row>
    <row r="338" spans="1:25" ht="14.4">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row>
    <row r="339" spans="1:25" ht="14.4">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row>
    <row r="340" spans="1:25" ht="14.4">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row>
    <row r="341" spans="1:25" ht="14.4">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row>
    <row r="342" spans="1:25" ht="14.4">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row>
    <row r="343" spans="1:25" ht="14.4">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row>
    <row r="344" spans="1:25" ht="14.4">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row>
    <row r="345" spans="1:25" ht="14.4">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row>
    <row r="346" spans="1:25" ht="14.4">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row>
    <row r="347" spans="1:25" ht="14.4">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row>
    <row r="348" spans="1:25" ht="14.4">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row>
    <row r="349" spans="1:25" ht="14.4">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row>
    <row r="350" spans="1:25" ht="14.4">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row>
    <row r="351" spans="1:25" ht="14.4">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row>
    <row r="352" spans="1:25" ht="14.4">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row>
    <row r="353" spans="1:25" ht="14.4">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row>
    <row r="354" spans="1:25" ht="14.4">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row>
    <row r="355" spans="1:25" ht="14.4">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row>
    <row r="356" spans="1:25" ht="14.4">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row>
    <row r="357" spans="1:25" ht="14.4">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row>
    <row r="358" spans="1:25" ht="14.4">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row>
    <row r="359" spans="1:25" ht="14.4">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row>
    <row r="360" spans="1:25" ht="14.4">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row>
    <row r="361" spans="1:25" ht="14.4">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row>
    <row r="362" spans="1:25" ht="14.4">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row>
    <row r="363" spans="1:25" ht="14.4">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row>
    <row r="364" spans="1:25" ht="14.4">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row>
    <row r="365" spans="1:25" ht="14.4">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row>
    <row r="366" spans="1:25" ht="14.4">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row>
    <row r="367" spans="1:25" ht="14.4">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row>
    <row r="368" spans="1:25" ht="14.4">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row>
    <row r="369" spans="1:25" ht="14.4">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row>
    <row r="370" spans="1:25" ht="14.4">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row>
    <row r="371" spans="1:25" ht="14.4">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row>
    <row r="372" spans="1:25" ht="14.4">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row>
    <row r="373" spans="1:25" ht="14.4">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row>
    <row r="374" spans="1:25" ht="14.4">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row>
    <row r="375" spans="1:25" ht="14.4">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row>
    <row r="376" spans="1:25" ht="14.4">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row>
    <row r="377" spans="1:25" ht="14.4">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row>
    <row r="378" spans="1:25" ht="14.4">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row>
    <row r="379" spans="1:25" ht="14.4">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row>
    <row r="380" spans="1:25" ht="14.4">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row>
    <row r="381" spans="1:25" ht="14.4">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row>
    <row r="382" spans="1:25" ht="14.4">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row>
    <row r="383" spans="1:25" ht="14.4">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row>
    <row r="384" spans="1:25" ht="14.4">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row>
    <row r="385" spans="1:25" ht="14.4">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row>
    <row r="386" spans="1:25" ht="14.4">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row>
    <row r="387" spans="1:25" ht="14.4">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row>
    <row r="388" spans="1:25" ht="14.4">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row>
    <row r="389" spans="1:25" ht="14.4">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row>
    <row r="390" spans="1:25" ht="14.4">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row>
    <row r="391" spans="1:25" ht="14.4">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row>
    <row r="392" spans="1:25" ht="14.4">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row>
    <row r="393" spans="1:25" ht="14.4">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row>
    <row r="394" spans="1:25" ht="14.4">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row>
    <row r="395" spans="1:25" ht="14.4">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row>
    <row r="396" spans="1:25" ht="14.4">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row>
    <row r="397" spans="1:25" ht="14.4">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row>
    <row r="398" spans="1:25" ht="14.4">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row>
    <row r="399" spans="1:25" ht="14.4">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row>
    <row r="400" spans="1:25" ht="14.4">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row>
    <row r="401" spans="1:25" ht="14.4">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82"/>
    </row>
    <row r="402" spans="1:25" ht="14.4">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row>
    <row r="403" spans="1:25" ht="14.4">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row>
    <row r="404" spans="1:25" ht="14.4">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row>
    <row r="405" spans="1:25" ht="14.4">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row>
    <row r="406" spans="1:25" ht="14.4">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row>
    <row r="407" spans="1:25" ht="14.4">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row>
    <row r="408" spans="1:25" ht="14.4">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row>
    <row r="409" spans="1:25" ht="14.4">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row>
    <row r="410" spans="1:25" ht="14.4">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row>
    <row r="411" spans="1:25" ht="14.4">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row>
    <row r="412" spans="1:25" ht="14.4">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row>
    <row r="413" spans="1:25" ht="14.4">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row>
    <row r="414" spans="1:25" ht="14.4">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row>
    <row r="415" spans="1:25" ht="14.4">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row>
    <row r="416" spans="1:25" ht="14.4">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row>
    <row r="417" spans="1:25" ht="14.4">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row>
    <row r="418" spans="1:25" ht="14.4">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row>
    <row r="419" spans="1:25" ht="14.4">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row>
    <row r="420" spans="1:25" ht="14.4">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row>
    <row r="421" spans="1:25" ht="14.4">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row>
    <row r="422" spans="1:25" ht="14.4">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row>
    <row r="423" spans="1:25" ht="14.4">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row>
    <row r="424" spans="1:25" ht="14.4">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row>
    <row r="425" spans="1:25" ht="14.4">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row>
    <row r="426" spans="1:25" ht="14.4">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row>
    <row r="427" spans="1:25" ht="14.4">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row>
    <row r="428" spans="1:25" ht="14.4">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row>
    <row r="429" spans="1:25" ht="14.4">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row>
    <row r="430" spans="1:25" ht="14.4">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row>
    <row r="431" spans="1:25" ht="14.4">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row>
    <row r="432" spans="1:25" ht="14.4">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row>
    <row r="433" spans="1:25" ht="14.4">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row>
    <row r="434" spans="1:25" ht="14.4">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row>
    <row r="435" spans="1:25" ht="14.4">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row>
    <row r="436" spans="1:25" ht="14.4">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row>
    <row r="437" spans="1:25" ht="14.4">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row>
    <row r="438" spans="1:25" ht="14.4">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row>
    <row r="439" spans="1:25" ht="14.4">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row>
    <row r="440" spans="1:25" ht="14.4">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row>
    <row r="441" spans="1:25" ht="14.4">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row>
    <row r="442" spans="1:25" ht="14.4">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row>
    <row r="443" spans="1:25" ht="14.4">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row>
    <row r="444" spans="1:25" ht="14.4">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row>
    <row r="445" spans="1:25" ht="14.4">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row>
    <row r="446" spans="1:25" ht="14.4">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row>
    <row r="447" spans="1:25" ht="14.4">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row>
    <row r="448" spans="1:25" ht="14.4">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row>
    <row r="449" spans="1:25" ht="14.4">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row>
    <row r="450" spans="1:25" ht="14.4">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row>
    <row r="451" spans="1:25" ht="14.4">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row>
    <row r="452" spans="1:25" ht="14.4">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row>
    <row r="453" spans="1:25" ht="14.4">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row>
    <row r="454" spans="1:25" ht="14.4">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row>
    <row r="455" spans="1:25" ht="14.4">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row>
    <row r="456" spans="1:25" ht="14.4">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row>
    <row r="457" spans="1:25" ht="14.4">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row>
    <row r="458" spans="1:25" ht="14.4">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row>
    <row r="459" spans="1:25" ht="14.4">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row>
    <row r="460" spans="1:25" ht="14.4">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row>
    <row r="461" spans="1:25" ht="14.4">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row>
    <row r="462" spans="1:25" ht="14.4">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row>
    <row r="463" spans="1:25" ht="14.4">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row>
    <row r="464" spans="1:25" ht="14.4">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row>
    <row r="465" spans="1:25" ht="14.4">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row>
    <row r="466" spans="1:25" ht="14.4">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row>
    <row r="467" spans="1:25" ht="14.4">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row>
    <row r="468" spans="1:25" ht="14.4">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row>
    <row r="469" spans="1:25" ht="14.4">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row>
    <row r="470" spans="1:25" ht="14.4">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row>
    <row r="471" spans="1:25" ht="14.4">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row>
    <row r="472" spans="1:25" ht="14.4">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row>
    <row r="473" spans="1:25" ht="14.4">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row>
    <row r="474" spans="1:25" ht="14.4">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row>
    <row r="475" spans="1:25" ht="14.4">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row>
    <row r="476" spans="1:25" ht="14.4">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row>
    <row r="477" spans="1:25" ht="14.4">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row>
    <row r="478" spans="1:25" ht="14.4">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row>
    <row r="479" spans="1:25" ht="14.4">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row>
    <row r="480" spans="1:25" ht="14.4">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row>
    <row r="481" spans="1:25" ht="14.4">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row>
    <row r="482" spans="1:25" ht="14.4">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row>
    <row r="483" spans="1:25" ht="14.4">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row>
    <row r="484" spans="1:25" ht="14.4">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row>
    <row r="485" spans="1:25" ht="14.4">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row>
    <row r="486" spans="1:25" ht="14.4">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row>
    <row r="487" spans="1:25" ht="14.4">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row>
    <row r="488" spans="1:25" ht="14.4">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row>
    <row r="489" spans="1:25" ht="14.4">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row>
    <row r="490" spans="1:25" ht="14.4">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row>
    <row r="491" spans="1:25" ht="14.4">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row>
    <row r="492" spans="1:25" ht="14.4">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row>
    <row r="493" spans="1:25" ht="14.4">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row>
    <row r="494" spans="1:25" ht="14.4">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row>
    <row r="495" spans="1:25" ht="14.4">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row>
    <row r="496" spans="1:25" ht="14.4">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row>
    <row r="497" spans="1:25" ht="14.4">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row>
    <row r="498" spans="1:25" ht="14.4">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row>
    <row r="499" spans="1:25" ht="14.4">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row>
    <row r="500" spans="1:25" ht="14.4">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row>
    <row r="501" spans="1:25" ht="14.4">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row>
    <row r="502" spans="1:25" ht="14.4">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row>
    <row r="503" spans="1:25" ht="14.4">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row>
    <row r="504" spans="1:25" ht="14.4">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row>
    <row r="505" spans="1:25" ht="14.4">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row>
    <row r="506" spans="1:25" ht="14.4">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row>
    <row r="507" spans="1:25" ht="14.4">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row>
    <row r="508" spans="1:25" ht="14.4">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row>
    <row r="509" spans="1:25" ht="14.4">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row>
    <row r="510" spans="1:25" ht="14.4">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row>
    <row r="511" spans="1:25" ht="14.4">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row>
    <row r="512" spans="1:25" ht="14.4">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row>
    <row r="513" spans="1:25" ht="14.4">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row>
    <row r="514" spans="1:25" ht="14.4">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row>
    <row r="515" spans="1:25" ht="14.4">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row>
    <row r="516" spans="1:25" ht="14.4">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row>
    <row r="517" spans="1:25" ht="14.4">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row>
    <row r="518" spans="1:25" ht="14.4">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row>
    <row r="519" spans="1:25" ht="14.4">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row>
    <row r="520" spans="1:25" ht="14.4">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row>
    <row r="521" spans="1:25" ht="14.4">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row>
    <row r="522" spans="1:25" ht="14.4">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row>
    <row r="523" spans="1:25" ht="14.4">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row>
    <row r="524" spans="1:25" ht="14.4">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row>
    <row r="525" spans="1:25" ht="14.4">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row>
    <row r="526" spans="1:25" ht="14.4">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row>
    <row r="527" spans="1:25" ht="14.4">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row>
    <row r="528" spans="1:25" ht="14.4">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row>
    <row r="529" spans="1:25" ht="14.4">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row>
    <row r="530" spans="1:25" ht="14.4">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row>
    <row r="531" spans="1:25" ht="14.4">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row>
    <row r="532" spans="1:25" ht="14.4">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row>
    <row r="533" spans="1:25" ht="14.4">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row>
    <row r="534" spans="1:25" ht="14.4">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row>
    <row r="535" spans="1:25" ht="14.4">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row>
    <row r="536" spans="1:25" ht="14.4">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row>
    <row r="537" spans="1:25" ht="14.4">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row>
    <row r="538" spans="1:25" ht="14.4">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row>
    <row r="539" spans="1:25" ht="14.4">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row>
    <row r="540" spans="1:25" ht="14.4">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row>
    <row r="541" spans="1:25" ht="14.4">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row>
    <row r="542" spans="1:25" ht="14.4">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row>
    <row r="543" spans="1:25" ht="14.4">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row>
    <row r="544" spans="1:25" ht="14.4">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row>
    <row r="545" spans="1:25" ht="14.4">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row>
    <row r="546" spans="1:25" ht="14.4">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row>
    <row r="547" spans="1:25" ht="14.4">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row>
    <row r="548" spans="1:25" ht="14.4">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row>
    <row r="549" spans="1:25" ht="14.4">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row>
    <row r="550" spans="1:25" ht="14.4">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row>
    <row r="551" spans="1:25" ht="14.4">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row>
    <row r="552" spans="1:25" ht="14.4">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row>
    <row r="553" spans="1:25" ht="14.4">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row>
    <row r="554" spans="1:25" ht="14.4">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row>
    <row r="555" spans="1:25" ht="14.4">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row>
    <row r="556" spans="1:25" ht="14.4">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row>
    <row r="557" spans="1:25" ht="14.4">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row>
    <row r="558" spans="1:25" ht="14.4">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row>
    <row r="559" spans="1:25" ht="14.4">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row>
    <row r="560" spans="1:25" ht="14.4">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row>
    <row r="561" spans="1:25" ht="14.4">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row>
    <row r="562" spans="1:25" ht="14.4">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row>
    <row r="563" spans="1:25" ht="14.4">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row>
    <row r="564" spans="1:25" ht="14.4">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row>
    <row r="565" spans="1:25" ht="14.4">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row>
    <row r="566" spans="1:25" ht="14.4">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row>
    <row r="567" spans="1:25" ht="14.4">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row>
    <row r="568" spans="1:25" ht="14.4">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row>
    <row r="569" spans="1:25" ht="14.4">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row>
    <row r="570" spans="1:25" ht="14.4">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row>
    <row r="571" spans="1:25" ht="14.4">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row>
    <row r="572" spans="1:25" ht="14.4">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row>
    <row r="573" spans="1:25" ht="14.4">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row>
    <row r="574" spans="1:25" ht="14.4">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row>
    <row r="575" spans="1:25" ht="14.4">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82"/>
    </row>
    <row r="576" spans="1:25" ht="14.4">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row>
    <row r="577" spans="1:25" ht="14.4">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row>
    <row r="578" spans="1:25" ht="14.4">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row>
    <row r="579" spans="1:25" ht="14.4">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row>
    <row r="580" spans="1:25" ht="14.4">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row>
    <row r="581" spans="1:25" ht="14.4">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row>
    <row r="582" spans="1:25" ht="14.4">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row>
    <row r="583" spans="1:25" ht="14.4">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row>
    <row r="584" spans="1:25" ht="14.4">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row>
    <row r="585" spans="1:25" ht="14.4">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row>
    <row r="586" spans="1:25" ht="14.4">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row>
    <row r="587" spans="1:25" ht="14.4">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row>
    <row r="588" spans="1:25" ht="14.4">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row>
    <row r="589" spans="1:25" ht="14.4">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row>
    <row r="590" spans="1:25" ht="14.4">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row>
    <row r="591" spans="1:25" ht="14.4">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82"/>
    </row>
    <row r="592" spans="1:25" ht="14.4">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row>
    <row r="593" spans="1:25" ht="14.4">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row>
    <row r="594" spans="1:25" ht="14.4">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row>
    <row r="595" spans="1:25" ht="14.4">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row>
    <row r="596" spans="1:25" ht="14.4">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row>
    <row r="597" spans="1:25" ht="14.4">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row>
    <row r="598" spans="1:25" ht="14.4">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row>
    <row r="599" spans="1:25" ht="14.4">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row>
    <row r="600" spans="1:25" ht="14.4">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row>
    <row r="601" spans="1:25" ht="14.4">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row>
    <row r="602" spans="1:25" ht="14.4">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row>
    <row r="603" spans="1:25" ht="14.4">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row>
    <row r="604" spans="1:25" ht="14.4">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row>
    <row r="605" spans="1:25" ht="14.4">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row>
    <row r="606" spans="1:25" ht="14.4">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row>
    <row r="607" spans="1:25" ht="14.4">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row>
    <row r="608" spans="1:25" ht="14.4">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row>
    <row r="609" spans="1:25" ht="14.4">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row>
    <row r="610" spans="1:25" ht="14.4">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row>
    <row r="611" spans="1:25" ht="14.4">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row>
    <row r="612" spans="1:25" ht="14.4">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row>
    <row r="613" spans="1:25" ht="14.4">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row>
    <row r="614" spans="1:25" ht="14.4">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row>
    <row r="615" spans="1:25" ht="14.4">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row>
    <row r="616" spans="1:25" ht="14.4">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row>
    <row r="617" spans="1:25" ht="14.4">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row>
    <row r="618" spans="1:25" ht="14.4">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row>
    <row r="619" spans="1:25" ht="14.4">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row>
    <row r="620" spans="1:25" ht="14.4">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row>
    <row r="621" spans="1:25" ht="14.4">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row>
    <row r="622" spans="1:25" ht="14.4">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row>
    <row r="623" spans="1:25" ht="14.4">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row>
    <row r="624" spans="1:25" ht="14.4">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row>
    <row r="625" spans="1:25" ht="14.4">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row>
    <row r="626" spans="1:25" ht="14.4">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row>
    <row r="627" spans="1:25" ht="14.4">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row>
    <row r="628" spans="1:25" ht="14.4">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row>
    <row r="629" spans="1:25" ht="14.4">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row>
    <row r="630" spans="1:25" ht="14.4">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row>
    <row r="631" spans="1:25" ht="14.4">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row>
    <row r="632" spans="1:25" ht="14.4">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row>
    <row r="633" spans="1:25" ht="14.4">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row>
    <row r="634" spans="1:25" ht="14.4">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row>
    <row r="635" spans="1:25" ht="14.4">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row>
    <row r="636" spans="1:25" ht="14.4">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row>
    <row r="637" spans="1:25" ht="14.4">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row>
    <row r="638" spans="1:25" ht="14.4">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row>
    <row r="639" spans="1:25" ht="14.4">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row>
    <row r="640" spans="1:25" ht="14.4">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row>
    <row r="641" spans="1:25" ht="14.4">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row>
    <row r="642" spans="1:25" ht="14.4">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row>
    <row r="643" spans="1:25" ht="14.4">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row>
    <row r="644" spans="1:25" ht="14.4">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row>
    <row r="645" spans="1:25" ht="14.4">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row>
    <row r="646" spans="1:25" ht="14.4">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row>
    <row r="647" spans="1:25" ht="14.4">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row>
    <row r="648" spans="1:25" ht="14.4">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row>
    <row r="649" spans="1:25" ht="14.4">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row>
    <row r="650" spans="1:25" ht="14.4">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82"/>
    </row>
    <row r="651" spans="1:25" ht="14.4">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row>
    <row r="652" spans="1:25" ht="14.4">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row>
    <row r="653" spans="1:25" ht="14.4">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row>
    <row r="654" spans="1:25" ht="14.4">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row>
    <row r="655" spans="1:25" ht="14.4">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row>
    <row r="656" spans="1:25" ht="14.4">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row>
    <row r="657" spans="1:25" ht="14.4">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row>
    <row r="658" spans="1:25" ht="14.4">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row>
    <row r="659" spans="1:25" ht="14.4">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row>
    <row r="660" spans="1:25" ht="14.4">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row>
    <row r="661" spans="1:25" ht="14.4">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row>
    <row r="662" spans="1:25" ht="14.4">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row>
    <row r="663" spans="1:25" ht="14.4">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row>
    <row r="664" spans="1:25" ht="14.4">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row>
    <row r="665" spans="1:25" ht="14.4">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row>
    <row r="666" spans="1:25" ht="14.4">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row>
    <row r="667" spans="1:25" ht="14.4">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row>
    <row r="668" spans="1:25" ht="14.4">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row>
    <row r="669" spans="1:25" ht="14.4">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row>
    <row r="670" spans="1:25" ht="14.4">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row>
    <row r="671" spans="1:25" ht="14.4">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row>
    <row r="672" spans="1:25" ht="14.4">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row>
    <row r="673" spans="1:25" ht="14.4">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row>
    <row r="674" spans="1:25" ht="14.4">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row>
    <row r="675" spans="1:25" ht="14.4">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row>
    <row r="676" spans="1:25" ht="14.4">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row>
    <row r="677" spans="1:25" ht="14.4">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row>
    <row r="678" spans="1:25" ht="14.4">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row>
    <row r="679" spans="1:25" ht="14.4">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row>
    <row r="680" spans="1:25" ht="14.4">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row>
    <row r="681" spans="1:25" ht="14.4">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row>
    <row r="682" spans="1:25" ht="14.4">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row>
    <row r="683" spans="1:25" ht="14.4">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row>
    <row r="684" spans="1:25" ht="14.4">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row>
    <row r="685" spans="1:25" ht="14.4">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row>
    <row r="686" spans="1:25" ht="14.4">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row>
    <row r="687" spans="1:25" ht="14.4">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row>
    <row r="688" spans="1:25" ht="14.4">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row>
    <row r="689" spans="1:25" ht="14.4">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row>
    <row r="690" spans="1:25" ht="14.4">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row>
    <row r="691" spans="1:25" ht="14.4">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row>
    <row r="692" spans="1:25" ht="14.4">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row>
    <row r="693" spans="1:25" ht="14.4">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row>
    <row r="694" spans="1:25" ht="14.4">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row>
    <row r="695" spans="1:25" ht="14.4">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row>
    <row r="696" spans="1:25" ht="14.4">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row>
    <row r="697" spans="1:25" ht="14.4">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row>
    <row r="698" spans="1:25" ht="14.4">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row>
    <row r="699" spans="1:25" ht="14.4">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row>
    <row r="700" spans="1:25" ht="14.4">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row>
    <row r="701" spans="1:25" ht="14.4">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row>
    <row r="702" spans="1:25" ht="14.4">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row>
    <row r="703" spans="1:25" ht="14.4">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row>
    <row r="704" spans="1:25" ht="14.4">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row>
    <row r="705" spans="1:25" ht="14.4">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row>
    <row r="706" spans="1:25" ht="14.4">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row>
    <row r="707" spans="1:25" ht="14.4">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row>
    <row r="708" spans="1:25" ht="14.4">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row>
    <row r="709" spans="1:25" ht="14.4">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row>
    <row r="710" spans="1:25" ht="14.4">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82"/>
    </row>
    <row r="711" spans="1:25" ht="14.4">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row>
    <row r="712" spans="1:25" ht="14.4">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row>
    <row r="713" spans="1:25" ht="14.4">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row>
    <row r="714" spans="1:25" ht="14.4">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row>
    <row r="715" spans="1:25" ht="14.4">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row>
    <row r="716" spans="1:25" ht="14.4">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row>
    <row r="717" spans="1:25" ht="14.4">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row>
    <row r="718" spans="1:25" ht="14.4">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row>
    <row r="719" spans="1:25" ht="14.4">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row>
    <row r="720" spans="1:25" ht="14.4">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row>
    <row r="721" spans="1:25" ht="14.4">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row>
    <row r="722" spans="1:25" ht="14.4">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row>
    <row r="723" spans="1:25" ht="14.4">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row>
    <row r="724" spans="1:25" ht="14.4">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row>
    <row r="725" spans="1:25" ht="14.4">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row>
    <row r="726" spans="1:25" ht="14.4">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row>
    <row r="727" spans="1:25" ht="14.4">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row>
    <row r="728" spans="1:25" ht="14.4">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row>
    <row r="729" spans="1:25" ht="14.4">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row>
    <row r="730" spans="1:25" ht="14.4">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row>
    <row r="731" spans="1:25" ht="14.4">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row>
    <row r="732" spans="1:25" ht="14.4">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row>
    <row r="733" spans="1:25" ht="14.4">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row>
    <row r="734" spans="1:25" ht="14.4">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row>
    <row r="735" spans="1:25" ht="14.4">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row>
    <row r="736" spans="1:25" ht="14.4">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row>
    <row r="737" spans="1:25" ht="14.4">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row>
    <row r="738" spans="1:25" ht="14.4">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row>
    <row r="739" spans="1:25" ht="14.4">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row>
    <row r="740" spans="1:25" ht="14.4">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row>
    <row r="741" spans="1:25" ht="14.4">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row>
    <row r="742" spans="1:25" ht="14.4">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row>
    <row r="743" spans="1:25" ht="14.4">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row>
    <row r="744" spans="1:25" ht="14.4">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row>
    <row r="745" spans="1:25" ht="14.4">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row>
    <row r="746" spans="1:25" ht="14.4">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row>
    <row r="747" spans="1:25" ht="14.4">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row>
    <row r="748" spans="1:25" ht="14.4">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row>
    <row r="749" spans="1:25" ht="14.4">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row>
    <row r="750" spans="1:25" ht="14.4">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row>
    <row r="751" spans="1:25" ht="14.4">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row>
    <row r="752" spans="1:25" ht="14.4">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row>
    <row r="753" spans="1:25" ht="14.4">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row>
    <row r="754" spans="1:25" ht="14.4">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row>
    <row r="755" spans="1:25" ht="14.4">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row>
    <row r="756" spans="1:25" ht="14.4">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row>
    <row r="757" spans="1:25" ht="14.4">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row>
    <row r="758" spans="1:25" ht="14.4">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row>
    <row r="759" spans="1:25" ht="14.4">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row>
    <row r="760" spans="1:25" ht="14.4">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row>
    <row r="761" spans="1:25" ht="14.4">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row>
    <row r="762" spans="1:25" ht="14.4">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row>
    <row r="763" spans="1:25" ht="14.4">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row>
    <row r="764" spans="1:25" ht="14.4">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row>
    <row r="765" spans="1:25" ht="14.4">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row>
    <row r="766" spans="1:25" ht="14.4">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row>
    <row r="767" spans="1:25" ht="14.4">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row>
    <row r="768" spans="1:25" ht="14.4">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row>
    <row r="769" spans="1:25" ht="14.4">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row>
    <row r="770" spans="1:25" ht="14.4">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row>
    <row r="771" spans="1:25" ht="14.4">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row>
    <row r="772" spans="1:25" ht="14.4">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row>
    <row r="773" spans="1:25" ht="14.4">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row>
    <row r="774" spans="1:25" ht="14.4">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82"/>
    </row>
    <row r="775" spans="1:25" ht="14.4">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row>
    <row r="776" spans="1:25" ht="14.4">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row>
    <row r="777" spans="1:25" ht="14.4">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row>
    <row r="778" spans="1:25" ht="14.4">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row>
    <row r="779" spans="1:25" ht="14.4">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row>
    <row r="780" spans="1:25" ht="14.4">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row>
    <row r="781" spans="1:25" ht="14.4">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row>
    <row r="782" spans="1:25" ht="14.4">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row>
    <row r="783" spans="1:25" ht="14.4">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row>
    <row r="784" spans="1:25" ht="14.4">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row>
    <row r="785" spans="1:25" ht="14.4">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row>
    <row r="786" spans="1:25" ht="14.4">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row>
    <row r="787" spans="1:25" ht="14.4">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row>
    <row r="788" spans="1:25" ht="14.4">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row>
    <row r="789" spans="1:25" ht="14.4">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row>
    <row r="790" spans="1:25" ht="14.4">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row>
    <row r="791" spans="1:25" ht="14.4">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row>
    <row r="792" spans="1:25" ht="14.4">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row>
    <row r="793" spans="1:25" ht="14.4">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row>
    <row r="794" spans="1:25" ht="14.4">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row>
    <row r="795" spans="1:25" ht="14.4">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row>
    <row r="796" spans="1:25" ht="14.4">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row>
    <row r="797" spans="1:25" ht="14.4">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row>
    <row r="798" spans="1:25" ht="14.4">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row>
    <row r="799" spans="1:25" ht="14.4">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row>
    <row r="800" spans="1:25" ht="14.4">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row>
    <row r="801" spans="1:25" ht="14.4">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row>
    <row r="802" spans="1:25" ht="14.4">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row>
    <row r="803" spans="1:25" ht="14.4">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row>
    <row r="804" spans="1:25" ht="14.4">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row>
    <row r="805" spans="1:25" ht="14.4">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row>
    <row r="806" spans="1:25" ht="14.4">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row>
    <row r="807" spans="1:25" ht="14.4">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row>
    <row r="808" spans="1:25" ht="14.4">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row>
    <row r="809" spans="1:25" ht="14.4">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row>
    <row r="810" spans="1:25" ht="14.4">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row>
    <row r="811" spans="1:25" ht="14.4">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row>
    <row r="812" spans="1:25" ht="14.4">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row>
    <row r="813" spans="1:25" ht="14.4">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row>
    <row r="814" spans="1:25" ht="14.4">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row>
    <row r="815" spans="1:25" ht="14.4">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row>
    <row r="816" spans="1:25" ht="14.4">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row>
    <row r="817" spans="1:25" ht="14.4">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row>
    <row r="818" spans="1:25" ht="14.4">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row>
    <row r="819" spans="1:25" ht="14.4">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row>
    <row r="820" spans="1:25" ht="14.4">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row>
    <row r="821" spans="1:25" ht="14.4">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row>
    <row r="822" spans="1:25" ht="14.4">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row>
    <row r="823" spans="1:25" ht="14.4">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row>
    <row r="824" spans="1:25" ht="14.4">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row>
    <row r="825" spans="1:25" ht="14.4">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row>
    <row r="826" spans="1:25" ht="14.4">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row>
    <row r="827" spans="1:25" ht="14.4">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row>
    <row r="828" spans="1:25" ht="14.4">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row>
    <row r="829" spans="1:25" ht="14.4">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row>
    <row r="830" spans="1:25" ht="14.4">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row>
    <row r="831" spans="1:25" ht="14.4">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row>
    <row r="832" spans="1:25" ht="14.4">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row>
    <row r="833" spans="1:25" ht="14.4">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row>
    <row r="834" spans="1:25" ht="14.4">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row>
    <row r="835" spans="1:25" ht="14.4">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row>
    <row r="836" spans="1:25" ht="14.4">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82"/>
    </row>
    <row r="837" spans="1:25" ht="14.4">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82"/>
    </row>
    <row r="838" spans="1:25" ht="14.4">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row>
    <row r="839" spans="1:25" ht="14.4">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row>
    <row r="840" spans="1:25" ht="14.4">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row>
    <row r="841" spans="1:25" ht="14.4">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row>
    <row r="842" spans="1:25" ht="14.4">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row>
    <row r="843" spans="1:25" ht="14.4">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row>
    <row r="844" spans="1:25" ht="14.4">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row>
    <row r="845" spans="1:25" ht="14.4">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row>
    <row r="846" spans="1:25" ht="14.4">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row>
    <row r="847" spans="1:25" ht="14.4">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row>
    <row r="848" spans="1:25" ht="14.4">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row>
    <row r="849" spans="1:25" ht="14.4">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row>
    <row r="850" spans="1:25" ht="14.4">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row>
    <row r="851" spans="1:25" ht="14.4">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row>
    <row r="852" spans="1:25" ht="14.4">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row>
    <row r="853" spans="1:25" ht="14.4">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row>
    <row r="854" spans="1:25" ht="14.4">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row>
    <row r="855" spans="1:25" ht="14.4">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row>
    <row r="856" spans="1:25" ht="14.4">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row>
    <row r="857" spans="1:25" ht="14.4">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row>
    <row r="858" spans="1:25" ht="14.4">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row>
    <row r="859" spans="1:25" ht="14.4">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row>
    <row r="860" spans="1:25" ht="14.4">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row>
    <row r="861" spans="1:25" ht="14.4">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row>
    <row r="862" spans="1:25" ht="14.4">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row>
    <row r="863" spans="1:25" ht="14.4">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row>
    <row r="864" spans="1:25" ht="14.4">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row>
    <row r="865" spans="1:25" ht="14.4">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row>
    <row r="866" spans="1:25" ht="14.4">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row>
    <row r="867" spans="1:25" ht="14.4">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row>
    <row r="868" spans="1:25" ht="14.4">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row>
    <row r="869" spans="1:25" ht="14.4">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row>
    <row r="870" spans="1:25" ht="14.4">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row>
    <row r="871" spans="1:25" ht="14.4">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row>
    <row r="872" spans="1:25" ht="14.4">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row>
    <row r="873" spans="1:25" ht="14.4">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row>
    <row r="874" spans="1:25" ht="14.4">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row>
    <row r="875" spans="1:25" ht="14.4">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row>
    <row r="876" spans="1:25" ht="14.4">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row>
    <row r="877" spans="1:25" ht="14.4">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row>
    <row r="878" spans="1:25" ht="14.4">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row>
    <row r="879" spans="1:25" ht="14.4">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row>
    <row r="880" spans="1:25" ht="14.4">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row>
    <row r="881" spans="1:25" ht="14.4">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row>
    <row r="882" spans="1:25" ht="14.4">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row>
    <row r="883" spans="1:25" ht="14.4">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row>
    <row r="884" spans="1:25" ht="14.4">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row>
    <row r="885" spans="1:25" ht="14.4">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row>
    <row r="886" spans="1:25" ht="14.4">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row>
    <row r="887" spans="1:25" ht="14.4">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row>
    <row r="888" spans="1:25" ht="14.4">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row>
    <row r="889" spans="1:25" ht="14.4">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row>
    <row r="890" spans="1:25" ht="14.4">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row>
    <row r="891" spans="1:25" ht="14.4">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row>
    <row r="892" spans="1:25" ht="14.4">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row>
    <row r="893" spans="1:25" ht="14.4">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row>
    <row r="894" spans="1:25" ht="14.4">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row>
    <row r="895" spans="1:25" ht="14.4">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row>
    <row r="896" spans="1:25" ht="14.4">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row>
    <row r="897" spans="1:25" ht="14.4">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row>
    <row r="898" spans="1:25" ht="14.4">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row>
    <row r="899" spans="1:25" ht="14.4">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82"/>
    </row>
    <row r="900" spans="1:25" ht="14.4">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row>
    <row r="901" spans="1:25" ht="14.4">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row>
    <row r="902" spans="1:25" ht="14.4">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row>
    <row r="903" spans="1:25" ht="14.4">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row>
    <row r="904" spans="1:25" ht="14.4">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row>
    <row r="905" spans="1:25" ht="14.4">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row>
    <row r="906" spans="1:25" ht="14.4">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row>
    <row r="907" spans="1:25" ht="14.4">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row>
    <row r="908" spans="1:25" ht="14.4">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row>
    <row r="909" spans="1:25" ht="14.4">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row>
    <row r="910" spans="1:25" ht="14.4">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row>
    <row r="911" spans="1:25" ht="14.4">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row>
  </sheetData>
  <autoFilter ref="A1:U92" xr:uid="{00000000-0009-0000-0000-000008000000}">
    <filterColumn colId="0">
      <filters>
        <filter val="Live"/>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G990"/>
  <sheetViews>
    <sheetView workbookViewId="0">
      <selection activeCell="G10" sqref="G10"/>
    </sheetView>
  </sheetViews>
  <sheetFormatPr defaultColWidth="14.44140625" defaultRowHeight="15" customHeight="1"/>
  <cols>
    <col min="1" max="1" width="9.109375" customWidth="1"/>
    <col min="2" max="2" width="9.44140625" customWidth="1"/>
    <col min="3" max="3" width="14.33203125" customWidth="1"/>
    <col min="4" max="4" width="9.6640625" customWidth="1"/>
    <col min="5" max="5" width="12.6640625" customWidth="1"/>
    <col min="6" max="6" width="15" customWidth="1"/>
    <col min="7" max="7" width="15.6640625" customWidth="1"/>
    <col min="8" max="8" width="32.33203125" customWidth="1"/>
    <col min="9" max="9" width="10.88671875" customWidth="1"/>
    <col min="10" max="10" width="7.44140625" customWidth="1"/>
    <col min="11" max="11" width="10.6640625" customWidth="1"/>
    <col min="12" max="12" width="13" customWidth="1"/>
    <col min="13" max="13" width="6.6640625" customWidth="1"/>
    <col min="14" max="14" width="7.33203125" customWidth="1"/>
    <col min="15" max="15" width="10.33203125" customWidth="1"/>
    <col min="16" max="16" width="12.33203125" customWidth="1"/>
    <col min="17" max="17" width="12.6640625" customWidth="1"/>
    <col min="18" max="19" width="13.5546875" customWidth="1"/>
    <col min="20" max="20" width="6.109375" customWidth="1"/>
    <col min="21" max="21" width="8.44140625" customWidth="1"/>
    <col min="22" max="22" width="8.109375" customWidth="1"/>
    <col min="23" max="23" width="13" customWidth="1"/>
    <col min="24" max="24" width="5.88671875" customWidth="1"/>
    <col min="25" max="25" width="7" customWidth="1"/>
    <col min="26" max="26" width="5.88671875" customWidth="1"/>
  </cols>
  <sheetData>
    <row r="1" spans="1:33">
      <c r="A1" s="280" t="s">
        <v>1068</v>
      </c>
      <c r="B1" s="281" t="s">
        <v>160</v>
      </c>
      <c r="C1" s="281" t="s">
        <v>1105</v>
      </c>
      <c r="D1" s="281" t="s">
        <v>1</v>
      </c>
      <c r="E1" s="282" t="s">
        <v>4</v>
      </c>
      <c r="F1" s="282" t="s">
        <v>162</v>
      </c>
      <c r="G1" s="281" t="s">
        <v>1106</v>
      </c>
      <c r="H1" s="282" t="s">
        <v>6</v>
      </c>
      <c r="I1" s="280" t="s">
        <v>1071</v>
      </c>
      <c r="J1" s="280" t="s">
        <v>174</v>
      </c>
      <c r="K1" s="280" t="s">
        <v>1101</v>
      </c>
      <c r="L1" s="280" t="s">
        <v>959</v>
      </c>
      <c r="M1" s="280" t="s">
        <v>960</v>
      </c>
      <c r="N1" s="283" t="s">
        <v>11</v>
      </c>
      <c r="O1" s="280" t="s">
        <v>186</v>
      </c>
      <c r="P1" s="280" t="s">
        <v>961</v>
      </c>
      <c r="Q1" s="284" t="s">
        <v>1107</v>
      </c>
      <c r="R1" s="284" t="s">
        <v>1108</v>
      </c>
      <c r="S1" s="284" t="s">
        <v>1109</v>
      </c>
      <c r="T1" s="284" t="s">
        <v>962</v>
      </c>
      <c r="U1" s="284" t="s">
        <v>1085</v>
      </c>
      <c r="V1" s="280" t="s">
        <v>9</v>
      </c>
      <c r="W1" s="280" t="s">
        <v>1110</v>
      </c>
      <c r="X1" s="285"/>
      <c r="Y1" s="285"/>
      <c r="Z1" s="285"/>
      <c r="AA1" s="286"/>
      <c r="AB1" s="286"/>
      <c r="AC1" s="286"/>
      <c r="AD1" s="286"/>
      <c r="AE1" s="286"/>
      <c r="AF1" s="286"/>
      <c r="AG1" s="286"/>
    </row>
    <row r="2" spans="1:33">
      <c r="A2" s="117">
        <v>1</v>
      </c>
      <c r="B2" s="69"/>
      <c r="C2" s="69"/>
      <c r="D2" s="69" t="s">
        <v>231</v>
      </c>
      <c r="E2" s="187" t="s">
        <v>232</v>
      </c>
      <c r="F2" s="187" t="str">
        <f>VLOOKUP(D2,'Margin Calculation'!F:I,4,0)</f>
        <v>Home &amp; Kitchen</v>
      </c>
      <c r="G2" s="69" t="s">
        <v>233</v>
      </c>
      <c r="H2" s="69" t="s">
        <v>238</v>
      </c>
      <c r="I2" s="287">
        <f>VLOOKUP(D2,'Margin Calculation'!F:Y,20,0)</f>
        <v>1311.1911936000001</v>
      </c>
      <c r="J2" s="287">
        <f>VLOOKUP(D2,'Margin Calculation'!F:Z,21,0)</f>
        <v>1547.205608448</v>
      </c>
      <c r="K2" s="117" t="e">
        <f t="shared" ref="K2:K88" si="0">Q2*6%</f>
        <v>#N/A</v>
      </c>
      <c r="L2" s="117" t="e">
        <f t="shared" ref="L2:L19" si="1">Q2*3%</f>
        <v>#N/A</v>
      </c>
      <c r="M2" s="117" t="e">
        <f t="shared" ref="M2:M88" si="2">Q2*5%</f>
        <v>#N/A</v>
      </c>
      <c r="N2" s="235" t="e">
        <f t="shared" ref="N2:N88" si="3">Q2-(Q2/1.18)</f>
        <v>#N/A</v>
      </c>
      <c r="O2" s="117" t="e">
        <f t="shared" ref="O2:O88" si="4">Q2-I2-K2-L2-M2-N2</f>
        <v>#N/A</v>
      </c>
      <c r="P2" s="288" t="e">
        <f t="shared" ref="P2:P88" si="5">O2/Q2</f>
        <v>#N/A</v>
      </c>
      <c r="Q2" s="289" t="e">
        <f t="shared" ref="Q2:Q8" si="6">U2-Z2</f>
        <v>#N/A</v>
      </c>
      <c r="R2" s="289"/>
      <c r="S2" s="289" t="e">
        <f t="shared" ref="S2:S88" si="7">U2-Y2</f>
        <v>#N/A</v>
      </c>
      <c r="T2" s="289" t="e">
        <f t="shared" ref="T2:T88" si="8">U2-X2</f>
        <v>#N/A</v>
      </c>
      <c r="U2" s="289" t="e">
        <f>VLOOKUP(D2,'Amazon Live Products'!E:AF,28,0)</f>
        <v>#N/A</v>
      </c>
      <c r="V2" s="117">
        <f>VLOOKUP(E2,Sheet6!AF:AG,2,0)</f>
        <v>5999</v>
      </c>
      <c r="W2" s="117" t="e">
        <f t="shared" ref="W2:W88" si="9">U2-T2</f>
        <v>#N/A</v>
      </c>
      <c r="X2" s="117" t="e">
        <f t="shared" ref="X2:X4" si="10">U2*3%</f>
        <v>#N/A</v>
      </c>
      <c r="Y2" s="117" t="e">
        <f t="shared" ref="Y2:Y88" si="11">U2*15%</f>
        <v>#N/A</v>
      </c>
      <c r="Z2" s="117" t="e">
        <f t="shared" ref="Z2:Z88" si="12">U2*20%</f>
        <v>#N/A</v>
      </c>
      <c r="AA2" s="117"/>
      <c r="AB2" s="117"/>
      <c r="AC2" s="117"/>
      <c r="AD2" s="117"/>
      <c r="AE2" s="117"/>
      <c r="AF2" s="117"/>
      <c r="AG2" s="117"/>
    </row>
    <row r="3" spans="1:33">
      <c r="A3" s="117">
        <f t="shared" ref="A3:A20" si="13">A2+1</f>
        <v>2</v>
      </c>
      <c r="B3" s="69"/>
      <c r="C3" s="69"/>
      <c r="D3" s="69" t="s">
        <v>240</v>
      </c>
      <c r="E3" s="187" t="s">
        <v>241</v>
      </c>
      <c r="F3" s="187" t="str">
        <f>VLOOKUP(D3,'Margin Calculation'!F:I,4,0)</f>
        <v>Home &amp; Kitchen</v>
      </c>
      <c r="G3" s="69" t="s">
        <v>242</v>
      </c>
      <c r="H3" s="69" t="s">
        <v>244</v>
      </c>
      <c r="I3" s="287">
        <f>VLOOKUP(D3,'Margin Calculation'!F:Y,20,0)</f>
        <v>1066.3371935999999</v>
      </c>
      <c r="J3" s="287">
        <f>VLOOKUP(D3,'Margin Calculation'!F:Z,21,0)</f>
        <v>1258.2778884479999</v>
      </c>
      <c r="K3" s="117">
        <f t="shared" si="0"/>
        <v>98.352000000000004</v>
      </c>
      <c r="L3" s="117">
        <f t="shared" si="1"/>
        <v>49.176000000000002</v>
      </c>
      <c r="M3" s="117">
        <f t="shared" si="2"/>
        <v>81.960000000000008</v>
      </c>
      <c r="N3" s="235">
        <f t="shared" si="3"/>
        <v>250.04745762711855</v>
      </c>
      <c r="O3" s="289">
        <f t="shared" si="4"/>
        <v>93.327348772881692</v>
      </c>
      <c r="P3" s="288">
        <f t="shared" si="5"/>
        <v>5.6934693004442219E-2</v>
      </c>
      <c r="Q3" s="289">
        <f t="shared" si="6"/>
        <v>1639.2</v>
      </c>
      <c r="R3" s="289"/>
      <c r="S3" s="289">
        <f t="shared" si="7"/>
        <v>1741.65</v>
      </c>
      <c r="T3" s="289">
        <f t="shared" si="8"/>
        <v>1987.53</v>
      </c>
      <c r="U3" s="289">
        <f>VLOOKUP(D3,'Amazon Live Products'!E:AF,28,0)</f>
        <v>2049</v>
      </c>
      <c r="V3" s="117">
        <f>VLOOKUP(E3,Sheet6!AF:AG,2,0)</f>
        <v>4999</v>
      </c>
      <c r="W3" s="289">
        <f t="shared" si="9"/>
        <v>61.470000000000027</v>
      </c>
      <c r="X3" s="117">
        <f t="shared" si="10"/>
        <v>61.47</v>
      </c>
      <c r="Y3" s="117">
        <f t="shared" si="11"/>
        <v>307.34999999999997</v>
      </c>
      <c r="Z3" s="117">
        <f t="shared" si="12"/>
        <v>409.8</v>
      </c>
      <c r="AA3" s="117"/>
      <c r="AB3" s="117"/>
      <c r="AC3" s="117"/>
      <c r="AD3" s="117"/>
      <c r="AE3" s="117"/>
      <c r="AF3" s="117"/>
      <c r="AG3" s="117"/>
    </row>
    <row r="4" spans="1:33">
      <c r="A4" s="117">
        <f t="shared" si="13"/>
        <v>3</v>
      </c>
      <c r="B4" s="69"/>
      <c r="C4" s="69"/>
      <c r="D4" s="69" t="s">
        <v>246</v>
      </c>
      <c r="E4" s="187" t="s">
        <v>247</v>
      </c>
      <c r="F4" s="187" t="str">
        <f>VLOOKUP(D4,'Margin Calculation'!F:I,4,0)</f>
        <v>Home &amp; Kitchen</v>
      </c>
      <c r="G4" s="69" t="s">
        <v>248</v>
      </c>
      <c r="H4" s="69" t="s">
        <v>251</v>
      </c>
      <c r="I4" s="287">
        <f>VLOOKUP(D4,'Margin Calculation'!F:Y,20,0)</f>
        <v>1521.9733235294116</v>
      </c>
      <c r="J4" s="287">
        <f>VLOOKUP(D4,'Margin Calculation'!F:Z,21,0)</f>
        <v>1795.9285217647055</v>
      </c>
      <c r="K4" s="117">
        <f t="shared" si="0"/>
        <v>163.15199999999999</v>
      </c>
      <c r="L4" s="117">
        <f t="shared" si="1"/>
        <v>81.575999999999993</v>
      </c>
      <c r="M4" s="117">
        <f t="shared" si="2"/>
        <v>135.96</v>
      </c>
      <c r="N4" s="235">
        <f t="shared" si="3"/>
        <v>414.79322033898279</v>
      </c>
      <c r="O4" s="289">
        <f t="shared" si="4"/>
        <v>401.74545613160535</v>
      </c>
      <c r="P4" s="288">
        <f t="shared" si="5"/>
        <v>0.14774398945704817</v>
      </c>
      <c r="Q4" s="289">
        <f t="shared" si="6"/>
        <v>2719.2</v>
      </c>
      <c r="R4" s="289"/>
      <c r="S4" s="289">
        <f t="shared" si="7"/>
        <v>2889.15</v>
      </c>
      <c r="T4" s="289">
        <f t="shared" si="8"/>
        <v>3297.03</v>
      </c>
      <c r="U4" s="289">
        <f>VLOOKUP(D4,'Amazon Live Products'!E:AF,28,0)</f>
        <v>3399</v>
      </c>
      <c r="V4" s="117">
        <f>VLOOKUP(E4,Sheet6!AF:AG,2,0)</f>
        <v>9999</v>
      </c>
      <c r="W4" s="289">
        <f t="shared" si="9"/>
        <v>101.9699999999998</v>
      </c>
      <c r="X4" s="117">
        <f t="shared" si="10"/>
        <v>101.97</v>
      </c>
      <c r="Y4" s="117">
        <f t="shared" si="11"/>
        <v>509.84999999999997</v>
      </c>
      <c r="Z4" s="117">
        <f t="shared" si="12"/>
        <v>679.80000000000007</v>
      </c>
      <c r="AA4" s="117"/>
      <c r="AB4" s="117"/>
      <c r="AC4" s="117"/>
      <c r="AD4" s="117"/>
      <c r="AE4" s="117"/>
      <c r="AF4" s="117"/>
      <c r="AG4" s="117"/>
    </row>
    <row r="5" spans="1:33">
      <c r="A5" s="117">
        <f t="shared" si="13"/>
        <v>4</v>
      </c>
      <c r="B5" s="69"/>
      <c r="C5" s="69"/>
      <c r="D5" s="69" t="s">
        <v>253</v>
      </c>
      <c r="E5" s="187" t="s">
        <v>254</v>
      </c>
      <c r="F5" s="187" t="str">
        <f>VLOOKUP(D5,'Margin Calculation'!F:I,4,0)</f>
        <v>Sports, Fitness &amp; Outdoors</v>
      </c>
      <c r="G5" s="290" t="s">
        <v>255</v>
      </c>
      <c r="H5" s="69" t="s">
        <v>259</v>
      </c>
      <c r="I5" s="287">
        <f>VLOOKUP(D5,'Margin Calculation'!F:Y,20,0)</f>
        <v>355.33344600000004</v>
      </c>
      <c r="J5" s="287">
        <f>VLOOKUP(D5,'Margin Calculation'!F:Z,21,0)</f>
        <v>397.97345952000006</v>
      </c>
      <c r="K5" s="117">
        <f t="shared" si="0"/>
        <v>33.552</v>
      </c>
      <c r="L5" s="117">
        <f t="shared" si="1"/>
        <v>16.776</v>
      </c>
      <c r="M5" s="117">
        <f t="shared" si="2"/>
        <v>27.960000000000004</v>
      </c>
      <c r="N5" s="235">
        <f t="shared" si="3"/>
        <v>85.301694915254245</v>
      </c>
      <c r="O5" s="289">
        <f t="shared" si="4"/>
        <v>40.276859084745752</v>
      </c>
      <c r="P5" s="288">
        <f t="shared" si="5"/>
        <v>7.2025856732377949E-2</v>
      </c>
      <c r="Q5" s="289">
        <f t="shared" si="6"/>
        <v>559.20000000000005</v>
      </c>
      <c r="R5" s="291">
        <v>449</v>
      </c>
      <c r="S5" s="289">
        <f t="shared" si="7"/>
        <v>594.15</v>
      </c>
      <c r="T5" s="289">
        <f t="shared" si="8"/>
        <v>629.1</v>
      </c>
      <c r="U5" s="289">
        <f>VLOOKUP(D5,'Amazon Live Products'!E:AF,28,0)</f>
        <v>699</v>
      </c>
      <c r="V5" s="117">
        <f>VLOOKUP(E5,Sheet6!AF:AG,2,0)</f>
        <v>1499</v>
      </c>
      <c r="W5" s="289">
        <f t="shared" si="9"/>
        <v>69.899999999999977</v>
      </c>
      <c r="X5" s="117">
        <f t="shared" ref="X5:X7" si="14">U5*10%</f>
        <v>69.900000000000006</v>
      </c>
      <c r="Y5" s="117">
        <f t="shared" si="11"/>
        <v>104.85</v>
      </c>
      <c r="Z5" s="117">
        <f t="shared" si="12"/>
        <v>139.80000000000001</v>
      </c>
      <c r="AA5" s="117" t="s">
        <v>1111</v>
      </c>
      <c r="AB5" s="117"/>
      <c r="AC5" s="117"/>
      <c r="AD5" s="117"/>
      <c r="AE5" s="117"/>
      <c r="AF5" s="117"/>
      <c r="AG5" s="117"/>
    </row>
    <row r="6" spans="1:33">
      <c r="A6" s="117">
        <f t="shared" si="13"/>
        <v>5</v>
      </c>
      <c r="B6" s="69"/>
      <c r="C6" s="69"/>
      <c r="D6" s="69" t="s">
        <v>262</v>
      </c>
      <c r="E6" s="187" t="s">
        <v>263</v>
      </c>
      <c r="F6" s="187" t="str">
        <f>VLOOKUP(D6,'Margin Calculation'!F:I,4,0)</f>
        <v>Sports, Fitness &amp; Outdoors</v>
      </c>
      <c r="G6" s="69" t="s">
        <v>264</v>
      </c>
      <c r="H6" s="69" t="s">
        <v>265</v>
      </c>
      <c r="I6" s="287">
        <f>VLOOKUP(D6,'Margin Calculation'!F:Y,20,0)</f>
        <v>355.33344600000004</v>
      </c>
      <c r="J6" s="287">
        <f>VLOOKUP(D6,'Margin Calculation'!F:Z,21,0)</f>
        <v>397.97345952000006</v>
      </c>
      <c r="K6" s="117">
        <f t="shared" si="0"/>
        <v>33.552</v>
      </c>
      <c r="L6" s="117">
        <f t="shared" si="1"/>
        <v>16.776</v>
      </c>
      <c r="M6" s="117">
        <f t="shared" si="2"/>
        <v>27.960000000000004</v>
      </c>
      <c r="N6" s="235">
        <f t="shared" si="3"/>
        <v>85.301694915254245</v>
      </c>
      <c r="O6" s="289">
        <f t="shared" si="4"/>
        <v>40.276859084745752</v>
      </c>
      <c r="P6" s="288">
        <f t="shared" si="5"/>
        <v>7.2025856732377949E-2</v>
      </c>
      <c r="Q6" s="289">
        <f t="shared" si="6"/>
        <v>559.20000000000005</v>
      </c>
      <c r="R6" s="289"/>
      <c r="S6" s="289">
        <f t="shared" si="7"/>
        <v>594.15</v>
      </c>
      <c r="T6" s="289">
        <f t="shared" si="8"/>
        <v>629.1</v>
      </c>
      <c r="U6" s="289">
        <f>VLOOKUP(D6,'Amazon Live Products'!E:AF,28,0)</f>
        <v>699</v>
      </c>
      <c r="V6" s="117">
        <f>VLOOKUP(E6,Sheet6!AF:AG,2,0)</f>
        <v>1999</v>
      </c>
      <c r="W6" s="289">
        <f t="shared" si="9"/>
        <v>69.899999999999977</v>
      </c>
      <c r="X6" s="117">
        <f t="shared" si="14"/>
        <v>69.900000000000006</v>
      </c>
      <c r="Y6" s="117">
        <f t="shared" si="11"/>
        <v>104.85</v>
      </c>
      <c r="Z6" s="117">
        <f t="shared" si="12"/>
        <v>139.80000000000001</v>
      </c>
      <c r="AA6" s="117"/>
      <c r="AB6" s="117"/>
      <c r="AC6" s="117"/>
      <c r="AD6" s="117"/>
      <c r="AE6" s="117"/>
      <c r="AF6" s="117"/>
      <c r="AG6" s="117"/>
    </row>
    <row r="7" spans="1:33">
      <c r="A7" s="117">
        <f t="shared" si="13"/>
        <v>6</v>
      </c>
      <c r="B7" s="69"/>
      <c r="C7" s="69"/>
      <c r="D7" s="69" t="s">
        <v>267</v>
      </c>
      <c r="E7" s="187" t="s">
        <v>268</v>
      </c>
      <c r="F7" s="187" t="str">
        <f>VLOOKUP(D7,'Margin Calculation'!F:I,4,0)</f>
        <v>Sports, Fitness &amp; Outdoors</v>
      </c>
      <c r="G7" s="69" t="s">
        <v>269</v>
      </c>
      <c r="H7" s="69" t="s">
        <v>270</v>
      </c>
      <c r="I7" s="287">
        <f>VLOOKUP(D7,'Margin Calculation'!F:Y,20,0)</f>
        <v>355.33344600000004</v>
      </c>
      <c r="J7" s="287">
        <f>VLOOKUP(D7,'Margin Calculation'!F:Z,21,0)</f>
        <v>397.97345952000006</v>
      </c>
      <c r="K7" s="117">
        <f t="shared" si="0"/>
        <v>33.552</v>
      </c>
      <c r="L7" s="117">
        <f t="shared" si="1"/>
        <v>16.776</v>
      </c>
      <c r="M7" s="117">
        <f t="shared" si="2"/>
        <v>27.960000000000004</v>
      </c>
      <c r="N7" s="235">
        <f t="shared" si="3"/>
        <v>85.301694915254245</v>
      </c>
      <c r="O7" s="289">
        <f t="shared" si="4"/>
        <v>40.276859084745752</v>
      </c>
      <c r="P7" s="288">
        <f t="shared" si="5"/>
        <v>7.2025856732377949E-2</v>
      </c>
      <c r="Q7" s="289">
        <f t="shared" si="6"/>
        <v>559.20000000000005</v>
      </c>
      <c r="R7" s="289"/>
      <c r="S7" s="289">
        <f t="shared" si="7"/>
        <v>594.15</v>
      </c>
      <c r="T7" s="289">
        <f t="shared" si="8"/>
        <v>629.1</v>
      </c>
      <c r="U7" s="289">
        <f>VLOOKUP(D7,'Amazon Live Products'!E:AF,28,0)</f>
        <v>699</v>
      </c>
      <c r="V7" s="117">
        <f>VLOOKUP(E7,Sheet6!AF:AG,2,0)</f>
        <v>1499</v>
      </c>
      <c r="W7" s="289">
        <f t="shared" si="9"/>
        <v>69.899999999999977</v>
      </c>
      <c r="X7" s="117">
        <f t="shared" si="14"/>
        <v>69.900000000000006</v>
      </c>
      <c r="Y7" s="117">
        <f t="shared" si="11"/>
        <v>104.85</v>
      </c>
      <c r="Z7" s="117">
        <f t="shared" si="12"/>
        <v>139.80000000000001</v>
      </c>
      <c r="AA7" s="117"/>
      <c r="AB7" s="117"/>
      <c r="AC7" s="117"/>
      <c r="AD7" s="117"/>
      <c r="AE7" s="117"/>
      <c r="AF7" s="117"/>
      <c r="AG7" s="117"/>
    </row>
    <row r="8" spans="1:33">
      <c r="A8" s="117">
        <f t="shared" si="13"/>
        <v>7</v>
      </c>
      <c r="B8" s="117"/>
      <c r="C8" s="117"/>
      <c r="D8" s="117" t="s">
        <v>324</v>
      </c>
      <c r="E8" s="102" t="s">
        <v>325</v>
      </c>
      <c r="F8" s="102" t="str">
        <f>VLOOKUP(D8,'Margin Calculation'!F:I,4,0)</f>
        <v>Home &amp; Kitchen</v>
      </c>
      <c r="G8" s="117" t="s">
        <v>326</v>
      </c>
      <c r="H8" s="117" t="s">
        <v>327</v>
      </c>
      <c r="I8" s="287">
        <f>VLOOKUP(D8,'Margin Calculation'!F:Y,20,0)</f>
        <v>1278.2511936000001</v>
      </c>
      <c r="J8" s="287">
        <f>VLOOKUP(D8,'Margin Calculation'!F:Z,21,0)</f>
        <v>1508.3364084479999</v>
      </c>
      <c r="K8" s="117">
        <f t="shared" si="0"/>
        <v>105.55199999999999</v>
      </c>
      <c r="L8" s="117">
        <f t="shared" si="1"/>
        <v>52.775999999999996</v>
      </c>
      <c r="M8" s="117">
        <f t="shared" si="2"/>
        <v>87.960000000000008</v>
      </c>
      <c r="N8" s="235">
        <f t="shared" si="3"/>
        <v>268.35254237288132</v>
      </c>
      <c r="O8" s="289">
        <f t="shared" si="4"/>
        <v>-33.691735972881389</v>
      </c>
      <c r="P8" s="288">
        <f t="shared" si="5"/>
        <v>-1.9151737137836168E-2</v>
      </c>
      <c r="Q8" s="289">
        <f t="shared" si="6"/>
        <v>1759.2</v>
      </c>
      <c r="R8" s="289"/>
      <c r="S8" s="289">
        <f t="shared" si="7"/>
        <v>1869.15</v>
      </c>
      <c r="T8" s="289">
        <f t="shared" si="8"/>
        <v>2133.0300000000002</v>
      </c>
      <c r="U8" s="289">
        <f>VLOOKUP(D8,'Amazon Live Products'!E:AF,28,0)</f>
        <v>2199</v>
      </c>
      <c r="V8" s="117">
        <f>VLOOKUP(E8,Sheet6!AF:AG,2,0)</f>
        <v>5999</v>
      </c>
      <c r="W8" s="289">
        <f t="shared" si="9"/>
        <v>65.9699999999998</v>
      </c>
      <c r="X8" s="117">
        <f>U8*3%</f>
        <v>65.97</v>
      </c>
      <c r="Y8" s="117">
        <f t="shared" si="11"/>
        <v>329.84999999999997</v>
      </c>
      <c r="Z8" s="117">
        <f t="shared" si="12"/>
        <v>439.8</v>
      </c>
      <c r="AA8" s="117"/>
      <c r="AB8" s="117"/>
      <c r="AC8" s="117"/>
      <c r="AD8" s="117"/>
      <c r="AE8" s="117"/>
      <c r="AF8" s="117"/>
      <c r="AG8" s="117"/>
    </row>
    <row r="9" spans="1:33">
      <c r="A9" s="117">
        <f t="shared" si="13"/>
        <v>8</v>
      </c>
      <c r="B9" s="69" t="s">
        <v>934</v>
      </c>
      <c r="C9" s="69">
        <v>1199</v>
      </c>
      <c r="D9" s="69" t="s">
        <v>329</v>
      </c>
      <c r="E9" s="102" t="s">
        <v>330</v>
      </c>
      <c r="F9" s="102" t="str">
        <f>VLOOKUP(D9,'Margin Calculation'!F:I,4,0)</f>
        <v>HPC</v>
      </c>
      <c r="G9" s="292" t="s">
        <v>331</v>
      </c>
      <c r="H9" s="117" t="s">
        <v>333</v>
      </c>
      <c r="I9" s="287">
        <f>VLOOKUP(D9,'Margin Calculation'!F:Y,20,0)</f>
        <v>240.79140000000001</v>
      </c>
      <c r="J9" s="287">
        <f>VLOOKUP(D9,'Margin Calculation'!F:Z,21,0)</f>
        <v>284.13385199999999</v>
      </c>
      <c r="K9" s="117">
        <f t="shared" si="0"/>
        <v>16.8</v>
      </c>
      <c r="L9" s="117">
        <f t="shared" si="1"/>
        <v>8.4</v>
      </c>
      <c r="M9" s="117">
        <f t="shared" si="2"/>
        <v>14</v>
      </c>
      <c r="N9" s="235">
        <f t="shared" si="3"/>
        <v>42.711864406779654</v>
      </c>
      <c r="O9" s="289">
        <f t="shared" si="4"/>
        <v>-42.703264406779667</v>
      </c>
      <c r="P9" s="288">
        <f t="shared" si="5"/>
        <v>-0.15251165859564167</v>
      </c>
      <c r="Q9" s="289">
        <v>280</v>
      </c>
      <c r="R9" s="291">
        <v>280</v>
      </c>
      <c r="S9" s="289">
        <f t="shared" si="7"/>
        <v>254.15</v>
      </c>
      <c r="T9" s="289">
        <f t="shared" si="8"/>
        <v>269.10000000000002</v>
      </c>
      <c r="U9" s="289">
        <f>VLOOKUP(D9,'Amazon Live Products'!E:AF,28,0)</f>
        <v>299</v>
      </c>
      <c r="V9" s="117">
        <f>VLOOKUP(E9,Sheet6!AF:AG,2,0)</f>
        <v>1199</v>
      </c>
      <c r="W9" s="289">
        <f t="shared" si="9"/>
        <v>29.899999999999977</v>
      </c>
      <c r="X9" s="117">
        <f t="shared" ref="X9:X11" si="15">U9*10%</f>
        <v>29.900000000000002</v>
      </c>
      <c r="Y9" s="117">
        <f t="shared" si="11"/>
        <v>44.85</v>
      </c>
      <c r="Z9" s="117">
        <f t="shared" si="12"/>
        <v>59.800000000000004</v>
      </c>
      <c r="AA9" s="117" t="s">
        <v>1111</v>
      </c>
      <c r="AB9" s="117"/>
      <c r="AC9" s="117"/>
      <c r="AD9" s="117"/>
      <c r="AE9" s="117"/>
      <c r="AF9" s="117"/>
      <c r="AG9" s="117"/>
    </row>
    <row r="10" spans="1:33">
      <c r="A10" s="117">
        <f t="shared" si="13"/>
        <v>9</v>
      </c>
      <c r="B10" s="69"/>
      <c r="C10" s="69"/>
      <c r="D10" s="69" t="s">
        <v>335</v>
      </c>
      <c r="E10" s="102" t="s">
        <v>336</v>
      </c>
      <c r="F10" s="102" t="str">
        <f>VLOOKUP(D10,'Margin Calculation'!F:I,4,0)</f>
        <v>HPC</v>
      </c>
      <c r="G10" s="117" t="s">
        <v>337</v>
      </c>
      <c r="H10" s="117" t="s">
        <v>338</v>
      </c>
      <c r="I10" s="287">
        <f>VLOOKUP(D10,'Margin Calculation'!F:Y,20,0)</f>
        <v>240.79140000000001</v>
      </c>
      <c r="J10" s="287">
        <f>VLOOKUP(D10,'Margin Calculation'!F:Z,21,0)</f>
        <v>284.13385199999999</v>
      </c>
      <c r="K10" s="117">
        <f t="shared" si="0"/>
        <v>19.8</v>
      </c>
      <c r="L10" s="117">
        <f t="shared" si="1"/>
        <v>9.9</v>
      </c>
      <c r="M10" s="117">
        <f t="shared" si="2"/>
        <v>16.5</v>
      </c>
      <c r="N10" s="235">
        <f t="shared" si="3"/>
        <v>50.338983050847446</v>
      </c>
      <c r="O10" s="289">
        <f t="shared" si="4"/>
        <v>-7.3303830508474519</v>
      </c>
      <c r="P10" s="288">
        <f t="shared" si="5"/>
        <v>-2.2213281972265006E-2</v>
      </c>
      <c r="Q10" s="289">
        <v>330</v>
      </c>
      <c r="R10" s="289"/>
      <c r="S10" s="289">
        <f t="shared" si="7"/>
        <v>254.15</v>
      </c>
      <c r="T10" s="289">
        <f t="shared" si="8"/>
        <v>269.10000000000002</v>
      </c>
      <c r="U10" s="289">
        <f>VLOOKUP(D10,'Amazon Live Products'!E:AF,28,0)</f>
        <v>299</v>
      </c>
      <c r="V10" s="117">
        <f>VLOOKUP(E10,Sheet6!AF:AG,2,0)</f>
        <v>1199</v>
      </c>
      <c r="W10" s="289">
        <f t="shared" si="9"/>
        <v>29.899999999999977</v>
      </c>
      <c r="X10" s="117">
        <f t="shared" si="15"/>
        <v>29.900000000000002</v>
      </c>
      <c r="Y10" s="117">
        <f t="shared" si="11"/>
        <v>44.85</v>
      </c>
      <c r="Z10" s="117">
        <f t="shared" si="12"/>
        <v>59.800000000000004</v>
      </c>
      <c r="AA10" s="117"/>
      <c r="AB10" s="117"/>
      <c r="AC10" s="117"/>
      <c r="AD10" s="117"/>
      <c r="AE10" s="117"/>
      <c r="AF10" s="117"/>
      <c r="AG10" s="117"/>
    </row>
    <row r="11" spans="1:33">
      <c r="A11" s="117">
        <f t="shared" si="13"/>
        <v>10</v>
      </c>
      <c r="B11" s="69"/>
      <c r="C11" s="69"/>
      <c r="D11" s="69" t="s">
        <v>340</v>
      </c>
      <c r="E11" s="102" t="s">
        <v>341</v>
      </c>
      <c r="F11" s="102" t="str">
        <f>VLOOKUP(D11,'Margin Calculation'!F:I,4,0)</f>
        <v>HPC</v>
      </c>
      <c r="G11" s="117" t="s">
        <v>342</v>
      </c>
      <c r="H11" s="117" t="s">
        <v>343</v>
      </c>
      <c r="I11" s="287">
        <f>VLOOKUP(D11,'Margin Calculation'!F:Y,20,0)</f>
        <v>165.75408000000002</v>
      </c>
      <c r="J11" s="287">
        <f>VLOOKUP(D11,'Margin Calculation'!F:Z,21,0)</f>
        <v>195.58981439999999</v>
      </c>
      <c r="K11" s="117" t="e">
        <f t="shared" si="0"/>
        <v>#N/A</v>
      </c>
      <c r="L11" s="117" t="e">
        <f t="shared" si="1"/>
        <v>#N/A</v>
      </c>
      <c r="M11" s="117" t="e">
        <f t="shared" si="2"/>
        <v>#N/A</v>
      </c>
      <c r="N11" s="235" t="e">
        <f t="shared" si="3"/>
        <v>#N/A</v>
      </c>
      <c r="O11" s="117" t="e">
        <f t="shared" si="4"/>
        <v>#N/A</v>
      </c>
      <c r="P11" s="288" t="e">
        <f t="shared" si="5"/>
        <v>#N/A</v>
      </c>
      <c r="Q11" s="289" t="e">
        <f t="shared" ref="Q11:Q13" si="16">U11-Z11</f>
        <v>#N/A</v>
      </c>
      <c r="R11" s="289"/>
      <c r="S11" s="289" t="e">
        <f t="shared" si="7"/>
        <v>#N/A</v>
      </c>
      <c r="T11" s="289" t="e">
        <f t="shared" si="8"/>
        <v>#N/A</v>
      </c>
      <c r="U11" s="289" t="e">
        <f>VLOOKUP(D11,'Amazon Live Products'!E:AF,28,0)</f>
        <v>#N/A</v>
      </c>
      <c r="V11" s="117">
        <f>VLOOKUP(E11,Sheet6!AF:AG,2,0)</f>
        <v>699</v>
      </c>
      <c r="W11" s="117" t="e">
        <f t="shared" si="9"/>
        <v>#N/A</v>
      </c>
      <c r="X11" s="117" t="e">
        <f t="shared" si="15"/>
        <v>#N/A</v>
      </c>
      <c r="Y11" s="117" t="e">
        <f t="shared" si="11"/>
        <v>#N/A</v>
      </c>
      <c r="Z11" s="117" t="e">
        <f t="shared" si="12"/>
        <v>#N/A</v>
      </c>
      <c r="AA11" s="117"/>
      <c r="AB11" s="117"/>
      <c r="AC11" s="117"/>
      <c r="AD11" s="117"/>
      <c r="AE11" s="117"/>
      <c r="AF11" s="117"/>
      <c r="AG11" s="117"/>
    </row>
    <row r="12" spans="1:33">
      <c r="A12" s="117">
        <f t="shared" si="13"/>
        <v>11</v>
      </c>
      <c r="B12" s="69"/>
      <c r="C12" s="69"/>
      <c r="D12" s="69" t="s">
        <v>418</v>
      </c>
      <c r="E12" s="102" t="s">
        <v>419</v>
      </c>
      <c r="F12" s="102" t="str">
        <f>VLOOKUP(D12,'Margin Calculation'!F:I,4,0)</f>
        <v>Home &amp; Kitchen</v>
      </c>
      <c r="G12" s="69" t="s">
        <v>420</v>
      </c>
      <c r="H12" s="69" t="s">
        <v>422</v>
      </c>
      <c r="I12" s="287">
        <f>VLOOKUP(D12,'Margin Calculation'!F:Y,20,0)</f>
        <v>1159.1586</v>
      </c>
      <c r="J12" s="287">
        <f>VLOOKUP(D12,'Margin Calculation'!F:Z,21,0)</f>
        <v>1367.8071479999999</v>
      </c>
      <c r="K12" s="117">
        <f t="shared" si="0"/>
        <v>117.55199999999999</v>
      </c>
      <c r="L12" s="117">
        <f t="shared" si="1"/>
        <v>58.775999999999996</v>
      </c>
      <c r="M12" s="117">
        <f t="shared" si="2"/>
        <v>97.960000000000008</v>
      </c>
      <c r="N12" s="235">
        <f t="shared" si="3"/>
        <v>298.86101694915237</v>
      </c>
      <c r="O12" s="289">
        <f t="shared" si="4"/>
        <v>226.89238305084768</v>
      </c>
      <c r="P12" s="288">
        <f t="shared" si="5"/>
        <v>0.11580868877646371</v>
      </c>
      <c r="Q12" s="289">
        <f t="shared" si="16"/>
        <v>1959.2</v>
      </c>
      <c r="R12" s="289"/>
      <c r="S12" s="289">
        <f t="shared" si="7"/>
        <v>2081.65</v>
      </c>
      <c r="T12" s="289">
        <f t="shared" si="8"/>
        <v>2375.5300000000002</v>
      </c>
      <c r="U12" s="289">
        <f>VLOOKUP(D12,'Amazon Live Products'!E:AF,28,0)</f>
        <v>2449</v>
      </c>
      <c r="V12" s="117">
        <f>VLOOKUP(E12,Sheet6!AF:AG,2,0)</f>
        <v>6999</v>
      </c>
      <c r="W12" s="289">
        <f t="shared" si="9"/>
        <v>73.4699999999998</v>
      </c>
      <c r="X12" s="117">
        <f t="shared" ref="X12:X13" si="17">U12*3%</f>
        <v>73.47</v>
      </c>
      <c r="Y12" s="117">
        <f t="shared" si="11"/>
        <v>367.34999999999997</v>
      </c>
      <c r="Z12" s="117">
        <f t="shared" si="12"/>
        <v>489.8</v>
      </c>
      <c r="AA12" s="117"/>
      <c r="AB12" s="117"/>
      <c r="AC12" s="117"/>
      <c r="AD12" s="117"/>
      <c r="AE12" s="117"/>
      <c r="AF12" s="117"/>
      <c r="AG12" s="117"/>
    </row>
    <row r="13" spans="1:33">
      <c r="A13" s="117">
        <f t="shared" si="13"/>
        <v>12</v>
      </c>
      <c r="B13" s="69"/>
      <c r="C13" s="69"/>
      <c r="D13" s="69" t="s">
        <v>424</v>
      </c>
      <c r="E13" s="102" t="s">
        <v>425</v>
      </c>
      <c r="F13" s="102" t="str">
        <f>VLOOKUP(D13,'Margin Calculation'!F:I,4,0)</f>
        <v>Home &amp; Kitchen</v>
      </c>
      <c r="G13" s="69" t="s">
        <v>426</v>
      </c>
      <c r="H13" s="69" t="s">
        <v>427</v>
      </c>
      <c r="I13" s="287">
        <f>VLOOKUP(D13,'Margin Calculation'!F:Y,20,0)</f>
        <v>957.84120000000019</v>
      </c>
      <c r="J13" s="287">
        <f>VLOOKUP(D13,'Margin Calculation'!F:Z,21,0)</f>
        <v>1130.2526160000002</v>
      </c>
      <c r="K13" s="117">
        <f t="shared" si="0"/>
        <v>139.15199999999999</v>
      </c>
      <c r="L13" s="117">
        <f t="shared" si="1"/>
        <v>69.575999999999993</v>
      </c>
      <c r="M13" s="117">
        <f t="shared" si="2"/>
        <v>115.96</v>
      </c>
      <c r="N13" s="235">
        <f t="shared" si="3"/>
        <v>353.77627118644045</v>
      </c>
      <c r="O13" s="289">
        <f t="shared" si="4"/>
        <v>682.89452881355896</v>
      </c>
      <c r="P13" s="288">
        <f t="shared" si="5"/>
        <v>0.29445262539391126</v>
      </c>
      <c r="Q13" s="289">
        <f t="shared" si="16"/>
        <v>2319.1999999999998</v>
      </c>
      <c r="R13" s="289"/>
      <c r="S13" s="289">
        <f t="shared" si="7"/>
        <v>2464.15</v>
      </c>
      <c r="T13" s="289">
        <f t="shared" si="8"/>
        <v>2812.03</v>
      </c>
      <c r="U13" s="289">
        <f>VLOOKUP(D13,'Amazon Live Products'!E:AF,28,0)</f>
        <v>2899</v>
      </c>
      <c r="V13" s="117">
        <f>VLOOKUP(E13,Sheet6!AF:AG,2,0)</f>
        <v>5499</v>
      </c>
      <c r="W13" s="289">
        <f t="shared" si="9"/>
        <v>86.9699999999998</v>
      </c>
      <c r="X13" s="117">
        <f t="shared" si="17"/>
        <v>86.97</v>
      </c>
      <c r="Y13" s="117">
        <f t="shared" si="11"/>
        <v>434.84999999999997</v>
      </c>
      <c r="Z13" s="117">
        <f t="shared" si="12"/>
        <v>579.80000000000007</v>
      </c>
      <c r="AA13" s="117"/>
      <c r="AB13" s="117"/>
      <c r="AC13" s="117"/>
      <c r="AD13" s="117"/>
      <c r="AE13" s="117"/>
      <c r="AF13" s="117"/>
      <c r="AG13" s="117"/>
    </row>
    <row r="14" spans="1:33">
      <c r="A14" s="117">
        <f t="shared" si="13"/>
        <v>13</v>
      </c>
      <c r="B14" s="69" t="s">
        <v>934</v>
      </c>
      <c r="C14" s="69">
        <v>1173</v>
      </c>
      <c r="D14" s="69" t="s">
        <v>434</v>
      </c>
      <c r="E14" s="102" t="s">
        <v>435</v>
      </c>
      <c r="F14" s="102" t="str">
        <f>VLOOKUP(D14,'Margin Calculation'!F:I,4,0)</f>
        <v>HPC</v>
      </c>
      <c r="G14" s="290" t="s">
        <v>436</v>
      </c>
      <c r="H14" s="69" t="s">
        <v>439</v>
      </c>
      <c r="I14" s="287">
        <f>VLOOKUP(D14,'Margin Calculation'!F:Y,20,0)</f>
        <v>456.50304000000006</v>
      </c>
      <c r="J14" s="287">
        <f>VLOOKUP(D14,'Margin Calculation'!F:Z,21,0)</f>
        <v>538.67358720000004</v>
      </c>
      <c r="K14" s="117">
        <f t="shared" si="0"/>
        <v>41.94</v>
      </c>
      <c r="L14" s="117">
        <f t="shared" si="1"/>
        <v>20.97</v>
      </c>
      <c r="M14" s="117">
        <f t="shared" si="2"/>
        <v>34.950000000000003</v>
      </c>
      <c r="N14" s="235">
        <f t="shared" si="3"/>
        <v>106.62711864406776</v>
      </c>
      <c r="O14" s="289">
        <f t="shared" si="4"/>
        <v>38.009841355932167</v>
      </c>
      <c r="P14" s="288">
        <f t="shared" si="5"/>
        <v>5.4377455444824273E-2</v>
      </c>
      <c r="Q14" s="289">
        <v>699</v>
      </c>
      <c r="R14" s="291">
        <v>599</v>
      </c>
      <c r="S14" s="289">
        <f t="shared" si="7"/>
        <v>662.15</v>
      </c>
      <c r="T14" s="289">
        <f t="shared" si="8"/>
        <v>701.1</v>
      </c>
      <c r="U14" s="289">
        <f>VLOOKUP(D14,'Amazon Live Products'!E:AF,28,0)</f>
        <v>779</v>
      </c>
      <c r="V14" s="117">
        <f>VLOOKUP(E14,Sheet6!AF:AG,2,0)</f>
        <v>1999</v>
      </c>
      <c r="W14" s="289">
        <f t="shared" si="9"/>
        <v>77.899999999999977</v>
      </c>
      <c r="X14" s="117">
        <f t="shared" ref="X14:X15" si="18">U14*10%</f>
        <v>77.900000000000006</v>
      </c>
      <c r="Y14" s="117">
        <f t="shared" si="11"/>
        <v>116.85</v>
      </c>
      <c r="Z14" s="117">
        <f t="shared" si="12"/>
        <v>155.80000000000001</v>
      </c>
      <c r="AA14" s="117" t="s">
        <v>1111</v>
      </c>
      <c r="AB14" s="117"/>
      <c r="AC14" s="117"/>
      <c r="AD14" s="117"/>
      <c r="AE14" s="117"/>
      <c r="AF14" s="117"/>
      <c r="AG14" s="117"/>
    </row>
    <row r="15" spans="1:33">
      <c r="A15" s="117">
        <f t="shared" si="13"/>
        <v>14</v>
      </c>
      <c r="B15" s="69" t="s">
        <v>934</v>
      </c>
      <c r="C15" s="69">
        <v>1290</v>
      </c>
      <c r="D15" s="69" t="s">
        <v>441</v>
      </c>
      <c r="E15" s="102" t="s">
        <v>442</v>
      </c>
      <c r="F15" s="102" t="str">
        <f>VLOOKUP(D15,'Margin Calculation'!F:I,4,0)</f>
        <v>HPC</v>
      </c>
      <c r="G15" s="271" t="s">
        <v>443</v>
      </c>
      <c r="H15" s="69" t="s">
        <v>445</v>
      </c>
      <c r="I15" s="287">
        <f>VLOOKUP(D15,'Margin Calculation'!F:Y,20,0)</f>
        <v>443.50416000000001</v>
      </c>
      <c r="J15" s="287">
        <f>VLOOKUP(D15,'Margin Calculation'!F:Z,21,0)</f>
        <v>523.33490879999999</v>
      </c>
      <c r="K15" s="117">
        <f t="shared" si="0"/>
        <v>47.951999999999998</v>
      </c>
      <c r="L15" s="117">
        <f t="shared" si="1"/>
        <v>23.975999999999999</v>
      </c>
      <c r="M15" s="117">
        <f t="shared" si="2"/>
        <v>39.960000000000008</v>
      </c>
      <c r="N15" s="235">
        <f t="shared" si="3"/>
        <v>121.91186440677961</v>
      </c>
      <c r="O15" s="289">
        <f t="shared" si="4"/>
        <v>121.89597559322041</v>
      </c>
      <c r="P15" s="288">
        <f t="shared" si="5"/>
        <v>0.15252249198350901</v>
      </c>
      <c r="Q15" s="289">
        <f t="shared" ref="Q15:Q23" si="19">U15-Z15</f>
        <v>799.2</v>
      </c>
      <c r="R15" s="289"/>
      <c r="S15" s="289">
        <f t="shared" si="7"/>
        <v>849.15</v>
      </c>
      <c r="T15" s="289">
        <f t="shared" si="8"/>
        <v>899.1</v>
      </c>
      <c r="U15" s="289">
        <f>VLOOKUP(D15,'Amazon Live Products'!E:AF,28,0)</f>
        <v>999</v>
      </c>
      <c r="V15" s="117">
        <f>VLOOKUP(E15,Sheet6!AF:AG,2,0)</f>
        <v>1499</v>
      </c>
      <c r="W15" s="289">
        <f t="shared" si="9"/>
        <v>99.899999999999977</v>
      </c>
      <c r="X15" s="117">
        <f t="shared" si="18"/>
        <v>99.9</v>
      </c>
      <c r="Y15" s="117">
        <f t="shared" si="11"/>
        <v>149.85</v>
      </c>
      <c r="Z15" s="117">
        <f t="shared" si="12"/>
        <v>199.8</v>
      </c>
      <c r="AA15" s="117"/>
      <c r="AB15" s="117"/>
      <c r="AC15" s="117"/>
      <c r="AD15" s="117"/>
      <c r="AE15" s="117"/>
      <c r="AF15" s="117"/>
      <c r="AG15" s="117"/>
    </row>
    <row r="16" spans="1:33">
      <c r="A16" s="117">
        <f t="shared" si="13"/>
        <v>15</v>
      </c>
      <c r="B16" s="69"/>
      <c r="C16" s="69"/>
      <c r="D16" s="69" t="s">
        <v>448</v>
      </c>
      <c r="E16" s="102" t="s">
        <v>449</v>
      </c>
      <c r="F16" s="102" t="str">
        <f>VLOOKUP(D16,'Margin Calculation'!F:I,4,0)</f>
        <v>HPC</v>
      </c>
      <c r="G16" s="290" t="s">
        <v>450</v>
      </c>
      <c r="H16" s="69" t="s">
        <v>451</v>
      </c>
      <c r="I16" s="287">
        <f>VLOOKUP(D16,'Margin Calculation'!F:Y,20,0)</f>
        <v>520.78140000000008</v>
      </c>
      <c r="J16" s="287">
        <f>VLOOKUP(D16,'Margin Calculation'!F:Z,21,0)</f>
        <v>614.52205200000003</v>
      </c>
      <c r="K16" s="117">
        <f t="shared" si="0"/>
        <v>52.752000000000002</v>
      </c>
      <c r="L16" s="117">
        <f t="shared" si="1"/>
        <v>26.376000000000001</v>
      </c>
      <c r="M16" s="117">
        <f t="shared" si="2"/>
        <v>43.960000000000008</v>
      </c>
      <c r="N16" s="235">
        <f t="shared" si="3"/>
        <v>134.11525423728813</v>
      </c>
      <c r="O16" s="289">
        <f t="shared" si="4"/>
        <v>101.21534576271185</v>
      </c>
      <c r="P16" s="288">
        <f t="shared" si="5"/>
        <v>0.11512209481655124</v>
      </c>
      <c r="Q16" s="289">
        <f t="shared" si="19"/>
        <v>879.2</v>
      </c>
      <c r="R16" s="291" t="s">
        <v>1112</v>
      </c>
      <c r="S16" s="289">
        <f t="shared" si="7"/>
        <v>934.15</v>
      </c>
      <c r="T16" s="289">
        <f t="shared" si="8"/>
        <v>1066.03</v>
      </c>
      <c r="U16" s="289">
        <f>VLOOKUP(D16,'Amazon Live Products'!E:AF,28,0)</f>
        <v>1099</v>
      </c>
      <c r="V16" s="117">
        <f>VLOOKUP(E16,Sheet6!AF:AG,2,0)</f>
        <v>1899</v>
      </c>
      <c r="W16" s="289">
        <f t="shared" si="9"/>
        <v>32.970000000000027</v>
      </c>
      <c r="X16" s="117">
        <f t="shared" ref="X16:X20" si="20">U16*3%</f>
        <v>32.97</v>
      </c>
      <c r="Y16" s="117">
        <f t="shared" si="11"/>
        <v>164.85</v>
      </c>
      <c r="Z16" s="117">
        <f t="shared" si="12"/>
        <v>219.8</v>
      </c>
      <c r="AA16" s="117" t="s">
        <v>1111</v>
      </c>
      <c r="AB16" s="117"/>
      <c r="AC16" s="117"/>
      <c r="AD16" s="117"/>
      <c r="AE16" s="117"/>
      <c r="AF16" s="117"/>
      <c r="AG16" s="117"/>
    </row>
    <row r="17" spans="1:33">
      <c r="A17" s="117">
        <f t="shared" si="13"/>
        <v>16</v>
      </c>
      <c r="B17" s="69"/>
      <c r="C17" s="69"/>
      <c r="D17" s="69" t="s">
        <v>454</v>
      </c>
      <c r="E17" s="102" t="s">
        <v>455</v>
      </c>
      <c r="F17" s="102" t="str">
        <f>VLOOKUP(D17,'Margin Calculation'!F:I,4,0)</f>
        <v>Home &amp; Kitchen</v>
      </c>
      <c r="G17" s="69" t="s">
        <v>456</v>
      </c>
      <c r="H17" s="69" t="s">
        <v>457</v>
      </c>
      <c r="I17" s="287">
        <f>VLOOKUP(D17,'Margin Calculation'!F:Y,20,0)</f>
        <v>839.97</v>
      </c>
      <c r="J17" s="287">
        <f>VLOOKUP(D17,'Margin Calculation'!F:Z,21,0)</f>
        <v>991.16459999999995</v>
      </c>
      <c r="K17" s="117">
        <f t="shared" si="0"/>
        <v>95.951999999999998</v>
      </c>
      <c r="L17" s="117">
        <f t="shared" si="1"/>
        <v>47.975999999999999</v>
      </c>
      <c r="M17" s="117">
        <f t="shared" si="2"/>
        <v>79.960000000000008</v>
      </c>
      <c r="N17" s="235">
        <f t="shared" si="3"/>
        <v>243.94576271186429</v>
      </c>
      <c r="O17" s="289">
        <f t="shared" si="4"/>
        <v>291.39623728813569</v>
      </c>
      <c r="P17" s="288">
        <f t="shared" si="5"/>
        <v>0.18221375518267613</v>
      </c>
      <c r="Q17" s="289">
        <f t="shared" si="19"/>
        <v>1599.2</v>
      </c>
      <c r="R17" s="289"/>
      <c r="S17" s="289">
        <f t="shared" si="7"/>
        <v>1699.15</v>
      </c>
      <c r="T17" s="289">
        <f t="shared" si="8"/>
        <v>1939.03</v>
      </c>
      <c r="U17" s="289">
        <f>VLOOKUP(D17,'Amazon Live Products'!E:AF,28,0)</f>
        <v>1999</v>
      </c>
      <c r="V17" s="117">
        <f>VLOOKUP(E17,Sheet6!AF:AG,2,0)</f>
        <v>3999</v>
      </c>
      <c r="W17" s="289">
        <f t="shared" si="9"/>
        <v>59.970000000000027</v>
      </c>
      <c r="X17" s="117">
        <f t="shared" si="20"/>
        <v>59.97</v>
      </c>
      <c r="Y17" s="117">
        <f t="shared" si="11"/>
        <v>299.84999999999997</v>
      </c>
      <c r="Z17" s="117">
        <f t="shared" si="12"/>
        <v>399.8</v>
      </c>
      <c r="AA17" s="117"/>
      <c r="AB17" s="117"/>
      <c r="AC17" s="117"/>
      <c r="AD17" s="117"/>
      <c r="AE17" s="117"/>
      <c r="AF17" s="117"/>
      <c r="AG17" s="117"/>
    </row>
    <row r="18" spans="1:33">
      <c r="A18" s="117">
        <f t="shared" si="13"/>
        <v>17</v>
      </c>
      <c r="B18" s="69"/>
      <c r="C18" s="69"/>
      <c r="D18" s="69" t="s">
        <v>462</v>
      </c>
      <c r="E18" s="211" t="s">
        <v>463</v>
      </c>
      <c r="F18" s="211" t="str">
        <f>VLOOKUP(D18,'Margin Calculation'!F:I,4,0)</f>
        <v>HPC</v>
      </c>
      <c r="G18" s="290" t="s">
        <v>464</v>
      </c>
      <c r="H18" s="69" t="s">
        <v>466</v>
      </c>
      <c r="I18" s="287">
        <f>VLOOKUP(D18,'Margin Calculation'!F:Y,20,0)</f>
        <v>615.97800000000007</v>
      </c>
      <c r="J18" s="287">
        <f>VLOOKUP(D18,'Margin Calculation'!F:Z,21,0)</f>
        <v>726.85404000000005</v>
      </c>
      <c r="K18" s="117">
        <f t="shared" si="0"/>
        <v>59.951999999999998</v>
      </c>
      <c r="L18" s="117">
        <f t="shared" si="1"/>
        <v>29.975999999999999</v>
      </c>
      <c r="M18" s="117">
        <f t="shared" si="2"/>
        <v>49.960000000000008</v>
      </c>
      <c r="N18" s="235">
        <f t="shared" si="3"/>
        <v>152.42033898305078</v>
      </c>
      <c r="O18" s="289">
        <f t="shared" si="4"/>
        <v>90.913661016949192</v>
      </c>
      <c r="P18" s="288">
        <f t="shared" si="5"/>
        <v>9.0986450177090866E-2</v>
      </c>
      <c r="Q18" s="289">
        <f t="shared" si="19"/>
        <v>999.2</v>
      </c>
      <c r="R18" s="291" t="s">
        <v>1113</v>
      </c>
      <c r="S18" s="289">
        <f t="shared" si="7"/>
        <v>1061.6500000000001</v>
      </c>
      <c r="T18" s="289">
        <f t="shared" si="8"/>
        <v>1211.53</v>
      </c>
      <c r="U18" s="289">
        <f>VLOOKUP(D18,'Amazon Live Products'!E:AF,28,0)</f>
        <v>1249</v>
      </c>
      <c r="V18" s="117">
        <f>VLOOKUP(E18,Sheet6!AF:AG,2,0)</f>
        <v>3499</v>
      </c>
      <c r="W18" s="289">
        <f t="shared" si="9"/>
        <v>37.470000000000027</v>
      </c>
      <c r="X18" s="117">
        <f t="shared" si="20"/>
        <v>37.47</v>
      </c>
      <c r="Y18" s="117">
        <f t="shared" si="11"/>
        <v>187.35</v>
      </c>
      <c r="Z18" s="117">
        <f t="shared" si="12"/>
        <v>249.8</v>
      </c>
      <c r="AA18" s="117" t="s">
        <v>1111</v>
      </c>
      <c r="AB18" s="117"/>
      <c r="AC18" s="117"/>
      <c r="AD18" s="117"/>
      <c r="AE18" s="117"/>
      <c r="AF18" s="117"/>
      <c r="AG18" s="117"/>
    </row>
    <row r="19" spans="1:33">
      <c r="A19" s="117">
        <f t="shared" si="13"/>
        <v>18</v>
      </c>
      <c r="B19" s="69"/>
      <c r="C19" s="69"/>
      <c r="D19" s="69" t="s">
        <v>468</v>
      </c>
      <c r="E19" s="211" t="s">
        <v>469</v>
      </c>
      <c r="F19" s="211" t="str">
        <f>VLOOKUP(D19,'Margin Calculation'!F:I,4,0)</f>
        <v>HPC</v>
      </c>
      <c r="G19" s="69" t="s">
        <v>470</v>
      </c>
      <c r="H19" s="69" t="s">
        <v>466</v>
      </c>
      <c r="I19" s="287">
        <f>VLOOKUP(D19,'Margin Calculation'!F:Y,20,0)</f>
        <v>559.9799999999999</v>
      </c>
      <c r="J19" s="287">
        <f>VLOOKUP(D19,'Margin Calculation'!F:Z,21,0)</f>
        <v>660.77639999999985</v>
      </c>
      <c r="K19" s="117">
        <f t="shared" si="0"/>
        <v>71.951999999999998</v>
      </c>
      <c r="L19" s="117">
        <f t="shared" si="1"/>
        <v>35.975999999999999</v>
      </c>
      <c r="M19" s="117">
        <f t="shared" si="2"/>
        <v>59.960000000000008</v>
      </c>
      <c r="N19" s="235">
        <f t="shared" si="3"/>
        <v>182.92881355932195</v>
      </c>
      <c r="O19" s="289">
        <f t="shared" si="4"/>
        <v>288.40318644067816</v>
      </c>
      <c r="P19" s="288">
        <f t="shared" si="5"/>
        <v>0.24049631958028531</v>
      </c>
      <c r="Q19" s="289">
        <f t="shared" si="19"/>
        <v>1199.2</v>
      </c>
      <c r="R19" s="289"/>
      <c r="S19" s="289">
        <f t="shared" si="7"/>
        <v>1274.1500000000001</v>
      </c>
      <c r="T19" s="289">
        <f t="shared" si="8"/>
        <v>1454.03</v>
      </c>
      <c r="U19" s="289">
        <f>VLOOKUP(D19,'Amazon Live Products'!E:AF,28,0)</f>
        <v>1499</v>
      </c>
      <c r="V19" s="117">
        <f>VLOOKUP(E19,Sheet6!AF:AG,2,0)</f>
        <v>3499</v>
      </c>
      <c r="W19" s="289">
        <f t="shared" si="9"/>
        <v>44.970000000000027</v>
      </c>
      <c r="X19" s="117">
        <f t="shared" si="20"/>
        <v>44.97</v>
      </c>
      <c r="Y19" s="117">
        <f t="shared" si="11"/>
        <v>224.85</v>
      </c>
      <c r="Z19" s="117">
        <f t="shared" si="12"/>
        <v>299.8</v>
      </c>
      <c r="AA19" s="117"/>
      <c r="AB19" s="117"/>
      <c r="AC19" s="117"/>
      <c r="AD19" s="117"/>
      <c r="AE19" s="117"/>
      <c r="AF19" s="117"/>
      <c r="AG19" s="117"/>
    </row>
    <row r="20" spans="1:33">
      <c r="A20" s="117">
        <f t="shared" si="13"/>
        <v>19</v>
      </c>
      <c r="B20" s="69" t="s">
        <v>934</v>
      </c>
      <c r="C20" s="69">
        <v>1173</v>
      </c>
      <c r="D20" s="69" t="s">
        <v>508</v>
      </c>
      <c r="E20" s="187" t="s">
        <v>509</v>
      </c>
      <c r="F20" s="187" t="str">
        <f>VLOOKUP(D20,'Margin Calculation'!F:I,4,0)</f>
        <v>HPC</v>
      </c>
      <c r="G20" s="290" t="s">
        <v>481</v>
      </c>
      <c r="H20" s="69" t="s">
        <v>482</v>
      </c>
      <c r="I20" s="287">
        <f>VLOOKUP(D20,'Margin Calculation'!F:Y,20,0)</f>
        <v>655.17660000000001</v>
      </c>
      <c r="J20" s="287">
        <f>VLOOKUP(D20,'Margin Calculation'!F:Z,21,0)</f>
        <v>773.10838799999999</v>
      </c>
      <c r="K20" s="117">
        <f t="shared" si="0"/>
        <v>59.663999999999994</v>
      </c>
      <c r="L20" s="117"/>
      <c r="M20" s="117">
        <f t="shared" si="2"/>
        <v>49.72</v>
      </c>
      <c r="N20" s="235">
        <f t="shared" si="3"/>
        <v>151.6881355932203</v>
      </c>
      <c r="O20" s="289">
        <f t="shared" si="4"/>
        <v>78.151264406779688</v>
      </c>
      <c r="P20" s="288">
        <f t="shared" si="5"/>
        <v>7.8591376113012562E-2</v>
      </c>
      <c r="Q20" s="289">
        <f t="shared" si="19"/>
        <v>994.4</v>
      </c>
      <c r="R20" s="291" t="s">
        <v>1114</v>
      </c>
      <c r="S20" s="289">
        <f t="shared" si="7"/>
        <v>1056.55</v>
      </c>
      <c r="T20" s="289">
        <f t="shared" si="8"/>
        <v>1205.71</v>
      </c>
      <c r="U20" s="289">
        <f>VLOOKUP(D20,'Amazon Live Products'!E:AF,28,0)</f>
        <v>1243</v>
      </c>
      <c r="V20" s="117">
        <f>VLOOKUP(E20,Sheet6!AF:AG,2,0)</f>
        <v>2499</v>
      </c>
      <c r="W20" s="289">
        <f t="shared" si="9"/>
        <v>37.289999999999964</v>
      </c>
      <c r="X20" s="117">
        <f t="shared" si="20"/>
        <v>37.29</v>
      </c>
      <c r="Y20" s="117">
        <f t="shared" si="11"/>
        <v>186.45</v>
      </c>
      <c r="Z20" s="117">
        <f t="shared" si="12"/>
        <v>248.60000000000002</v>
      </c>
      <c r="AA20" s="117" t="s">
        <v>1111</v>
      </c>
      <c r="AB20" s="117"/>
      <c r="AC20" s="117"/>
      <c r="AD20" s="117"/>
      <c r="AE20" s="117"/>
      <c r="AF20" s="117"/>
      <c r="AG20" s="117"/>
    </row>
    <row r="21" spans="1:33">
      <c r="A21" s="117">
        <v>21</v>
      </c>
      <c r="B21" s="69" t="s">
        <v>934</v>
      </c>
      <c r="C21" s="69">
        <v>938</v>
      </c>
      <c r="D21" s="69" t="s">
        <v>485</v>
      </c>
      <c r="E21" s="187" t="s">
        <v>472</v>
      </c>
      <c r="F21" s="187" t="str">
        <f>VLOOKUP(D21,'Margin Calculation'!F:I,4,0)</f>
        <v>Home &amp; Kitchen</v>
      </c>
      <c r="G21" s="290" t="s">
        <v>473</v>
      </c>
      <c r="H21" s="69" t="s">
        <v>487</v>
      </c>
      <c r="I21" s="287">
        <f>VLOOKUP(D21,'Margin Calculation'!F:Y,20,0)</f>
        <v>321.42851999999999</v>
      </c>
      <c r="J21" s="287">
        <f>VLOOKUP(D21,'Margin Calculation'!F:Z,21,0)</f>
        <v>379.28565359999999</v>
      </c>
      <c r="K21" s="117">
        <f t="shared" si="0"/>
        <v>38.352000000000004</v>
      </c>
      <c r="L21" s="117">
        <f t="shared" ref="L21:L56" si="21">Q21*3%</f>
        <v>19.176000000000002</v>
      </c>
      <c r="M21" s="117">
        <f t="shared" si="2"/>
        <v>31.960000000000004</v>
      </c>
      <c r="N21" s="235">
        <f t="shared" si="3"/>
        <v>97.505084745762701</v>
      </c>
      <c r="O21" s="289">
        <f t="shared" si="4"/>
        <v>130.77839525423732</v>
      </c>
      <c r="P21" s="288">
        <f t="shared" si="5"/>
        <v>0.20459698882077176</v>
      </c>
      <c r="Q21" s="289">
        <f t="shared" si="19"/>
        <v>639.20000000000005</v>
      </c>
      <c r="R21" s="291" t="s">
        <v>1115</v>
      </c>
      <c r="S21" s="289">
        <f t="shared" si="7"/>
        <v>679.15</v>
      </c>
      <c r="T21" s="289">
        <f t="shared" si="8"/>
        <v>719.1</v>
      </c>
      <c r="U21" s="289">
        <f>VLOOKUP(D21,'Amazon Live Products'!E:AF,28,0)</f>
        <v>799</v>
      </c>
      <c r="V21" s="117">
        <f>VLOOKUP(E21,Sheet6!AF:AG,2,0)</f>
        <v>1299</v>
      </c>
      <c r="W21" s="289">
        <f t="shared" si="9"/>
        <v>79.899999999999977</v>
      </c>
      <c r="X21" s="117">
        <f t="shared" ref="X21:X22" si="22">U21*10%</f>
        <v>79.900000000000006</v>
      </c>
      <c r="Y21" s="117">
        <f t="shared" si="11"/>
        <v>119.85</v>
      </c>
      <c r="Z21" s="117">
        <f t="shared" si="12"/>
        <v>159.80000000000001</v>
      </c>
      <c r="AA21" s="117" t="s">
        <v>1111</v>
      </c>
      <c r="AB21" s="117"/>
      <c r="AC21" s="117"/>
      <c r="AD21" s="117"/>
      <c r="AE21" s="117"/>
      <c r="AF21" s="117"/>
      <c r="AG21" s="117"/>
    </row>
    <row r="22" spans="1:33">
      <c r="A22" s="117">
        <f t="shared" ref="A22:A88" si="23">A21+1</f>
        <v>22</v>
      </c>
      <c r="B22" s="69"/>
      <c r="C22" s="69"/>
      <c r="D22" s="69" t="s">
        <v>488</v>
      </c>
      <c r="E22" s="187" t="s">
        <v>472</v>
      </c>
      <c r="F22" s="187" t="str">
        <f>VLOOKUP(D22,'Margin Calculation'!F:I,4,0)</f>
        <v>Home &amp; Kitchen</v>
      </c>
      <c r="G22" s="290" t="s">
        <v>477</v>
      </c>
      <c r="H22" s="69" t="s">
        <v>490</v>
      </c>
      <c r="I22" s="287">
        <f>VLOOKUP(D22,'Margin Calculation'!F:Y,20,0)</f>
        <v>331.50816000000003</v>
      </c>
      <c r="J22" s="287">
        <f>VLOOKUP(D22,'Margin Calculation'!F:Z,21,0)</f>
        <v>391.17962879999999</v>
      </c>
      <c r="K22" s="117">
        <f t="shared" si="0"/>
        <v>40.752000000000002</v>
      </c>
      <c r="L22" s="117">
        <f t="shared" si="21"/>
        <v>20.376000000000001</v>
      </c>
      <c r="M22" s="117">
        <f t="shared" si="2"/>
        <v>33.96</v>
      </c>
      <c r="N22" s="235">
        <f t="shared" si="3"/>
        <v>103.60677966101696</v>
      </c>
      <c r="O22" s="289">
        <f t="shared" si="4"/>
        <v>148.99706033898306</v>
      </c>
      <c r="P22" s="288">
        <f t="shared" si="5"/>
        <v>0.21937140803737198</v>
      </c>
      <c r="Q22" s="289">
        <f t="shared" si="19"/>
        <v>679.2</v>
      </c>
      <c r="R22" s="291" t="s">
        <v>1116</v>
      </c>
      <c r="S22" s="289">
        <f t="shared" si="7"/>
        <v>721.65</v>
      </c>
      <c r="T22" s="289">
        <f t="shared" si="8"/>
        <v>764.1</v>
      </c>
      <c r="U22" s="289">
        <f>VLOOKUP(D22,'Amazon Live Products'!E:AF,28,0)</f>
        <v>849</v>
      </c>
      <c r="V22" s="117">
        <f>VLOOKUP(E22,Sheet6!AF:AG,2,0)</f>
        <v>1299</v>
      </c>
      <c r="W22" s="289">
        <f t="shared" si="9"/>
        <v>84.899999999999977</v>
      </c>
      <c r="X22" s="117">
        <f t="shared" si="22"/>
        <v>84.9</v>
      </c>
      <c r="Y22" s="117">
        <f t="shared" si="11"/>
        <v>127.35</v>
      </c>
      <c r="Z22" s="117">
        <f t="shared" si="12"/>
        <v>169.8</v>
      </c>
      <c r="AA22" s="117" t="s">
        <v>1111</v>
      </c>
      <c r="AB22" s="117"/>
      <c r="AC22" s="117"/>
      <c r="AD22" s="117"/>
      <c r="AE22" s="117"/>
      <c r="AF22" s="117"/>
      <c r="AG22" s="117"/>
    </row>
    <row r="23" spans="1:33">
      <c r="A23" s="117">
        <f t="shared" si="23"/>
        <v>23</v>
      </c>
      <c r="B23" s="102"/>
      <c r="C23" s="102"/>
      <c r="D23" s="102" t="s">
        <v>491</v>
      </c>
      <c r="E23" s="187" t="s">
        <v>492</v>
      </c>
      <c r="F23" s="187" t="str">
        <f>VLOOKUP(D23,'Margin Calculation'!F:I,4,0)</f>
        <v>Home &amp; Kitchen</v>
      </c>
      <c r="G23" s="69" t="s">
        <v>493</v>
      </c>
      <c r="H23" s="69" t="s">
        <v>494</v>
      </c>
      <c r="I23" s="287">
        <f>VLOOKUP(D23,'Margin Calculation'!F:Y,20,0)</f>
        <v>1959.93</v>
      </c>
      <c r="J23" s="287">
        <f>VLOOKUP(D23,'Margin Calculation'!F:Z,21,0)</f>
        <v>2312.7174</v>
      </c>
      <c r="K23" s="117">
        <f t="shared" si="0"/>
        <v>182.35199999999998</v>
      </c>
      <c r="L23" s="117">
        <f t="shared" si="21"/>
        <v>91.175999999999988</v>
      </c>
      <c r="M23" s="117">
        <f t="shared" si="2"/>
        <v>151.96</v>
      </c>
      <c r="N23" s="235">
        <f t="shared" si="3"/>
        <v>463.60677966101684</v>
      </c>
      <c r="O23" s="289">
        <f t="shared" si="4"/>
        <v>190.17522033898285</v>
      </c>
      <c r="P23" s="288">
        <f t="shared" si="5"/>
        <v>6.2574105139175731E-2</v>
      </c>
      <c r="Q23" s="289">
        <f t="shared" si="19"/>
        <v>3039.2</v>
      </c>
      <c r="R23" s="289"/>
      <c r="S23" s="289">
        <f t="shared" si="7"/>
        <v>3229.15</v>
      </c>
      <c r="T23" s="289">
        <f t="shared" si="8"/>
        <v>3685.03</v>
      </c>
      <c r="U23" s="289">
        <f>VLOOKUP(D23,'Amazon Live Products'!E:AF,28,0)</f>
        <v>3799</v>
      </c>
      <c r="V23" s="117">
        <f>VLOOKUP(E23,Sheet6!AF:AG,2,0)</f>
        <v>8999</v>
      </c>
      <c r="W23" s="289">
        <f t="shared" si="9"/>
        <v>113.9699999999998</v>
      </c>
      <c r="X23" s="117">
        <f>U23*3%</f>
        <v>113.97</v>
      </c>
      <c r="Y23" s="117">
        <f t="shared" si="11"/>
        <v>569.85</v>
      </c>
      <c r="Z23" s="117">
        <f t="shared" si="12"/>
        <v>759.80000000000007</v>
      </c>
      <c r="AA23" s="117"/>
      <c r="AB23" s="117"/>
      <c r="AC23" s="117"/>
      <c r="AD23" s="117"/>
      <c r="AE23" s="117"/>
      <c r="AF23" s="117"/>
      <c r="AG23" s="117"/>
    </row>
    <row r="24" spans="1:33">
      <c r="A24" s="117">
        <f t="shared" si="23"/>
        <v>24</v>
      </c>
      <c r="B24" s="69" t="s">
        <v>934</v>
      </c>
      <c r="C24" s="69">
        <v>821</v>
      </c>
      <c r="D24" s="69" t="s">
        <v>500</v>
      </c>
      <c r="E24" s="187" t="s">
        <v>501</v>
      </c>
      <c r="F24" s="187" t="str">
        <f>VLOOKUP(D24,'Margin Calculation'!F:I,4,0)</f>
        <v>Home &amp; Kitchen</v>
      </c>
      <c r="G24" s="290" t="s">
        <v>459</v>
      </c>
      <c r="H24" s="69" t="s">
        <v>503</v>
      </c>
      <c r="I24" s="287">
        <f>VLOOKUP(D24,'Margin Calculation'!F:Y,20,0)</f>
        <v>380.78639999999996</v>
      </c>
      <c r="J24" s="287">
        <f>VLOOKUP(D24,'Margin Calculation'!F:Z,21,0)</f>
        <v>449.32795199999993</v>
      </c>
      <c r="K24" s="117">
        <f t="shared" si="0"/>
        <v>31.74</v>
      </c>
      <c r="L24" s="117">
        <f t="shared" si="21"/>
        <v>15.87</v>
      </c>
      <c r="M24" s="117">
        <f t="shared" si="2"/>
        <v>26.450000000000003</v>
      </c>
      <c r="N24" s="235">
        <f t="shared" si="3"/>
        <v>80.694915254237287</v>
      </c>
      <c r="O24" s="289">
        <f t="shared" si="4"/>
        <v>-6.5413152542372472</v>
      </c>
      <c r="P24" s="288">
        <f t="shared" si="5"/>
        <v>-1.2365435263208407E-2</v>
      </c>
      <c r="Q24" s="289">
        <v>529</v>
      </c>
      <c r="R24" s="291" t="s">
        <v>1116</v>
      </c>
      <c r="S24" s="289">
        <f t="shared" si="7"/>
        <v>849.15</v>
      </c>
      <c r="T24" s="289">
        <f t="shared" si="8"/>
        <v>899.1</v>
      </c>
      <c r="U24" s="289">
        <f>VLOOKUP(D24,'Amazon Live Products'!E:AF,28,0)</f>
        <v>999</v>
      </c>
      <c r="V24" s="117">
        <f>VLOOKUP(E24,Sheet6!AF:AG,2,0)</f>
        <v>1499</v>
      </c>
      <c r="W24" s="289">
        <f t="shared" si="9"/>
        <v>99.899999999999977</v>
      </c>
      <c r="X24" s="117">
        <f>U24*10%</f>
        <v>99.9</v>
      </c>
      <c r="Y24" s="117">
        <f t="shared" si="11"/>
        <v>149.85</v>
      </c>
      <c r="Z24" s="117">
        <f t="shared" si="12"/>
        <v>199.8</v>
      </c>
      <c r="AA24" s="117" t="s">
        <v>1111</v>
      </c>
      <c r="AB24" s="117"/>
      <c r="AC24" s="117"/>
      <c r="AD24" s="117"/>
      <c r="AE24" s="117"/>
      <c r="AF24" s="117"/>
      <c r="AG24" s="117"/>
    </row>
    <row r="25" spans="1:33">
      <c r="A25" s="117">
        <f t="shared" si="23"/>
        <v>25</v>
      </c>
      <c r="B25" s="102"/>
      <c r="C25" s="102"/>
      <c r="D25" s="102" t="s">
        <v>504</v>
      </c>
      <c r="E25" s="211" t="s">
        <v>505</v>
      </c>
      <c r="F25" s="211" t="str">
        <f>VLOOKUP(D25,'Margin Calculation'!F:I,4,0)</f>
        <v>Home &amp; Kitchen</v>
      </c>
      <c r="G25" s="69" t="s">
        <v>506</v>
      </c>
      <c r="H25" s="69" t="s">
        <v>507</v>
      </c>
      <c r="I25" s="287">
        <f>VLOOKUP(D25,'Margin Calculation'!F:Y,20,0)</f>
        <v>761.57279999999992</v>
      </c>
      <c r="J25" s="287">
        <f>VLOOKUP(D25,'Margin Calculation'!F:Z,21,0)</f>
        <v>898.65590399999985</v>
      </c>
      <c r="K25" s="117">
        <f t="shared" si="0"/>
        <v>71.951999999999998</v>
      </c>
      <c r="L25" s="117">
        <f t="shared" si="21"/>
        <v>35.975999999999999</v>
      </c>
      <c r="M25" s="117">
        <f t="shared" si="2"/>
        <v>59.960000000000008</v>
      </c>
      <c r="N25" s="235">
        <f t="shared" si="3"/>
        <v>182.92881355932195</v>
      </c>
      <c r="O25" s="289">
        <f t="shared" si="4"/>
        <v>86.810386440678144</v>
      </c>
      <c r="P25" s="288">
        <f t="shared" si="5"/>
        <v>7.2390248866476103E-2</v>
      </c>
      <c r="Q25" s="289">
        <f>U25-Z25</f>
        <v>1199.2</v>
      </c>
      <c r="R25" s="289"/>
      <c r="S25" s="289">
        <f t="shared" si="7"/>
        <v>1274.1500000000001</v>
      </c>
      <c r="T25" s="289">
        <f t="shared" si="8"/>
        <v>1454.03</v>
      </c>
      <c r="U25" s="289">
        <f>VLOOKUP(D25,'Amazon Live Products'!E:AF,28,0)</f>
        <v>1499</v>
      </c>
      <c r="V25" s="117">
        <f>VLOOKUP(E25,Sheet6!AF:AG,2,0)</f>
        <v>2999</v>
      </c>
      <c r="W25" s="289">
        <f t="shared" si="9"/>
        <v>44.970000000000027</v>
      </c>
      <c r="X25" s="117">
        <f>U25*3%</f>
        <v>44.97</v>
      </c>
      <c r="Y25" s="117">
        <f t="shared" si="11"/>
        <v>224.85</v>
      </c>
      <c r="Z25" s="117">
        <f t="shared" si="12"/>
        <v>299.8</v>
      </c>
      <c r="AA25" s="117"/>
      <c r="AB25" s="117"/>
      <c r="AC25" s="117"/>
      <c r="AD25" s="117"/>
      <c r="AE25" s="117"/>
      <c r="AF25" s="117"/>
      <c r="AG25" s="117"/>
    </row>
    <row r="26" spans="1:33">
      <c r="A26" s="117">
        <f t="shared" si="23"/>
        <v>26</v>
      </c>
      <c r="B26" s="102" t="s">
        <v>934</v>
      </c>
      <c r="C26" s="102">
        <v>1173</v>
      </c>
      <c r="D26" s="102" t="s">
        <v>512</v>
      </c>
      <c r="E26" s="187" t="s">
        <v>940</v>
      </c>
      <c r="F26" s="187" t="str">
        <f>VLOOKUP(D26,'Margin Calculation'!F:I,4,0)</f>
        <v>HPC</v>
      </c>
      <c r="G26" s="271" t="s">
        <v>514</v>
      </c>
      <c r="H26" s="69" t="s">
        <v>516</v>
      </c>
      <c r="I26" s="287">
        <f>VLOOKUP(D26,'Margin Calculation'!F:Y,20,0)</f>
        <v>458.541</v>
      </c>
      <c r="J26" s="287">
        <f>VLOOKUP(D26,'Margin Calculation'!F:Z,21,0)</f>
        <v>513.56592000000001</v>
      </c>
      <c r="K26" s="117">
        <f t="shared" si="0"/>
        <v>44.94</v>
      </c>
      <c r="L26" s="117">
        <f t="shared" si="21"/>
        <v>22.47</v>
      </c>
      <c r="M26" s="117">
        <f t="shared" si="2"/>
        <v>37.450000000000003</v>
      </c>
      <c r="N26" s="235">
        <f t="shared" si="3"/>
        <v>114.25423728813553</v>
      </c>
      <c r="O26" s="289">
        <f t="shared" si="4"/>
        <v>71.344762711864462</v>
      </c>
      <c r="P26" s="288">
        <f t="shared" si="5"/>
        <v>9.5253354755493277E-2</v>
      </c>
      <c r="Q26" s="289">
        <v>749</v>
      </c>
      <c r="R26" s="289"/>
      <c r="S26" s="289">
        <f t="shared" si="7"/>
        <v>798.15</v>
      </c>
      <c r="T26" s="289">
        <f t="shared" si="8"/>
        <v>845.1</v>
      </c>
      <c r="U26" s="289">
        <f>VLOOKUP(D26,'Amazon Live Products'!E:AF,28,0)</f>
        <v>939</v>
      </c>
      <c r="V26" s="117">
        <v>2099</v>
      </c>
      <c r="W26" s="289">
        <f t="shared" si="9"/>
        <v>93.899999999999977</v>
      </c>
      <c r="X26" s="117">
        <f>U26*10%</f>
        <v>93.9</v>
      </c>
      <c r="Y26" s="117">
        <f t="shared" si="11"/>
        <v>140.85</v>
      </c>
      <c r="Z26" s="117">
        <f t="shared" si="12"/>
        <v>187.8</v>
      </c>
      <c r="AA26" s="117"/>
      <c r="AB26" s="117"/>
      <c r="AC26" s="117"/>
      <c r="AD26" s="117"/>
      <c r="AE26" s="117"/>
      <c r="AF26" s="117"/>
      <c r="AG26" s="117"/>
    </row>
    <row r="27" spans="1:33">
      <c r="A27" s="117">
        <f t="shared" si="23"/>
        <v>27</v>
      </c>
      <c r="B27" s="69" t="s">
        <v>934</v>
      </c>
      <c r="C27" s="69">
        <v>1642</v>
      </c>
      <c r="D27" s="69" t="s">
        <v>520</v>
      </c>
      <c r="E27" s="187" t="s">
        <v>521</v>
      </c>
      <c r="F27" s="187" t="str">
        <f>VLOOKUP(D27,'Margin Calculation'!F:I,4,0)</f>
        <v>HPC</v>
      </c>
      <c r="G27" s="290" t="s">
        <v>522</v>
      </c>
      <c r="H27" s="69" t="s">
        <v>524</v>
      </c>
      <c r="I27" s="287">
        <f>VLOOKUP(D27,'Margin Calculation'!F:Y,20,0)</f>
        <v>611.38800000000003</v>
      </c>
      <c r="J27" s="287">
        <f>VLOOKUP(D27,'Margin Calculation'!F:Z,21,0)</f>
        <v>684.75456000000008</v>
      </c>
      <c r="K27" s="117">
        <f t="shared" si="0"/>
        <v>65.94</v>
      </c>
      <c r="L27" s="117">
        <f t="shared" si="21"/>
        <v>32.97</v>
      </c>
      <c r="M27" s="117">
        <f t="shared" si="2"/>
        <v>54.95</v>
      </c>
      <c r="N27" s="235">
        <f t="shared" si="3"/>
        <v>167.6440677966101</v>
      </c>
      <c r="O27" s="289">
        <f t="shared" si="4"/>
        <v>166.10793220338991</v>
      </c>
      <c r="P27" s="288">
        <f t="shared" si="5"/>
        <v>0.15114461528970874</v>
      </c>
      <c r="Q27" s="289">
        <v>1099</v>
      </c>
      <c r="R27" s="291" t="s">
        <v>1117</v>
      </c>
      <c r="S27" s="289">
        <f t="shared" si="7"/>
        <v>1189.1500000000001</v>
      </c>
      <c r="T27" s="289">
        <f t="shared" si="8"/>
        <v>1357.03</v>
      </c>
      <c r="U27" s="289">
        <f>VLOOKUP(D27,'Amazon Live Products'!E:AF,28,0)</f>
        <v>1399</v>
      </c>
      <c r="V27" s="117">
        <f>VLOOKUP(E27,Sheet6!AF:AG,2,0)</f>
        <v>2699</v>
      </c>
      <c r="W27" s="289">
        <f t="shared" si="9"/>
        <v>41.970000000000027</v>
      </c>
      <c r="X27" s="117">
        <f>U27*3%</f>
        <v>41.97</v>
      </c>
      <c r="Y27" s="117">
        <f t="shared" si="11"/>
        <v>209.85</v>
      </c>
      <c r="Z27" s="117">
        <f t="shared" si="12"/>
        <v>279.8</v>
      </c>
      <c r="AA27" s="117" t="s">
        <v>1111</v>
      </c>
      <c r="AB27" s="117"/>
      <c r="AC27" s="117"/>
      <c r="AD27" s="117"/>
      <c r="AE27" s="117"/>
      <c r="AF27" s="117"/>
      <c r="AG27" s="117"/>
    </row>
    <row r="28" spans="1:33">
      <c r="A28" s="117">
        <f t="shared" si="23"/>
        <v>28</v>
      </c>
      <c r="B28" s="69"/>
      <c r="C28" s="69"/>
      <c r="D28" s="69" t="s">
        <v>525</v>
      </c>
      <c r="E28" s="187" t="s">
        <v>526</v>
      </c>
      <c r="F28" s="187" t="str">
        <f>VLOOKUP(D28,'Margin Calculation'!F:I,4,0)</f>
        <v>HPC</v>
      </c>
      <c r="G28" s="69" t="s">
        <v>527</v>
      </c>
      <c r="H28" s="69" t="s">
        <v>528</v>
      </c>
      <c r="I28" s="287">
        <f>VLOOKUP(D28,'Margin Calculation'!F:Y,20,0)</f>
        <v>346.06763999999998</v>
      </c>
      <c r="J28" s="287">
        <f>VLOOKUP(D28,'Margin Calculation'!F:Z,21,0)</f>
        <v>408.35981519999996</v>
      </c>
      <c r="K28" s="117">
        <f t="shared" si="0"/>
        <v>38.352000000000004</v>
      </c>
      <c r="L28" s="117">
        <f t="shared" si="21"/>
        <v>19.176000000000002</v>
      </c>
      <c r="M28" s="117">
        <f t="shared" si="2"/>
        <v>31.960000000000004</v>
      </c>
      <c r="N28" s="235">
        <f t="shared" si="3"/>
        <v>97.505084745762701</v>
      </c>
      <c r="O28" s="289">
        <f t="shared" si="4"/>
        <v>106.13927525423733</v>
      </c>
      <c r="P28" s="288">
        <f t="shared" si="5"/>
        <v>0.16605018031013349</v>
      </c>
      <c r="Q28" s="289">
        <f t="shared" ref="Q28:Q30" si="24">U28-Z28</f>
        <v>639.20000000000005</v>
      </c>
      <c r="R28" s="289"/>
      <c r="S28" s="289">
        <f t="shared" si="7"/>
        <v>679.15</v>
      </c>
      <c r="T28" s="289">
        <f t="shared" si="8"/>
        <v>719.1</v>
      </c>
      <c r="U28" s="289">
        <f>VLOOKUP(D28,'Amazon Live Products'!E:AF,28,0)</f>
        <v>799</v>
      </c>
      <c r="V28" s="117">
        <f>VLOOKUP(E28,Sheet6!AF:AG,2,0)</f>
        <v>1499</v>
      </c>
      <c r="W28" s="289">
        <f t="shared" si="9"/>
        <v>79.899999999999977</v>
      </c>
      <c r="X28" s="117">
        <f t="shared" ref="X28:X31" si="25">U28*10%</f>
        <v>79.900000000000006</v>
      </c>
      <c r="Y28" s="117">
        <f t="shared" si="11"/>
        <v>119.85</v>
      </c>
      <c r="Z28" s="117">
        <f t="shared" si="12"/>
        <v>159.80000000000001</v>
      </c>
      <c r="AA28" s="117"/>
      <c r="AB28" s="117"/>
      <c r="AC28" s="117"/>
      <c r="AD28" s="117"/>
      <c r="AE28" s="117"/>
      <c r="AF28" s="117"/>
      <c r="AG28" s="117"/>
    </row>
    <row r="29" spans="1:33">
      <c r="A29" s="117">
        <f t="shared" si="23"/>
        <v>29</v>
      </c>
      <c r="B29" s="69"/>
      <c r="C29" s="69"/>
      <c r="D29" s="69" t="s">
        <v>529</v>
      </c>
      <c r="E29" s="187" t="s">
        <v>530</v>
      </c>
      <c r="F29" s="187" t="str">
        <f>VLOOKUP(D29,'Margin Calculation'!F:I,4,0)</f>
        <v>HPC</v>
      </c>
      <c r="G29" s="69" t="s">
        <v>531</v>
      </c>
      <c r="H29" s="69" t="s">
        <v>532</v>
      </c>
      <c r="I29" s="287">
        <f>VLOOKUP(D29,'Margin Calculation'!F:Y,20,0)</f>
        <v>352.78740000000005</v>
      </c>
      <c r="J29" s="287">
        <f>VLOOKUP(D29,'Margin Calculation'!F:Z,21,0)</f>
        <v>416.28913200000005</v>
      </c>
      <c r="K29" s="117">
        <f t="shared" si="0"/>
        <v>33.792000000000002</v>
      </c>
      <c r="L29" s="117">
        <f t="shared" si="21"/>
        <v>16.896000000000001</v>
      </c>
      <c r="M29" s="117">
        <f t="shared" si="2"/>
        <v>28.160000000000004</v>
      </c>
      <c r="N29" s="235">
        <f t="shared" si="3"/>
        <v>85.911864406779671</v>
      </c>
      <c r="O29" s="289">
        <f t="shared" si="4"/>
        <v>45.652735593220342</v>
      </c>
      <c r="P29" s="288">
        <f t="shared" si="5"/>
        <v>8.1059544732280428E-2</v>
      </c>
      <c r="Q29" s="289">
        <f t="shared" si="24"/>
        <v>563.20000000000005</v>
      </c>
      <c r="R29" s="289"/>
      <c r="S29" s="289">
        <f t="shared" si="7"/>
        <v>598.4</v>
      </c>
      <c r="T29" s="289">
        <f t="shared" si="8"/>
        <v>633.6</v>
      </c>
      <c r="U29" s="289">
        <f>VLOOKUP(D29,'Amazon Live Products'!E:AF,28,0)</f>
        <v>704</v>
      </c>
      <c r="V29" s="117">
        <f>VLOOKUP(E29,Sheet6!AF:AG,2,0)</f>
        <v>1499</v>
      </c>
      <c r="W29" s="289">
        <f t="shared" si="9"/>
        <v>70.399999999999977</v>
      </c>
      <c r="X29" s="117">
        <f t="shared" si="25"/>
        <v>70.400000000000006</v>
      </c>
      <c r="Y29" s="117">
        <f t="shared" si="11"/>
        <v>105.6</v>
      </c>
      <c r="Z29" s="117">
        <f t="shared" si="12"/>
        <v>140.80000000000001</v>
      </c>
      <c r="AA29" s="117"/>
      <c r="AB29" s="117"/>
      <c r="AC29" s="117"/>
      <c r="AD29" s="117"/>
      <c r="AE29" s="117"/>
      <c r="AF29" s="117"/>
      <c r="AG29" s="117"/>
    </row>
    <row r="30" spans="1:33">
      <c r="A30" s="117">
        <f t="shared" si="23"/>
        <v>30</v>
      </c>
      <c r="B30" s="102"/>
      <c r="C30" s="102"/>
      <c r="D30" s="102" t="s">
        <v>538</v>
      </c>
      <c r="E30" s="211" t="s">
        <v>539</v>
      </c>
      <c r="F30" s="211" t="str">
        <f>VLOOKUP(D30,'Margin Calculation'!F:I,4,0)</f>
        <v>HPC</v>
      </c>
      <c r="G30" s="290" t="s">
        <v>483</v>
      </c>
      <c r="H30" s="69" t="s">
        <v>540</v>
      </c>
      <c r="I30" s="287">
        <f>VLOOKUP(D30,'Margin Calculation'!F:Y,20,0)</f>
        <v>379.66644000000002</v>
      </c>
      <c r="J30" s="287">
        <f>VLOOKUP(D30,'Margin Calculation'!F:Z,21,0)</f>
        <v>448.00639919999998</v>
      </c>
      <c r="K30" s="117">
        <f t="shared" si="0"/>
        <v>39.552</v>
      </c>
      <c r="L30" s="117">
        <f t="shared" si="21"/>
        <v>19.776</v>
      </c>
      <c r="M30" s="117">
        <f t="shared" si="2"/>
        <v>32.96</v>
      </c>
      <c r="N30" s="235">
        <f t="shared" si="3"/>
        <v>100.55593220338983</v>
      </c>
      <c r="O30" s="289">
        <f t="shared" si="4"/>
        <v>86.689627796610182</v>
      </c>
      <c r="P30" s="288">
        <f t="shared" si="5"/>
        <v>0.13150732372058582</v>
      </c>
      <c r="Q30" s="289">
        <f t="shared" si="24"/>
        <v>659.2</v>
      </c>
      <c r="R30" s="291">
        <v>549</v>
      </c>
      <c r="S30" s="289">
        <f t="shared" si="7"/>
        <v>700.4</v>
      </c>
      <c r="T30" s="289">
        <f t="shared" si="8"/>
        <v>741.6</v>
      </c>
      <c r="U30" s="289">
        <f>VLOOKUP(D30,'Amazon Live Products'!E:AF,28,0)</f>
        <v>824</v>
      </c>
      <c r="V30" s="117">
        <f>VLOOKUP(E30,Sheet6!AF:AG,2,0)</f>
        <v>1999</v>
      </c>
      <c r="W30" s="289">
        <f t="shared" si="9"/>
        <v>82.399999999999977</v>
      </c>
      <c r="X30" s="117">
        <f t="shared" si="25"/>
        <v>82.4</v>
      </c>
      <c r="Y30" s="117">
        <f t="shared" si="11"/>
        <v>123.6</v>
      </c>
      <c r="Z30" s="117">
        <f t="shared" si="12"/>
        <v>164.8</v>
      </c>
      <c r="AA30" s="117" t="s">
        <v>1111</v>
      </c>
      <c r="AB30" s="117"/>
      <c r="AC30" s="117"/>
      <c r="AD30" s="117"/>
      <c r="AE30" s="117"/>
      <c r="AF30" s="117"/>
      <c r="AG30" s="117"/>
    </row>
    <row r="31" spans="1:33">
      <c r="A31" s="117">
        <f t="shared" si="23"/>
        <v>31</v>
      </c>
      <c r="B31" s="102" t="s">
        <v>934</v>
      </c>
      <c r="C31" s="102">
        <v>1525</v>
      </c>
      <c r="D31" s="102" t="s">
        <v>543</v>
      </c>
      <c r="E31" s="187" t="s">
        <v>544</v>
      </c>
      <c r="F31" s="187" t="str">
        <f>VLOOKUP(D31,'Margin Calculation'!F:I,4,0)</f>
        <v>HPC</v>
      </c>
      <c r="G31" s="290" t="s">
        <v>545</v>
      </c>
      <c r="H31" s="69" t="s">
        <v>547</v>
      </c>
      <c r="I31" s="287">
        <f>VLOOKUP(D31,'Margin Calculation'!F:Y,20,0)</f>
        <v>611.38800000000003</v>
      </c>
      <c r="J31" s="287">
        <f>VLOOKUP(D31,'Margin Calculation'!F:Z,21,0)</f>
        <v>721.43784000000005</v>
      </c>
      <c r="K31" s="117">
        <f t="shared" si="0"/>
        <v>49.739999999999995</v>
      </c>
      <c r="L31" s="117">
        <f t="shared" si="21"/>
        <v>24.869999999999997</v>
      </c>
      <c r="M31" s="117">
        <f t="shared" si="2"/>
        <v>41.45</v>
      </c>
      <c r="N31" s="235">
        <f t="shared" si="3"/>
        <v>126.45762711864404</v>
      </c>
      <c r="O31" s="289">
        <f t="shared" si="4"/>
        <v>-24.905627118644091</v>
      </c>
      <c r="P31" s="288">
        <f t="shared" si="5"/>
        <v>-3.0042976017664764E-2</v>
      </c>
      <c r="Q31" s="289">
        <v>829</v>
      </c>
      <c r="R31" s="291">
        <v>829</v>
      </c>
      <c r="S31" s="289">
        <f t="shared" si="7"/>
        <v>934.15</v>
      </c>
      <c r="T31" s="289">
        <f t="shared" si="8"/>
        <v>989.1</v>
      </c>
      <c r="U31" s="289">
        <f>VLOOKUP(D31,'Amazon Live Products'!E:AF,28,0)</f>
        <v>1099</v>
      </c>
      <c r="V31" s="117">
        <f>VLOOKUP(E31,Sheet6!AF:AG,2,0)</f>
        <v>2999</v>
      </c>
      <c r="W31" s="289">
        <f t="shared" si="9"/>
        <v>109.89999999999998</v>
      </c>
      <c r="X31" s="117">
        <f t="shared" si="25"/>
        <v>109.9</v>
      </c>
      <c r="Y31" s="117">
        <f t="shared" si="11"/>
        <v>164.85</v>
      </c>
      <c r="Z31" s="117">
        <f t="shared" si="12"/>
        <v>219.8</v>
      </c>
      <c r="AA31" s="117" t="s">
        <v>1111</v>
      </c>
      <c r="AB31" s="117"/>
      <c r="AC31" s="117"/>
      <c r="AD31" s="117"/>
      <c r="AE31" s="117"/>
      <c r="AF31" s="117"/>
      <c r="AG31" s="117"/>
    </row>
    <row r="32" spans="1:33">
      <c r="A32" s="117">
        <f t="shared" si="23"/>
        <v>32</v>
      </c>
      <c r="B32" s="69"/>
      <c r="C32" s="69"/>
      <c r="D32" s="69" t="s">
        <v>557</v>
      </c>
      <c r="E32" s="69" t="s">
        <v>558</v>
      </c>
      <c r="F32" s="69" t="str">
        <f>VLOOKUP(D32,'Margin Calculation'!F:I,4,0)</f>
        <v>Pet Supplies</v>
      </c>
      <c r="G32" s="117" t="s">
        <v>559</v>
      </c>
      <c r="H32" s="117" t="s">
        <v>561</v>
      </c>
      <c r="I32" s="287">
        <f>VLOOKUP(D32,'Margin Calculation'!F:Y,20,0)</f>
        <v>447.18074999999999</v>
      </c>
      <c r="J32" s="287">
        <f>VLOOKUP(D32,'Margin Calculation'!F:Z,21,0)</f>
        <v>527.67328499999996</v>
      </c>
      <c r="K32" s="117">
        <f t="shared" si="0"/>
        <v>59.951999999999998</v>
      </c>
      <c r="L32" s="117">
        <f t="shared" si="21"/>
        <v>29.975999999999999</v>
      </c>
      <c r="M32" s="117">
        <f t="shared" si="2"/>
        <v>49.960000000000008</v>
      </c>
      <c r="N32" s="235">
        <f t="shared" si="3"/>
        <v>152.42033898305078</v>
      </c>
      <c r="O32" s="289">
        <f t="shared" si="4"/>
        <v>259.71091101694924</v>
      </c>
      <c r="P32" s="288">
        <f t="shared" si="5"/>
        <v>0.25991884609382426</v>
      </c>
      <c r="Q32" s="289">
        <f t="shared" ref="Q32:Q45" si="26">U32-Z32</f>
        <v>999.2</v>
      </c>
      <c r="R32" s="289"/>
      <c r="S32" s="289">
        <f t="shared" si="7"/>
        <v>1061.6500000000001</v>
      </c>
      <c r="T32" s="289">
        <f t="shared" si="8"/>
        <v>1211.53</v>
      </c>
      <c r="U32" s="289">
        <f>VLOOKUP(D32,'Amazon Live Products'!E:AF,28,0)</f>
        <v>1249</v>
      </c>
      <c r="V32" s="117">
        <f>VLOOKUP(E32,Sheet6!AF:AG,2,0)</f>
        <v>2999</v>
      </c>
      <c r="W32" s="289">
        <f t="shared" si="9"/>
        <v>37.470000000000027</v>
      </c>
      <c r="X32" s="117">
        <f t="shared" ref="X32:X45" si="27">U32*3%</f>
        <v>37.47</v>
      </c>
      <c r="Y32" s="117">
        <f t="shared" si="11"/>
        <v>187.35</v>
      </c>
      <c r="Z32" s="117">
        <f t="shared" si="12"/>
        <v>249.8</v>
      </c>
      <c r="AA32" s="117"/>
      <c r="AB32" s="117"/>
      <c r="AC32" s="117"/>
      <c r="AD32" s="117"/>
      <c r="AE32" s="117"/>
      <c r="AF32" s="117"/>
      <c r="AG32" s="117"/>
    </row>
    <row r="33" spans="1:33">
      <c r="A33" s="117">
        <f t="shared" si="23"/>
        <v>33</v>
      </c>
      <c r="B33" s="69"/>
      <c r="C33" s="69"/>
      <c r="D33" s="69" t="s">
        <v>562</v>
      </c>
      <c r="E33" s="102" t="s">
        <v>563</v>
      </c>
      <c r="F33" s="102" t="str">
        <f>VLOOKUP(D33,'Margin Calculation'!F:I,4,0)</f>
        <v>HPC</v>
      </c>
      <c r="G33" s="117" t="s">
        <v>564</v>
      </c>
      <c r="H33" s="117" t="s">
        <v>565</v>
      </c>
      <c r="I33" s="287">
        <f>VLOOKUP(D33,'Margin Calculation'!F:Y,20,0)</f>
        <v>577.89936</v>
      </c>
      <c r="J33" s="287">
        <f>VLOOKUP(D33,'Margin Calculation'!F:Z,21,0)</f>
        <v>681.92124479999995</v>
      </c>
      <c r="K33" s="117">
        <f t="shared" si="0"/>
        <v>57.552</v>
      </c>
      <c r="L33" s="117">
        <f t="shared" si="21"/>
        <v>28.776</v>
      </c>
      <c r="M33" s="117">
        <f t="shared" si="2"/>
        <v>47.960000000000008</v>
      </c>
      <c r="N33" s="235">
        <f t="shared" si="3"/>
        <v>146.31864406779653</v>
      </c>
      <c r="O33" s="289">
        <f t="shared" si="4"/>
        <v>100.69399593220348</v>
      </c>
      <c r="P33" s="288">
        <f t="shared" si="5"/>
        <v>0.10497705997936142</v>
      </c>
      <c r="Q33" s="289">
        <f t="shared" si="26"/>
        <v>959.2</v>
      </c>
      <c r="R33" s="289"/>
      <c r="S33" s="289">
        <f t="shared" si="7"/>
        <v>1019.15</v>
      </c>
      <c r="T33" s="289">
        <f t="shared" si="8"/>
        <v>1163.03</v>
      </c>
      <c r="U33" s="289">
        <f>VLOOKUP(D33,'Amazon Live Products'!E:AF,28,0)</f>
        <v>1199</v>
      </c>
      <c r="V33" s="117">
        <f>VLOOKUP(E33,Sheet6!AF:AG,2,0)</f>
        <v>1699</v>
      </c>
      <c r="W33" s="289">
        <f t="shared" si="9"/>
        <v>35.970000000000027</v>
      </c>
      <c r="X33" s="117">
        <f t="shared" si="27"/>
        <v>35.97</v>
      </c>
      <c r="Y33" s="117">
        <f t="shared" si="11"/>
        <v>179.85</v>
      </c>
      <c r="Z33" s="117">
        <f t="shared" si="12"/>
        <v>239.8</v>
      </c>
      <c r="AA33" s="117"/>
      <c r="AB33" s="117"/>
      <c r="AC33" s="117"/>
      <c r="AD33" s="117"/>
      <c r="AE33" s="117"/>
      <c r="AF33" s="117"/>
      <c r="AG33" s="117"/>
    </row>
    <row r="34" spans="1:33">
      <c r="A34" s="117">
        <f t="shared" si="23"/>
        <v>34</v>
      </c>
      <c r="B34" s="69"/>
      <c r="C34" s="69"/>
      <c r="D34" s="69" t="s">
        <v>570</v>
      </c>
      <c r="E34" s="102" t="s">
        <v>571</v>
      </c>
      <c r="F34" s="102" t="str">
        <f>VLOOKUP(D34,'Margin Calculation'!F:I,4,0)</f>
        <v>HPC</v>
      </c>
      <c r="G34" s="117" t="s">
        <v>572</v>
      </c>
      <c r="H34" s="117" t="s">
        <v>574</v>
      </c>
      <c r="I34" s="287">
        <f>VLOOKUP(D34,'Margin Calculation'!F:Y,20,0)</f>
        <v>744.77340000000015</v>
      </c>
      <c r="J34" s="287">
        <f>VLOOKUP(D34,'Margin Calculation'!F:Z,21,0)</f>
        <v>878.83261200000015</v>
      </c>
      <c r="K34" s="117">
        <f t="shared" si="0"/>
        <v>81.552000000000007</v>
      </c>
      <c r="L34" s="117">
        <f t="shared" si="21"/>
        <v>40.776000000000003</v>
      </c>
      <c r="M34" s="117">
        <f t="shared" si="2"/>
        <v>67.960000000000008</v>
      </c>
      <c r="N34" s="235">
        <f t="shared" si="3"/>
        <v>207.33559322033898</v>
      </c>
      <c r="O34" s="289">
        <f t="shared" si="4"/>
        <v>216.8030067796609</v>
      </c>
      <c r="P34" s="288">
        <f t="shared" si="5"/>
        <v>0.15950780369309955</v>
      </c>
      <c r="Q34" s="289">
        <f t="shared" si="26"/>
        <v>1359.2</v>
      </c>
      <c r="R34" s="289"/>
      <c r="S34" s="289">
        <f t="shared" si="7"/>
        <v>1444.15</v>
      </c>
      <c r="T34" s="289">
        <f t="shared" si="8"/>
        <v>1648.03</v>
      </c>
      <c r="U34" s="289">
        <f>VLOOKUP(D34,'Amazon Live Products'!E:AF,28,0)</f>
        <v>1699</v>
      </c>
      <c r="V34" s="117">
        <f>VLOOKUP(E34,Sheet6!AF:AG,2,0)</f>
        <v>2499</v>
      </c>
      <c r="W34" s="289">
        <f t="shared" si="9"/>
        <v>50.970000000000027</v>
      </c>
      <c r="X34" s="117">
        <f t="shared" si="27"/>
        <v>50.97</v>
      </c>
      <c r="Y34" s="117">
        <f t="shared" si="11"/>
        <v>254.85</v>
      </c>
      <c r="Z34" s="117">
        <f t="shared" si="12"/>
        <v>339.8</v>
      </c>
      <c r="AA34" s="117"/>
      <c r="AB34" s="117"/>
      <c r="AC34" s="117"/>
      <c r="AD34" s="117"/>
      <c r="AE34" s="117"/>
      <c r="AF34" s="117"/>
      <c r="AG34" s="117"/>
    </row>
    <row r="35" spans="1:33">
      <c r="A35" s="117">
        <f t="shared" si="23"/>
        <v>35</v>
      </c>
      <c r="B35" s="69"/>
      <c r="C35" s="69"/>
      <c r="D35" s="69" t="s">
        <v>575</v>
      </c>
      <c r="E35" s="102" t="s">
        <v>576</v>
      </c>
      <c r="F35" s="102" t="str">
        <f>VLOOKUP(D35,'Margin Calculation'!F:I,4,0)</f>
        <v>HPC</v>
      </c>
      <c r="G35" s="117" t="s">
        <v>577</v>
      </c>
      <c r="H35" s="117" t="s">
        <v>579</v>
      </c>
      <c r="I35" s="287">
        <f>VLOOKUP(D35,'Margin Calculation'!F:Y,20,0)</f>
        <v>710.05464000000006</v>
      </c>
      <c r="J35" s="287">
        <f>VLOOKUP(D35,'Margin Calculation'!F:Z,21,0)</f>
        <v>837.86447520000002</v>
      </c>
      <c r="K35" s="117">
        <f t="shared" si="0"/>
        <v>91.152000000000001</v>
      </c>
      <c r="L35" s="117">
        <f t="shared" si="21"/>
        <v>45.576000000000001</v>
      </c>
      <c r="M35" s="117">
        <f t="shared" si="2"/>
        <v>75.960000000000008</v>
      </c>
      <c r="N35" s="235">
        <f t="shared" si="3"/>
        <v>231.74237288135578</v>
      </c>
      <c r="O35" s="289">
        <f t="shared" si="4"/>
        <v>364.7149871186441</v>
      </c>
      <c r="P35" s="288">
        <f t="shared" si="5"/>
        <v>0.2400704233271749</v>
      </c>
      <c r="Q35" s="289">
        <f t="shared" si="26"/>
        <v>1519.2</v>
      </c>
      <c r="R35" s="289"/>
      <c r="S35" s="289">
        <f t="shared" si="7"/>
        <v>1614.15</v>
      </c>
      <c r="T35" s="289">
        <f t="shared" si="8"/>
        <v>1842.03</v>
      </c>
      <c r="U35" s="289">
        <f>VLOOKUP(D35,'Amazon Live Products'!E:AF,28,0)</f>
        <v>1899</v>
      </c>
      <c r="V35" s="117">
        <f>VLOOKUP(E35,Sheet6!AF:AG,2,0)</f>
        <v>3599</v>
      </c>
      <c r="W35" s="289">
        <f t="shared" si="9"/>
        <v>56.970000000000027</v>
      </c>
      <c r="X35" s="117">
        <f t="shared" si="27"/>
        <v>56.97</v>
      </c>
      <c r="Y35" s="117">
        <f t="shared" si="11"/>
        <v>284.84999999999997</v>
      </c>
      <c r="Z35" s="117">
        <f t="shared" si="12"/>
        <v>379.8</v>
      </c>
      <c r="AA35" s="117"/>
      <c r="AB35" s="117"/>
      <c r="AC35" s="117"/>
      <c r="AD35" s="117"/>
      <c r="AE35" s="117"/>
      <c r="AF35" s="117"/>
      <c r="AG35" s="117"/>
    </row>
    <row r="36" spans="1:33">
      <c r="A36" s="117">
        <f t="shared" si="23"/>
        <v>36</v>
      </c>
      <c r="B36" s="69"/>
      <c r="C36" s="69"/>
      <c r="D36" s="69" t="s">
        <v>580</v>
      </c>
      <c r="E36" s="102" t="s">
        <v>581</v>
      </c>
      <c r="F36" s="102" t="str">
        <f>VLOOKUP(D36,'Margin Calculation'!F:I,4,0)</f>
        <v>HPC</v>
      </c>
      <c r="G36" s="117" t="s">
        <v>582</v>
      </c>
      <c r="H36" s="117" t="s">
        <v>583</v>
      </c>
      <c r="I36" s="287">
        <f>VLOOKUP(D36,'Margin Calculation'!F:Y,20,0)</f>
        <v>827.65044</v>
      </c>
      <c r="J36" s="287">
        <f>VLOOKUP(D36,'Margin Calculation'!F:Z,21,0)</f>
        <v>976.62751919999994</v>
      </c>
      <c r="K36" s="117">
        <f t="shared" si="0"/>
        <v>119.952</v>
      </c>
      <c r="L36" s="117">
        <f t="shared" si="21"/>
        <v>59.975999999999999</v>
      </c>
      <c r="M36" s="117">
        <f t="shared" si="2"/>
        <v>99.960000000000008</v>
      </c>
      <c r="N36" s="235">
        <f t="shared" si="3"/>
        <v>304.96271186440663</v>
      </c>
      <c r="O36" s="289">
        <f t="shared" si="4"/>
        <v>586.69884813559327</v>
      </c>
      <c r="P36" s="288">
        <f t="shared" si="5"/>
        <v>0.29346681079211345</v>
      </c>
      <c r="Q36" s="289">
        <f t="shared" si="26"/>
        <v>1999.2</v>
      </c>
      <c r="R36" s="289"/>
      <c r="S36" s="289">
        <f t="shared" si="7"/>
        <v>2124.15</v>
      </c>
      <c r="T36" s="289">
        <f t="shared" si="8"/>
        <v>2424.0300000000002</v>
      </c>
      <c r="U36" s="289">
        <f>VLOOKUP(D36,'Amazon Live Products'!E:AF,28,0)</f>
        <v>2499</v>
      </c>
      <c r="V36" s="117">
        <f>VLOOKUP(E36,Sheet6!AF:AG,2,0)</f>
        <v>3599</v>
      </c>
      <c r="W36" s="289">
        <f t="shared" si="9"/>
        <v>74.9699999999998</v>
      </c>
      <c r="X36" s="117">
        <f t="shared" si="27"/>
        <v>74.97</v>
      </c>
      <c r="Y36" s="117">
        <f t="shared" si="11"/>
        <v>374.84999999999997</v>
      </c>
      <c r="Z36" s="117">
        <f t="shared" si="12"/>
        <v>499.8</v>
      </c>
      <c r="AA36" s="117"/>
      <c r="AB36" s="117"/>
      <c r="AC36" s="117"/>
      <c r="AD36" s="117"/>
      <c r="AE36" s="117"/>
      <c r="AF36" s="117"/>
      <c r="AG36" s="117"/>
    </row>
    <row r="37" spans="1:33">
      <c r="A37" s="117">
        <f t="shared" si="23"/>
        <v>37</v>
      </c>
      <c r="B37" s="69"/>
      <c r="C37" s="69"/>
      <c r="D37" s="69" t="s">
        <v>584</v>
      </c>
      <c r="E37" s="102" t="s">
        <v>585</v>
      </c>
      <c r="F37" s="102" t="str">
        <f>VLOOKUP(D37,'Margin Calculation'!F:I,4,0)</f>
        <v>Home &amp; Kitchen</v>
      </c>
      <c r="G37" s="117" t="s">
        <v>586</v>
      </c>
      <c r="H37" s="117" t="s">
        <v>588</v>
      </c>
      <c r="I37" s="287">
        <f>VLOOKUP(D37,'Margin Calculation'!F:Y,20,0)</f>
        <v>1151.4474000000002</v>
      </c>
      <c r="J37" s="287">
        <f>VLOOKUP(D37,'Margin Calculation'!F:Z,21,0)</f>
        <v>1358.7079320000003</v>
      </c>
      <c r="K37" s="117">
        <f t="shared" si="0"/>
        <v>158.35199999999998</v>
      </c>
      <c r="L37" s="117">
        <f t="shared" si="21"/>
        <v>79.175999999999988</v>
      </c>
      <c r="M37" s="117">
        <f t="shared" si="2"/>
        <v>131.96</v>
      </c>
      <c r="N37" s="235">
        <f t="shared" si="3"/>
        <v>402.58983050847428</v>
      </c>
      <c r="O37" s="289">
        <f t="shared" si="4"/>
        <v>715.67476949152524</v>
      </c>
      <c r="P37" s="288">
        <f t="shared" si="5"/>
        <v>0.27117110089857732</v>
      </c>
      <c r="Q37" s="289">
        <f t="shared" si="26"/>
        <v>2639.2</v>
      </c>
      <c r="R37" s="289"/>
      <c r="S37" s="289">
        <f t="shared" si="7"/>
        <v>2804.15</v>
      </c>
      <c r="T37" s="289">
        <f t="shared" si="8"/>
        <v>3200.03</v>
      </c>
      <c r="U37" s="289">
        <f>VLOOKUP(D37,'Amazon Live Products'!E:AF,28,0)</f>
        <v>3299</v>
      </c>
      <c r="V37" s="117">
        <f>VLOOKUP(E37,Sheet6!AF:AG,2,0)</f>
        <v>6599</v>
      </c>
      <c r="W37" s="289">
        <f t="shared" si="9"/>
        <v>98.9699999999998</v>
      </c>
      <c r="X37" s="117">
        <f t="shared" si="27"/>
        <v>98.97</v>
      </c>
      <c r="Y37" s="117">
        <f t="shared" si="11"/>
        <v>494.84999999999997</v>
      </c>
      <c r="Z37" s="117">
        <f t="shared" si="12"/>
        <v>659.80000000000007</v>
      </c>
      <c r="AA37" s="117"/>
      <c r="AB37" s="117"/>
      <c r="AC37" s="117"/>
      <c r="AD37" s="117"/>
      <c r="AE37" s="117"/>
      <c r="AF37" s="117"/>
      <c r="AG37" s="117"/>
    </row>
    <row r="38" spans="1:33">
      <c r="A38" s="117">
        <f t="shared" si="23"/>
        <v>38</v>
      </c>
      <c r="B38" s="69"/>
      <c r="C38" s="69"/>
      <c r="D38" s="69" t="s">
        <v>589</v>
      </c>
      <c r="E38" s="102" t="s">
        <v>590</v>
      </c>
      <c r="F38" s="102" t="str">
        <f>VLOOKUP(D38,'Margin Calculation'!F:I,4,0)</f>
        <v>HPC</v>
      </c>
      <c r="G38" s="117" t="s">
        <v>591</v>
      </c>
      <c r="H38" s="117" t="s">
        <v>593</v>
      </c>
      <c r="I38" s="287">
        <f>VLOOKUP(D38,'Margin Calculation'!F:Y,20,0)</f>
        <v>540.05939999999998</v>
      </c>
      <c r="J38" s="287">
        <f>VLOOKUP(D38,'Margin Calculation'!F:Z,21,0)</f>
        <v>637.27009199999998</v>
      </c>
      <c r="K38" s="117">
        <f t="shared" si="0"/>
        <v>95.951999999999998</v>
      </c>
      <c r="L38" s="117">
        <f t="shared" si="21"/>
        <v>47.975999999999999</v>
      </c>
      <c r="M38" s="117">
        <f t="shared" si="2"/>
        <v>79.960000000000008</v>
      </c>
      <c r="N38" s="235">
        <f t="shared" si="3"/>
        <v>243.94576271186429</v>
      </c>
      <c r="O38" s="289">
        <f t="shared" si="4"/>
        <v>591.30683728813585</v>
      </c>
      <c r="P38" s="288">
        <f t="shared" si="5"/>
        <v>0.3697516491296497</v>
      </c>
      <c r="Q38" s="289">
        <f t="shared" si="26"/>
        <v>1599.2</v>
      </c>
      <c r="R38" s="289"/>
      <c r="S38" s="289">
        <f t="shared" si="7"/>
        <v>1699.15</v>
      </c>
      <c r="T38" s="289">
        <f t="shared" si="8"/>
        <v>1939.03</v>
      </c>
      <c r="U38" s="289">
        <f>VLOOKUP(D38,'Amazon Live Products'!E:AF,28,0)</f>
        <v>1999</v>
      </c>
      <c r="V38" s="117">
        <f>VLOOKUP(E38,Sheet6!AF:AG,2,0)</f>
        <v>2999</v>
      </c>
      <c r="W38" s="289">
        <f t="shared" si="9"/>
        <v>59.970000000000027</v>
      </c>
      <c r="X38" s="117">
        <f t="shared" si="27"/>
        <v>59.97</v>
      </c>
      <c r="Y38" s="117">
        <f t="shared" si="11"/>
        <v>299.84999999999997</v>
      </c>
      <c r="Z38" s="117">
        <f t="shared" si="12"/>
        <v>399.8</v>
      </c>
      <c r="AA38" s="117"/>
      <c r="AB38" s="117"/>
      <c r="AC38" s="117"/>
      <c r="AD38" s="117"/>
      <c r="AE38" s="117"/>
      <c r="AF38" s="117"/>
      <c r="AG38" s="117"/>
    </row>
    <row r="39" spans="1:33">
      <c r="A39" s="117">
        <f t="shared" si="23"/>
        <v>39</v>
      </c>
      <c r="B39" s="69"/>
      <c r="C39" s="69"/>
      <c r="D39" s="69" t="s">
        <v>594</v>
      </c>
      <c r="E39" s="102" t="s">
        <v>595</v>
      </c>
      <c r="F39" s="102" t="str">
        <f>VLOOKUP(D39,'Margin Calculation'!F:I,4,0)</f>
        <v>HPC</v>
      </c>
      <c r="G39" s="117" t="s">
        <v>596</v>
      </c>
      <c r="H39" s="117" t="s">
        <v>598</v>
      </c>
      <c r="I39" s="287">
        <f>VLOOKUP(D39,'Margin Calculation'!F:Y,20,0)</f>
        <v>864.54944999999998</v>
      </c>
      <c r="J39" s="287">
        <f>VLOOKUP(D39,'Margin Calculation'!F:Z,21,0)</f>
        <v>1020.1683509999999</v>
      </c>
      <c r="K39" s="117">
        <f t="shared" si="0"/>
        <v>81.552000000000007</v>
      </c>
      <c r="L39" s="117">
        <f t="shared" si="21"/>
        <v>40.776000000000003</v>
      </c>
      <c r="M39" s="117">
        <f t="shared" si="2"/>
        <v>67.960000000000008</v>
      </c>
      <c r="N39" s="235">
        <f t="shared" si="3"/>
        <v>207.33559322033898</v>
      </c>
      <c r="O39" s="289">
        <f t="shared" si="4"/>
        <v>97.026956779661077</v>
      </c>
      <c r="P39" s="288">
        <f t="shared" si="5"/>
        <v>7.1385341950898379E-2</v>
      </c>
      <c r="Q39" s="289">
        <f t="shared" si="26"/>
        <v>1359.2</v>
      </c>
      <c r="R39" s="289"/>
      <c r="S39" s="289">
        <f t="shared" si="7"/>
        <v>1444.15</v>
      </c>
      <c r="T39" s="289">
        <f t="shared" si="8"/>
        <v>1648.03</v>
      </c>
      <c r="U39" s="289">
        <f>VLOOKUP(D39,'Amazon Live Products'!E:AF,28,0)</f>
        <v>1699</v>
      </c>
      <c r="V39" s="117">
        <f>VLOOKUP(E39,Sheet6!AF:AG,2,0)</f>
        <v>3399</v>
      </c>
      <c r="W39" s="289">
        <f t="shared" si="9"/>
        <v>50.970000000000027</v>
      </c>
      <c r="X39" s="117">
        <f t="shared" si="27"/>
        <v>50.97</v>
      </c>
      <c r="Y39" s="117">
        <f t="shared" si="11"/>
        <v>254.85</v>
      </c>
      <c r="Z39" s="117">
        <f t="shared" si="12"/>
        <v>339.8</v>
      </c>
      <c r="AA39" s="117"/>
      <c r="AB39" s="117"/>
      <c r="AC39" s="117"/>
      <c r="AD39" s="117"/>
      <c r="AE39" s="117"/>
      <c r="AF39" s="117"/>
      <c r="AG39" s="117"/>
    </row>
    <row r="40" spans="1:33">
      <c r="A40" s="117">
        <f t="shared" si="23"/>
        <v>40</v>
      </c>
      <c r="B40" s="69"/>
      <c r="C40" s="69"/>
      <c r="D40" s="69" t="s">
        <v>599</v>
      </c>
      <c r="E40" s="102" t="s">
        <v>600</v>
      </c>
      <c r="F40" s="102" t="str">
        <f>VLOOKUP(D40,'Margin Calculation'!F:I,4,0)</f>
        <v>Home &amp; Kitchen</v>
      </c>
      <c r="G40" s="117" t="s">
        <v>601</v>
      </c>
      <c r="H40" s="117" t="s">
        <v>602</v>
      </c>
      <c r="I40" s="287">
        <f>VLOOKUP(D40,'Margin Calculation'!F:Y,20,0)</f>
        <v>845.75340000000006</v>
      </c>
      <c r="J40" s="287">
        <f>VLOOKUP(D40,'Margin Calculation'!F:Z,21,0)</f>
        <v>997.989012</v>
      </c>
      <c r="K40" s="117">
        <f t="shared" si="0"/>
        <v>95.951999999999998</v>
      </c>
      <c r="L40" s="117">
        <f t="shared" si="21"/>
        <v>47.975999999999999</v>
      </c>
      <c r="M40" s="117">
        <f t="shared" si="2"/>
        <v>79.960000000000008</v>
      </c>
      <c r="N40" s="235">
        <f t="shared" si="3"/>
        <v>243.94576271186429</v>
      </c>
      <c r="O40" s="289">
        <f t="shared" si="4"/>
        <v>285.61283728813567</v>
      </c>
      <c r="P40" s="288">
        <f t="shared" si="5"/>
        <v>0.17859732196606781</v>
      </c>
      <c r="Q40" s="289">
        <f t="shared" si="26"/>
        <v>1599.2</v>
      </c>
      <c r="R40" s="289"/>
      <c r="S40" s="289">
        <f t="shared" si="7"/>
        <v>1699.15</v>
      </c>
      <c r="T40" s="289">
        <f t="shared" si="8"/>
        <v>1939.03</v>
      </c>
      <c r="U40" s="289">
        <f>VLOOKUP(D40,'Amazon Live Products'!E:AF,28,0)</f>
        <v>1999</v>
      </c>
      <c r="V40" s="117">
        <f>VLOOKUP(E40,Sheet6!AF:AG,2,0)</f>
        <v>3699</v>
      </c>
      <c r="W40" s="289">
        <f t="shared" si="9"/>
        <v>59.970000000000027</v>
      </c>
      <c r="X40" s="117">
        <f t="shared" si="27"/>
        <v>59.97</v>
      </c>
      <c r="Y40" s="117">
        <f t="shared" si="11"/>
        <v>299.84999999999997</v>
      </c>
      <c r="Z40" s="117">
        <f t="shared" si="12"/>
        <v>399.8</v>
      </c>
      <c r="AA40" s="117"/>
      <c r="AB40" s="117"/>
      <c r="AC40" s="117"/>
      <c r="AD40" s="117"/>
      <c r="AE40" s="117"/>
      <c r="AF40" s="117"/>
      <c r="AG40" s="117"/>
    </row>
    <row r="41" spans="1:33">
      <c r="A41" s="117">
        <f t="shared" si="23"/>
        <v>41</v>
      </c>
      <c r="B41" s="69"/>
      <c r="C41" s="69"/>
      <c r="D41" s="69" t="s">
        <v>603</v>
      </c>
      <c r="E41" s="102" t="s">
        <v>937</v>
      </c>
      <c r="F41" s="102" t="str">
        <f>VLOOKUP(D41,'Margin Calculation'!F:I,4,0)</f>
        <v>Home &amp; Kitchen</v>
      </c>
      <c r="G41" s="117" t="s">
        <v>605</v>
      </c>
      <c r="H41" s="117" t="s">
        <v>607</v>
      </c>
      <c r="I41" s="287">
        <f>VLOOKUP(D41,'Margin Calculation'!F:Y,20,0)</f>
        <v>1040.4428399999999</v>
      </c>
      <c r="J41" s="287">
        <f>VLOOKUP(D41,'Margin Calculation'!F:Z,21,0)</f>
        <v>1227.7225511999998</v>
      </c>
      <c r="K41" s="117">
        <f t="shared" si="0"/>
        <v>129.55199999999999</v>
      </c>
      <c r="L41" s="117">
        <f t="shared" si="21"/>
        <v>64.775999999999996</v>
      </c>
      <c r="M41" s="117">
        <f t="shared" si="2"/>
        <v>107.96</v>
      </c>
      <c r="N41" s="235">
        <f t="shared" si="3"/>
        <v>329.36949152542365</v>
      </c>
      <c r="O41" s="289">
        <f t="shared" si="4"/>
        <v>487.09966847457622</v>
      </c>
      <c r="P41" s="288">
        <f t="shared" si="5"/>
        <v>0.22559265861178968</v>
      </c>
      <c r="Q41" s="289">
        <f t="shared" si="26"/>
        <v>2159.1999999999998</v>
      </c>
      <c r="R41" s="289"/>
      <c r="S41" s="289">
        <f t="shared" si="7"/>
        <v>2294.15</v>
      </c>
      <c r="T41" s="289">
        <f t="shared" si="8"/>
        <v>2618.0300000000002</v>
      </c>
      <c r="U41" s="289">
        <f>VLOOKUP(D41,'Amazon Live Products'!E:AF,28,0)</f>
        <v>2699</v>
      </c>
      <c r="V41" s="117" t="e">
        <f>VLOOKUP(E41,Sheet6!AF:AG,2,0)</f>
        <v>#N/A</v>
      </c>
      <c r="W41" s="289">
        <f t="shared" si="9"/>
        <v>80.9699999999998</v>
      </c>
      <c r="X41" s="117">
        <f t="shared" si="27"/>
        <v>80.97</v>
      </c>
      <c r="Y41" s="117">
        <f t="shared" si="11"/>
        <v>404.84999999999997</v>
      </c>
      <c r="Z41" s="117">
        <f t="shared" si="12"/>
        <v>539.80000000000007</v>
      </c>
      <c r="AA41" s="117"/>
      <c r="AB41" s="117"/>
      <c r="AC41" s="117"/>
      <c r="AD41" s="117"/>
      <c r="AE41" s="117"/>
      <c r="AF41" s="117"/>
      <c r="AG41" s="117"/>
    </row>
    <row r="42" spans="1:33">
      <c r="A42" s="117">
        <f t="shared" si="23"/>
        <v>42</v>
      </c>
      <c r="B42" s="69"/>
      <c r="C42" s="69"/>
      <c r="D42" s="69" t="s">
        <v>608</v>
      </c>
      <c r="E42" s="69" t="s">
        <v>609</v>
      </c>
      <c r="F42" s="69" t="str">
        <f>VLOOKUP(D42,'Margin Calculation'!F:I,4,0)</f>
        <v>Home &amp; Kitchen</v>
      </c>
      <c r="G42" s="117" t="s">
        <v>610</v>
      </c>
      <c r="H42" s="117" t="s">
        <v>612</v>
      </c>
      <c r="I42" s="287">
        <f>VLOOKUP(D42,'Margin Calculation'!F:Y,20,0)</f>
        <v>1205.0769600000001</v>
      </c>
      <c r="J42" s="287">
        <f>VLOOKUP(D42,'Margin Calculation'!F:Z,21,0)</f>
        <v>1421.9908128</v>
      </c>
      <c r="K42" s="117">
        <f t="shared" si="0"/>
        <v>119.952</v>
      </c>
      <c r="L42" s="117">
        <f t="shared" si="21"/>
        <v>59.975999999999999</v>
      </c>
      <c r="M42" s="117">
        <f t="shared" si="2"/>
        <v>99.960000000000008</v>
      </c>
      <c r="N42" s="235">
        <f t="shared" si="3"/>
        <v>304.96271186440663</v>
      </c>
      <c r="O42" s="289">
        <f t="shared" si="4"/>
        <v>209.27232813559328</v>
      </c>
      <c r="P42" s="288">
        <f t="shared" si="5"/>
        <v>0.1046780352819094</v>
      </c>
      <c r="Q42" s="289">
        <f t="shared" si="26"/>
        <v>1999.2</v>
      </c>
      <c r="R42" s="289"/>
      <c r="S42" s="289">
        <f t="shared" si="7"/>
        <v>2124.15</v>
      </c>
      <c r="T42" s="289">
        <f t="shared" si="8"/>
        <v>2424.0300000000002</v>
      </c>
      <c r="U42" s="289">
        <f>VLOOKUP(D42,'Amazon Live Products'!E:AF,28,0)</f>
        <v>2499</v>
      </c>
      <c r="V42" s="117">
        <f>VLOOKUP(E42,Sheet6!AF:AG,2,0)</f>
        <v>4299</v>
      </c>
      <c r="W42" s="289">
        <f t="shared" si="9"/>
        <v>74.9699999999998</v>
      </c>
      <c r="X42" s="117">
        <f t="shared" si="27"/>
        <v>74.97</v>
      </c>
      <c r="Y42" s="117">
        <f t="shared" si="11"/>
        <v>374.84999999999997</v>
      </c>
      <c r="Z42" s="117">
        <f t="shared" si="12"/>
        <v>499.8</v>
      </c>
      <c r="AA42" s="117"/>
      <c r="AB42" s="117"/>
      <c r="AC42" s="117"/>
      <c r="AD42" s="117"/>
      <c r="AE42" s="117"/>
      <c r="AF42" s="117"/>
      <c r="AG42" s="117"/>
    </row>
    <row r="43" spans="1:33">
      <c r="A43" s="117">
        <f t="shared" si="23"/>
        <v>43</v>
      </c>
      <c r="B43" s="69"/>
      <c r="C43" s="69"/>
      <c r="D43" s="69" t="s">
        <v>615</v>
      </c>
      <c r="E43" s="69" t="s">
        <v>616</v>
      </c>
      <c r="F43" s="69" t="str">
        <f>VLOOKUP(D43,'Margin Calculation'!F:I,4,0)</f>
        <v>HPC</v>
      </c>
      <c r="G43" s="117" t="s">
        <v>617</v>
      </c>
      <c r="H43" s="117" t="s">
        <v>620</v>
      </c>
      <c r="I43" s="287">
        <f>VLOOKUP(D43,'Margin Calculation'!F:Y,20,0)</f>
        <v>478.92060000000009</v>
      </c>
      <c r="J43" s="287">
        <f>VLOOKUP(D43,'Margin Calculation'!F:Z,21,0)</f>
        <v>536.39107200000012</v>
      </c>
      <c r="K43" s="117">
        <f t="shared" si="0"/>
        <v>61.199999999999996</v>
      </c>
      <c r="L43" s="117">
        <f t="shared" si="21"/>
        <v>30.599999999999998</v>
      </c>
      <c r="M43" s="117">
        <f t="shared" si="2"/>
        <v>51</v>
      </c>
      <c r="N43" s="235">
        <f t="shared" si="3"/>
        <v>155.59322033898297</v>
      </c>
      <c r="O43" s="289">
        <f t="shared" si="4"/>
        <v>242.68617966101687</v>
      </c>
      <c r="P43" s="288">
        <f t="shared" si="5"/>
        <v>0.23792762711864399</v>
      </c>
      <c r="Q43" s="289">
        <f t="shared" si="26"/>
        <v>1020</v>
      </c>
      <c r="R43" s="289"/>
      <c r="S43" s="289">
        <f t="shared" si="7"/>
        <v>1083.75</v>
      </c>
      <c r="T43" s="289">
        <f t="shared" si="8"/>
        <v>1236.75</v>
      </c>
      <c r="U43" s="289">
        <f>VLOOKUP(D43,'Amazon Live Products'!E:AF,28,0)</f>
        <v>1275</v>
      </c>
      <c r="V43" s="117">
        <f>VLOOKUP(E43,Sheet6!AF:AG,2,0)</f>
        <v>2499</v>
      </c>
      <c r="W43" s="289">
        <f t="shared" si="9"/>
        <v>38.25</v>
      </c>
      <c r="X43" s="117">
        <f t="shared" si="27"/>
        <v>38.25</v>
      </c>
      <c r="Y43" s="117">
        <f t="shared" si="11"/>
        <v>191.25</v>
      </c>
      <c r="Z43" s="117">
        <f t="shared" si="12"/>
        <v>255</v>
      </c>
      <c r="AA43" s="117"/>
      <c r="AB43" s="117"/>
      <c r="AC43" s="117"/>
      <c r="AD43" s="117"/>
      <c r="AE43" s="117"/>
      <c r="AF43" s="117"/>
      <c r="AG43" s="117"/>
    </row>
    <row r="44" spans="1:33">
      <c r="A44" s="117">
        <f t="shared" si="23"/>
        <v>44</v>
      </c>
      <c r="B44" s="69"/>
      <c r="C44" s="69"/>
      <c r="D44" s="69" t="s">
        <v>621</v>
      </c>
      <c r="E44" s="69" t="s">
        <v>622</v>
      </c>
      <c r="F44" s="69" t="str">
        <f>VLOOKUP(D44,'Margin Calculation'!F:I,4,0)</f>
        <v>HPC</v>
      </c>
      <c r="G44" s="117" t="s">
        <v>623</v>
      </c>
      <c r="H44" s="117" t="s">
        <v>624</v>
      </c>
      <c r="I44" s="287">
        <f>VLOOKUP(D44,'Margin Calculation'!F:Y,20,0)</f>
        <v>478.92060000000009</v>
      </c>
      <c r="J44" s="287">
        <f>VLOOKUP(D44,'Margin Calculation'!F:Z,21,0)</f>
        <v>536.39107200000012</v>
      </c>
      <c r="K44" s="117">
        <f t="shared" si="0"/>
        <v>62.352000000000004</v>
      </c>
      <c r="L44" s="117">
        <f t="shared" si="21"/>
        <v>31.176000000000002</v>
      </c>
      <c r="M44" s="117">
        <f t="shared" si="2"/>
        <v>51.960000000000008</v>
      </c>
      <c r="N44" s="235">
        <f t="shared" si="3"/>
        <v>158.52203389830504</v>
      </c>
      <c r="O44" s="289">
        <f t="shared" si="4"/>
        <v>256.26936610169491</v>
      </c>
      <c r="P44" s="288">
        <f t="shared" si="5"/>
        <v>0.24660254628723527</v>
      </c>
      <c r="Q44" s="289">
        <f t="shared" si="26"/>
        <v>1039.2</v>
      </c>
      <c r="R44" s="289"/>
      <c r="S44" s="289">
        <f t="shared" si="7"/>
        <v>1104.1500000000001</v>
      </c>
      <c r="T44" s="289">
        <f t="shared" si="8"/>
        <v>1260.03</v>
      </c>
      <c r="U44" s="289">
        <f>VLOOKUP(D44,'Amazon Live Products'!E:AF,28,0)</f>
        <v>1299</v>
      </c>
      <c r="V44" s="117">
        <f>VLOOKUP(E44,Sheet6!AF:AG,2,0)</f>
        <v>2499</v>
      </c>
      <c r="W44" s="289">
        <f t="shared" si="9"/>
        <v>38.970000000000027</v>
      </c>
      <c r="X44" s="117">
        <f t="shared" si="27"/>
        <v>38.97</v>
      </c>
      <c r="Y44" s="117">
        <f t="shared" si="11"/>
        <v>194.85</v>
      </c>
      <c r="Z44" s="117">
        <f t="shared" si="12"/>
        <v>259.8</v>
      </c>
      <c r="AA44" s="117"/>
      <c r="AB44" s="117"/>
      <c r="AC44" s="117"/>
      <c r="AD44" s="117"/>
      <c r="AE44" s="117"/>
      <c r="AF44" s="117"/>
      <c r="AG44" s="117"/>
    </row>
    <row r="45" spans="1:33">
      <c r="A45" s="117">
        <f t="shared" si="23"/>
        <v>45</v>
      </c>
      <c r="B45" s="69"/>
      <c r="C45" s="69"/>
      <c r="D45" s="69" t="s">
        <v>625</v>
      </c>
      <c r="E45" s="102" t="s">
        <v>626</v>
      </c>
      <c r="F45" s="102" t="str">
        <f>VLOOKUP(D45,'Margin Calculation'!F:I,4,0)</f>
        <v>Car &amp; Motorbike</v>
      </c>
      <c r="G45" s="117" t="s">
        <v>627</v>
      </c>
      <c r="H45" s="117" t="s">
        <v>631</v>
      </c>
      <c r="I45" s="287">
        <f>VLOOKUP(D45,'Margin Calculation'!F:Y,20,0)</f>
        <v>1063.2964499999998</v>
      </c>
      <c r="J45" s="287">
        <f>VLOOKUP(D45,'Margin Calculation'!F:Z,21,0)</f>
        <v>1254.6898109999997</v>
      </c>
      <c r="K45" s="117">
        <f t="shared" si="0"/>
        <v>110.352</v>
      </c>
      <c r="L45" s="117">
        <f t="shared" si="21"/>
        <v>55.176000000000002</v>
      </c>
      <c r="M45" s="117">
        <f t="shared" si="2"/>
        <v>91.960000000000008</v>
      </c>
      <c r="N45" s="235">
        <f t="shared" si="3"/>
        <v>280.55593220338983</v>
      </c>
      <c r="O45" s="289">
        <f t="shared" si="4"/>
        <v>237.85961779661034</v>
      </c>
      <c r="P45" s="288">
        <f t="shared" si="5"/>
        <v>0.12932776087245015</v>
      </c>
      <c r="Q45" s="289">
        <f t="shared" si="26"/>
        <v>1839.2</v>
      </c>
      <c r="R45" s="289"/>
      <c r="S45" s="289">
        <f t="shared" si="7"/>
        <v>1954.15</v>
      </c>
      <c r="T45" s="289">
        <f t="shared" si="8"/>
        <v>2230.0300000000002</v>
      </c>
      <c r="U45" s="289">
        <f>VLOOKUP(D45,'Amazon Live Products'!E:AF,28,0)</f>
        <v>2299</v>
      </c>
      <c r="V45" s="117">
        <f>VLOOKUP(E45,Sheet6!AF:AG,2,0)</f>
        <v>4199</v>
      </c>
      <c r="W45" s="289">
        <f t="shared" si="9"/>
        <v>68.9699999999998</v>
      </c>
      <c r="X45" s="117">
        <f t="shared" si="27"/>
        <v>68.97</v>
      </c>
      <c r="Y45" s="117">
        <f t="shared" si="11"/>
        <v>344.84999999999997</v>
      </c>
      <c r="Z45" s="117">
        <f t="shared" si="12"/>
        <v>459.8</v>
      </c>
      <c r="AA45" s="117"/>
      <c r="AB45" s="117"/>
      <c r="AC45" s="117"/>
      <c r="AD45" s="117"/>
      <c r="AE45" s="117"/>
      <c r="AF45" s="117"/>
      <c r="AG45" s="117"/>
    </row>
    <row r="46" spans="1:33">
      <c r="A46" s="117">
        <f t="shared" si="23"/>
        <v>46</v>
      </c>
      <c r="B46" s="69" t="s">
        <v>934</v>
      </c>
      <c r="C46" s="69">
        <v>1173</v>
      </c>
      <c r="D46" s="69" t="s">
        <v>632</v>
      </c>
      <c r="E46" s="102" t="s">
        <v>633</v>
      </c>
      <c r="F46" s="102" t="str">
        <f>VLOOKUP(D46,'Margin Calculation'!F:I,4,0)</f>
        <v>HPC</v>
      </c>
      <c r="G46" s="292" t="s">
        <v>634</v>
      </c>
      <c r="H46" s="117" t="s">
        <v>636</v>
      </c>
      <c r="I46" s="287">
        <f>VLOOKUP(D46,'Margin Calculation'!F:Y,20,0)</f>
        <v>414.3852</v>
      </c>
      <c r="J46" s="287">
        <f>VLOOKUP(D46,'Margin Calculation'!F:Z,21,0)</f>
        <v>488.97453599999994</v>
      </c>
      <c r="K46" s="117">
        <f t="shared" si="0"/>
        <v>41.94</v>
      </c>
      <c r="L46" s="117">
        <f t="shared" si="21"/>
        <v>20.97</v>
      </c>
      <c r="M46" s="117">
        <f t="shared" si="2"/>
        <v>34.950000000000003</v>
      </c>
      <c r="N46" s="235">
        <f t="shared" si="3"/>
        <v>106.62711864406776</v>
      </c>
      <c r="O46" s="289">
        <f t="shared" si="4"/>
        <v>80.127681355932225</v>
      </c>
      <c r="P46" s="288">
        <f t="shared" si="5"/>
        <v>0.11463187604568273</v>
      </c>
      <c r="Q46" s="289">
        <v>699</v>
      </c>
      <c r="R46" s="291" t="s">
        <v>1118</v>
      </c>
      <c r="S46" s="289">
        <f t="shared" si="7"/>
        <v>671.5</v>
      </c>
      <c r="T46" s="289">
        <f t="shared" si="8"/>
        <v>711</v>
      </c>
      <c r="U46" s="289">
        <f>VLOOKUP(D46,'Amazon Live Products'!E:AF,28,0)</f>
        <v>790</v>
      </c>
      <c r="V46" s="117">
        <f>VLOOKUP(E46,Sheet6!AF:AG,2,0)</f>
        <v>1499</v>
      </c>
      <c r="W46" s="289">
        <f t="shared" si="9"/>
        <v>79</v>
      </c>
      <c r="X46" s="117">
        <f>U46*10%</f>
        <v>79</v>
      </c>
      <c r="Y46" s="117">
        <f t="shared" si="11"/>
        <v>118.5</v>
      </c>
      <c r="Z46" s="117">
        <f t="shared" si="12"/>
        <v>158</v>
      </c>
      <c r="AA46" s="117" t="s">
        <v>1111</v>
      </c>
      <c r="AB46" s="117"/>
      <c r="AC46" s="117"/>
      <c r="AD46" s="117"/>
      <c r="AE46" s="117"/>
      <c r="AF46" s="117"/>
      <c r="AG46" s="117"/>
    </row>
    <row r="47" spans="1:33">
      <c r="A47" s="117">
        <f t="shared" si="23"/>
        <v>47</v>
      </c>
      <c r="B47" s="69"/>
      <c r="C47" s="69"/>
      <c r="D47" s="69" t="s">
        <v>947</v>
      </c>
      <c r="E47" s="102" t="s">
        <v>938</v>
      </c>
      <c r="F47" s="102" t="e">
        <f>VLOOKUP(D47,'Margin Calculation'!F:I,4,0)</f>
        <v>#N/A</v>
      </c>
      <c r="G47" s="117" t="s">
        <v>639</v>
      </c>
      <c r="H47" s="117" t="s">
        <v>641</v>
      </c>
      <c r="I47" s="117" t="e">
        <f>VLOOKUP(D47,'Margin Calculation'!F:Y,20,0)</f>
        <v>#N/A</v>
      </c>
      <c r="J47" s="117" t="e">
        <f>VLOOKUP(D47,'Margin Calculation'!F:Z,21,0)</f>
        <v>#N/A</v>
      </c>
      <c r="K47" s="117">
        <f t="shared" si="0"/>
        <v>191.95199999999997</v>
      </c>
      <c r="L47" s="117">
        <f t="shared" si="21"/>
        <v>95.975999999999985</v>
      </c>
      <c r="M47" s="117">
        <f t="shared" si="2"/>
        <v>159.96</v>
      </c>
      <c r="N47" s="235">
        <f t="shared" si="3"/>
        <v>488.01355932203387</v>
      </c>
      <c r="O47" s="117" t="e">
        <f t="shared" si="4"/>
        <v>#N/A</v>
      </c>
      <c r="P47" s="288" t="e">
        <f t="shared" si="5"/>
        <v>#N/A</v>
      </c>
      <c r="Q47" s="289">
        <f t="shared" ref="Q47:Q88" si="28">U47-Z47</f>
        <v>3199.2</v>
      </c>
      <c r="R47" s="289"/>
      <c r="S47" s="289">
        <f t="shared" si="7"/>
        <v>3399.15</v>
      </c>
      <c r="T47" s="289">
        <f t="shared" si="8"/>
        <v>3879.03</v>
      </c>
      <c r="U47" s="289">
        <f>VLOOKUP(D47,'Amazon Live Products'!E:AF,28,0)</f>
        <v>3999</v>
      </c>
      <c r="V47" s="117">
        <f>VLOOKUP(E47,Sheet6!AF:AG,2,0)</f>
        <v>7499</v>
      </c>
      <c r="W47" s="289">
        <f t="shared" si="9"/>
        <v>119.9699999999998</v>
      </c>
      <c r="X47" s="117">
        <f t="shared" ref="X47:X55" si="29">U47*3%</f>
        <v>119.97</v>
      </c>
      <c r="Y47" s="117">
        <f t="shared" si="11"/>
        <v>599.85</v>
      </c>
      <c r="Z47" s="117">
        <f t="shared" si="12"/>
        <v>799.80000000000007</v>
      </c>
      <c r="AA47" s="117"/>
      <c r="AB47" s="117"/>
      <c r="AC47" s="117"/>
      <c r="AD47" s="117"/>
      <c r="AE47" s="117"/>
      <c r="AF47" s="117"/>
      <c r="AG47" s="117"/>
    </row>
    <row r="48" spans="1:33">
      <c r="A48" s="117">
        <f t="shared" si="23"/>
        <v>48</v>
      </c>
      <c r="B48" s="69"/>
      <c r="C48" s="69"/>
      <c r="D48" s="69" t="s">
        <v>642</v>
      </c>
      <c r="E48" s="102" t="s">
        <v>643</v>
      </c>
      <c r="F48" s="102" t="str">
        <f>VLOOKUP(D48,'Margin Calculation'!F:I,4,0)</f>
        <v>HPC</v>
      </c>
      <c r="G48" s="117" t="s">
        <v>644</v>
      </c>
      <c r="H48" s="117" t="s">
        <v>645</v>
      </c>
      <c r="I48" s="287">
        <f>VLOOKUP(D48,'Margin Calculation'!F:Y,20,0)</f>
        <v>509.48999999999995</v>
      </c>
      <c r="J48" s="287">
        <f>VLOOKUP(D48,'Margin Calculation'!F:Z,21,0)</f>
        <v>601.19819999999993</v>
      </c>
      <c r="K48" s="117">
        <f t="shared" si="0"/>
        <v>71.951999999999998</v>
      </c>
      <c r="L48" s="117">
        <f t="shared" si="21"/>
        <v>35.975999999999999</v>
      </c>
      <c r="M48" s="117">
        <f t="shared" si="2"/>
        <v>59.960000000000008</v>
      </c>
      <c r="N48" s="235">
        <f t="shared" si="3"/>
        <v>182.92881355932195</v>
      </c>
      <c r="O48" s="289">
        <f t="shared" si="4"/>
        <v>338.89318644067805</v>
      </c>
      <c r="P48" s="288">
        <f t="shared" si="5"/>
        <v>0.28259938829276021</v>
      </c>
      <c r="Q48" s="289">
        <f t="shared" si="28"/>
        <v>1199.2</v>
      </c>
      <c r="R48" s="289"/>
      <c r="S48" s="289">
        <f t="shared" si="7"/>
        <v>1274.1500000000001</v>
      </c>
      <c r="T48" s="289">
        <f t="shared" si="8"/>
        <v>1454.03</v>
      </c>
      <c r="U48" s="289">
        <f>VLOOKUP(D48,'Amazon Live Products'!E:AF,28,0)</f>
        <v>1499</v>
      </c>
      <c r="V48" s="117">
        <f>VLOOKUP(E48,Sheet6!AF:AG,2,0)</f>
        <v>2499</v>
      </c>
      <c r="W48" s="289">
        <f t="shared" si="9"/>
        <v>44.970000000000027</v>
      </c>
      <c r="X48" s="117">
        <f t="shared" si="29"/>
        <v>44.97</v>
      </c>
      <c r="Y48" s="117">
        <f t="shared" si="11"/>
        <v>224.85</v>
      </c>
      <c r="Z48" s="117">
        <f t="shared" si="12"/>
        <v>299.8</v>
      </c>
      <c r="AA48" s="117"/>
      <c r="AB48" s="117"/>
      <c r="AC48" s="117"/>
      <c r="AD48" s="117"/>
      <c r="AE48" s="117"/>
      <c r="AF48" s="117"/>
      <c r="AG48" s="117"/>
    </row>
    <row r="49" spans="1:33">
      <c r="A49" s="117">
        <f t="shared" si="23"/>
        <v>49</v>
      </c>
      <c r="B49" s="69"/>
      <c r="C49" s="69"/>
      <c r="D49" s="69" t="s">
        <v>646</v>
      </c>
      <c r="E49" s="102" t="s">
        <v>647</v>
      </c>
      <c r="F49" s="102" t="str">
        <f>VLOOKUP(D49,'Margin Calculation'!F:I,4,0)</f>
        <v>Car &amp; Motorbike</v>
      </c>
      <c r="G49" s="117" t="s">
        <v>648</v>
      </c>
      <c r="H49" s="117" t="s">
        <v>650</v>
      </c>
      <c r="I49" s="287">
        <f>VLOOKUP(D49,'Margin Calculation'!F:Y,20,0)</f>
        <v>695.61449999999991</v>
      </c>
      <c r="J49" s="287">
        <f>VLOOKUP(D49,'Margin Calculation'!F:Z,21,0)</f>
        <v>820.82510999999988</v>
      </c>
      <c r="K49" s="117">
        <f t="shared" si="0"/>
        <v>71.951999999999998</v>
      </c>
      <c r="L49" s="117">
        <f t="shared" si="21"/>
        <v>35.975999999999999</v>
      </c>
      <c r="M49" s="117">
        <f t="shared" si="2"/>
        <v>59.960000000000008</v>
      </c>
      <c r="N49" s="235">
        <f t="shared" si="3"/>
        <v>182.92881355932195</v>
      </c>
      <c r="O49" s="289">
        <f t="shared" si="4"/>
        <v>152.76868644067815</v>
      </c>
      <c r="P49" s="288">
        <f t="shared" si="5"/>
        <v>0.12739216681177298</v>
      </c>
      <c r="Q49" s="289">
        <f t="shared" si="28"/>
        <v>1199.2</v>
      </c>
      <c r="R49" s="289"/>
      <c r="S49" s="289">
        <f t="shared" si="7"/>
        <v>1274.1500000000001</v>
      </c>
      <c r="T49" s="289">
        <f t="shared" si="8"/>
        <v>1454.03</v>
      </c>
      <c r="U49" s="289">
        <f>VLOOKUP(D49,'Amazon Live Products'!E:AF,28,0)</f>
        <v>1499</v>
      </c>
      <c r="V49" s="117">
        <f>VLOOKUP(E49,Sheet6!AF:AG,2,0)</f>
        <v>2799</v>
      </c>
      <c r="W49" s="289">
        <f t="shared" si="9"/>
        <v>44.970000000000027</v>
      </c>
      <c r="X49" s="117">
        <f t="shared" si="29"/>
        <v>44.97</v>
      </c>
      <c r="Y49" s="117">
        <f t="shared" si="11"/>
        <v>224.85</v>
      </c>
      <c r="Z49" s="117">
        <f t="shared" si="12"/>
        <v>299.8</v>
      </c>
      <c r="AA49" s="117"/>
      <c r="AB49" s="117"/>
      <c r="AC49" s="117"/>
      <c r="AD49" s="117"/>
      <c r="AE49" s="117"/>
      <c r="AF49" s="117"/>
      <c r="AG49" s="117"/>
    </row>
    <row r="50" spans="1:33">
      <c r="A50" s="117">
        <f t="shared" si="23"/>
        <v>50</v>
      </c>
      <c r="B50" s="69"/>
      <c r="C50" s="69"/>
      <c r="D50" s="69" t="s">
        <v>651</v>
      </c>
      <c r="E50" s="102" t="s">
        <v>652</v>
      </c>
      <c r="F50" s="102" t="str">
        <f>VLOOKUP(D50,'Margin Calculation'!F:I,4,0)</f>
        <v>Car &amp; Motorbike</v>
      </c>
      <c r="G50" s="117" t="s">
        <v>653</v>
      </c>
      <c r="H50" s="117" t="s">
        <v>654</v>
      </c>
      <c r="I50" s="287">
        <f>VLOOKUP(D50,'Margin Calculation'!F:Y,20,0)</f>
        <v>695.61449999999991</v>
      </c>
      <c r="J50" s="287">
        <f>VLOOKUP(D50,'Margin Calculation'!F:Z,21,0)</f>
        <v>820.82510999999988</v>
      </c>
      <c r="K50" s="117">
        <f t="shared" si="0"/>
        <v>93.551999999999992</v>
      </c>
      <c r="L50" s="117">
        <f t="shared" si="21"/>
        <v>46.775999999999996</v>
      </c>
      <c r="M50" s="117">
        <f t="shared" si="2"/>
        <v>77.960000000000008</v>
      </c>
      <c r="N50" s="235">
        <f t="shared" si="3"/>
        <v>237.84406779661003</v>
      </c>
      <c r="O50" s="289">
        <f t="shared" si="4"/>
        <v>407.45343220339009</v>
      </c>
      <c r="P50" s="288">
        <f t="shared" si="5"/>
        <v>0.26132210890417529</v>
      </c>
      <c r="Q50" s="289">
        <f t="shared" si="28"/>
        <v>1559.2</v>
      </c>
      <c r="R50" s="289"/>
      <c r="S50" s="289">
        <f t="shared" si="7"/>
        <v>1656.65</v>
      </c>
      <c r="T50" s="289">
        <f t="shared" si="8"/>
        <v>1890.53</v>
      </c>
      <c r="U50" s="289">
        <f>VLOOKUP(D50,'Amazon Live Products'!E:AF,28,0)</f>
        <v>1949</v>
      </c>
      <c r="V50" s="117">
        <f>VLOOKUP(E50,Sheet6!AF:AG,2,0)</f>
        <v>3699</v>
      </c>
      <c r="W50" s="289">
        <f t="shared" si="9"/>
        <v>58.470000000000027</v>
      </c>
      <c r="X50" s="117">
        <f t="shared" si="29"/>
        <v>58.47</v>
      </c>
      <c r="Y50" s="117">
        <f t="shared" si="11"/>
        <v>292.34999999999997</v>
      </c>
      <c r="Z50" s="117">
        <f t="shared" si="12"/>
        <v>389.8</v>
      </c>
      <c r="AA50" s="117"/>
      <c r="AB50" s="117"/>
      <c r="AC50" s="117"/>
      <c r="AD50" s="117"/>
      <c r="AE50" s="117"/>
      <c r="AF50" s="117"/>
      <c r="AG50" s="117"/>
    </row>
    <row r="51" spans="1:33">
      <c r="A51" s="117">
        <f t="shared" si="23"/>
        <v>51</v>
      </c>
      <c r="B51" s="69"/>
      <c r="C51" s="69"/>
      <c r="D51" s="69" t="s">
        <v>655</v>
      </c>
      <c r="E51" s="102" t="s">
        <v>656</v>
      </c>
      <c r="F51" s="102" t="str">
        <f>VLOOKUP(D51,'Margin Calculation'!F:I,4,0)</f>
        <v>Car &amp; Motorbike</v>
      </c>
      <c r="G51" s="117" t="s">
        <v>657</v>
      </c>
      <c r="H51" s="117" t="s">
        <v>658</v>
      </c>
      <c r="I51" s="287">
        <f>VLOOKUP(D51,'Margin Calculation'!F:Y,20,0)</f>
        <v>936.09836999999993</v>
      </c>
      <c r="J51" s="287">
        <f>VLOOKUP(D51,'Margin Calculation'!F:Z,21,0)</f>
        <v>1104.5960765999998</v>
      </c>
      <c r="K51" s="117">
        <f t="shared" si="0"/>
        <v>110.352</v>
      </c>
      <c r="L51" s="117">
        <f t="shared" si="21"/>
        <v>55.176000000000002</v>
      </c>
      <c r="M51" s="117">
        <f t="shared" si="2"/>
        <v>91.960000000000008</v>
      </c>
      <c r="N51" s="235">
        <f t="shared" si="3"/>
        <v>280.55593220338983</v>
      </c>
      <c r="O51" s="289">
        <f t="shared" si="4"/>
        <v>365.05769779661023</v>
      </c>
      <c r="P51" s="288">
        <f t="shared" si="5"/>
        <v>0.19848722150750883</v>
      </c>
      <c r="Q51" s="289">
        <f t="shared" si="28"/>
        <v>1839.2</v>
      </c>
      <c r="R51" s="289"/>
      <c r="S51" s="289">
        <f t="shared" si="7"/>
        <v>1954.15</v>
      </c>
      <c r="T51" s="289">
        <f t="shared" si="8"/>
        <v>2230.0300000000002</v>
      </c>
      <c r="U51" s="289">
        <f>VLOOKUP(D51,'Amazon Live Products'!E:AF,28,0)</f>
        <v>2299</v>
      </c>
      <c r="V51" s="117">
        <f>VLOOKUP(E51,Sheet6!AF:AG,2,0)</f>
        <v>4699</v>
      </c>
      <c r="W51" s="289">
        <f t="shared" si="9"/>
        <v>68.9699999999998</v>
      </c>
      <c r="X51" s="117">
        <f t="shared" si="29"/>
        <v>68.97</v>
      </c>
      <c r="Y51" s="117">
        <f t="shared" si="11"/>
        <v>344.84999999999997</v>
      </c>
      <c r="Z51" s="117">
        <f t="shared" si="12"/>
        <v>459.8</v>
      </c>
      <c r="AA51" s="117"/>
      <c r="AB51" s="117"/>
      <c r="AC51" s="117"/>
      <c r="AD51" s="117"/>
      <c r="AE51" s="117"/>
      <c r="AF51" s="117"/>
      <c r="AG51" s="117"/>
    </row>
    <row r="52" spans="1:33">
      <c r="A52" s="117">
        <f t="shared" si="23"/>
        <v>52</v>
      </c>
      <c r="B52" s="69"/>
      <c r="C52" s="69"/>
      <c r="D52" s="69" t="s">
        <v>659</v>
      </c>
      <c r="E52" s="102" t="s">
        <v>660</v>
      </c>
      <c r="F52" s="102" t="str">
        <f>VLOOKUP(D52,'Margin Calculation'!F:I,4,0)</f>
        <v>Home &amp; Kitchen</v>
      </c>
      <c r="G52" s="117" t="s">
        <v>661</v>
      </c>
      <c r="H52" s="117" t="s">
        <v>662</v>
      </c>
      <c r="I52" s="287">
        <f>VLOOKUP(D52,'Margin Calculation'!F:Y,20,0)</f>
        <v>753.73308000000009</v>
      </c>
      <c r="J52" s="287">
        <f>VLOOKUP(D52,'Margin Calculation'!F:Z,21,0)</f>
        <v>889.40503440000009</v>
      </c>
      <c r="K52" s="117">
        <f t="shared" si="0"/>
        <v>95.951999999999998</v>
      </c>
      <c r="L52" s="117">
        <f t="shared" si="21"/>
        <v>47.975999999999999</v>
      </c>
      <c r="M52" s="117">
        <f t="shared" si="2"/>
        <v>79.960000000000008</v>
      </c>
      <c r="N52" s="235">
        <f t="shared" si="3"/>
        <v>243.94576271186429</v>
      </c>
      <c r="O52" s="289">
        <f t="shared" si="4"/>
        <v>377.63315728813564</v>
      </c>
      <c r="P52" s="288">
        <f t="shared" si="5"/>
        <v>0.23613879270143548</v>
      </c>
      <c r="Q52" s="289">
        <f t="shared" si="28"/>
        <v>1599.2</v>
      </c>
      <c r="R52" s="289"/>
      <c r="S52" s="289">
        <f t="shared" si="7"/>
        <v>1699.15</v>
      </c>
      <c r="T52" s="289">
        <f t="shared" si="8"/>
        <v>1939.03</v>
      </c>
      <c r="U52" s="289">
        <f>VLOOKUP(D52,'Amazon Live Products'!E:AF,28,0)</f>
        <v>1999</v>
      </c>
      <c r="V52" s="117">
        <f>VLOOKUP(E52,Sheet6!AF:AG,2,0)</f>
        <v>3999</v>
      </c>
      <c r="W52" s="289">
        <f t="shared" si="9"/>
        <v>59.970000000000027</v>
      </c>
      <c r="X52" s="117">
        <f t="shared" si="29"/>
        <v>59.97</v>
      </c>
      <c r="Y52" s="117">
        <f t="shared" si="11"/>
        <v>299.84999999999997</v>
      </c>
      <c r="Z52" s="117">
        <f t="shared" si="12"/>
        <v>399.8</v>
      </c>
      <c r="AA52" s="117"/>
      <c r="AB52" s="117"/>
      <c r="AC52" s="117"/>
      <c r="AD52" s="117"/>
      <c r="AE52" s="117"/>
      <c r="AF52" s="117"/>
      <c r="AG52" s="117"/>
    </row>
    <row r="53" spans="1:33">
      <c r="A53" s="117">
        <f t="shared" si="23"/>
        <v>53</v>
      </c>
      <c r="B53" s="69"/>
      <c r="C53" s="69"/>
      <c r="D53" s="69" t="s">
        <v>663</v>
      </c>
      <c r="E53" s="102" t="s">
        <v>664</v>
      </c>
      <c r="F53" s="102" t="str">
        <f>VLOOKUP(D53,'Margin Calculation'!F:I,4,0)</f>
        <v>HPC</v>
      </c>
      <c r="G53" s="117" t="s">
        <v>665</v>
      </c>
      <c r="H53" s="117" t="s">
        <v>667</v>
      </c>
      <c r="I53" s="287">
        <f>VLOOKUP(D53,'Margin Calculation'!F:Y,20,0)</f>
        <v>1119.9599999999998</v>
      </c>
      <c r="J53" s="287">
        <f>VLOOKUP(D53,'Margin Calculation'!F:Z,21,0)</f>
        <v>1321.5527999999997</v>
      </c>
      <c r="K53" s="117">
        <f t="shared" si="0"/>
        <v>105.55199999999999</v>
      </c>
      <c r="L53" s="117">
        <f t="shared" si="21"/>
        <v>52.775999999999996</v>
      </c>
      <c r="M53" s="117">
        <f t="shared" si="2"/>
        <v>87.960000000000008</v>
      </c>
      <c r="N53" s="235">
        <f t="shared" si="3"/>
        <v>268.35254237288132</v>
      </c>
      <c r="O53" s="289">
        <f t="shared" si="4"/>
        <v>124.59945762711891</v>
      </c>
      <c r="P53" s="288">
        <f t="shared" si="5"/>
        <v>7.0827340624783366E-2</v>
      </c>
      <c r="Q53" s="289">
        <f t="shared" si="28"/>
        <v>1759.2</v>
      </c>
      <c r="R53" s="289"/>
      <c r="S53" s="289">
        <f t="shared" si="7"/>
        <v>1869.15</v>
      </c>
      <c r="T53" s="289">
        <f t="shared" si="8"/>
        <v>2133.0300000000002</v>
      </c>
      <c r="U53" s="289">
        <f>VLOOKUP(D53,'Amazon Live Products'!E:AF,28,0)</f>
        <v>2199</v>
      </c>
      <c r="V53" s="117">
        <f>VLOOKUP(E53,Sheet6!AF:AG,2,0)</f>
        <v>3999</v>
      </c>
      <c r="W53" s="289">
        <f t="shared" si="9"/>
        <v>65.9699999999998</v>
      </c>
      <c r="X53" s="117">
        <f t="shared" si="29"/>
        <v>65.97</v>
      </c>
      <c r="Y53" s="117">
        <f t="shared" si="11"/>
        <v>329.84999999999997</v>
      </c>
      <c r="Z53" s="117">
        <f t="shared" si="12"/>
        <v>439.8</v>
      </c>
      <c r="AA53" s="117"/>
      <c r="AB53" s="117"/>
      <c r="AC53" s="117"/>
      <c r="AD53" s="117"/>
      <c r="AE53" s="117"/>
      <c r="AF53" s="117"/>
      <c r="AG53" s="117"/>
    </row>
    <row r="54" spans="1:33">
      <c r="A54" s="117">
        <f t="shared" si="23"/>
        <v>54</v>
      </c>
      <c r="B54" s="69"/>
      <c r="C54" s="69"/>
      <c r="D54" s="69" t="s">
        <v>668</v>
      </c>
      <c r="E54" s="102" t="s">
        <v>944</v>
      </c>
      <c r="F54" s="102" t="str">
        <f>VLOOKUP(D54,'Margin Calculation'!F:I,4,0)</f>
        <v>Kitchen Appliances</v>
      </c>
      <c r="G54" s="117" t="s">
        <v>670</v>
      </c>
      <c r="H54" s="117" t="s">
        <v>673</v>
      </c>
      <c r="I54" s="287">
        <f>VLOOKUP(D54,'Margin Calculation'!F:Y,20,0)</f>
        <v>582.37919999999997</v>
      </c>
      <c r="J54" s="287">
        <f>VLOOKUP(D54,'Margin Calculation'!F:Z,21,0)</f>
        <v>687.20745599999998</v>
      </c>
      <c r="K54" s="117">
        <f t="shared" si="0"/>
        <v>71.951999999999998</v>
      </c>
      <c r="L54" s="117">
        <f t="shared" si="21"/>
        <v>35.975999999999999</v>
      </c>
      <c r="M54" s="117">
        <f t="shared" si="2"/>
        <v>59.960000000000008</v>
      </c>
      <c r="N54" s="235">
        <f t="shared" si="3"/>
        <v>182.92881355932195</v>
      </c>
      <c r="O54" s="289">
        <f t="shared" si="4"/>
        <v>266.00398644067809</v>
      </c>
      <c r="P54" s="288">
        <f t="shared" si="5"/>
        <v>0.22181786727875091</v>
      </c>
      <c r="Q54" s="289">
        <f t="shared" si="28"/>
        <v>1199.2</v>
      </c>
      <c r="R54" s="289"/>
      <c r="S54" s="289">
        <f t="shared" si="7"/>
        <v>1274.1500000000001</v>
      </c>
      <c r="T54" s="289">
        <f t="shared" si="8"/>
        <v>1454.03</v>
      </c>
      <c r="U54" s="289">
        <f>VLOOKUP(D54,'Amazon Live Products'!E:AF,28,0)</f>
        <v>1499</v>
      </c>
      <c r="V54" s="117">
        <v>2699</v>
      </c>
      <c r="W54" s="289">
        <f t="shared" si="9"/>
        <v>44.970000000000027</v>
      </c>
      <c r="X54" s="117">
        <f t="shared" si="29"/>
        <v>44.97</v>
      </c>
      <c r="Y54" s="117">
        <f t="shared" si="11"/>
        <v>224.85</v>
      </c>
      <c r="Z54" s="117">
        <f t="shared" si="12"/>
        <v>299.8</v>
      </c>
      <c r="AA54" s="117"/>
      <c r="AB54" s="117"/>
      <c r="AC54" s="117"/>
      <c r="AD54" s="117"/>
      <c r="AE54" s="117"/>
      <c r="AF54" s="117"/>
      <c r="AG54" s="117"/>
    </row>
    <row r="55" spans="1:33">
      <c r="A55" s="117">
        <f t="shared" si="23"/>
        <v>55</v>
      </c>
      <c r="B55" s="69"/>
      <c r="C55" s="69"/>
      <c r="D55" s="69" t="s">
        <v>675</v>
      </c>
      <c r="E55" s="102" t="s">
        <v>676</v>
      </c>
      <c r="F55" s="102" t="str">
        <f>VLOOKUP(D55,'Margin Calculation'!F:I,4,0)</f>
        <v>HPC</v>
      </c>
      <c r="G55" s="292" t="s">
        <v>677</v>
      </c>
      <c r="H55" s="117" t="s">
        <v>678</v>
      </c>
      <c r="I55" s="287">
        <f>VLOOKUP(D55,'Margin Calculation'!F:Y,20,0)</f>
        <v>509.58179999999999</v>
      </c>
      <c r="J55" s="287">
        <f>VLOOKUP(D55,'Margin Calculation'!F:Z,21,0)</f>
        <v>601.30652399999997</v>
      </c>
      <c r="K55" s="117">
        <f t="shared" si="0"/>
        <v>54.383999999999993</v>
      </c>
      <c r="L55" s="117">
        <f t="shared" si="21"/>
        <v>27.191999999999997</v>
      </c>
      <c r="M55" s="117">
        <f t="shared" si="2"/>
        <v>45.32</v>
      </c>
      <c r="N55" s="235">
        <f t="shared" si="3"/>
        <v>138.26440677966093</v>
      </c>
      <c r="O55" s="289">
        <f t="shared" si="4"/>
        <v>131.65779322033904</v>
      </c>
      <c r="P55" s="288">
        <f t="shared" si="5"/>
        <v>0.14525352297036523</v>
      </c>
      <c r="Q55" s="289">
        <f t="shared" si="28"/>
        <v>906.4</v>
      </c>
      <c r="R55" s="291" t="s">
        <v>1113</v>
      </c>
      <c r="S55" s="289">
        <f t="shared" si="7"/>
        <v>963.05</v>
      </c>
      <c r="T55" s="289">
        <f t="shared" si="8"/>
        <v>1099.01</v>
      </c>
      <c r="U55" s="289">
        <f>VLOOKUP(D55,'Amazon Live Products'!E:AF,28,0)</f>
        <v>1133</v>
      </c>
      <c r="V55" s="117">
        <f>VLOOKUP(E55,Sheet6!AF:AG,2,0)</f>
        <v>1999</v>
      </c>
      <c r="W55" s="289">
        <f t="shared" si="9"/>
        <v>33.990000000000009</v>
      </c>
      <c r="X55" s="117">
        <f t="shared" si="29"/>
        <v>33.99</v>
      </c>
      <c r="Y55" s="117">
        <f t="shared" si="11"/>
        <v>169.95</v>
      </c>
      <c r="Z55" s="117">
        <f t="shared" si="12"/>
        <v>226.60000000000002</v>
      </c>
      <c r="AA55" s="117" t="s">
        <v>1111</v>
      </c>
      <c r="AB55" s="117"/>
      <c r="AC55" s="117"/>
      <c r="AD55" s="117"/>
      <c r="AE55" s="117"/>
      <c r="AF55" s="117"/>
      <c r="AG55" s="117"/>
    </row>
    <row r="56" spans="1:33">
      <c r="A56" s="117">
        <f t="shared" si="23"/>
        <v>56</v>
      </c>
      <c r="B56" s="69"/>
      <c r="C56" s="69"/>
      <c r="D56" s="69" t="s">
        <v>679</v>
      </c>
      <c r="E56" s="102" t="s">
        <v>680</v>
      </c>
      <c r="F56" s="102" t="str">
        <f>VLOOKUP(D56,'Margin Calculation'!F:I,4,0)</f>
        <v>HPC</v>
      </c>
      <c r="G56" s="117" t="s">
        <v>681</v>
      </c>
      <c r="H56" s="117" t="s">
        <v>682</v>
      </c>
      <c r="I56" s="287">
        <f>VLOOKUP(D56,'Margin Calculation'!F:Y,20,0)</f>
        <v>394.22592000000003</v>
      </c>
      <c r="J56" s="287">
        <f>VLOOKUP(D56,'Margin Calculation'!F:Z,21,0)</f>
        <v>465.1865856</v>
      </c>
      <c r="K56" s="117">
        <f t="shared" si="0"/>
        <v>47.951999999999998</v>
      </c>
      <c r="L56" s="117">
        <f t="shared" si="21"/>
        <v>23.975999999999999</v>
      </c>
      <c r="M56" s="117">
        <f t="shared" si="2"/>
        <v>39.960000000000008</v>
      </c>
      <c r="N56" s="235">
        <f t="shared" si="3"/>
        <v>121.91186440677961</v>
      </c>
      <c r="O56" s="289">
        <f t="shared" si="4"/>
        <v>171.17421559322042</v>
      </c>
      <c r="P56" s="288">
        <f t="shared" si="5"/>
        <v>0.21418195144296848</v>
      </c>
      <c r="Q56" s="289">
        <f t="shared" si="28"/>
        <v>799.2</v>
      </c>
      <c r="R56" s="289"/>
      <c r="S56" s="289">
        <f t="shared" si="7"/>
        <v>849.15</v>
      </c>
      <c r="T56" s="289">
        <f t="shared" si="8"/>
        <v>899.1</v>
      </c>
      <c r="U56" s="289">
        <f>VLOOKUP(D56,'Amazon Live Products'!E:AF,28,0)</f>
        <v>999</v>
      </c>
      <c r="V56" s="117">
        <f>VLOOKUP(E56,Sheet6!AF:AG,2,0)</f>
        <v>1599</v>
      </c>
      <c r="W56" s="289">
        <f t="shared" si="9"/>
        <v>99.899999999999977</v>
      </c>
      <c r="X56" s="117">
        <f>U56*10%</f>
        <v>99.9</v>
      </c>
      <c r="Y56" s="117">
        <f t="shared" si="11"/>
        <v>149.85</v>
      </c>
      <c r="Z56" s="117">
        <f t="shared" si="12"/>
        <v>199.8</v>
      </c>
      <c r="AA56" s="117"/>
      <c r="AB56" s="117"/>
      <c r="AC56" s="117"/>
      <c r="AD56" s="117"/>
      <c r="AE56" s="117"/>
      <c r="AF56" s="117"/>
      <c r="AG56" s="117"/>
    </row>
    <row r="57" spans="1:33">
      <c r="A57" s="117">
        <f t="shared" si="23"/>
        <v>57</v>
      </c>
      <c r="B57" s="69"/>
      <c r="C57" s="69"/>
      <c r="D57" s="69" t="s">
        <v>683</v>
      </c>
      <c r="E57" s="102" t="s">
        <v>684</v>
      </c>
      <c r="F57" s="102" t="str">
        <f>VLOOKUP(D57,'Margin Calculation'!F:I,4,0)</f>
        <v>Home &amp; Kitchen</v>
      </c>
      <c r="G57" s="292" t="s">
        <v>685</v>
      </c>
      <c r="H57" s="117" t="s">
        <v>687</v>
      </c>
      <c r="I57" s="287">
        <f>VLOOKUP(D57,'Margin Calculation'!F:Y,20,0)</f>
        <v>811.97099999999989</v>
      </c>
      <c r="J57" s="287">
        <f>VLOOKUP(D57,'Margin Calculation'!F:Z,21,0)</f>
        <v>958.12577999999985</v>
      </c>
      <c r="K57" s="117">
        <f t="shared" si="0"/>
        <v>81.552000000000007</v>
      </c>
      <c r="L57" s="117"/>
      <c r="M57" s="117">
        <f t="shared" si="2"/>
        <v>67.960000000000008</v>
      </c>
      <c r="N57" s="235">
        <f t="shared" si="3"/>
        <v>207.33559322033898</v>
      </c>
      <c r="O57" s="289">
        <f t="shared" si="4"/>
        <v>190.38140677966112</v>
      </c>
      <c r="P57" s="288">
        <f t="shared" si="5"/>
        <v>0.14006872188026862</v>
      </c>
      <c r="Q57" s="289">
        <f t="shared" si="28"/>
        <v>1359.2</v>
      </c>
      <c r="R57" s="291">
        <v>1199</v>
      </c>
      <c r="S57" s="289">
        <f t="shared" si="7"/>
        <v>1444.15</v>
      </c>
      <c r="T57" s="289">
        <f t="shared" si="8"/>
        <v>1648.03</v>
      </c>
      <c r="U57" s="289">
        <f>VLOOKUP(D57,'Amazon Live Products'!E:AF,28,0)</f>
        <v>1699</v>
      </c>
      <c r="V57" s="117">
        <f>VLOOKUP(E57,Sheet6!AF:AG,2,0)</f>
        <v>2799</v>
      </c>
      <c r="W57" s="289">
        <f t="shared" si="9"/>
        <v>50.970000000000027</v>
      </c>
      <c r="X57" s="117">
        <f t="shared" ref="X57:X74" si="30">U57*3%</f>
        <v>50.97</v>
      </c>
      <c r="Y57" s="117">
        <f t="shared" si="11"/>
        <v>254.85</v>
      </c>
      <c r="Z57" s="117">
        <f t="shared" si="12"/>
        <v>339.8</v>
      </c>
      <c r="AA57" s="117" t="s">
        <v>1111</v>
      </c>
      <c r="AB57" s="117"/>
      <c r="AC57" s="117"/>
      <c r="AD57" s="117"/>
      <c r="AE57" s="117"/>
      <c r="AF57" s="117"/>
      <c r="AG57" s="117"/>
    </row>
    <row r="58" spans="1:33">
      <c r="A58" s="117">
        <f t="shared" si="23"/>
        <v>58</v>
      </c>
      <c r="B58" s="69"/>
      <c r="C58" s="69"/>
      <c r="D58" s="69" t="s">
        <v>688</v>
      </c>
      <c r="E58" s="102" t="s">
        <v>689</v>
      </c>
      <c r="F58" s="102" t="str">
        <f>VLOOKUP(D58,'Margin Calculation'!F:I,4,0)</f>
        <v>Home &amp; Kitchen</v>
      </c>
      <c r="G58" s="117" t="s">
        <v>690</v>
      </c>
      <c r="H58" s="117" t="s">
        <v>691</v>
      </c>
      <c r="I58" s="287">
        <f>VLOOKUP(D58,'Margin Calculation'!F:Y,20,0)</f>
        <v>811.97099999999989</v>
      </c>
      <c r="J58" s="287">
        <f>VLOOKUP(D58,'Margin Calculation'!F:Z,21,0)</f>
        <v>958.12577999999985</v>
      </c>
      <c r="K58" s="117">
        <f t="shared" si="0"/>
        <v>71.951999999999998</v>
      </c>
      <c r="L58" s="117">
        <f t="shared" ref="L58:L88" si="31">Q58*3%</f>
        <v>35.975999999999999</v>
      </c>
      <c r="M58" s="117">
        <f t="shared" si="2"/>
        <v>59.960000000000008</v>
      </c>
      <c r="N58" s="235">
        <f t="shared" si="3"/>
        <v>182.92881355932195</v>
      </c>
      <c r="O58" s="289">
        <f t="shared" si="4"/>
        <v>36.412186440678198</v>
      </c>
      <c r="P58" s="288">
        <f t="shared" si="5"/>
        <v>3.0363731188023848E-2</v>
      </c>
      <c r="Q58" s="289">
        <f t="shared" si="28"/>
        <v>1199.2</v>
      </c>
      <c r="R58" s="289"/>
      <c r="S58" s="289">
        <f t="shared" si="7"/>
        <v>1274.1500000000001</v>
      </c>
      <c r="T58" s="289">
        <f t="shared" si="8"/>
        <v>1454.03</v>
      </c>
      <c r="U58" s="289">
        <f>VLOOKUP(D58,'Amazon Live Products'!E:AF,28,0)</f>
        <v>1499</v>
      </c>
      <c r="V58" s="117">
        <f>VLOOKUP(E58,Sheet6!AF:AG,2,0)</f>
        <v>2799</v>
      </c>
      <c r="W58" s="289">
        <f t="shared" si="9"/>
        <v>44.970000000000027</v>
      </c>
      <c r="X58" s="117">
        <f t="shared" si="30"/>
        <v>44.97</v>
      </c>
      <c r="Y58" s="117">
        <f t="shared" si="11"/>
        <v>224.85</v>
      </c>
      <c r="Z58" s="117">
        <f t="shared" si="12"/>
        <v>299.8</v>
      </c>
      <c r="AA58" s="117"/>
      <c r="AB58" s="117"/>
      <c r="AC58" s="117"/>
      <c r="AD58" s="117"/>
      <c r="AE58" s="117"/>
      <c r="AF58" s="117"/>
      <c r="AG58" s="117"/>
    </row>
    <row r="59" spans="1:33">
      <c r="A59" s="117">
        <f t="shared" si="23"/>
        <v>59</v>
      </c>
      <c r="B59" s="69"/>
      <c r="C59" s="69"/>
      <c r="D59" s="69" t="s">
        <v>695</v>
      </c>
      <c r="E59" s="69" t="s">
        <v>696</v>
      </c>
      <c r="F59" s="69" t="str">
        <f>VLOOKUP(D59,'Margin Calculation'!F:I,4,0)</f>
        <v>HPC</v>
      </c>
      <c r="G59" s="117" t="s">
        <v>697</v>
      </c>
      <c r="H59" s="117" t="s">
        <v>699</v>
      </c>
      <c r="I59" s="287">
        <f>VLOOKUP(D59,'Margin Calculation'!F:Y,20,0)</f>
        <v>931.80672000000004</v>
      </c>
      <c r="J59" s="287">
        <f>VLOOKUP(D59,'Margin Calculation'!F:Z,21,0)</f>
        <v>1099.5319296</v>
      </c>
      <c r="K59" s="117">
        <f t="shared" si="0"/>
        <v>95.951999999999998</v>
      </c>
      <c r="L59" s="117">
        <f t="shared" si="31"/>
        <v>47.975999999999999</v>
      </c>
      <c r="M59" s="117">
        <f t="shared" si="2"/>
        <v>79.960000000000008</v>
      </c>
      <c r="N59" s="235">
        <f t="shared" si="3"/>
        <v>243.94576271186429</v>
      </c>
      <c r="O59" s="289">
        <f t="shared" si="4"/>
        <v>199.55951728813568</v>
      </c>
      <c r="P59" s="288">
        <f t="shared" si="5"/>
        <v>0.12478709185101031</v>
      </c>
      <c r="Q59" s="289">
        <f t="shared" si="28"/>
        <v>1599.2</v>
      </c>
      <c r="R59" s="289"/>
      <c r="S59" s="289">
        <f t="shared" si="7"/>
        <v>1699.15</v>
      </c>
      <c r="T59" s="289">
        <f t="shared" si="8"/>
        <v>1939.03</v>
      </c>
      <c r="U59" s="289">
        <f>VLOOKUP(D59,'Amazon Live Products'!E:AF,28,0)</f>
        <v>1999</v>
      </c>
      <c r="V59" s="117">
        <f>VLOOKUP(E59,Sheet6!AF:AG,2,0)</f>
        <v>3699</v>
      </c>
      <c r="W59" s="289">
        <f t="shared" si="9"/>
        <v>59.970000000000027</v>
      </c>
      <c r="X59" s="117">
        <f t="shared" si="30"/>
        <v>59.97</v>
      </c>
      <c r="Y59" s="117">
        <f t="shared" si="11"/>
        <v>299.84999999999997</v>
      </c>
      <c r="Z59" s="117">
        <f t="shared" si="12"/>
        <v>399.8</v>
      </c>
      <c r="AA59" s="117"/>
      <c r="AB59" s="117"/>
      <c r="AC59" s="117"/>
      <c r="AD59" s="117"/>
      <c r="AE59" s="117"/>
      <c r="AF59" s="117"/>
      <c r="AG59" s="117"/>
    </row>
    <row r="60" spans="1:33">
      <c r="A60" s="117">
        <f t="shared" si="23"/>
        <v>60</v>
      </c>
      <c r="B60" s="69"/>
      <c r="C60" s="69"/>
      <c r="D60" s="69" t="s">
        <v>700</v>
      </c>
      <c r="E60" s="102" t="s">
        <v>701</v>
      </c>
      <c r="F60" s="102" t="str">
        <f>VLOOKUP(D60,'Margin Calculation'!F:I,4,0)</f>
        <v>HPC</v>
      </c>
      <c r="G60" s="117" t="s">
        <v>702</v>
      </c>
      <c r="H60" s="117" t="s">
        <v>703</v>
      </c>
      <c r="I60" s="287">
        <f>VLOOKUP(D60,'Margin Calculation'!F:Y,20,0)</f>
        <v>724.61412000000007</v>
      </c>
      <c r="J60" s="287">
        <f>VLOOKUP(D60,'Margin Calculation'!F:Z,21,0)</f>
        <v>855.04466160000004</v>
      </c>
      <c r="K60" s="117">
        <f t="shared" si="0"/>
        <v>95.903999999999996</v>
      </c>
      <c r="L60" s="117">
        <f t="shared" si="31"/>
        <v>47.951999999999998</v>
      </c>
      <c r="M60" s="117">
        <f t="shared" si="2"/>
        <v>79.920000000000016</v>
      </c>
      <c r="N60" s="235">
        <f t="shared" si="3"/>
        <v>243.82372881355923</v>
      </c>
      <c r="O60" s="289">
        <f t="shared" si="4"/>
        <v>406.18615118644084</v>
      </c>
      <c r="P60" s="288">
        <f t="shared" si="5"/>
        <v>0.254120464956482</v>
      </c>
      <c r="Q60" s="289">
        <f t="shared" si="28"/>
        <v>1598.4</v>
      </c>
      <c r="R60" s="289"/>
      <c r="S60" s="289">
        <f t="shared" si="7"/>
        <v>1698.3</v>
      </c>
      <c r="T60" s="289">
        <f t="shared" si="8"/>
        <v>1938.06</v>
      </c>
      <c r="U60" s="289">
        <f>VLOOKUP(D60,'Amazon Live Products'!E:AF,28,0)</f>
        <v>1998</v>
      </c>
      <c r="V60" s="117">
        <f>VLOOKUP(E60,Sheet6!AF:AG,2,0)</f>
        <v>3399</v>
      </c>
      <c r="W60" s="289">
        <f t="shared" si="9"/>
        <v>59.940000000000055</v>
      </c>
      <c r="X60" s="117">
        <f t="shared" si="30"/>
        <v>59.94</v>
      </c>
      <c r="Y60" s="117">
        <f t="shared" si="11"/>
        <v>299.7</v>
      </c>
      <c r="Z60" s="117">
        <f t="shared" si="12"/>
        <v>399.6</v>
      </c>
      <c r="AA60" s="117"/>
      <c r="AB60" s="117"/>
      <c r="AC60" s="117"/>
      <c r="AD60" s="117"/>
      <c r="AE60" s="117"/>
      <c r="AF60" s="117"/>
      <c r="AG60" s="117"/>
    </row>
    <row r="61" spans="1:33">
      <c r="A61" s="117">
        <f t="shared" si="23"/>
        <v>61</v>
      </c>
      <c r="B61" s="69"/>
      <c r="C61" s="69"/>
      <c r="D61" s="69" t="s">
        <v>704</v>
      </c>
      <c r="E61" s="102" t="s">
        <v>705</v>
      </c>
      <c r="F61" s="102" t="str">
        <f>VLOOKUP(D61,'Margin Calculation'!F:I,4,0)</f>
        <v>Home &amp; Kitchen</v>
      </c>
      <c r="G61" s="117" t="s">
        <v>706</v>
      </c>
      <c r="H61" s="117" t="s">
        <v>708</v>
      </c>
      <c r="I61" s="287">
        <f>VLOOKUP(D61,'Margin Calculation'!F:Y,20,0)</f>
        <v>2239.9199999999996</v>
      </c>
      <c r="J61" s="287">
        <f>VLOOKUP(D61,'Margin Calculation'!F:Z,21,0)</f>
        <v>2643.1055999999994</v>
      </c>
      <c r="K61" s="117">
        <f t="shared" si="0"/>
        <v>278.35199999999998</v>
      </c>
      <c r="L61" s="117">
        <f t="shared" si="31"/>
        <v>139.17599999999999</v>
      </c>
      <c r="M61" s="117">
        <f t="shared" si="2"/>
        <v>231.96</v>
      </c>
      <c r="N61" s="235">
        <f t="shared" si="3"/>
        <v>707.6745762711862</v>
      </c>
      <c r="O61" s="289">
        <f t="shared" si="4"/>
        <v>1042.1174237288142</v>
      </c>
      <c r="P61" s="288">
        <f t="shared" si="5"/>
        <v>0.22463300218331053</v>
      </c>
      <c r="Q61" s="289">
        <f t="shared" si="28"/>
        <v>4639.2</v>
      </c>
      <c r="R61" s="289"/>
      <c r="S61" s="289">
        <f t="shared" si="7"/>
        <v>4929.1499999999996</v>
      </c>
      <c r="T61" s="289">
        <f t="shared" si="8"/>
        <v>5625.03</v>
      </c>
      <c r="U61" s="289">
        <f>VLOOKUP(D61,'Amazon Live Products'!E:AF,28,0)</f>
        <v>5799</v>
      </c>
      <c r="V61" s="117">
        <f>VLOOKUP(E61,Sheet6!AF:AG,2,0)</f>
        <v>8299</v>
      </c>
      <c r="W61" s="289">
        <f t="shared" si="9"/>
        <v>173.97000000000025</v>
      </c>
      <c r="X61" s="117">
        <f t="shared" si="30"/>
        <v>173.97</v>
      </c>
      <c r="Y61" s="117">
        <f t="shared" si="11"/>
        <v>869.85</v>
      </c>
      <c r="Z61" s="117">
        <f t="shared" si="12"/>
        <v>1159.8</v>
      </c>
      <c r="AA61" s="117"/>
      <c r="AB61" s="117"/>
      <c r="AC61" s="117"/>
      <c r="AD61" s="117"/>
      <c r="AE61" s="117"/>
      <c r="AF61" s="117"/>
      <c r="AG61" s="117"/>
    </row>
    <row r="62" spans="1:33">
      <c r="A62" s="117">
        <f t="shared" si="23"/>
        <v>62</v>
      </c>
      <c r="B62" s="69"/>
      <c r="C62" s="69"/>
      <c r="D62" s="69" t="s">
        <v>712</v>
      </c>
      <c r="E62" s="102" t="s">
        <v>713</v>
      </c>
      <c r="F62" s="102" t="str">
        <f>VLOOKUP(D62,'Margin Calculation'!F:I,4,0)</f>
        <v>Home &amp; Kitchen</v>
      </c>
      <c r="G62" s="117" t="s">
        <v>714</v>
      </c>
      <c r="H62" s="117" t="s">
        <v>716</v>
      </c>
      <c r="I62" s="287">
        <f>VLOOKUP(D62,'Margin Calculation'!F:Y,20,0)</f>
        <v>988.92468000000008</v>
      </c>
      <c r="J62" s="287">
        <f>VLOOKUP(D62,'Margin Calculation'!F:Z,21,0)</f>
        <v>1166.9311224</v>
      </c>
      <c r="K62" s="117">
        <f t="shared" si="0"/>
        <v>110.352</v>
      </c>
      <c r="L62" s="117">
        <f t="shared" si="31"/>
        <v>55.176000000000002</v>
      </c>
      <c r="M62" s="117">
        <f t="shared" si="2"/>
        <v>91.960000000000008</v>
      </c>
      <c r="N62" s="235">
        <f t="shared" si="3"/>
        <v>280.55593220338983</v>
      </c>
      <c r="O62" s="289">
        <f t="shared" si="4"/>
        <v>312.23138779661008</v>
      </c>
      <c r="P62" s="288">
        <f t="shared" si="5"/>
        <v>0.1697647824035505</v>
      </c>
      <c r="Q62" s="289">
        <f t="shared" si="28"/>
        <v>1839.2</v>
      </c>
      <c r="R62" s="289"/>
      <c r="S62" s="289">
        <f t="shared" si="7"/>
        <v>1954.15</v>
      </c>
      <c r="T62" s="289">
        <f t="shared" si="8"/>
        <v>2230.0300000000002</v>
      </c>
      <c r="U62" s="289">
        <f>VLOOKUP(D62,'Amazon Live Products'!E:AF,28,0)</f>
        <v>2299</v>
      </c>
      <c r="V62" s="117" t="e">
        <f>VLOOKUP(E62,Sheet6!AF:AG,2,0)</f>
        <v>#N/A</v>
      </c>
      <c r="W62" s="289">
        <f t="shared" si="9"/>
        <v>68.9699999999998</v>
      </c>
      <c r="X62" s="117">
        <f t="shared" si="30"/>
        <v>68.97</v>
      </c>
      <c r="Y62" s="117">
        <f t="shared" si="11"/>
        <v>344.84999999999997</v>
      </c>
      <c r="Z62" s="117">
        <f t="shared" si="12"/>
        <v>459.8</v>
      </c>
      <c r="AA62" s="117"/>
      <c r="AB62" s="117"/>
      <c r="AC62" s="117"/>
      <c r="AD62" s="117"/>
      <c r="AE62" s="117"/>
      <c r="AF62" s="117"/>
      <c r="AG62" s="117"/>
    </row>
    <row r="63" spans="1:33">
      <c r="A63" s="117">
        <f t="shared" si="23"/>
        <v>63</v>
      </c>
      <c r="B63" s="69"/>
      <c r="C63" s="69"/>
      <c r="D63" s="69" t="s">
        <v>717</v>
      </c>
      <c r="E63" s="102" t="s">
        <v>718</v>
      </c>
      <c r="F63" s="102" t="str">
        <f>VLOOKUP(D63,'Margin Calculation'!F:I,4,0)</f>
        <v>Home &amp; Kitchen</v>
      </c>
      <c r="G63" s="117" t="s">
        <v>719</v>
      </c>
      <c r="H63" s="117" t="s">
        <v>716</v>
      </c>
      <c r="I63" s="287">
        <f>VLOOKUP(D63,'Margin Calculation'!F:Y,20,0)</f>
        <v>1047.1625999999999</v>
      </c>
      <c r="J63" s="287">
        <f>VLOOKUP(D63,'Margin Calculation'!F:Z,21,0)</f>
        <v>1235.6518679999997</v>
      </c>
      <c r="K63" s="117">
        <f t="shared" si="0"/>
        <v>119.952</v>
      </c>
      <c r="L63" s="117">
        <f t="shared" si="31"/>
        <v>59.975999999999999</v>
      </c>
      <c r="M63" s="117">
        <f t="shared" si="2"/>
        <v>99.960000000000008</v>
      </c>
      <c r="N63" s="235">
        <f t="shared" si="3"/>
        <v>304.96271186440663</v>
      </c>
      <c r="O63" s="289">
        <f t="shared" si="4"/>
        <v>367.1866881355935</v>
      </c>
      <c r="P63" s="288">
        <f t="shared" si="5"/>
        <v>0.18366681079211358</v>
      </c>
      <c r="Q63" s="289">
        <f t="shared" si="28"/>
        <v>1999.2</v>
      </c>
      <c r="R63" s="289"/>
      <c r="S63" s="289">
        <f t="shared" si="7"/>
        <v>2124.15</v>
      </c>
      <c r="T63" s="289">
        <f t="shared" si="8"/>
        <v>2424.0300000000002</v>
      </c>
      <c r="U63" s="289">
        <f>VLOOKUP(D63,'Amazon Live Products'!E:AF,28,0)</f>
        <v>2499</v>
      </c>
      <c r="V63" s="117">
        <f>VLOOKUP(E63,Sheet6!AF:AG,2,0)</f>
        <v>4499</v>
      </c>
      <c r="W63" s="289">
        <f t="shared" si="9"/>
        <v>74.9699999999998</v>
      </c>
      <c r="X63" s="117">
        <f t="shared" si="30"/>
        <v>74.97</v>
      </c>
      <c r="Y63" s="117">
        <f t="shared" si="11"/>
        <v>374.84999999999997</v>
      </c>
      <c r="Z63" s="117">
        <f t="shared" si="12"/>
        <v>499.8</v>
      </c>
      <c r="AA63" s="117"/>
      <c r="AB63" s="117"/>
      <c r="AC63" s="117"/>
      <c r="AD63" s="117"/>
      <c r="AE63" s="117"/>
      <c r="AF63" s="117"/>
      <c r="AG63" s="117"/>
    </row>
    <row r="64" spans="1:33">
      <c r="A64" s="117">
        <f t="shared" si="23"/>
        <v>64</v>
      </c>
      <c r="B64" s="69"/>
      <c r="C64" s="69"/>
      <c r="D64" s="69" t="s">
        <v>724</v>
      </c>
      <c r="E64" s="69" t="s">
        <v>725</v>
      </c>
      <c r="F64" s="69" t="str">
        <f>VLOOKUP(D64,'Margin Calculation'!F:I,4,0)</f>
        <v>HPC</v>
      </c>
      <c r="G64" s="117" t="s">
        <v>726</v>
      </c>
      <c r="H64" s="117" t="s">
        <v>727</v>
      </c>
      <c r="I64" s="287">
        <f>VLOOKUP(D64,'Margin Calculation'!F:Y,20,0)</f>
        <v>458.541</v>
      </c>
      <c r="J64" s="287">
        <f>VLOOKUP(D64,'Margin Calculation'!F:Z,21,0)</f>
        <v>541.07837999999992</v>
      </c>
      <c r="K64" s="117">
        <f t="shared" si="0"/>
        <v>74.352000000000004</v>
      </c>
      <c r="L64" s="117">
        <f t="shared" si="31"/>
        <v>37.176000000000002</v>
      </c>
      <c r="M64" s="117">
        <f t="shared" si="2"/>
        <v>61.960000000000008</v>
      </c>
      <c r="N64" s="235">
        <f t="shared" si="3"/>
        <v>189.03050847457621</v>
      </c>
      <c r="O64" s="289">
        <f t="shared" si="4"/>
        <v>418.14049152542384</v>
      </c>
      <c r="P64" s="288">
        <f t="shared" si="5"/>
        <v>0.33742776914575839</v>
      </c>
      <c r="Q64" s="289">
        <f t="shared" si="28"/>
        <v>1239.2</v>
      </c>
      <c r="R64" s="289"/>
      <c r="S64" s="289">
        <f t="shared" si="7"/>
        <v>1316.65</v>
      </c>
      <c r="T64" s="289">
        <f t="shared" si="8"/>
        <v>1502.53</v>
      </c>
      <c r="U64" s="289">
        <f>VLOOKUP(D64,'Amazon Live Products'!E:AF,28,0)</f>
        <v>1549</v>
      </c>
      <c r="V64" s="117">
        <f>VLOOKUP(E64,Sheet6!AF:AG,2,0)</f>
        <v>1699</v>
      </c>
      <c r="W64" s="289">
        <f t="shared" si="9"/>
        <v>46.470000000000027</v>
      </c>
      <c r="X64" s="117">
        <f t="shared" si="30"/>
        <v>46.47</v>
      </c>
      <c r="Y64" s="117">
        <f t="shared" si="11"/>
        <v>232.35</v>
      </c>
      <c r="Z64" s="117">
        <f t="shared" si="12"/>
        <v>309.8</v>
      </c>
      <c r="AA64" s="117"/>
      <c r="AB64" s="117"/>
      <c r="AC64" s="117"/>
      <c r="AD64" s="117"/>
      <c r="AE64" s="117"/>
      <c r="AF64" s="117"/>
      <c r="AG64" s="117"/>
    </row>
    <row r="65" spans="1:33">
      <c r="A65" s="117">
        <f t="shared" si="23"/>
        <v>65</v>
      </c>
      <c r="B65" s="69"/>
      <c r="C65" s="69"/>
      <c r="D65" s="69" t="s">
        <v>728</v>
      </c>
      <c r="E65" s="102" t="s">
        <v>729</v>
      </c>
      <c r="F65" s="102" t="str">
        <f>VLOOKUP(D65,'Margin Calculation'!F:I,4,0)</f>
        <v>HPC</v>
      </c>
      <c r="G65" s="117" t="s">
        <v>730</v>
      </c>
      <c r="H65" s="117" t="s">
        <v>731</v>
      </c>
      <c r="I65" s="287">
        <f>VLOOKUP(D65,'Margin Calculation'!F:Y,20,0)</f>
        <v>1120.8779999999999</v>
      </c>
      <c r="J65" s="287">
        <f>VLOOKUP(D65,'Margin Calculation'!F:Z,21,0)</f>
        <v>1322.6360399999999</v>
      </c>
      <c r="K65" s="117">
        <f t="shared" si="0"/>
        <v>158.35199999999998</v>
      </c>
      <c r="L65" s="117">
        <f t="shared" si="31"/>
        <v>79.175999999999988</v>
      </c>
      <c r="M65" s="117">
        <f t="shared" si="2"/>
        <v>131.96</v>
      </c>
      <c r="N65" s="235">
        <f t="shared" si="3"/>
        <v>402.58983050847428</v>
      </c>
      <c r="O65" s="289">
        <f t="shared" si="4"/>
        <v>746.24416949152555</v>
      </c>
      <c r="P65" s="288">
        <f t="shared" si="5"/>
        <v>0.28275392902831376</v>
      </c>
      <c r="Q65" s="289">
        <f t="shared" si="28"/>
        <v>2639.2</v>
      </c>
      <c r="R65" s="289"/>
      <c r="S65" s="289">
        <f t="shared" si="7"/>
        <v>2804.15</v>
      </c>
      <c r="T65" s="289">
        <f t="shared" si="8"/>
        <v>3200.03</v>
      </c>
      <c r="U65" s="289">
        <f>VLOOKUP(D65,'Amazon Live Products'!E:AF,28,0)</f>
        <v>3299</v>
      </c>
      <c r="V65" s="117">
        <f>VLOOKUP(E65,Sheet6!AF:AG,2,0)</f>
        <v>5399</v>
      </c>
      <c r="W65" s="289">
        <f t="shared" si="9"/>
        <v>98.9699999999998</v>
      </c>
      <c r="X65" s="117">
        <f t="shared" si="30"/>
        <v>98.97</v>
      </c>
      <c r="Y65" s="117">
        <f t="shared" si="11"/>
        <v>494.84999999999997</v>
      </c>
      <c r="Z65" s="117">
        <f t="shared" si="12"/>
        <v>659.80000000000007</v>
      </c>
      <c r="AA65" s="117"/>
      <c r="AB65" s="117"/>
      <c r="AC65" s="117"/>
      <c r="AD65" s="117"/>
      <c r="AE65" s="117"/>
      <c r="AF65" s="117"/>
      <c r="AG65" s="117"/>
    </row>
    <row r="66" spans="1:33">
      <c r="A66" s="117">
        <f t="shared" si="23"/>
        <v>66</v>
      </c>
      <c r="B66" s="69"/>
      <c r="C66" s="69"/>
      <c r="D66" s="69" t="s">
        <v>736</v>
      </c>
      <c r="E66" s="102" t="s">
        <v>737</v>
      </c>
      <c r="F66" s="102" t="str">
        <f>VLOOKUP(D66,'Margin Calculation'!F:I,4,0)</f>
        <v>HPC</v>
      </c>
      <c r="G66" s="117" t="s">
        <v>738</v>
      </c>
      <c r="H66" s="117" t="s">
        <v>739</v>
      </c>
      <c r="I66" s="287">
        <f>VLOOKUP(D66,'Margin Calculation'!F:Y,20,0)</f>
        <v>1034.2646999999999</v>
      </c>
      <c r="J66" s="287">
        <f>VLOOKUP(D66,'Margin Calculation'!F:Z,21,0)</f>
        <v>1220.4323459999998</v>
      </c>
      <c r="K66" s="117">
        <f t="shared" si="0"/>
        <v>124.75199999999998</v>
      </c>
      <c r="L66" s="117">
        <f t="shared" si="31"/>
        <v>62.375999999999991</v>
      </c>
      <c r="M66" s="117">
        <f t="shared" si="2"/>
        <v>103.96</v>
      </c>
      <c r="N66" s="235">
        <f t="shared" si="3"/>
        <v>317.16610169491514</v>
      </c>
      <c r="O66" s="289">
        <f t="shared" si="4"/>
        <v>436.68119830508476</v>
      </c>
      <c r="P66" s="288">
        <f t="shared" si="5"/>
        <v>0.21002366213211082</v>
      </c>
      <c r="Q66" s="289">
        <f t="shared" si="28"/>
        <v>2079.1999999999998</v>
      </c>
      <c r="R66" s="289"/>
      <c r="S66" s="289">
        <f t="shared" si="7"/>
        <v>2209.15</v>
      </c>
      <c r="T66" s="289">
        <f t="shared" si="8"/>
        <v>2521.0300000000002</v>
      </c>
      <c r="U66" s="289">
        <f>VLOOKUP(D66,'Amazon Live Products'!E:AF,28,0)</f>
        <v>2599</v>
      </c>
      <c r="V66" s="117">
        <f>VLOOKUP(E66,Sheet6!AF:AG,2,0)</f>
        <v>3999</v>
      </c>
      <c r="W66" s="289">
        <f t="shared" si="9"/>
        <v>77.9699999999998</v>
      </c>
      <c r="X66" s="117">
        <f t="shared" si="30"/>
        <v>77.97</v>
      </c>
      <c r="Y66" s="117">
        <f t="shared" si="11"/>
        <v>389.84999999999997</v>
      </c>
      <c r="Z66" s="117">
        <f t="shared" si="12"/>
        <v>519.80000000000007</v>
      </c>
      <c r="AA66" s="117"/>
      <c r="AB66" s="117"/>
      <c r="AC66" s="117"/>
      <c r="AD66" s="117"/>
      <c r="AE66" s="117"/>
      <c r="AF66" s="117"/>
      <c r="AG66" s="117"/>
    </row>
    <row r="67" spans="1:33">
      <c r="A67" s="117">
        <f t="shared" si="23"/>
        <v>67</v>
      </c>
      <c r="B67" s="69"/>
      <c r="C67" s="69"/>
      <c r="D67" s="69" t="s">
        <v>740</v>
      </c>
      <c r="E67" s="102" t="s">
        <v>946</v>
      </c>
      <c r="F67" s="102" t="str">
        <f>VLOOKUP(D67,'Margin Calculation'!F:I,4,0)</f>
        <v>Cleaning &amp; Vacumming</v>
      </c>
      <c r="G67" s="117" t="s">
        <v>742</v>
      </c>
      <c r="H67" s="117" t="s">
        <v>743</v>
      </c>
      <c r="I67" s="287">
        <f>VLOOKUP(D67,'Margin Calculation'!F:Y,20,0)</f>
        <v>917.08199999999999</v>
      </c>
      <c r="J67" s="287">
        <f>VLOOKUP(D67,'Margin Calculation'!F:Z,21,0)</f>
        <v>1082.1567599999998</v>
      </c>
      <c r="K67" s="117">
        <f t="shared" si="0"/>
        <v>100.752</v>
      </c>
      <c r="L67" s="117">
        <f t="shared" si="31"/>
        <v>50.375999999999998</v>
      </c>
      <c r="M67" s="117">
        <f t="shared" si="2"/>
        <v>83.960000000000008</v>
      </c>
      <c r="N67" s="235">
        <f t="shared" si="3"/>
        <v>256.1491525423728</v>
      </c>
      <c r="O67" s="289">
        <f t="shared" si="4"/>
        <v>270.88084745762728</v>
      </c>
      <c r="P67" s="288">
        <f t="shared" si="5"/>
        <v>0.16131541654217918</v>
      </c>
      <c r="Q67" s="289">
        <f t="shared" si="28"/>
        <v>1679.2</v>
      </c>
      <c r="R67" s="289"/>
      <c r="S67" s="289">
        <f t="shared" si="7"/>
        <v>1784.15</v>
      </c>
      <c r="T67" s="289">
        <f t="shared" si="8"/>
        <v>2036.03</v>
      </c>
      <c r="U67" s="289">
        <f>VLOOKUP(D67,'Amazon Live Products'!E:AF,28,0)</f>
        <v>2099</v>
      </c>
      <c r="V67" s="117" t="e">
        <f>VLOOKUP(E67,Sheet6!AF:AG,2,0)</f>
        <v>#N/A</v>
      </c>
      <c r="W67" s="289">
        <f t="shared" si="9"/>
        <v>62.970000000000027</v>
      </c>
      <c r="X67" s="117">
        <f t="shared" si="30"/>
        <v>62.97</v>
      </c>
      <c r="Y67" s="117">
        <f t="shared" si="11"/>
        <v>314.84999999999997</v>
      </c>
      <c r="Z67" s="117">
        <f t="shared" si="12"/>
        <v>419.8</v>
      </c>
      <c r="AA67" s="117"/>
      <c r="AB67" s="117"/>
      <c r="AC67" s="117"/>
      <c r="AD67" s="117"/>
      <c r="AE67" s="117"/>
      <c r="AF67" s="117"/>
      <c r="AG67" s="117"/>
    </row>
    <row r="68" spans="1:33">
      <c r="A68" s="117">
        <f t="shared" si="23"/>
        <v>68</v>
      </c>
      <c r="B68" s="69"/>
      <c r="C68" s="69"/>
      <c r="D68" s="69" t="s">
        <v>744</v>
      </c>
      <c r="E68" s="102" t="s">
        <v>745</v>
      </c>
      <c r="F68" s="102" t="str">
        <f>VLOOKUP(D68,'Margin Calculation'!F:I,4,0)</f>
        <v>HPC</v>
      </c>
      <c r="G68" s="117" t="s">
        <v>746</v>
      </c>
      <c r="H68" s="117" t="s">
        <v>748</v>
      </c>
      <c r="I68" s="287">
        <f>VLOOKUP(D68,'Margin Calculation'!F:Y,20,0)</f>
        <v>855.94319999999993</v>
      </c>
      <c r="J68" s="287">
        <f>VLOOKUP(D68,'Margin Calculation'!F:Z,21,0)</f>
        <v>1010.0129759999999</v>
      </c>
      <c r="K68" s="117">
        <f t="shared" si="0"/>
        <v>129.07199999999997</v>
      </c>
      <c r="L68" s="117">
        <f t="shared" si="31"/>
        <v>64.535999999999987</v>
      </c>
      <c r="M68" s="117">
        <f t="shared" si="2"/>
        <v>107.56</v>
      </c>
      <c r="N68" s="235">
        <f t="shared" si="3"/>
        <v>328.1491525423728</v>
      </c>
      <c r="O68" s="289">
        <f t="shared" si="4"/>
        <v>665.93964745762719</v>
      </c>
      <c r="P68" s="288">
        <f t="shared" si="5"/>
        <v>0.30956658955821276</v>
      </c>
      <c r="Q68" s="289">
        <f t="shared" si="28"/>
        <v>2151.1999999999998</v>
      </c>
      <c r="R68" s="289"/>
      <c r="S68" s="289">
        <f t="shared" si="7"/>
        <v>2285.65</v>
      </c>
      <c r="T68" s="289">
        <f t="shared" si="8"/>
        <v>2608.33</v>
      </c>
      <c r="U68" s="289">
        <f>VLOOKUP(D68,'Amazon Live Products'!E:AF,28,0)</f>
        <v>2689</v>
      </c>
      <c r="V68" s="117">
        <v>3999</v>
      </c>
      <c r="W68" s="289">
        <f t="shared" si="9"/>
        <v>80.670000000000073</v>
      </c>
      <c r="X68" s="117">
        <f t="shared" si="30"/>
        <v>80.67</v>
      </c>
      <c r="Y68" s="117">
        <f t="shared" si="11"/>
        <v>403.34999999999997</v>
      </c>
      <c r="Z68" s="117">
        <f t="shared" si="12"/>
        <v>537.80000000000007</v>
      </c>
      <c r="AA68" s="117"/>
      <c r="AB68" s="117"/>
      <c r="AC68" s="117"/>
      <c r="AD68" s="117"/>
      <c r="AE68" s="117"/>
      <c r="AF68" s="117"/>
      <c r="AG68" s="117"/>
    </row>
    <row r="69" spans="1:33">
      <c r="A69" s="117">
        <f t="shared" si="23"/>
        <v>69</v>
      </c>
      <c r="B69" s="69"/>
      <c r="C69" s="69"/>
      <c r="D69" s="69" t="s">
        <v>749</v>
      </c>
      <c r="E69" s="102" t="s">
        <v>952</v>
      </c>
      <c r="F69" s="102" t="str">
        <f>VLOOKUP(D69,'Margin Calculation'!F:I,4,0)</f>
        <v>HPC</v>
      </c>
      <c r="G69" s="117" t="s">
        <v>751</v>
      </c>
      <c r="H69" s="117" t="s">
        <v>752</v>
      </c>
      <c r="I69" s="287">
        <f>VLOOKUP(D69,'Margin Calculation'!F:Y,20,0)</f>
        <v>881.41770000000008</v>
      </c>
      <c r="J69" s="287">
        <f>VLOOKUP(D69,'Margin Calculation'!F:Z,21,0)</f>
        <v>1040.0728860000002</v>
      </c>
      <c r="K69" s="117">
        <f t="shared" si="0"/>
        <v>69.552000000000007</v>
      </c>
      <c r="L69" s="117">
        <f t="shared" si="31"/>
        <v>34.776000000000003</v>
      </c>
      <c r="M69" s="117">
        <f t="shared" si="2"/>
        <v>57.960000000000008</v>
      </c>
      <c r="N69" s="235">
        <f t="shared" si="3"/>
        <v>176.8271186440677</v>
      </c>
      <c r="O69" s="289">
        <f t="shared" si="4"/>
        <v>-61.332818644067771</v>
      </c>
      <c r="P69" s="288">
        <f t="shared" si="5"/>
        <v>-5.2909608906200625E-2</v>
      </c>
      <c r="Q69" s="289">
        <f t="shared" si="28"/>
        <v>1159.2</v>
      </c>
      <c r="R69" s="289"/>
      <c r="S69" s="289">
        <f t="shared" si="7"/>
        <v>1231.6500000000001</v>
      </c>
      <c r="T69" s="289">
        <f t="shared" si="8"/>
        <v>1405.53</v>
      </c>
      <c r="U69" s="289">
        <f>VLOOKUP(D69,'Amazon Live Products'!E:AF,28,0)</f>
        <v>1449</v>
      </c>
      <c r="V69" s="117" t="e">
        <f>VLOOKUP(E69,Sheet6!AF:AG,2,0)</f>
        <v>#N/A</v>
      </c>
      <c r="W69" s="289">
        <f t="shared" si="9"/>
        <v>43.470000000000027</v>
      </c>
      <c r="X69" s="117">
        <f t="shared" si="30"/>
        <v>43.47</v>
      </c>
      <c r="Y69" s="117">
        <f t="shared" si="11"/>
        <v>217.35</v>
      </c>
      <c r="Z69" s="117">
        <f t="shared" si="12"/>
        <v>289.8</v>
      </c>
      <c r="AA69" s="117"/>
      <c r="AB69" s="117"/>
      <c r="AC69" s="117"/>
      <c r="AD69" s="117"/>
      <c r="AE69" s="117"/>
      <c r="AF69" s="117"/>
      <c r="AG69" s="117"/>
    </row>
    <row r="70" spans="1:33">
      <c r="A70" s="117">
        <f t="shared" si="23"/>
        <v>70</v>
      </c>
      <c r="B70" s="69"/>
      <c r="C70" s="69"/>
      <c r="D70" s="69" t="s">
        <v>779</v>
      </c>
      <c r="E70" s="102" t="s">
        <v>780</v>
      </c>
      <c r="F70" s="102" t="str">
        <f>VLOOKUP(D70,'Margin Calculation'!F:I,4,0)</f>
        <v>Home &amp; Kitchen</v>
      </c>
      <c r="G70" s="117" t="s">
        <v>781</v>
      </c>
      <c r="H70" s="117" t="s">
        <v>782</v>
      </c>
      <c r="I70" s="287">
        <f>VLOOKUP(D70,'Margin Calculation'!F:Y,20,0)</f>
        <v>754.04520000000002</v>
      </c>
      <c r="J70" s="287">
        <f>VLOOKUP(D70,'Margin Calculation'!F:Z,21,0)</f>
        <v>889.77333599999997</v>
      </c>
      <c r="K70" s="117">
        <f t="shared" si="0"/>
        <v>67.152000000000001</v>
      </c>
      <c r="L70" s="117">
        <f t="shared" si="31"/>
        <v>33.576000000000001</v>
      </c>
      <c r="M70" s="117">
        <f t="shared" si="2"/>
        <v>55.960000000000008</v>
      </c>
      <c r="N70" s="235">
        <f t="shared" si="3"/>
        <v>170.72542372881355</v>
      </c>
      <c r="O70" s="289">
        <f t="shared" si="4"/>
        <v>37.741376271186454</v>
      </c>
      <c r="P70" s="288">
        <f t="shared" si="5"/>
        <v>3.3721744345234499E-2</v>
      </c>
      <c r="Q70" s="289">
        <f t="shared" si="28"/>
        <v>1119.2</v>
      </c>
      <c r="R70" s="289"/>
      <c r="S70" s="289">
        <f t="shared" si="7"/>
        <v>1189.1500000000001</v>
      </c>
      <c r="T70" s="289">
        <f t="shared" si="8"/>
        <v>1357.03</v>
      </c>
      <c r="U70" s="289">
        <f>VLOOKUP(D70,'Amazon Live Products'!E:AF,28,0)</f>
        <v>1399</v>
      </c>
      <c r="V70" s="117">
        <f>VLOOKUP(E70,Sheet6!AF:AG,2,0)</f>
        <v>3699</v>
      </c>
      <c r="W70" s="289">
        <f t="shared" si="9"/>
        <v>41.970000000000027</v>
      </c>
      <c r="X70" s="117">
        <f t="shared" si="30"/>
        <v>41.97</v>
      </c>
      <c r="Y70" s="117">
        <f t="shared" si="11"/>
        <v>209.85</v>
      </c>
      <c r="Z70" s="117">
        <f t="shared" si="12"/>
        <v>279.8</v>
      </c>
      <c r="AA70" s="117"/>
      <c r="AB70" s="117"/>
      <c r="AC70" s="117"/>
      <c r="AD70" s="117"/>
      <c r="AE70" s="117"/>
      <c r="AF70" s="117"/>
      <c r="AG70" s="117"/>
    </row>
    <row r="71" spans="1:33">
      <c r="A71" s="117">
        <f t="shared" si="23"/>
        <v>71</v>
      </c>
      <c r="B71" s="69"/>
      <c r="C71" s="69"/>
      <c r="D71" s="69" t="s">
        <v>783</v>
      </c>
      <c r="E71" s="102" t="s">
        <v>784</v>
      </c>
      <c r="F71" s="102" t="str">
        <f>VLOOKUP(D71,'Margin Calculation'!F:I,4,0)</f>
        <v>Cleaning &amp; Vacuuming</v>
      </c>
      <c r="G71" s="69" t="s">
        <v>785</v>
      </c>
      <c r="H71" s="69" t="s">
        <v>787</v>
      </c>
      <c r="I71" s="287">
        <f>VLOOKUP(D71,'Margin Calculation'!F:Y,20,0)</f>
        <v>1209.5568000000001</v>
      </c>
      <c r="J71" s="287">
        <f>VLOOKUP(D71,'Margin Calculation'!F:Z,21,0)</f>
        <v>1427.277024</v>
      </c>
      <c r="K71" s="117">
        <f t="shared" si="0"/>
        <v>134.35199999999998</v>
      </c>
      <c r="L71" s="117">
        <f t="shared" si="31"/>
        <v>67.175999999999988</v>
      </c>
      <c r="M71" s="117">
        <f t="shared" si="2"/>
        <v>111.96</v>
      </c>
      <c r="N71" s="235">
        <f t="shared" si="3"/>
        <v>341.57288135593217</v>
      </c>
      <c r="O71" s="289">
        <f t="shared" si="4"/>
        <v>374.58231864406753</v>
      </c>
      <c r="P71" s="288">
        <f t="shared" si="5"/>
        <v>0.16728399367812949</v>
      </c>
      <c r="Q71" s="289">
        <f t="shared" si="28"/>
        <v>2239.1999999999998</v>
      </c>
      <c r="R71" s="289"/>
      <c r="S71" s="289">
        <f t="shared" si="7"/>
        <v>2379.15</v>
      </c>
      <c r="T71" s="289">
        <f t="shared" si="8"/>
        <v>2715.03</v>
      </c>
      <c r="U71" s="289">
        <f>VLOOKUP(D71,'Amazon Live Products'!E:AF,28,0)</f>
        <v>2799</v>
      </c>
      <c r="V71" s="117">
        <f>VLOOKUP(E71,Sheet6!AF:AG,2,0)</f>
        <v>5499</v>
      </c>
      <c r="W71" s="289">
        <f t="shared" si="9"/>
        <v>83.9699999999998</v>
      </c>
      <c r="X71" s="117">
        <f t="shared" si="30"/>
        <v>83.97</v>
      </c>
      <c r="Y71" s="117">
        <f t="shared" si="11"/>
        <v>419.84999999999997</v>
      </c>
      <c r="Z71" s="117">
        <f t="shared" si="12"/>
        <v>559.80000000000007</v>
      </c>
      <c r="AA71" s="117"/>
      <c r="AB71" s="117"/>
      <c r="AC71" s="117"/>
      <c r="AD71" s="117"/>
      <c r="AE71" s="117"/>
      <c r="AF71" s="117"/>
      <c r="AG71" s="117"/>
    </row>
    <row r="72" spans="1:33">
      <c r="A72" s="117">
        <f t="shared" si="23"/>
        <v>72</v>
      </c>
      <c r="B72" s="69"/>
      <c r="C72" s="69"/>
      <c r="D72" s="69" t="s">
        <v>788</v>
      </c>
      <c r="E72" s="102" t="s">
        <v>789</v>
      </c>
      <c r="F72" s="102" t="str">
        <f>VLOOKUP(D72,'Margin Calculation'!F:I,4,0)</f>
        <v>Kitchen Appliances</v>
      </c>
      <c r="G72" s="69" t="s">
        <v>790</v>
      </c>
      <c r="H72" s="69" t="s">
        <v>791</v>
      </c>
      <c r="I72" s="287">
        <f>VLOOKUP(D72,'Margin Calculation'!F:Y,20,0)</f>
        <v>2855.8980000000001</v>
      </c>
      <c r="J72" s="287">
        <f>VLOOKUP(D72,'Margin Calculation'!F:Z,21,0)</f>
        <v>3369.95964</v>
      </c>
      <c r="K72" s="117">
        <f t="shared" si="0"/>
        <v>287.952</v>
      </c>
      <c r="L72" s="117">
        <f t="shared" si="31"/>
        <v>143.976</v>
      </c>
      <c r="M72" s="117">
        <f t="shared" si="2"/>
        <v>239.96</v>
      </c>
      <c r="N72" s="235">
        <f t="shared" si="3"/>
        <v>732.08135593220322</v>
      </c>
      <c r="O72" s="289">
        <f t="shared" si="4"/>
        <v>539.33264406779654</v>
      </c>
      <c r="P72" s="288">
        <f t="shared" si="5"/>
        <v>0.11237969746370156</v>
      </c>
      <c r="Q72" s="289">
        <f t="shared" si="28"/>
        <v>4799.2</v>
      </c>
      <c r="R72" s="289"/>
      <c r="S72" s="289">
        <f t="shared" si="7"/>
        <v>5099.1499999999996</v>
      </c>
      <c r="T72" s="289">
        <f t="shared" si="8"/>
        <v>5819.03</v>
      </c>
      <c r="U72" s="289">
        <f>VLOOKUP(D72,'Amazon Live Products'!E:AF,28,0)</f>
        <v>5999</v>
      </c>
      <c r="V72" s="117">
        <f>VLOOKUP(E72,Sheet6!AF:AG,2,0)</f>
        <v>10999</v>
      </c>
      <c r="W72" s="289">
        <f t="shared" si="9"/>
        <v>179.97000000000025</v>
      </c>
      <c r="X72" s="117">
        <f t="shared" si="30"/>
        <v>179.97</v>
      </c>
      <c r="Y72" s="117">
        <f t="shared" si="11"/>
        <v>899.85</v>
      </c>
      <c r="Z72" s="117">
        <f t="shared" si="12"/>
        <v>1199.8</v>
      </c>
      <c r="AA72" s="117"/>
      <c r="AB72" s="117"/>
      <c r="AC72" s="117"/>
      <c r="AD72" s="117"/>
      <c r="AE72" s="117"/>
      <c r="AF72" s="117"/>
      <c r="AG72" s="117"/>
    </row>
    <row r="73" spans="1:33">
      <c r="A73" s="117">
        <f t="shared" si="23"/>
        <v>73</v>
      </c>
      <c r="B73" s="69"/>
      <c r="C73" s="69"/>
      <c r="D73" s="69" t="s">
        <v>797</v>
      </c>
      <c r="E73" s="102" t="s">
        <v>798</v>
      </c>
      <c r="F73" s="102" t="str">
        <f>VLOOKUP(D73,'Margin Calculation'!F:I,4,0)</f>
        <v>Massager</v>
      </c>
      <c r="G73" s="117" t="s">
        <v>799</v>
      </c>
      <c r="H73" s="117" t="s">
        <v>801</v>
      </c>
      <c r="I73" s="287">
        <f>VLOOKUP(D73,'Margin Calculation'!F:Y,20,0)</f>
        <v>815.18400000000008</v>
      </c>
      <c r="J73" s="287">
        <f>VLOOKUP(D73,'Margin Calculation'!F:Z,21,0)</f>
        <v>961.91712000000007</v>
      </c>
      <c r="K73" s="117">
        <f t="shared" si="0"/>
        <v>98.16</v>
      </c>
      <c r="L73" s="117">
        <f t="shared" si="31"/>
        <v>49.08</v>
      </c>
      <c r="M73" s="117">
        <f t="shared" si="2"/>
        <v>81.800000000000011</v>
      </c>
      <c r="N73" s="235">
        <f t="shared" si="3"/>
        <v>249.5593220338983</v>
      </c>
      <c r="O73" s="289">
        <f t="shared" si="4"/>
        <v>342.21667796610154</v>
      </c>
      <c r="P73" s="288">
        <f t="shared" si="5"/>
        <v>0.20917889851228699</v>
      </c>
      <c r="Q73" s="289">
        <f t="shared" si="28"/>
        <v>1636</v>
      </c>
      <c r="R73" s="289"/>
      <c r="S73" s="289">
        <f t="shared" si="7"/>
        <v>1738.25</v>
      </c>
      <c r="T73" s="289">
        <f t="shared" si="8"/>
        <v>1983.65</v>
      </c>
      <c r="U73" s="289">
        <f>VLOOKUP(D73,'Amazon Live Products'!E:AF,28,0)</f>
        <v>2045</v>
      </c>
      <c r="V73" s="117">
        <f>VLOOKUP(E73,Sheet6!AF:AG,2,0)</f>
        <v>3499</v>
      </c>
      <c r="W73" s="289">
        <f t="shared" si="9"/>
        <v>61.349999999999909</v>
      </c>
      <c r="X73" s="117">
        <f t="shared" si="30"/>
        <v>61.349999999999994</v>
      </c>
      <c r="Y73" s="117">
        <f t="shared" si="11"/>
        <v>306.75</v>
      </c>
      <c r="Z73" s="117">
        <f t="shared" si="12"/>
        <v>409</v>
      </c>
      <c r="AA73" s="117"/>
      <c r="AB73" s="117"/>
      <c r="AC73" s="117"/>
      <c r="AD73" s="117"/>
      <c r="AE73" s="117"/>
      <c r="AF73" s="117"/>
      <c r="AG73" s="117"/>
    </row>
    <row r="74" spans="1:33">
      <c r="A74" s="117">
        <f t="shared" si="23"/>
        <v>74</v>
      </c>
      <c r="B74" s="69"/>
      <c r="C74" s="69"/>
      <c r="D74" s="69" t="s">
        <v>802</v>
      </c>
      <c r="E74" s="102" t="s">
        <v>803</v>
      </c>
      <c r="F74" s="102" t="str">
        <f>VLOOKUP(D74,'Margin Calculation'!F:I,4,0)</f>
        <v>Massager</v>
      </c>
      <c r="G74" s="117" t="s">
        <v>804</v>
      </c>
      <c r="H74" s="117" t="s">
        <v>805</v>
      </c>
      <c r="I74" s="287">
        <f>VLOOKUP(D74,'Margin Calculation'!F:Y,20,0)</f>
        <v>804.99420000000009</v>
      </c>
      <c r="J74" s="287">
        <f>VLOOKUP(D74,'Margin Calculation'!F:Z,21,0)</f>
        <v>949.89315600000009</v>
      </c>
      <c r="K74" s="117">
        <f t="shared" si="0"/>
        <v>104.78400000000001</v>
      </c>
      <c r="L74" s="117">
        <f t="shared" si="31"/>
        <v>52.392000000000003</v>
      </c>
      <c r="M74" s="117">
        <f t="shared" si="2"/>
        <v>87.320000000000007</v>
      </c>
      <c r="N74" s="235">
        <f t="shared" si="3"/>
        <v>266.39999999999986</v>
      </c>
      <c r="O74" s="289">
        <f t="shared" si="4"/>
        <v>430.50980000000004</v>
      </c>
      <c r="P74" s="288">
        <f t="shared" si="5"/>
        <v>0.24651271186440679</v>
      </c>
      <c r="Q74" s="289">
        <f t="shared" si="28"/>
        <v>1746.4</v>
      </c>
      <c r="R74" s="289"/>
      <c r="S74" s="289">
        <f t="shared" si="7"/>
        <v>1855.55</v>
      </c>
      <c r="T74" s="289">
        <f t="shared" si="8"/>
        <v>2117.5100000000002</v>
      </c>
      <c r="U74" s="289">
        <f>VLOOKUP(D74,'Amazon Live Products'!E:AF,28,0)</f>
        <v>2183</v>
      </c>
      <c r="V74" s="117">
        <f>VLOOKUP(E74,Sheet6!AF:AG,2,0)</f>
        <v>3899</v>
      </c>
      <c r="W74" s="289">
        <f t="shared" si="9"/>
        <v>65.489999999999782</v>
      </c>
      <c r="X74" s="117">
        <f t="shared" si="30"/>
        <v>65.489999999999995</v>
      </c>
      <c r="Y74" s="117">
        <f t="shared" si="11"/>
        <v>327.45</v>
      </c>
      <c r="Z74" s="117">
        <f t="shared" si="12"/>
        <v>436.6</v>
      </c>
      <c r="AA74" s="117"/>
      <c r="AB74" s="117"/>
      <c r="AC74" s="117"/>
      <c r="AD74" s="117"/>
      <c r="AE74" s="117"/>
      <c r="AF74" s="117"/>
      <c r="AG74" s="117"/>
    </row>
    <row r="75" spans="1:33">
      <c r="A75" s="117">
        <f t="shared" si="23"/>
        <v>75</v>
      </c>
      <c r="B75" s="69"/>
      <c r="C75" s="69"/>
      <c r="D75" s="69" t="s">
        <v>810</v>
      </c>
      <c r="E75" s="187" t="s">
        <v>811</v>
      </c>
      <c r="F75" s="187" t="str">
        <f>VLOOKUP(D75,'Margin Calculation'!F:I,4,0)</f>
        <v>Travel &amp; outdoor</v>
      </c>
      <c r="G75" s="69" t="s">
        <v>812</v>
      </c>
      <c r="H75" s="69" t="s">
        <v>814</v>
      </c>
      <c r="I75" s="287">
        <f>VLOOKUP(D75,'Margin Calculation'!F:Y,20,0)</f>
        <v>429.92094600000001</v>
      </c>
      <c r="J75" s="287">
        <f>VLOOKUP(D75,'Margin Calculation'!F:Z,21,0)</f>
        <v>481.51145952000007</v>
      </c>
      <c r="K75" s="117">
        <f t="shared" si="0"/>
        <v>52.752000000000002</v>
      </c>
      <c r="L75" s="117">
        <f t="shared" si="31"/>
        <v>26.376000000000001</v>
      </c>
      <c r="M75" s="117">
        <f t="shared" si="2"/>
        <v>43.960000000000008</v>
      </c>
      <c r="N75" s="235">
        <f t="shared" si="3"/>
        <v>134.11525423728813</v>
      </c>
      <c r="O75" s="289">
        <f t="shared" si="4"/>
        <v>192.07579976271188</v>
      </c>
      <c r="P75" s="288">
        <f t="shared" si="5"/>
        <v>0.21846656023966318</v>
      </c>
      <c r="Q75" s="289">
        <f t="shared" si="28"/>
        <v>879.2</v>
      </c>
      <c r="R75" s="289"/>
      <c r="S75" s="289">
        <f t="shared" si="7"/>
        <v>934.15</v>
      </c>
      <c r="T75" s="289">
        <f t="shared" si="8"/>
        <v>989.1</v>
      </c>
      <c r="U75" s="289">
        <f>VLOOKUP(D75,'Amazon Live Products'!E:AF,28,0)</f>
        <v>1099</v>
      </c>
      <c r="V75" s="117">
        <f>VLOOKUP(E75,Sheet6!AF:AG,2,0)</f>
        <v>1899</v>
      </c>
      <c r="W75" s="289">
        <f t="shared" si="9"/>
        <v>109.89999999999998</v>
      </c>
      <c r="X75" s="117">
        <f t="shared" ref="X75:X76" si="32">U75*10%</f>
        <v>109.9</v>
      </c>
      <c r="Y75" s="117">
        <f t="shared" si="11"/>
        <v>164.85</v>
      </c>
      <c r="Z75" s="117">
        <f t="shared" si="12"/>
        <v>219.8</v>
      </c>
      <c r="AA75" s="117"/>
      <c r="AB75" s="117"/>
      <c r="AC75" s="117"/>
      <c r="AD75" s="117"/>
      <c r="AE75" s="117"/>
      <c r="AF75" s="117"/>
      <c r="AG75" s="117"/>
    </row>
    <row r="76" spans="1:33">
      <c r="A76" s="117">
        <f t="shared" si="23"/>
        <v>76</v>
      </c>
      <c r="B76" s="69"/>
      <c r="C76" s="69"/>
      <c r="D76" s="69" t="s">
        <v>815</v>
      </c>
      <c r="E76" s="187" t="s">
        <v>816</v>
      </c>
      <c r="F76" s="187" t="str">
        <f>VLOOKUP(D76,'Margin Calculation'!F:I,4,0)</f>
        <v>Travel &amp; outdoor</v>
      </c>
      <c r="G76" s="69" t="s">
        <v>817</v>
      </c>
      <c r="H76" s="69" t="s">
        <v>818</v>
      </c>
      <c r="I76" s="287">
        <f>VLOOKUP(D76,'Margin Calculation'!F:Y,20,0)</f>
        <v>429.92094600000001</v>
      </c>
      <c r="J76" s="287">
        <f>VLOOKUP(D76,'Margin Calculation'!F:Z,21,0)</f>
        <v>481.51145952000007</v>
      </c>
      <c r="K76" s="117">
        <f t="shared" si="0"/>
        <v>52.752000000000002</v>
      </c>
      <c r="L76" s="117">
        <f t="shared" si="31"/>
        <v>26.376000000000001</v>
      </c>
      <c r="M76" s="117">
        <f t="shared" si="2"/>
        <v>43.960000000000008</v>
      </c>
      <c r="N76" s="235">
        <f t="shared" si="3"/>
        <v>134.11525423728813</v>
      </c>
      <c r="O76" s="289">
        <f t="shared" si="4"/>
        <v>192.07579976271188</v>
      </c>
      <c r="P76" s="288">
        <f t="shared" si="5"/>
        <v>0.21846656023966318</v>
      </c>
      <c r="Q76" s="289">
        <f t="shared" si="28"/>
        <v>879.2</v>
      </c>
      <c r="R76" s="289"/>
      <c r="S76" s="289">
        <f t="shared" si="7"/>
        <v>934.15</v>
      </c>
      <c r="T76" s="289">
        <f t="shared" si="8"/>
        <v>989.1</v>
      </c>
      <c r="U76" s="289">
        <f>VLOOKUP(D76,'Amazon Live Products'!E:AF,28,0)</f>
        <v>1099</v>
      </c>
      <c r="V76" s="117">
        <f>VLOOKUP(E76,Sheet6!AF:AG,2,0)</f>
        <v>1899</v>
      </c>
      <c r="W76" s="289">
        <f t="shared" si="9"/>
        <v>109.89999999999998</v>
      </c>
      <c r="X76" s="117">
        <f t="shared" si="32"/>
        <v>109.9</v>
      </c>
      <c r="Y76" s="117">
        <f t="shared" si="11"/>
        <v>164.85</v>
      </c>
      <c r="Z76" s="117">
        <f t="shared" si="12"/>
        <v>219.8</v>
      </c>
      <c r="AA76" s="117"/>
      <c r="AB76" s="117"/>
      <c r="AC76" s="117"/>
      <c r="AD76" s="117"/>
      <c r="AE76" s="117"/>
      <c r="AF76" s="117"/>
      <c r="AG76" s="117"/>
    </row>
    <row r="77" spans="1:33">
      <c r="A77" s="117">
        <f t="shared" si="23"/>
        <v>77</v>
      </c>
      <c r="B77" s="69"/>
      <c r="C77" s="69"/>
      <c r="D77" s="69" t="s">
        <v>819</v>
      </c>
      <c r="E77" s="187" t="s">
        <v>820</v>
      </c>
      <c r="F77" s="187" t="str">
        <f>VLOOKUP(D77,'Margin Calculation'!F:I,4,0)</f>
        <v>Home &amp; Kitchen</v>
      </c>
      <c r="G77" s="69" t="s">
        <v>821</v>
      </c>
      <c r="H77" s="69" t="s">
        <v>822</v>
      </c>
      <c r="I77" s="287">
        <f>VLOOKUP(D77,'Margin Calculation'!F:Y,20,0)</f>
        <v>8295.4063129764709</v>
      </c>
      <c r="J77" s="287">
        <f>VLOOKUP(D77,'Margin Calculation'!F:Z,21,0)</f>
        <v>9290.8550705336474</v>
      </c>
      <c r="K77" s="117">
        <f t="shared" si="0"/>
        <v>767.52</v>
      </c>
      <c r="L77" s="117">
        <f t="shared" si="31"/>
        <v>383.76</v>
      </c>
      <c r="M77" s="117">
        <f t="shared" si="2"/>
        <v>639.6</v>
      </c>
      <c r="N77" s="235">
        <f t="shared" si="3"/>
        <v>1951.3220338983047</v>
      </c>
      <c r="O77" s="289">
        <f t="shared" si="4"/>
        <v>754.39165312522482</v>
      </c>
      <c r="P77" s="288">
        <f t="shared" si="5"/>
        <v>5.8973706466950035E-2</v>
      </c>
      <c r="Q77" s="289">
        <f t="shared" si="28"/>
        <v>12792</v>
      </c>
      <c r="R77" s="289"/>
      <c r="S77" s="289">
        <f t="shared" si="7"/>
        <v>13591.5</v>
      </c>
      <c r="T77" s="289">
        <f t="shared" si="8"/>
        <v>15510.3</v>
      </c>
      <c r="U77" s="289">
        <f>VLOOKUP(D77,'Amazon Live Products'!E:AF,28,0)</f>
        <v>15990</v>
      </c>
      <c r="V77" s="117">
        <f>VLOOKUP(E77,Sheet6!AF:AG,2,0)</f>
        <v>29999</v>
      </c>
      <c r="W77" s="289">
        <f t="shared" si="9"/>
        <v>479.70000000000073</v>
      </c>
      <c r="X77" s="117">
        <f t="shared" ref="X77:X88" si="33">U77*3%</f>
        <v>479.7</v>
      </c>
      <c r="Y77" s="117">
        <f t="shared" si="11"/>
        <v>2398.5</v>
      </c>
      <c r="Z77" s="117">
        <f t="shared" si="12"/>
        <v>3198</v>
      </c>
      <c r="AA77" s="117"/>
      <c r="AB77" s="117"/>
      <c r="AC77" s="117"/>
      <c r="AD77" s="117"/>
      <c r="AE77" s="117"/>
      <c r="AF77" s="117"/>
      <c r="AG77" s="117"/>
    </row>
    <row r="78" spans="1:33">
      <c r="A78" s="117">
        <f t="shared" si="23"/>
        <v>78</v>
      </c>
      <c r="B78" s="69"/>
      <c r="C78" s="69"/>
      <c r="D78" s="69" t="s">
        <v>827</v>
      </c>
      <c r="E78" s="187" t="s">
        <v>828</v>
      </c>
      <c r="F78" s="187" t="str">
        <f>VLOOKUP(D78,'Margin Calculation'!F:I,4,0)</f>
        <v>Home &amp; Kitchen</v>
      </c>
      <c r="G78" s="69" t="s">
        <v>829</v>
      </c>
      <c r="H78" s="69" t="s">
        <v>830</v>
      </c>
      <c r="I78" s="287">
        <f>VLOOKUP(D78,'Margin Calculation'!F:Y,20,0)</f>
        <v>674.89533656470587</v>
      </c>
      <c r="J78" s="287">
        <f>VLOOKUP(D78,'Margin Calculation'!F:Z,21,0)</f>
        <v>755.88277695247064</v>
      </c>
      <c r="K78" s="117">
        <f t="shared" si="0"/>
        <v>88.751999999999995</v>
      </c>
      <c r="L78" s="117">
        <f t="shared" si="31"/>
        <v>44.375999999999998</v>
      </c>
      <c r="M78" s="117">
        <f t="shared" si="2"/>
        <v>73.960000000000008</v>
      </c>
      <c r="N78" s="235">
        <f t="shared" si="3"/>
        <v>225.64067796610175</v>
      </c>
      <c r="O78" s="289">
        <f t="shared" si="4"/>
        <v>371.57598546919246</v>
      </c>
      <c r="P78" s="288">
        <f t="shared" si="5"/>
        <v>0.25120063917603602</v>
      </c>
      <c r="Q78" s="289">
        <f t="shared" si="28"/>
        <v>1479.2</v>
      </c>
      <c r="R78" s="289"/>
      <c r="S78" s="289">
        <f t="shared" si="7"/>
        <v>1571.65</v>
      </c>
      <c r="T78" s="289">
        <f t="shared" si="8"/>
        <v>1793.53</v>
      </c>
      <c r="U78" s="289">
        <f>VLOOKUP(D78,'Amazon Live Products'!E:AF,28,0)</f>
        <v>1849</v>
      </c>
      <c r="V78" s="117">
        <f>VLOOKUP(E78,Sheet6!AF:AG,2,0)</f>
        <v>3599</v>
      </c>
      <c r="W78" s="289">
        <f t="shared" si="9"/>
        <v>55.470000000000027</v>
      </c>
      <c r="X78" s="117">
        <f t="shared" si="33"/>
        <v>55.47</v>
      </c>
      <c r="Y78" s="117">
        <f t="shared" si="11"/>
        <v>277.34999999999997</v>
      </c>
      <c r="Z78" s="117">
        <f t="shared" si="12"/>
        <v>369.8</v>
      </c>
      <c r="AA78" s="117"/>
      <c r="AB78" s="117"/>
      <c r="AC78" s="117"/>
      <c r="AD78" s="117"/>
      <c r="AE78" s="117"/>
      <c r="AF78" s="117"/>
      <c r="AG78" s="117"/>
    </row>
    <row r="79" spans="1:33">
      <c r="A79" s="117">
        <f t="shared" si="23"/>
        <v>79</v>
      </c>
      <c r="B79" s="69"/>
      <c r="C79" s="69"/>
      <c r="D79" s="69" t="s">
        <v>831</v>
      </c>
      <c r="E79" s="187" t="s">
        <v>832</v>
      </c>
      <c r="F79" s="187" t="str">
        <f>VLOOKUP(D79,'Margin Calculation'!F:I,4,0)</f>
        <v>Home &amp; Kitchen</v>
      </c>
      <c r="G79" s="69" t="s">
        <v>833</v>
      </c>
      <c r="H79" s="69" t="s">
        <v>834</v>
      </c>
      <c r="I79" s="287">
        <f>VLOOKUP(D79,'Margin Calculation'!F:Y,20,0)</f>
        <v>674.89533656470587</v>
      </c>
      <c r="J79" s="287">
        <f>VLOOKUP(D79,'Margin Calculation'!F:Z,21,0)</f>
        <v>755.88277695247064</v>
      </c>
      <c r="K79" s="117">
        <f t="shared" si="0"/>
        <v>86.352000000000004</v>
      </c>
      <c r="L79" s="117">
        <f t="shared" si="31"/>
        <v>43.176000000000002</v>
      </c>
      <c r="M79" s="117">
        <f t="shared" si="2"/>
        <v>71.960000000000008</v>
      </c>
      <c r="N79" s="235">
        <f t="shared" si="3"/>
        <v>219.53898305084749</v>
      </c>
      <c r="O79" s="289">
        <f t="shared" si="4"/>
        <v>343.27768038444663</v>
      </c>
      <c r="P79" s="288">
        <f t="shared" si="5"/>
        <v>0.23851978903866497</v>
      </c>
      <c r="Q79" s="289">
        <f t="shared" si="28"/>
        <v>1439.2</v>
      </c>
      <c r="R79" s="289"/>
      <c r="S79" s="289">
        <f t="shared" si="7"/>
        <v>1529.15</v>
      </c>
      <c r="T79" s="289">
        <f t="shared" si="8"/>
        <v>1745.03</v>
      </c>
      <c r="U79" s="289">
        <f>VLOOKUP(D79,'Amazon Live Products'!E:AF,28,0)</f>
        <v>1799</v>
      </c>
      <c r="V79" s="117">
        <f>VLOOKUP(E79,Sheet6!AF:AG,2,0)</f>
        <v>2899</v>
      </c>
      <c r="W79" s="289">
        <f t="shared" si="9"/>
        <v>53.970000000000027</v>
      </c>
      <c r="X79" s="117">
        <f t="shared" si="33"/>
        <v>53.97</v>
      </c>
      <c r="Y79" s="117">
        <f t="shared" si="11"/>
        <v>269.84999999999997</v>
      </c>
      <c r="Z79" s="117">
        <f t="shared" si="12"/>
        <v>359.8</v>
      </c>
      <c r="AA79" s="117"/>
      <c r="AB79" s="117"/>
      <c r="AC79" s="117"/>
      <c r="AD79" s="117"/>
      <c r="AE79" s="117"/>
      <c r="AF79" s="117"/>
      <c r="AG79" s="117"/>
    </row>
    <row r="80" spans="1:33">
      <c r="A80" s="117">
        <f t="shared" si="23"/>
        <v>80</v>
      </c>
      <c r="B80" s="69"/>
      <c r="C80" s="69"/>
      <c r="D80" s="69" t="s">
        <v>855</v>
      </c>
      <c r="E80" s="102" t="s">
        <v>856</v>
      </c>
      <c r="F80" s="102" t="str">
        <f>VLOOKUP(D80,'Margin Calculation'!F:I,4,0)</f>
        <v>Massager</v>
      </c>
      <c r="G80" s="117" t="s">
        <v>857</v>
      </c>
      <c r="H80" s="69" t="s">
        <v>858</v>
      </c>
      <c r="I80" s="287">
        <f>VLOOKUP(D80,'Margin Calculation'!F:Y,20,0)</f>
        <v>815.18400000000008</v>
      </c>
      <c r="J80" s="287">
        <f>VLOOKUP(D80,'Margin Calculation'!F:Z,21,0)</f>
        <v>961.91712000000007</v>
      </c>
      <c r="K80" s="117">
        <f t="shared" si="0"/>
        <v>89.712000000000003</v>
      </c>
      <c r="L80" s="117">
        <f t="shared" si="31"/>
        <v>44.856000000000002</v>
      </c>
      <c r="M80" s="117">
        <f t="shared" si="2"/>
        <v>74.760000000000005</v>
      </c>
      <c r="N80" s="235">
        <f t="shared" si="3"/>
        <v>228.08135593220322</v>
      </c>
      <c r="O80" s="289">
        <f t="shared" si="4"/>
        <v>242.60664406779676</v>
      </c>
      <c r="P80" s="288">
        <f t="shared" si="5"/>
        <v>0.16225698506406952</v>
      </c>
      <c r="Q80" s="289">
        <f t="shared" si="28"/>
        <v>1495.2</v>
      </c>
      <c r="R80" s="289"/>
      <c r="S80" s="289">
        <f t="shared" si="7"/>
        <v>1588.65</v>
      </c>
      <c r="T80" s="289">
        <f t="shared" si="8"/>
        <v>1812.93</v>
      </c>
      <c r="U80" s="289">
        <f>VLOOKUP(D80,'Amazon Live Products'!E:AF,28,0)</f>
        <v>1869</v>
      </c>
      <c r="V80" s="117">
        <f>VLOOKUP(E80,Sheet6!AF:AG,2,0)</f>
        <v>3999</v>
      </c>
      <c r="W80" s="289">
        <f t="shared" si="9"/>
        <v>56.069999999999936</v>
      </c>
      <c r="X80" s="117">
        <f t="shared" si="33"/>
        <v>56.07</v>
      </c>
      <c r="Y80" s="117">
        <f t="shared" si="11"/>
        <v>280.34999999999997</v>
      </c>
      <c r="Z80" s="117">
        <f t="shared" si="12"/>
        <v>373.8</v>
      </c>
      <c r="AA80" s="117"/>
      <c r="AB80" s="117"/>
      <c r="AC80" s="117"/>
      <c r="AD80" s="117"/>
      <c r="AE80" s="117"/>
      <c r="AF80" s="117"/>
      <c r="AG80" s="117"/>
    </row>
    <row r="81" spans="1:33">
      <c r="A81" s="117">
        <f t="shared" si="23"/>
        <v>81</v>
      </c>
      <c r="B81" s="69"/>
      <c r="C81" s="69"/>
      <c r="D81" s="69" t="s">
        <v>859</v>
      </c>
      <c r="E81" s="187" t="s">
        <v>860</v>
      </c>
      <c r="F81" s="187" t="str">
        <f>VLOOKUP(D81,'Margin Calculation'!F:I,4,0)</f>
        <v>Home &amp; Kitchen</v>
      </c>
      <c r="G81" s="69" t="s">
        <v>861</v>
      </c>
      <c r="H81" s="69" t="s">
        <v>862</v>
      </c>
      <c r="I81" s="287">
        <f>VLOOKUP(D81,'Margin Calculation'!F:Y,20,0)</f>
        <v>1783.2150000000001</v>
      </c>
      <c r="J81" s="287">
        <f>VLOOKUP(D81,'Margin Calculation'!F:Z,21,0)</f>
        <v>2104.1937000000003</v>
      </c>
      <c r="K81" s="117">
        <f t="shared" si="0"/>
        <v>172.75199999999998</v>
      </c>
      <c r="L81" s="117">
        <f t="shared" si="31"/>
        <v>86.375999999999991</v>
      </c>
      <c r="M81" s="117">
        <f t="shared" si="2"/>
        <v>143.96</v>
      </c>
      <c r="N81" s="235">
        <f t="shared" si="3"/>
        <v>439.19999999999982</v>
      </c>
      <c r="O81" s="289">
        <f t="shared" si="4"/>
        <v>253.69699999999989</v>
      </c>
      <c r="P81" s="288">
        <f t="shared" si="5"/>
        <v>8.8113712142261713E-2</v>
      </c>
      <c r="Q81" s="289">
        <f t="shared" si="28"/>
        <v>2879.2</v>
      </c>
      <c r="R81" s="289"/>
      <c r="S81" s="289">
        <f t="shared" si="7"/>
        <v>3059.15</v>
      </c>
      <c r="T81" s="289">
        <f t="shared" si="8"/>
        <v>3491.03</v>
      </c>
      <c r="U81" s="289">
        <f>VLOOKUP(D81,'Amazon Live Products'!E:AF,28,0)</f>
        <v>3599</v>
      </c>
      <c r="V81" s="117">
        <f>VLOOKUP(E81,Sheet6!AF:AG,2,0)</f>
        <v>6499</v>
      </c>
      <c r="W81" s="289">
        <f t="shared" si="9"/>
        <v>107.9699999999998</v>
      </c>
      <c r="X81" s="117">
        <f t="shared" si="33"/>
        <v>107.97</v>
      </c>
      <c r="Y81" s="117">
        <f t="shared" si="11"/>
        <v>539.85</v>
      </c>
      <c r="Z81" s="117">
        <f t="shared" si="12"/>
        <v>719.80000000000007</v>
      </c>
      <c r="AA81" s="117"/>
      <c r="AB81" s="117"/>
      <c r="AC81" s="117"/>
      <c r="AD81" s="117"/>
      <c r="AE81" s="117"/>
      <c r="AF81" s="117"/>
      <c r="AG81" s="117"/>
    </row>
    <row r="82" spans="1:33">
      <c r="A82" s="117">
        <f t="shared" si="23"/>
        <v>82</v>
      </c>
      <c r="B82" s="69"/>
      <c r="C82" s="69"/>
      <c r="D82" s="69" t="s">
        <v>863</v>
      </c>
      <c r="E82" s="69" t="s">
        <v>864</v>
      </c>
      <c r="F82" s="69" t="str">
        <f>VLOOKUP(D82,'Margin Calculation'!F:I,4,0)</f>
        <v>HPC</v>
      </c>
      <c r="G82" s="69" t="s">
        <v>865</v>
      </c>
      <c r="H82" s="69" t="s">
        <v>866</v>
      </c>
      <c r="I82" s="287">
        <f>VLOOKUP(D82,'Margin Calculation'!F:Y,20,0)</f>
        <v>1007.9640000000001</v>
      </c>
      <c r="J82" s="287">
        <f>VLOOKUP(D82,'Margin Calculation'!F:Z,21,0)</f>
        <v>1189.39752</v>
      </c>
      <c r="K82" s="117">
        <f t="shared" si="0"/>
        <v>119.952</v>
      </c>
      <c r="L82" s="117">
        <f t="shared" si="31"/>
        <v>59.975999999999999</v>
      </c>
      <c r="M82" s="117">
        <f t="shared" si="2"/>
        <v>99.960000000000008</v>
      </c>
      <c r="N82" s="235">
        <f t="shared" si="3"/>
        <v>304.96271186440663</v>
      </c>
      <c r="O82" s="289">
        <f t="shared" si="4"/>
        <v>406.38528813559333</v>
      </c>
      <c r="P82" s="288">
        <f t="shared" si="5"/>
        <v>0.20327395364925635</v>
      </c>
      <c r="Q82" s="289">
        <f t="shared" si="28"/>
        <v>1999.2</v>
      </c>
      <c r="R82" s="289"/>
      <c r="S82" s="289">
        <f t="shared" si="7"/>
        <v>2124.15</v>
      </c>
      <c r="T82" s="289">
        <f t="shared" si="8"/>
        <v>2424.0300000000002</v>
      </c>
      <c r="U82" s="289">
        <f>VLOOKUP(D82,'Amazon Live Products'!E:AF,28,0)</f>
        <v>2499</v>
      </c>
      <c r="V82" s="117">
        <f>VLOOKUP(E82,Sheet6!AF:AG,2,0)</f>
        <v>3499</v>
      </c>
      <c r="W82" s="289">
        <f t="shared" si="9"/>
        <v>74.9699999999998</v>
      </c>
      <c r="X82" s="117">
        <f t="shared" si="33"/>
        <v>74.97</v>
      </c>
      <c r="Y82" s="117">
        <f t="shared" si="11"/>
        <v>374.84999999999997</v>
      </c>
      <c r="Z82" s="117">
        <f t="shared" si="12"/>
        <v>499.8</v>
      </c>
      <c r="AA82" s="117"/>
      <c r="AB82" s="117"/>
      <c r="AC82" s="117"/>
      <c r="AD82" s="117"/>
      <c r="AE82" s="117"/>
      <c r="AF82" s="117"/>
      <c r="AG82" s="117"/>
    </row>
    <row r="83" spans="1:33">
      <c r="A83" s="117">
        <f t="shared" si="23"/>
        <v>83</v>
      </c>
      <c r="B83" s="69"/>
      <c r="C83" s="69"/>
      <c r="D83" s="69" t="s">
        <v>311</v>
      </c>
      <c r="E83" s="69" t="s">
        <v>312</v>
      </c>
      <c r="F83" s="69" t="str">
        <f>VLOOKUP(D83,'Margin Calculation'!F:I,4,0)</f>
        <v>HPC</v>
      </c>
      <c r="G83" s="69" t="s">
        <v>313</v>
      </c>
      <c r="H83" s="69" t="s">
        <v>1119</v>
      </c>
      <c r="I83" s="287">
        <f>VLOOKUP(D83,'Margin Calculation'!F:Y,20,0)</f>
        <v>911.25499500000001</v>
      </c>
      <c r="J83" s="287">
        <f>VLOOKUP(D83,'Margin Calculation'!F:Z,21,0)</f>
        <v>1075.2808940999998</v>
      </c>
      <c r="K83" s="117">
        <f t="shared" si="0"/>
        <v>73.391999999999996</v>
      </c>
      <c r="L83" s="117">
        <f t="shared" si="31"/>
        <v>36.695999999999998</v>
      </c>
      <c r="M83" s="117">
        <f t="shared" si="2"/>
        <v>61.160000000000004</v>
      </c>
      <c r="N83" s="235">
        <f t="shared" si="3"/>
        <v>186.58983050847451</v>
      </c>
      <c r="O83" s="289">
        <f t="shared" si="4"/>
        <v>-45.892825508474459</v>
      </c>
      <c r="P83" s="288">
        <f t="shared" si="5"/>
        <v>-3.7518660487634449E-2</v>
      </c>
      <c r="Q83" s="289">
        <f t="shared" si="28"/>
        <v>1223.2</v>
      </c>
      <c r="R83" s="289"/>
      <c r="S83" s="289">
        <f t="shared" si="7"/>
        <v>1299.6500000000001</v>
      </c>
      <c r="T83" s="289">
        <f t="shared" si="8"/>
        <v>1483.13</v>
      </c>
      <c r="U83" s="289">
        <f>VLOOKUP(D83,'Amazon Live Products'!E:AF,28,0)</f>
        <v>1529</v>
      </c>
      <c r="V83" s="117">
        <f>VLOOKUP(E83,Sheet6!AF:AG,2,0)</f>
        <v>3599</v>
      </c>
      <c r="W83" s="289">
        <f t="shared" si="9"/>
        <v>45.869999999999891</v>
      </c>
      <c r="X83" s="117">
        <f t="shared" si="33"/>
        <v>45.87</v>
      </c>
      <c r="Y83" s="117">
        <f t="shared" si="11"/>
        <v>229.35</v>
      </c>
      <c r="Z83" s="117">
        <f t="shared" si="12"/>
        <v>305.8</v>
      </c>
      <c r="AA83" s="117"/>
      <c r="AB83" s="117"/>
      <c r="AC83" s="117"/>
      <c r="AD83" s="117"/>
      <c r="AE83" s="117"/>
      <c r="AF83" s="117"/>
      <c r="AG83" s="117"/>
    </row>
    <row r="84" spans="1:33">
      <c r="A84" s="117">
        <f t="shared" si="23"/>
        <v>84</v>
      </c>
      <c r="B84" s="117"/>
      <c r="C84" s="117"/>
      <c r="D84" s="69" t="s">
        <v>874</v>
      </c>
      <c r="E84" s="75" t="s">
        <v>875</v>
      </c>
      <c r="F84" s="69" t="str">
        <f>VLOOKUP(D84,'Margin Calculation'!F:I,4,0)</f>
        <v>Home &amp; Kitchen</v>
      </c>
      <c r="G84" s="43" t="s">
        <v>876</v>
      </c>
      <c r="H84" s="117" t="s">
        <v>1120</v>
      </c>
      <c r="I84" s="287">
        <f>VLOOKUP(D84,'Margin Calculation'!F:Y,20,0)</f>
        <v>275</v>
      </c>
      <c r="J84" s="287">
        <f>VLOOKUP(D84,'Margin Calculation'!F:Z,21,0)</f>
        <v>324.5</v>
      </c>
      <c r="K84" s="117">
        <f t="shared" si="0"/>
        <v>33.552</v>
      </c>
      <c r="L84" s="117">
        <f t="shared" si="31"/>
        <v>16.776</v>
      </c>
      <c r="M84" s="117">
        <f t="shared" si="2"/>
        <v>27.960000000000004</v>
      </c>
      <c r="N84" s="235">
        <f t="shared" si="3"/>
        <v>85.301694915254245</v>
      </c>
      <c r="O84" s="289">
        <f t="shared" si="4"/>
        <v>120.61030508474579</v>
      </c>
      <c r="P84" s="288">
        <f t="shared" si="5"/>
        <v>0.21568366431463837</v>
      </c>
      <c r="Q84" s="289">
        <f t="shared" si="28"/>
        <v>559.20000000000005</v>
      </c>
      <c r="R84" s="289"/>
      <c r="S84" s="289">
        <f t="shared" si="7"/>
        <v>594.15</v>
      </c>
      <c r="T84" s="289">
        <f t="shared" si="8"/>
        <v>678.03</v>
      </c>
      <c r="U84" s="289">
        <f>VLOOKUP(D84,'Amazon Live Products'!E:AF,28,0)</f>
        <v>699</v>
      </c>
      <c r="V84" s="117"/>
      <c r="W84" s="289">
        <f t="shared" si="9"/>
        <v>20.970000000000027</v>
      </c>
      <c r="X84" s="117">
        <f t="shared" si="33"/>
        <v>20.97</v>
      </c>
      <c r="Y84" s="117">
        <f t="shared" si="11"/>
        <v>104.85</v>
      </c>
      <c r="Z84" s="117">
        <f t="shared" si="12"/>
        <v>139.80000000000001</v>
      </c>
      <c r="AA84" s="117"/>
      <c r="AB84" s="117"/>
      <c r="AC84" s="117"/>
      <c r="AD84" s="117"/>
      <c r="AE84" s="117"/>
      <c r="AF84" s="117"/>
      <c r="AG84" s="117"/>
    </row>
    <row r="85" spans="1:33">
      <c r="A85" s="117">
        <f t="shared" si="23"/>
        <v>85</v>
      </c>
      <c r="B85" s="117"/>
      <c r="C85" s="117"/>
      <c r="D85" s="2" t="s">
        <v>879</v>
      </c>
      <c r="E85" s="161" t="s">
        <v>880</v>
      </c>
      <c r="F85" s="69" t="str">
        <f>VLOOKUP(D85,'Margin Calculation'!F:I,4,0)</f>
        <v>Home &amp; Kitchen</v>
      </c>
      <c r="G85" s="182" t="s">
        <v>881</v>
      </c>
      <c r="H85" s="182" t="s">
        <v>883</v>
      </c>
      <c r="I85" s="287">
        <f>VLOOKUP(D85,'Margin Calculation'!F:Y,20,0)</f>
        <v>221.75208000000001</v>
      </c>
      <c r="J85" s="287">
        <f>VLOOKUP(D85,'Margin Calculation'!F:Z,21,0)</f>
        <v>261.6674544</v>
      </c>
      <c r="K85" s="117">
        <f t="shared" si="0"/>
        <v>26.351999999999997</v>
      </c>
      <c r="L85" s="117">
        <f t="shared" si="31"/>
        <v>13.175999999999998</v>
      </c>
      <c r="M85" s="117">
        <f t="shared" si="2"/>
        <v>21.96</v>
      </c>
      <c r="N85" s="235">
        <f t="shared" si="3"/>
        <v>66.996610169491532</v>
      </c>
      <c r="O85" s="289">
        <f t="shared" si="4"/>
        <v>88.96330983050845</v>
      </c>
      <c r="P85" s="288">
        <f t="shared" si="5"/>
        <v>0.20255762711864403</v>
      </c>
      <c r="Q85" s="289">
        <f t="shared" si="28"/>
        <v>439.2</v>
      </c>
      <c r="R85" s="289"/>
      <c r="S85" s="289">
        <f t="shared" si="7"/>
        <v>466.65</v>
      </c>
      <c r="T85" s="289">
        <f t="shared" si="8"/>
        <v>532.53</v>
      </c>
      <c r="U85" s="289">
        <f>VLOOKUP(D85,'Amazon Live Products'!E:AF,28,0)</f>
        <v>549</v>
      </c>
      <c r="V85" s="117"/>
      <c r="W85" s="289">
        <f t="shared" si="9"/>
        <v>16.470000000000027</v>
      </c>
      <c r="X85" s="117">
        <f t="shared" si="33"/>
        <v>16.47</v>
      </c>
      <c r="Y85" s="117">
        <f t="shared" si="11"/>
        <v>82.35</v>
      </c>
      <c r="Z85" s="117">
        <f t="shared" si="12"/>
        <v>109.80000000000001</v>
      </c>
      <c r="AA85" s="117"/>
      <c r="AB85" s="117"/>
      <c r="AC85" s="117"/>
      <c r="AD85" s="117"/>
      <c r="AE85" s="117"/>
      <c r="AF85" s="117"/>
      <c r="AG85" s="117"/>
    </row>
    <row r="86" spans="1:33">
      <c r="A86" s="117">
        <f t="shared" si="23"/>
        <v>86</v>
      </c>
      <c r="B86" s="117"/>
      <c r="C86" s="117"/>
      <c r="D86" s="2" t="s">
        <v>884</v>
      </c>
      <c r="E86" s="161" t="s">
        <v>885</v>
      </c>
      <c r="F86" s="69" t="str">
        <f>VLOOKUP(D86,'Margin Calculation'!F:I,4,0)</f>
        <v>Home &amp; Kitchen</v>
      </c>
      <c r="G86" s="182" t="s">
        <v>886</v>
      </c>
      <c r="H86" s="182" t="s">
        <v>888</v>
      </c>
      <c r="I86" s="287">
        <f>VLOOKUP(D86,'Margin Calculation'!F:Y,20,0)</f>
        <v>251.99100000000001</v>
      </c>
      <c r="J86" s="287">
        <f>VLOOKUP(D86,'Margin Calculation'!F:Z,21,0)</f>
        <v>297.34938</v>
      </c>
      <c r="K86" s="117">
        <f t="shared" si="0"/>
        <v>28.751999999999999</v>
      </c>
      <c r="L86" s="117">
        <f t="shared" si="31"/>
        <v>14.375999999999999</v>
      </c>
      <c r="M86" s="117">
        <f t="shared" si="2"/>
        <v>23.96</v>
      </c>
      <c r="N86" s="235">
        <f t="shared" si="3"/>
        <v>73.098305084745732</v>
      </c>
      <c r="O86" s="289">
        <f t="shared" si="4"/>
        <v>87.02269491525422</v>
      </c>
      <c r="P86" s="288">
        <f t="shared" si="5"/>
        <v>0.18159994765286774</v>
      </c>
      <c r="Q86" s="289">
        <f t="shared" si="28"/>
        <v>479.2</v>
      </c>
      <c r="R86" s="289"/>
      <c r="S86" s="289">
        <f t="shared" si="7"/>
        <v>509.15</v>
      </c>
      <c r="T86" s="289">
        <f t="shared" si="8"/>
        <v>581.03</v>
      </c>
      <c r="U86" s="289">
        <f>VLOOKUP(D86,'Amazon Live Products'!E:AF,28,0)</f>
        <v>599</v>
      </c>
      <c r="V86" s="117"/>
      <c r="W86" s="289">
        <f t="shared" si="9"/>
        <v>17.970000000000027</v>
      </c>
      <c r="X86" s="117">
        <f t="shared" si="33"/>
        <v>17.97</v>
      </c>
      <c r="Y86" s="117">
        <f t="shared" si="11"/>
        <v>89.85</v>
      </c>
      <c r="Z86" s="117">
        <f t="shared" si="12"/>
        <v>119.80000000000001</v>
      </c>
      <c r="AA86" s="117"/>
      <c r="AB86" s="117"/>
      <c r="AC86" s="117"/>
      <c r="AD86" s="117"/>
      <c r="AE86" s="117"/>
      <c r="AF86" s="117"/>
      <c r="AG86" s="117"/>
    </row>
    <row r="87" spans="1:33">
      <c r="A87" s="117">
        <f t="shared" si="23"/>
        <v>87</v>
      </c>
      <c r="B87" s="117"/>
      <c r="C87" s="117"/>
      <c r="D87" s="2" t="s">
        <v>889</v>
      </c>
      <c r="E87" s="161" t="s">
        <v>890</v>
      </c>
      <c r="F87" s="69" t="str">
        <f>VLOOKUP(D87,'Margin Calculation'!F:I,4,0)</f>
        <v>Home &amp; Kitchen</v>
      </c>
      <c r="G87" s="182" t="s">
        <v>891</v>
      </c>
      <c r="H87" s="182" t="s">
        <v>893</v>
      </c>
      <c r="I87" s="287">
        <f>VLOOKUP(D87,'Margin Calculation'!F:Y,20,0)</f>
        <v>1114.3602000000001</v>
      </c>
      <c r="J87" s="287">
        <f>VLOOKUP(D87,'Margin Calculation'!F:Z,21,0)</f>
        <v>1314.9450360000001</v>
      </c>
      <c r="K87" s="117">
        <f t="shared" si="0"/>
        <v>115.152</v>
      </c>
      <c r="L87" s="117">
        <f t="shared" si="31"/>
        <v>57.576000000000001</v>
      </c>
      <c r="M87" s="117">
        <f t="shared" si="2"/>
        <v>95.960000000000008</v>
      </c>
      <c r="N87" s="235">
        <f t="shared" si="3"/>
        <v>292.75932203389812</v>
      </c>
      <c r="O87" s="289">
        <f t="shared" si="4"/>
        <v>243.39247796610175</v>
      </c>
      <c r="P87" s="288">
        <f t="shared" si="5"/>
        <v>0.12681975717283334</v>
      </c>
      <c r="Q87" s="289">
        <f t="shared" si="28"/>
        <v>1919.2</v>
      </c>
      <c r="R87" s="289"/>
      <c r="S87" s="289">
        <f t="shared" si="7"/>
        <v>2039.15</v>
      </c>
      <c r="T87" s="289">
        <f t="shared" si="8"/>
        <v>2327.0300000000002</v>
      </c>
      <c r="U87" s="289">
        <f>VLOOKUP(D87,'Amazon Live Products'!E:AF,28,0)</f>
        <v>2399</v>
      </c>
      <c r="V87" s="117"/>
      <c r="W87" s="289">
        <f t="shared" si="9"/>
        <v>71.9699999999998</v>
      </c>
      <c r="X87" s="117">
        <f t="shared" si="33"/>
        <v>71.97</v>
      </c>
      <c r="Y87" s="117">
        <f t="shared" si="11"/>
        <v>359.84999999999997</v>
      </c>
      <c r="Z87" s="117">
        <f t="shared" si="12"/>
        <v>479.8</v>
      </c>
      <c r="AA87" s="117"/>
      <c r="AB87" s="117"/>
      <c r="AC87" s="117"/>
      <c r="AD87" s="117"/>
      <c r="AE87" s="117"/>
      <c r="AF87" s="117"/>
      <c r="AG87" s="117"/>
    </row>
    <row r="88" spans="1:33">
      <c r="A88" s="117">
        <f t="shared" si="23"/>
        <v>88</v>
      </c>
      <c r="B88" s="117"/>
      <c r="C88" s="117"/>
      <c r="D88" s="2" t="s">
        <v>895</v>
      </c>
      <c r="E88" s="161" t="s">
        <v>896</v>
      </c>
      <c r="F88" s="69" t="str">
        <f>VLOOKUP(D88,'Margin Calculation'!F:I,4,0)</f>
        <v>Home &amp; Kitchen</v>
      </c>
      <c r="G88" s="182" t="s">
        <v>897</v>
      </c>
      <c r="H88" s="182" t="s">
        <v>899</v>
      </c>
      <c r="I88" s="287">
        <f>VLOOKUP(D88,'Margin Calculation'!F:Y,20,0)</f>
        <v>123.1956</v>
      </c>
      <c r="J88" s="287">
        <f>VLOOKUP(D88,'Margin Calculation'!F:Z,21,0)</f>
        <v>145.37080799999998</v>
      </c>
      <c r="K88" s="117">
        <f t="shared" si="0"/>
        <v>17.231999999999999</v>
      </c>
      <c r="L88" s="117">
        <f t="shared" si="31"/>
        <v>8.6159999999999997</v>
      </c>
      <c r="M88" s="117">
        <f t="shared" si="2"/>
        <v>14.36</v>
      </c>
      <c r="N88" s="235">
        <f t="shared" si="3"/>
        <v>43.810169491525414</v>
      </c>
      <c r="O88" s="289">
        <f t="shared" si="4"/>
        <v>79.986230508474549</v>
      </c>
      <c r="P88" s="288">
        <f t="shared" si="5"/>
        <v>0.2785035881214295</v>
      </c>
      <c r="Q88" s="289">
        <f t="shared" si="28"/>
        <v>287.2</v>
      </c>
      <c r="R88" s="289"/>
      <c r="S88" s="289">
        <f t="shared" si="7"/>
        <v>305.14999999999998</v>
      </c>
      <c r="T88" s="289">
        <f t="shared" si="8"/>
        <v>348.23</v>
      </c>
      <c r="U88" s="289">
        <f>VLOOKUP(D88,'Amazon Live Products'!E:AF,28,0)</f>
        <v>359</v>
      </c>
      <c r="V88" s="117"/>
      <c r="W88" s="289">
        <f t="shared" si="9"/>
        <v>10.769999999999982</v>
      </c>
      <c r="X88" s="117">
        <f t="shared" si="33"/>
        <v>10.77</v>
      </c>
      <c r="Y88" s="117">
        <f t="shared" si="11"/>
        <v>53.85</v>
      </c>
      <c r="Z88" s="117">
        <f t="shared" si="12"/>
        <v>71.8</v>
      </c>
      <c r="AA88" s="117"/>
      <c r="AB88" s="117"/>
      <c r="AC88" s="117"/>
      <c r="AD88" s="117"/>
      <c r="AE88" s="117"/>
      <c r="AF88" s="117"/>
      <c r="AG88" s="117"/>
    </row>
    <row r="89" spans="1:33">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row>
    <row r="90" spans="1:33">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row>
    <row r="91" spans="1:33">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row>
    <row r="92" spans="1:33">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row>
    <row r="93" spans="1:3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row>
    <row r="94" spans="1:33">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row>
    <row r="95" spans="1:33">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row>
    <row r="96" spans="1:33">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row>
    <row r="97" spans="1:33">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row>
    <row r="98" spans="1:33">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row>
    <row r="99" spans="1:33">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row>
    <row r="100" spans="1:33">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row>
    <row r="101" spans="1:33">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row>
    <row r="102" spans="1:33">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row>
    <row r="103" spans="1:3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row>
    <row r="104" spans="1:33">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row>
    <row r="105" spans="1:33">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row>
    <row r="106" spans="1:33">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row>
    <row r="107" spans="1:33">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row>
    <row r="108" spans="1:33">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row>
    <row r="109" spans="1:33">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row>
    <row r="110" spans="1:33">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row>
    <row r="111" spans="1:33">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row>
    <row r="112" spans="1:33">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row>
    <row r="113" spans="1:3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row>
    <row r="114" spans="1:33">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row>
    <row r="115" spans="1:33">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row>
    <row r="116" spans="1:33">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row>
    <row r="117" spans="1:33">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row>
    <row r="118" spans="1:33">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row>
    <row r="119" spans="1:33">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row>
    <row r="120" spans="1:33">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row>
    <row r="121" spans="1:33">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row>
    <row r="122" spans="1:33">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row>
    <row r="123" spans="1:3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row>
    <row r="124" spans="1:33">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row>
    <row r="125" spans="1:33">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row>
    <row r="126" spans="1:33">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row>
    <row r="127" spans="1:33">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row>
    <row r="128" spans="1:33">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row>
    <row r="129" spans="1:33">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row>
    <row r="130" spans="1:33">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row>
    <row r="131" spans="1:33">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row>
    <row r="132" spans="1:33">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row>
    <row r="133" spans="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row>
    <row r="134" spans="1:33">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row>
    <row r="135" spans="1:33">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row>
    <row r="136" spans="1:33">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row>
    <row r="137" spans="1:33">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row>
    <row r="138" spans="1:33">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row>
    <row r="139" spans="1:33">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row>
    <row r="140" spans="1:33">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row>
    <row r="141" spans="1:33">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row>
    <row r="142" spans="1:33">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row>
    <row r="143" spans="1:3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row>
    <row r="144" spans="1:33">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row>
    <row r="145" spans="1:33">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row>
    <row r="146" spans="1:33">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row>
    <row r="147" spans="1:33">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row>
    <row r="148" spans="1:33">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row>
    <row r="149" spans="1:33">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row>
    <row r="150" spans="1:33">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row>
    <row r="151" spans="1:33">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row>
    <row r="152" spans="1:33">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row>
    <row r="153" spans="1:3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row>
    <row r="154" spans="1:33">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row>
    <row r="155" spans="1:33">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row>
    <row r="156" spans="1:33">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row>
    <row r="157" spans="1:33">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row>
    <row r="158" spans="1:33">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row>
    <row r="159" spans="1:33">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row>
    <row r="160" spans="1:33">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row>
    <row r="161" spans="1:33">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row>
    <row r="162" spans="1:33">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row>
    <row r="163" spans="1:3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row>
    <row r="164" spans="1:33">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row>
    <row r="165" spans="1:33">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row>
    <row r="166" spans="1:33">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row>
    <row r="167" spans="1:33">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row>
    <row r="168" spans="1:33">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row>
    <row r="169" spans="1:33">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row>
    <row r="170" spans="1:33">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row>
    <row r="171" spans="1:33">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row>
    <row r="172" spans="1:33">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row>
    <row r="173" spans="1:3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row>
    <row r="174" spans="1:33">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row>
    <row r="175" spans="1:33">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row>
    <row r="176" spans="1:33">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row>
    <row r="177" spans="1:33">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row>
    <row r="178" spans="1:33">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row>
    <row r="179" spans="1:33">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row>
    <row r="180" spans="1:33">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row>
    <row r="181" spans="1:33">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row>
    <row r="182" spans="1:33">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row>
    <row r="183" spans="1:3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row>
    <row r="184" spans="1:33">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row>
    <row r="185" spans="1:33">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row>
    <row r="186" spans="1:33">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row>
    <row r="187" spans="1:33">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row>
    <row r="188" spans="1:33">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row>
    <row r="189" spans="1:33">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row>
    <row r="190" spans="1:33">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row>
    <row r="191" spans="1:33">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row>
    <row r="192" spans="1:33">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row>
    <row r="193" spans="1:3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row>
    <row r="194" spans="1:33">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row>
    <row r="195" spans="1:33">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row>
    <row r="196" spans="1:33">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row>
    <row r="197" spans="1:33">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row>
    <row r="198" spans="1:33">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row>
    <row r="199" spans="1:33">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row>
    <row r="200" spans="1:33">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row>
    <row r="201" spans="1:33">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row>
    <row r="202" spans="1:33">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row>
    <row r="203" spans="1:3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row>
    <row r="204" spans="1:33">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row>
    <row r="205" spans="1:33">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row>
    <row r="206" spans="1:33">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row>
    <row r="207" spans="1:33">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row>
    <row r="208" spans="1:33">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row>
    <row r="209" spans="1:33">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row>
    <row r="210" spans="1:33">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row>
    <row r="211" spans="1:33">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row>
    <row r="212" spans="1:33">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row>
    <row r="213" spans="1:3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row>
    <row r="214" spans="1:33">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row>
    <row r="215" spans="1:33">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row>
    <row r="216" spans="1:33">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row>
    <row r="217" spans="1:33">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row>
    <row r="218" spans="1:33">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row>
    <row r="219" spans="1:33">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row>
    <row r="220" spans="1:33">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row>
    <row r="221" spans="1:33">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row>
    <row r="222" spans="1:33">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row>
    <row r="223" spans="1:3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row>
    <row r="224" spans="1:33">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row>
    <row r="225" spans="1:33">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row>
    <row r="226" spans="1:33">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row>
    <row r="227" spans="1:33">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row>
    <row r="228" spans="1:33">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row>
    <row r="229" spans="1:33">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row>
    <row r="230" spans="1:33">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row>
    <row r="231" spans="1:33">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row>
    <row r="232" spans="1:33">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row>
    <row r="233" spans="1: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row>
    <row r="234" spans="1:33">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row>
    <row r="235" spans="1:33">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row>
    <row r="236" spans="1:33">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row>
    <row r="237" spans="1:33">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row>
    <row r="238" spans="1:33">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row>
    <row r="239" spans="1:33">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row>
    <row r="240" spans="1:33">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row>
    <row r="241" spans="1:33">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row>
    <row r="242" spans="1:33">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row>
    <row r="243" spans="1:3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row>
    <row r="244" spans="1:33">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row>
    <row r="245" spans="1:33">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row>
    <row r="246" spans="1:33">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row>
    <row r="247" spans="1:33">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row>
    <row r="248" spans="1:33">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row>
    <row r="249" spans="1:33">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row>
    <row r="250" spans="1:33">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row>
    <row r="251" spans="1:33">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row>
    <row r="252" spans="1:33">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row>
    <row r="253" spans="1:3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row>
    <row r="254" spans="1:33">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row>
    <row r="255" spans="1:33">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row>
    <row r="256" spans="1:33">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row>
    <row r="257" spans="1:33">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row>
    <row r="258" spans="1:33">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row>
    <row r="259" spans="1:33">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row>
    <row r="260" spans="1:33">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row>
    <row r="261" spans="1:33">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row>
    <row r="262" spans="1:33">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row>
    <row r="263" spans="1:3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row>
    <row r="264" spans="1:33">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row>
    <row r="265" spans="1:33">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row>
    <row r="266" spans="1:33">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row>
    <row r="267" spans="1:33">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row>
    <row r="268" spans="1:33">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row>
    <row r="269" spans="1:33">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row>
    <row r="270" spans="1:33">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row>
    <row r="271" spans="1:33">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row>
    <row r="272" spans="1:33">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row>
    <row r="273" spans="1:3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row>
    <row r="274" spans="1:33">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row>
    <row r="275" spans="1:33">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row>
    <row r="276" spans="1:33">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row>
    <row r="277" spans="1:33">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row>
    <row r="278" spans="1:33">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row>
    <row r="279" spans="1:33">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row>
    <row r="280" spans="1:33">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row>
    <row r="281" spans="1:33">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row>
    <row r="282" spans="1:33">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row>
    <row r="283" spans="1:3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row>
    <row r="284" spans="1:33">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row>
    <row r="285" spans="1:33">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row>
    <row r="286" spans="1:33">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row>
    <row r="287" spans="1:33">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row>
    <row r="288" spans="1:33">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row>
    <row r="289" spans="1:33">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row>
    <row r="290" spans="1:33">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row>
    <row r="291" spans="1:33">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row>
    <row r="292" spans="1:33">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row>
    <row r="293" spans="1:3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row>
    <row r="294" spans="1:33">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row>
    <row r="295" spans="1:33">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row>
    <row r="296" spans="1:33">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row>
    <row r="297" spans="1:33">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row>
    <row r="298" spans="1:33">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row>
    <row r="299" spans="1:33">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row>
    <row r="300" spans="1:33">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row>
    <row r="301" spans="1:33">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row>
    <row r="302" spans="1:33">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row>
    <row r="303" spans="1:3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row>
    <row r="304" spans="1:33">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row>
    <row r="305" spans="1:33">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row>
    <row r="306" spans="1:33">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row>
    <row r="307" spans="1:33">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row>
    <row r="308" spans="1:33">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row>
    <row r="309" spans="1:33">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row>
    <row r="310" spans="1:33">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row>
    <row r="311" spans="1:33">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row>
    <row r="312" spans="1:33">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row>
    <row r="313" spans="1:3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row>
    <row r="314" spans="1:33">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row>
    <row r="315" spans="1:33">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row>
    <row r="316" spans="1:33">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row>
    <row r="317" spans="1:33">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c r="AB317" s="117"/>
      <c r="AC317" s="117"/>
      <c r="AD317" s="117"/>
      <c r="AE317" s="117"/>
      <c r="AF317" s="117"/>
      <c r="AG317" s="117"/>
    </row>
    <row r="318" spans="1:33">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c r="AB318" s="117"/>
      <c r="AC318" s="117"/>
      <c r="AD318" s="117"/>
      <c r="AE318" s="117"/>
      <c r="AF318" s="117"/>
      <c r="AG318" s="117"/>
    </row>
    <row r="319" spans="1:33">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c r="AB319" s="117"/>
      <c r="AC319" s="117"/>
      <c r="AD319" s="117"/>
      <c r="AE319" s="117"/>
      <c r="AF319" s="117"/>
      <c r="AG319" s="117"/>
    </row>
    <row r="320" spans="1:33">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c r="AB320" s="117"/>
      <c r="AC320" s="117"/>
      <c r="AD320" s="117"/>
      <c r="AE320" s="117"/>
      <c r="AF320" s="117"/>
      <c r="AG320" s="117"/>
    </row>
    <row r="321" spans="1:33">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c r="AB321" s="117"/>
      <c r="AC321" s="117"/>
      <c r="AD321" s="117"/>
      <c r="AE321" s="117"/>
      <c r="AF321" s="117"/>
      <c r="AG321" s="117"/>
    </row>
    <row r="322" spans="1:33">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c r="AB322" s="117"/>
      <c r="AC322" s="117"/>
      <c r="AD322" s="117"/>
      <c r="AE322" s="117"/>
      <c r="AF322" s="117"/>
      <c r="AG322" s="117"/>
    </row>
    <row r="323" spans="1:3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c r="AB323" s="117"/>
      <c r="AC323" s="117"/>
      <c r="AD323" s="117"/>
      <c r="AE323" s="117"/>
      <c r="AF323" s="117"/>
      <c r="AG323" s="117"/>
    </row>
    <row r="324" spans="1:33">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c r="AB324" s="117"/>
      <c r="AC324" s="117"/>
      <c r="AD324" s="117"/>
      <c r="AE324" s="117"/>
      <c r="AF324" s="117"/>
      <c r="AG324" s="117"/>
    </row>
    <row r="325" spans="1:33">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c r="AB325" s="117"/>
      <c r="AC325" s="117"/>
      <c r="AD325" s="117"/>
      <c r="AE325" s="117"/>
      <c r="AF325" s="117"/>
      <c r="AG325" s="117"/>
    </row>
    <row r="326" spans="1:33">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c r="AB326" s="117"/>
      <c r="AC326" s="117"/>
      <c r="AD326" s="117"/>
      <c r="AE326" s="117"/>
      <c r="AF326" s="117"/>
      <c r="AG326" s="117"/>
    </row>
    <row r="327" spans="1:33">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c r="AB327" s="117"/>
      <c r="AC327" s="117"/>
      <c r="AD327" s="117"/>
      <c r="AE327" s="117"/>
      <c r="AF327" s="117"/>
      <c r="AG327" s="117"/>
    </row>
    <row r="328" spans="1:33">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c r="AB328" s="117"/>
      <c r="AC328" s="117"/>
      <c r="AD328" s="117"/>
      <c r="AE328" s="117"/>
      <c r="AF328" s="117"/>
      <c r="AG328" s="117"/>
    </row>
    <row r="329" spans="1:33">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c r="AB329" s="117"/>
      <c r="AC329" s="117"/>
      <c r="AD329" s="117"/>
      <c r="AE329" s="117"/>
      <c r="AF329" s="117"/>
      <c r="AG329" s="117"/>
    </row>
    <row r="330" spans="1:33">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c r="AB330" s="117"/>
      <c r="AC330" s="117"/>
      <c r="AD330" s="117"/>
      <c r="AE330" s="117"/>
      <c r="AF330" s="117"/>
      <c r="AG330" s="117"/>
    </row>
    <row r="331" spans="1:33">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c r="AB331" s="117"/>
      <c r="AC331" s="117"/>
      <c r="AD331" s="117"/>
      <c r="AE331" s="117"/>
      <c r="AF331" s="117"/>
      <c r="AG331" s="117"/>
    </row>
    <row r="332" spans="1:33">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c r="AB332" s="117"/>
      <c r="AC332" s="117"/>
      <c r="AD332" s="117"/>
      <c r="AE332" s="117"/>
      <c r="AF332" s="117"/>
      <c r="AG332" s="117"/>
    </row>
    <row r="333" spans="1: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c r="AB333" s="117"/>
      <c r="AC333" s="117"/>
      <c r="AD333" s="117"/>
      <c r="AE333" s="117"/>
      <c r="AF333" s="117"/>
      <c r="AG333" s="117"/>
    </row>
    <row r="334" spans="1:33">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c r="AB334" s="117"/>
      <c r="AC334" s="117"/>
      <c r="AD334" s="117"/>
      <c r="AE334" s="117"/>
      <c r="AF334" s="117"/>
      <c r="AG334" s="117"/>
    </row>
    <row r="335" spans="1:33">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c r="AB335" s="117"/>
      <c r="AC335" s="117"/>
      <c r="AD335" s="117"/>
      <c r="AE335" s="117"/>
      <c r="AF335" s="117"/>
      <c r="AG335" s="117"/>
    </row>
    <row r="336" spans="1:33">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c r="AB336" s="117"/>
      <c r="AC336" s="117"/>
      <c r="AD336" s="117"/>
      <c r="AE336" s="117"/>
      <c r="AF336" s="117"/>
      <c r="AG336" s="117"/>
    </row>
    <row r="337" spans="1:33">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c r="AB337" s="117"/>
      <c r="AC337" s="117"/>
      <c r="AD337" s="117"/>
      <c r="AE337" s="117"/>
      <c r="AF337" s="117"/>
      <c r="AG337" s="117"/>
    </row>
    <row r="338" spans="1:33">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c r="AB338" s="117"/>
      <c r="AC338" s="117"/>
      <c r="AD338" s="117"/>
      <c r="AE338" s="117"/>
      <c r="AF338" s="117"/>
      <c r="AG338" s="117"/>
    </row>
    <row r="339" spans="1:33">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c r="AB339" s="117"/>
      <c r="AC339" s="117"/>
      <c r="AD339" s="117"/>
      <c r="AE339" s="117"/>
      <c r="AF339" s="117"/>
      <c r="AG339" s="117"/>
    </row>
    <row r="340" spans="1:33">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c r="AB340" s="117"/>
      <c r="AC340" s="117"/>
      <c r="AD340" s="117"/>
      <c r="AE340" s="117"/>
      <c r="AF340" s="117"/>
      <c r="AG340" s="117"/>
    </row>
    <row r="341" spans="1:33">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c r="AB341" s="117"/>
      <c r="AC341" s="117"/>
      <c r="AD341" s="117"/>
      <c r="AE341" s="117"/>
      <c r="AF341" s="117"/>
      <c r="AG341" s="117"/>
    </row>
    <row r="342" spans="1:33">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c r="AB342" s="117"/>
      <c r="AC342" s="117"/>
      <c r="AD342" s="117"/>
      <c r="AE342" s="117"/>
      <c r="AF342" s="117"/>
      <c r="AG342" s="117"/>
    </row>
    <row r="343" spans="1:3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c r="AB343" s="117"/>
      <c r="AC343" s="117"/>
      <c r="AD343" s="117"/>
      <c r="AE343" s="117"/>
      <c r="AF343" s="117"/>
      <c r="AG343" s="117"/>
    </row>
    <row r="344" spans="1:33">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c r="AB344" s="117"/>
      <c r="AC344" s="117"/>
      <c r="AD344" s="117"/>
      <c r="AE344" s="117"/>
      <c r="AF344" s="117"/>
      <c r="AG344" s="117"/>
    </row>
    <row r="345" spans="1:33">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c r="AB345" s="117"/>
      <c r="AC345" s="117"/>
      <c r="AD345" s="117"/>
      <c r="AE345" s="117"/>
      <c r="AF345" s="117"/>
      <c r="AG345" s="117"/>
    </row>
    <row r="346" spans="1:33">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c r="AB346" s="117"/>
      <c r="AC346" s="117"/>
      <c r="AD346" s="117"/>
      <c r="AE346" s="117"/>
      <c r="AF346" s="117"/>
      <c r="AG346" s="117"/>
    </row>
    <row r="347" spans="1:33">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c r="AB347" s="117"/>
      <c r="AC347" s="117"/>
      <c r="AD347" s="117"/>
      <c r="AE347" s="117"/>
      <c r="AF347" s="117"/>
      <c r="AG347" s="117"/>
    </row>
    <row r="348" spans="1:33">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c r="AB348" s="117"/>
      <c r="AC348" s="117"/>
      <c r="AD348" s="117"/>
      <c r="AE348" s="117"/>
      <c r="AF348" s="117"/>
      <c r="AG348" s="117"/>
    </row>
    <row r="349" spans="1:33">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c r="AB349" s="117"/>
      <c r="AC349" s="117"/>
      <c r="AD349" s="117"/>
      <c r="AE349" s="117"/>
      <c r="AF349" s="117"/>
      <c r="AG349" s="117"/>
    </row>
    <row r="350" spans="1:33">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c r="AB350" s="117"/>
      <c r="AC350" s="117"/>
      <c r="AD350" s="117"/>
      <c r="AE350" s="117"/>
      <c r="AF350" s="117"/>
      <c r="AG350" s="117"/>
    </row>
    <row r="351" spans="1:33">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c r="AB351" s="117"/>
      <c r="AC351" s="117"/>
      <c r="AD351" s="117"/>
      <c r="AE351" s="117"/>
      <c r="AF351" s="117"/>
      <c r="AG351" s="117"/>
    </row>
    <row r="352" spans="1:33">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c r="AB352" s="117"/>
      <c r="AC352" s="117"/>
      <c r="AD352" s="117"/>
      <c r="AE352" s="117"/>
      <c r="AF352" s="117"/>
      <c r="AG352" s="117"/>
    </row>
    <row r="353" spans="1:3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c r="AB353" s="117"/>
      <c r="AC353" s="117"/>
      <c r="AD353" s="117"/>
      <c r="AE353" s="117"/>
      <c r="AF353" s="117"/>
      <c r="AG353" s="117"/>
    </row>
    <row r="354" spans="1:33">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c r="AB354" s="117"/>
      <c r="AC354" s="117"/>
      <c r="AD354" s="117"/>
      <c r="AE354" s="117"/>
      <c r="AF354" s="117"/>
      <c r="AG354" s="117"/>
    </row>
    <row r="355" spans="1:33">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c r="AB355" s="117"/>
      <c r="AC355" s="117"/>
      <c r="AD355" s="117"/>
      <c r="AE355" s="117"/>
      <c r="AF355" s="117"/>
      <c r="AG355" s="117"/>
    </row>
    <row r="356" spans="1:33">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c r="AB356" s="117"/>
      <c r="AC356" s="117"/>
      <c r="AD356" s="117"/>
      <c r="AE356" s="117"/>
      <c r="AF356" s="117"/>
      <c r="AG356" s="117"/>
    </row>
    <row r="357" spans="1:33">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c r="AB357" s="117"/>
      <c r="AC357" s="117"/>
      <c r="AD357" s="117"/>
      <c r="AE357" s="117"/>
      <c r="AF357" s="117"/>
      <c r="AG357" s="117"/>
    </row>
    <row r="358" spans="1:33">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c r="AB358" s="117"/>
      <c r="AC358" s="117"/>
      <c r="AD358" s="117"/>
      <c r="AE358" s="117"/>
      <c r="AF358" s="117"/>
      <c r="AG358" s="117"/>
    </row>
    <row r="359" spans="1:33">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c r="AB359" s="117"/>
      <c r="AC359" s="117"/>
      <c r="AD359" s="117"/>
      <c r="AE359" s="117"/>
      <c r="AF359" s="117"/>
      <c r="AG359" s="117"/>
    </row>
    <row r="360" spans="1:33">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c r="AB360" s="117"/>
      <c r="AC360" s="117"/>
      <c r="AD360" s="117"/>
      <c r="AE360" s="117"/>
      <c r="AF360" s="117"/>
      <c r="AG360" s="117"/>
    </row>
    <row r="361" spans="1:33">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c r="AB361" s="117"/>
      <c r="AC361" s="117"/>
      <c r="AD361" s="117"/>
      <c r="AE361" s="117"/>
      <c r="AF361" s="117"/>
      <c r="AG361" s="117"/>
    </row>
    <row r="362" spans="1:33">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c r="AB362" s="117"/>
      <c r="AC362" s="117"/>
      <c r="AD362" s="117"/>
      <c r="AE362" s="117"/>
      <c r="AF362" s="117"/>
      <c r="AG362" s="117"/>
    </row>
    <row r="363" spans="1:3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c r="AB363" s="117"/>
      <c r="AC363" s="117"/>
      <c r="AD363" s="117"/>
      <c r="AE363" s="117"/>
      <c r="AF363" s="117"/>
      <c r="AG363" s="117"/>
    </row>
    <row r="364" spans="1:33">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c r="AB364" s="117"/>
      <c r="AC364" s="117"/>
      <c r="AD364" s="117"/>
      <c r="AE364" s="117"/>
      <c r="AF364" s="117"/>
      <c r="AG364" s="117"/>
    </row>
    <row r="365" spans="1:33">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c r="AB365" s="117"/>
      <c r="AC365" s="117"/>
      <c r="AD365" s="117"/>
      <c r="AE365" s="117"/>
      <c r="AF365" s="117"/>
      <c r="AG365" s="117"/>
    </row>
    <row r="366" spans="1:33">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c r="AB366" s="117"/>
      <c r="AC366" s="117"/>
      <c r="AD366" s="117"/>
      <c r="AE366" s="117"/>
      <c r="AF366" s="117"/>
      <c r="AG366" s="117"/>
    </row>
    <row r="367" spans="1:33">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c r="AB367" s="117"/>
      <c r="AC367" s="117"/>
      <c r="AD367" s="117"/>
      <c r="AE367" s="117"/>
      <c r="AF367" s="117"/>
      <c r="AG367" s="117"/>
    </row>
    <row r="368" spans="1:33">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c r="AB368" s="117"/>
      <c r="AC368" s="117"/>
      <c r="AD368" s="117"/>
      <c r="AE368" s="117"/>
      <c r="AF368" s="117"/>
      <c r="AG368" s="117"/>
    </row>
    <row r="369" spans="1:33">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c r="AB369" s="117"/>
      <c r="AC369" s="117"/>
      <c r="AD369" s="117"/>
      <c r="AE369" s="117"/>
      <c r="AF369" s="117"/>
      <c r="AG369" s="117"/>
    </row>
    <row r="370" spans="1:33">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c r="AB370" s="117"/>
      <c r="AC370" s="117"/>
      <c r="AD370" s="117"/>
      <c r="AE370" s="117"/>
      <c r="AF370" s="117"/>
      <c r="AG370" s="117"/>
    </row>
    <row r="371" spans="1:33">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c r="AB371" s="117"/>
      <c r="AC371" s="117"/>
      <c r="AD371" s="117"/>
      <c r="AE371" s="117"/>
      <c r="AF371" s="117"/>
      <c r="AG371" s="117"/>
    </row>
    <row r="372" spans="1:33">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c r="AB372" s="117"/>
      <c r="AC372" s="117"/>
      <c r="AD372" s="117"/>
      <c r="AE372" s="117"/>
      <c r="AF372" s="117"/>
      <c r="AG372" s="117"/>
    </row>
    <row r="373" spans="1:3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c r="AB373" s="117"/>
      <c r="AC373" s="117"/>
      <c r="AD373" s="117"/>
      <c r="AE373" s="117"/>
      <c r="AF373" s="117"/>
      <c r="AG373" s="117"/>
    </row>
    <row r="374" spans="1:33">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c r="AB374" s="117"/>
      <c r="AC374" s="117"/>
      <c r="AD374" s="117"/>
      <c r="AE374" s="117"/>
      <c r="AF374" s="117"/>
      <c r="AG374" s="117"/>
    </row>
    <row r="375" spans="1:33">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c r="AB375" s="117"/>
      <c r="AC375" s="117"/>
      <c r="AD375" s="117"/>
      <c r="AE375" s="117"/>
      <c r="AF375" s="117"/>
      <c r="AG375" s="117"/>
    </row>
    <row r="376" spans="1:33">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c r="AB376" s="117"/>
      <c r="AC376" s="117"/>
      <c r="AD376" s="117"/>
      <c r="AE376" s="117"/>
      <c r="AF376" s="117"/>
      <c r="AG376" s="117"/>
    </row>
    <row r="377" spans="1:33">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c r="AB377" s="117"/>
      <c r="AC377" s="117"/>
      <c r="AD377" s="117"/>
      <c r="AE377" s="117"/>
      <c r="AF377" s="117"/>
      <c r="AG377" s="117"/>
    </row>
    <row r="378" spans="1:33">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c r="AB378" s="117"/>
      <c r="AC378" s="117"/>
      <c r="AD378" s="117"/>
      <c r="AE378" s="117"/>
      <c r="AF378" s="117"/>
      <c r="AG378" s="117"/>
    </row>
    <row r="379" spans="1:33">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c r="AB379" s="117"/>
      <c r="AC379" s="117"/>
      <c r="AD379" s="117"/>
      <c r="AE379" s="117"/>
      <c r="AF379" s="117"/>
      <c r="AG379" s="117"/>
    </row>
    <row r="380" spans="1:33">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c r="AB380" s="117"/>
      <c r="AC380" s="117"/>
      <c r="AD380" s="117"/>
      <c r="AE380" s="117"/>
      <c r="AF380" s="117"/>
      <c r="AG380" s="117"/>
    </row>
    <row r="381" spans="1:33">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c r="AB381" s="117"/>
      <c r="AC381" s="117"/>
      <c r="AD381" s="117"/>
      <c r="AE381" s="117"/>
      <c r="AF381" s="117"/>
      <c r="AG381" s="117"/>
    </row>
    <row r="382" spans="1:33">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c r="AB382" s="117"/>
      <c r="AC382" s="117"/>
      <c r="AD382" s="117"/>
      <c r="AE382" s="117"/>
      <c r="AF382" s="117"/>
      <c r="AG382" s="117"/>
    </row>
    <row r="383" spans="1:3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c r="AB383" s="117"/>
      <c r="AC383" s="117"/>
      <c r="AD383" s="117"/>
      <c r="AE383" s="117"/>
      <c r="AF383" s="117"/>
      <c r="AG383" s="117"/>
    </row>
    <row r="384" spans="1:33">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c r="AB384" s="117"/>
      <c r="AC384" s="117"/>
      <c r="AD384" s="117"/>
      <c r="AE384" s="117"/>
      <c r="AF384" s="117"/>
      <c r="AG384" s="117"/>
    </row>
    <row r="385" spans="1:33">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c r="AB385" s="117"/>
      <c r="AC385" s="117"/>
      <c r="AD385" s="117"/>
      <c r="AE385" s="117"/>
      <c r="AF385" s="117"/>
      <c r="AG385" s="117"/>
    </row>
    <row r="386" spans="1:33">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c r="AB386" s="117"/>
      <c r="AC386" s="117"/>
      <c r="AD386" s="117"/>
      <c r="AE386" s="117"/>
      <c r="AF386" s="117"/>
      <c r="AG386" s="117"/>
    </row>
    <row r="387" spans="1:33">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c r="AB387" s="117"/>
      <c r="AC387" s="117"/>
      <c r="AD387" s="117"/>
      <c r="AE387" s="117"/>
      <c r="AF387" s="117"/>
      <c r="AG387" s="117"/>
    </row>
    <row r="388" spans="1:33">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c r="AB388" s="117"/>
      <c r="AC388" s="117"/>
      <c r="AD388" s="117"/>
      <c r="AE388" s="117"/>
      <c r="AF388" s="117"/>
      <c r="AG388" s="117"/>
    </row>
    <row r="389" spans="1:33">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c r="AB389" s="117"/>
      <c r="AC389" s="117"/>
      <c r="AD389" s="117"/>
      <c r="AE389" s="117"/>
      <c r="AF389" s="117"/>
      <c r="AG389" s="117"/>
    </row>
    <row r="390" spans="1:33">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c r="AB390" s="117"/>
      <c r="AC390" s="117"/>
      <c r="AD390" s="117"/>
      <c r="AE390" s="117"/>
      <c r="AF390" s="117"/>
      <c r="AG390" s="117"/>
    </row>
    <row r="391" spans="1:33">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c r="AB391" s="117"/>
      <c r="AC391" s="117"/>
      <c r="AD391" s="117"/>
      <c r="AE391" s="117"/>
      <c r="AF391" s="117"/>
      <c r="AG391" s="117"/>
    </row>
    <row r="392" spans="1:33">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c r="AB392" s="117"/>
      <c r="AC392" s="117"/>
      <c r="AD392" s="117"/>
      <c r="AE392" s="117"/>
      <c r="AF392" s="117"/>
      <c r="AG392" s="117"/>
    </row>
    <row r="393" spans="1:3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c r="AB393" s="117"/>
      <c r="AC393" s="117"/>
      <c r="AD393" s="117"/>
      <c r="AE393" s="117"/>
      <c r="AF393" s="117"/>
      <c r="AG393" s="117"/>
    </row>
    <row r="394" spans="1:33">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c r="AB394" s="117"/>
      <c r="AC394" s="117"/>
      <c r="AD394" s="117"/>
      <c r="AE394" s="117"/>
      <c r="AF394" s="117"/>
      <c r="AG394" s="117"/>
    </row>
    <row r="395" spans="1:33">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c r="AB395" s="117"/>
      <c r="AC395" s="117"/>
      <c r="AD395" s="117"/>
      <c r="AE395" s="117"/>
      <c r="AF395" s="117"/>
      <c r="AG395" s="117"/>
    </row>
    <row r="396" spans="1:33">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row>
    <row r="397" spans="1:33">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row>
    <row r="398" spans="1:33">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c r="AB398" s="117"/>
      <c r="AC398" s="117"/>
      <c r="AD398" s="117"/>
      <c r="AE398" s="117"/>
      <c r="AF398" s="117"/>
      <c r="AG398" s="117"/>
    </row>
    <row r="399" spans="1:33">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c r="AB399" s="117"/>
      <c r="AC399" s="117"/>
      <c r="AD399" s="117"/>
      <c r="AE399" s="117"/>
      <c r="AF399" s="117"/>
      <c r="AG399" s="117"/>
    </row>
    <row r="400" spans="1:33">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row>
    <row r="401" spans="1:33">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row>
    <row r="402" spans="1:33">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c r="AB402" s="117"/>
      <c r="AC402" s="117"/>
      <c r="AD402" s="117"/>
      <c r="AE402" s="117"/>
      <c r="AF402" s="117"/>
      <c r="AG402" s="117"/>
    </row>
    <row r="403" spans="1:3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c r="AB403" s="117"/>
      <c r="AC403" s="117"/>
      <c r="AD403" s="117"/>
      <c r="AE403" s="117"/>
      <c r="AF403" s="117"/>
      <c r="AG403" s="117"/>
    </row>
    <row r="404" spans="1:33">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c r="AB404" s="117"/>
      <c r="AC404" s="117"/>
      <c r="AD404" s="117"/>
      <c r="AE404" s="117"/>
      <c r="AF404" s="117"/>
      <c r="AG404" s="117"/>
    </row>
    <row r="405" spans="1:33">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c r="AB405" s="117"/>
      <c r="AC405" s="117"/>
      <c r="AD405" s="117"/>
      <c r="AE405" s="117"/>
      <c r="AF405" s="117"/>
      <c r="AG405" s="117"/>
    </row>
    <row r="406" spans="1:33">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c r="AB406" s="117"/>
      <c r="AC406" s="117"/>
      <c r="AD406" s="117"/>
      <c r="AE406" s="117"/>
      <c r="AF406" s="117"/>
      <c r="AG406" s="117"/>
    </row>
    <row r="407" spans="1:33">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row>
    <row r="408" spans="1:33">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c r="AB408" s="117"/>
      <c r="AC408" s="117"/>
      <c r="AD408" s="117"/>
      <c r="AE408" s="117"/>
      <c r="AF408" s="117"/>
      <c r="AG408" s="117"/>
    </row>
    <row r="409" spans="1:33">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c r="AB409" s="117"/>
      <c r="AC409" s="117"/>
      <c r="AD409" s="117"/>
      <c r="AE409" s="117"/>
      <c r="AF409" s="117"/>
      <c r="AG409" s="117"/>
    </row>
    <row r="410" spans="1:33">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7"/>
      <c r="AE410" s="117"/>
      <c r="AF410" s="117"/>
      <c r="AG410" s="117"/>
    </row>
    <row r="411" spans="1:33">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c r="AB411" s="117"/>
      <c r="AC411" s="117"/>
      <c r="AD411" s="117"/>
      <c r="AE411" s="117"/>
      <c r="AF411" s="117"/>
      <c r="AG411" s="117"/>
    </row>
    <row r="412" spans="1:33">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c r="AB412" s="117"/>
      <c r="AC412" s="117"/>
      <c r="AD412" s="117"/>
      <c r="AE412" s="117"/>
      <c r="AF412" s="117"/>
      <c r="AG412" s="117"/>
    </row>
    <row r="413" spans="1:3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c r="AB413" s="117"/>
      <c r="AC413" s="117"/>
      <c r="AD413" s="117"/>
      <c r="AE413" s="117"/>
      <c r="AF413" s="117"/>
      <c r="AG413" s="117"/>
    </row>
    <row r="414" spans="1:33">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c r="AB414" s="117"/>
      <c r="AC414" s="117"/>
      <c r="AD414" s="117"/>
      <c r="AE414" s="117"/>
      <c r="AF414" s="117"/>
      <c r="AG414" s="117"/>
    </row>
    <row r="415" spans="1:33">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row>
    <row r="416" spans="1:33">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row>
    <row r="417" spans="1:33">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c r="AB417" s="117"/>
      <c r="AC417" s="117"/>
      <c r="AD417" s="117"/>
      <c r="AE417" s="117"/>
      <c r="AF417" s="117"/>
      <c r="AG417" s="117"/>
    </row>
    <row r="418" spans="1:33">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c r="AB418" s="117"/>
      <c r="AC418" s="117"/>
      <c r="AD418" s="117"/>
      <c r="AE418" s="117"/>
      <c r="AF418" s="117"/>
      <c r="AG418" s="117"/>
    </row>
    <row r="419" spans="1:33">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c r="AB419" s="117"/>
      <c r="AC419" s="117"/>
      <c r="AD419" s="117"/>
      <c r="AE419" s="117"/>
      <c r="AF419" s="117"/>
      <c r="AG419" s="117"/>
    </row>
    <row r="420" spans="1:33">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c r="AB420" s="117"/>
      <c r="AC420" s="117"/>
      <c r="AD420" s="117"/>
      <c r="AE420" s="117"/>
      <c r="AF420" s="117"/>
      <c r="AG420" s="117"/>
    </row>
    <row r="421" spans="1:33">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c r="AB421" s="117"/>
      <c r="AC421" s="117"/>
      <c r="AD421" s="117"/>
      <c r="AE421" s="117"/>
      <c r="AF421" s="117"/>
      <c r="AG421" s="117"/>
    </row>
    <row r="422" spans="1:33">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c r="AB422" s="117"/>
      <c r="AC422" s="117"/>
      <c r="AD422" s="117"/>
      <c r="AE422" s="117"/>
      <c r="AF422" s="117"/>
      <c r="AG422" s="117"/>
    </row>
    <row r="423" spans="1:3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c r="AB423" s="117"/>
      <c r="AC423" s="117"/>
      <c r="AD423" s="117"/>
      <c r="AE423" s="117"/>
      <c r="AF423" s="117"/>
      <c r="AG423" s="117"/>
    </row>
    <row r="424" spans="1:33">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c r="AB424" s="117"/>
      <c r="AC424" s="117"/>
      <c r="AD424" s="117"/>
      <c r="AE424" s="117"/>
      <c r="AF424" s="117"/>
      <c r="AG424" s="117"/>
    </row>
    <row r="425" spans="1:33">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c r="AB425" s="117"/>
      <c r="AC425" s="117"/>
      <c r="AD425" s="117"/>
      <c r="AE425" s="117"/>
      <c r="AF425" s="117"/>
      <c r="AG425" s="117"/>
    </row>
    <row r="426" spans="1:33">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c r="AB426" s="117"/>
      <c r="AC426" s="117"/>
      <c r="AD426" s="117"/>
      <c r="AE426" s="117"/>
      <c r="AF426" s="117"/>
      <c r="AG426" s="117"/>
    </row>
    <row r="427" spans="1:33">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c r="AB427" s="117"/>
      <c r="AC427" s="117"/>
      <c r="AD427" s="117"/>
      <c r="AE427" s="117"/>
      <c r="AF427" s="117"/>
      <c r="AG427" s="117"/>
    </row>
    <row r="428" spans="1:33">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c r="AB428" s="117"/>
      <c r="AC428" s="117"/>
      <c r="AD428" s="117"/>
      <c r="AE428" s="117"/>
      <c r="AF428" s="117"/>
      <c r="AG428" s="117"/>
    </row>
    <row r="429" spans="1:33">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c r="AB429" s="117"/>
      <c r="AC429" s="117"/>
      <c r="AD429" s="117"/>
      <c r="AE429" s="117"/>
      <c r="AF429" s="117"/>
      <c r="AG429" s="117"/>
    </row>
    <row r="430" spans="1:33">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c r="AB430" s="117"/>
      <c r="AC430" s="117"/>
      <c r="AD430" s="117"/>
      <c r="AE430" s="117"/>
      <c r="AF430" s="117"/>
      <c r="AG430" s="117"/>
    </row>
    <row r="431" spans="1:33">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c r="AB431" s="117"/>
      <c r="AC431" s="117"/>
      <c r="AD431" s="117"/>
      <c r="AE431" s="117"/>
      <c r="AF431" s="117"/>
      <c r="AG431" s="117"/>
    </row>
    <row r="432" spans="1:33">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c r="AB432" s="117"/>
      <c r="AC432" s="117"/>
      <c r="AD432" s="117"/>
      <c r="AE432" s="117"/>
      <c r="AF432" s="117"/>
      <c r="AG432" s="117"/>
    </row>
    <row r="433" spans="1: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c r="AB433" s="117"/>
      <c r="AC433" s="117"/>
      <c r="AD433" s="117"/>
      <c r="AE433" s="117"/>
      <c r="AF433" s="117"/>
      <c r="AG433" s="117"/>
    </row>
    <row r="434" spans="1:33">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c r="AB434" s="117"/>
      <c r="AC434" s="117"/>
      <c r="AD434" s="117"/>
      <c r="AE434" s="117"/>
      <c r="AF434" s="117"/>
      <c r="AG434" s="117"/>
    </row>
    <row r="435" spans="1:33">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c r="AB435" s="117"/>
      <c r="AC435" s="117"/>
      <c r="AD435" s="117"/>
      <c r="AE435" s="117"/>
      <c r="AF435" s="117"/>
      <c r="AG435" s="117"/>
    </row>
    <row r="436" spans="1:33">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c r="AB436" s="117"/>
      <c r="AC436" s="117"/>
      <c r="AD436" s="117"/>
      <c r="AE436" s="117"/>
      <c r="AF436" s="117"/>
      <c r="AG436" s="117"/>
    </row>
    <row r="437" spans="1:33">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7"/>
      <c r="AE437" s="117"/>
      <c r="AF437" s="117"/>
      <c r="AG437" s="117"/>
    </row>
    <row r="438" spans="1:33">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c r="AB438" s="117"/>
      <c r="AC438" s="117"/>
      <c r="AD438" s="117"/>
      <c r="AE438" s="117"/>
      <c r="AF438" s="117"/>
      <c r="AG438" s="117"/>
    </row>
    <row r="439" spans="1:33">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c r="AB439" s="117"/>
      <c r="AC439" s="117"/>
      <c r="AD439" s="117"/>
      <c r="AE439" s="117"/>
      <c r="AF439" s="117"/>
      <c r="AG439" s="117"/>
    </row>
    <row r="440" spans="1:33">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c r="AB440" s="117"/>
      <c r="AC440" s="117"/>
      <c r="AD440" s="117"/>
      <c r="AE440" s="117"/>
      <c r="AF440" s="117"/>
      <c r="AG440" s="117"/>
    </row>
    <row r="441" spans="1:33">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c r="AB441" s="117"/>
      <c r="AC441" s="117"/>
      <c r="AD441" s="117"/>
      <c r="AE441" s="117"/>
      <c r="AF441" s="117"/>
      <c r="AG441" s="117"/>
    </row>
    <row r="442" spans="1:33">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c r="AB442" s="117"/>
      <c r="AC442" s="117"/>
      <c r="AD442" s="117"/>
      <c r="AE442" s="117"/>
      <c r="AF442" s="117"/>
      <c r="AG442" s="117"/>
    </row>
    <row r="443" spans="1:3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c r="AB443" s="117"/>
      <c r="AC443" s="117"/>
      <c r="AD443" s="117"/>
      <c r="AE443" s="117"/>
      <c r="AF443" s="117"/>
      <c r="AG443" s="117"/>
    </row>
    <row r="444" spans="1:33">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c r="AB444" s="117"/>
      <c r="AC444" s="117"/>
      <c r="AD444" s="117"/>
      <c r="AE444" s="117"/>
      <c r="AF444" s="117"/>
      <c r="AG444" s="117"/>
    </row>
    <row r="445" spans="1:33">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c r="AB445" s="117"/>
      <c r="AC445" s="117"/>
      <c r="AD445" s="117"/>
      <c r="AE445" s="117"/>
      <c r="AF445" s="117"/>
      <c r="AG445" s="117"/>
    </row>
    <row r="446" spans="1:33">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c r="AB446" s="117"/>
      <c r="AC446" s="117"/>
      <c r="AD446" s="117"/>
      <c r="AE446" s="117"/>
      <c r="AF446" s="117"/>
      <c r="AG446" s="117"/>
    </row>
    <row r="447" spans="1:33">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c r="AB447" s="117"/>
      <c r="AC447" s="117"/>
      <c r="AD447" s="117"/>
      <c r="AE447" s="117"/>
      <c r="AF447" s="117"/>
      <c r="AG447" s="117"/>
    </row>
    <row r="448" spans="1:33">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c r="AB448" s="117"/>
      <c r="AC448" s="117"/>
      <c r="AD448" s="117"/>
      <c r="AE448" s="117"/>
      <c r="AF448" s="117"/>
      <c r="AG448" s="117"/>
    </row>
    <row r="449" spans="1:33">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c r="AB449" s="117"/>
      <c r="AC449" s="117"/>
      <c r="AD449" s="117"/>
      <c r="AE449" s="117"/>
      <c r="AF449" s="117"/>
      <c r="AG449" s="117"/>
    </row>
    <row r="450" spans="1:33">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c r="AB450" s="117"/>
      <c r="AC450" s="117"/>
      <c r="AD450" s="117"/>
      <c r="AE450" s="117"/>
      <c r="AF450" s="117"/>
      <c r="AG450" s="117"/>
    </row>
    <row r="451" spans="1:33">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c r="AB451" s="117"/>
      <c r="AC451" s="117"/>
      <c r="AD451" s="117"/>
      <c r="AE451" s="117"/>
      <c r="AF451" s="117"/>
      <c r="AG451" s="117"/>
    </row>
    <row r="452" spans="1:33">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row>
    <row r="453" spans="1:3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7"/>
      <c r="AE453" s="117"/>
      <c r="AF453" s="117"/>
      <c r="AG453" s="117"/>
    </row>
    <row r="454" spans="1:33">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row>
    <row r="455" spans="1:33">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c r="AB455" s="117"/>
      <c r="AC455" s="117"/>
      <c r="AD455" s="117"/>
      <c r="AE455" s="117"/>
      <c r="AF455" s="117"/>
      <c r="AG455" s="117"/>
    </row>
    <row r="456" spans="1:33">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c r="AB456" s="117"/>
      <c r="AC456" s="117"/>
      <c r="AD456" s="117"/>
      <c r="AE456" s="117"/>
      <c r="AF456" s="117"/>
      <c r="AG456" s="117"/>
    </row>
    <row r="457" spans="1:33">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c r="AB457" s="117"/>
      <c r="AC457" s="117"/>
      <c r="AD457" s="117"/>
      <c r="AE457" s="117"/>
      <c r="AF457" s="117"/>
      <c r="AG457" s="117"/>
    </row>
    <row r="458" spans="1:33">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c r="AB458" s="117"/>
      <c r="AC458" s="117"/>
      <c r="AD458" s="117"/>
      <c r="AE458" s="117"/>
      <c r="AF458" s="117"/>
      <c r="AG458" s="117"/>
    </row>
    <row r="459" spans="1:33">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c r="AB459" s="117"/>
      <c r="AC459" s="117"/>
      <c r="AD459" s="117"/>
      <c r="AE459" s="117"/>
      <c r="AF459" s="117"/>
      <c r="AG459" s="117"/>
    </row>
    <row r="460" spans="1:33">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row>
    <row r="461" spans="1:33">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c r="AB461" s="117"/>
      <c r="AC461" s="117"/>
      <c r="AD461" s="117"/>
      <c r="AE461" s="117"/>
      <c r="AF461" s="117"/>
      <c r="AG461" s="117"/>
    </row>
    <row r="462" spans="1:33">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c r="AB462" s="117"/>
      <c r="AC462" s="117"/>
      <c r="AD462" s="117"/>
      <c r="AE462" s="117"/>
      <c r="AF462" s="117"/>
      <c r="AG462" s="117"/>
    </row>
    <row r="463" spans="1:3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c r="AB463" s="117"/>
      <c r="AC463" s="117"/>
      <c r="AD463" s="117"/>
      <c r="AE463" s="117"/>
      <c r="AF463" s="117"/>
      <c r="AG463" s="117"/>
    </row>
    <row r="464" spans="1:33">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c r="AB464" s="117"/>
      <c r="AC464" s="117"/>
      <c r="AD464" s="117"/>
      <c r="AE464" s="117"/>
      <c r="AF464" s="117"/>
      <c r="AG464" s="117"/>
    </row>
    <row r="465" spans="1:33">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c r="AB465" s="117"/>
      <c r="AC465" s="117"/>
      <c r="AD465" s="117"/>
      <c r="AE465" s="117"/>
      <c r="AF465" s="117"/>
      <c r="AG465" s="117"/>
    </row>
    <row r="466" spans="1:33">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c r="AB466" s="117"/>
      <c r="AC466" s="117"/>
      <c r="AD466" s="117"/>
      <c r="AE466" s="117"/>
      <c r="AF466" s="117"/>
      <c r="AG466" s="117"/>
    </row>
    <row r="467" spans="1:33">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c r="AB467" s="117"/>
      <c r="AC467" s="117"/>
      <c r="AD467" s="117"/>
      <c r="AE467" s="117"/>
      <c r="AF467" s="117"/>
      <c r="AG467" s="117"/>
    </row>
    <row r="468" spans="1:33">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c r="AB468" s="117"/>
      <c r="AC468" s="117"/>
      <c r="AD468" s="117"/>
      <c r="AE468" s="117"/>
      <c r="AF468" s="117"/>
      <c r="AG468" s="117"/>
    </row>
    <row r="469" spans="1:33">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c r="AB469" s="117"/>
      <c r="AC469" s="117"/>
      <c r="AD469" s="117"/>
      <c r="AE469" s="117"/>
      <c r="AF469" s="117"/>
      <c r="AG469" s="117"/>
    </row>
    <row r="470" spans="1:33">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c r="AB470" s="117"/>
      <c r="AC470" s="117"/>
      <c r="AD470" s="117"/>
      <c r="AE470" s="117"/>
      <c r="AF470" s="117"/>
      <c r="AG470" s="117"/>
    </row>
    <row r="471" spans="1:33">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c r="AB471" s="117"/>
      <c r="AC471" s="117"/>
      <c r="AD471" s="117"/>
      <c r="AE471" s="117"/>
      <c r="AF471" s="117"/>
      <c r="AG471" s="117"/>
    </row>
    <row r="472" spans="1:33">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c r="AB472" s="117"/>
      <c r="AC472" s="117"/>
      <c r="AD472" s="117"/>
      <c r="AE472" s="117"/>
      <c r="AF472" s="117"/>
      <c r="AG472" s="117"/>
    </row>
    <row r="473" spans="1:3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row>
    <row r="474" spans="1:33">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row>
    <row r="475" spans="1:33">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row>
    <row r="476" spans="1:33">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row>
    <row r="477" spans="1:33">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row>
    <row r="478" spans="1:33">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row>
    <row r="479" spans="1:33">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row>
    <row r="480" spans="1:33">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row>
    <row r="481" spans="1:33">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row>
    <row r="482" spans="1:33">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c r="AB482" s="117"/>
      <c r="AC482" s="117"/>
      <c r="AD482" s="117"/>
      <c r="AE482" s="117"/>
      <c r="AF482" s="117"/>
      <c r="AG482" s="117"/>
    </row>
    <row r="483" spans="1:3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row>
    <row r="484" spans="1:33">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row>
    <row r="485" spans="1:33">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row>
    <row r="486" spans="1:33">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row>
    <row r="487" spans="1:33">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row>
    <row r="488" spans="1:33">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row>
    <row r="489" spans="1:33">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row>
    <row r="490" spans="1:33">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row>
    <row r="491" spans="1:33">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row>
    <row r="492" spans="1:33">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row>
    <row r="493" spans="1:3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row>
    <row r="494" spans="1:33">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row>
    <row r="495" spans="1:33">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row>
    <row r="496" spans="1:33">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row>
    <row r="497" spans="1:33">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row>
    <row r="498" spans="1:33">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row>
    <row r="499" spans="1:33">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row>
    <row r="500" spans="1:33">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row>
    <row r="501" spans="1:33">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row>
    <row r="502" spans="1:33">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row>
    <row r="503" spans="1:3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row>
    <row r="504" spans="1:33">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row>
    <row r="505" spans="1:33">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row>
    <row r="506" spans="1:33">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row>
    <row r="507" spans="1:33">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row>
    <row r="508" spans="1:33">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row>
    <row r="509" spans="1:33">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row>
    <row r="510" spans="1:33">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row>
    <row r="511" spans="1:33">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row>
    <row r="512" spans="1:33">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row>
    <row r="513" spans="1:3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row>
    <row r="514" spans="1:33">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row>
    <row r="515" spans="1:33">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row>
    <row r="516" spans="1:33">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row>
    <row r="517" spans="1:33">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row>
    <row r="518" spans="1:33">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row>
    <row r="519" spans="1:33">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row>
    <row r="520" spans="1:33">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row>
    <row r="521" spans="1:33">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row>
    <row r="522" spans="1:33">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row>
    <row r="523" spans="1:3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row>
    <row r="524" spans="1:33">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row>
    <row r="525" spans="1:33">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row>
    <row r="526" spans="1:33">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c r="AB526" s="117"/>
      <c r="AC526" s="117"/>
      <c r="AD526" s="117"/>
      <c r="AE526" s="117"/>
      <c r="AF526" s="117"/>
      <c r="AG526" s="117"/>
    </row>
    <row r="527" spans="1:33">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c r="AB527" s="117"/>
      <c r="AC527" s="117"/>
      <c r="AD527" s="117"/>
      <c r="AE527" s="117"/>
      <c r="AF527" s="117"/>
      <c r="AG527" s="117"/>
    </row>
    <row r="528" spans="1:33">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c r="AB528" s="117"/>
      <c r="AC528" s="117"/>
      <c r="AD528" s="117"/>
      <c r="AE528" s="117"/>
      <c r="AF528" s="117"/>
      <c r="AG528" s="117"/>
    </row>
    <row r="529" spans="1:33">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c r="AB529" s="117"/>
      <c r="AC529" s="117"/>
      <c r="AD529" s="117"/>
      <c r="AE529" s="117"/>
      <c r="AF529" s="117"/>
      <c r="AG529" s="117"/>
    </row>
    <row r="530" spans="1:33">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c r="AB530" s="117"/>
      <c r="AC530" s="117"/>
      <c r="AD530" s="117"/>
      <c r="AE530" s="117"/>
      <c r="AF530" s="117"/>
      <c r="AG530" s="117"/>
    </row>
    <row r="531" spans="1:33">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c r="AB531" s="117"/>
      <c r="AC531" s="117"/>
      <c r="AD531" s="117"/>
      <c r="AE531" s="117"/>
      <c r="AF531" s="117"/>
      <c r="AG531" s="117"/>
    </row>
    <row r="532" spans="1:33">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c r="AB532" s="117"/>
      <c r="AC532" s="117"/>
      <c r="AD532" s="117"/>
      <c r="AE532" s="117"/>
      <c r="AF532" s="117"/>
      <c r="AG532" s="117"/>
    </row>
    <row r="533" spans="1: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c r="AB533" s="117"/>
      <c r="AC533" s="117"/>
      <c r="AD533" s="117"/>
      <c r="AE533" s="117"/>
      <c r="AF533" s="117"/>
      <c r="AG533" s="117"/>
    </row>
    <row r="534" spans="1:33">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c r="AB534" s="117"/>
      <c r="AC534" s="117"/>
      <c r="AD534" s="117"/>
      <c r="AE534" s="117"/>
      <c r="AF534" s="117"/>
      <c r="AG534" s="117"/>
    </row>
    <row r="535" spans="1:33">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c r="AB535" s="117"/>
      <c r="AC535" s="117"/>
      <c r="AD535" s="117"/>
      <c r="AE535" s="117"/>
      <c r="AF535" s="117"/>
      <c r="AG535" s="117"/>
    </row>
    <row r="536" spans="1:33">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c r="AB536" s="117"/>
      <c r="AC536" s="117"/>
      <c r="AD536" s="117"/>
      <c r="AE536" s="117"/>
      <c r="AF536" s="117"/>
      <c r="AG536" s="117"/>
    </row>
    <row r="537" spans="1:33">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c r="AB537" s="117"/>
      <c r="AC537" s="117"/>
      <c r="AD537" s="117"/>
      <c r="AE537" s="117"/>
      <c r="AF537" s="117"/>
      <c r="AG537" s="117"/>
    </row>
    <row r="538" spans="1:33">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c r="AB538" s="117"/>
      <c r="AC538" s="117"/>
      <c r="AD538" s="117"/>
      <c r="AE538" s="117"/>
      <c r="AF538" s="117"/>
      <c r="AG538" s="117"/>
    </row>
    <row r="539" spans="1:33">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c r="AB539" s="117"/>
      <c r="AC539" s="117"/>
      <c r="AD539" s="117"/>
      <c r="AE539" s="117"/>
      <c r="AF539" s="117"/>
      <c r="AG539" s="117"/>
    </row>
    <row r="540" spans="1:33">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c r="AB540" s="117"/>
      <c r="AC540" s="117"/>
      <c r="AD540" s="117"/>
      <c r="AE540" s="117"/>
      <c r="AF540" s="117"/>
      <c r="AG540" s="117"/>
    </row>
    <row r="541" spans="1:33">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c r="AB541" s="117"/>
      <c r="AC541" s="117"/>
      <c r="AD541" s="117"/>
      <c r="AE541" s="117"/>
      <c r="AF541" s="117"/>
      <c r="AG541" s="117"/>
    </row>
    <row r="542" spans="1:33">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c r="AB542" s="117"/>
      <c r="AC542" s="117"/>
      <c r="AD542" s="117"/>
      <c r="AE542" s="117"/>
      <c r="AF542" s="117"/>
      <c r="AG542" s="117"/>
    </row>
    <row r="543" spans="1:3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c r="AB543" s="117"/>
      <c r="AC543" s="117"/>
      <c r="AD543" s="117"/>
      <c r="AE543" s="117"/>
      <c r="AF543" s="117"/>
      <c r="AG543" s="117"/>
    </row>
    <row r="544" spans="1:33">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row>
    <row r="545" spans="1:33">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c r="AB545" s="117"/>
      <c r="AC545" s="117"/>
      <c r="AD545" s="117"/>
      <c r="AE545" s="117"/>
      <c r="AF545" s="117"/>
      <c r="AG545" s="117"/>
    </row>
    <row r="546" spans="1:33">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row>
    <row r="547" spans="1:33">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row>
    <row r="548" spans="1:33">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c r="AB548" s="117"/>
      <c r="AC548" s="117"/>
      <c r="AD548" s="117"/>
      <c r="AE548" s="117"/>
      <c r="AF548" s="117"/>
      <c r="AG548" s="117"/>
    </row>
    <row r="549" spans="1:33">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c r="AB549" s="117"/>
      <c r="AC549" s="117"/>
      <c r="AD549" s="117"/>
      <c r="AE549" s="117"/>
      <c r="AF549" s="117"/>
      <c r="AG549" s="117"/>
    </row>
    <row r="550" spans="1:33">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c r="AB550" s="117"/>
      <c r="AC550" s="117"/>
      <c r="AD550" s="117"/>
      <c r="AE550" s="117"/>
      <c r="AF550" s="117"/>
      <c r="AG550" s="117"/>
    </row>
    <row r="551" spans="1:33">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c r="AB551" s="117"/>
      <c r="AC551" s="117"/>
      <c r="AD551" s="117"/>
      <c r="AE551" s="117"/>
      <c r="AF551" s="117"/>
      <c r="AG551" s="117"/>
    </row>
    <row r="552" spans="1:33">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c r="AB552" s="117"/>
      <c r="AC552" s="117"/>
      <c r="AD552" s="117"/>
      <c r="AE552" s="117"/>
      <c r="AF552" s="117"/>
      <c r="AG552" s="117"/>
    </row>
    <row r="553" spans="1:3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c r="AB553" s="117"/>
      <c r="AC553" s="117"/>
      <c r="AD553" s="117"/>
      <c r="AE553" s="117"/>
      <c r="AF553" s="117"/>
      <c r="AG553" s="117"/>
    </row>
    <row r="554" spans="1:33">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c r="AB554" s="117"/>
      <c r="AC554" s="117"/>
      <c r="AD554" s="117"/>
      <c r="AE554" s="117"/>
      <c r="AF554" s="117"/>
      <c r="AG554" s="117"/>
    </row>
    <row r="555" spans="1:33">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row>
    <row r="556" spans="1:33">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row>
    <row r="557" spans="1:33">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c r="AB557" s="117"/>
      <c r="AC557" s="117"/>
      <c r="AD557" s="117"/>
      <c r="AE557" s="117"/>
      <c r="AF557" s="117"/>
      <c r="AG557" s="117"/>
    </row>
    <row r="558" spans="1:33">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c r="AB558" s="117"/>
      <c r="AC558" s="117"/>
      <c r="AD558" s="117"/>
      <c r="AE558" s="117"/>
      <c r="AF558" s="117"/>
      <c r="AG558" s="117"/>
    </row>
    <row r="559" spans="1:33">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c r="AB559" s="117"/>
      <c r="AC559" s="117"/>
      <c r="AD559" s="117"/>
      <c r="AE559" s="117"/>
      <c r="AF559" s="117"/>
      <c r="AG559" s="117"/>
    </row>
    <row r="560" spans="1:33">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c r="AB560" s="117"/>
      <c r="AC560" s="117"/>
      <c r="AD560" s="117"/>
      <c r="AE560" s="117"/>
      <c r="AF560" s="117"/>
      <c r="AG560" s="117"/>
    </row>
    <row r="561" spans="1:33">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row>
    <row r="562" spans="1:33">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c r="AB562" s="117"/>
      <c r="AC562" s="117"/>
      <c r="AD562" s="117"/>
      <c r="AE562" s="117"/>
      <c r="AF562" s="117"/>
      <c r="AG562" s="117"/>
    </row>
    <row r="563" spans="1:3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c r="AB563" s="117"/>
      <c r="AC563" s="117"/>
      <c r="AD563" s="117"/>
      <c r="AE563" s="117"/>
      <c r="AF563" s="117"/>
      <c r="AG563" s="117"/>
    </row>
    <row r="564" spans="1:33">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c r="AB564" s="117"/>
      <c r="AC564" s="117"/>
      <c r="AD564" s="117"/>
      <c r="AE564" s="117"/>
      <c r="AF564" s="117"/>
      <c r="AG564" s="117"/>
    </row>
    <row r="565" spans="1:33">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row>
    <row r="566" spans="1:33">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c r="AB566" s="117"/>
      <c r="AC566" s="117"/>
      <c r="AD566" s="117"/>
      <c r="AE566" s="117"/>
      <c r="AF566" s="117"/>
      <c r="AG566" s="117"/>
    </row>
    <row r="567" spans="1:33">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c r="AB567" s="117"/>
      <c r="AC567" s="117"/>
      <c r="AD567" s="117"/>
      <c r="AE567" s="117"/>
      <c r="AF567" s="117"/>
      <c r="AG567" s="117"/>
    </row>
    <row r="568" spans="1:33">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c r="AB568" s="117"/>
      <c r="AC568" s="117"/>
      <c r="AD568" s="117"/>
      <c r="AE568" s="117"/>
      <c r="AF568" s="117"/>
      <c r="AG568" s="117"/>
    </row>
    <row r="569" spans="1:33">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c r="AB569" s="117"/>
      <c r="AC569" s="117"/>
      <c r="AD569" s="117"/>
      <c r="AE569" s="117"/>
      <c r="AF569" s="117"/>
      <c r="AG569" s="117"/>
    </row>
    <row r="570" spans="1:33">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c r="AB570" s="117"/>
      <c r="AC570" s="117"/>
      <c r="AD570" s="117"/>
      <c r="AE570" s="117"/>
      <c r="AF570" s="117"/>
      <c r="AG570" s="117"/>
    </row>
    <row r="571" spans="1:33">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c r="AB571" s="117"/>
      <c r="AC571" s="117"/>
      <c r="AD571" s="117"/>
      <c r="AE571" s="117"/>
      <c r="AF571" s="117"/>
      <c r="AG571" s="117"/>
    </row>
    <row r="572" spans="1:33">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c r="AB572" s="117"/>
      <c r="AC572" s="117"/>
      <c r="AD572" s="117"/>
      <c r="AE572" s="117"/>
      <c r="AF572" s="117"/>
      <c r="AG572" s="117"/>
    </row>
    <row r="573" spans="1:3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c r="AB573" s="117"/>
      <c r="AC573" s="117"/>
      <c r="AD573" s="117"/>
      <c r="AE573" s="117"/>
      <c r="AF573" s="117"/>
      <c r="AG573" s="117"/>
    </row>
    <row r="574" spans="1:33">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c r="AB574" s="117"/>
      <c r="AC574" s="117"/>
      <c r="AD574" s="117"/>
      <c r="AE574" s="117"/>
      <c r="AF574" s="117"/>
      <c r="AG574" s="117"/>
    </row>
    <row r="575" spans="1:33">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c r="AB575" s="117"/>
      <c r="AC575" s="117"/>
      <c r="AD575" s="117"/>
      <c r="AE575" s="117"/>
      <c r="AF575" s="117"/>
      <c r="AG575" s="117"/>
    </row>
    <row r="576" spans="1:33">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c r="AB576" s="117"/>
      <c r="AC576" s="117"/>
      <c r="AD576" s="117"/>
      <c r="AE576" s="117"/>
      <c r="AF576" s="117"/>
      <c r="AG576" s="117"/>
    </row>
    <row r="577" spans="1:33">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row>
    <row r="578" spans="1:33">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c r="AB578" s="117"/>
      <c r="AC578" s="117"/>
      <c r="AD578" s="117"/>
      <c r="AE578" s="117"/>
      <c r="AF578" s="117"/>
      <c r="AG578" s="117"/>
    </row>
    <row r="579" spans="1:33">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c r="AB579" s="117"/>
      <c r="AC579" s="117"/>
      <c r="AD579" s="117"/>
      <c r="AE579" s="117"/>
      <c r="AF579" s="117"/>
      <c r="AG579" s="117"/>
    </row>
    <row r="580" spans="1:33">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c r="AB580" s="117"/>
      <c r="AC580" s="117"/>
      <c r="AD580" s="117"/>
      <c r="AE580" s="117"/>
      <c r="AF580" s="117"/>
      <c r="AG580" s="117"/>
    </row>
    <row r="581" spans="1:33">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c r="AB581" s="117"/>
      <c r="AC581" s="117"/>
      <c r="AD581" s="117"/>
      <c r="AE581" s="117"/>
      <c r="AF581" s="117"/>
      <c r="AG581" s="117"/>
    </row>
    <row r="582" spans="1:33">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c r="AB582" s="117"/>
      <c r="AC582" s="117"/>
      <c r="AD582" s="117"/>
      <c r="AE582" s="117"/>
      <c r="AF582" s="117"/>
      <c r="AG582" s="117"/>
    </row>
    <row r="583" spans="1:3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c r="AB583" s="117"/>
      <c r="AC583" s="117"/>
      <c r="AD583" s="117"/>
      <c r="AE583" s="117"/>
      <c r="AF583" s="117"/>
      <c r="AG583" s="117"/>
    </row>
    <row r="584" spans="1:33">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c r="AB584" s="117"/>
      <c r="AC584" s="117"/>
      <c r="AD584" s="117"/>
      <c r="AE584" s="117"/>
      <c r="AF584" s="117"/>
      <c r="AG584" s="117"/>
    </row>
    <row r="585" spans="1:33">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c r="AB585" s="117"/>
      <c r="AC585" s="117"/>
      <c r="AD585" s="117"/>
      <c r="AE585" s="117"/>
      <c r="AF585" s="117"/>
      <c r="AG585" s="117"/>
    </row>
    <row r="586" spans="1:33">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row>
    <row r="587" spans="1:33">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c r="AB587" s="117"/>
      <c r="AC587" s="117"/>
      <c r="AD587" s="117"/>
      <c r="AE587" s="117"/>
      <c r="AF587" s="117"/>
      <c r="AG587" s="117"/>
    </row>
    <row r="588" spans="1:33">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c r="AB588" s="117"/>
      <c r="AC588" s="117"/>
      <c r="AD588" s="117"/>
      <c r="AE588" s="117"/>
      <c r="AF588" s="117"/>
      <c r="AG588" s="117"/>
    </row>
    <row r="589" spans="1:33">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c r="AB589" s="117"/>
      <c r="AC589" s="117"/>
      <c r="AD589" s="117"/>
      <c r="AE589" s="117"/>
      <c r="AF589" s="117"/>
      <c r="AG589" s="117"/>
    </row>
    <row r="590" spans="1:33">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c r="AB590" s="117"/>
      <c r="AC590" s="117"/>
      <c r="AD590" s="117"/>
      <c r="AE590" s="117"/>
      <c r="AF590" s="117"/>
      <c r="AG590" s="117"/>
    </row>
    <row r="591" spans="1:33">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c r="AB591" s="117"/>
      <c r="AC591" s="117"/>
      <c r="AD591" s="117"/>
      <c r="AE591" s="117"/>
      <c r="AF591" s="117"/>
      <c r="AG591" s="117"/>
    </row>
    <row r="592" spans="1:33">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c r="AB592" s="117"/>
      <c r="AC592" s="117"/>
      <c r="AD592" s="117"/>
      <c r="AE592" s="117"/>
      <c r="AF592" s="117"/>
      <c r="AG592" s="117"/>
    </row>
    <row r="593" spans="1:3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c r="AB593" s="117"/>
      <c r="AC593" s="117"/>
      <c r="AD593" s="117"/>
      <c r="AE593" s="117"/>
      <c r="AF593" s="117"/>
      <c r="AG593" s="117"/>
    </row>
    <row r="594" spans="1:33">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row>
    <row r="595" spans="1:33">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c r="AB595" s="117"/>
      <c r="AC595" s="117"/>
      <c r="AD595" s="117"/>
      <c r="AE595" s="117"/>
      <c r="AF595" s="117"/>
      <c r="AG595" s="117"/>
    </row>
    <row r="596" spans="1:33">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row>
    <row r="597" spans="1:33">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c r="AB597" s="117"/>
      <c r="AC597" s="117"/>
      <c r="AD597" s="117"/>
      <c r="AE597" s="117"/>
      <c r="AF597" s="117"/>
      <c r="AG597" s="117"/>
    </row>
    <row r="598" spans="1:33">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c r="AB598" s="117"/>
      <c r="AC598" s="117"/>
      <c r="AD598" s="117"/>
      <c r="AE598" s="117"/>
      <c r="AF598" s="117"/>
      <c r="AG598" s="117"/>
    </row>
    <row r="599" spans="1:33">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c r="AB599" s="117"/>
      <c r="AC599" s="117"/>
      <c r="AD599" s="117"/>
      <c r="AE599" s="117"/>
      <c r="AF599" s="117"/>
      <c r="AG599" s="117"/>
    </row>
    <row r="600" spans="1:33">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c r="AB600" s="117"/>
      <c r="AC600" s="117"/>
      <c r="AD600" s="117"/>
      <c r="AE600" s="117"/>
      <c r="AF600" s="117"/>
      <c r="AG600" s="117"/>
    </row>
    <row r="601" spans="1:33">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7"/>
      <c r="AE601" s="117"/>
      <c r="AF601" s="117"/>
      <c r="AG601" s="117"/>
    </row>
    <row r="602" spans="1:33">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c r="AB602" s="117"/>
      <c r="AC602" s="117"/>
      <c r="AD602" s="117"/>
      <c r="AE602" s="117"/>
      <c r="AF602" s="117"/>
      <c r="AG602" s="117"/>
    </row>
    <row r="603" spans="1:3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c r="AB603" s="117"/>
      <c r="AC603" s="117"/>
      <c r="AD603" s="117"/>
      <c r="AE603" s="117"/>
      <c r="AF603" s="117"/>
      <c r="AG603" s="117"/>
    </row>
    <row r="604" spans="1:33">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c r="AB604" s="117"/>
      <c r="AC604" s="117"/>
      <c r="AD604" s="117"/>
      <c r="AE604" s="117"/>
      <c r="AF604" s="117"/>
      <c r="AG604" s="117"/>
    </row>
    <row r="605" spans="1:33">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c r="AG605" s="117"/>
    </row>
    <row r="606" spans="1:33">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c r="AG606" s="117"/>
    </row>
    <row r="607" spans="1:33">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c r="AG607" s="117"/>
    </row>
    <row r="608" spans="1:33">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c r="AG608" s="117"/>
    </row>
    <row r="609" spans="1:33">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c r="AB609" s="117"/>
      <c r="AC609" s="117"/>
      <c r="AD609" s="117"/>
      <c r="AE609" s="117"/>
      <c r="AF609" s="117"/>
      <c r="AG609" s="117"/>
    </row>
    <row r="610" spans="1:33">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c r="AB610" s="117"/>
      <c r="AC610" s="117"/>
      <c r="AD610" s="117"/>
      <c r="AE610" s="117"/>
      <c r="AF610" s="117"/>
      <c r="AG610" s="117"/>
    </row>
    <row r="611" spans="1:33">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c r="AB611" s="117"/>
      <c r="AC611" s="117"/>
      <c r="AD611" s="117"/>
      <c r="AE611" s="117"/>
      <c r="AF611" s="117"/>
      <c r="AG611" s="117"/>
    </row>
    <row r="612" spans="1:33">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c r="AB612" s="117"/>
      <c r="AC612" s="117"/>
      <c r="AD612" s="117"/>
      <c r="AE612" s="117"/>
      <c r="AF612" s="117"/>
      <c r="AG612" s="117"/>
    </row>
    <row r="613" spans="1:3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c r="AB613" s="117"/>
      <c r="AC613" s="117"/>
      <c r="AD613" s="117"/>
      <c r="AE613" s="117"/>
      <c r="AF613" s="117"/>
      <c r="AG613" s="117"/>
    </row>
    <row r="614" spans="1:33">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c r="AB614" s="117"/>
      <c r="AC614" s="117"/>
      <c r="AD614" s="117"/>
      <c r="AE614" s="117"/>
      <c r="AF614" s="117"/>
      <c r="AG614" s="117"/>
    </row>
    <row r="615" spans="1:33">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c r="AB615" s="117"/>
      <c r="AC615" s="117"/>
      <c r="AD615" s="117"/>
      <c r="AE615" s="117"/>
      <c r="AF615" s="117"/>
      <c r="AG615" s="117"/>
    </row>
    <row r="616" spans="1:33">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c r="AB616" s="117"/>
      <c r="AC616" s="117"/>
      <c r="AD616" s="117"/>
      <c r="AE616" s="117"/>
      <c r="AF616" s="117"/>
      <c r="AG616" s="117"/>
    </row>
    <row r="617" spans="1:33">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c r="AB617" s="117"/>
      <c r="AC617" s="117"/>
      <c r="AD617" s="117"/>
      <c r="AE617" s="117"/>
      <c r="AF617" s="117"/>
      <c r="AG617" s="117"/>
    </row>
    <row r="618" spans="1:33">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c r="AB618" s="117"/>
      <c r="AC618" s="117"/>
      <c r="AD618" s="117"/>
      <c r="AE618" s="117"/>
      <c r="AF618" s="117"/>
      <c r="AG618" s="117"/>
    </row>
    <row r="619" spans="1:33">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c r="AB619" s="117"/>
      <c r="AC619" s="117"/>
      <c r="AD619" s="117"/>
      <c r="AE619" s="117"/>
      <c r="AF619" s="117"/>
      <c r="AG619" s="117"/>
    </row>
    <row r="620" spans="1:33">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c r="AB620" s="117"/>
      <c r="AC620" s="117"/>
      <c r="AD620" s="117"/>
      <c r="AE620" s="117"/>
      <c r="AF620" s="117"/>
      <c r="AG620" s="117"/>
    </row>
    <row r="621" spans="1:33">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row>
    <row r="622" spans="1:33">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c r="AG622" s="117"/>
    </row>
    <row r="623" spans="1:3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c r="AG623" s="117"/>
    </row>
    <row r="624" spans="1:33">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c r="AG624" s="117"/>
    </row>
    <row r="625" spans="1:33">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c r="AG625" s="117"/>
    </row>
    <row r="626" spans="1:33">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c r="AG626" s="117"/>
    </row>
    <row r="627" spans="1:33">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c r="AG627" s="117"/>
    </row>
    <row r="628" spans="1:33">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c r="AG628" s="117"/>
    </row>
    <row r="629" spans="1:33">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c r="AG629" s="117"/>
    </row>
    <row r="630" spans="1:33">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c r="AG630" s="117"/>
    </row>
    <row r="631" spans="1:33">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c r="AB631" s="117"/>
      <c r="AC631" s="117"/>
      <c r="AD631" s="117"/>
      <c r="AE631" s="117"/>
      <c r="AF631" s="117"/>
      <c r="AG631" s="117"/>
    </row>
    <row r="632" spans="1:33">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c r="AB632" s="117"/>
      <c r="AC632" s="117"/>
      <c r="AD632" s="117"/>
      <c r="AE632" s="117"/>
      <c r="AF632" s="117"/>
      <c r="AG632" s="117"/>
    </row>
    <row r="633" spans="1: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c r="AG633" s="117"/>
    </row>
    <row r="634" spans="1:33">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c r="AG634" s="117"/>
    </row>
    <row r="635" spans="1:33">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c r="AG635" s="117"/>
    </row>
    <row r="636" spans="1:33">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c r="AG636" s="117"/>
    </row>
    <row r="637" spans="1:33">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c r="AG637" s="117"/>
    </row>
    <row r="638" spans="1:33">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c r="AG638" s="117"/>
    </row>
    <row r="639" spans="1:33">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c r="AG639" s="117"/>
    </row>
    <row r="640" spans="1:33">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c r="AG640" s="117"/>
    </row>
    <row r="641" spans="1:33">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c r="AG641" s="117"/>
    </row>
    <row r="642" spans="1:33">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c r="AG642" s="117"/>
    </row>
    <row r="643" spans="1:3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c r="AG643" s="117"/>
    </row>
    <row r="644" spans="1:33">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c r="AG644" s="117"/>
    </row>
    <row r="645" spans="1:33">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c r="AG645" s="117"/>
    </row>
    <row r="646" spans="1:33">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c r="AG646" s="117"/>
    </row>
    <row r="647" spans="1:33">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c r="AB647" s="117"/>
      <c r="AC647" s="117"/>
      <c r="AD647" s="117"/>
      <c r="AE647" s="117"/>
      <c r="AF647" s="117"/>
      <c r="AG647" s="117"/>
    </row>
    <row r="648" spans="1:33">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c r="AB648" s="117"/>
      <c r="AC648" s="117"/>
      <c r="AD648" s="117"/>
      <c r="AE648" s="117"/>
      <c r="AF648" s="117"/>
      <c r="AG648" s="117"/>
    </row>
    <row r="649" spans="1:33">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c r="AB649" s="117"/>
      <c r="AC649" s="117"/>
      <c r="AD649" s="117"/>
      <c r="AE649" s="117"/>
      <c r="AF649" s="117"/>
      <c r="AG649" s="117"/>
    </row>
    <row r="650" spans="1:33">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c r="AB650" s="117"/>
      <c r="AC650" s="117"/>
      <c r="AD650" s="117"/>
      <c r="AE650" s="117"/>
      <c r="AF650" s="117"/>
      <c r="AG650" s="117"/>
    </row>
    <row r="651" spans="1:33">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c r="AB651" s="117"/>
      <c r="AC651" s="117"/>
      <c r="AD651" s="117"/>
      <c r="AE651" s="117"/>
      <c r="AF651" s="117"/>
      <c r="AG651" s="117"/>
    </row>
    <row r="652" spans="1:33">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c r="AB652" s="117"/>
      <c r="AC652" s="117"/>
      <c r="AD652" s="117"/>
      <c r="AE652" s="117"/>
      <c r="AF652" s="117"/>
      <c r="AG652" s="117"/>
    </row>
    <row r="653" spans="1:3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c r="AB653" s="117"/>
      <c r="AC653" s="117"/>
      <c r="AD653" s="117"/>
      <c r="AE653" s="117"/>
      <c r="AF653" s="117"/>
      <c r="AG653" s="117"/>
    </row>
    <row r="654" spans="1:33">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c r="AB654" s="117"/>
      <c r="AC654" s="117"/>
      <c r="AD654" s="117"/>
      <c r="AE654" s="117"/>
      <c r="AF654" s="117"/>
      <c r="AG654" s="117"/>
    </row>
    <row r="655" spans="1:33">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c r="AB655" s="117"/>
      <c r="AC655" s="117"/>
      <c r="AD655" s="117"/>
      <c r="AE655" s="117"/>
      <c r="AF655" s="117"/>
      <c r="AG655" s="117"/>
    </row>
    <row r="656" spans="1:33">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c r="AB656" s="117"/>
      <c r="AC656" s="117"/>
      <c r="AD656" s="117"/>
      <c r="AE656" s="117"/>
      <c r="AF656" s="117"/>
      <c r="AG656" s="117"/>
    </row>
    <row r="657" spans="1:33">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c r="AB657" s="117"/>
      <c r="AC657" s="117"/>
      <c r="AD657" s="117"/>
      <c r="AE657" s="117"/>
      <c r="AF657" s="117"/>
      <c r="AG657" s="117"/>
    </row>
    <row r="658" spans="1:33">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c r="AB658" s="117"/>
      <c r="AC658" s="117"/>
      <c r="AD658" s="117"/>
      <c r="AE658" s="117"/>
      <c r="AF658" s="117"/>
      <c r="AG658" s="117"/>
    </row>
    <row r="659" spans="1:33">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c r="AB659" s="117"/>
      <c r="AC659" s="117"/>
      <c r="AD659" s="117"/>
      <c r="AE659" s="117"/>
      <c r="AF659" s="117"/>
      <c r="AG659" s="117"/>
    </row>
    <row r="660" spans="1:33">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row>
    <row r="661" spans="1:33">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c r="AB661" s="117"/>
      <c r="AC661" s="117"/>
      <c r="AD661" s="117"/>
      <c r="AE661" s="117"/>
      <c r="AF661" s="117"/>
      <c r="AG661" s="117"/>
    </row>
    <row r="662" spans="1:33">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row>
    <row r="663" spans="1:3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row>
    <row r="664" spans="1:33">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row>
    <row r="665" spans="1:33">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c r="AB665" s="117"/>
      <c r="AC665" s="117"/>
      <c r="AD665" s="117"/>
      <c r="AE665" s="117"/>
      <c r="AF665" s="117"/>
      <c r="AG665" s="117"/>
    </row>
    <row r="666" spans="1:33">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c r="AB666" s="117"/>
      <c r="AC666" s="117"/>
      <c r="AD666" s="117"/>
      <c r="AE666" s="117"/>
      <c r="AF666" s="117"/>
      <c r="AG666" s="117"/>
    </row>
    <row r="667" spans="1:33">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row>
    <row r="668" spans="1:33">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c r="AB668" s="117"/>
      <c r="AC668" s="117"/>
      <c r="AD668" s="117"/>
      <c r="AE668" s="117"/>
      <c r="AF668" s="117"/>
      <c r="AG668" s="117"/>
    </row>
    <row r="669" spans="1:33">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c r="AB669" s="117"/>
      <c r="AC669" s="117"/>
      <c r="AD669" s="117"/>
      <c r="AE669" s="117"/>
      <c r="AF669" s="117"/>
      <c r="AG669" s="117"/>
    </row>
    <row r="670" spans="1:33">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c r="AB670" s="117"/>
      <c r="AC670" s="117"/>
      <c r="AD670" s="117"/>
      <c r="AE670" s="117"/>
      <c r="AF670" s="117"/>
      <c r="AG670" s="117"/>
    </row>
    <row r="671" spans="1:33">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c r="AB671" s="117"/>
      <c r="AC671" s="117"/>
      <c r="AD671" s="117"/>
      <c r="AE671" s="117"/>
      <c r="AF671" s="117"/>
      <c r="AG671" s="117"/>
    </row>
    <row r="672" spans="1:33">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c r="AB672" s="117"/>
      <c r="AC672" s="117"/>
      <c r="AD672" s="117"/>
      <c r="AE672" s="117"/>
      <c r="AF672" s="117"/>
      <c r="AG672" s="117"/>
    </row>
    <row r="673" spans="1:3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c r="AB673" s="117"/>
      <c r="AC673" s="117"/>
      <c r="AD673" s="117"/>
      <c r="AE673" s="117"/>
      <c r="AF673" s="117"/>
      <c r="AG673" s="117"/>
    </row>
    <row r="674" spans="1:33">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c r="AB674" s="117"/>
      <c r="AC674" s="117"/>
      <c r="AD674" s="117"/>
      <c r="AE674" s="117"/>
      <c r="AF674" s="117"/>
      <c r="AG674" s="117"/>
    </row>
    <row r="675" spans="1:33">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c r="AB675" s="117"/>
      <c r="AC675" s="117"/>
      <c r="AD675" s="117"/>
      <c r="AE675" s="117"/>
      <c r="AF675" s="117"/>
      <c r="AG675" s="117"/>
    </row>
    <row r="676" spans="1:33">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c r="AB676" s="117"/>
      <c r="AC676" s="117"/>
      <c r="AD676" s="117"/>
      <c r="AE676" s="117"/>
      <c r="AF676" s="117"/>
      <c r="AG676" s="117"/>
    </row>
    <row r="677" spans="1:33">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c r="AB677" s="117"/>
      <c r="AC677" s="117"/>
      <c r="AD677" s="117"/>
      <c r="AE677" s="117"/>
      <c r="AF677" s="117"/>
      <c r="AG677" s="117"/>
    </row>
    <row r="678" spans="1:33">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c r="AB678" s="117"/>
      <c r="AC678" s="117"/>
      <c r="AD678" s="117"/>
      <c r="AE678" s="117"/>
      <c r="AF678" s="117"/>
      <c r="AG678" s="117"/>
    </row>
    <row r="679" spans="1:33">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c r="AB679" s="117"/>
      <c r="AC679" s="117"/>
      <c r="AD679" s="117"/>
      <c r="AE679" s="117"/>
      <c r="AF679" s="117"/>
      <c r="AG679" s="117"/>
    </row>
    <row r="680" spans="1:33">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c r="AB680" s="117"/>
      <c r="AC680" s="117"/>
      <c r="AD680" s="117"/>
      <c r="AE680" s="117"/>
      <c r="AF680" s="117"/>
      <c r="AG680" s="117"/>
    </row>
    <row r="681" spans="1:33">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c r="AB681" s="117"/>
      <c r="AC681" s="117"/>
      <c r="AD681" s="117"/>
      <c r="AE681" s="117"/>
      <c r="AF681" s="117"/>
      <c r="AG681" s="117"/>
    </row>
    <row r="682" spans="1:33">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c r="AB682" s="117"/>
      <c r="AC682" s="117"/>
      <c r="AD682" s="117"/>
      <c r="AE682" s="117"/>
      <c r="AF682" s="117"/>
      <c r="AG682" s="117"/>
    </row>
    <row r="683" spans="1:3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c r="AB683" s="117"/>
      <c r="AC683" s="117"/>
      <c r="AD683" s="117"/>
      <c r="AE683" s="117"/>
      <c r="AF683" s="117"/>
      <c r="AG683" s="117"/>
    </row>
    <row r="684" spans="1:33">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c r="AB684" s="117"/>
      <c r="AC684" s="117"/>
      <c r="AD684" s="117"/>
      <c r="AE684" s="117"/>
      <c r="AF684" s="117"/>
      <c r="AG684" s="117"/>
    </row>
    <row r="685" spans="1:33">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c r="AB685" s="117"/>
      <c r="AC685" s="117"/>
      <c r="AD685" s="117"/>
      <c r="AE685" s="117"/>
      <c r="AF685" s="117"/>
      <c r="AG685" s="117"/>
    </row>
    <row r="686" spans="1:33">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c r="AB686" s="117"/>
      <c r="AC686" s="117"/>
      <c r="AD686" s="117"/>
      <c r="AE686" s="117"/>
      <c r="AF686" s="117"/>
      <c r="AG686" s="117"/>
    </row>
    <row r="687" spans="1:33">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c r="AB687" s="117"/>
      <c r="AC687" s="117"/>
      <c r="AD687" s="117"/>
      <c r="AE687" s="117"/>
      <c r="AF687" s="117"/>
      <c r="AG687" s="117"/>
    </row>
    <row r="688" spans="1:33">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c r="AB688" s="117"/>
      <c r="AC688" s="117"/>
      <c r="AD688" s="117"/>
      <c r="AE688" s="117"/>
      <c r="AF688" s="117"/>
      <c r="AG688" s="117"/>
    </row>
    <row r="689" spans="1:33">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c r="AB689" s="117"/>
      <c r="AC689" s="117"/>
      <c r="AD689" s="117"/>
      <c r="AE689" s="117"/>
      <c r="AF689" s="117"/>
      <c r="AG689" s="117"/>
    </row>
    <row r="690" spans="1:33">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c r="AB690" s="117"/>
      <c r="AC690" s="117"/>
      <c r="AD690" s="117"/>
      <c r="AE690" s="117"/>
      <c r="AF690" s="117"/>
      <c r="AG690" s="117"/>
    </row>
    <row r="691" spans="1:33">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c r="AB691" s="117"/>
      <c r="AC691" s="117"/>
      <c r="AD691" s="117"/>
      <c r="AE691" s="117"/>
      <c r="AF691" s="117"/>
      <c r="AG691" s="117"/>
    </row>
    <row r="692" spans="1:33">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c r="AB692" s="117"/>
      <c r="AC692" s="117"/>
      <c r="AD692" s="117"/>
      <c r="AE692" s="117"/>
      <c r="AF692" s="117"/>
      <c r="AG692" s="117"/>
    </row>
    <row r="693" spans="1:3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c r="AB693" s="117"/>
      <c r="AC693" s="117"/>
      <c r="AD693" s="117"/>
      <c r="AE693" s="117"/>
      <c r="AF693" s="117"/>
      <c r="AG693" s="117"/>
    </row>
    <row r="694" spans="1:33">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c r="AB694" s="117"/>
      <c r="AC694" s="117"/>
      <c r="AD694" s="117"/>
      <c r="AE694" s="117"/>
      <c r="AF694" s="117"/>
      <c r="AG694" s="117"/>
    </row>
    <row r="695" spans="1:33">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c r="AB695" s="117"/>
      <c r="AC695" s="117"/>
      <c r="AD695" s="117"/>
      <c r="AE695" s="117"/>
      <c r="AF695" s="117"/>
      <c r="AG695" s="117"/>
    </row>
    <row r="696" spans="1:33">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c r="AB696" s="117"/>
      <c r="AC696" s="117"/>
      <c r="AD696" s="117"/>
      <c r="AE696" s="117"/>
      <c r="AF696" s="117"/>
      <c r="AG696" s="117"/>
    </row>
    <row r="697" spans="1:33">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c r="AB697" s="117"/>
      <c r="AC697" s="117"/>
      <c r="AD697" s="117"/>
      <c r="AE697" s="117"/>
      <c r="AF697" s="117"/>
      <c r="AG697" s="117"/>
    </row>
    <row r="698" spans="1:33">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c r="AB698" s="117"/>
      <c r="AC698" s="117"/>
      <c r="AD698" s="117"/>
      <c r="AE698" s="117"/>
      <c r="AF698" s="117"/>
      <c r="AG698" s="117"/>
    </row>
    <row r="699" spans="1:33">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c r="AB699" s="117"/>
      <c r="AC699" s="117"/>
      <c r="AD699" s="117"/>
      <c r="AE699" s="117"/>
      <c r="AF699" s="117"/>
      <c r="AG699" s="117"/>
    </row>
    <row r="700" spans="1:33">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c r="AB700" s="117"/>
      <c r="AC700" s="117"/>
      <c r="AD700" s="117"/>
      <c r="AE700" s="117"/>
      <c r="AF700" s="117"/>
      <c r="AG700" s="117"/>
    </row>
    <row r="701" spans="1:33">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c r="AB701" s="117"/>
      <c r="AC701" s="117"/>
      <c r="AD701" s="117"/>
      <c r="AE701" s="117"/>
      <c r="AF701" s="117"/>
      <c r="AG701" s="117"/>
    </row>
    <row r="702" spans="1:33">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c r="AB702" s="117"/>
      <c r="AC702" s="117"/>
      <c r="AD702" s="117"/>
      <c r="AE702" s="117"/>
      <c r="AF702" s="117"/>
      <c r="AG702" s="117"/>
    </row>
    <row r="703" spans="1:3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c r="AB703" s="117"/>
      <c r="AC703" s="117"/>
      <c r="AD703" s="117"/>
      <c r="AE703" s="117"/>
      <c r="AF703" s="117"/>
      <c r="AG703" s="117"/>
    </row>
    <row r="704" spans="1:33">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c r="AB704" s="117"/>
      <c r="AC704" s="117"/>
      <c r="AD704" s="117"/>
      <c r="AE704" s="117"/>
      <c r="AF704" s="117"/>
      <c r="AG704" s="117"/>
    </row>
    <row r="705" spans="1:33">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c r="AB705" s="117"/>
      <c r="AC705" s="117"/>
      <c r="AD705" s="117"/>
      <c r="AE705" s="117"/>
      <c r="AF705" s="117"/>
      <c r="AG705" s="117"/>
    </row>
    <row r="706" spans="1:33">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c r="AB706" s="117"/>
      <c r="AC706" s="117"/>
      <c r="AD706" s="117"/>
      <c r="AE706" s="117"/>
      <c r="AF706" s="117"/>
      <c r="AG706" s="117"/>
    </row>
    <row r="707" spans="1:33">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c r="AB707" s="117"/>
      <c r="AC707" s="117"/>
      <c r="AD707" s="117"/>
      <c r="AE707" s="117"/>
      <c r="AF707" s="117"/>
      <c r="AG707" s="117"/>
    </row>
    <row r="708" spans="1:33">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c r="AB708" s="117"/>
      <c r="AC708" s="117"/>
      <c r="AD708" s="117"/>
      <c r="AE708" s="117"/>
      <c r="AF708" s="117"/>
      <c r="AG708" s="117"/>
    </row>
    <row r="709" spans="1:33">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c r="AB709" s="117"/>
      <c r="AC709" s="117"/>
      <c r="AD709" s="117"/>
      <c r="AE709" s="117"/>
      <c r="AF709" s="117"/>
      <c r="AG709" s="117"/>
    </row>
    <row r="710" spans="1:33">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c r="AB710" s="117"/>
      <c r="AC710" s="117"/>
      <c r="AD710" s="117"/>
      <c r="AE710" s="117"/>
      <c r="AF710" s="117"/>
      <c r="AG710" s="117"/>
    </row>
    <row r="711" spans="1:33">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c r="AB711" s="117"/>
      <c r="AC711" s="117"/>
      <c r="AD711" s="117"/>
      <c r="AE711" s="117"/>
      <c r="AF711" s="117"/>
      <c r="AG711" s="117"/>
    </row>
    <row r="712" spans="1:33">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c r="AB712" s="117"/>
      <c r="AC712" s="117"/>
      <c r="AD712" s="117"/>
      <c r="AE712" s="117"/>
      <c r="AF712" s="117"/>
      <c r="AG712" s="117"/>
    </row>
    <row r="713" spans="1:3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c r="AB713" s="117"/>
      <c r="AC713" s="117"/>
      <c r="AD713" s="117"/>
      <c r="AE713" s="117"/>
      <c r="AF713" s="117"/>
      <c r="AG713" s="117"/>
    </row>
    <row r="714" spans="1:33">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c r="AB714" s="117"/>
      <c r="AC714" s="117"/>
      <c r="AD714" s="117"/>
      <c r="AE714" s="117"/>
      <c r="AF714" s="117"/>
      <c r="AG714" s="117"/>
    </row>
    <row r="715" spans="1:33">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c r="AB715" s="117"/>
      <c r="AC715" s="117"/>
      <c r="AD715" s="117"/>
      <c r="AE715" s="117"/>
      <c r="AF715" s="117"/>
      <c r="AG715" s="117"/>
    </row>
    <row r="716" spans="1:33">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c r="AB716" s="117"/>
      <c r="AC716" s="117"/>
      <c r="AD716" s="117"/>
      <c r="AE716" s="117"/>
      <c r="AF716" s="117"/>
      <c r="AG716" s="117"/>
    </row>
    <row r="717" spans="1:33">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c r="AB717" s="117"/>
      <c r="AC717" s="117"/>
      <c r="AD717" s="117"/>
      <c r="AE717" s="117"/>
      <c r="AF717" s="117"/>
      <c r="AG717" s="117"/>
    </row>
    <row r="718" spans="1:33">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c r="AB718" s="117"/>
      <c r="AC718" s="117"/>
      <c r="AD718" s="117"/>
      <c r="AE718" s="117"/>
      <c r="AF718" s="117"/>
      <c r="AG718" s="117"/>
    </row>
    <row r="719" spans="1:33">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c r="AB719" s="117"/>
      <c r="AC719" s="117"/>
      <c r="AD719" s="117"/>
      <c r="AE719" s="117"/>
      <c r="AF719" s="117"/>
      <c r="AG719" s="117"/>
    </row>
    <row r="720" spans="1:33">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c r="AB720" s="117"/>
      <c r="AC720" s="117"/>
      <c r="AD720" s="117"/>
      <c r="AE720" s="117"/>
      <c r="AF720" s="117"/>
      <c r="AG720" s="117"/>
    </row>
    <row r="721" spans="1:33">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c r="AB721" s="117"/>
      <c r="AC721" s="117"/>
      <c r="AD721" s="117"/>
      <c r="AE721" s="117"/>
      <c r="AF721" s="117"/>
      <c r="AG721" s="117"/>
    </row>
    <row r="722" spans="1:33">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c r="AB722" s="117"/>
      <c r="AC722" s="117"/>
      <c r="AD722" s="117"/>
      <c r="AE722" s="117"/>
      <c r="AF722" s="117"/>
      <c r="AG722" s="117"/>
    </row>
    <row r="723" spans="1:3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c r="AB723" s="117"/>
      <c r="AC723" s="117"/>
      <c r="AD723" s="117"/>
      <c r="AE723" s="117"/>
      <c r="AF723" s="117"/>
      <c r="AG723" s="117"/>
    </row>
    <row r="724" spans="1:33">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c r="AB724" s="117"/>
      <c r="AC724" s="117"/>
      <c r="AD724" s="117"/>
      <c r="AE724" s="117"/>
      <c r="AF724" s="117"/>
      <c r="AG724" s="117"/>
    </row>
    <row r="725" spans="1:33">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c r="AB725" s="117"/>
      <c r="AC725" s="117"/>
      <c r="AD725" s="117"/>
      <c r="AE725" s="117"/>
      <c r="AF725" s="117"/>
      <c r="AG725" s="117"/>
    </row>
    <row r="726" spans="1:33">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c r="AB726" s="117"/>
      <c r="AC726" s="117"/>
      <c r="AD726" s="117"/>
      <c r="AE726" s="117"/>
      <c r="AF726" s="117"/>
      <c r="AG726" s="117"/>
    </row>
    <row r="727" spans="1:33">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c r="AB727" s="117"/>
      <c r="AC727" s="117"/>
      <c r="AD727" s="117"/>
      <c r="AE727" s="117"/>
      <c r="AF727" s="117"/>
      <c r="AG727" s="117"/>
    </row>
    <row r="728" spans="1:33">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c r="AB728" s="117"/>
      <c r="AC728" s="117"/>
      <c r="AD728" s="117"/>
      <c r="AE728" s="117"/>
      <c r="AF728" s="117"/>
      <c r="AG728" s="117"/>
    </row>
    <row r="729" spans="1:33">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c r="AB729" s="117"/>
      <c r="AC729" s="117"/>
      <c r="AD729" s="117"/>
      <c r="AE729" s="117"/>
      <c r="AF729" s="117"/>
      <c r="AG729" s="117"/>
    </row>
    <row r="730" spans="1:33">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c r="AB730" s="117"/>
      <c r="AC730" s="117"/>
      <c r="AD730" s="117"/>
      <c r="AE730" s="117"/>
      <c r="AF730" s="117"/>
      <c r="AG730" s="117"/>
    </row>
    <row r="731" spans="1:33">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c r="AB731" s="117"/>
      <c r="AC731" s="117"/>
      <c r="AD731" s="117"/>
      <c r="AE731" s="117"/>
      <c r="AF731" s="117"/>
      <c r="AG731" s="117"/>
    </row>
    <row r="732" spans="1:33">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c r="AB732" s="117"/>
      <c r="AC732" s="117"/>
      <c r="AD732" s="117"/>
      <c r="AE732" s="117"/>
      <c r="AF732" s="117"/>
      <c r="AG732" s="117"/>
    </row>
    <row r="733" spans="1: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c r="AB733" s="117"/>
      <c r="AC733" s="117"/>
      <c r="AD733" s="117"/>
      <c r="AE733" s="117"/>
      <c r="AF733" s="117"/>
      <c r="AG733" s="117"/>
    </row>
    <row r="734" spans="1:33">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c r="AB734" s="117"/>
      <c r="AC734" s="117"/>
      <c r="AD734" s="117"/>
      <c r="AE734" s="117"/>
      <c r="AF734" s="117"/>
      <c r="AG734" s="117"/>
    </row>
    <row r="735" spans="1:33">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c r="AB735" s="117"/>
      <c r="AC735" s="117"/>
      <c r="AD735" s="117"/>
      <c r="AE735" s="117"/>
      <c r="AF735" s="117"/>
      <c r="AG735" s="117"/>
    </row>
    <row r="736" spans="1:33">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c r="AB736" s="117"/>
      <c r="AC736" s="117"/>
      <c r="AD736" s="117"/>
      <c r="AE736" s="117"/>
      <c r="AF736" s="117"/>
      <c r="AG736" s="117"/>
    </row>
    <row r="737" spans="1:33">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c r="AB737" s="117"/>
      <c r="AC737" s="117"/>
      <c r="AD737" s="117"/>
      <c r="AE737" s="117"/>
      <c r="AF737" s="117"/>
      <c r="AG737" s="117"/>
    </row>
    <row r="738" spans="1:33">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c r="AB738" s="117"/>
      <c r="AC738" s="117"/>
      <c r="AD738" s="117"/>
      <c r="AE738" s="117"/>
      <c r="AF738" s="117"/>
      <c r="AG738" s="117"/>
    </row>
    <row r="739" spans="1:33">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c r="AB739" s="117"/>
      <c r="AC739" s="117"/>
      <c r="AD739" s="117"/>
      <c r="AE739" s="117"/>
      <c r="AF739" s="117"/>
      <c r="AG739" s="117"/>
    </row>
    <row r="740" spans="1:33">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c r="AB740" s="117"/>
      <c r="AC740" s="117"/>
      <c r="AD740" s="117"/>
      <c r="AE740" s="117"/>
      <c r="AF740" s="117"/>
      <c r="AG740" s="117"/>
    </row>
    <row r="741" spans="1:33">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c r="AB741" s="117"/>
      <c r="AC741" s="117"/>
      <c r="AD741" s="117"/>
      <c r="AE741" s="117"/>
      <c r="AF741" s="117"/>
      <c r="AG741" s="117"/>
    </row>
    <row r="742" spans="1:33">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c r="AB742" s="117"/>
      <c r="AC742" s="117"/>
      <c r="AD742" s="117"/>
      <c r="AE742" s="117"/>
      <c r="AF742" s="117"/>
      <c r="AG742" s="117"/>
    </row>
    <row r="743" spans="1:3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c r="AB743" s="117"/>
      <c r="AC743" s="117"/>
      <c r="AD743" s="117"/>
      <c r="AE743" s="117"/>
      <c r="AF743" s="117"/>
      <c r="AG743" s="117"/>
    </row>
    <row r="744" spans="1:33">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c r="AB744" s="117"/>
      <c r="AC744" s="117"/>
      <c r="AD744" s="117"/>
      <c r="AE744" s="117"/>
      <c r="AF744" s="117"/>
      <c r="AG744" s="117"/>
    </row>
    <row r="745" spans="1:33">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c r="AB745" s="117"/>
      <c r="AC745" s="117"/>
      <c r="AD745" s="117"/>
      <c r="AE745" s="117"/>
      <c r="AF745" s="117"/>
      <c r="AG745" s="117"/>
    </row>
    <row r="746" spans="1:33">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c r="AB746" s="117"/>
      <c r="AC746" s="117"/>
      <c r="AD746" s="117"/>
      <c r="AE746" s="117"/>
      <c r="AF746" s="117"/>
      <c r="AG746" s="117"/>
    </row>
    <row r="747" spans="1:33">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c r="AB747" s="117"/>
      <c r="AC747" s="117"/>
      <c r="AD747" s="117"/>
      <c r="AE747" s="117"/>
      <c r="AF747" s="117"/>
      <c r="AG747" s="117"/>
    </row>
    <row r="748" spans="1:33">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c r="AB748" s="117"/>
      <c r="AC748" s="117"/>
      <c r="AD748" s="117"/>
      <c r="AE748" s="117"/>
      <c r="AF748" s="117"/>
      <c r="AG748" s="117"/>
    </row>
    <row r="749" spans="1:33">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c r="AB749" s="117"/>
      <c r="AC749" s="117"/>
      <c r="AD749" s="117"/>
      <c r="AE749" s="117"/>
      <c r="AF749" s="117"/>
      <c r="AG749" s="117"/>
    </row>
    <row r="750" spans="1:33">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c r="AB750" s="117"/>
      <c r="AC750" s="117"/>
      <c r="AD750" s="117"/>
      <c r="AE750" s="117"/>
      <c r="AF750" s="117"/>
      <c r="AG750" s="117"/>
    </row>
    <row r="751" spans="1:33">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c r="AB751" s="117"/>
      <c r="AC751" s="117"/>
      <c r="AD751" s="117"/>
      <c r="AE751" s="117"/>
      <c r="AF751" s="117"/>
      <c r="AG751" s="117"/>
    </row>
    <row r="752" spans="1:33">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c r="AB752" s="117"/>
      <c r="AC752" s="117"/>
      <c r="AD752" s="117"/>
      <c r="AE752" s="117"/>
      <c r="AF752" s="117"/>
      <c r="AG752" s="117"/>
    </row>
    <row r="753" spans="1:3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c r="AB753" s="117"/>
      <c r="AC753" s="117"/>
      <c r="AD753" s="117"/>
      <c r="AE753" s="117"/>
      <c r="AF753" s="117"/>
      <c r="AG753" s="117"/>
    </row>
    <row r="754" spans="1:33">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c r="AB754" s="117"/>
      <c r="AC754" s="117"/>
      <c r="AD754" s="117"/>
      <c r="AE754" s="117"/>
      <c r="AF754" s="117"/>
      <c r="AG754" s="117"/>
    </row>
    <row r="755" spans="1:33">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c r="AB755" s="117"/>
      <c r="AC755" s="117"/>
      <c r="AD755" s="117"/>
      <c r="AE755" s="117"/>
      <c r="AF755" s="117"/>
      <c r="AG755" s="117"/>
    </row>
    <row r="756" spans="1:33">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c r="AB756" s="117"/>
      <c r="AC756" s="117"/>
      <c r="AD756" s="117"/>
      <c r="AE756" s="117"/>
      <c r="AF756" s="117"/>
      <c r="AG756" s="117"/>
    </row>
    <row r="757" spans="1:33">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c r="AB757" s="117"/>
      <c r="AC757" s="117"/>
      <c r="AD757" s="117"/>
      <c r="AE757" s="117"/>
      <c r="AF757" s="117"/>
      <c r="AG757" s="117"/>
    </row>
    <row r="758" spans="1:33">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c r="AB758" s="117"/>
      <c r="AC758" s="117"/>
      <c r="AD758" s="117"/>
      <c r="AE758" s="117"/>
      <c r="AF758" s="117"/>
      <c r="AG758" s="117"/>
    </row>
    <row r="759" spans="1:33">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c r="AB759" s="117"/>
      <c r="AC759" s="117"/>
      <c r="AD759" s="117"/>
      <c r="AE759" s="117"/>
      <c r="AF759" s="117"/>
      <c r="AG759" s="117"/>
    </row>
    <row r="760" spans="1:33">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c r="AB760" s="117"/>
      <c r="AC760" s="117"/>
      <c r="AD760" s="117"/>
      <c r="AE760" s="117"/>
      <c r="AF760" s="117"/>
      <c r="AG760" s="117"/>
    </row>
    <row r="761" spans="1:33">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c r="AB761" s="117"/>
      <c r="AC761" s="117"/>
      <c r="AD761" s="117"/>
      <c r="AE761" s="117"/>
      <c r="AF761" s="117"/>
      <c r="AG761" s="117"/>
    </row>
    <row r="762" spans="1:33">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c r="AB762" s="117"/>
      <c r="AC762" s="117"/>
      <c r="AD762" s="117"/>
      <c r="AE762" s="117"/>
      <c r="AF762" s="117"/>
      <c r="AG762" s="117"/>
    </row>
    <row r="763" spans="1:3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c r="AB763" s="117"/>
      <c r="AC763" s="117"/>
      <c r="AD763" s="117"/>
      <c r="AE763" s="117"/>
      <c r="AF763" s="117"/>
      <c r="AG763" s="117"/>
    </row>
    <row r="764" spans="1:33">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c r="AB764" s="117"/>
      <c r="AC764" s="117"/>
      <c r="AD764" s="117"/>
      <c r="AE764" s="117"/>
      <c r="AF764" s="117"/>
      <c r="AG764" s="117"/>
    </row>
    <row r="765" spans="1:33">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c r="AB765" s="117"/>
      <c r="AC765" s="117"/>
      <c r="AD765" s="117"/>
      <c r="AE765" s="117"/>
      <c r="AF765" s="117"/>
      <c r="AG765" s="117"/>
    </row>
    <row r="766" spans="1:33">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c r="AB766" s="117"/>
      <c r="AC766" s="117"/>
      <c r="AD766" s="117"/>
      <c r="AE766" s="117"/>
      <c r="AF766" s="117"/>
      <c r="AG766" s="117"/>
    </row>
    <row r="767" spans="1:33">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c r="AB767" s="117"/>
      <c r="AC767" s="117"/>
      <c r="AD767" s="117"/>
      <c r="AE767" s="117"/>
      <c r="AF767" s="117"/>
      <c r="AG767" s="117"/>
    </row>
    <row r="768" spans="1:33">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c r="AB768" s="117"/>
      <c r="AC768" s="117"/>
      <c r="AD768" s="117"/>
      <c r="AE768" s="117"/>
      <c r="AF768" s="117"/>
      <c r="AG768" s="117"/>
    </row>
    <row r="769" spans="1:33">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c r="AB769" s="117"/>
      <c r="AC769" s="117"/>
      <c r="AD769" s="117"/>
      <c r="AE769" s="117"/>
      <c r="AF769" s="117"/>
      <c r="AG769" s="117"/>
    </row>
    <row r="770" spans="1:33">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c r="AB770" s="117"/>
      <c r="AC770" s="117"/>
      <c r="AD770" s="117"/>
      <c r="AE770" s="117"/>
      <c r="AF770" s="117"/>
      <c r="AG770" s="117"/>
    </row>
    <row r="771" spans="1:33">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c r="AB771" s="117"/>
      <c r="AC771" s="117"/>
      <c r="AD771" s="117"/>
      <c r="AE771" s="117"/>
      <c r="AF771" s="117"/>
      <c r="AG771" s="117"/>
    </row>
    <row r="772" spans="1:33">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c r="AB772" s="117"/>
      <c r="AC772" s="117"/>
      <c r="AD772" s="117"/>
      <c r="AE772" s="117"/>
      <c r="AF772" s="117"/>
      <c r="AG772" s="117"/>
    </row>
    <row r="773" spans="1:3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c r="AB773" s="117"/>
      <c r="AC773" s="117"/>
      <c r="AD773" s="117"/>
      <c r="AE773" s="117"/>
      <c r="AF773" s="117"/>
      <c r="AG773" s="117"/>
    </row>
    <row r="774" spans="1:33">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c r="AB774" s="117"/>
      <c r="AC774" s="117"/>
      <c r="AD774" s="117"/>
      <c r="AE774" s="117"/>
      <c r="AF774" s="117"/>
      <c r="AG774" s="117"/>
    </row>
    <row r="775" spans="1:33">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c r="AB775" s="117"/>
      <c r="AC775" s="117"/>
      <c r="AD775" s="117"/>
      <c r="AE775" s="117"/>
      <c r="AF775" s="117"/>
      <c r="AG775" s="117"/>
    </row>
    <row r="776" spans="1:33">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c r="AB776" s="117"/>
      <c r="AC776" s="117"/>
      <c r="AD776" s="117"/>
      <c r="AE776" s="117"/>
      <c r="AF776" s="117"/>
      <c r="AG776" s="117"/>
    </row>
    <row r="777" spans="1:33">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c r="AB777" s="117"/>
      <c r="AC777" s="117"/>
      <c r="AD777" s="117"/>
      <c r="AE777" s="117"/>
      <c r="AF777" s="117"/>
      <c r="AG777" s="117"/>
    </row>
    <row r="778" spans="1:33">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c r="AB778" s="117"/>
      <c r="AC778" s="117"/>
      <c r="AD778" s="117"/>
      <c r="AE778" s="117"/>
      <c r="AF778" s="117"/>
      <c r="AG778" s="117"/>
    </row>
    <row r="779" spans="1:33">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c r="AB779" s="117"/>
      <c r="AC779" s="117"/>
      <c r="AD779" s="117"/>
      <c r="AE779" s="117"/>
      <c r="AF779" s="117"/>
      <c r="AG779" s="117"/>
    </row>
    <row r="780" spans="1:33">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c r="AB780" s="117"/>
      <c r="AC780" s="117"/>
      <c r="AD780" s="117"/>
      <c r="AE780" s="117"/>
      <c r="AF780" s="117"/>
      <c r="AG780" s="117"/>
    </row>
    <row r="781" spans="1:33">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c r="AB781" s="117"/>
      <c r="AC781" s="117"/>
      <c r="AD781" s="117"/>
      <c r="AE781" s="117"/>
      <c r="AF781" s="117"/>
      <c r="AG781" s="117"/>
    </row>
    <row r="782" spans="1:33">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c r="AB782" s="117"/>
      <c r="AC782" s="117"/>
      <c r="AD782" s="117"/>
      <c r="AE782" s="117"/>
      <c r="AF782" s="117"/>
      <c r="AG782" s="117"/>
    </row>
    <row r="783" spans="1:3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c r="AB783" s="117"/>
      <c r="AC783" s="117"/>
      <c r="AD783" s="117"/>
      <c r="AE783" s="117"/>
      <c r="AF783" s="117"/>
      <c r="AG783" s="117"/>
    </row>
    <row r="784" spans="1:33">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c r="AB784" s="117"/>
      <c r="AC784" s="117"/>
      <c r="AD784" s="117"/>
      <c r="AE784" s="117"/>
      <c r="AF784" s="117"/>
      <c r="AG784" s="117"/>
    </row>
    <row r="785" spans="1:33">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c r="AB785" s="117"/>
      <c r="AC785" s="117"/>
      <c r="AD785" s="117"/>
      <c r="AE785" s="117"/>
      <c r="AF785" s="117"/>
      <c r="AG785" s="117"/>
    </row>
    <row r="786" spans="1:33">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c r="AB786" s="117"/>
      <c r="AC786" s="117"/>
      <c r="AD786" s="117"/>
      <c r="AE786" s="117"/>
      <c r="AF786" s="117"/>
      <c r="AG786" s="117"/>
    </row>
    <row r="787" spans="1:33">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c r="AB787" s="117"/>
      <c r="AC787" s="117"/>
      <c r="AD787" s="117"/>
      <c r="AE787" s="117"/>
      <c r="AF787" s="117"/>
      <c r="AG787" s="117"/>
    </row>
    <row r="788" spans="1:33">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c r="AB788" s="117"/>
      <c r="AC788" s="117"/>
      <c r="AD788" s="117"/>
      <c r="AE788" s="117"/>
      <c r="AF788" s="117"/>
      <c r="AG788" s="117"/>
    </row>
    <row r="789" spans="1:33">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c r="AB789" s="117"/>
      <c r="AC789" s="117"/>
      <c r="AD789" s="117"/>
      <c r="AE789" s="117"/>
      <c r="AF789" s="117"/>
      <c r="AG789" s="117"/>
    </row>
    <row r="790" spans="1:33">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c r="AB790" s="117"/>
      <c r="AC790" s="117"/>
      <c r="AD790" s="117"/>
      <c r="AE790" s="117"/>
      <c r="AF790" s="117"/>
      <c r="AG790" s="117"/>
    </row>
    <row r="791" spans="1:33">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c r="AB791" s="117"/>
      <c r="AC791" s="117"/>
      <c r="AD791" s="117"/>
      <c r="AE791" s="117"/>
      <c r="AF791" s="117"/>
      <c r="AG791" s="117"/>
    </row>
    <row r="792" spans="1:33">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c r="AB792" s="117"/>
      <c r="AC792" s="117"/>
      <c r="AD792" s="117"/>
      <c r="AE792" s="117"/>
      <c r="AF792" s="117"/>
      <c r="AG792" s="117"/>
    </row>
    <row r="793" spans="1:3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c r="AB793" s="117"/>
      <c r="AC793" s="117"/>
      <c r="AD793" s="117"/>
      <c r="AE793" s="117"/>
      <c r="AF793" s="117"/>
      <c r="AG793" s="117"/>
    </row>
    <row r="794" spans="1:33">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c r="AB794" s="117"/>
      <c r="AC794" s="117"/>
      <c r="AD794" s="117"/>
      <c r="AE794" s="117"/>
      <c r="AF794" s="117"/>
      <c r="AG794" s="117"/>
    </row>
    <row r="795" spans="1:33">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c r="AB795" s="117"/>
      <c r="AC795" s="117"/>
      <c r="AD795" s="117"/>
      <c r="AE795" s="117"/>
      <c r="AF795" s="117"/>
      <c r="AG795" s="117"/>
    </row>
    <row r="796" spans="1:33">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c r="AB796" s="117"/>
      <c r="AC796" s="117"/>
      <c r="AD796" s="117"/>
      <c r="AE796" s="117"/>
      <c r="AF796" s="117"/>
      <c r="AG796" s="117"/>
    </row>
    <row r="797" spans="1:33">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c r="AB797" s="117"/>
      <c r="AC797" s="117"/>
      <c r="AD797" s="117"/>
      <c r="AE797" s="117"/>
      <c r="AF797" s="117"/>
      <c r="AG797" s="117"/>
    </row>
    <row r="798" spans="1:33">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c r="AB798" s="117"/>
      <c r="AC798" s="117"/>
      <c r="AD798" s="117"/>
      <c r="AE798" s="117"/>
      <c r="AF798" s="117"/>
      <c r="AG798" s="117"/>
    </row>
    <row r="799" spans="1:33">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c r="AB799" s="117"/>
      <c r="AC799" s="117"/>
      <c r="AD799" s="117"/>
      <c r="AE799" s="117"/>
      <c r="AF799" s="117"/>
      <c r="AG799" s="117"/>
    </row>
    <row r="800" spans="1:33">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c r="AB800" s="117"/>
      <c r="AC800" s="117"/>
      <c r="AD800" s="117"/>
      <c r="AE800" s="117"/>
      <c r="AF800" s="117"/>
      <c r="AG800" s="117"/>
    </row>
    <row r="801" spans="1:33">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c r="AB801" s="117"/>
      <c r="AC801" s="117"/>
      <c r="AD801" s="117"/>
      <c r="AE801" s="117"/>
      <c r="AF801" s="117"/>
      <c r="AG801" s="117"/>
    </row>
    <row r="802" spans="1:33">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c r="AB802" s="117"/>
      <c r="AC802" s="117"/>
      <c r="AD802" s="117"/>
      <c r="AE802" s="117"/>
      <c r="AF802" s="117"/>
      <c r="AG802" s="117"/>
    </row>
    <row r="803" spans="1:3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c r="AB803" s="117"/>
      <c r="AC803" s="117"/>
      <c r="AD803" s="117"/>
      <c r="AE803" s="117"/>
      <c r="AF803" s="117"/>
      <c r="AG803" s="117"/>
    </row>
    <row r="804" spans="1:33">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c r="AB804" s="117"/>
      <c r="AC804" s="117"/>
      <c r="AD804" s="117"/>
      <c r="AE804" s="117"/>
      <c r="AF804" s="117"/>
      <c r="AG804" s="117"/>
    </row>
    <row r="805" spans="1:33">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c r="AB805" s="117"/>
      <c r="AC805" s="117"/>
      <c r="AD805" s="117"/>
      <c r="AE805" s="117"/>
      <c r="AF805" s="117"/>
      <c r="AG805" s="117"/>
    </row>
    <row r="806" spans="1:33">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c r="AB806" s="117"/>
      <c r="AC806" s="117"/>
      <c r="AD806" s="117"/>
      <c r="AE806" s="117"/>
      <c r="AF806" s="117"/>
      <c r="AG806" s="117"/>
    </row>
    <row r="807" spans="1:33">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c r="AB807" s="117"/>
      <c r="AC807" s="117"/>
      <c r="AD807" s="117"/>
      <c r="AE807" s="117"/>
      <c r="AF807" s="117"/>
      <c r="AG807" s="117"/>
    </row>
    <row r="808" spans="1:33">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c r="AB808" s="117"/>
      <c r="AC808" s="117"/>
      <c r="AD808" s="117"/>
      <c r="AE808" s="117"/>
      <c r="AF808" s="117"/>
      <c r="AG808" s="117"/>
    </row>
    <row r="809" spans="1:33">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c r="AB809" s="117"/>
      <c r="AC809" s="117"/>
      <c r="AD809" s="117"/>
      <c r="AE809" s="117"/>
      <c r="AF809" s="117"/>
      <c r="AG809" s="117"/>
    </row>
    <row r="810" spans="1:33">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c r="AB810" s="117"/>
      <c r="AC810" s="117"/>
      <c r="AD810" s="117"/>
      <c r="AE810" s="117"/>
      <c r="AF810" s="117"/>
      <c r="AG810" s="117"/>
    </row>
    <row r="811" spans="1:33">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c r="AB811" s="117"/>
      <c r="AC811" s="117"/>
      <c r="AD811" s="117"/>
      <c r="AE811" s="117"/>
      <c r="AF811" s="117"/>
      <c r="AG811" s="117"/>
    </row>
    <row r="812" spans="1:33">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c r="AB812" s="117"/>
      <c r="AC812" s="117"/>
      <c r="AD812" s="117"/>
      <c r="AE812" s="117"/>
      <c r="AF812" s="117"/>
      <c r="AG812" s="117"/>
    </row>
    <row r="813" spans="1:3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c r="AB813" s="117"/>
      <c r="AC813" s="117"/>
      <c r="AD813" s="117"/>
      <c r="AE813" s="117"/>
      <c r="AF813" s="117"/>
      <c r="AG813" s="117"/>
    </row>
    <row r="814" spans="1:33">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c r="AB814" s="117"/>
      <c r="AC814" s="117"/>
      <c r="AD814" s="117"/>
      <c r="AE814" s="117"/>
      <c r="AF814" s="117"/>
      <c r="AG814" s="117"/>
    </row>
    <row r="815" spans="1:33">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c r="AB815" s="117"/>
      <c r="AC815" s="117"/>
      <c r="AD815" s="117"/>
      <c r="AE815" s="117"/>
      <c r="AF815" s="117"/>
      <c r="AG815" s="117"/>
    </row>
    <row r="816" spans="1:33">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c r="AB816" s="117"/>
      <c r="AC816" s="117"/>
      <c r="AD816" s="117"/>
      <c r="AE816" s="117"/>
      <c r="AF816" s="117"/>
      <c r="AG816" s="117"/>
    </row>
    <row r="817" spans="1:33">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c r="AB817" s="117"/>
      <c r="AC817" s="117"/>
      <c r="AD817" s="117"/>
      <c r="AE817" s="117"/>
      <c r="AF817" s="117"/>
      <c r="AG817" s="117"/>
    </row>
    <row r="818" spans="1:33">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c r="AB818" s="117"/>
      <c r="AC818" s="117"/>
      <c r="AD818" s="117"/>
      <c r="AE818" s="117"/>
      <c r="AF818" s="117"/>
      <c r="AG818" s="117"/>
    </row>
    <row r="819" spans="1:33">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c r="AB819" s="117"/>
      <c r="AC819" s="117"/>
      <c r="AD819" s="117"/>
      <c r="AE819" s="117"/>
      <c r="AF819" s="117"/>
      <c r="AG819" s="117"/>
    </row>
    <row r="820" spans="1:33">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c r="AB820" s="117"/>
      <c r="AC820" s="117"/>
      <c r="AD820" s="117"/>
      <c r="AE820" s="117"/>
      <c r="AF820" s="117"/>
      <c r="AG820" s="117"/>
    </row>
    <row r="821" spans="1:33">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c r="AB821" s="117"/>
      <c r="AC821" s="117"/>
      <c r="AD821" s="117"/>
      <c r="AE821" s="117"/>
      <c r="AF821" s="117"/>
      <c r="AG821" s="117"/>
    </row>
    <row r="822" spans="1:33">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c r="AB822" s="117"/>
      <c r="AC822" s="117"/>
      <c r="AD822" s="117"/>
      <c r="AE822" s="117"/>
      <c r="AF822" s="117"/>
      <c r="AG822" s="117"/>
    </row>
    <row r="823" spans="1:3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c r="AB823" s="117"/>
      <c r="AC823" s="117"/>
      <c r="AD823" s="117"/>
      <c r="AE823" s="117"/>
      <c r="AF823" s="117"/>
      <c r="AG823" s="117"/>
    </row>
    <row r="824" spans="1:33">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c r="AB824" s="117"/>
      <c r="AC824" s="117"/>
      <c r="AD824" s="117"/>
      <c r="AE824" s="117"/>
      <c r="AF824" s="117"/>
      <c r="AG824" s="117"/>
    </row>
    <row r="825" spans="1:33">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c r="AB825" s="117"/>
      <c r="AC825" s="117"/>
      <c r="AD825" s="117"/>
      <c r="AE825" s="117"/>
      <c r="AF825" s="117"/>
      <c r="AG825" s="117"/>
    </row>
    <row r="826" spans="1:33">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c r="AB826" s="117"/>
      <c r="AC826" s="117"/>
      <c r="AD826" s="117"/>
      <c r="AE826" s="117"/>
      <c r="AF826" s="117"/>
      <c r="AG826" s="117"/>
    </row>
    <row r="827" spans="1:33">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c r="AB827" s="117"/>
      <c r="AC827" s="117"/>
      <c r="AD827" s="117"/>
      <c r="AE827" s="117"/>
      <c r="AF827" s="117"/>
      <c r="AG827" s="117"/>
    </row>
    <row r="828" spans="1:33">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c r="AB828" s="117"/>
      <c r="AC828" s="117"/>
      <c r="AD828" s="117"/>
      <c r="AE828" s="117"/>
      <c r="AF828" s="117"/>
      <c r="AG828" s="117"/>
    </row>
    <row r="829" spans="1:33">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c r="AB829" s="117"/>
      <c r="AC829" s="117"/>
      <c r="AD829" s="117"/>
      <c r="AE829" s="117"/>
      <c r="AF829" s="117"/>
      <c r="AG829" s="117"/>
    </row>
    <row r="830" spans="1:33">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c r="AB830" s="117"/>
      <c r="AC830" s="117"/>
      <c r="AD830" s="117"/>
      <c r="AE830" s="117"/>
      <c r="AF830" s="117"/>
      <c r="AG830" s="117"/>
    </row>
    <row r="831" spans="1:33">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c r="AB831" s="117"/>
      <c r="AC831" s="117"/>
      <c r="AD831" s="117"/>
      <c r="AE831" s="117"/>
      <c r="AF831" s="117"/>
      <c r="AG831" s="117"/>
    </row>
    <row r="832" spans="1:33">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c r="AB832" s="117"/>
      <c r="AC832" s="117"/>
      <c r="AD832" s="117"/>
      <c r="AE832" s="117"/>
      <c r="AF832" s="117"/>
      <c r="AG832" s="117"/>
    </row>
    <row r="833" spans="1: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c r="AB833" s="117"/>
      <c r="AC833" s="117"/>
      <c r="AD833" s="117"/>
      <c r="AE833" s="117"/>
      <c r="AF833" s="117"/>
      <c r="AG833" s="117"/>
    </row>
    <row r="834" spans="1:33">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c r="AB834" s="117"/>
      <c r="AC834" s="117"/>
      <c r="AD834" s="117"/>
      <c r="AE834" s="117"/>
      <c r="AF834" s="117"/>
      <c r="AG834" s="117"/>
    </row>
    <row r="835" spans="1:33">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c r="AB835" s="117"/>
      <c r="AC835" s="117"/>
      <c r="AD835" s="117"/>
      <c r="AE835" s="117"/>
      <c r="AF835" s="117"/>
      <c r="AG835" s="117"/>
    </row>
    <row r="836" spans="1:33">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c r="AB836" s="117"/>
      <c r="AC836" s="117"/>
      <c r="AD836" s="117"/>
      <c r="AE836" s="117"/>
      <c r="AF836" s="117"/>
      <c r="AG836" s="117"/>
    </row>
    <row r="837" spans="1:33">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c r="AB837" s="117"/>
      <c r="AC837" s="117"/>
      <c r="AD837" s="117"/>
      <c r="AE837" s="117"/>
      <c r="AF837" s="117"/>
      <c r="AG837" s="117"/>
    </row>
    <row r="838" spans="1:33">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c r="AB838" s="117"/>
      <c r="AC838" s="117"/>
      <c r="AD838" s="117"/>
      <c r="AE838" s="117"/>
      <c r="AF838" s="117"/>
      <c r="AG838" s="117"/>
    </row>
    <row r="839" spans="1:33">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c r="AB839" s="117"/>
      <c r="AC839" s="117"/>
      <c r="AD839" s="117"/>
      <c r="AE839" s="117"/>
      <c r="AF839" s="117"/>
      <c r="AG839" s="117"/>
    </row>
    <row r="840" spans="1:33">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c r="AB840" s="117"/>
      <c r="AC840" s="117"/>
      <c r="AD840" s="117"/>
      <c r="AE840" s="117"/>
      <c r="AF840" s="117"/>
      <c r="AG840" s="117"/>
    </row>
    <row r="841" spans="1:33">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c r="AB841" s="117"/>
      <c r="AC841" s="117"/>
      <c r="AD841" s="117"/>
      <c r="AE841" s="117"/>
      <c r="AF841" s="117"/>
      <c r="AG841" s="117"/>
    </row>
    <row r="842" spans="1:33">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c r="AB842" s="117"/>
      <c r="AC842" s="117"/>
      <c r="AD842" s="117"/>
      <c r="AE842" s="117"/>
      <c r="AF842" s="117"/>
      <c r="AG842" s="117"/>
    </row>
    <row r="843" spans="1:3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c r="AB843" s="117"/>
      <c r="AC843" s="117"/>
      <c r="AD843" s="117"/>
      <c r="AE843" s="117"/>
      <c r="AF843" s="117"/>
      <c r="AG843" s="117"/>
    </row>
    <row r="844" spans="1:33">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c r="AB844" s="117"/>
      <c r="AC844" s="117"/>
      <c r="AD844" s="117"/>
      <c r="AE844" s="117"/>
      <c r="AF844" s="117"/>
      <c r="AG844" s="117"/>
    </row>
    <row r="845" spans="1:33">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c r="AB845" s="117"/>
      <c r="AC845" s="117"/>
      <c r="AD845" s="117"/>
      <c r="AE845" s="117"/>
      <c r="AF845" s="117"/>
      <c r="AG845" s="117"/>
    </row>
    <row r="846" spans="1:33">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c r="AB846" s="117"/>
      <c r="AC846" s="117"/>
      <c r="AD846" s="117"/>
      <c r="AE846" s="117"/>
      <c r="AF846" s="117"/>
      <c r="AG846" s="117"/>
    </row>
    <row r="847" spans="1:33">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row>
    <row r="848" spans="1:33">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c r="AB848" s="117"/>
      <c r="AC848" s="117"/>
      <c r="AD848" s="117"/>
      <c r="AE848" s="117"/>
      <c r="AF848" s="117"/>
      <c r="AG848" s="117"/>
    </row>
    <row r="849" spans="1:33">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c r="AB849" s="117"/>
      <c r="AC849" s="117"/>
      <c r="AD849" s="117"/>
      <c r="AE849" s="117"/>
      <c r="AF849" s="117"/>
      <c r="AG849" s="117"/>
    </row>
    <row r="850" spans="1:33">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c r="AB850" s="117"/>
      <c r="AC850" s="117"/>
      <c r="AD850" s="117"/>
      <c r="AE850" s="117"/>
      <c r="AF850" s="117"/>
      <c r="AG850" s="117"/>
    </row>
    <row r="851" spans="1:33">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c r="AB851" s="117"/>
      <c r="AC851" s="117"/>
      <c r="AD851" s="117"/>
      <c r="AE851" s="117"/>
      <c r="AF851" s="117"/>
      <c r="AG851" s="117"/>
    </row>
    <row r="852" spans="1:33">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c r="AB852" s="117"/>
      <c r="AC852" s="117"/>
      <c r="AD852" s="117"/>
      <c r="AE852" s="117"/>
      <c r="AF852" s="117"/>
      <c r="AG852" s="117"/>
    </row>
    <row r="853" spans="1:3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c r="AB853" s="117"/>
      <c r="AC853" s="117"/>
      <c r="AD853" s="117"/>
      <c r="AE853" s="117"/>
      <c r="AF853" s="117"/>
      <c r="AG853" s="117"/>
    </row>
    <row r="854" spans="1:33">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c r="AB854" s="117"/>
      <c r="AC854" s="117"/>
      <c r="AD854" s="117"/>
      <c r="AE854" s="117"/>
      <c r="AF854" s="117"/>
      <c r="AG854" s="117"/>
    </row>
    <row r="855" spans="1:33">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c r="AB855" s="117"/>
      <c r="AC855" s="117"/>
      <c r="AD855" s="117"/>
      <c r="AE855" s="117"/>
      <c r="AF855" s="117"/>
      <c r="AG855" s="117"/>
    </row>
    <row r="856" spans="1:33">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c r="AB856" s="117"/>
      <c r="AC856" s="117"/>
      <c r="AD856" s="117"/>
      <c r="AE856" s="117"/>
      <c r="AF856" s="117"/>
      <c r="AG856" s="117"/>
    </row>
    <row r="857" spans="1:33">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c r="AB857" s="117"/>
      <c r="AC857" s="117"/>
      <c r="AD857" s="117"/>
      <c r="AE857" s="117"/>
      <c r="AF857" s="117"/>
      <c r="AG857" s="117"/>
    </row>
    <row r="858" spans="1:33">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c r="AB858" s="117"/>
      <c r="AC858" s="117"/>
      <c r="AD858" s="117"/>
      <c r="AE858" s="117"/>
      <c r="AF858" s="117"/>
      <c r="AG858" s="117"/>
    </row>
    <row r="859" spans="1:33">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c r="AB859" s="117"/>
      <c r="AC859" s="117"/>
      <c r="AD859" s="117"/>
      <c r="AE859" s="117"/>
      <c r="AF859" s="117"/>
      <c r="AG859" s="117"/>
    </row>
    <row r="860" spans="1:33">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c r="AB860" s="117"/>
      <c r="AC860" s="117"/>
      <c r="AD860" s="117"/>
      <c r="AE860" s="117"/>
      <c r="AF860" s="117"/>
      <c r="AG860" s="117"/>
    </row>
    <row r="861" spans="1:33">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c r="AB861" s="117"/>
      <c r="AC861" s="117"/>
      <c r="AD861" s="117"/>
      <c r="AE861" s="117"/>
      <c r="AF861" s="117"/>
      <c r="AG861" s="117"/>
    </row>
    <row r="862" spans="1:33">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c r="AB862" s="117"/>
      <c r="AC862" s="117"/>
      <c r="AD862" s="117"/>
      <c r="AE862" s="117"/>
      <c r="AF862" s="117"/>
      <c r="AG862" s="117"/>
    </row>
    <row r="863" spans="1:3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c r="AB863" s="117"/>
      <c r="AC863" s="117"/>
      <c r="AD863" s="117"/>
      <c r="AE863" s="117"/>
      <c r="AF863" s="117"/>
      <c r="AG863" s="117"/>
    </row>
    <row r="864" spans="1:33">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c r="AB864" s="117"/>
      <c r="AC864" s="117"/>
      <c r="AD864" s="117"/>
      <c r="AE864" s="117"/>
      <c r="AF864" s="117"/>
      <c r="AG864" s="117"/>
    </row>
    <row r="865" spans="1:33">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c r="AB865" s="117"/>
      <c r="AC865" s="117"/>
      <c r="AD865" s="117"/>
      <c r="AE865" s="117"/>
      <c r="AF865" s="117"/>
      <c r="AG865" s="117"/>
    </row>
    <row r="866" spans="1:33">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c r="AB866" s="117"/>
      <c r="AC866" s="117"/>
      <c r="AD866" s="117"/>
      <c r="AE866" s="117"/>
      <c r="AF866" s="117"/>
      <c r="AG866" s="117"/>
    </row>
    <row r="867" spans="1:33">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c r="AB867" s="117"/>
      <c r="AC867" s="117"/>
      <c r="AD867" s="117"/>
      <c r="AE867" s="117"/>
      <c r="AF867" s="117"/>
      <c r="AG867" s="117"/>
    </row>
    <row r="868" spans="1:33">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c r="AB868" s="117"/>
      <c r="AC868" s="117"/>
      <c r="AD868" s="117"/>
      <c r="AE868" s="117"/>
      <c r="AF868" s="117"/>
      <c r="AG868" s="117"/>
    </row>
    <row r="869" spans="1:33">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c r="AB869" s="117"/>
      <c r="AC869" s="117"/>
      <c r="AD869" s="117"/>
      <c r="AE869" s="117"/>
      <c r="AF869" s="117"/>
      <c r="AG869" s="117"/>
    </row>
    <row r="870" spans="1:33">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c r="AB870" s="117"/>
      <c r="AC870" s="117"/>
      <c r="AD870" s="117"/>
      <c r="AE870" s="117"/>
      <c r="AF870" s="117"/>
      <c r="AG870" s="117"/>
    </row>
    <row r="871" spans="1:33">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c r="AB871" s="117"/>
      <c r="AC871" s="117"/>
      <c r="AD871" s="117"/>
      <c r="AE871" s="117"/>
      <c r="AF871" s="117"/>
      <c r="AG871" s="117"/>
    </row>
    <row r="872" spans="1:33">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c r="AB872" s="117"/>
      <c r="AC872" s="117"/>
      <c r="AD872" s="117"/>
      <c r="AE872" s="117"/>
      <c r="AF872" s="117"/>
      <c r="AG872" s="117"/>
    </row>
    <row r="873" spans="1:3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c r="AB873" s="117"/>
      <c r="AC873" s="117"/>
      <c r="AD873" s="117"/>
      <c r="AE873" s="117"/>
      <c r="AF873" s="117"/>
      <c r="AG873" s="117"/>
    </row>
    <row r="874" spans="1:33">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c r="AB874" s="117"/>
      <c r="AC874" s="117"/>
      <c r="AD874" s="117"/>
      <c r="AE874" s="117"/>
      <c r="AF874" s="117"/>
      <c r="AG874" s="117"/>
    </row>
    <row r="875" spans="1:33">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c r="AB875" s="117"/>
      <c r="AC875" s="117"/>
      <c r="AD875" s="117"/>
      <c r="AE875" s="117"/>
      <c r="AF875" s="117"/>
      <c r="AG875" s="117"/>
    </row>
    <row r="876" spans="1:33">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c r="AB876" s="117"/>
      <c r="AC876" s="117"/>
      <c r="AD876" s="117"/>
      <c r="AE876" s="117"/>
      <c r="AF876" s="117"/>
      <c r="AG876" s="117"/>
    </row>
    <row r="877" spans="1:33">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c r="AB877" s="117"/>
      <c r="AC877" s="117"/>
      <c r="AD877" s="117"/>
      <c r="AE877" s="117"/>
      <c r="AF877" s="117"/>
      <c r="AG877" s="117"/>
    </row>
    <row r="878" spans="1:33">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c r="AB878" s="117"/>
      <c r="AC878" s="117"/>
      <c r="AD878" s="117"/>
      <c r="AE878" s="117"/>
      <c r="AF878" s="117"/>
      <c r="AG878" s="117"/>
    </row>
    <row r="879" spans="1:33">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c r="AB879" s="117"/>
      <c r="AC879" s="117"/>
      <c r="AD879" s="117"/>
      <c r="AE879" s="117"/>
      <c r="AF879" s="117"/>
      <c r="AG879" s="117"/>
    </row>
    <row r="880" spans="1:33">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c r="AB880" s="117"/>
      <c r="AC880" s="117"/>
      <c r="AD880" s="117"/>
      <c r="AE880" s="117"/>
      <c r="AF880" s="117"/>
      <c r="AG880" s="117"/>
    </row>
    <row r="881" spans="1:33">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c r="AB881" s="117"/>
      <c r="AC881" s="117"/>
      <c r="AD881" s="117"/>
      <c r="AE881" s="117"/>
      <c r="AF881" s="117"/>
      <c r="AG881" s="117"/>
    </row>
    <row r="882" spans="1:33">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c r="AB882" s="117"/>
      <c r="AC882" s="117"/>
      <c r="AD882" s="117"/>
      <c r="AE882" s="117"/>
      <c r="AF882" s="117"/>
      <c r="AG882" s="117"/>
    </row>
    <row r="883" spans="1:3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c r="AB883" s="117"/>
      <c r="AC883" s="117"/>
      <c r="AD883" s="117"/>
      <c r="AE883" s="117"/>
      <c r="AF883" s="117"/>
      <c r="AG883" s="117"/>
    </row>
    <row r="884" spans="1:33">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c r="AB884" s="117"/>
      <c r="AC884" s="117"/>
      <c r="AD884" s="117"/>
      <c r="AE884" s="117"/>
      <c r="AF884" s="117"/>
      <c r="AG884" s="117"/>
    </row>
    <row r="885" spans="1:33">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c r="AB885" s="117"/>
      <c r="AC885" s="117"/>
      <c r="AD885" s="117"/>
      <c r="AE885" s="117"/>
      <c r="AF885" s="117"/>
      <c r="AG885" s="117"/>
    </row>
    <row r="886" spans="1:33">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c r="AB886" s="117"/>
      <c r="AC886" s="117"/>
      <c r="AD886" s="117"/>
      <c r="AE886" s="117"/>
      <c r="AF886" s="117"/>
      <c r="AG886" s="117"/>
    </row>
    <row r="887" spans="1:33">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c r="AB887" s="117"/>
      <c r="AC887" s="117"/>
      <c r="AD887" s="117"/>
      <c r="AE887" s="117"/>
      <c r="AF887" s="117"/>
      <c r="AG887" s="117"/>
    </row>
    <row r="888" spans="1:33">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c r="AB888" s="117"/>
      <c r="AC888" s="117"/>
      <c r="AD888" s="117"/>
      <c r="AE888" s="117"/>
      <c r="AF888" s="117"/>
      <c r="AG888" s="117"/>
    </row>
    <row r="889" spans="1:33">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c r="AB889" s="117"/>
      <c r="AC889" s="117"/>
      <c r="AD889" s="117"/>
      <c r="AE889" s="117"/>
      <c r="AF889" s="117"/>
      <c r="AG889" s="117"/>
    </row>
    <row r="890" spans="1:33">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c r="AB890" s="117"/>
      <c r="AC890" s="117"/>
      <c r="AD890" s="117"/>
      <c r="AE890" s="117"/>
      <c r="AF890" s="117"/>
      <c r="AG890" s="117"/>
    </row>
    <row r="891" spans="1:33">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c r="AB891" s="117"/>
      <c r="AC891" s="117"/>
      <c r="AD891" s="117"/>
      <c r="AE891" s="117"/>
      <c r="AF891" s="117"/>
      <c r="AG891" s="117"/>
    </row>
    <row r="892" spans="1:33">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c r="AB892" s="117"/>
      <c r="AC892" s="117"/>
      <c r="AD892" s="117"/>
      <c r="AE892" s="117"/>
      <c r="AF892" s="117"/>
      <c r="AG892" s="117"/>
    </row>
    <row r="893" spans="1:3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c r="AB893" s="117"/>
      <c r="AC893" s="117"/>
      <c r="AD893" s="117"/>
      <c r="AE893" s="117"/>
      <c r="AF893" s="117"/>
      <c r="AG893" s="117"/>
    </row>
    <row r="894" spans="1:33">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c r="AB894" s="117"/>
      <c r="AC894" s="117"/>
      <c r="AD894" s="117"/>
      <c r="AE894" s="117"/>
      <c r="AF894" s="117"/>
      <c r="AG894" s="117"/>
    </row>
    <row r="895" spans="1:33">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c r="AB895" s="117"/>
      <c r="AC895" s="117"/>
      <c r="AD895" s="117"/>
      <c r="AE895" s="117"/>
      <c r="AF895" s="117"/>
      <c r="AG895" s="117"/>
    </row>
    <row r="896" spans="1:33">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c r="AB896" s="117"/>
      <c r="AC896" s="117"/>
      <c r="AD896" s="117"/>
      <c r="AE896" s="117"/>
      <c r="AF896" s="117"/>
      <c r="AG896" s="117"/>
    </row>
    <row r="897" spans="1:33">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c r="AB897" s="117"/>
      <c r="AC897" s="117"/>
      <c r="AD897" s="117"/>
      <c r="AE897" s="117"/>
      <c r="AF897" s="117"/>
      <c r="AG897" s="117"/>
    </row>
    <row r="898" spans="1:33">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c r="AB898" s="117"/>
      <c r="AC898" s="117"/>
      <c r="AD898" s="117"/>
      <c r="AE898" s="117"/>
      <c r="AF898" s="117"/>
      <c r="AG898" s="117"/>
    </row>
    <row r="899" spans="1:33">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c r="AB899" s="117"/>
      <c r="AC899" s="117"/>
      <c r="AD899" s="117"/>
      <c r="AE899" s="117"/>
      <c r="AF899" s="117"/>
      <c r="AG899" s="117"/>
    </row>
    <row r="900" spans="1:33">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c r="AB900" s="117"/>
      <c r="AC900" s="117"/>
      <c r="AD900" s="117"/>
      <c r="AE900" s="117"/>
      <c r="AF900" s="117"/>
      <c r="AG900" s="117"/>
    </row>
    <row r="901" spans="1:33">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c r="AB901" s="117"/>
      <c r="AC901" s="117"/>
      <c r="AD901" s="117"/>
      <c r="AE901" s="117"/>
      <c r="AF901" s="117"/>
      <c r="AG901" s="117"/>
    </row>
    <row r="902" spans="1:33">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c r="AB902" s="117"/>
      <c r="AC902" s="117"/>
      <c r="AD902" s="117"/>
      <c r="AE902" s="117"/>
      <c r="AF902" s="117"/>
      <c r="AG902" s="117"/>
    </row>
    <row r="903" spans="1:3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c r="AB903" s="117"/>
      <c r="AC903" s="117"/>
      <c r="AD903" s="117"/>
      <c r="AE903" s="117"/>
      <c r="AF903" s="117"/>
      <c r="AG903" s="117"/>
    </row>
    <row r="904" spans="1:33">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c r="AB904" s="117"/>
      <c r="AC904" s="117"/>
      <c r="AD904" s="117"/>
      <c r="AE904" s="117"/>
      <c r="AF904" s="117"/>
      <c r="AG904" s="117"/>
    </row>
    <row r="905" spans="1:33">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c r="AB905" s="117"/>
      <c r="AC905" s="117"/>
      <c r="AD905" s="117"/>
      <c r="AE905" s="117"/>
      <c r="AF905" s="117"/>
      <c r="AG905" s="117"/>
    </row>
    <row r="906" spans="1:33">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c r="AB906" s="117"/>
      <c r="AC906" s="117"/>
      <c r="AD906" s="117"/>
      <c r="AE906" s="117"/>
      <c r="AF906" s="117"/>
      <c r="AG906" s="117"/>
    </row>
    <row r="907" spans="1:33">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c r="AB907" s="117"/>
      <c r="AC907" s="117"/>
      <c r="AD907" s="117"/>
      <c r="AE907" s="117"/>
      <c r="AF907" s="117"/>
      <c r="AG907" s="117"/>
    </row>
    <row r="908" spans="1:33">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c r="AB908" s="117"/>
      <c r="AC908" s="117"/>
      <c r="AD908" s="117"/>
      <c r="AE908" s="117"/>
      <c r="AF908" s="117"/>
      <c r="AG908" s="117"/>
    </row>
    <row r="909" spans="1:33">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c r="AB909" s="117"/>
      <c r="AC909" s="117"/>
      <c r="AD909" s="117"/>
      <c r="AE909" s="117"/>
      <c r="AF909" s="117"/>
      <c r="AG909" s="117"/>
    </row>
    <row r="910" spans="1:33">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c r="AB910" s="117"/>
      <c r="AC910" s="117"/>
      <c r="AD910" s="117"/>
      <c r="AE910" s="117"/>
      <c r="AF910" s="117"/>
      <c r="AG910" s="117"/>
    </row>
    <row r="911" spans="1:33">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c r="AB911" s="117"/>
      <c r="AC911" s="117"/>
      <c r="AD911" s="117"/>
      <c r="AE911" s="117"/>
      <c r="AF911" s="117"/>
      <c r="AG911" s="117"/>
    </row>
    <row r="912" spans="1:33">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c r="AB912" s="117"/>
      <c r="AC912" s="117"/>
      <c r="AD912" s="117"/>
      <c r="AE912" s="117"/>
      <c r="AF912" s="117"/>
      <c r="AG912" s="117"/>
    </row>
    <row r="913" spans="1:3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c r="AB913" s="117"/>
      <c r="AC913" s="117"/>
      <c r="AD913" s="117"/>
      <c r="AE913" s="117"/>
      <c r="AF913" s="117"/>
      <c r="AG913" s="117"/>
    </row>
    <row r="914" spans="1:33">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c r="AB914" s="117"/>
      <c r="AC914" s="117"/>
      <c r="AD914" s="117"/>
      <c r="AE914" s="117"/>
      <c r="AF914" s="117"/>
      <c r="AG914" s="117"/>
    </row>
    <row r="915" spans="1:33">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c r="AB915" s="117"/>
      <c r="AC915" s="117"/>
      <c r="AD915" s="117"/>
      <c r="AE915" s="117"/>
      <c r="AF915" s="117"/>
      <c r="AG915" s="117"/>
    </row>
    <row r="916" spans="1:33">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c r="AB916" s="117"/>
      <c r="AC916" s="117"/>
      <c r="AD916" s="117"/>
      <c r="AE916" s="117"/>
      <c r="AF916" s="117"/>
      <c r="AG916" s="117"/>
    </row>
    <row r="917" spans="1:33">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c r="AB917" s="117"/>
      <c r="AC917" s="117"/>
      <c r="AD917" s="117"/>
      <c r="AE917" s="117"/>
      <c r="AF917" s="117"/>
      <c r="AG917" s="117"/>
    </row>
    <row r="918" spans="1:33">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c r="AB918" s="117"/>
      <c r="AC918" s="117"/>
      <c r="AD918" s="117"/>
      <c r="AE918" s="117"/>
      <c r="AF918" s="117"/>
      <c r="AG918" s="117"/>
    </row>
    <row r="919" spans="1:33">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c r="AB919" s="117"/>
      <c r="AC919" s="117"/>
      <c r="AD919" s="117"/>
      <c r="AE919" s="117"/>
      <c r="AF919" s="117"/>
      <c r="AG919" s="117"/>
    </row>
    <row r="920" spans="1:33">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c r="AB920" s="117"/>
      <c r="AC920" s="117"/>
      <c r="AD920" s="117"/>
      <c r="AE920" s="117"/>
      <c r="AF920" s="117"/>
      <c r="AG920" s="117"/>
    </row>
    <row r="921" spans="1:33">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c r="AB921" s="117"/>
      <c r="AC921" s="117"/>
      <c r="AD921" s="117"/>
      <c r="AE921" s="117"/>
      <c r="AF921" s="117"/>
      <c r="AG921" s="117"/>
    </row>
    <row r="922" spans="1:33">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c r="AB922" s="117"/>
      <c r="AC922" s="117"/>
      <c r="AD922" s="117"/>
      <c r="AE922" s="117"/>
      <c r="AF922" s="117"/>
      <c r="AG922" s="117"/>
    </row>
    <row r="923" spans="1:3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c r="AB923" s="117"/>
      <c r="AC923" s="117"/>
      <c r="AD923" s="117"/>
      <c r="AE923" s="117"/>
      <c r="AF923" s="117"/>
      <c r="AG923" s="117"/>
    </row>
    <row r="924" spans="1:33">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c r="AB924" s="117"/>
      <c r="AC924" s="117"/>
      <c r="AD924" s="117"/>
      <c r="AE924" s="117"/>
      <c r="AF924" s="117"/>
      <c r="AG924" s="117"/>
    </row>
    <row r="925" spans="1:33">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c r="AB925" s="117"/>
      <c r="AC925" s="117"/>
      <c r="AD925" s="117"/>
      <c r="AE925" s="117"/>
      <c r="AF925" s="117"/>
      <c r="AG925" s="117"/>
    </row>
    <row r="926" spans="1:33">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c r="AB926" s="117"/>
      <c r="AC926" s="117"/>
      <c r="AD926" s="117"/>
      <c r="AE926" s="117"/>
      <c r="AF926" s="117"/>
      <c r="AG926" s="117"/>
    </row>
    <row r="927" spans="1:33">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c r="AB927" s="117"/>
      <c r="AC927" s="117"/>
      <c r="AD927" s="117"/>
      <c r="AE927" s="117"/>
      <c r="AF927" s="117"/>
      <c r="AG927" s="117"/>
    </row>
    <row r="928" spans="1:33">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c r="AB928" s="117"/>
      <c r="AC928" s="117"/>
      <c r="AD928" s="117"/>
      <c r="AE928" s="117"/>
      <c r="AF928" s="117"/>
      <c r="AG928" s="117"/>
    </row>
    <row r="929" spans="1:33">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c r="AB929" s="117"/>
      <c r="AC929" s="117"/>
      <c r="AD929" s="117"/>
      <c r="AE929" s="117"/>
      <c r="AF929" s="117"/>
      <c r="AG929" s="117"/>
    </row>
    <row r="930" spans="1:33">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c r="AB930" s="117"/>
      <c r="AC930" s="117"/>
      <c r="AD930" s="117"/>
      <c r="AE930" s="117"/>
      <c r="AF930" s="117"/>
      <c r="AG930" s="117"/>
    </row>
    <row r="931" spans="1:33">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c r="AB931" s="117"/>
      <c r="AC931" s="117"/>
      <c r="AD931" s="117"/>
      <c r="AE931" s="117"/>
      <c r="AF931" s="117"/>
      <c r="AG931" s="117"/>
    </row>
    <row r="932" spans="1:33">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c r="AB932" s="117"/>
      <c r="AC932" s="117"/>
      <c r="AD932" s="117"/>
      <c r="AE932" s="117"/>
      <c r="AF932" s="117"/>
      <c r="AG932" s="117"/>
    </row>
    <row r="933" spans="1: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c r="AB933" s="117"/>
      <c r="AC933" s="117"/>
      <c r="AD933" s="117"/>
      <c r="AE933" s="117"/>
      <c r="AF933" s="117"/>
      <c r="AG933" s="117"/>
    </row>
    <row r="934" spans="1:33">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c r="AB934" s="117"/>
      <c r="AC934" s="117"/>
      <c r="AD934" s="117"/>
      <c r="AE934" s="117"/>
      <c r="AF934" s="117"/>
      <c r="AG934" s="117"/>
    </row>
    <row r="935" spans="1:33">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c r="AB935" s="117"/>
      <c r="AC935" s="117"/>
      <c r="AD935" s="117"/>
      <c r="AE935" s="117"/>
      <c r="AF935" s="117"/>
      <c r="AG935" s="117"/>
    </row>
    <row r="936" spans="1:33">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c r="AB936" s="117"/>
      <c r="AC936" s="117"/>
      <c r="AD936" s="117"/>
      <c r="AE936" s="117"/>
      <c r="AF936" s="117"/>
      <c r="AG936" s="117"/>
    </row>
    <row r="937" spans="1:33">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c r="AB937" s="117"/>
      <c r="AC937" s="117"/>
      <c r="AD937" s="117"/>
      <c r="AE937" s="117"/>
      <c r="AF937" s="117"/>
      <c r="AG937" s="117"/>
    </row>
    <row r="938" spans="1:33">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c r="AB938" s="117"/>
      <c r="AC938" s="117"/>
      <c r="AD938" s="117"/>
      <c r="AE938" s="117"/>
      <c r="AF938" s="117"/>
      <c r="AG938" s="117"/>
    </row>
    <row r="939" spans="1:33">
      <c r="A939" s="213"/>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c r="AA939" s="213"/>
      <c r="AB939" s="213"/>
      <c r="AC939" s="213"/>
      <c r="AD939" s="213"/>
      <c r="AE939" s="213"/>
      <c r="AF939" s="213"/>
      <c r="AG939" s="213"/>
    </row>
    <row r="940" spans="1:33">
      <c r="A940" s="213"/>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c r="AA940" s="213"/>
      <c r="AB940" s="213"/>
      <c r="AC940" s="213"/>
      <c r="AD940" s="213"/>
      <c r="AE940" s="213"/>
      <c r="AF940" s="213"/>
      <c r="AG940" s="213"/>
    </row>
    <row r="941" spans="1:33">
      <c r="A941" s="213"/>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c r="AA941" s="213"/>
      <c r="AB941" s="213"/>
      <c r="AC941" s="213"/>
      <c r="AD941" s="213"/>
      <c r="AE941" s="213"/>
      <c r="AF941" s="213"/>
      <c r="AG941" s="213"/>
    </row>
    <row r="942" spans="1:33">
      <c r="A942" s="213"/>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c r="AA942" s="213"/>
      <c r="AB942" s="213"/>
      <c r="AC942" s="213"/>
      <c r="AD942" s="213"/>
      <c r="AE942" s="213"/>
      <c r="AF942" s="213"/>
      <c r="AG942" s="213"/>
    </row>
    <row r="943" spans="1:33">
      <c r="A943" s="213"/>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c r="AA943" s="213"/>
      <c r="AB943" s="213"/>
      <c r="AC943" s="213"/>
      <c r="AD943" s="213"/>
      <c r="AE943" s="213"/>
      <c r="AF943" s="213"/>
      <c r="AG943" s="213"/>
    </row>
    <row r="944" spans="1:33">
      <c r="A944" s="213"/>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c r="AA944" s="213"/>
      <c r="AB944" s="213"/>
      <c r="AC944" s="213"/>
      <c r="AD944" s="213"/>
      <c r="AE944" s="213"/>
      <c r="AF944" s="213"/>
      <c r="AG944" s="213"/>
    </row>
    <row r="945" spans="1:33">
      <c r="A945" s="213"/>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c r="AA945" s="213"/>
      <c r="AB945" s="213"/>
      <c r="AC945" s="213"/>
      <c r="AD945" s="213"/>
      <c r="AE945" s="213"/>
      <c r="AF945" s="213"/>
      <c r="AG945" s="213"/>
    </row>
    <row r="946" spans="1:33">
      <c r="A946" s="213"/>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c r="AA946" s="213"/>
      <c r="AB946" s="213"/>
      <c r="AC946" s="213"/>
      <c r="AD946" s="213"/>
      <c r="AE946" s="213"/>
      <c r="AF946" s="213"/>
      <c r="AG946" s="213"/>
    </row>
    <row r="947" spans="1:33">
      <c r="A947" s="213"/>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c r="AA947" s="213"/>
      <c r="AB947" s="213"/>
      <c r="AC947" s="213"/>
      <c r="AD947" s="213"/>
      <c r="AE947" s="213"/>
      <c r="AF947" s="213"/>
      <c r="AG947" s="213"/>
    </row>
    <row r="948" spans="1:33">
      <c r="A948" s="213"/>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c r="AA948" s="213"/>
      <c r="AB948" s="213"/>
      <c r="AC948" s="213"/>
      <c r="AD948" s="213"/>
      <c r="AE948" s="213"/>
      <c r="AF948" s="213"/>
      <c r="AG948" s="213"/>
    </row>
    <row r="949" spans="1:33">
      <c r="A949" s="213"/>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c r="AA949" s="213"/>
      <c r="AB949" s="213"/>
      <c r="AC949" s="213"/>
      <c r="AD949" s="213"/>
      <c r="AE949" s="213"/>
      <c r="AF949" s="213"/>
      <c r="AG949" s="213"/>
    </row>
    <row r="950" spans="1:33">
      <c r="A950" s="213"/>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c r="AA950" s="213"/>
      <c r="AB950" s="213"/>
      <c r="AC950" s="213"/>
      <c r="AD950" s="213"/>
      <c r="AE950" s="213"/>
      <c r="AF950" s="213"/>
      <c r="AG950" s="213"/>
    </row>
    <row r="951" spans="1:33">
      <c r="A951" s="213"/>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c r="AA951" s="213"/>
      <c r="AB951" s="213"/>
      <c r="AC951" s="213"/>
      <c r="AD951" s="213"/>
      <c r="AE951" s="213"/>
      <c r="AF951" s="213"/>
      <c r="AG951" s="213"/>
    </row>
    <row r="952" spans="1:33">
      <c r="A952" s="213"/>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c r="AA952" s="213"/>
      <c r="AB952" s="213"/>
      <c r="AC952" s="213"/>
      <c r="AD952" s="213"/>
      <c r="AE952" s="213"/>
      <c r="AF952" s="213"/>
      <c r="AG952" s="213"/>
    </row>
    <row r="953" spans="1:33">
      <c r="A953" s="213"/>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c r="AA953" s="213"/>
      <c r="AB953" s="213"/>
      <c r="AC953" s="213"/>
      <c r="AD953" s="213"/>
      <c r="AE953" s="213"/>
      <c r="AF953" s="213"/>
      <c r="AG953" s="213"/>
    </row>
    <row r="954" spans="1:33">
      <c r="A954" s="213"/>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c r="AA954" s="213"/>
      <c r="AB954" s="213"/>
      <c r="AC954" s="213"/>
      <c r="AD954" s="213"/>
      <c r="AE954" s="213"/>
      <c r="AF954" s="213"/>
      <c r="AG954" s="213"/>
    </row>
    <row r="955" spans="1:33">
      <c r="A955" s="213"/>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c r="AA955" s="213"/>
      <c r="AB955" s="213"/>
      <c r="AC955" s="213"/>
      <c r="AD955" s="213"/>
      <c r="AE955" s="213"/>
      <c r="AF955" s="213"/>
      <c r="AG955" s="213"/>
    </row>
    <row r="956" spans="1:33">
      <c r="A956" s="213"/>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c r="AA956" s="213"/>
      <c r="AB956" s="213"/>
      <c r="AC956" s="213"/>
      <c r="AD956" s="213"/>
      <c r="AE956" s="213"/>
      <c r="AF956" s="213"/>
      <c r="AG956" s="213"/>
    </row>
    <row r="957" spans="1:33">
      <c r="A957" s="213"/>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c r="AA957" s="213"/>
      <c r="AB957" s="213"/>
      <c r="AC957" s="213"/>
      <c r="AD957" s="213"/>
      <c r="AE957" s="213"/>
      <c r="AF957" s="213"/>
      <c r="AG957" s="213"/>
    </row>
    <row r="958" spans="1:33">
      <c r="A958" s="213"/>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c r="AA958" s="213"/>
      <c r="AB958" s="213"/>
      <c r="AC958" s="213"/>
      <c r="AD958" s="213"/>
      <c r="AE958" s="213"/>
      <c r="AF958" s="213"/>
      <c r="AG958" s="213"/>
    </row>
    <row r="959" spans="1:33">
      <c r="A959" s="213"/>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c r="AA959" s="213"/>
      <c r="AB959" s="213"/>
      <c r="AC959" s="213"/>
      <c r="AD959" s="213"/>
      <c r="AE959" s="213"/>
      <c r="AF959" s="213"/>
      <c r="AG959" s="213"/>
    </row>
    <row r="960" spans="1:33">
      <c r="A960" s="213"/>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c r="AA960" s="213"/>
      <c r="AB960" s="213"/>
      <c r="AC960" s="213"/>
      <c r="AD960" s="213"/>
      <c r="AE960" s="213"/>
      <c r="AF960" s="213"/>
      <c r="AG960" s="213"/>
    </row>
    <row r="961" spans="1:33">
      <c r="A961" s="213"/>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c r="AA961" s="213"/>
      <c r="AB961" s="213"/>
      <c r="AC961" s="213"/>
      <c r="AD961" s="213"/>
      <c r="AE961" s="213"/>
      <c r="AF961" s="213"/>
      <c r="AG961" s="213"/>
    </row>
    <row r="962" spans="1:33">
      <c r="A962" s="213"/>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c r="AA962" s="213"/>
      <c r="AB962" s="213"/>
      <c r="AC962" s="213"/>
      <c r="AD962" s="213"/>
      <c r="AE962" s="213"/>
      <c r="AF962" s="213"/>
      <c r="AG962" s="213"/>
    </row>
    <row r="963" spans="1:33">
      <c r="A963" s="213"/>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c r="AA963" s="213"/>
      <c r="AB963" s="213"/>
      <c r="AC963" s="213"/>
      <c r="AD963" s="213"/>
      <c r="AE963" s="213"/>
      <c r="AF963" s="213"/>
      <c r="AG963" s="213"/>
    </row>
    <row r="964" spans="1:33">
      <c r="A964" s="213"/>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c r="AA964" s="213"/>
      <c r="AB964" s="213"/>
      <c r="AC964" s="213"/>
      <c r="AD964" s="213"/>
      <c r="AE964" s="213"/>
      <c r="AF964" s="213"/>
      <c r="AG964" s="213"/>
    </row>
    <row r="965" spans="1:33">
      <c r="A965" s="213"/>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c r="AA965" s="213"/>
      <c r="AB965" s="213"/>
      <c r="AC965" s="213"/>
      <c r="AD965" s="213"/>
      <c r="AE965" s="213"/>
      <c r="AF965" s="213"/>
      <c r="AG965" s="213"/>
    </row>
    <row r="966" spans="1:33">
      <c r="A966" s="213"/>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c r="AA966" s="213"/>
      <c r="AB966" s="213"/>
      <c r="AC966" s="213"/>
      <c r="AD966" s="213"/>
      <c r="AE966" s="213"/>
      <c r="AF966" s="213"/>
      <c r="AG966" s="213"/>
    </row>
    <row r="967" spans="1:33">
      <c r="A967" s="213"/>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c r="AA967" s="213"/>
      <c r="AB967" s="213"/>
      <c r="AC967" s="213"/>
      <c r="AD967" s="213"/>
      <c r="AE967" s="213"/>
      <c r="AF967" s="213"/>
      <c r="AG967" s="213"/>
    </row>
    <row r="968" spans="1:33">
      <c r="A968" s="213"/>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c r="AA968" s="213"/>
      <c r="AB968" s="213"/>
      <c r="AC968" s="213"/>
      <c r="AD968" s="213"/>
      <c r="AE968" s="213"/>
      <c r="AF968" s="213"/>
      <c r="AG968" s="213"/>
    </row>
    <row r="969" spans="1:33">
      <c r="A969" s="213"/>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c r="AA969" s="213"/>
      <c r="AB969" s="213"/>
      <c r="AC969" s="213"/>
      <c r="AD969" s="213"/>
      <c r="AE969" s="213"/>
      <c r="AF969" s="213"/>
      <c r="AG969" s="213"/>
    </row>
    <row r="970" spans="1:33">
      <c r="A970" s="213"/>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c r="AA970" s="213"/>
      <c r="AB970" s="213"/>
      <c r="AC970" s="213"/>
      <c r="AD970" s="213"/>
      <c r="AE970" s="213"/>
      <c r="AF970" s="213"/>
      <c r="AG970" s="213"/>
    </row>
    <row r="971" spans="1:33">
      <c r="A971" s="213"/>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c r="AA971" s="213"/>
      <c r="AB971" s="213"/>
      <c r="AC971" s="213"/>
      <c r="AD971" s="213"/>
      <c r="AE971" s="213"/>
      <c r="AF971" s="213"/>
      <c r="AG971" s="213"/>
    </row>
    <row r="972" spans="1:33">
      <c r="A972" s="213"/>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c r="AA972" s="213"/>
      <c r="AB972" s="213"/>
      <c r="AC972" s="213"/>
      <c r="AD972" s="213"/>
      <c r="AE972" s="213"/>
      <c r="AF972" s="213"/>
      <c r="AG972" s="213"/>
    </row>
    <row r="973" spans="1:33">
      <c r="A973" s="213"/>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c r="AA973" s="213"/>
      <c r="AB973" s="213"/>
      <c r="AC973" s="213"/>
      <c r="AD973" s="213"/>
      <c r="AE973" s="213"/>
      <c r="AF973" s="213"/>
      <c r="AG973" s="213"/>
    </row>
    <row r="974" spans="1:33">
      <c r="A974" s="213"/>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c r="AA974" s="213"/>
      <c r="AB974" s="213"/>
      <c r="AC974" s="213"/>
      <c r="AD974" s="213"/>
      <c r="AE974" s="213"/>
      <c r="AF974" s="213"/>
      <c r="AG974" s="213"/>
    </row>
    <row r="975" spans="1:33">
      <c r="A975" s="213"/>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c r="AA975" s="213"/>
      <c r="AB975" s="213"/>
      <c r="AC975" s="213"/>
      <c r="AD975" s="213"/>
      <c r="AE975" s="213"/>
      <c r="AF975" s="213"/>
      <c r="AG975" s="213"/>
    </row>
    <row r="976" spans="1:33">
      <c r="A976" s="213"/>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c r="AA976" s="213"/>
      <c r="AB976" s="213"/>
      <c r="AC976" s="213"/>
      <c r="AD976" s="213"/>
      <c r="AE976" s="213"/>
      <c r="AF976" s="213"/>
      <c r="AG976" s="213"/>
    </row>
    <row r="977" spans="1:33">
      <c r="A977" s="213"/>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c r="AA977" s="213"/>
      <c r="AB977" s="213"/>
      <c r="AC977" s="213"/>
      <c r="AD977" s="213"/>
      <c r="AE977" s="213"/>
      <c r="AF977" s="213"/>
      <c r="AG977" s="213"/>
    </row>
    <row r="978" spans="1:33">
      <c r="A978" s="213"/>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c r="AA978" s="213"/>
      <c r="AB978" s="213"/>
      <c r="AC978" s="213"/>
      <c r="AD978" s="213"/>
      <c r="AE978" s="213"/>
      <c r="AF978" s="213"/>
      <c r="AG978" s="213"/>
    </row>
    <row r="979" spans="1:33">
      <c r="A979" s="213"/>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c r="AA979" s="213"/>
      <c r="AB979" s="213"/>
      <c r="AC979" s="213"/>
      <c r="AD979" s="213"/>
      <c r="AE979" s="213"/>
      <c r="AF979" s="213"/>
      <c r="AG979" s="213"/>
    </row>
    <row r="980" spans="1:33">
      <c r="A980" s="213"/>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c r="AA980" s="213"/>
      <c r="AB980" s="213"/>
      <c r="AC980" s="213"/>
      <c r="AD980" s="213"/>
      <c r="AE980" s="213"/>
      <c r="AF980" s="213"/>
      <c r="AG980" s="213"/>
    </row>
    <row r="981" spans="1:33">
      <c r="A981" s="213"/>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c r="AA981" s="213"/>
      <c r="AB981" s="213"/>
      <c r="AC981" s="213"/>
      <c r="AD981" s="213"/>
      <c r="AE981" s="213"/>
      <c r="AF981" s="213"/>
      <c r="AG981" s="213"/>
    </row>
    <row r="982" spans="1:33">
      <c r="A982" s="213"/>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c r="AA982" s="213"/>
      <c r="AB982" s="213"/>
      <c r="AC982" s="213"/>
      <c r="AD982" s="213"/>
      <c r="AE982" s="213"/>
      <c r="AF982" s="213"/>
      <c r="AG982" s="213"/>
    </row>
    <row r="983" spans="1:33">
      <c r="A983" s="213"/>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c r="AA983" s="213"/>
      <c r="AB983" s="213"/>
      <c r="AC983" s="213"/>
      <c r="AD983" s="213"/>
      <c r="AE983" s="213"/>
      <c r="AF983" s="213"/>
      <c r="AG983" s="213"/>
    </row>
    <row r="984" spans="1:33">
      <c r="A984" s="213"/>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c r="AA984" s="213"/>
      <c r="AB984" s="213"/>
      <c r="AC984" s="213"/>
      <c r="AD984" s="213"/>
      <c r="AE984" s="213"/>
      <c r="AF984" s="213"/>
      <c r="AG984" s="213"/>
    </row>
    <row r="985" spans="1:33">
      <c r="A985" s="213"/>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c r="AA985" s="213"/>
      <c r="AB985" s="213"/>
      <c r="AC985" s="213"/>
      <c r="AD985" s="213"/>
      <c r="AE985" s="213"/>
      <c r="AF985" s="213"/>
      <c r="AG985" s="213"/>
    </row>
    <row r="986" spans="1:33">
      <c r="A986" s="213"/>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c r="AA986" s="213"/>
      <c r="AB986" s="213"/>
      <c r="AC986" s="213"/>
      <c r="AD986" s="213"/>
      <c r="AE986" s="213"/>
      <c r="AF986" s="213"/>
      <c r="AG986" s="213"/>
    </row>
    <row r="987" spans="1:33">
      <c r="A987" s="213"/>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c r="AA987" s="213"/>
      <c r="AB987" s="213"/>
      <c r="AC987" s="213"/>
      <c r="AD987" s="213"/>
      <c r="AE987" s="213"/>
      <c r="AF987" s="213"/>
      <c r="AG987" s="213"/>
    </row>
    <row r="988" spans="1:33">
      <c r="A988" s="213"/>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c r="AA988" s="213"/>
      <c r="AB988" s="213"/>
      <c r="AC988" s="213"/>
      <c r="AD988" s="213"/>
      <c r="AE988" s="213"/>
      <c r="AF988" s="213"/>
      <c r="AG988" s="213"/>
    </row>
    <row r="989" spans="1:33">
      <c r="A989" s="213"/>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c r="AA989" s="213"/>
      <c r="AB989" s="213"/>
      <c r="AC989" s="213"/>
      <c r="AD989" s="213"/>
      <c r="AE989" s="213"/>
      <c r="AF989" s="213"/>
      <c r="AG989" s="213"/>
    </row>
    <row r="990" spans="1:33">
      <c r="A990" s="213"/>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c r="AA990" s="213"/>
      <c r="AB990" s="213"/>
      <c r="AC990" s="213"/>
      <c r="AD990" s="213"/>
      <c r="AE990" s="213"/>
      <c r="AF990" s="213"/>
      <c r="AG990" s="2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73"/>
  <sheetViews>
    <sheetView topLeftCell="M1" workbookViewId="0">
      <pane ySplit="1" topLeftCell="A2" activePane="bottomLeft" state="frozen"/>
      <selection pane="bottomLeft" activeCell="V24" sqref="V24"/>
    </sheetView>
  </sheetViews>
  <sheetFormatPr defaultColWidth="14.44140625" defaultRowHeight="15" customHeight="1"/>
  <cols>
    <col min="1" max="1" width="9.109375" customWidth="1"/>
    <col min="2" max="2" width="9.44140625" customWidth="1"/>
    <col min="3" max="3" width="9.6640625" customWidth="1"/>
    <col min="4" max="4" width="14.6640625" customWidth="1"/>
    <col min="5" max="5" width="14" customWidth="1"/>
    <col min="6" max="6" width="59.33203125" customWidth="1"/>
    <col min="7" max="7" width="10.88671875" customWidth="1"/>
    <col min="8" max="8" width="8.5546875" customWidth="1"/>
    <col min="9" max="9" width="10.88671875" customWidth="1"/>
    <col min="10" max="10" width="11.5546875" customWidth="1"/>
    <col min="11" max="11" width="13.6640625" customWidth="1"/>
    <col min="12" max="12" width="10.6640625" customWidth="1"/>
    <col min="13" max="13" width="13.6640625" customWidth="1"/>
    <col min="14" max="14" width="21" customWidth="1"/>
    <col min="15" max="15" width="18.5546875" customWidth="1"/>
    <col min="16" max="16" width="14.6640625" customWidth="1"/>
    <col min="17" max="17" width="13.88671875" customWidth="1"/>
    <col min="18" max="19" width="12.44140625" customWidth="1"/>
    <col min="20" max="20" width="10.33203125" customWidth="1"/>
    <col min="21" max="21" width="12.33203125" customWidth="1"/>
    <col min="22" max="23" width="9.5546875" customWidth="1"/>
    <col min="24" max="24" width="8.109375" customWidth="1"/>
  </cols>
  <sheetData>
    <row r="1" spans="1:26">
      <c r="A1" s="293" t="s">
        <v>1068</v>
      </c>
      <c r="B1" s="294" t="s">
        <v>160</v>
      </c>
      <c r="C1" s="294" t="s">
        <v>1</v>
      </c>
      <c r="D1" s="294" t="s">
        <v>1121</v>
      </c>
      <c r="E1" s="294" t="s">
        <v>1070</v>
      </c>
      <c r="F1" s="294" t="s">
        <v>965</v>
      </c>
      <c r="G1" s="294" t="s">
        <v>1071</v>
      </c>
      <c r="H1" s="294" t="s">
        <v>174</v>
      </c>
      <c r="I1" s="294" t="s">
        <v>1072</v>
      </c>
      <c r="J1" s="294" t="s">
        <v>958</v>
      </c>
      <c r="K1" s="294" t="s">
        <v>1073</v>
      </c>
      <c r="L1" s="294" t="s">
        <v>1074</v>
      </c>
      <c r="M1" s="294" t="s">
        <v>1122</v>
      </c>
      <c r="N1" s="294" t="s">
        <v>1123</v>
      </c>
      <c r="O1" s="295" t="s">
        <v>1124</v>
      </c>
      <c r="P1" s="294" t="s">
        <v>930</v>
      </c>
      <c r="Q1" s="294" t="s">
        <v>1079</v>
      </c>
      <c r="R1" s="294" t="s">
        <v>931</v>
      </c>
      <c r="S1" s="294" t="s">
        <v>11</v>
      </c>
      <c r="T1" s="296" t="s">
        <v>186</v>
      </c>
      <c r="U1" s="297" t="s">
        <v>961</v>
      </c>
      <c r="V1" s="298" t="s">
        <v>962</v>
      </c>
      <c r="W1" s="294" t="s">
        <v>1125</v>
      </c>
      <c r="X1" s="294"/>
      <c r="Y1" s="179"/>
      <c r="Z1" s="179"/>
    </row>
    <row r="2" spans="1:26">
      <c r="A2" s="253">
        <v>1</v>
      </c>
      <c r="B2" s="244"/>
      <c r="C2" s="244" t="s">
        <v>311</v>
      </c>
      <c r="D2" s="244"/>
      <c r="E2" s="234" t="str">
        <f>VLOOKUP(C2,'Margin Calculation'!F:H,3,0)</f>
        <v>DF-01-BK</v>
      </c>
      <c r="F2" s="234" t="str">
        <f>VLOOKUP(C2,'Margin Calculation'!F:M,8,0)</f>
        <v>Nexlev Dental Flosser (Black)</v>
      </c>
      <c r="G2" s="244">
        <f>VLOOKUP(C2,'Amazon Live Products'!E:P,12,0)</f>
        <v>891.00488400000006</v>
      </c>
      <c r="H2" s="244">
        <f>VLOOKUP(C2,'Margin Calculation'!$F:$Z,21)</f>
        <v>1075.2808940999998</v>
      </c>
      <c r="I2" s="244">
        <f t="shared" ref="I2:I104" si="0">V2*15%</f>
        <v>238.34100000000001</v>
      </c>
      <c r="J2" s="244">
        <v>60</v>
      </c>
      <c r="K2" s="244">
        <f t="shared" ref="K2:K104" si="1">V2*3%</f>
        <v>47.668199999999999</v>
      </c>
      <c r="L2" s="244">
        <f t="shared" ref="L2:L104" si="2">V2*2%</f>
        <v>31.7788</v>
      </c>
      <c r="M2" s="244">
        <f t="shared" ref="M2:M104" si="3">IF(V2&lt;=250,5, IF(V2&lt;=499,15,IF(V2&lt;=999,30,IF(V2&lt;=4999,50,IF(V2&gt;5000,70)))))</f>
        <v>50</v>
      </c>
      <c r="N2" s="244">
        <f t="shared" ref="N2:N104" si="4">I2+L2+M2</f>
        <v>320.1198</v>
      </c>
      <c r="O2" s="245">
        <f t="shared" ref="O2:O104" si="5">N2/V2</f>
        <v>0.20146751922665423</v>
      </c>
      <c r="P2" s="244">
        <f t="shared" ref="P2:P104" si="6">V2*5%</f>
        <v>79.447000000000003</v>
      </c>
      <c r="Q2" s="244">
        <f t="shared" ref="Q2:Q104" si="7">V2*2%</f>
        <v>31.7788</v>
      </c>
      <c r="R2" s="244">
        <f t="shared" ref="R2:R104" si="8">G2+I2+J2+K2+P2+Q2+L2+M2</f>
        <v>1430.0186840000001</v>
      </c>
      <c r="S2" s="244">
        <f t="shared" ref="S2:S14" si="9">V2-(V2/1.18)</f>
        <v>242.38067796610153</v>
      </c>
      <c r="T2" s="246">
        <f t="shared" ref="T2:T104" si="10">V2-R2-S2</f>
        <v>-83.459361966101596</v>
      </c>
      <c r="U2" s="247">
        <f t="shared" ref="U2:U104" si="11">T2/V2</f>
        <v>-5.2525181546251964E-2</v>
      </c>
      <c r="V2" s="299">
        <f t="shared" ref="V2:V6" si="12">W2*(1+0.06)</f>
        <v>1588.94</v>
      </c>
      <c r="W2" s="179">
        <v>1499</v>
      </c>
      <c r="X2" s="244"/>
      <c r="Y2" s="179"/>
      <c r="Z2" s="179"/>
    </row>
    <row r="3" spans="1:26">
      <c r="A3" s="253">
        <f t="shared" ref="A3:A99" si="13">A2+1</f>
        <v>2</v>
      </c>
      <c r="B3" s="234"/>
      <c r="C3" s="234" t="s">
        <v>329</v>
      </c>
      <c r="D3" s="244"/>
      <c r="E3" s="234" t="str">
        <f>VLOOKUP(C3,'Margin Calculation'!F:H,3,0)</f>
        <v>ET-01-BK</v>
      </c>
      <c r="F3" s="234" t="str">
        <f>VLOOKUP(C3,'Margin Calculation'!F:M,8,0)</f>
        <v>Electric Toothbrush - Black - Humm</v>
      </c>
      <c r="G3" s="244">
        <f>VLOOKUP(C3,'Margin Calculation'!F:Y,20,0)</f>
        <v>240.79140000000001</v>
      </c>
      <c r="H3" s="244">
        <f>VLOOKUP(C3,'Margin Calculation'!$F:$Z,21)</f>
        <v>284.13385199999999</v>
      </c>
      <c r="I3" s="244">
        <f t="shared" si="0"/>
        <v>63.440999999999995</v>
      </c>
      <c r="J3" s="244">
        <v>60</v>
      </c>
      <c r="K3" s="244">
        <f t="shared" si="1"/>
        <v>12.6882</v>
      </c>
      <c r="L3" s="244">
        <f t="shared" si="2"/>
        <v>8.4588000000000001</v>
      </c>
      <c r="M3" s="244">
        <f t="shared" si="3"/>
        <v>15</v>
      </c>
      <c r="N3" s="244">
        <f t="shared" si="4"/>
        <v>86.899799999999999</v>
      </c>
      <c r="O3" s="245">
        <f t="shared" si="5"/>
        <v>0.20546602354943963</v>
      </c>
      <c r="P3" s="244">
        <f t="shared" si="6"/>
        <v>21.147000000000002</v>
      </c>
      <c r="Q3" s="244">
        <f t="shared" si="7"/>
        <v>8.4588000000000001</v>
      </c>
      <c r="R3" s="244">
        <f t="shared" si="8"/>
        <v>429.98519999999996</v>
      </c>
      <c r="S3" s="244">
        <f t="shared" si="9"/>
        <v>64.516271186440633</v>
      </c>
      <c r="T3" s="246">
        <f t="shared" si="10"/>
        <v>-71.561471186440599</v>
      </c>
      <c r="U3" s="247">
        <f t="shared" si="11"/>
        <v>-0.16920005482205655</v>
      </c>
      <c r="V3" s="299">
        <f t="shared" si="12"/>
        <v>422.94</v>
      </c>
      <c r="W3" s="179">
        <v>399</v>
      </c>
      <c r="X3" s="244"/>
      <c r="Y3" s="179"/>
      <c r="Z3" s="179"/>
    </row>
    <row r="4" spans="1:26">
      <c r="A4" s="253">
        <f t="shared" si="13"/>
        <v>3</v>
      </c>
      <c r="B4" s="234"/>
      <c r="C4" s="234" t="s">
        <v>335</v>
      </c>
      <c r="D4" s="244"/>
      <c r="E4" s="234" t="str">
        <f>VLOOKUP(C4,'Margin Calculation'!F:H,3,0)</f>
        <v>ET-02-GN</v>
      </c>
      <c r="F4" s="234" t="str">
        <f>VLOOKUP(C4,'Margin Calculation'!F:M,8,0)</f>
        <v>Electric Toothbrush - Green - Humm</v>
      </c>
      <c r="G4" s="244">
        <f>VLOOKUP(C4,'Margin Calculation'!F:Y,20,0)</f>
        <v>240.79140000000001</v>
      </c>
      <c r="H4" s="244">
        <f>VLOOKUP(C4,'Margin Calculation'!$F:$Z,21)</f>
        <v>284.13385199999999</v>
      </c>
      <c r="I4" s="244">
        <f t="shared" si="0"/>
        <v>63.440999999999995</v>
      </c>
      <c r="J4" s="244">
        <v>60</v>
      </c>
      <c r="K4" s="244">
        <f t="shared" si="1"/>
        <v>12.6882</v>
      </c>
      <c r="L4" s="244">
        <f t="shared" si="2"/>
        <v>8.4588000000000001</v>
      </c>
      <c r="M4" s="244">
        <f t="shared" si="3"/>
        <v>15</v>
      </c>
      <c r="N4" s="244">
        <f t="shared" si="4"/>
        <v>86.899799999999999</v>
      </c>
      <c r="O4" s="245">
        <f t="shared" si="5"/>
        <v>0.20546602354943963</v>
      </c>
      <c r="P4" s="244">
        <f t="shared" si="6"/>
        <v>21.147000000000002</v>
      </c>
      <c r="Q4" s="244">
        <f t="shared" si="7"/>
        <v>8.4588000000000001</v>
      </c>
      <c r="R4" s="244">
        <f t="shared" si="8"/>
        <v>429.98519999999996</v>
      </c>
      <c r="S4" s="244">
        <f t="shared" si="9"/>
        <v>64.516271186440633</v>
      </c>
      <c r="T4" s="246">
        <f t="shared" si="10"/>
        <v>-71.561471186440599</v>
      </c>
      <c r="U4" s="247">
        <f t="shared" si="11"/>
        <v>-0.16920005482205655</v>
      </c>
      <c r="V4" s="299">
        <f t="shared" si="12"/>
        <v>422.94</v>
      </c>
      <c r="W4" s="179">
        <v>399</v>
      </c>
      <c r="X4" s="244"/>
      <c r="Y4" s="179"/>
      <c r="Z4" s="179"/>
    </row>
    <row r="5" spans="1:26">
      <c r="A5" s="253">
        <f t="shared" si="13"/>
        <v>4</v>
      </c>
      <c r="B5" s="234"/>
      <c r="C5" s="234" t="s">
        <v>340</v>
      </c>
      <c r="D5" s="244"/>
      <c r="E5" s="234" t="str">
        <f>VLOOKUP(C5,'Margin Calculation'!F:H,3,0)</f>
        <v>ET-03-BL</v>
      </c>
      <c r="F5" s="234" t="str">
        <f>VLOOKUP(C5,'Margin Calculation'!F:M,8,0)</f>
        <v>Electric Toothbrush - Blue-One Mode-Sparkle</v>
      </c>
      <c r="G5" s="244">
        <f>VLOOKUP(C5,'Margin Calculation'!F:Y,20,0)</f>
        <v>165.75408000000002</v>
      </c>
      <c r="H5" s="244">
        <f>VLOOKUP(C5,'Margin Calculation'!$F:$Z,21)</f>
        <v>195.58981439999999</v>
      </c>
      <c r="I5" s="244">
        <f t="shared" si="0"/>
        <v>63.440999999999995</v>
      </c>
      <c r="J5" s="244">
        <v>60</v>
      </c>
      <c r="K5" s="244">
        <f t="shared" si="1"/>
        <v>12.6882</v>
      </c>
      <c r="L5" s="244">
        <f t="shared" si="2"/>
        <v>8.4588000000000001</v>
      </c>
      <c r="M5" s="244">
        <f t="shared" si="3"/>
        <v>15</v>
      </c>
      <c r="N5" s="244">
        <f t="shared" si="4"/>
        <v>86.899799999999999</v>
      </c>
      <c r="O5" s="245">
        <f t="shared" si="5"/>
        <v>0.20546602354943963</v>
      </c>
      <c r="P5" s="244">
        <f t="shared" si="6"/>
        <v>21.147000000000002</v>
      </c>
      <c r="Q5" s="244">
        <f t="shared" si="7"/>
        <v>8.4588000000000001</v>
      </c>
      <c r="R5" s="244">
        <f t="shared" si="8"/>
        <v>354.94788</v>
      </c>
      <c r="S5" s="244">
        <f t="shared" si="9"/>
        <v>64.516271186440633</v>
      </c>
      <c r="T5" s="246">
        <f t="shared" si="10"/>
        <v>3.4758488135593666</v>
      </c>
      <c r="U5" s="247">
        <f t="shared" si="11"/>
        <v>8.2183023917325546E-3</v>
      </c>
      <c r="V5" s="299">
        <f t="shared" si="12"/>
        <v>422.94</v>
      </c>
      <c r="W5" s="179">
        <v>399</v>
      </c>
      <c r="X5" s="244"/>
      <c r="Y5" s="179"/>
      <c r="Z5" s="179"/>
    </row>
    <row r="6" spans="1:26">
      <c r="A6" s="253">
        <f t="shared" si="13"/>
        <v>5</v>
      </c>
      <c r="B6" s="234"/>
      <c r="C6" s="234" t="s">
        <v>434</v>
      </c>
      <c r="D6" s="244"/>
      <c r="E6" s="234" t="str">
        <f>VLOOKUP(C6,'Margin Calculation'!F:H,3,0)</f>
        <v>CR-01</v>
      </c>
      <c r="F6" s="234" t="str">
        <f>VLOOKUP(C6,'Margin Calculation'!F:M,8,0)</f>
        <v>Smooth Sole Callus Remover</v>
      </c>
      <c r="G6" s="244">
        <f>VLOOKUP(C6,'Margin Calculation'!F:Y,20,0)</f>
        <v>456.50304000000006</v>
      </c>
      <c r="H6" s="244">
        <f>VLOOKUP(C6,'Margin Calculation'!F:Z,21,0)</f>
        <v>538.67358720000004</v>
      </c>
      <c r="I6" s="244">
        <f t="shared" si="0"/>
        <v>142.941</v>
      </c>
      <c r="J6" s="244">
        <v>60</v>
      </c>
      <c r="K6" s="244">
        <f t="shared" si="1"/>
        <v>28.588200000000001</v>
      </c>
      <c r="L6" s="244">
        <f t="shared" si="2"/>
        <v>19.058800000000002</v>
      </c>
      <c r="M6" s="244">
        <f t="shared" si="3"/>
        <v>30</v>
      </c>
      <c r="N6" s="244">
        <f t="shared" si="4"/>
        <v>191.99979999999999</v>
      </c>
      <c r="O6" s="245">
        <f t="shared" si="5"/>
        <v>0.20148152034755595</v>
      </c>
      <c r="P6" s="244">
        <f t="shared" si="6"/>
        <v>47.647000000000006</v>
      </c>
      <c r="Q6" s="244">
        <f t="shared" si="7"/>
        <v>19.058800000000002</v>
      </c>
      <c r="R6" s="244">
        <f t="shared" si="8"/>
        <v>803.7968400000002</v>
      </c>
      <c r="S6" s="244">
        <f t="shared" si="9"/>
        <v>145.36372881355931</v>
      </c>
      <c r="T6" s="246">
        <f t="shared" si="10"/>
        <v>3.7794311864405472</v>
      </c>
      <c r="U6" s="247">
        <f t="shared" si="11"/>
        <v>3.9660746599371908E-3</v>
      </c>
      <c r="V6" s="299">
        <f t="shared" si="12"/>
        <v>952.94</v>
      </c>
      <c r="W6" s="179">
        <v>899</v>
      </c>
      <c r="X6" s="244"/>
      <c r="Y6" s="179"/>
      <c r="Z6" s="179"/>
    </row>
    <row r="7" spans="1:26">
      <c r="A7" s="300">
        <f t="shared" si="13"/>
        <v>6</v>
      </c>
      <c r="B7" s="301" t="s">
        <v>934</v>
      </c>
      <c r="C7" s="301" t="s">
        <v>441</v>
      </c>
      <c r="D7" s="302"/>
      <c r="E7" s="301" t="str">
        <f>VLOOKUP(C7,'Margin Calculation'!F:H,3,0)</f>
        <v>T-01</v>
      </c>
      <c r="F7" s="301" t="str">
        <f>VLOOKUP(C7,'Margin Calculation'!F:M,8,0)</f>
        <v>Velvet Vibe Multi-Trimmer</v>
      </c>
      <c r="G7" s="302">
        <f>VLOOKUP(C7,'Margin Calculation'!F:Y,20,0)</f>
        <v>443.50416000000001</v>
      </c>
      <c r="H7" s="302">
        <f>VLOOKUP(C7,'Margin Calculation'!F:Z,21,0)</f>
        <v>523.33490879999999</v>
      </c>
      <c r="I7" s="302">
        <f t="shared" si="0"/>
        <v>104.85</v>
      </c>
      <c r="J7" s="302">
        <v>60</v>
      </c>
      <c r="K7" s="302">
        <f t="shared" si="1"/>
        <v>20.97</v>
      </c>
      <c r="L7" s="302">
        <f t="shared" si="2"/>
        <v>13.98</v>
      </c>
      <c r="M7" s="302">
        <f t="shared" si="3"/>
        <v>30</v>
      </c>
      <c r="N7" s="302">
        <f t="shared" si="4"/>
        <v>148.82999999999998</v>
      </c>
      <c r="O7" s="303">
        <f t="shared" si="5"/>
        <v>0.21291845493562228</v>
      </c>
      <c r="P7" s="302">
        <f t="shared" si="6"/>
        <v>34.950000000000003</v>
      </c>
      <c r="Q7" s="302">
        <f t="shared" si="7"/>
        <v>13.98</v>
      </c>
      <c r="R7" s="302">
        <f t="shared" si="8"/>
        <v>722.23416000000009</v>
      </c>
      <c r="S7" s="302">
        <f t="shared" si="9"/>
        <v>106.62711864406776</v>
      </c>
      <c r="T7" s="302">
        <f t="shared" si="10"/>
        <v>-129.86127864406785</v>
      </c>
      <c r="U7" s="303">
        <f t="shared" si="11"/>
        <v>-0.1857815145122573</v>
      </c>
      <c r="V7" s="302">
        <v>699</v>
      </c>
      <c r="W7" s="304">
        <v>899</v>
      </c>
      <c r="X7" s="244"/>
      <c r="Y7" s="179"/>
      <c r="Z7" s="179"/>
    </row>
    <row r="8" spans="1:26">
      <c r="A8" s="253">
        <f t="shared" si="13"/>
        <v>7</v>
      </c>
      <c r="B8" s="234"/>
      <c r="C8" s="234" t="s">
        <v>448</v>
      </c>
      <c r="D8" s="244"/>
      <c r="E8" s="234" t="str">
        <f>VLOOKUP(C8,'Margin Calculation'!F:H,3,0)</f>
        <v>T-02</v>
      </c>
      <c r="F8" s="234" t="str">
        <f>VLOOKUP(C8,'Margin Calculation'!F:M,8,0)</f>
        <v>Velvet Vibe Plus Multi-Trimmer</v>
      </c>
      <c r="G8" s="244">
        <f>VLOOKUP(C8,'Margin Calculation'!F:Y,20,0)</f>
        <v>520.78140000000008</v>
      </c>
      <c r="H8" s="244">
        <f>VLOOKUP(C8,'Margin Calculation'!F:Z,21,0)</f>
        <v>614.52205200000003</v>
      </c>
      <c r="I8" s="244">
        <f t="shared" si="0"/>
        <v>174.74100000000001</v>
      </c>
      <c r="J8" s="244">
        <v>60</v>
      </c>
      <c r="K8" s="244">
        <f t="shared" si="1"/>
        <v>34.9482</v>
      </c>
      <c r="L8" s="244">
        <f t="shared" si="2"/>
        <v>23.2988</v>
      </c>
      <c r="M8" s="244">
        <f t="shared" si="3"/>
        <v>50</v>
      </c>
      <c r="N8" s="244">
        <f t="shared" si="4"/>
        <v>248.03980000000001</v>
      </c>
      <c r="O8" s="245">
        <f t="shared" si="5"/>
        <v>0.212920665441997</v>
      </c>
      <c r="P8" s="244">
        <f t="shared" si="6"/>
        <v>58.247000000000007</v>
      </c>
      <c r="Q8" s="244">
        <f t="shared" si="7"/>
        <v>23.2988</v>
      </c>
      <c r="R8" s="244">
        <f t="shared" si="8"/>
        <v>945.31520000000012</v>
      </c>
      <c r="S8" s="244">
        <f t="shared" si="9"/>
        <v>177.70271186440675</v>
      </c>
      <c r="T8" s="246">
        <f t="shared" si="10"/>
        <v>41.922088135593185</v>
      </c>
      <c r="U8" s="247">
        <f t="shared" si="11"/>
        <v>3.5986478389954148E-2</v>
      </c>
      <c r="V8" s="299">
        <f t="shared" ref="V8:V11" si="14">W8*(1+0.06)</f>
        <v>1164.94</v>
      </c>
      <c r="W8" s="179">
        <v>1099</v>
      </c>
      <c r="X8" s="244"/>
      <c r="Y8" s="179"/>
      <c r="Z8" s="179"/>
    </row>
    <row r="9" spans="1:26">
      <c r="A9" s="253">
        <f t="shared" si="13"/>
        <v>8</v>
      </c>
      <c r="B9" s="234"/>
      <c r="C9" s="234" t="s">
        <v>462</v>
      </c>
      <c r="D9" s="244"/>
      <c r="E9" s="234" t="str">
        <f>VLOOKUP(C9,'Margin Calculation'!F:H,3,0)</f>
        <v>V-01</v>
      </c>
      <c r="F9" s="234" t="str">
        <f>VLOOKUP(C9,'Margin Calculation'!F:M,8,0)</f>
        <v>Nexlev Volumizer</v>
      </c>
      <c r="G9" s="244">
        <f>VLOOKUP(C9,'Margin Calculation'!F:Y,20,0)</f>
        <v>615.97800000000007</v>
      </c>
      <c r="H9" s="244">
        <f>VLOOKUP(C9,'Margin Calculation'!F:Z,21,0)</f>
        <v>726.85404000000005</v>
      </c>
      <c r="I9" s="244">
        <f t="shared" si="0"/>
        <v>238.34100000000001</v>
      </c>
      <c r="J9" s="244">
        <v>60</v>
      </c>
      <c r="K9" s="244">
        <f t="shared" si="1"/>
        <v>47.668199999999999</v>
      </c>
      <c r="L9" s="244">
        <f t="shared" si="2"/>
        <v>31.7788</v>
      </c>
      <c r="M9" s="244">
        <f t="shared" si="3"/>
        <v>50</v>
      </c>
      <c r="N9" s="244">
        <f t="shared" si="4"/>
        <v>320.1198</v>
      </c>
      <c r="O9" s="245">
        <f t="shared" si="5"/>
        <v>0.20146751922665423</v>
      </c>
      <c r="P9" s="244">
        <f t="shared" si="6"/>
        <v>79.447000000000003</v>
      </c>
      <c r="Q9" s="244">
        <f t="shared" si="7"/>
        <v>31.7788</v>
      </c>
      <c r="R9" s="244">
        <f t="shared" si="8"/>
        <v>1154.9918000000002</v>
      </c>
      <c r="S9" s="244">
        <f t="shared" si="9"/>
        <v>242.38067796610153</v>
      </c>
      <c r="T9" s="246">
        <f t="shared" si="10"/>
        <v>191.56752203389829</v>
      </c>
      <c r="U9" s="247">
        <f t="shared" si="11"/>
        <v>0.1205630936560841</v>
      </c>
      <c r="V9" s="299">
        <f t="shared" si="14"/>
        <v>1588.94</v>
      </c>
      <c r="W9" s="179">
        <v>1499</v>
      </c>
      <c r="X9" s="244"/>
      <c r="Y9" s="179"/>
      <c r="Z9" s="179"/>
    </row>
    <row r="10" spans="1:26">
      <c r="A10" s="253">
        <f t="shared" si="13"/>
        <v>9</v>
      </c>
      <c r="B10" s="234"/>
      <c r="C10" s="234" t="s">
        <v>468</v>
      </c>
      <c r="D10" s="244"/>
      <c r="E10" s="234" t="str">
        <f>VLOOKUP(C10,'Margin Calculation'!F:H,3,0)</f>
        <v>V-01 Rose Gold</v>
      </c>
      <c r="F10" s="234" t="str">
        <f>VLOOKUP(C10,'Margin Calculation'!F:M,8,0)</f>
        <v>Nexlev Volumizer</v>
      </c>
      <c r="G10" s="244">
        <f>VLOOKUP(C10,'Margin Calculation'!F:Y,20,0)</f>
        <v>559.9799999999999</v>
      </c>
      <c r="H10" s="244">
        <f>VLOOKUP(C10,'Margin Calculation'!F:Z,21,0)</f>
        <v>660.77639999999985</v>
      </c>
      <c r="I10" s="244">
        <f t="shared" si="0"/>
        <v>214.49100000000001</v>
      </c>
      <c r="J10" s="244">
        <v>60</v>
      </c>
      <c r="K10" s="244">
        <f t="shared" si="1"/>
        <v>42.898200000000003</v>
      </c>
      <c r="L10" s="244">
        <f t="shared" si="2"/>
        <v>28.598800000000001</v>
      </c>
      <c r="M10" s="244">
        <f t="shared" si="3"/>
        <v>50</v>
      </c>
      <c r="N10" s="244">
        <f t="shared" si="4"/>
        <v>293.08980000000003</v>
      </c>
      <c r="O10" s="245">
        <f t="shared" si="5"/>
        <v>0.20496650209099684</v>
      </c>
      <c r="P10" s="244">
        <f t="shared" si="6"/>
        <v>71.497</v>
      </c>
      <c r="Q10" s="244">
        <f t="shared" si="7"/>
        <v>28.598800000000001</v>
      </c>
      <c r="R10" s="244">
        <f t="shared" si="8"/>
        <v>1056.0637999999999</v>
      </c>
      <c r="S10" s="244">
        <f t="shared" si="9"/>
        <v>218.126440677966</v>
      </c>
      <c r="T10" s="246">
        <f t="shared" si="10"/>
        <v>155.74975932203415</v>
      </c>
      <c r="U10" s="247">
        <f t="shared" si="11"/>
        <v>0.10892048570012318</v>
      </c>
      <c r="V10" s="299">
        <f t="shared" si="14"/>
        <v>1429.94</v>
      </c>
      <c r="W10" s="179">
        <v>1349</v>
      </c>
      <c r="X10" s="244"/>
      <c r="Y10" s="179"/>
      <c r="Z10" s="179"/>
    </row>
    <row r="11" spans="1:26">
      <c r="A11" s="253">
        <f t="shared" si="13"/>
        <v>10</v>
      </c>
      <c r="B11" s="305"/>
      <c r="C11" s="305" t="s">
        <v>471</v>
      </c>
      <c r="D11" s="244"/>
      <c r="E11" s="234" t="str">
        <f>VLOOKUP(C11,'Margin Calculation'!F:H,3,0)</f>
        <v>HS-01</v>
      </c>
      <c r="F11" s="234" t="str">
        <f>VLOOKUP(C11,'Margin Calculation'!F:M,8,0)</f>
        <v>Hair Straightner - Black</v>
      </c>
      <c r="G11" s="244">
        <f>VLOOKUP(C11,'Margin Calculation'!F:Y,20,0)</f>
        <v>321.42851999999999</v>
      </c>
      <c r="H11" s="244">
        <f>VLOOKUP(C11,'Margin Calculation'!F:Z,21,0)</f>
        <v>379.28565359999999</v>
      </c>
      <c r="I11" s="244">
        <f t="shared" si="0"/>
        <v>111.14100000000001</v>
      </c>
      <c r="J11" s="244">
        <v>60</v>
      </c>
      <c r="K11" s="244">
        <f t="shared" si="1"/>
        <v>22.228200000000001</v>
      </c>
      <c r="L11" s="244">
        <f t="shared" si="2"/>
        <v>14.818800000000001</v>
      </c>
      <c r="M11" s="244">
        <f t="shared" si="3"/>
        <v>30</v>
      </c>
      <c r="N11" s="244">
        <f t="shared" si="4"/>
        <v>155.9598</v>
      </c>
      <c r="O11" s="245">
        <f t="shared" si="5"/>
        <v>0.21048910842983237</v>
      </c>
      <c r="P11" s="244">
        <f t="shared" si="6"/>
        <v>37.047000000000004</v>
      </c>
      <c r="Q11" s="244">
        <f t="shared" si="7"/>
        <v>14.818800000000001</v>
      </c>
      <c r="R11" s="244">
        <f t="shared" si="8"/>
        <v>611.48232000000007</v>
      </c>
      <c r="S11" s="244">
        <f t="shared" si="9"/>
        <v>113.02474576271186</v>
      </c>
      <c r="T11" s="246">
        <f t="shared" si="10"/>
        <v>16.432934237288123</v>
      </c>
      <c r="U11" s="247">
        <f t="shared" si="11"/>
        <v>2.2178495205128785E-2</v>
      </c>
      <c r="V11" s="299">
        <f t="shared" si="14"/>
        <v>740.94</v>
      </c>
      <c r="W11" s="179">
        <v>699</v>
      </c>
      <c r="X11" s="244"/>
      <c r="Y11" s="179"/>
      <c r="Z11" s="179"/>
    </row>
    <row r="12" spans="1:26">
      <c r="A12" s="253">
        <f t="shared" si="13"/>
        <v>11</v>
      </c>
      <c r="B12" s="234" t="s">
        <v>934</v>
      </c>
      <c r="C12" s="234" t="s">
        <v>475</v>
      </c>
      <c r="D12" s="244"/>
      <c r="E12" s="234" t="str">
        <f>VLOOKUP(C12,'Margin Calculation'!F:H,3,0)</f>
        <v>HS-02</v>
      </c>
      <c r="F12" s="234" t="str">
        <f>VLOOKUP(C12,'Margin Calculation'!F:M,8,0)</f>
        <v>Hair Straightner - Purple</v>
      </c>
      <c r="G12" s="244">
        <f>VLOOKUP(C12,'Margin Calculation'!F:Y,20,0)</f>
        <v>331.50816000000003</v>
      </c>
      <c r="H12" s="244">
        <f>VLOOKUP(C12,'Margin Calculation'!F:Z,21,0)</f>
        <v>391.17962879999999</v>
      </c>
      <c r="I12" s="244">
        <f t="shared" si="0"/>
        <v>127.35</v>
      </c>
      <c r="J12" s="244">
        <v>60</v>
      </c>
      <c r="K12" s="244">
        <f t="shared" si="1"/>
        <v>25.47</v>
      </c>
      <c r="L12" s="244">
        <f t="shared" si="2"/>
        <v>16.98</v>
      </c>
      <c r="M12" s="244">
        <f t="shared" si="3"/>
        <v>30</v>
      </c>
      <c r="N12" s="244">
        <f t="shared" si="4"/>
        <v>174.32999999999998</v>
      </c>
      <c r="O12" s="245">
        <f t="shared" si="5"/>
        <v>0.20533568904593638</v>
      </c>
      <c r="P12" s="244">
        <f t="shared" si="6"/>
        <v>42.45</v>
      </c>
      <c r="Q12" s="244">
        <f t="shared" si="7"/>
        <v>16.98</v>
      </c>
      <c r="R12" s="244">
        <f t="shared" si="8"/>
        <v>650.73816000000011</v>
      </c>
      <c r="S12" s="244">
        <f t="shared" si="9"/>
        <v>129.50847457627117</v>
      </c>
      <c r="T12" s="246">
        <f t="shared" si="10"/>
        <v>68.753365423728724</v>
      </c>
      <c r="U12" s="247">
        <f t="shared" si="11"/>
        <v>8.0981584715817109E-2</v>
      </c>
      <c r="V12" s="299">
        <v>849</v>
      </c>
      <c r="W12" s="179">
        <v>799</v>
      </c>
      <c r="X12" s="244"/>
      <c r="Y12" s="179"/>
      <c r="Z12" s="179"/>
    </row>
    <row r="13" spans="1:26">
      <c r="A13" s="300">
        <f t="shared" si="13"/>
        <v>12</v>
      </c>
      <c r="B13" s="301" t="s">
        <v>934</v>
      </c>
      <c r="C13" s="301" t="s">
        <v>508</v>
      </c>
      <c r="D13" s="302"/>
      <c r="E13" s="301" t="str">
        <f>VLOOKUP(C13,'Margin Calculation'!F:H,3,0)</f>
        <v>HD-01</v>
      </c>
      <c r="F13" s="301" t="str">
        <f>VLOOKUP(C13,'Margin Calculation'!F:M,8,0)</f>
        <v>Nexlev Hair Dryer</v>
      </c>
      <c r="G13" s="302">
        <f>VLOOKUP(C13,'Margin Calculation'!F:Y,20,0)</f>
        <v>655.17660000000001</v>
      </c>
      <c r="H13" s="302">
        <f>VLOOKUP(C13,'Margin Calculation'!F:Z,21,0)</f>
        <v>773.10838799999999</v>
      </c>
      <c r="I13" s="302">
        <f t="shared" si="0"/>
        <v>158.85</v>
      </c>
      <c r="J13" s="302">
        <v>60</v>
      </c>
      <c r="K13" s="302">
        <f t="shared" si="1"/>
        <v>31.77</v>
      </c>
      <c r="L13" s="302">
        <f t="shared" si="2"/>
        <v>21.18</v>
      </c>
      <c r="M13" s="302">
        <f t="shared" si="3"/>
        <v>50</v>
      </c>
      <c r="N13" s="302">
        <f t="shared" si="4"/>
        <v>230.03</v>
      </c>
      <c r="O13" s="303">
        <f t="shared" si="5"/>
        <v>0.21721435316336166</v>
      </c>
      <c r="P13" s="302">
        <f t="shared" si="6"/>
        <v>52.95</v>
      </c>
      <c r="Q13" s="302">
        <f t="shared" si="7"/>
        <v>21.18</v>
      </c>
      <c r="R13" s="302">
        <f t="shared" si="8"/>
        <v>1051.1066000000001</v>
      </c>
      <c r="S13" s="302">
        <f t="shared" si="9"/>
        <v>161.54237288135585</v>
      </c>
      <c r="T13" s="302">
        <f t="shared" si="10"/>
        <v>-153.64897288135592</v>
      </c>
      <c r="U13" s="303">
        <f t="shared" si="11"/>
        <v>-0.14508873737616235</v>
      </c>
      <c r="V13" s="302">
        <v>1059</v>
      </c>
      <c r="W13" s="304">
        <v>1329</v>
      </c>
      <c r="X13" s="244"/>
      <c r="Y13" s="179"/>
      <c r="Z13" s="179"/>
    </row>
    <row r="14" spans="1:26">
      <c r="A14" s="253">
        <f t="shared" si="13"/>
        <v>13</v>
      </c>
      <c r="B14" s="305"/>
      <c r="C14" s="305" t="s">
        <v>538</v>
      </c>
      <c r="D14" s="244"/>
      <c r="E14" s="234" t="str">
        <f>VLOOKUP(C14,'Margin Calculation'!F:H,3,0)</f>
        <v>HD-02</v>
      </c>
      <c r="F14" s="234" t="str">
        <f>VLOOKUP(C14,'Margin Calculation'!F:M,8,0)</f>
        <v>Nexlev Hair Dryer 1500W - Women</v>
      </c>
      <c r="G14" s="244">
        <f>VLOOKUP(C14,'Margin Calculation'!F:Y,20,0)</f>
        <v>379.66644000000002</v>
      </c>
      <c r="H14" s="244">
        <f>VLOOKUP(C14,'Margin Calculation'!F:Z,21,0)</f>
        <v>448.00639919999998</v>
      </c>
      <c r="I14" s="244">
        <f t="shared" si="0"/>
        <v>127.041</v>
      </c>
      <c r="J14" s="244">
        <v>60</v>
      </c>
      <c r="K14" s="244">
        <f t="shared" si="1"/>
        <v>25.408200000000001</v>
      </c>
      <c r="L14" s="244">
        <f t="shared" si="2"/>
        <v>16.938800000000001</v>
      </c>
      <c r="M14" s="244">
        <f t="shared" si="3"/>
        <v>30</v>
      </c>
      <c r="N14" s="244">
        <f t="shared" si="4"/>
        <v>173.97980000000001</v>
      </c>
      <c r="O14" s="245">
        <f t="shared" si="5"/>
        <v>0.20542163553498477</v>
      </c>
      <c r="P14" s="244">
        <f t="shared" si="6"/>
        <v>42.347000000000008</v>
      </c>
      <c r="Q14" s="244">
        <f t="shared" si="7"/>
        <v>16.938800000000001</v>
      </c>
      <c r="R14" s="244">
        <f t="shared" si="8"/>
        <v>698.34023999999999</v>
      </c>
      <c r="S14" s="244">
        <f t="shared" si="9"/>
        <v>129.19423728813558</v>
      </c>
      <c r="T14" s="246">
        <f t="shared" si="10"/>
        <v>19.405522711864478</v>
      </c>
      <c r="U14" s="247">
        <f t="shared" si="11"/>
        <v>2.2912511762184423E-2</v>
      </c>
      <c r="V14" s="299">
        <f t="shared" ref="V14:V28" si="15">W14*(1+0.06)</f>
        <v>846.94</v>
      </c>
      <c r="W14" s="179">
        <v>799</v>
      </c>
      <c r="X14" s="244"/>
      <c r="Y14" s="179"/>
      <c r="Z14" s="179"/>
    </row>
    <row r="15" spans="1:26">
      <c r="A15" s="253">
        <f t="shared" si="13"/>
        <v>14</v>
      </c>
      <c r="B15" s="305"/>
      <c r="C15" s="305" t="s">
        <v>512</v>
      </c>
      <c r="D15" s="244"/>
      <c r="E15" s="234" t="str">
        <f>VLOOKUP(C15,'Margin Calculation'!F:H,3,0)</f>
        <v>HM-01</v>
      </c>
      <c r="F15" s="234" t="str">
        <f>VLOOKUP(C15,'Margin Calculation'!F:M,8,0)</f>
        <v>Scalp Massager</v>
      </c>
      <c r="G15" s="244">
        <f>VLOOKUP(C15,'Margin Calculation'!F:Y,20,0)</f>
        <v>458.541</v>
      </c>
      <c r="H15" s="244">
        <f>VLOOKUP(C15,'Margin Calculation'!F:Z,21,0)</f>
        <v>513.56592000000001</v>
      </c>
      <c r="I15" s="244">
        <f t="shared" si="0"/>
        <v>142.941</v>
      </c>
      <c r="J15" s="244">
        <v>60</v>
      </c>
      <c r="K15" s="244">
        <f t="shared" si="1"/>
        <v>28.588200000000001</v>
      </c>
      <c r="L15" s="244">
        <f t="shared" si="2"/>
        <v>19.058800000000002</v>
      </c>
      <c r="M15" s="244">
        <f t="shared" si="3"/>
        <v>30</v>
      </c>
      <c r="N15" s="244">
        <f t="shared" si="4"/>
        <v>191.99979999999999</v>
      </c>
      <c r="O15" s="245">
        <f t="shared" si="5"/>
        <v>0.20148152034755595</v>
      </c>
      <c r="P15" s="244">
        <f t="shared" si="6"/>
        <v>47.647000000000006</v>
      </c>
      <c r="Q15" s="244">
        <f t="shared" si="7"/>
        <v>19.058800000000002</v>
      </c>
      <c r="R15" s="244">
        <f t="shared" si="8"/>
        <v>805.83480000000009</v>
      </c>
      <c r="S15" s="244">
        <f t="shared" ref="S15:S16" si="16">V15-(V15/1.12)</f>
        <v>102.10071428571439</v>
      </c>
      <c r="T15" s="246">
        <f t="shared" si="10"/>
        <v>45.004485714285579</v>
      </c>
      <c r="U15" s="247">
        <f t="shared" si="11"/>
        <v>4.7226987758185797E-2</v>
      </c>
      <c r="V15" s="299">
        <f t="shared" si="15"/>
        <v>952.94</v>
      </c>
      <c r="W15" s="179">
        <v>899</v>
      </c>
      <c r="X15" s="244"/>
      <c r="Y15" s="179"/>
      <c r="Z15" s="179"/>
    </row>
    <row r="16" spans="1:26">
      <c r="A16" s="253">
        <f t="shared" si="13"/>
        <v>15</v>
      </c>
      <c r="B16" s="234"/>
      <c r="C16" s="234" t="s">
        <v>520</v>
      </c>
      <c r="D16" s="244"/>
      <c r="E16" s="234" t="str">
        <f>VLOOKUP(C16,'Margin Calculation'!F:H,3,0)</f>
        <v>HM-02</v>
      </c>
      <c r="F16" s="234" t="str">
        <f>VLOOKUP(C16,'Margin Calculation'!F:M,8,0)</f>
        <v>Scalp Massager Pro</v>
      </c>
      <c r="G16" s="244">
        <f>VLOOKUP(C16,'Margin Calculation'!F:Y,20,0)</f>
        <v>611.38800000000003</v>
      </c>
      <c r="H16" s="244">
        <f>VLOOKUP(C16,'Margin Calculation'!F:Z,21,0)</f>
        <v>684.75456000000008</v>
      </c>
      <c r="I16" s="244">
        <f t="shared" si="0"/>
        <v>158.84100000000001</v>
      </c>
      <c r="J16" s="244">
        <v>60</v>
      </c>
      <c r="K16" s="244">
        <f t="shared" si="1"/>
        <v>31.7682</v>
      </c>
      <c r="L16" s="244">
        <f t="shared" si="2"/>
        <v>21.178800000000003</v>
      </c>
      <c r="M16" s="244">
        <f t="shared" si="3"/>
        <v>50</v>
      </c>
      <c r="N16" s="244">
        <f t="shared" si="4"/>
        <v>230.0198</v>
      </c>
      <c r="O16" s="245">
        <f t="shared" si="5"/>
        <v>0.21721702834910381</v>
      </c>
      <c r="P16" s="244">
        <f t="shared" si="6"/>
        <v>52.947000000000003</v>
      </c>
      <c r="Q16" s="244">
        <f t="shared" si="7"/>
        <v>21.178800000000003</v>
      </c>
      <c r="R16" s="244">
        <f t="shared" si="8"/>
        <v>1007.3018000000001</v>
      </c>
      <c r="S16" s="244">
        <f t="shared" si="16"/>
        <v>113.45785714285728</v>
      </c>
      <c r="T16" s="246">
        <f t="shared" si="10"/>
        <v>-61.819657142857295</v>
      </c>
      <c r="U16" s="247">
        <f t="shared" si="11"/>
        <v>-5.8378810076923422E-2</v>
      </c>
      <c r="V16" s="299">
        <f t="shared" si="15"/>
        <v>1058.94</v>
      </c>
      <c r="W16" s="179">
        <v>999</v>
      </c>
      <c r="X16" s="244"/>
      <c r="Y16" s="179"/>
      <c r="Z16" s="179"/>
    </row>
    <row r="17" spans="1:26">
      <c r="A17" s="253">
        <f t="shared" si="13"/>
        <v>16</v>
      </c>
      <c r="B17" s="234"/>
      <c r="C17" s="234" t="s">
        <v>525</v>
      </c>
      <c r="D17" s="244"/>
      <c r="E17" s="234" t="str">
        <f>VLOOKUP(C17,'Margin Calculation'!F:H,3,0)</f>
        <v>ETC-04-WH</v>
      </c>
      <c r="F17" s="234" t="str">
        <f>VLOOKUP(C17,'Margin Calculation'!F:M,8,0)</f>
        <v>Electric Toothbrush - C Type - White-Sparkle Pro</v>
      </c>
      <c r="G17" s="244">
        <f>VLOOKUP(C17,'Margin Calculation'!F:Y,20,0)</f>
        <v>346.06763999999998</v>
      </c>
      <c r="H17" s="244">
        <f>VLOOKUP(C17,'Margin Calculation'!F:Z,21,0)</f>
        <v>408.35981519999996</v>
      </c>
      <c r="I17" s="244">
        <f t="shared" si="0"/>
        <v>119.09100000000001</v>
      </c>
      <c r="J17" s="244">
        <v>60</v>
      </c>
      <c r="K17" s="244">
        <f t="shared" si="1"/>
        <v>23.818200000000001</v>
      </c>
      <c r="L17" s="244">
        <f t="shared" si="2"/>
        <v>15.878800000000002</v>
      </c>
      <c r="M17" s="244">
        <f t="shared" si="3"/>
        <v>30</v>
      </c>
      <c r="N17" s="244">
        <f t="shared" si="4"/>
        <v>164.96980000000002</v>
      </c>
      <c r="O17" s="245">
        <f t="shared" si="5"/>
        <v>0.20778623069753382</v>
      </c>
      <c r="P17" s="244">
        <f t="shared" si="6"/>
        <v>39.697000000000003</v>
      </c>
      <c r="Q17" s="244">
        <f t="shared" si="7"/>
        <v>15.878800000000002</v>
      </c>
      <c r="R17" s="244">
        <f t="shared" si="8"/>
        <v>650.43143999999995</v>
      </c>
      <c r="S17" s="244">
        <f t="shared" ref="S17:S18" si="17">V17-(V17/1.18)</f>
        <v>121.10949152542366</v>
      </c>
      <c r="T17" s="246">
        <f t="shared" si="10"/>
        <v>22.399068474576438</v>
      </c>
      <c r="U17" s="247">
        <f t="shared" si="11"/>
        <v>2.8212545626340072E-2</v>
      </c>
      <c r="V17" s="299">
        <f t="shared" si="15"/>
        <v>793.94</v>
      </c>
      <c r="W17" s="179">
        <v>749</v>
      </c>
      <c r="X17" s="244"/>
      <c r="Y17" s="179"/>
      <c r="Z17" s="179"/>
    </row>
    <row r="18" spans="1:26">
      <c r="A18" s="253">
        <f t="shared" si="13"/>
        <v>17</v>
      </c>
      <c r="B18" s="234"/>
      <c r="C18" s="234" t="s">
        <v>529</v>
      </c>
      <c r="D18" s="244"/>
      <c r="E18" s="234" t="str">
        <f>VLOOKUP(C18,'Margin Calculation'!F:H,3,0)</f>
        <v>ETC-05-PI</v>
      </c>
      <c r="F18" s="234" t="str">
        <f>VLOOKUP(C18,'Margin Calculation'!F:M,8,0)</f>
        <v>Electric Toothbrush - C Type - Pink-Sparkle Pro</v>
      </c>
      <c r="G18" s="244">
        <f>VLOOKUP(C18,'Margin Calculation'!F:Y,20,0)</f>
        <v>352.78740000000005</v>
      </c>
      <c r="H18" s="244">
        <f>VLOOKUP(C18,'Margin Calculation'!F:Z,21,0)</f>
        <v>416.28913200000005</v>
      </c>
      <c r="I18" s="244">
        <f t="shared" si="0"/>
        <v>111.14100000000001</v>
      </c>
      <c r="J18" s="244">
        <v>60</v>
      </c>
      <c r="K18" s="244">
        <f t="shared" si="1"/>
        <v>22.228200000000001</v>
      </c>
      <c r="L18" s="244">
        <f t="shared" si="2"/>
        <v>14.818800000000001</v>
      </c>
      <c r="M18" s="244">
        <f t="shared" si="3"/>
        <v>30</v>
      </c>
      <c r="N18" s="244">
        <f t="shared" si="4"/>
        <v>155.9598</v>
      </c>
      <c r="O18" s="245">
        <f t="shared" si="5"/>
        <v>0.21048910842983237</v>
      </c>
      <c r="P18" s="244">
        <f t="shared" si="6"/>
        <v>37.047000000000004</v>
      </c>
      <c r="Q18" s="244">
        <f t="shared" si="7"/>
        <v>14.818800000000001</v>
      </c>
      <c r="R18" s="244">
        <f t="shared" si="8"/>
        <v>642.84120000000007</v>
      </c>
      <c r="S18" s="244">
        <f t="shared" si="17"/>
        <v>113.02474576271186</v>
      </c>
      <c r="T18" s="246">
        <f t="shared" si="10"/>
        <v>-14.925945762711876</v>
      </c>
      <c r="U18" s="247">
        <f t="shared" si="11"/>
        <v>-2.0144607880141274E-2</v>
      </c>
      <c r="V18" s="299">
        <f t="shared" si="15"/>
        <v>740.94</v>
      </c>
      <c r="W18" s="179">
        <v>699</v>
      </c>
      <c r="X18" s="244"/>
      <c r="Y18" s="179"/>
      <c r="Z18" s="179"/>
    </row>
    <row r="19" spans="1:26">
      <c r="A19" s="253">
        <f t="shared" si="13"/>
        <v>18</v>
      </c>
      <c r="B19" s="305"/>
      <c r="C19" s="305" t="s">
        <v>543</v>
      </c>
      <c r="D19" s="244"/>
      <c r="E19" s="234" t="str">
        <f>VLOOKUP(C19,'Margin Calculation'!F:H,3,0)</f>
        <v>EA-01</v>
      </c>
      <c r="F19" s="234" t="str">
        <f>VLOOKUP(C19,'Margin Calculation'!F:M,8,0)</f>
        <v>Electric Oil Applicator</v>
      </c>
      <c r="G19" s="244">
        <f>VLOOKUP(C19,'Margin Calculation'!F:Y,20,0)</f>
        <v>611.38800000000003</v>
      </c>
      <c r="H19" s="244">
        <f>VLOOKUP(C19,'Margin Calculation'!F:Z,21,0)</f>
        <v>721.43784000000005</v>
      </c>
      <c r="I19" s="244">
        <f t="shared" si="0"/>
        <v>158.84100000000001</v>
      </c>
      <c r="J19" s="244">
        <v>60</v>
      </c>
      <c r="K19" s="244">
        <f t="shared" si="1"/>
        <v>31.7682</v>
      </c>
      <c r="L19" s="244">
        <f t="shared" si="2"/>
        <v>21.178800000000003</v>
      </c>
      <c r="M19" s="244">
        <f t="shared" si="3"/>
        <v>50</v>
      </c>
      <c r="N19" s="244">
        <f t="shared" si="4"/>
        <v>230.0198</v>
      </c>
      <c r="O19" s="245">
        <f t="shared" si="5"/>
        <v>0.21721702834910381</v>
      </c>
      <c r="P19" s="244">
        <f t="shared" si="6"/>
        <v>52.947000000000003</v>
      </c>
      <c r="Q19" s="244">
        <f t="shared" si="7"/>
        <v>21.178800000000003</v>
      </c>
      <c r="R19" s="244">
        <f t="shared" si="8"/>
        <v>1007.3018000000001</v>
      </c>
      <c r="S19" s="244">
        <f>V19-(V19/1.12)</f>
        <v>113.45785714285728</v>
      </c>
      <c r="T19" s="246">
        <f t="shared" si="10"/>
        <v>-61.819657142857295</v>
      </c>
      <c r="U19" s="247">
        <f t="shared" si="11"/>
        <v>-5.8378810076923422E-2</v>
      </c>
      <c r="V19" s="299">
        <f t="shared" si="15"/>
        <v>1058.94</v>
      </c>
      <c r="W19" s="179">
        <v>999</v>
      </c>
      <c r="X19" s="244"/>
      <c r="Y19" s="179"/>
      <c r="Z19" s="179"/>
    </row>
    <row r="20" spans="1:26">
      <c r="A20" s="253">
        <f t="shared" si="13"/>
        <v>19</v>
      </c>
      <c r="B20" s="234"/>
      <c r="C20" s="234" t="s">
        <v>552</v>
      </c>
      <c r="D20" s="244"/>
      <c r="E20" s="234" t="str">
        <f>VLOOKUP(C20,'Margin Calculation'!F:H,3,0)</f>
        <v>LE-01</v>
      </c>
      <c r="F20" s="234" t="str">
        <f>VLOOKUP(C20,'Margin Calculation'!F:M,8,0)</f>
        <v>LED Face &amp; Skin Care Massager</v>
      </c>
      <c r="G20" s="244">
        <f>VLOOKUP(C20,'Margin Calculation'!F:Y,20,0)</f>
        <v>320.9787</v>
      </c>
      <c r="H20" s="244">
        <f>VLOOKUP(C20,'Margin Calculation'!F:Z,21,0)</f>
        <v>378.75486599999999</v>
      </c>
      <c r="I20" s="244">
        <f t="shared" si="0"/>
        <v>111.14100000000001</v>
      </c>
      <c r="J20" s="244">
        <v>60</v>
      </c>
      <c r="K20" s="244">
        <f t="shared" si="1"/>
        <v>22.228200000000001</v>
      </c>
      <c r="L20" s="244">
        <f t="shared" si="2"/>
        <v>14.818800000000001</v>
      </c>
      <c r="M20" s="244">
        <f t="shared" si="3"/>
        <v>30</v>
      </c>
      <c r="N20" s="244">
        <f t="shared" si="4"/>
        <v>155.9598</v>
      </c>
      <c r="O20" s="245">
        <f t="shared" si="5"/>
        <v>0.21048910842983237</v>
      </c>
      <c r="P20" s="244">
        <f t="shared" si="6"/>
        <v>37.047000000000004</v>
      </c>
      <c r="Q20" s="244">
        <f t="shared" si="7"/>
        <v>14.818800000000001</v>
      </c>
      <c r="R20" s="244">
        <f t="shared" si="8"/>
        <v>611.03250000000003</v>
      </c>
      <c r="S20" s="244">
        <f t="shared" ref="S20:S26" si="18">V20-(V20/1.18)</f>
        <v>113.02474576271186</v>
      </c>
      <c r="T20" s="246">
        <f t="shared" si="10"/>
        <v>16.882754237288168</v>
      </c>
      <c r="U20" s="247">
        <f t="shared" si="11"/>
        <v>2.2785588896925751E-2</v>
      </c>
      <c r="V20" s="299">
        <f t="shared" si="15"/>
        <v>740.94</v>
      </c>
      <c r="W20" s="179">
        <v>699</v>
      </c>
      <c r="X20" s="244"/>
      <c r="Y20" s="179"/>
      <c r="Z20" s="179"/>
    </row>
    <row r="21" spans="1:26">
      <c r="A21" s="253">
        <f t="shared" si="13"/>
        <v>20</v>
      </c>
      <c r="B21" s="233"/>
      <c r="C21" s="233" t="s">
        <v>562</v>
      </c>
      <c r="D21" s="244"/>
      <c r="E21" s="234" t="str">
        <f>VLOOKUP(C21,'Margin Calculation'!F:H,3,0)</f>
        <v>ETR-06</v>
      </c>
      <c r="F21" s="234" t="str">
        <f>VLOOKUP(C21,'Margin Calculation'!F:M,8,0)</f>
        <v>Oscillating Electric Toothbrush Sparkle Plus</v>
      </c>
      <c r="G21" s="244">
        <f>VLOOKUP(C21,'Margin Calculation'!F:Y,20,0)</f>
        <v>577.89936</v>
      </c>
      <c r="H21" s="244">
        <f>VLOOKUP(C21,'Margin Calculation'!F:Z,21,0)</f>
        <v>681.92124479999995</v>
      </c>
      <c r="I21" s="244">
        <f t="shared" si="0"/>
        <v>238.34100000000001</v>
      </c>
      <c r="J21" s="244">
        <v>60</v>
      </c>
      <c r="K21" s="244">
        <f t="shared" si="1"/>
        <v>47.668199999999999</v>
      </c>
      <c r="L21" s="244">
        <f t="shared" si="2"/>
        <v>31.7788</v>
      </c>
      <c r="M21" s="244">
        <f t="shared" si="3"/>
        <v>50</v>
      </c>
      <c r="N21" s="244">
        <f t="shared" si="4"/>
        <v>320.1198</v>
      </c>
      <c r="O21" s="245">
        <f t="shared" si="5"/>
        <v>0.20146751922665423</v>
      </c>
      <c r="P21" s="244">
        <f t="shared" si="6"/>
        <v>79.447000000000003</v>
      </c>
      <c r="Q21" s="244">
        <f t="shared" si="7"/>
        <v>31.7788</v>
      </c>
      <c r="R21" s="244">
        <f t="shared" si="8"/>
        <v>1116.9131600000001</v>
      </c>
      <c r="S21" s="244">
        <f t="shared" si="18"/>
        <v>242.38067796610153</v>
      </c>
      <c r="T21" s="246">
        <f t="shared" si="10"/>
        <v>229.64616203389846</v>
      </c>
      <c r="U21" s="247">
        <f t="shared" si="11"/>
        <v>0.14452790038258112</v>
      </c>
      <c r="V21" s="299">
        <f t="shared" si="15"/>
        <v>1588.94</v>
      </c>
      <c r="W21" s="179">
        <v>1499</v>
      </c>
      <c r="X21" s="244"/>
      <c r="Y21" s="179"/>
      <c r="Z21" s="179"/>
    </row>
    <row r="22" spans="1:26">
      <c r="A22" s="253">
        <f t="shared" si="13"/>
        <v>21</v>
      </c>
      <c r="B22" s="233"/>
      <c r="C22" s="233" t="s">
        <v>570</v>
      </c>
      <c r="D22" s="244"/>
      <c r="E22" s="234" t="str">
        <f>VLOOKUP(C22,'Margin Calculation'!F:H,3,0)</f>
        <v>FS-01</v>
      </c>
      <c r="F22" s="234" t="str">
        <f>VLOOKUP(C22,'Margin Calculation'!F:M,8,0)</f>
        <v>Nexlev Face Steamer</v>
      </c>
      <c r="G22" s="244">
        <f>VLOOKUP(C22,'Margin Calculation'!F:Y,20,0)</f>
        <v>744.77340000000015</v>
      </c>
      <c r="H22" s="244">
        <f>VLOOKUP(C22,'Margin Calculation'!F:Z,21,0)</f>
        <v>878.83261200000015</v>
      </c>
      <c r="I22" s="244">
        <f t="shared" si="0"/>
        <v>238.34100000000001</v>
      </c>
      <c r="J22" s="244">
        <v>60</v>
      </c>
      <c r="K22" s="244">
        <f t="shared" si="1"/>
        <v>47.668199999999999</v>
      </c>
      <c r="L22" s="244">
        <f t="shared" si="2"/>
        <v>31.7788</v>
      </c>
      <c r="M22" s="244">
        <f t="shared" si="3"/>
        <v>50</v>
      </c>
      <c r="N22" s="244">
        <f t="shared" si="4"/>
        <v>320.1198</v>
      </c>
      <c r="O22" s="245">
        <f t="shared" si="5"/>
        <v>0.20146751922665423</v>
      </c>
      <c r="P22" s="244">
        <f t="shared" si="6"/>
        <v>79.447000000000003</v>
      </c>
      <c r="Q22" s="244">
        <f t="shared" si="7"/>
        <v>31.7788</v>
      </c>
      <c r="R22" s="244">
        <f t="shared" si="8"/>
        <v>1283.7872000000002</v>
      </c>
      <c r="S22" s="244">
        <f t="shared" si="18"/>
        <v>242.38067796610153</v>
      </c>
      <c r="T22" s="246">
        <f t="shared" si="10"/>
        <v>62.772122033898313</v>
      </c>
      <c r="U22" s="247">
        <f t="shared" si="11"/>
        <v>3.9505659139991635E-2</v>
      </c>
      <c r="V22" s="299">
        <f t="shared" si="15"/>
        <v>1588.94</v>
      </c>
      <c r="W22" s="179">
        <v>1499</v>
      </c>
      <c r="X22" s="244"/>
      <c r="Y22" s="179"/>
      <c r="Z22" s="179"/>
    </row>
    <row r="23" spans="1:26">
      <c r="A23" s="253">
        <f t="shared" si="13"/>
        <v>22</v>
      </c>
      <c r="B23" s="233"/>
      <c r="C23" s="233" t="s">
        <v>575</v>
      </c>
      <c r="D23" s="244"/>
      <c r="E23" s="234" t="str">
        <f>VLOOKUP(C23,'Margin Calculation'!F:H,3,0)</f>
        <v>HSB-03</v>
      </c>
      <c r="F23" s="234" t="str">
        <f>VLOOKUP(C23,'Margin Calculation'!F:M,8,0)</f>
        <v>Nexlev Hair Straightener Brush</v>
      </c>
      <c r="G23" s="244">
        <f>VLOOKUP(C23,'Margin Calculation'!F:Y,20,0)</f>
        <v>710.05464000000006</v>
      </c>
      <c r="H23" s="244">
        <f>VLOOKUP(C23,'Margin Calculation'!F:Z,21,0)</f>
        <v>837.86447520000002</v>
      </c>
      <c r="I23" s="244">
        <f t="shared" si="0"/>
        <v>301.94099999999997</v>
      </c>
      <c r="J23" s="244">
        <v>60</v>
      </c>
      <c r="K23" s="244">
        <f t="shared" si="1"/>
        <v>60.388199999999998</v>
      </c>
      <c r="L23" s="244">
        <f t="shared" si="2"/>
        <v>40.258800000000001</v>
      </c>
      <c r="M23" s="244">
        <f t="shared" si="3"/>
        <v>50</v>
      </c>
      <c r="N23" s="244">
        <f t="shared" si="4"/>
        <v>392.19979999999998</v>
      </c>
      <c r="O23" s="245">
        <f t="shared" si="5"/>
        <v>0.19483928979502615</v>
      </c>
      <c r="P23" s="244">
        <f t="shared" si="6"/>
        <v>100.64700000000001</v>
      </c>
      <c r="Q23" s="244">
        <f t="shared" si="7"/>
        <v>40.258800000000001</v>
      </c>
      <c r="R23" s="244">
        <f t="shared" si="8"/>
        <v>1363.5484400000003</v>
      </c>
      <c r="S23" s="244">
        <f t="shared" si="18"/>
        <v>307.05864406779642</v>
      </c>
      <c r="T23" s="246">
        <f t="shared" si="10"/>
        <v>342.33291593220338</v>
      </c>
      <c r="U23" s="247">
        <f t="shared" si="11"/>
        <v>0.1700661301043267</v>
      </c>
      <c r="V23" s="299">
        <f t="shared" si="15"/>
        <v>2012.94</v>
      </c>
      <c r="W23" s="179">
        <v>1899</v>
      </c>
      <c r="X23" s="244"/>
      <c r="Y23" s="179"/>
      <c r="Z23" s="179"/>
    </row>
    <row r="24" spans="1:26">
      <c r="A24" s="253">
        <f t="shared" si="13"/>
        <v>23</v>
      </c>
      <c r="B24" s="233"/>
      <c r="C24" s="233" t="s">
        <v>580</v>
      </c>
      <c r="D24" s="244"/>
      <c r="E24" s="234" t="str">
        <f>VLOOKUP(C24,'Margin Calculation'!F:H,3,0)</f>
        <v>HSB-04</v>
      </c>
      <c r="F24" s="234" t="str">
        <f>VLOOKUP(C24,'Margin Calculation'!F:M,8,0)</f>
        <v>Nexlev Hair Straightener Brush - Portable</v>
      </c>
      <c r="G24" s="244">
        <f>VLOOKUP(C24,'Margin Calculation'!F:Y,20,0)</f>
        <v>827.65044</v>
      </c>
      <c r="H24" s="244">
        <f>VLOOKUP(C24,'Margin Calculation'!F:Z,21,0)</f>
        <v>976.62751919999994</v>
      </c>
      <c r="I24" s="244">
        <f t="shared" si="0"/>
        <v>397.34100000000001</v>
      </c>
      <c r="J24" s="244">
        <v>60</v>
      </c>
      <c r="K24" s="244">
        <f t="shared" si="1"/>
        <v>79.468199999999996</v>
      </c>
      <c r="L24" s="244">
        <f t="shared" si="2"/>
        <v>52.9788</v>
      </c>
      <c r="M24" s="244">
        <f t="shared" si="3"/>
        <v>50</v>
      </c>
      <c r="N24" s="244">
        <f t="shared" si="4"/>
        <v>500.31979999999999</v>
      </c>
      <c r="O24" s="245">
        <f t="shared" si="5"/>
        <v>0.18887547471818916</v>
      </c>
      <c r="P24" s="244">
        <f t="shared" si="6"/>
        <v>132.447</v>
      </c>
      <c r="Q24" s="244">
        <f t="shared" si="7"/>
        <v>52.9788</v>
      </c>
      <c r="R24" s="244">
        <f t="shared" si="8"/>
        <v>1652.8642400000003</v>
      </c>
      <c r="S24" s="244">
        <f t="shared" si="18"/>
        <v>404.07559322033876</v>
      </c>
      <c r="T24" s="246">
        <f t="shared" si="10"/>
        <v>592.00016677966096</v>
      </c>
      <c r="U24" s="247">
        <f t="shared" si="11"/>
        <v>0.22348568362426516</v>
      </c>
      <c r="V24" s="299">
        <f t="shared" si="15"/>
        <v>2648.94</v>
      </c>
      <c r="W24" s="179">
        <v>2499</v>
      </c>
      <c r="X24" s="244"/>
      <c r="Y24" s="179"/>
      <c r="Z24" s="179"/>
    </row>
    <row r="25" spans="1:26">
      <c r="A25" s="253">
        <f t="shared" si="13"/>
        <v>24</v>
      </c>
      <c r="B25" s="233"/>
      <c r="C25" s="233" t="s">
        <v>589</v>
      </c>
      <c r="D25" s="244"/>
      <c r="E25" s="234" t="str">
        <f>VLOOKUP(C25,'Margin Calculation'!F:H,3,0)</f>
        <v>LE-02</v>
      </c>
      <c r="F25" s="234" t="str">
        <f>VLOOKUP(C25,'Margin Calculation'!F:M,8,0)</f>
        <v>NEXLEV LED Light Therapy Comb</v>
      </c>
      <c r="G25" s="244">
        <f>VLOOKUP(C25,'Margin Calculation'!F:Y,20,0)</f>
        <v>540.05939999999998</v>
      </c>
      <c r="H25" s="244">
        <f>VLOOKUP(C25,'Margin Calculation'!F:Z,21,0)</f>
        <v>637.27009199999998</v>
      </c>
      <c r="I25" s="244">
        <f t="shared" si="0"/>
        <v>325.791</v>
      </c>
      <c r="J25" s="244">
        <v>60</v>
      </c>
      <c r="K25" s="244">
        <f t="shared" si="1"/>
        <v>65.158199999999994</v>
      </c>
      <c r="L25" s="244">
        <f t="shared" si="2"/>
        <v>43.438800000000001</v>
      </c>
      <c r="M25" s="244">
        <f t="shared" si="3"/>
        <v>50</v>
      </c>
      <c r="N25" s="244">
        <f t="shared" si="4"/>
        <v>419.22980000000001</v>
      </c>
      <c r="O25" s="245">
        <f t="shared" si="5"/>
        <v>0.19302089376317946</v>
      </c>
      <c r="P25" s="244">
        <f t="shared" si="6"/>
        <v>108.59700000000001</v>
      </c>
      <c r="Q25" s="244">
        <f t="shared" si="7"/>
        <v>43.438800000000001</v>
      </c>
      <c r="R25" s="244">
        <f t="shared" si="8"/>
        <v>1236.4831999999999</v>
      </c>
      <c r="S25" s="244">
        <f t="shared" si="18"/>
        <v>331.31288135593218</v>
      </c>
      <c r="T25" s="246">
        <f t="shared" si="10"/>
        <v>604.14391864406798</v>
      </c>
      <c r="U25" s="247">
        <f t="shared" si="11"/>
        <v>0.27815865937552048</v>
      </c>
      <c r="V25" s="299">
        <f t="shared" si="15"/>
        <v>2171.94</v>
      </c>
      <c r="W25" s="179">
        <v>2049</v>
      </c>
      <c r="X25" s="244"/>
      <c r="Y25" s="179"/>
      <c r="Z25" s="179"/>
    </row>
    <row r="26" spans="1:26">
      <c r="A26" s="253">
        <f t="shared" si="13"/>
        <v>25</v>
      </c>
      <c r="B26" s="233"/>
      <c r="C26" s="233" t="s">
        <v>594</v>
      </c>
      <c r="D26" s="244"/>
      <c r="E26" s="234" t="str">
        <f>VLOOKUP(C26,'Margin Calculation'!F:H,3,0)</f>
        <v>LE-03</v>
      </c>
      <c r="F26" s="234" t="str">
        <f>VLOOKUP(C26,'Margin Calculation'!F:M,8,0)</f>
        <v>NEXLEV Light Therapy Skin Scrubber</v>
      </c>
      <c r="G26" s="244">
        <f>VLOOKUP(C26,'Margin Calculation'!F:Y,20,0)</f>
        <v>864.54944999999998</v>
      </c>
      <c r="H26" s="244">
        <f>VLOOKUP(C26,'Margin Calculation'!F:Z,21,0)</f>
        <v>1020.1683509999999</v>
      </c>
      <c r="I26" s="244">
        <f t="shared" si="0"/>
        <v>286.041</v>
      </c>
      <c r="J26" s="244">
        <v>60</v>
      </c>
      <c r="K26" s="244">
        <f t="shared" si="1"/>
        <v>57.208199999999998</v>
      </c>
      <c r="L26" s="244">
        <f t="shared" si="2"/>
        <v>38.138800000000003</v>
      </c>
      <c r="M26" s="244">
        <f t="shared" si="3"/>
        <v>50</v>
      </c>
      <c r="N26" s="244">
        <f t="shared" si="4"/>
        <v>374.1798</v>
      </c>
      <c r="O26" s="245">
        <f t="shared" si="5"/>
        <v>0.19622001741009157</v>
      </c>
      <c r="P26" s="244">
        <f t="shared" si="6"/>
        <v>95.347000000000008</v>
      </c>
      <c r="Q26" s="244">
        <f t="shared" si="7"/>
        <v>38.138800000000003</v>
      </c>
      <c r="R26" s="244">
        <f t="shared" si="8"/>
        <v>1489.4232499999998</v>
      </c>
      <c r="S26" s="244">
        <f t="shared" si="18"/>
        <v>290.88915254237281</v>
      </c>
      <c r="T26" s="246">
        <f t="shared" si="10"/>
        <v>126.62759745762742</v>
      </c>
      <c r="U26" s="247">
        <f t="shared" si="11"/>
        <v>6.6403556198741137E-2</v>
      </c>
      <c r="V26" s="299">
        <f t="shared" si="15"/>
        <v>1906.94</v>
      </c>
      <c r="W26" s="179">
        <v>1799</v>
      </c>
      <c r="X26" s="244"/>
      <c r="Y26" s="179"/>
      <c r="Z26" s="179"/>
    </row>
    <row r="27" spans="1:26">
      <c r="A27" s="253">
        <f t="shared" si="13"/>
        <v>26</v>
      </c>
      <c r="B27" s="233"/>
      <c r="C27" s="233" t="s">
        <v>615</v>
      </c>
      <c r="D27" s="244"/>
      <c r="E27" s="234" t="str">
        <f>VLOOKUP(C27,'Margin Calculation'!F:H,3,0)</f>
        <v>CM-01-BL</v>
      </c>
      <c r="F27" s="234" t="str">
        <f>VLOOKUP(C27,'Margin Calculation'!F:M,8,0)</f>
        <v>Nexlev Cramp Massager Blue</v>
      </c>
      <c r="G27" s="244">
        <f>VLOOKUP(C27,'Margin Calculation'!F:Y,20,0)</f>
        <v>478.92060000000009</v>
      </c>
      <c r="H27" s="244">
        <f>VLOOKUP(C27,'Margin Calculation'!F:Z,21,0)</f>
        <v>536.39107200000012</v>
      </c>
      <c r="I27" s="244">
        <f t="shared" si="0"/>
        <v>190.64099999999999</v>
      </c>
      <c r="J27" s="244">
        <v>60</v>
      </c>
      <c r="K27" s="244">
        <f t="shared" si="1"/>
        <v>38.1282</v>
      </c>
      <c r="L27" s="244">
        <f t="shared" si="2"/>
        <v>25.418800000000001</v>
      </c>
      <c r="M27" s="244">
        <f t="shared" si="3"/>
        <v>50</v>
      </c>
      <c r="N27" s="244">
        <f t="shared" si="4"/>
        <v>266.0598</v>
      </c>
      <c r="O27" s="245">
        <f t="shared" si="5"/>
        <v>0.20934096023415738</v>
      </c>
      <c r="P27" s="244">
        <f t="shared" si="6"/>
        <v>63.547000000000004</v>
      </c>
      <c r="Q27" s="244">
        <f t="shared" si="7"/>
        <v>25.418800000000001</v>
      </c>
      <c r="R27" s="244">
        <f t="shared" si="8"/>
        <v>932.0744000000002</v>
      </c>
      <c r="S27" s="244">
        <f t="shared" ref="S27:S28" si="19">V27-(V27/1.12)</f>
        <v>136.17214285714294</v>
      </c>
      <c r="T27" s="246">
        <f t="shared" si="10"/>
        <v>202.69345714285691</v>
      </c>
      <c r="U27" s="247">
        <f t="shared" si="11"/>
        <v>0.1594831047436204</v>
      </c>
      <c r="V27" s="299">
        <f t="shared" si="15"/>
        <v>1270.94</v>
      </c>
      <c r="W27" s="179">
        <v>1199</v>
      </c>
      <c r="X27" s="244"/>
      <c r="Y27" s="179"/>
      <c r="Z27" s="179"/>
    </row>
    <row r="28" spans="1:26">
      <c r="A28" s="253">
        <f t="shared" si="13"/>
        <v>27</v>
      </c>
      <c r="B28" s="233"/>
      <c r="C28" s="233" t="s">
        <v>621</v>
      </c>
      <c r="D28" s="244"/>
      <c r="E28" s="234" t="str">
        <f>VLOOKUP(C28,'Margin Calculation'!F:H,3,0)</f>
        <v>CM-02-PR</v>
      </c>
      <c r="F28" s="234" t="str">
        <f>VLOOKUP(C28,'Margin Calculation'!F:M,8,0)</f>
        <v>Nexlev Cramp Massager Purple</v>
      </c>
      <c r="G28" s="244">
        <f>VLOOKUP(C28,'Margin Calculation'!F:Y,20,0)</f>
        <v>478.92060000000009</v>
      </c>
      <c r="H28" s="244">
        <f>VLOOKUP(C28,'Margin Calculation'!F:Z,21,0)</f>
        <v>536.39107200000012</v>
      </c>
      <c r="I28" s="244">
        <f t="shared" si="0"/>
        <v>190.64099999999999</v>
      </c>
      <c r="J28" s="244">
        <v>60</v>
      </c>
      <c r="K28" s="244">
        <f t="shared" si="1"/>
        <v>38.1282</v>
      </c>
      <c r="L28" s="244">
        <f t="shared" si="2"/>
        <v>25.418800000000001</v>
      </c>
      <c r="M28" s="244">
        <f t="shared" si="3"/>
        <v>50</v>
      </c>
      <c r="N28" s="244">
        <f t="shared" si="4"/>
        <v>266.0598</v>
      </c>
      <c r="O28" s="245">
        <f t="shared" si="5"/>
        <v>0.20934096023415738</v>
      </c>
      <c r="P28" s="244">
        <f t="shared" si="6"/>
        <v>63.547000000000004</v>
      </c>
      <c r="Q28" s="244">
        <f t="shared" si="7"/>
        <v>25.418800000000001</v>
      </c>
      <c r="R28" s="244">
        <f t="shared" si="8"/>
        <v>932.0744000000002</v>
      </c>
      <c r="S28" s="244">
        <f t="shared" si="19"/>
        <v>136.17214285714294</v>
      </c>
      <c r="T28" s="246">
        <f t="shared" si="10"/>
        <v>202.69345714285691</v>
      </c>
      <c r="U28" s="247">
        <f t="shared" si="11"/>
        <v>0.1594831047436204</v>
      </c>
      <c r="V28" s="299">
        <f t="shared" si="15"/>
        <v>1270.94</v>
      </c>
      <c r="W28" s="179">
        <v>1199</v>
      </c>
      <c r="X28" s="244"/>
      <c r="Y28" s="179"/>
      <c r="Z28" s="179"/>
    </row>
    <row r="29" spans="1:26">
      <c r="A29" s="300">
        <f t="shared" si="13"/>
        <v>28</v>
      </c>
      <c r="B29" s="301" t="s">
        <v>934</v>
      </c>
      <c r="C29" s="301" t="s">
        <v>632</v>
      </c>
      <c r="D29" s="302"/>
      <c r="E29" s="301" t="str">
        <f>VLOOKUP(C29,'Margin Calculation'!F:H,3,0)</f>
        <v>TM-01</v>
      </c>
      <c r="F29" s="301" t="str">
        <f>VLOOKUP(C29,'Margin Calculation'!F:M,8,0)</f>
        <v>Beard Boss Men Beard Trimmer</v>
      </c>
      <c r="G29" s="302">
        <f>VLOOKUP(C29,'Margin Calculation'!F:Y,20,0)</f>
        <v>414.3852</v>
      </c>
      <c r="H29" s="302">
        <f>VLOOKUP(C29,'Margin Calculation'!F:Z,21,0)</f>
        <v>488.97453599999994</v>
      </c>
      <c r="I29" s="302">
        <f t="shared" si="0"/>
        <v>94.35</v>
      </c>
      <c r="J29" s="302">
        <v>60</v>
      </c>
      <c r="K29" s="302">
        <f t="shared" si="1"/>
        <v>18.87</v>
      </c>
      <c r="L29" s="302">
        <f t="shared" si="2"/>
        <v>12.58</v>
      </c>
      <c r="M29" s="302">
        <f t="shared" si="3"/>
        <v>30</v>
      </c>
      <c r="N29" s="302">
        <f t="shared" si="4"/>
        <v>136.93</v>
      </c>
      <c r="O29" s="303">
        <f t="shared" si="5"/>
        <v>0.21769475357710652</v>
      </c>
      <c r="P29" s="302">
        <f t="shared" si="6"/>
        <v>31.450000000000003</v>
      </c>
      <c r="Q29" s="302">
        <f t="shared" si="7"/>
        <v>12.58</v>
      </c>
      <c r="R29" s="302">
        <f t="shared" si="8"/>
        <v>674.2152000000001</v>
      </c>
      <c r="S29" s="302">
        <f t="shared" ref="S29:S39" si="20">V29-(V29/1.18)</f>
        <v>95.949152542372872</v>
      </c>
      <c r="T29" s="302">
        <f t="shared" si="10"/>
        <v>-141.16435254237297</v>
      </c>
      <c r="U29" s="303">
        <f t="shared" si="11"/>
        <v>-0.22442663361267562</v>
      </c>
      <c r="V29" s="302">
        <v>629</v>
      </c>
      <c r="W29" s="304">
        <v>823</v>
      </c>
      <c r="X29" s="244"/>
      <c r="Y29" s="179"/>
      <c r="Z29" s="179"/>
    </row>
    <row r="30" spans="1:26">
      <c r="A30" s="253">
        <f t="shared" si="13"/>
        <v>29</v>
      </c>
      <c r="B30" s="233"/>
      <c r="C30" s="233" t="s">
        <v>642</v>
      </c>
      <c r="D30" s="244"/>
      <c r="E30" s="234" t="str">
        <f>VLOOKUP(C30,'Margin Calculation'!F:H,3,0)</f>
        <v>LE-04</v>
      </c>
      <c r="F30" s="234" t="str">
        <f>VLOOKUP(C30,'Margin Calculation'!F:M,8,0)</f>
        <v>Nexlev Skin Lift Device</v>
      </c>
      <c r="G30" s="244">
        <f>VLOOKUP(C30,'Margin Calculation'!F:Y,20,0)</f>
        <v>509.48999999999995</v>
      </c>
      <c r="H30" s="244">
        <f>VLOOKUP(C30,'Margin Calculation'!F:Z,21,0)</f>
        <v>601.19819999999993</v>
      </c>
      <c r="I30" s="244">
        <f t="shared" si="0"/>
        <v>238.34100000000001</v>
      </c>
      <c r="J30" s="244">
        <v>60</v>
      </c>
      <c r="K30" s="244">
        <f t="shared" si="1"/>
        <v>47.668199999999999</v>
      </c>
      <c r="L30" s="244">
        <f t="shared" si="2"/>
        <v>31.7788</v>
      </c>
      <c r="M30" s="244">
        <f t="shared" si="3"/>
        <v>50</v>
      </c>
      <c r="N30" s="244">
        <f t="shared" si="4"/>
        <v>320.1198</v>
      </c>
      <c r="O30" s="245">
        <f t="shared" si="5"/>
        <v>0.20146751922665423</v>
      </c>
      <c r="P30" s="244">
        <f t="shared" si="6"/>
        <v>79.447000000000003</v>
      </c>
      <c r="Q30" s="244">
        <f t="shared" si="7"/>
        <v>31.7788</v>
      </c>
      <c r="R30" s="244">
        <f t="shared" si="8"/>
        <v>1048.5038</v>
      </c>
      <c r="S30" s="244">
        <f t="shared" si="20"/>
        <v>242.38067796610153</v>
      </c>
      <c r="T30" s="246">
        <f t="shared" si="10"/>
        <v>298.05552203389857</v>
      </c>
      <c r="U30" s="247">
        <f t="shared" si="11"/>
        <v>0.18758135740424342</v>
      </c>
      <c r="V30" s="299">
        <f t="shared" ref="V30:V58" si="21">W30*(1+0.06)</f>
        <v>1588.94</v>
      </c>
      <c r="W30" s="179">
        <v>1499</v>
      </c>
      <c r="X30" s="244"/>
      <c r="Y30" s="179"/>
      <c r="Z30" s="179"/>
    </row>
    <row r="31" spans="1:26">
      <c r="A31" s="253">
        <f t="shared" si="13"/>
        <v>30</v>
      </c>
      <c r="B31" s="233"/>
      <c r="C31" s="233" t="s">
        <v>663</v>
      </c>
      <c r="D31" s="244"/>
      <c r="E31" s="234" t="str">
        <f>VLOOKUP(C31,'Margin Calculation'!F:H,3,0)</f>
        <v>TM-02</v>
      </c>
      <c r="F31" s="234" t="str">
        <f>VLOOKUP(C31,'Margin Calculation'!F:M,8,0)</f>
        <v>NexLev Multi-Trimmer for Men</v>
      </c>
      <c r="G31" s="244">
        <f>VLOOKUP(C31,'Margin Calculation'!F:Y,20,0)</f>
        <v>1119.9599999999998</v>
      </c>
      <c r="H31" s="244">
        <f>VLOOKUP(C31,'Margin Calculation'!F:Z,21,0)</f>
        <v>1321.5527999999997</v>
      </c>
      <c r="I31" s="244">
        <f t="shared" si="0"/>
        <v>317.84100000000001</v>
      </c>
      <c r="J31" s="244">
        <v>60</v>
      </c>
      <c r="K31" s="244">
        <f t="shared" si="1"/>
        <v>63.568199999999997</v>
      </c>
      <c r="L31" s="244">
        <f t="shared" si="2"/>
        <v>42.378800000000005</v>
      </c>
      <c r="M31" s="244">
        <f t="shared" si="3"/>
        <v>50</v>
      </c>
      <c r="N31" s="244">
        <f t="shared" si="4"/>
        <v>410.21980000000002</v>
      </c>
      <c r="O31" s="245">
        <f t="shared" si="5"/>
        <v>0.19359670401238355</v>
      </c>
      <c r="P31" s="244">
        <f t="shared" si="6"/>
        <v>105.947</v>
      </c>
      <c r="Q31" s="244">
        <f t="shared" si="7"/>
        <v>42.378800000000005</v>
      </c>
      <c r="R31" s="244">
        <f t="shared" si="8"/>
        <v>1802.0737999999997</v>
      </c>
      <c r="S31" s="244">
        <f t="shared" si="20"/>
        <v>323.22813559322026</v>
      </c>
      <c r="T31" s="246">
        <f t="shared" si="10"/>
        <v>-6.3619355932198687</v>
      </c>
      <c r="U31" s="247">
        <f t="shared" si="11"/>
        <v>-3.00241422278114E-3</v>
      </c>
      <c r="V31" s="299">
        <f t="shared" si="21"/>
        <v>2118.94</v>
      </c>
      <c r="W31" s="179">
        <v>1999</v>
      </c>
      <c r="X31" s="244"/>
      <c r="Y31" s="179"/>
      <c r="Z31" s="179"/>
    </row>
    <row r="32" spans="1:26">
      <c r="A32" s="253">
        <f t="shared" si="13"/>
        <v>31</v>
      </c>
      <c r="B32" s="233"/>
      <c r="C32" s="233" t="s">
        <v>675</v>
      </c>
      <c r="D32" s="244"/>
      <c r="E32" s="234" t="str">
        <f>VLOOKUP(C32,'Margin Calculation'!F:H,3,0)</f>
        <v>TM-03</v>
      </c>
      <c r="F32" s="234" t="str">
        <f>VLOOKUP(C32,'Margin Calculation'!F:M,8,0)</f>
        <v>Nexlev Intimate Body Trimmer With Charging Base, Display and Light</v>
      </c>
      <c r="G32" s="244">
        <f>VLOOKUP(C32,'Margin Calculation'!F:Y,20,0)</f>
        <v>509.58179999999999</v>
      </c>
      <c r="H32" s="244">
        <f>VLOOKUP(C32,'Margin Calculation'!F:Z,21,0)</f>
        <v>601.30652399999997</v>
      </c>
      <c r="I32" s="244">
        <f t="shared" si="0"/>
        <v>198.59100000000001</v>
      </c>
      <c r="J32" s="244">
        <v>60</v>
      </c>
      <c r="K32" s="244">
        <f t="shared" si="1"/>
        <v>39.718200000000003</v>
      </c>
      <c r="L32" s="244">
        <f t="shared" si="2"/>
        <v>26.478800000000003</v>
      </c>
      <c r="M32" s="244">
        <f t="shared" si="3"/>
        <v>50</v>
      </c>
      <c r="N32" s="244">
        <f t="shared" si="4"/>
        <v>275.06979999999999</v>
      </c>
      <c r="O32" s="245">
        <f t="shared" si="5"/>
        <v>0.20776606190612865</v>
      </c>
      <c r="P32" s="244">
        <f t="shared" si="6"/>
        <v>66.197000000000003</v>
      </c>
      <c r="Q32" s="244">
        <f t="shared" si="7"/>
        <v>26.478800000000003</v>
      </c>
      <c r="R32" s="244">
        <f t="shared" si="8"/>
        <v>977.04560000000004</v>
      </c>
      <c r="S32" s="244">
        <f t="shared" si="20"/>
        <v>201.95694915254239</v>
      </c>
      <c r="T32" s="246">
        <f t="shared" si="10"/>
        <v>144.93745084745763</v>
      </c>
      <c r="U32" s="247">
        <f t="shared" si="11"/>
        <v>0.10947433482443134</v>
      </c>
      <c r="V32" s="299">
        <f t="shared" si="21"/>
        <v>1323.94</v>
      </c>
      <c r="W32" s="179">
        <v>1249</v>
      </c>
      <c r="X32" s="244"/>
      <c r="Y32" s="179"/>
      <c r="Z32" s="179"/>
    </row>
    <row r="33" spans="1:26">
      <c r="A33" s="253">
        <f t="shared" si="13"/>
        <v>32</v>
      </c>
      <c r="B33" s="233"/>
      <c r="C33" s="233" t="s">
        <v>679</v>
      </c>
      <c r="D33" s="244"/>
      <c r="E33" s="234" t="str">
        <f>VLOOKUP(C33,'Margin Calculation'!F:H,3,0)</f>
        <v>TM-04</v>
      </c>
      <c r="F33" s="234" t="str">
        <f>VLOOKUP(C33,'Margin Calculation'!F:M,8,0)</f>
        <v>Nexlev Intimate Body Trimmer and Nose Trimmer</v>
      </c>
      <c r="G33" s="244">
        <f>VLOOKUP(C33,'Margin Calculation'!F:Y,20,0)</f>
        <v>394.22592000000003</v>
      </c>
      <c r="H33" s="244">
        <f>VLOOKUP(C33,'Margin Calculation'!F:Z,21,0)</f>
        <v>465.1865856</v>
      </c>
      <c r="I33" s="244">
        <f t="shared" si="0"/>
        <v>150.89099999999999</v>
      </c>
      <c r="J33" s="244">
        <v>60</v>
      </c>
      <c r="K33" s="244">
        <f t="shared" si="1"/>
        <v>30.1782</v>
      </c>
      <c r="L33" s="244">
        <f t="shared" si="2"/>
        <v>20.1188</v>
      </c>
      <c r="M33" s="244">
        <f t="shared" si="3"/>
        <v>50</v>
      </c>
      <c r="N33" s="244">
        <f t="shared" si="4"/>
        <v>221.00979999999998</v>
      </c>
      <c r="O33" s="245">
        <f t="shared" si="5"/>
        <v>0.21970475376264983</v>
      </c>
      <c r="P33" s="244">
        <f t="shared" si="6"/>
        <v>50.297000000000004</v>
      </c>
      <c r="Q33" s="244">
        <f t="shared" si="7"/>
        <v>20.1188</v>
      </c>
      <c r="R33" s="244">
        <f t="shared" si="8"/>
        <v>775.82971999999995</v>
      </c>
      <c r="S33" s="244">
        <f t="shared" si="20"/>
        <v>153.44847457627111</v>
      </c>
      <c r="T33" s="246">
        <f t="shared" si="10"/>
        <v>76.661805423728993</v>
      </c>
      <c r="U33" s="247">
        <f t="shared" si="11"/>
        <v>7.6209123231732498E-2</v>
      </c>
      <c r="V33" s="299">
        <f t="shared" si="21"/>
        <v>1005.94</v>
      </c>
      <c r="W33" s="179">
        <v>949</v>
      </c>
      <c r="X33" s="244"/>
      <c r="Y33" s="179"/>
      <c r="Z33" s="179"/>
    </row>
    <row r="34" spans="1:26">
      <c r="A34" s="253">
        <f t="shared" si="13"/>
        <v>33</v>
      </c>
      <c r="B34" s="233"/>
      <c r="C34" s="233" t="s">
        <v>695</v>
      </c>
      <c r="D34" s="244"/>
      <c r="E34" s="234" t="str">
        <f>VLOOKUP(C34,'Margin Calculation'!F:H,3,0)</f>
        <v>V-02</v>
      </c>
      <c r="F34" s="234" t="str">
        <f>VLOOKUP(C34,'Margin Calculation'!F:M,8,0)</f>
        <v>Nexlev Volumizer Straightener</v>
      </c>
      <c r="G34" s="244">
        <f>VLOOKUP(C34,'Margin Calculation'!F:Y,20,0)</f>
        <v>931.80672000000004</v>
      </c>
      <c r="H34" s="244">
        <f>VLOOKUP(C34,'Margin Calculation'!F:Z,21,0)</f>
        <v>1099.5319296</v>
      </c>
      <c r="I34" s="244">
        <f t="shared" si="0"/>
        <v>397.34100000000001</v>
      </c>
      <c r="J34" s="244">
        <v>60</v>
      </c>
      <c r="K34" s="244">
        <f t="shared" si="1"/>
        <v>79.468199999999996</v>
      </c>
      <c r="L34" s="244">
        <f t="shared" si="2"/>
        <v>52.9788</v>
      </c>
      <c r="M34" s="244">
        <f t="shared" si="3"/>
        <v>50</v>
      </c>
      <c r="N34" s="244">
        <f t="shared" si="4"/>
        <v>500.31979999999999</v>
      </c>
      <c r="O34" s="245">
        <f t="shared" si="5"/>
        <v>0.18887547471818916</v>
      </c>
      <c r="P34" s="244">
        <f t="shared" si="6"/>
        <v>132.447</v>
      </c>
      <c r="Q34" s="244">
        <f t="shared" si="7"/>
        <v>52.9788</v>
      </c>
      <c r="R34" s="244">
        <f t="shared" si="8"/>
        <v>1757.02052</v>
      </c>
      <c r="S34" s="244">
        <f t="shared" si="20"/>
        <v>404.07559322033876</v>
      </c>
      <c r="T34" s="246">
        <f t="shared" si="10"/>
        <v>487.84388677966126</v>
      </c>
      <c r="U34" s="247">
        <f t="shared" si="11"/>
        <v>0.18416569902665264</v>
      </c>
      <c r="V34" s="299">
        <f t="shared" si="21"/>
        <v>2648.94</v>
      </c>
      <c r="W34" s="179">
        <v>2499</v>
      </c>
      <c r="X34" s="244"/>
      <c r="Y34" s="179"/>
      <c r="Z34" s="179"/>
    </row>
    <row r="35" spans="1:26">
      <c r="A35" s="253">
        <f t="shared" si="13"/>
        <v>34</v>
      </c>
      <c r="B35" s="233"/>
      <c r="C35" s="233" t="s">
        <v>700</v>
      </c>
      <c r="D35" s="244"/>
      <c r="E35" s="234" t="str">
        <f>VLOOKUP(C35,'Margin Calculation'!F:H,3,0)</f>
        <v>V-03</v>
      </c>
      <c r="F35" s="234" t="str">
        <f>VLOOKUP(C35,'Margin Calculation'!F:M,8,0)</f>
        <v>Nexlev Volumizer Dryer</v>
      </c>
      <c r="G35" s="244">
        <f>VLOOKUP(C35,'Margin Calculation'!F:Y,20,0)</f>
        <v>724.61412000000007</v>
      </c>
      <c r="H35" s="244">
        <f>VLOOKUP(C35,'Margin Calculation'!F:Z,21,0)</f>
        <v>855.04466160000004</v>
      </c>
      <c r="I35" s="244">
        <f t="shared" si="0"/>
        <v>317.84100000000001</v>
      </c>
      <c r="J35" s="244">
        <v>60</v>
      </c>
      <c r="K35" s="244">
        <f t="shared" si="1"/>
        <v>63.568199999999997</v>
      </c>
      <c r="L35" s="244">
        <f t="shared" si="2"/>
        <v>42.378800000000005</v>
      </c>
      <c r="M35" s="244">
        <f t="shared" si="3"/>
        <v>50</v>
      </c>
      <c r="N35" s="244">
        <f t="shared" si="4"/>
        <v>410.21980000000002</v>
      </c>
      <c r="O35" s="245">
        <f t="shared" si="5"/>
        <v>0.19359670401238355</v>
      </c>
      <c r="P35" s="244">
        <f t="shared" si="6"/>
        <v>105.947</v>
      </c>
      <c r="Q35" s="244">
        <f t="shared" si="7"/>
        <v>42.378800000000005</v>
      </c>
      <c r="R35" s="244">
        <f t="shared" si="8"/>
        <v>1406.7279199999998</v>
      </c>
      <c r="S35" s="244">
        <f t="shared" si="20"/>
        <v>323.22813559322026</v>
      </c>
      <c r="T35" s="246">
        <f t="shared" si="10"/>
        <v>388.98394440677998</v>
      </c>
      <c r="U35" s="247">
        <f t="shared" si="11"/>
        <v>0.18357478003472491</v>
      </c>
      <c r="V35" s="299">
        <f t="shared" si="21"/>
        <v>2118.94</v>
      </c>
      <c r="W35" s="179">
        <v>1999</v>
      </c>
      <c r="X35" s="244"/>
      <c r="Y35" s="179"/>
      <c r="Z35" s="179"/>
    </row>
    <row r="36" spans="1:26">
      <c r="A36" s="253">
        <f t="shared" si="13"/>
        <v>35</v>
      </c>
      <c r="B36" s="233"/>
      <c r="C36" s="233" t="s">
        <v>720</v>
      </c>
      <c r="D36" s="244"/>
      <c r="E36" s="234" t="str">
        <f>VLOOKUP(C36,'Margin Calculation'!F:H,3,0)</f>
        <v>LE-06</v>
      </c>
      <c r="F36" s="234" t="str">
        <f>VLOOKUP(C36,'Margin Calculation'!F:M,8,0)</f>
        <v>Nexlev LED Wand</v>
      </c>
      <c r="G36" s="244">
        <f>VLOOKUP(C36,'Margin Calculation'!F:Y,20,0)</f>
        <v>611.38800000000003</v>
      </c>
      <c r="H36" s="244">
        <f>VLOOKUP(C36,'Margin Calculation'!F:Z,21,0)</f>
        <v>721.43784000000005</v>
      </c>
      <c r="I36" s="244">
        <f t="shared" si="0"/>
        <v>238.34100000000001</v>
      </c>
      <c r="J36" s="244">
        <v>60</v>
      </c>
      <c r="K36" s="244">
        <f t="shared" si="1"/>
        <v>47.668199999999999</v>
      </c>
      <c r="L36" s="244">
        <f t="shared" si="2"/>
        <v>31.7788</v>
      </c>
      <c r="M36" s="244">
        <f t="shared" si="3"/>
        <v>50</v>
      </c>
      <c r="N36" s="244">
        <f t="shared" si="4"/>
        <v>320.1198</v>
      </c>
      <c r="O36" s="245">
        <f t="shared" si="5"/>
        <v>0.20146751922665423</v>
      </c>
      <c r="P36" s="244">
        <f t="shared" si="6"/>
        <v>79.447000000000003</v>
      </c>
      <c r="Q36" s="244">
        <f t="shared" si="7"/>
        <v>31.7788</v>
      </c>
      <c r="R36" s="244">
        <f t="shared" si="8"/>
        <v>1150.4018000000001</v>
      </c>
      <c r="S36" s="244">
        <f t="shared" si="20"/>
        <v>242.38067796610153</v>
      </c>
      <c r="T36" s="246">
        <f t="shared" si="10"/>
        <v>196.15752203389843</v>
      </c>
      <c r="U36" s="247">
        <f t="shared" si="11"/>
        <v>0.12345181192109106</v>
      </c>
      <c r="V36" s="299">
        <f t="shared" si="21"/>
        <v>1588.94</v>
      </c>
      <c r="W36" s="179">
        <v>1499</v>
      </c>
      <c r="X36" s="244"/>
      <c r="Y36" s="179"/>
      <c r="Z36" s="179"/>
    </row>
    <row r="37" spans="1:26">
      <c r="A37" s="253">
        <f t="shared" si="13"/>
        <v>36</v>
      </c>
      <c r="B37" s="233"/>
      <c r="C37" s="233" t="s">
        <v>724</v>
      </c>
      <c r="D37" s="244"/>
      <c r="E37" s="234" t="str">
        <f>VLOOKUP(C37,'Margin Calculation'!F:H,3,0)</f>
        <v>BR-01</v>
      </c>
      <c r="F37" s="234" t="str">
        <f>VLOOKUP(C37,'Margin Calculation'!F:M,8,0)</f>
        <v>Nexlev Black Head Remover</v>
      </c>
      <c r="G37" s="244">
        <f>VLOOKUP(C37,'Margin Calculation'!F:Y,20,0)</f>
        <v>458.541</v>
      </c>
      <c r="H37" s="244">
        <f>VLOOKUP(C37,'Margin Calculation'!F:Z,21,0)</f>
        <v>541.07837999999992</v>
      </c>
      <c r="I37" s="244">
        <f t="shared" si="0"/>
        <v>222.441</v>
      </c>
      <c r="J37" s="244">
        <v>60</v>
      </c>
      <c r="K37" s="244">
        <f t="shared" si="1"/>
        <v>44.488199999999999</v>
      </c>
      <c r="L37" s="244">
        <f t="shared" si="2"/>
        <v>29.658800000000003</v>
      </c>
      <c r="M37" s="244">
        <f t="shared" si="3"/>
        <v>50</v>
      </c>
      <c r="N37" s="244">
        <f t="shared" si="4"/>
        <v>302.09980000000002</v>
      </c>
      <c r="O37" s="245">
        <f t="shared" si="5"/>
        <v>0.20371680580468529</v>
      </c>
      <c r="P37" s="244">
        <f t="shared" si="6"/>
        <v>74.147000000000006</v>
      </c>
      <c r="Q37" s="244">
        <f t="shared" si="7"/>
        <v>29.658800000000003</v>
      </c>
      <c r="R37" s="244">
        <f t="shared" si="8"/>
        <v>968.93480000000011</v>
      </c>
      <c r="S37" s="244">
        <f t="shared" si="20"/>
        <v>226.21118644067792</v>
      </c>
      <c r="T37" s="246">
        <f t="shared" si="10"/>
        <v>287.79401355932202</v>
      </c>
      <c r="U37" s="247">
        <f t="shared" si="11"/>
        <v>0.19406989733861249</v>
      </c>
      <c r="V37" s="299">
        <f t="shared" si="21"/>
        <v>1482.94</v>
      </c>
      <c r="W37" s="179">
        <v>1399</v>
      </c>
      <c r="X37" s="244"/>
      <c r="Y37" s="179"/>
      <c r="Z37" s="179"/>
    </row>
    <row r="38" spans="1:26">
      <c r="A38" s="253">
        <f t="shared" si="13"/>
        <v>37</v>
      </c>
      <c r="B38" s="233"/>
      <c r="C38" s="233" t="s">
        <v>728</v>
      </c>
      <c r="D38" s="244"/>
      <c r="E38" s="234" t="str">
        <f>VLOOKUP(C38,'Margin Calculation'!F:H,3,0)</f>
        <v>IPL-01</v>
      </c>
      <c r="F38" s="234" t="str">
        <f>VLOOKUP(C38,'Margin Calculation'!F:M,8,0)</f>
        <v>Nexlev IPL Hair Removal Device</v>
      </c>
      <c r="G38" s="244">
        <f>VLOOKUP(C38,'Margin Calculation'!F:Y,20,0)</f>
        <v>1120.8779999999999</v>
      </c>
      <c r="H38" s="244">
        <f>VLOOKUP(C38,'Margin Calculation'!F:Z,21,0)</f>
        <v>1322.6360399999999</v>
      </c>
      <c r="I38" s="244">
        <f t="shared" si="0"/>
        <v>460.94099999999997</v>
      </c>
      <c r="J38" s="244">
        <v>60</v>
      </c>
      <c r="K38" s="244">
        <f t="shared" si="1"/>
        <v>92.188199999999995</v>
      </c>
      <c r="L38" s="244">
        <f t="shared" si="2"/>
        <v>61.458800000000004</v>
      </c>
      <c r="M38" s="244">
        <f t="shared" si="3"/>
        <v>50</v>
      </c>
      <c r="N38" s="244">
        <f t="shared" si="4"/>
        <v>572.39980000000003</v>
      </c>
      <c r="O38" s="245">
        <f t="shared" si="5"/>
        <v>0.1862710628909123</v>
      </c>
      <c r="P38" s="244">
        <f t="shared" si="6"/>
        <v>153.64700000000002</v>
      </c>
      <c r="Q38" s="244">
        <f t="shared" si="7"/>
        <v>61.458800000000004</v>
      </c>
      <c r="R38" s="244">
        <f t="shared" si="8"/>
        <v>2060.5718000000002</v>
      </c>
      <c r="S38" s="244">
        <f t="shared" si="20"/>
        <v>468.75355932203365</v>
      </c>
      <c r="T38" s="246">
        <f t="shared" si="10"/>
        <v>543.61464067796624</v>
      </c>
      <c r="U38" s="247">
        <f t="shared" si="11"/>
        <v>0.17690376013783746</v>
      </c>
      <c r="V38" s="299">
        <f t="shared" si="21"/>
        <v>3072.94</v>
      </c>
      <c r="W38" s="179">
        <v>2899</v>
      </c>
      <c r="X38" s="244"/>
      <c r="Y38" s="179"/>
      <c r="Z38" s="179"/>
    </row>
    <row r="39" spans="1:26">
      <c r="A39" s="253">
        <f t="shared" si="13"/>
        <v>38</v>
      </c>
      <c r="B39" s="233"/>
      <c r="C39" s="233" t="s">
        <v>732</v>
      </c>
      <c r="D39" s="244"/>
      <c r="E39" s="234" t="str">
        <f>VLOOKUP(C39,'Margin Calculation'!F:H,3,0)</f>
        <v>LE-07</v>
      </c>
      <c r="F39" s="234" t="str">
        <f>VLOOKUP(C39,'Margin Calculation'!F:M,8,0)</f>
        <v>Nexlev LED Mask</v>
      </c>
      <c r="G39" s="244">
        <f>VLOOKUP(C39,'Margin Calculation'!F:Y,20,0)</f>
        <v>601.19820000000004</v>
      </c>
      <c r="H39" s="244">
        <f>VLOOKUP(C39,'Margin Calculation'!F:Z,21,0)</f>
        <v>709.41387599999996</v>
      </c>
      <c r="I39" s="244">
        <f t="shared" si="0"/>
        <v>254.24099999999999</v>
      </c>
      <c r="J39" s="244">
        <v>60</v>
      </c>
      <c r="K39" s="244">
        <f t="shared" si="1"/>
        <v>50.848199999999999</v>
      </c>
      <c r="L39" s="244">
        <f t="shared" si="2"/>
        <v>33.898800000000001</v>
      </c>
      <c r="M39" s="244">
        <f t="shared" si="3"/>
        <v>50</v>
      </c>
      <c r="N39" s="244">
        <f t="shared" si="4"/>
        <v>338.13979999999998</v>
      </c>
      <c r="O39" s="245">
        <f t="shared" si="5"/>
        <v>0.19949956930628812</v>
      </c>
      <c r="P39" s="244">
        <f t="shared" si="6"/>
        <v>84.747000000000014</v>
      </c>
      <c r="Q39" s="244">
        <f t="shared" si="7"/>
        <v>33.898800000000001</v>
      </c>
      <c r="R39" s="244">
        <f t="shared" si="8"/>
        <v>1168.8319999999999</v>
      </c>
      <c r="S39" s="244">
        <f t="shared" si="20"/>
        <v>258.55016949152537</v>
      </c>
      <c r="T39" s="246">
        <f t="shared" si="10"/>
        <v>267.55783050847481</v>
      </c>
      <c r="U39" s="247">
        <f t="shared" si="11"/>
        <v>0.15785681529049689</v>
      </c>
      <c r="V39" s="299">
        <f t="shared" si="21"/>
        <v>1694.94</v>
      </c>
      <c r="W39" s="179">
        <v>1599</v>
      </c>
      <c r="X39" s="244"/>
      <c r="Y39" s="179"/>
      <c r="Z39" s="179"/>
    </row>
    <row r="40" spans="1:26">
      <c r="A40" s="253">
        <f t="shared" si="13"/>
        <v>39</v>
      </c>
      <c r="B40" s="233"/>
      <c r="C40" s="233" t="s">
        <v>736</v>
      </c>
      <c r="D40" s="244"/>
      <c r="E40" s="234" t="str">
        <f>VLOOKUP(C40,'Margin Calculation'!F:H,3,0)</f>
        <v>EA-02</v>
      </c>
      <c r="F40" s="234" t="str">
        <f>VLOOKUP(C40,'Margin Calculation'!F:M,8,0)</f>
        <v>Nexlev Oil Applicator Comb</v>
      </c>
      <c r="G40" s="244">
        <f>VLOOKUP(C40,'Margin Calculation'!F:Y,20,0)</f>
        <v>1034.2646999999999</v>
      </c>
      <c r="H40" s="244">
        <f>VLOOKUP(C40,'Margin Calculation'!F:Z,21,0)</f>
        <v>1220.4323459999998</v>
      </c>
      <c r="I40" s="244">
        <f t="shared" si="0"/>
        <v>437.09100000000001</v>
      </c>
      <c r="J40" s="244">
        <v>60</v>
      </c>
      <c r="K40" s="244">
        <f t="shared" si="1"/>
        <v>87.418199999999999</v>
      </c>
      <c r="L40" s="244">
        <f t="shared" si="2"/>
        <v>58.278800000000004</v>
      </c>
      <c r="M40" s="244">
        <f t="shared" si="3"/>
        <v>50</v>
      </c>
      <c r="N40" s="244">
        <f t="shared" si="4"/>
        <v>545.36979999999994</v>
      </c>
      <c r="O40" s="245">
        <f t="shared" si="5"/>
        <v>0.1871588982614604</v>
      </c>
      <c r="P40" s="244">
        <f t="shared" si="6"/>
        <v>145.697</v>
      </c>
      <c r="Q40" s="244">
        <f t="shared" si="7"/>
        <v>58.278800000000004</v>
      </c>
      <c r="R40" s="244">
        <f t="shared" si="8"/>
        <v>1931.0285000000003</v>
      </c>
      <c r="S40" s="244">
        <f t="shared" ref="S40:S56" si="22">V40-(V40/1.12)</f>
        <v>312.20785714285739</v>
      </c>
      <c r="T40" s="246">
        <f t="shared" si="10"/>
        <v>670.70364285714231</v>
      </c>
      <c r="U40" s="247">
        <f t="shared" si="11"/>
        <v>0.2301707114275319</v>
      </c>
      <c r="V40" s="299">
        <f t="shared" si="21"/>
        <v>2913.94</v>
      </c>
      <c r="W40" s="179">
        <v>2749</v>
      </c>
      <c r="X40" s="244"/>
      <c r="Y40" s="179"/>
      <c r="Z40" s="179"/>
    </row>
    <row r="41" spans="1:26">
      <c r="A41" s="253">
        <f t="shared" si="13"/>
        <v>40</v>
      </c>
      <c r="B41" s="233"/>
      <c r="C41" s="233" t="s">
        <v>744</v>
      </c>
      <c r="D41" s="244"/>
      <c r="E41" s="234" t="str">
        <f>VLOOKUP(C41,'Margin Calculation'!F:H,3,0)</f>
        <v>CFM-01</v>
      </c>
      <c r="F41" s="234" t="str">
        <f>VLOOKUP(C41,'Margin Calculation'!F:M,8,0)</f>
        <v>NexLev Calf Massager</v>
      </c>
      <c r="G41" s="244">
        <f>VLOOKUP(C41,'Margin Calculation'!F:Y,20,0)</f>
        <v>855.94319999999993</v>
      </c>
      <c r="H41" s="244">
        <f>VLOOKUP(C41,'Margin Calculation'!F:Z,21,0)</f>
        <v>1010.0129759999999</v>
      </c>
      <c r="I41" s="244">
        <f t="shared" si="0"/>
        <v>397.34100000000001</v>
      </c>
      <c r="J41" s="244">
        <v>60</v>
      </c>
      <c r="K41" s="244">
        <f t="shared" si="1"/>
        <v>79.468199999999996</v>
      </c>
      <c r="L41" s="244">
        <f t="shared" si="2"/>
        <v>52.9788</v>
      </c>
      <c r="M41" s="244">
        <f t="shared" si="3"/>
        <v>50</v>
      </c>
      <c r="N41" s="244">
        <f t="shared" si="4"/>
        <v>500.31979999999999</v>
      </c>
      <c r="O41" s="245">
        <f t="shared" si="5"/>
        <v>0.18887547471818916</v>
      </c>
      <c r="P41" s="244">
        <f t="shared" si="6"/>
        <v>132.447</v>
      </c>
      <c r="Q41" s="244">
        <f t="shared" si="7"/>
        <v>52.9788</v>
      </c>
      <c r="R41" s="244">
        <f t="shared" si="8"/>
        <v>1681.1570000000002</v>
      </c>
      <c r="S41" s="244">
        <f t="shared" si="22"/>
        <v>283.81500000000005</v>
      </c>
      <c r="T41" s="246">
        <f t="shared" si="10"/>
        <v>683.96799999999985</v>
      </c>
      <c r="U41" s="247">
        <f t="shared" si="11"/>
        <v>0.25820441384100806</v>
      </c>
      <c r="V41" s="299">
        <f t="shared" si="21"/>
        <v>2648.94</v>
      </c>
      <c r="W41" s="179">
        <v>2499</v>
      </c>
      <c r="X41" s="244"/>
      <c r="Y41" s="179"/>
      <c r="Z41" s="179"/>
    </row>
    <row r="42" spans="1:26">
      <c r="A42" s="253">
        <f t="shared" si="13"/>
        <v>41</v>
      </c>
      <c r="B42" s="233"/>
      <c r="C42" s="233" t="s">
        <v>749</v>
      </c>
      <c r="D42" s="244"/>
      <c r="E42" s="234" t="str">
        <f>VLOOKUP(C42,'Margin Calculation'!F:H,3,0)</f>
        <v>KM-01</v>
      </c>
      <c r="F42" s="234" t="str">
        <f>VLOOKUP(C42,'Margin Calculation'!F:M,8,0)</f>
        <v>NexLev Knee Massager</v>
      </c>
      <c r="G42" s="244">
        <f>VLOOKUP(C42,'Margin Calculation'!F:Y,20,0)</f>
        <v>881.41770000000008</v>
      </c>
      <c r="H42" s="244">
        <f>VLOOKUP(C42,'Margin Calculation'!F:Z,21,0)</f>
        <v>1040.0728860000002</v>
      </c>
      <c r="I42" s="244">
        <f t="shared" si="0"/>
        <v>238.34100000000001</v>
      </c>
      <c r="J42" s="244">
        <v>60</v>
      </c>
      <c r="K42" s="244">
        <f t="shared" si="1"/>
        <v>47.668199999999999</v>
      </c>
      <c r="L42" s="244">
        <f t="shared" si="2"/>
        <v>31.7788</v>
      </c>
      <c r="M42" s="244">
        <f t="shared" si="3"/>
        <v>50</v>
      </c>
      <c r="N42" s="244">
        <f t="shared" si="4"/>
        <v>320.1198</v>
      </c>
      <c r="O42" s="245">
        <f t="shared" si="5"/>
        <v>0.20146751922665423</v>
      </c>
      <c r="P42" s="244">
        <f t="shared" si="6"/>
        <v>79.447000000000003</v>
      </c>
      <c r="Q42" s="244">
        <f t="shared" si="7"/>
        <v>31.7788</v>
      </c>
      <c r="R42" s="244">
        <f t="shared" si="8"/>
        <v>1420.4315000000001</v>
      </c>
      <c r="S42" s="244">
        <f t="shared" si="22"/>
        <v>170.24357142857161</v>
      </c>
      <c r="T42" s="246">
        <f t="shared" si="10"/>
        <v>-1.7350714285717004</v>
      </c>
      <c r="U42" s="247">
        <f t="shared" si="11"/>
        <v>-1.0919678707639686E-3</v>
      </c>
      <c r="V42" s="299">
        <f t="shared" si="21"/>
        <v>1588.94</v>
      </c>
      <c r="W42" s="179">
        <v>1499</v>
      </c>
      <c r="X42" s="244"/>
      <c r="Y42" s="179"/>
      <c r="Z42" s="179"/>
    </row>
    <row r="43" spans="1:26">
      <c r="A43" s="253">
        <f t="shared" si="13"/>
        <v>42</v>
      </c>
      <c r="B43" s="233"/>
      <c r="C43" s="233" t="s">
        <v>753</v>
      </c>
      <c r="D43" s="244"/>
      <c r="E43" s="234" t="str">
        <f>VLOOKUP(C43,'Margin Calculation'!F:H,3,0)</f>
        <v>FM-01</v>
      </c>
      <c r="F43" s="234" t="str">
        <f>VLOOKUP(C43,'Margin Calculation'!F:M,8,0)</f>
        <v>NexLev Foot Massager</v>
      </c>
      <c r="G43" s="244">
        <f>VLOOKUP(C43,'Margin Calculation'!F:Y,20,0)</f>
        <v>1528.47</v>
      </c>
      <c r="H43" s="244">
        <f>VLOOKUP(C43,'Margin Calculation'!F:Z,21,0)</f>
        <v>1803.5945999999999</v>
      </c>
      <c r="I43" s="244">
        <f t="shared" si="0"/>
        <v>572.24099999999999</v>
      </c>
      <c r="J43" s="244">
        <v>60</v>
      </c>
      <c r="K43" s="244">
        <f t="shared" si="1"/>
        <v>114.4482</v>
      </c>
      <c r="L43" s="244">
        <f t="shared" si="2"/>
        <v>76.2988</v>
      </c>
      <c r="M43" s="244">
        <f t="shared" si="3"/>
        <v>50</v>
      </c>
      <c r="N43" s="244">
        <f t="shared" si="4"/>
        <v>698.53980000000001</v>
      </c>
      <c r="O43" s="245">
        <f t="shared" si="5"/>
        <v>0.18310636602410524</v>
      </c>
      <c r="P43" s="244">
        <f t="shared" si="6"/>
        <v>190.74700000000001</v>
      </c>
      <c r="Q43" s="244">
        <f t="shared" si="7"/>
        <v>76.2988</v>
      </c>
      <c r="R43" s="244">
        <f t="shared" si="8"/>
        <v>2668.5038</v>
      </c>
      <c r="S43" s="244">
        <f t="shared" si="22"/>
        <v>408.74357142857161</v>
      </c>
      <c r="T43" s="246">
        <f t="shared" si="10"/>
        <v>737.69262857142849</v>
      </c>
      <c r="U43" s="247">
        <f t="shared" si="11"/>
        <v>0.19336939206682896</v>
      </c>
      <c r="V43" s="299">
        <f t="shared" si="21"/>
        <v>3814.94</v>
      </c>
      <c r="W43" s="179">
        <v>3599</v>
      </c>
      <c r="X43" s="244"/>
      <c r="Y43" s="179"/>
      <c r="Z43" s="179"/>
    </row>
    <row r="44" spans="1:26">
      <c r="A44" s="253">
        <f t="shared" si="13"/>
        <v>43</v>
      </c>
      <c r="B44" s="233"/>
      <c r="C44" s="233" t="s">
        <v>756</v>
      </c>
      <c r="D44" s="244"/>
      <c r="E44" s="234" t="str">
        <f>VLOOKUP(C44,'Margin Calculation'!F:H,3,0)</f>
        <v>FM-02</v>
      </c>
      <c r="F44" s="234" t="str">
        <f>VLOOKUP(C44,'Margin Calculation'!F:M,8,0)</f>
        <v>NexLev Foot Massager - Mini</v>
      </c>
      <c r="G44" s="244">
        <f>VLOOKUP(C44,'Margin Calculation'!F:Y,20,0)</f>
        <v>733.66560000000004</v>
      </c>
      <c r="H44" s="244">
        <f>VLOOKUP(C44,'Margin Calculation'!F:Z,21,0)</f>
        <v>865.72540800000002</v>
      </c>
      <c r="I44" s="244">
        <f t="shared" si="0"/>
        <v>254.24099999999999</v>
      </c>
      <c r="J44" s="244">
        <v>60</v>
      </c>
      <c r="K44" s="244">
        <f t="shared" si="1"/>
        <v>50.848199999999999</v>
      </c>
      <c r="L44" s="244">
        <f t="shared" si="2"/>
        <v>33.898800000000001</v>
      </c>
      <c r="M44" s="244">
        <f t="shared" si="3"/>
        <v>50</v>
      </c>
      <c r="N44" s="244">
        <f t="shared" si="4"/>
        <v>338.13979999999998</v>
      </c>
      <c r="O44" s="245">
        <f t="shared" si="5"/>
        <v>0.19949956930628812</v>
      </c>
      <c r="P44" s="244">
        <f t="shared" si="6"/>
        <v>84.747000000000014</v>
      </c>
      <c r="Q44" s="244">
        <f t="shared" si="7"/>
        <v>33.898800000000001</v>
      </c>
      <c r="R44" s="244">
        <f t="shared" si="8"/>
        <v>1301.2993999999999</v>
      </c>
      <c r="S44" s="244">
        <f t="shared" si="22"/>
        <v>181.6007142857145</v>
      </c>
      <c r="T44" s="246">
        <f t="shared" si="10"/>
        <v>212.03988571428567</v>
      </c>
      <c r="U44" s="247">
        <f t="shared" si="11"/>
        <v>0.12510170608651969</v>
      </c>
      <c r="V44" s="299">
        <f t="shared" si="21"/>
        <v>1694.94</v>
      </c>
      <c r="W44" s="179">
        <v>1599</v>
      </c>
      <c r="X44" s="244"/>
      <c r="Y44" s="179"/>
      <c r="Z44" s="179"/>
    </row>
    <row r="45" spans="1:26">
      <c r="A45" s="253">
        <f t="shared" si="13"/>
        <v>44</v>
      </c>
      <c r="B45" s="233"/>
      <c r="C45" s="233" t="s">
        <v>760</v>
      </c>
      <c r="D45" s="244"/>
      <c r="E45" s="234" t="str">
        <f>VLOOKUP(C45,'Margin Calculation'!F:H,3,0)</f>
        <v>EM-01</v>
      </c>
      <c r="F45" s="234" t="str">
        <f>VLOOKUP(C45,'Margin Calculation'!F:M,8,0)</f>
        <v>NexLev Eye Massager</v>
      </c>
      <c r="G45" s="244">
        <f>VLOOKUP(C45,'Margin Calculation'!F:Y,20,0)</f>
        <v>611.38800000000003</v>
      </c>
      <c r="H45" s="244">
        <f>VLOOKUP(C45,'Margin Calculation'!F:Z,21,0)</f>
        <v>721.43784000000005</v>
      </c>
      <c r="I45" s="244">
        <f t="shared" si="0"/>
        <v>413.24099999999999</v>
      </c>
      <c r="J45" s="244">
        <v>60</v>
      </c>
      <c r="K45" s="244">
        <f t="shared" si="1"/>
        <v>82.648200000000003</v>
      </c>
      <c r="L45" s="244">
        <f t="shared" si="2"/>
        <v>55.098800000000004</v>
      </c>
      <c r="M45" s="244">
        <f t="shared" si="3"/>
        <v>50</v>
      </c>
      <c r="N45" s="244">
        <f t="shared" si="4"/>
        <v>518.33979999999997</v>
      </c>
      <c r="O45" s="245">
        <f t="shared" si="5"/>
        <v>0.18814921559090214</v>
      </c>
      <c r="P45" s="244">
        <f t="shared" si="6"/>
        <v>137.74700000000001</v>
      </c>
      <c r="Q45" s="244">
        <f t="shared" si="7"/>
        <v>55.098800000000004</v>
      </c>
      <c r="R45" s="244">
        <f t="shared" si="8"/>
        <v>1465.2218</v>
      </c>
      <c r="S45" s="244">
        <f t="shared" si="22"/>
        <v>295.17214285714317</v>
      </c>
      <c r="T45" s="246">
        <f t="shared" si="10"/>
        <v>994.54605714285685</v>
      </c>
      <c r="U45" s="247">
        <f t="shared" si="11"/>
        <v>0.36100461612334817</v>
      </c>
      <c r="V45" s="299">
        <f t="shared" si="21"/>
        <v>2754.94</v>
      </c>
      <c r="W45" s="179">
        <v>2599</v>
      </c>
      <c r="X45" s="244"/>
      <c r="Y45" s="179"/>
      <c r="Z45" s="179"/>
    </row>
    <row r="46" spans="1:26">
      <c r="A46" s="253">
        <f t="shared" si="13"/>
        <v>45</v>
      </c>
      <c r="B46" s="233"/>
      <c r="C46" s="233" t="s">
        <v>764</v>
      </c>
      <c r="D46" s="244"/>
      <c r="E46" s="234" t="str">
        <f>VLOOKUP(C46,'Margin Calculation'!F:H,3,0)</f>
        <v>EM-02</v>
      </c>
      <c r="F46" s="234" t="str">
        <f>VLOOKUP(C46,'Margin Calculation'!F:M,8,0)</f>
        <v>NexLev Eye Massager - Pro</v>
      </c>
      <c r="G46" s="244">
        <f>VLOOKUP(C46,'Margin Calculation'!F:Y,20,0)</f>
        <v>1222.7760000000001</v>
      </c>
      <c r="H46" s="244">
        <f>VLOOKUP(C46,'Margin Calculation'!F:Z,21,0)</f>
        <v>1442.8756800000001</v>
      </c>
      <c r="I46" s="244">
        <f t="shared" si="0"/>
        <v>286.041</v>
      </c>
      <c r="J46" s="244">
        <v>60</v>
      </c>
      <c r="K46" s="244">
        <f t="shared" si="1"/>
        <v>57.208199999999998</v>
      </c>
      <c r="L46" s="244">
        <f t="shared" si="2"/>
        <v>38.138800000000003</v>
      </c>
      <c r="M46" s="244">
        <f t="shared" si="3"/>
        <v>50</v>
      </c>
      <c r="N46" s="244">
        <f t="shared" si="4"/>
        <v>374.1798</v>
      </c>
      <c r="O46" s="245">
        <f t="shared" si="5"/>
        <v>0.19622001741009157</v>
      </c>
      <c r="P46" s="244">
        <f t="shared" si="6"/>
        <v>95.347000000000008</v>
      </c>
      <c r="Q46" s="244">
        <f t="shared" si="7"/>
        <v>38.138800000000003</v>
      </c>
      <c r="R46" s="244">
        <f t="shared" si="8"/>
        <v>1847.6497999999999</v>
      </c>
      <c r="S46" s="244">
        <f t="shared" si="22"/>
        <v>204.31500000000005</v>
      </c>
      <c r="T46" s="246">
        <f t="shared" si="10"/>
        <v>-145.02479999999991</v>
      </c>
      <c r="U46" s="247">
        <f t="shared" si="11"/>
        <v>-7.605105561790089E-2</v>
      </c>
      <c r="V46" s="299">
        <f t="shared" si="21"/>
        <v>1906.94</v>
      </c>
      <c r="W46" s="179">
        <v>1799</v>
      </c>
      <c r="X46" s="244"/>
      <c r="Y46" s="179"/>
      <c r="Z46" s="179"/>
    </row>
    <row r="47" spans="1:26">
      <c r="A47" s="253">
        <f t="shared" si="13"/>
        <v>46</v>
      </c>
      <c r="B47" s="233"/>
      <c r="C47" s="233" t="s">
        <v>772</v>
      </c>
      <c r="D47" s="244"/>
      <c r="E47" s="234" t="str">
        <f>VLOOKUP(C47,'Margin Calculation'!F:H,3,0)</f>
        <v>BM-01</v>
      </c>
      <c r="F47" s="234" t="str">
        <f>VLOOKUP(C47,'Margin Calculation'!F:M,8,0)</f>
        <v>NexLev Back Massager</v>
      </c>
      <c r="G47" s="244">
        <f>VLOOKUP(C47,'Margin Calculation'!F:Y,20,0)</f>
        <v>628.71066000000008</v>
      </c>
      <c r="H47" s="244">
        <f>VLOOKUP(C47,'Margin Calculation'!F:Z,21,0)</f>
        <v>741.87857880000001</v>
      </c>
      <c r="I47" s="244">
        <f t="shared" si="0"/>
        <v>254.24099999999999</v>
      </c>
      <c r="J47" s="244">
        <v>60</v>
      </c>
      <c r="K47" s="244">
        <f t="shared" si="1"/>
        <v>50.848199999999999</v>
      </c>
      <c r="L47" s="244">
        <f t="shared" si="2"/>
        <v>33.898800000000001</v>
      </c>
      <c r="M47" s="244">
        <f t="shared" si="3"/>
        <v>50</v>
      </c>
      <c r="N47" s="244">
        <f t="shared" si="4"/>
        <v>338.13979999999998</v>
      </c>
      <c r="O47" s="245">
        <f t="shared" si="5"/>
        <v>0.19949956930628812</v>
      </c>
      <c r="P47" s="244">
        <f t="shared" si="6"/>
        <v>84.747000000000014</v>
      </c>
      <c r="Q47" s="244">
        <f t="shared" si="7"/>
        <v>33.898800000000001</v>
      </c>
      <c r="R47" s="244">
        <f t="shared" si="8"/>
        <v>1196.34446</v>
      </c>
      <c r="S47" s="244">
        <f t="shared" si="22"/>
        <v>181.6007142857145</v>
      </c>
      <c r="T47" s="246">
        <f t="shared" si="10"/>
        <v>316.99482571428553</v>
      </c>
      <c r="U47" s="247">
        <f t="shared" si="11"/>
        <v>0.18702421661786583</v>
      </c>
      <c r="V47" s="299">
        <f t="shared" si="21"/>
        <v>1694.94</v>
      </c>
      <c r="W47" s="179">
        <v>1599</v>
      </c>
      <c r="X47" s="244"/>
      <c r="Y47" s="179"/>
      <c r="Z47" s="179"/>
    </row>
    <row r="48" spans="1:26">
      <c r="A48" s="253">
        <f t="shared" si="13"/>
        <v>47</v>
      </c>
      <c r="B48" s="233"/>
      <c r="C48" s="233" t="s">
        <v>775</v>
      </c>
      <c r="D48" s="244"/>
      <c r="E48" s="234" t="str">
        <f>VLOOKUP(C48,'Margin Calculation'!F:H,3,0)</f>
        <v>BM-02</v>
      </c>
      <c r="F48" s="234" t="str">
        <f>VLOOKUP(C48,'Margin Calculation'!F:M,8,0)</f>
        <v>NexLev Back and Shoulder Massager</v>
      </c>
      <c r="G48" s="244">
        <f>VLOOKUP(C48,'Margin Calculation'!F:Y,20,0)</f>
        <v>946.84235999999999</v>
      </c>
      <c r="H48" s="244">
        <f>VLOOKUP(C48,'Margin Calculation'!F:Z,21,0)</f>
        <v>1117.2739847999999</v>
      </c>
      <c r="I48" s="244">
        <f t="shared" si="0"/>
        <v>317.84100000000001</v>
      </c>
      <c r="J48" s="244">
        <v>60</v>
      </c>
      <c r="K48" s="244">
        <f t="shared" si="1"/>
        <v>63.568199999999997</v>
      </c>
      <c r="L48" s="244">
        <f t="shared" si="2"/>
        <v>42.378800000000005</v>
      </c>
      <c r="M48" s="244">
        <f t="shared" si="3"/>
        <v>50</v>
      </c>
      <c r="N48" s="244">
        <f t="shared" si="4"/>
        <v>410.21980000000002</v>
      </c>
      <c r="O48" s="245">
        <f t="shared" si="5"/>
        <v>0.19359670401238355</v>
      </c>
      <c r="P48" s="244">
        <f t="shared" si="6"/>
        <v>105.947</v>
      </c>
      <c r="Q48" s="244">
        <f t="shared" si="7"/>
        <v>42.378800000000005</v>
      </c>
      <c r="R48" s="244">
        <f t="shared" si="8"/>
        <v>1628.9561599999997</v>
      </c>
      <c r="S48" s="244">
        <f t="shared" si="22"/>
        <v>227.02928571428583</v>
      </c>
      <c r="T48" s="246">
        <f t="shared" si="10"/>
        <v>262.95455428571449</v>
      </c>
      <c r="U48" s="247">
        <f t="shared" si="11"/>
        <v>0.12409721572376495</v>
      </c>
      <c r="V48" s="299">
        <f t="shared" si="21"/>
        <v>2118.94</v>
      </c>
      <c r="W48" s="179">
        <v>1999</v>
      </c>
      <c r="X48" s="244"/>
      <c r="Y48" s="179"/>
      <c r="Z48" s="179"/>
    </row>
    <row r="49" spans="1:26">
      <c r="A49" s="253">
        <f t="shared" si="13"/>
        <v>48</v>
      </c>
      <c r="B49" s="233"/>
      <c r="C49" s="233" t="s">
        <v>797</v>
      </c>
      <c r="D49" s="244"/>
      <c r="E49" s="234" t="str">
        <f>VLOOKUP(C49,'Margin Calculation'!F:H,3,0)</f>
        <v>BM-03</v>
      </c>
      <c r="F49" s="234" t="str">
        <f>VLOOKUP(C49,'Margin Calculation'!F:M,8,0)</f>
        <v>Back and Shoulder Massager Pro</v>
      </c>
      <c r="G49" s="244">
        <f>VLOOKUP(C49,'Margin Calculation'!F:Y,20,0)</f>
        <v>815.18400000000008</v>
      </c>
      <c r="H49" s="244">
        <f>VLOOKUP(C49,'Margin Calculation'!F:Z,21,0)</f>
        <v>961.91712000000007</v>
      </c>
      <c r="I49" s="244">
        <f t="shared" si="0"/>
        <v>301.94099999999997</v>
      </c>
      <c r="J49" s="244">
        <v>60</v>
      </c>
      <c r="K49" s="244">
        <f t="shared" si="1"/>
        <v>60.388199999999998</v>
      </c>
      <c r="L49" s="244">
        <f t="shared" si="2"/>
        <v>40.258800000000001</v>
      </c>
      <c r="M49" s="244">
        <f t="shared" si="3"/>
        <v>50</v>
      </c>
      <c r="N49" s="244">
        <f t="shared" si="4"/>
        <v>392.19979999999998</v>
      </c>
      <c r="O49" s="245">
        <f t="shared" si="5"/>
        <v>0.19483928979502615</v>
      </c>
      <c r="P49" s="244">
        <f t="shared" si="6"/>
        <v>100.64700000000001</v>
      </c>
      <c r="Q49" s="244">
        <f t="shared" si="7"/>
        <v>40.258800000000001</v>
      </c>
      <c r="R49" s="244">
        <f t="shared" si="8"/>
        <v>1468.6778000000002</v>
      </c>
      <c r="S49" s="244">
        <f t="shared" si="22"/>
        <v>215.67214285714294</v>
      </c>
      <c r="T49" s="246">
        <f t="shared" si="10"/>
        <v>328.59005714285695</v>
      </c>
      <c r="U49" s="247">
        <f t="shared" si="11"/>
        <v>0.16323887306271273</v>
      </c>
      <c r="V49" s="299">
        <f t="shared" si="21"/>
        <v>2012.94</v>
      </c>
      <c r="W49" s="179">
        <v>1899</v>
      </c>
      <c r="X49" s="244"/>
      <c r="Y49" s="179"/>
      <c r="Z49" s="179"/>
    </row>
    <row r="50" spans="1:26">
      <c r="A50" s="253">
        <f t="shared" si="13"/>
        <v>49</v>
      </c>
      <c r="B50" s="233"/>
      <c r="C50" s="233" t="s">
        <v>802</v>
      </c>
      <c r="D50" s="244"/>
      <c r="E50" s="234" t="str">
        <f>VLOOKUP(C50,'Margin Calculation'!F:H,3,0)</f>
        <v>PM-01</v>
      </c>
      <c r="F50" s="234" t="str">
        <f>VLOOKUP(C50,'Margin Calculation'!F:M,8,0)</f>
        <v>Handheld Percussion Massager</v>
      </c>
      <c r="G50" s="244">
        <f>VLOOKUP(C50,'Margin Calculation'!F:Y,20,0)</f>
        <v>804.99420000000009</v>
      </c>
      <c r="H50" s="244">
        <f>VLOOKUP(C50,'Margin Calculation'!F:Z,21,0)</f>
        <v>949.89315600000009</v>
      </c>
      <c r="I50" s="244">
        <f t="shared" si="0"/>
        <v>317.84100000000001</v>
      </c>
      <c r="J50" s="244">
        <v>60</v>
      </c>
      <c r="K50" s="244">
        <f t="shared" si="1"/>
        <v>63.568199999999997</v>
      </c>
      <c r="L50" s="244">
        <f t="shared" si="2"/>
        <v>42.378800000000005</v>
      </c>
      <c r="M50" s="244">
        <f t="shared" si="3"/>
        <v>50</v>
      </c>
      <c r="N50" s="244">
        <f t="shared" si="4"/>
        <v>410.21980000000002</v>
      </c>
      <c r="O50" s="245">
        <f t="shared" si="5"/>
        <v>0.19359670401238355</v>
      </c>
      <c r="P50" s="244">
        <f t="shared" si="6"/>
        <v>105.947</v>
      </c>
      <c r="Q50" s="244">
        <f t="shared" si="7"/>
        <v>42.378800000000005</v>
      </c>
      <c r="R50" s="244">
        <f t="shared" si="8"/>
        <v>1487.1079999999997</v>
      </c>
      <c r="S50" s="244">
        <f t="shared" si="22"/>
        <v>227.02928571428583</v>
      </c>
      <c r="T50" s="246">
        <f t="shared" si="10"/>
        <v>404.8027142857145</v>
      </c>
      <c r="U50" s="247">
        <f t="shared" si="11"/>
        <v>0.19104019664818941</v>
      </c>
      <c r="V50" s="299">
        <f t="shared" si="21"/>
        <v>2118.94</v>
      </c>
      <c r="W50" s="179">
        <v>1999</v>
      </c>
      <c r="X50" s="244"/>
      <c r="Y50" s="179"/>
      <c r="Z50" s="179"/>
    </row>
    <row r="51" spans="1:26">
      <c r="A51" s="253">
        <f t="shared" si="13"/>
        <v>50</v>
      </c>
      <c r="B51" s="233"/>
      <c r="C51" s="233" t="s">
        <v>835</v>
      </c>
      <c r="D51" s="244"/>
      <c r="E51" s="234" t="str">
        <f>VLOOKUP(C51,'Margin Calculation'!F:H,3,0)</f>
        <v>LE-08</v>
      </c>
      <c r="F51" s="234" t="str">
        <f>VLOOKUP(C51,'Margin Calculation'!F:M,8,0)</f>
        <v>Microcurrent Facial Massager</v>
      </c>
      <c r="G51" s="244">
        <f>VLOOKUP(C51,'Margin Calculation'!F:Y,20,0)</f>
        <v>662.33699999999999</v>
      </c>
      <c r="H51" s="244">
        <f>VLOOKUP(C51,'Margin Calculation'!F:Z,21,0)</f>
        <v>781.55765999999994</v>
      </c>
      <c r="I51" s="244">
        <f t="shared" si="0"/>
        <v>238.34100000000001</v>
      </c>
      <c r="J51" s="244">
        <v>60</v>
      </c>
      <c r="K51" s="244">
        <f t="shared" si="1"/>
        <v>47.668199999999999</v>
      </c>
      <c r="L51" s="244">
        <f t="shared" si="2"/>
        <v>31.7788</v>
      </c>
      <c r="M51" s="244">
        <f t="shared" si="3"/>
        <v>50</v>
      </c>
      <c r="N51" s="244">
        <f t="shared" si="4"/>
        <v>320.1198</v>
      </c>
      <c r="O51" s="245">
        <f t="shared" si="5"/>
        <v>0.20146751922665423</v>
      </c>
      <c r="P51" s="244">
        <f t="shared" si="6"/>
        <v>79.447000000000003</v>
      </c>
      <c r="Q51" s="244">
        <f t="shared" si="7"/>
        <v>31.7788</v>
      </c>
      <c r="R51" s="244">
        <f t="shared" si="8"/>
        <v>1201.3508000000002</v>
      </c>
      <c r="S51" s="244">
        <f t="shared" si="22"/>
        <v>170.24357142857161</v>
      </c>
      <c r="T51" s="246">
        <f t="shared" si="10"/>
        <v>217.34562857142828</v>
      </c>
      <c r="U51" s="247">
        <f t="shared" si="11"/>
        <v>0.13678655491801345</v>
      </c>
      <c r="V51" s="299">
        <f t="shared" si="21"/>
        <v>1588.94</v>
      </c>
      <c r="W51" s="179">
        <v>1499</v>
      </c>
      <c r="X51" s="244"/>
      <c r="Y51" s="179"/>
      <c r="Z51" s="179"/>
    </row>
    <row r="52" spans="1:26">
      <c r="A52" s="253">
        <f t="shared" si="13"/>
        <v>51</v>
      </c>
      <c r="B52" s="233"/>
      <c r="C52" s="233" t="s">
        <v>839</v>
      </c>
      <c r="D52" s="244"/>
      <c r="E52" s="234" t="str">
        <f>VLOOKUP(C52,'Margin Calculation'!F:H,3,0)</f>
        <v>MGS-02</v>
      </c>
      <c r="F52" s="234" t="str">
        <f>VLOOKUP(C52,'Margin Calculation'!F:M,8,0)</f>
        <v>Massage Gun - Mini</v>
      </c>
      <c r="G52" s="244">
        <f>VLOOKUP(C52,'Margin Calculation'!F:Y,20,0)</f>
        <v>367.85177999999996</v>
      </c>
      <c r="H52" s="244">
        <f>VLOOKUP(C52,'Margin Calculation'!F:Z,21,0)</f>
        <v>434.06510039999995</v>
      </c>
      <c r="I52" s="244">
        <f t="shared" si="0"/>
        <v>174.74100000000001</v>
      </c>
      <c r="J52" s="244">
        <v>60</v>
      </c>
      <c r="K52" s="244">
        <f t="shared" si="1"/>
        <v>34.9482</v>
      </c>
      <c r="L52" s="244">
        <f t="shared" si="2"/>
        <v>23.2988</v>
      </c>
      <c r="M52" s="244">
        <f t="shared" si="3"/>
        <v>50</v>
      </c>
      <c r="N52" s="244">
        <f t="shared" si="4"/>
        <v>248.03980000000001</v>
      </c>
      <c r="O52" s="245">
        <f t="shared" si="5"/>
        <v>0.212920665441997</v>
      </c>
      <c r="P52" s="244">
        <f t="shared" si="6"/>
        <v>58.247000000000007</v>
      </c>
      <c r="Q52" s="244">
        <f t="shared" si="7"/>
        <v>23.2988</v>
      </c>
      <c r="R52" s="244">
        <f t="shared" si="8"/>
        <v>792.38558</v>
      </c>
      <c r="S52" s="244">
        <f t="shared" si="22"/>
        <v>124.81500000000005</v>
      </c>
      <c r="T52" s="246">
        <f t="shared" si="10"/>
        <v>247.73942</v>
      </c>
      <c r="U52" s="247">
        <f t="shared" si="11"/>
        <v>0.21266281525228767</v>
      </c>
      <c r="V52" s="299">
        <f t="shared" si="21"/>
        <v>1164.94</v>
      </c>
      <c r="W52" s="179">
        <v>1099</v>
      </c>
      <c r="X52" s="244"/>
      <c r="Y52" s="179"/>
      <c r="Z52" s="179"/>
    </row>
    <row r="53" spans="1:26">
      <c r="A53" s="253">
        <f t="shared" si="13"/>
        <v>52</v>
      </c>
      <c r="B53" s="233"/>
      <c r="C53" s="233" t="s">
        <v>843</v>
      </c>
      <c r="D53" s="244"/>
      <c r="E53" s="234" t="str">
        <f>VLOOKUP(C53,'Margin Calculation'!F:H,3,0)</f>
        <v>MGC-03</v>
      </c>
      <c r="F53" s="234" t="str">
        <f>VLOOKUP(C53,'Margin Calculation'!F:M,8,0)</f>
        <v>Hot &amp; Cold Massage Gun</v>
      </c>
      <c r="G53" s="244">
        <f>VLOOKUP(C53,'Margin Calculation'!F:Y,20,0)</f>
        <v>830.46870000000001</v>
      </c>
      <c r="H53" s="244">
        <f>VLOOKUP(C53,'Margin Calculation'!F:Z,21,0)</f>
        <v>979.95306599999992</v>
      </c>
      <c r="I53" s="244">
        <f t="shared" si="0"/>
        <v>365.541</v>
      </c>
      <c r="J53" s="244">
        <v>60</v>
      </c>
      <c r="K53" s="244">
        <f t="shared" si="1"/>
        <v>73.108199999999997</v>
      </c>
      <c r="L53" s="244">
        <f t="shared" si="2"/>
        <v>48.738800000000005</v>
      </c>
      <c r="M53" s="244">
        <f t="shared" si="3"/>
        <v>50</v>
      </c>
      <c r="N53" s="244">
        <f t="shared" si="4"/>
        <v>464.27980000000002</v>
      </c>
      <c r="O53" s="245">
        <f t="shared" si="5"/>
        <v>0.19051753428479978</v>
      </c>
      <c r="P53" s="244">
        <f t="shared" si="6"/>
        <v>121.84700000000001</v>
      </c>
      <c r="Q53" s="244">
        <f t="shared" si="7"/>
        <v>48.738800000000005</v>
      </c>
      <c r="R53" s="244">
        <f t="shared" si="8"/>
        <v>1598.4425000000001</v>
      </c>
      <c r="S53" s="244">
        <f t="shared" si="22"/>
        <v>261.10071428571428</v>
      </c>
      <c r="T53" s="246">
        <f t="shared" si="10"/>
        <v>577.39678571428567</v>
      </c>
      <c r="U53" s="247">
        <f t="shared" si="11"/>
        <v>0.23693516693652106</v>
      </c>
      <c r="V53" s="299">
        <f t="shared" si="21"/>
        <v>2436.94</v>
      </c>
      <c r="W53" s="179">
        <v>2299</v>
      </c>
      <c r="X53" s="244"/>
      <c r="Y53" s="179"/>
      <c r="Z53" s="179"/>
    </row>
    <row r="54" spans="1:26">
      <c r="A54" s="253">
        <f t="shared" si="13"/>
        <v>53</v>
      </c>
      <c r="B54" s="233"/>
      <c r="C54" s="233" t="s">
        <v>847</v>
      </c>
      <c r="D54" s="244"/>
      <c r="E54" s="234" t="str">
        <f>VLOOKUP(C54,'Margin Calculation'!F:H,3,0)</f>
        <v>MM-01</v>
      </c>
      <c r="F54" s="234" t="str">
        <f>VLOOKUP(C54,'Margin Calculation'!F:M,8,0)</f>
        <v>Foldable Massage Mat</v>
      </c>
      <c r="G54" s="244">
        <f>VLOOKUP(C54,'Margin Calculation'!F:Y,20,0)</f>
        <v>5278.3163999999997</v>
      </c>
      <c r="H54" s="244">
        <f>VLOOKUP(C54,'Margin Calculation'!F:Z,21,0)</f>
        <v>6228.4133519999996</v>
      </c>
      <c r="I54" s="244">
        <f t="shared" si="0"/>
        <v>1589.8410000000001</v>
      </c>
      <c r="J54" s="244">
        <v>60</v>
      </c>
      <c r="K54" s="244">
        <f t="shared" si="1"/>
        <v>317.96820000000002</v>
      </c>
      <c r="L54" s="244">
        <f t="shared" si="2"/>
        <v>211.97880000000001</v>
      </c>
      <c r="M54" s="244">
        <f t="shared" si="3"/>
        <v>70</v>
      </c>
      <c r="N54" s="244">
        <f t="shared" si="4"/>
        <v>1871.8198000000002</v>
      </c>
      <c r="O54" s="245">
        <f t="shared" si="5"/>
        <v>0.1766044340283085</v>
      </c>
      <c r="P54" s="244">
        <f t="shared" si="6"/>
        <v>529.947</v>
      </c>
      <c r="Q54" s="244">
        <f t="shared" si="7"/>
        <v>211.97880000000001</v>
      </c>
      <c r="R54" s="244">
        <f t="shared" si="8"/>
        <v>8270.0302000000011</v>
      </c>
      <c r="S54" s="244">
        <f t="shared" si="22"/>
        <v>1135.6007142857161</v>
      </c>
      <c r="T54" s="246">
        <f t="shared" si="10"/>
        <v>1193.3090857142834</v>
      </c>
      <c r="U54" s="247">
        <f t="shared" si="11"/>
        <v>0.1125875875997301</v>
      </c>
      <c r="V54" s="299">
        <f t="shared" si="21"/>
        <v>10598.94</v>
      </c>
      <c r="W54" s="179">
        <v>9999</v>
      </c>
      <c r="X54" s="244"/>
      <c r="Y54" s="179"/>
      <c r="Z54" s="179"/>
    </row>
    <row r="55" spans="1:26">
      <c r="A55" s="253">
        <f t="shared" si="13"/>
        <v>54</v>
      </c>
      <c r="B55" s="233"/>
      <c r="C55" s="233" t="s">
        <v>851</v>
      </c>
      <c r="D55" s="244"/>
      <c r="E55" s="234" t="str">
        <f>VLOOKUP(C55,'Margin Calculation'!F:H,3,0)</f>
        <v>CFM-02</v>
      </c>
      <c r="F55" s="234" t="str">
        <f>VLOOKUP(C55,'Margin Calculation'!F:M,8,0)</f>
        <v>Complete Leg Massager</v>
      </c>
      <c r="G55" s="244">
        <f>VLOOKUP(C55,'Margin Calculation'!F:Y,20,0)</f>
        <v>2751.2459999999996</v>
      </c>
      <c r="H55" s="244">
        <f>VLOOKUP(C55,'Margin Calculation'!F:Z,21,0)</f>
        <v>3246.4702799999995</v>
      </c>
      <c r="I55" s="244">
        <f t="shared" si="0"/>
        <v>874.34100000000001</v>
      </c>
      <c r="J55" s="244">
        <v>60</v>
      </c>
      <c r="K55" s="244">
        <f t="shared" si="1"/>
        <v>174.8682</v>
      </c>
      <c r="L55" s="244">
        <f t="shared" si="2"/>
        <v>116.57880000000002</v>
      </c>
      <c r="M55" s="244">
        <f t="shared" si="3"/>
        <v>70</v>
      </c>
      <c r="N55" s="244">
        <f t="shared" si="4"/>
        <v>1060.9198000000001</v>
      </c>
      <c r="O55" s="245">
        <f t="shared" si="5"/>
        <v>0.18200904452610595</v>
      </c>
      <c r="P55" s="244">
        <f t="shared" si="6"/>
        <v>291.44700000000006</v>
      </c>
      <c r="Q55" s="244">
        <f t="shared" si="7"/>
        <v>116.57880000000002</v>
      </c>
      <c r="R55" s="244">
        <f t="shared" si="8"/>
        <v>4455.0598</v>
      </c>
      <c r="S55" s="244">
        <f t="shared" si="22"/>
        <v>624.52928571428583</v>
      </c>
      <c r="T55" s="246">
        <f t="shared" si="10"/>
        <v>749.35091428571468</v>
      </c>
      <c r="U55" s="247">
        <f t="shared" si="11"/>
        <v>0.1285569785047907</v>
      </c>
      <c r="V55" s="299">
        <f t="shared" si="21"/>
        <v>5828.9400000000005</v>
      </c>
      <c r="W55" s="179">
        <v>5499</v>
      </c>
      <c r="X55" s="244"/>
      <c r="Y55" s="179"/>
      <c r="Z55" s="179"/>
    </row>
    <row r="56" spans="1:26">
      <c r="A56" s="253">
        <f t="shared" si="13"/>
        <v>55</v>
      </c>
      <c r="B56" s="233"/>
      <c r="C56" s="233" t="s">
        <v>855</v>
      </c>
      <c r="D56" s="244"/>
      <c r="E56" s="234" t="str">
        <f>VLOOKUP(C56,'Margin Calculation'!F:H,3,0)</f>
        <v>PM-02</v>
      </c>
      <c r="F56" s="234" t="str">
        <f>VLOOKUP(C56,'Margin Calculation'!F:M,8,0)</f>
        <v>Percussion Massager - Mini</v>
      </c>
      <c r="G56" s="244">
        <f>VLOOKUP(C56,'Margin Calculation'!F:Y,20,0)</f>
        <v>815.18400000000008</v>
      </c>
      <c r="H56" s="244">
        <f>VLOOKUP(C56,'Margin Calculation'!F:Z,21,0)</f>
        <v>961.91712000000007</v>
      </c>
      <c r="I56" s="244">
        <f t="shared" si="0"/>
        <v>286.041</v>
      </c>
      <c r="J56" s="244">
        <v>60</v>
      </c>
      <c r="K56" s="244">
        <f t="shared" si="1"/>
        <v>57.208199999999998</v>
      </c>
      <c r="L56" s="244">
        <f t="shared" si="2"/>
        <v>38.138800000000003</v>
      </c>
      <c r="M56" s="244">
        <f t="shared" si="3"/>
        <v>50</v>
      </c>
      <c r="N56" s="244">
        <f t="shared" si="4"/>
        <v>374.1798</v>
      </c>
      <c r="O56" s="245">
        <f t="shared" si="5"/>
        <v>0.19622001741009157</v>
      </c>
      <c r="P56" s="244">
        <f t="shared" si="6"/>
        <v>95.347000000000008</v>
      </c>
      <c r="Q56" s="244">
        <f t="shared" si="7"/>
        <v>38.138800000000003</v>
      </c>
      <c r="R56" s="244">
        <f t="shared" si="8"/>
        <v>1440.0578</v>
      </c>
      <c r="S56" s="244">
        <f t="shared" si="22"/>
        <v>204.31500000000005</v>
      </c>
      <c r="T56" s="246">
        <f t="shared" si="10"/>
        <v>262.56719999999996</v>
      </c>
      <c r="U56" s="247">
        <f t="shared" si="11"/>
        <v>0.13769033110637982</v>
      </c>
      <c r="V56" s="299">
        <f t="shared" si="21"/>
        <v>1906.94</v>
      </c>
      <c r="W56" s="179">
        <v>1799</v>
      </c>
      <c r="X56" s="244"/>
      <c r="Y56" s="179"/>
      <c r="Z56" s="179"/>
    </row>
    <row r="57" spans="1:26">
      <c r="A57" s="253">
        <f t="shared" si="13"/>
        <v>56</v>
      </c>
      <c r="B57" s="233"/>
      <c r="C57" s="233" t="s">
        <v>863</v>
      </c>
      <c r="D57" s="244"/>
      <c r="E57" s="234" t="str">
        <f>VLOOKUP(C57,'Margin Calculation'!F:H,3,0)</f>
        <v>TM-05</v>
      </c>
      <c r="F57" s="234" t="str">
        <f>VLOOKUP(C57,'Margin Calculation'!F:M,8,0)</f>
        <v>Vacuum Trimmer</v>
      </c>
      <c r="G57" s="244">
        <f>VLOOKUP(C57,'Margin Calculation'!F:Y,20,0)</f>
        <v>1007.9640000000001</v>
      </c>
      <c r="H57" s="244">
        <f>VLOOKUP(C57,'Margin Calculation'!F:Z,21,0)</f>
        <v>1189.39752</v>
      </c>
      <c r="I57" s="244">
        <f t="shared" si="0"/>
        <v>397.34100000000001</v>
      </c>
      <c r="J57" s="244">
        <v>60</v>
      </c>
      <c r="K57" s="244">
        <f t="shared" si="1"/>
        <v>79.468199999999996</v>
      </c>
      <c r="L57" s="244">
        <f t="shared" si="2"/>
        <v>52.9788</v>
      </c>
      <c r="M57" s="244">
        <f t="shared" si="3"/>
        <v>50</v>
      </c>
      <c r="N57" s="244">
        <f t="shared" si="4"/>
        <v>500.31979999999999</v>
      </c>
      <c r="O57" s="245">
        <f t="shared" si="5"/>
        <v>0.18887547471818916</v>
      </c>
      <c r="P57" s="244">
        <f t="shared" si="6"/>
        <v>132.447</v>
      </c>
      <c r="Q57" s="244">
        <f t="shared" si="7"/>
        <v>52.9788</v>
      </c>
      <c r="R57" s="244">
        <f t="shared" si="8"/>
        <v>1833.1778000000004</v>
      </c>
      <c r="S57" s="244">
        <f t="shared" ref="S57:S104" si="23">V57-(V57/1.18)</f>
        <v>404.07559322033876</v>
      </c>
      <c r="T57" s="246">
        <f t="shared" si="10"/>
        <v>411.68660677966091</v>
      </c>
      <c r="U57" s="247">
        <f t="shared" si="11"/>
        <v>0.15541560276173144</v>
      </c>
      <c r="V57" s="299">
        <f t="shared" si="21"/>
        <v>2648.94</v>
      </c>
      <c r="W57" s="179">
        <v>2499</v>
      </c>
      <c r="X57" s="244"/>
      <c r="Y57" s="179"/>
      <c r="Z57" s="179"/>
    </row>
    <row r="58" spans="1:26">
      <c r="A58" s="253">
        <f t="shared" si="13"/>
        <v>57</v>
      </c>
      <c r="B58" s="179"/>
      <c r="C58" s="306" t="s">
        <v>231</v>
      </c>
      <c r="D58" s="179"/>
      <c r="E58" s="306" t="s">
        <v>233</v>
      </c>
      <c r="F58" s="306" t="s">
        <v>238</v>
      </c>
      <c r="G58" s="179">
        <v>1274.8</v>
      </c>
      <c r="H58" s="179">
        <v>1504.2</v>
      </c>
      <c r="I58" s="244">
        <f t="shared" si="0"/>
        <v>365.541</v>
      </c>
      <c r="J58" s="244">
        <v>60</v>
      </c>
      <c r="K58" s="244">
        <f t="shared" si="1"/>
        <v>73.108199999999997</v>
      </c>
      <c r="L58" s="244">
        <f t="shared" si="2"/>
        <v>48.738800000000005</v>
      </c>
      <c r="M58" s="244">
        <f t="shared" si="3"/>
        <v>50</v>
      </c>
      <c r="N58" s="244">
        <f t="shared" si="4"/>
        <v>464.27980000000002</v>
      </c>
      <c r="O58" s="245">
        <f t="shared" si="5"/>
        <v>0.19051753428479978</v>
      </c>
      <c r="P58" s="244">
        <f t="shared" si="6"/>
        <v>121.84700000000001</v>
      </c>
      <c r="Q58" s="244">
        <f t="shared" si="7"/>
        <v>48.738800000000005</v>
      </c>
      <c r="R58" s="244">
        <f t="shared" si="8"/>
        <v>2042.7737999999999</v>
      </c>
      <c r="S58" s="244">
        <f t="shared" si="23"/>
        <v>371.73661016949154</v>
      </c>
      <c r="T58" s="246">
        <f t="shared" si="10"/>
        <v>22.429589830508576</v>
      </c>
      <c r="U58" s="247">
        <f t="shared" si="11"/>
        <v>9.2039975668291273E-3</v>
      </c>
      <c r="V58" s="299">
        <f t="shared" si="21"/>
        <v>2436.94</v>
      </c>
      <c r="W58" s="179">
        <f>VLOOKUP(C58,Sheet6!O:P,2,0)</f>
        <v>2299</v>
      </c>
      <c r="X58" s="179"/>
      <c r="Y58" s="179"/>
      <c r="Z58" s="179"/>
    </row>
    <row r="59" spans="1:26">
      <c r="A59" s="253">
        <f t="shared" si="13"/>
        <v>58</v>
      </c>
      <c r="B59" s="179" t="s">
        <v>934</v>
      </c>
      <c r="C59" s="306" t="s">
        <v>240</v>
      </c>
      <c r="D59" s="179"/>
      <c r="E59" s="306" t="s">
        <v>242</v>
      </c>
      <c r="F59" s="306" t="s">
        <v>244</v>
      </c>
      <c r="G59" s="179">
        <v>1036.7</v>
      </c>
      <c r="H59" s="179">
        <v>1223.3</v>
      </c>
      <c r="I59" s="244">
        <f t="shared" si="0"/>
        <v>334.34999999999997</v>
      </c>
      <c r="J59" s="244">
        <v>60</v>
      </c>
      <c r="K59" s="244">
        <f t="shared" si="1"/>
        <v>66.87</v>
      </c>
      <c r="L59" s="244">
        <f t="shared" si="2"/>
        <v>44.58</v>
      </c>
      <c r="M59" s="244">
        <f t="shared" si="3"/>
        <v>50</v>
      </c>
      <c r="N59" s="244">
        <f t="shared" si="4"/>
        <v>428.92999999999995</v>
      </c>
      <c r="O59" s="245">
        <f t="shared" si="5"/>
        <v>0.19243158366980706</v>
      </c>
      <c r="P59" s="244">
        <f t="shared" si="6"/>
        <v>111.45</v>
      </c>
      <c r="Q59" s="244">
        <f t="shared" si="7"/>
        <v>44.58</v>
      </c>
      <c r="R59" s="244">
        <f t="shared" si="8"/>
        <v>1748.53</v>
      </c>
      <c r="S59" s="244">
        <f t="shared" si="23"/>
        <v>340.01694915254234</v>
      </c>
      <c r="T59" s="246">
        <f t="shared" si="10"/>
        <v>140.45305084745769</v>
      </c>
      <c r="U59" s="247">
        <f t="shared" si="11"/>
        <v>6.3011687235288327E-2</v>
      </c>
      <c r="V59" s="299">
        <v>2229</v>
      </c>
      <c r="W59" s="179">
        <f>VLOOKUP(C59,Sheet6!O:P,2,0)</f>
        <v>2599</v>
      </c>
      <c r="X59" s="179"/>
      <c r="Y59" s="179"/>
      <c r="Z59" s="179"/>
    </row>
    <row r="60" spans="1:26">
      <c r="A60" s="253">
        <f t="shared" si="13"/>
        <v>59</v>
      </c>
      <c r="B60" s="179"/>
      <c r="C60" s="306" t="s">
        <v>246</v>
      </c>
      <c r="D60" s="179"/>
      <c r="E60" s="306" t="s">
        <v>248</v>
      </c>
      <c r="F60" s="306" t="s">
        <v>251</v>
      </c>
      <c r="G60" s="179">
        <v>1490.4</v>
      </c>
      <c r="H60" s="179">
        <v>1758.6</v>
      </c>
      <c r="I60" s="244">
        <f t="shared" si="0"/>
        <v>540.44100000000003</v>
      </c>
      <c r="J60" s="244">
        <v>60</v>
      </c>
      <c r="K60" s="244">
        <f t="shared" si="1"/>
        <v>108.0882</v>
      </c>
      <c r="L60" s="244">
        <f t="shared" si="2"/>
        <v>72.058800000000005</v>
      </c>
      <c r="M60" s="244">
        <f t="shared" si="3"/>
        <v>50</v>
      </c>
      <c r="N60" s="244">
        <f t="shared" si="4"/>
        <v>662.49980000000005</v>
      </c>
      <c r="O60" s="245">
        <f t="shared" si="5"/>
        <v>0.18387755555185489</v>
      </c>
      <c r="P60" s="244">
        <f t="shared" si="6"/>
        <v>180.14700000000002</v>
      </c>
      <c r="Q60" s="244">
        <f t="shared" si="7"/>
        <v>72.058800000000005</v>
      </c>
      <c r="R60" s="244">
        <f t="shared" si="8"/>
        <v>2573.1938</v>
      </c>
      <c r="S60" s="244">
        <f t="shared" si="23"/>
        <v>549.60101694915238</v>
      </c>
      <c r="T60" s="246">
        <f t="shared" si="10"/>
        <v>480.14518305084766</v>
      </c>
      <c r="U60" s="247">
        <f t="shared" si="11"/>
        <v>0.13326482901487333</v>
      </c>
      <c r="V60" s="299">
        <f>W60*(1+0.06)</f>
        <v>3602.94</v>
      </c>
      <c r="W60" s="179">
        <f>VLOOKUP(C60,Sheet6!O:P,2,0)</f>
        <v>3399</v>
      </c>
      <c r="X60" s="179"/>
      <c r="Y60" s="179"/>
      <c r="Z60" s="179"/>
    </row>
    <row r="61" spans="1:26">
      <c r="A61" s="300">
        <f t="shared" si="13"/>
        <v>60</v>
      </c>
      <c r="B61" s="302" t="s">
        <v>934</v>
      </c>
      <c r="C61" s="301" t="s">
        <v>253</v>
      </c>
      <c r="D61" s="302"/>
      <c r="E61" s="301" t="s">
        <v>255</v>
      </c>
      <c r="F61" s="301" t="s">
        <v>259</v>
      </c>
      <c r="G61" s="302">
        <v>345.5</v>
      </c>
      <c r="H61" s="302">
        <v>386.9</v>
      </c>
      <c r="I61" s="302">
        <f t="shared" si="0"/>
        <v>112.35</v>
      </c>
      <c r="J61" s="302">
        <v>60</v>
      </c>
      <c r="K61" s="302">
        <f t="shared" si="1"/>
        <v>22.47</v>
      </c>
      <c r="L61" s="302">
        <f t="shared" si="2"/>
        <v>14.98</v>
      </c>
      <c r="M61" s="302">
        <f t="shared" si="3"/>
        <v>30</v>
      </c>
      <c r="N61" s="302">
        <f t="shared" si="4"/>
        <v>157.32999999999998</v>
      </c>
      <c r="O61" s="303">
        <f t="shared" si="5"/>
        <v>0.21005340453938581</v>
      </c>
      <c r="P61" s="302">
        <f t="shared" si="6"/>
        <v>37.450000000000003</v>
      </c>
      <c r="Q61" s="302">
        <f t="shared" si="7"/>
        <v>14.98</v>
      </c>
      <c r="R61" s="302">
        <f t="shared" si="8"/>
        <v>637.73000000000013</v>
      </c>
      <c r="S61" s="302">
        <f t="shared" si="23"/>
        <v>114.25423728813553</v>
      </c>
      <c r="T61" s="302">
        <f t="shared" si="10"/>
        <v>-2.9842372881356596</v>
      </c>
      <c r="U61" s="303">
        <f t="shared" si="11"/>
        <v>-3.984295444773911E-3</v>
      </c>
      <c r="V61" s="302">
        <v>749</v>
      </c>
      <c r="W61" s="302">
        <f>VLOOKUP(C61,Sheet6!O:P,2,0)</f>
        <v>699</v>
      </c>
      <c r="X61" s="244"/>
      <c r="Y61" s="179"/>
      <c r="Z61" s="179"/>
    </row>
    <row r="62" spans="1:26">
      <c r="A62" s="300">
        <f t="shared" si="13"/>
        <v>61</v>
      </c>
      <c r="B62" s="302" t="s">
        <v>934</v>
      </c>
      <c r="C62" s="301" t="s">
        <v>262</v>
      </c>
      <c r="D62" s="302"/>
      <c r="E62" s="301" t="s">
        <v>264</v>
      </c>
      <c r="F62" s="301" t="s">
        <v>265</v>
      </c>
      <c r="G62" s="302">
        <v>345.5</v>
      </c>
      <c r="H62" s="302">
        <v>386.9</v>
      </c>
      <c r="I62" s="302">
        <f t="shared" si="0"/>
        <v>112.35</v>
      </c>
      <c r="J62" s="302">
        <v>60</v>
      </c>
      <c r="K62" s="302">
        <f t="shared" si="1"/>
        <v>22.47</v>
      </c>
      <c r="L62" s="302">
        <f t="shared" si="2"/>
        <v>14.98</v>
      </c>
      <c r="M62" s="302">
        <f t="shared" si="3"/>
        <v>30</v>
      </c>
      <c r="N62" s="302">
        <f t="shared" si="4"/>
        <v>157.32999999999998</v>
      </c>
      <c r="O62" s="303">
        <f t="shared" si="5"/>
        <v>0.21005340453938581</v>
      </c>
      <c r="P62" s="302">
        <f t="shared" si="6"/>
        <v>37.450000000000003</v>
      </c>
      <c r="Q62" s="302">
        <f t="shared" si="7"/>
        <v>14.98</v>
      </c>
      <c r="R62" s="302">
        <f t="shared" si="8"/>
        <v>637.73000000000013</v>
      </c>
      <c r="S62" s="302">
        <f t="shared" si="23"/>
        <v>114.25423728813553</v>
      </c>
      <c r="T62" s="302">
        <f t="shared" si="10"/>
        <v>-2.9842372881356596</v>
      </c>
      <c r="U62" s="303">
        <f t="shared" si="11"/>
        <v>-3.984295444773911E-3</v>
      </c>
      <c r="V62" s="302">
        <v>749</v>
      </c>
      <c r="W62" s="302">
        <f>VLOOKUP(C62,Sheet6!O:P,2,0)</f>
        <v>699</v>
      </c>
      <c r="X62" s="244"/>
      <c r="Y62" s="179"/>
      <c r="Z62" s="179"/>
    </row>
    <row r="63" spans="1:26">
      <c r="A63" s="300">
        <f t="shared" si="13"/>
        <v>62</v>
      </c>
      <c r="B63" s="302" t="s">
        <v>934</v>
      </c>
      <c r="C63" s="301" t="s">
        <v>267</v>
      </c>
      <c r="D63" s="302"/>
      <c r="E63" s="301" t="s">
        <v>269</v>
      </c>
      <c r="F63" s="301" t="s">
        <v>270</v>
      </c>
      <c r="G63" s="302">
        <v>345.5</v>
      </c>
      <c r="H63" s="302">
        <v>386.9</v>
      </c>
      <c r="I63" s="302">
        <f t="shared" si="0"/>
        <v>112.35</v>
      </c>
      <c r="J63" s="302">
        <v>60</v>
      </c>
      <c r="K63" s="302">
        <f t="shared" si="1"/>
        <v>22.47</v>
      </c>
      <c r="L63" s="302">
        <f t="shared" si="2"/>
        <v>14.98</v>
      </c>
      <c r="M63" s="302">
        <f t="shared" si="3"/>
        <v>30</v>
      </c>
      <c r="N63" s="302">
        <f t="shared" si="4"/>
        <v>157.32999999999998</v>
      </c>
      <c r="O63" s="303">
        <f t="shared" si="5"/>
        <v>0.21005340453938581</v>
      </c>
      <c r="P63" s="302">
        <f t="shared" si="6"/>
        <v>37.450000000000003</v>
      </c>
      <c r="Q63" s="302">
        <f t="shared" si="7"/>
        <v>14.98</v>
      </c>
      <c r="R63" s="302">
        <f t="shared" si="8"/>
        <v>637.73000000000013</v>
      </c>
      <c r="S63" s="302">
        <f t="shared" si="23"/>
        <v>114.25423728813553</v>
      </c>
      <c r="T63" s="302">
        <f t="shared" si="10"/>
        <v>-2.9842372881356596</v>
      </c>
      <c r="U63" s="303">
        <f t="shared" si="11"/>
        <v>-3.984295444773911E-3</v>
      </c>
      <c r="V63" s="302">
        <v>749</v>
      </c>
      <c r="W63" s="302">
        <f>VLOOKUP(C63,Sheet6!O:P,2,0)</f>
        <v>699</v>
      </c>
      <c r="X63" s="244"/>
      <c r="Y63" s="179"/>
      <c r="Z63" s="179"/>
    </row>
    <row r="64" spans="1:26">
      <c r="A64" s="300">
        <f t="shared" si="13"/>
        <v>63</v>
      </c>
      <c r="B64" s="304" t="s">
        <v>934</v>
      </c>
      <c r="C64" s="307" t="s">
        <v>324</v>
      </c>
      <c r="D64" s="304"/>
      <c r="E64" s="307" t="s">
        <v>326</v>
      </c>
      <c r="F64" s="307" t="s">
        <v>327</v>
      </c>
      <c r="G64" s="304">
        <v>1255.5999999999999</v>
      </c>
      <c r="H64" s="304">
        <v>1481.6</v>
      </c>
      <c r="I64" s="302">
        <f t="shared" si="0"/>
        <v>349.34999999999997</v>
      </c>
      <c r="J64" s="302">
        <v>60</v>
      </c>
      <c r="K64" s="302">
        <f t="shared" si="1"/>
        <v>69.86999999999999</v>
      </c>
      <c r="L64" s="302">
        <f t="shared" si="2"/>
        <v>46.58</v>
      </c>
      <c r="M64" s="302">
        <f t="shared" si="3"/>
        <v>50</v>
      </c>
      <c r="N64" s="302">
        <f t="shared" si="4"/>
        <v>445.92999999999995</v>
      </c>
      <c r="O64" s="303">
        <f t="shared" si="5"/>
        <v>0.19146844139115499</v>
      </c>
      <c r="P64" s="302">
        <f t="shared" si="6"/>
        <v>116.45</v>
      </c>
      <c r="Q64" s="302">
        <f t="shared" si="7"/>
        <v>46.58</v>
      </c>
      <c r="R64" s="302">
        <f t="shared" si="8"/>
        <v>1994.4299999999996</v>
      </c>
      <c r="S64" s="302">
        <f t="shared" si="23"/>
        <v>355.27118644067787</v>
      </c>
      <c r="T64" s="302">
        <f t="shared" si="10"/>
        <v>-20.701186440677475</v>
      </c>
      <c r="U64" s="303">
        <f t="shared" si="11"/>
        <v>-8.8884441565811392E-3</v>
      </c>
      <c r="V64" s="302">
        <v>2329</v>
      </c>
      <c r="W64" s="304">
        <f>VLOOKUP(C64,Sheet6!O:P,2,0)</f>
        <v>2199</v>
      </c>
      <c r="X64" s="179"/>
      <c r="Y64" s="179"/>
      <c r="Z64" s="179"/>
    </row>
    <row r="65" spans="1:26">
      <c r="A65" s="253">
        <f t="shared" si="13"/>
        <v>64</v>
      </c>
      <c r="B65" s="179"/>
      <c r="C65" s="308" t="s">
        <v>418</v>
      </c>
      <c r="D65" s="179"/>
      <c r="E65" s="306" t="s">
        <v>420</v>
      </c>
      <c r="F65" s="306" t="s">
        <v>422</v>
      </c>
      <c r="G65" s="179">
        <v>1127</v>
      </c>
      <c r="H65" s="179">
        <v>1329.8</v>
      </c>
      <c r="I65" s="244">
        <f t="shared" si="0"/>
        <v>381.44099999999997</v>
      </c>
      <c r="J65" s="244">
        <v>60</v>
      </c>
      <c r="K65" s="244">
        <f t="shared" si="1"/>
        <v>76.288200000000003</v>
      </c>
      <c r="L65" s="244">
        <f t="shared" si="2"/>
        <v>50.858800000000002</v>
      </c>
      <c r="M65" s="244">
        <f t="shared" si="3"/>
        <v>50</v>
      </c>
      <c r="N65" s="244">
        <f t="shared" si="4"/>
        <v>482.2998</v>
      </c>
      <c r="O65" s="245">
        <f t="shared" si="5"/>
        <v>0.18966228066725915</v>
      </c>
      <c r="P65" s="244">
        <f t="shared" si="6"/>
        <v>127.14700000000001</v>
      </c>
      <c r="Q65" s="244">
        <f t="shared" si="7"/>
        <v>50.858800000000002</v>
      </c>
      <c r="R65" s="244">
        <f t="shared" si="8"/>
        <v>1923.5937999999999</v>
      </c>
      <c r="S65" s="244">
        <f t="shared" si="23"/>
        <v>387.90610169491492</v>
      </c>
      <c r="T65" s="246">
        <f t="shared" si="10"/>
        <v>231.44009830508526</v>
      </c>
      <c r="U65" s="247">
        <f t="shared" si="11"/>
        <v>9.1012803410652723E-2</v>
      </c>
      <c r="V65" s="299">
        <f t="shared" ref="V65:V66" si="24">W65*(1+0.06)</f>
        <v>2542.94</v>
      </c>
      <c r="W65" s="179">
        <f>VLOOKUP(C65,Sheet6!O:P,2,0)</f>
        <v>2399</v>
      </c>
      <c r="X65" s="179"/>
      <c r="Y65" s="179"/>
      <c r="Z65" s="179"/>
    </row>
    <row r="66" spans="1:26">
      <c r="A66" s="253">
        <f t="shared" si="13"/>
        <v>65</v>
      </c>
      <c r="B66" s="179"/>
      <c r="C66" s="308" t="s">
        <v>424</v>
      </c>
      <c r="D66" s="179"/>
      <c r="E66" s="306" t="s">
        <v>426</v>
      </c>
      <c r="F66" s="306" t="s">
        <v>427</v>
      </c>
      <c r="G66" s="179">
        <v>941.1</v>
      </c>
      <c r="H66" s="179">
        <v>1110.5</v>
      </c>
      <c r="I66" s="244">
        <f t="shared" si="0"/>
        <v>460.94099999999997</v>
      </c>
      <c r="J66" s="244">
        <v>60</v>
      </c>
      <c r="K66" s="244">
        <f t="shared" si="1"/>
        <v>92.188199999999995</v>
      </c>
      <c r="L66" s="244">
        <f t="shared" si="2"/>
        <v>61.458800000000004</v>
      </c>
      <c r="M66" s="244">
        <f t="shared" si="3"/>
        <v>50</v>
      </c>
      <c r="N66" s="244">
        <f t="shared" si="4"/>
        <v>572.39980000000003</v>
      </c>
      <c r="O66" s="245">
        <f t="shared" si="5"/>
        <v>0.1862710628909123</v>
      </c>
      <c r="P66" s="244">
        <f t="shared" si="6"/>
        <v>153.64700000000002</v>
      </c>
      <c r="Q66" s="244">
        <f t="shared" si="7"/>
        <v>61.458800000000004</v>
      </c>
      <c r="R66" s="244">
        <f t="shared" si="8"/>
        <v>1880.7938000000001</v>
      </c>
      <c r="S66" s="244">
        <f t="shared" si="23"/>
        <v>468.75355932203365</v>
      </c>
      <c r="T66" s="246">
        <f t="shared" si="10"/>
        <v>723.39264067796626</v>
      </c>
      <c r="U66" s="247">
        <f t="shared" si="11"/>
        <v>0.23540734302588603</v>
      </c>
      <c r="V66" s="299">
        <f t="shared" si="24"/>
        <v>3072.94</v>
      </c>
      <c r="W66" s="179">
        <f>VLOOKUP(C66,Sheet6!O:P,2,0)</f>
        <v>2899</v>
      </c>
      <c r="X66" s="179"/>
      <c r="Y66" s="179"/>
      <c r="Z66" s="179"/>
    </row>
    <row r="67" spans="1:26">
      <c r="A67" s="253">
        <f t="shared" si="13"/>
        <v>66</v>
      </c>
      <c r="B67" s="179" t="s">
        <v>934</v>
      </c>
      <c r="C67" s="308" t="s">
        <v>454</v>
      </c>
      <c r="D67" s="179"/>
      <c r="E67" s="308" t="s">
        <v>456</v>
      </c>
      <c r="F67" s="306" t="s">
        <v>457</v>
      </c>
      <c r="G67" s="179">
        <v>762.2</v>
      </c>
      <c r="H67" s="179">
        <v>899.4</v>
      </c>
      <c r="I67" s="244">
        <f t="shared" si="0"/>
        <v>317.84999999999997</v>
      </c>
      <c r="J67" s="244">
        <v>60</v>
      </c>
      <c r="K67" s="244">
        <f t="shared" si="1"/>
        <v>63.57</v>
      </c>
      <c r="L67" s="244">
        <f t="shared" si="2"/>
        <v>42.38</v>
      </c>
      <c r="M67" s="244">
        <f t="shared" si="3"/>
        <v>50</v>
      </c>
      <c r="N67" s="244">
        <f t="shared" si="4"/>
        <v>410.22999999999996</v>
      </c>
      <c r="O67" s="245">
        <f t="shared" si="5"/>
        <v>0.19359603586597449</v>
      </c>
      <c r="P67" s="244">
        <f t="shared" si="6"/>
        <v>105.95</v>
      </c>
      <c r="Q67" s="244">
        <f t="shared" si="7"/>
        <v>42.38</v>
      </c>
      <c r="R67" s="244">
        <f t="shared" si="8"/>
        <v>1444.3300000000002</v>
      </c>
      <c r="S67" s="244">
        <f t="shared" si="23"/>
        <v>323.23728813559319</v>
      </c>
      <c r="T67" s="246">
        <f t="shared" si="10"/>
        <v>351.43271186440666</v>
      </c>
      <c r="U67" s="247">
        <f t="shared" si="11"/>
        <v>0.16584837747258455</v>
      </c>
      <c r="V67" s="299">
        <v>2119</v>
      </c>
      <c r="W67" s="179">
        <f>VLOOKUP(C67,Sheet6!O:P,2,0)</f>
        <v>1999</v>
      </c>
      <c r="X67" s="179"/>
      <c r="Y67" s="179"/>
      <c r="Z67" s="179"/>
    </row>
    <row r="68" spans="1:26">
      <c r="A68" s="253">
        <f t="shared" si="13"/>
        <v>67</v>
      </c>
      <c r="B68" s="179" t="s">
        <v>934</v>
      </c>
      <c r="C68" s="306" t="s">
        <v>485</v>
      </c>
      <c r="D68" s="179"/>
      <c r="E68" s="308" t="s">
        <v>486</v>
      </c>
      <c r="F68" s="308" t="s">
        <v>487</v>
      </c>
      <c r="G68" s="179">
        <v>312.5</v>
      </c>
      <c r="H68" s="179">
        <v>368.7</v>
      </c>
      <c r="I68" s="244">
        <f t="shared" si="0"/>
        <v>112.35</v>
      </c>
      <c r="J68" s="244">
        <v>60</v>
      </c>
      <c r="K68" s="244">
        <f t="shared" si="1"/>
        <v>22.47</v>
      </c>
      <c r="L68" s="244">
        <f t="shared" si="2"/>
        <v>14.98</v>
      </c>
      <c r="M68" s="244">
        <f t="shared" si="3"/>
        <v>30</v>
      </c>
      <c r="N68" s="244">
        <f t="shared" si="4"/>
        <v>157.32999999999998</v>
      </c>
      <c r="O68" s="245">
        <f t="shared" si="5"/>
        <v>0.21005340453938581</v>
      </c>
      <c r="P68" s="244">
        <f t="shared" si="6"/>
        <v>37.450000000000003</v>
      </c>
      <c r="Q68" s="244">
        <f t="shared" si="7"/>
        <v>14.98</v>
      </c>
      <c r="R68" s="244">
        <f t="shared" si="8"/>
        <v>604.73000000000013</v>
      </c>
      <c r="S68" s="244">
        <f t="shared" si="23"/>
        <v>114.25423728813553</v>
      </c>
      <c r="T68" s="246">
        <f t="shared" si="10"/>
        <v>30.01576271186434</v>
      </c>
      <c r="U68" s="247">
        <f t="shared" si="11"/>
        <v>4.0074449548550523E-2</v>
      </c>
      <c r="V68" s="299">
        <v>749</v>
      </c>
      <c r="W68" s="179">
        <f>VLOOKUP(C68,Sheet6!O:P,2,0)</f>
        <v>799</v>
      </c>
      <c r="X68" s="179"/>
      <c r="Y68" s="179"/>
      <c r="Z68" s="179"/>
    </row>
    <row r="69" spans="1:26">
      <c r="A69" s="253">
        <f t="shared" si="13"/>
        <v>68</v>
      </c>
      <c r="B69" s="179"/>
      <c r="C69" s="306" t="s">
        <v>488</v>
      </c>
      <c r="D69" s="179"/>
      <c r="E69" s="308" t="s">
        <v>489</v>
      </c>
      <c r="F69" s="308" t="s">
        <v>490</v>
      </c>
      <c r="G69" s="179">
        <v>322.3</v>
      </c>
      <c r="H69" s="179">
        <v>380.3</v>
      </c>
      <c r="I69" s="244">
        <f t="shared" si="0"/>
        <v>127.041</v>
      </c>
      <c r="J69" s="244">
        <v>60</v>
      </c>
      <c r="K69" s="244">
        <f t="shared" si="1"/>
        <v>25.408200000000001</v>
      </c>
      <c r="L69" s="244">
        <f t="shared" si="2"/>
        <v>16.938800000000001</v>
      </c>
      <c r="M69" s="244">
        <f t="shared" si="3"/>
        <v>30</v>
      </c>
      <c r="N69" s="244">
        <f t="shared" si="4"/>
        <v>173.97980000000001</v>
      </c>
      <c r="O69" s="245">
        <f t="shared" si="5"/>
        <v>0.20542163553498477</v>
      </c>
      <c r="P69" s="244">
        <f t="shared" si="6"/>
        <v>42.347000000000008</v>
      </c>
      <c r="Q69" s="244">
        <f t="shared" si="7"/>
        <v>16.938800000000001</v>
      </c>
      <c r="R69" s="244">
        <f t="shared" si="8"/>
        <v>640.97379999999998</v>
      </c>
      <c r="S69" s="244">
        <f t="shared" si="23"/>
        <v>129.19423728813558</v>
      </c>
      <c r="T69" s="246">
        <f t="shared" si="10"/>
        <v>76.771962711864489</v>
      </c>
      <c r="U69" s="247">
        <f t="shared" si="11"/>
        <v>9.0646282749503482E-2</v>
      </c>
      <c r="V69" s="299">
        <f t="shared" ref="V69:V74" si="25">W69*(1+0.06)</f>
        <v>846.94</v>
      </c>
      <c r="W69" s="179">
        <f>VLOOKUP(C69,Sheet6!O:P,2,0)</f>
        <v>799</v>
      </c>
      <c r="X69" s="179"/>
      <c r="Y69" s="179"/>
      <c r="Z69" s="179"/>
    </row>
    <row r="70" spans="1:26">
      <c r="A70" s="253">
        <f t="shared" si="13"/>
        <v>69</v>
      </c>
      <c r="B70" s="179"/>
      <c r="C70" s="308" t="s">
        <v>491</v>
      </c>
      <c r="D70" s="179"/>
      <c r="E70" s="308" t="s">
        <v>493</v>
      </c>
      <c r="F70" s="306" t="s">
        <v>494</v>
      </c>
      <c r="G70" s="179">
        <v>1905.5</v>
      </c>
      <c r="H70" s="179">
        <v>2248.5</v>
      </c>
      <c r="I70" s="244">
        <f t="shared" si="0"/>
        <v>588.14099999999996</v>
      </c>
      <c r="J70" s="244">
        <v>60</v>
      </c>
      <c r="K70" s="244">
        <f t="shared" si="1"/>
        <v>117.62819999999999</v>
      </c>
      <c r="L70" s="244">
        <f t="shared" si="2"/>
        <v>78.418800000000005</v>
      </c>
      <c r="M70" s="244">
        <f t="shared" si="3"/>
        <v>50</v>
      </c>
      <c r="N70" s="244">
        <f t="shared" si="4"/>
        <v>716.5598</v>
      </c>
      <c r="O70" s="245">
        <f t="shared" si="5"/>
        <v>0.18275204415267768</v>
      </c>
      <c r="P70" s="244">
        <f t="shared" si="6"/>
        <v>196.04700000000003</v>
      </c>
      <c r="Q70" s="244">
        <f t="shared" si="7"/>
        <v>78.418800000000005</v>
      </c>
      <c r="R70" s="244">
        <f t="shared" si="8"/>
        <v>3074.1538</v>
      </c>
      <c r="S70" s="244">
        <f t="shared" si="23"/>
        <v>598.10949152542344</v>
      </c>
      <c r="T70" s="246">
        <f t="shared" si="10"/>
        <v>248.67670847457657</v>
      </c>
      <c r="U70" s="247">
        <f t="shared" si="11"/>
        <v>6.342272732420709E-2</v>
      </c>
      <c r="V70" s="299">
        <f t="shared" si="25"/>
        <v>3920.94</v>
      </c>
      <c r="W70" s="179">
        <f>VLOOKUP(C70,Sheet6!O:P,2,0)</f>
        <v>3699</v>
      </c>
      <c r="X70" s="179"/>
      <c r="Y70" s="179"/>
      <c r="Z70" s="179"/>
    </row>
    <row r="71" spans="1:26">
      <c r="A71" s="253">
        <f t="shared" si="13"/>
        <v>70</v>
      </c>
      <c r="B71" s="179"/>
      <c r="C71" s="308" t="s">
        <v>500</v>
      </c>
      <c r="D71" s="179"/>
      <c r="E71" s="306" t="s">
        <v>459</v>
      </c>
      <c r="F71" s="306" t="s">
        <v>503</v>
      </c>
      <c r="G71" s="179">
        <v>375.7</v>
      </c>
      <c r="H71" s="179">
        <v>443.3</v>
      </c>
      <c r="I71" s="244">
        <f t="shared" si="0"/>
        <v>111.14100000000001</v>
      </c>
      <c r="J71" s="244">
        <v>60</v>
      </c>
      <c r="K71" s="244">
        <f t="shared" si="1"/>
        <v>22.228200000000001</v>
      </c>
      <c r="L71" s="244">
        <f t="shared" si="2"/>
        <v>14.818800000000001</v>
      </c>
      <c r="M71" s="244">
        <f t="shared" si="3"/>
        <v>30</v>
      </c>
      <c r="N71" s="244">
        <f t="shared" si="4"/>
        <v>155.9598</v>
      </c>
      <c r="O71" s="245">
        <f t="shared" si="5"/>
        <v>0.21048910842983237</v>
      </c>
      <c r="P71" s="244">
        <f t="shared" si="6"/>
        <v>37.047000000000004</v>
      </c>
      <c r="Q71" s="244">
        <f t="shared" si="7"/>
        <v>14.818800000000001</v>
      </c>
      <c r="R71" s="244">
        <f t="shared" si="8"/>
        <v>665.75380000000007</v>
      </c>
      <c r="S71" s="244">
        <f t="shared" si="23"/>
        <v>113.02474576271186</v>
      </c>
      <c r="T71" s="246">
        <f t="shared" si="10"/>
        <v>-37.838545762711874</v>
      </c>
      <c r="U71" s="247">
        <f t="shared" si="11"/>
        <v>-5.1068299407120508E-2</v>
      </c>
      <c r="V71" s="299">
        <f t="shared" si="25"/>
        <v>740.94</v>
      </c>
      <c r="W71" s="179">
        <f>VLOOKUP(C71,Sheet6!O:P,2,0)</f>
        <v>699</v>
      </c>
      <c r="X71" s="179"/>
      <c r="Y71" s="179"/>
      <c r="Z71" s="179"/>
    </row>
    <row r="72" spans="1:26">
      <c r="A72" s="253">
        <f t="shared" si="13"/>
        <v>71</v>
      </c>
      <c r="B72" s="179"/>
      <c r="C72" s="308" t="s">
        <v>504</v>
      </c>
      <c r="D72" s="179"/>
      <c r="E72" s="306" t="s">
        <v>506</v>
      </c>
      <c r="F72" s="306" t="s">
        <v>507</v>
      </c>
      <c r="G72" s="179">
        <v>740.4</v>
      </c>
      <c r="H72" s="179">
        <v>873.7</v>
      </c>
      <c r="I72" s="244">
        <f t="shared" si="0"/>
        <v>246.291</v>
      </c>
      <c r="J72" s="244">
        <v>60</v>
      </c>
      <c r="K72" s="244">
        <f t="shared" si="1"/>
        <v>49.258200000000002</v>
      </c>
      <c r="L72" s="244">
        <f t="shared" si="2"/>
        <v>32.838799999999999</v>
      </c>
      <c r="M72" s="244">
        <f t="shared" si="3"/>
        <v>50</v>
      </c>
      <c r="N72" s="244">
        <f t="shared" si="4"/>
        <v>329.12979999999999</v>
      </c>
      <c r="O72" s="245">
        <f t="shared" si="5"/>
        <v>0.20045178264735616</v>
      </c>
      <c r="P72" s="244">
        <f t="shared" si="6"/>
        <v>82.097000000000008</v>
      </c>
      <c r="Q72" s="244">
        <f t="shared" si="7"/>
        <v>32.838799999999999</v>
      </c>
      <c r="R72" s="244">
        <f t="shared" si="8"/>
        <v>1293.7238</v>
      </c>
      <c r="S72" s="244">
        <f t="shared" si="23"/>
        <v>250.46542372881345</v>
      </c>
      <c r="T72" s="246">
        <f t="shared" si="10"/>
        <v>97.750776271186623</v>
      </c>
      <c r="U72" s="247">
        <f t="shared" si="11"/>
        <v>5.9533707852410335E-2</v>
      </c>
      <c r="V72" s="299">
        <f t="shared" si="25"/>
        <v>1641.94</v>
      </c>
      <c r="W72" s="179">
        <f>VLOOKUP(C72,Sheet6!O:P,2,0)</f>
        <v>1549</v>
      </c>
      <c r="X72" s="179"/>
      <c r="Y72" s="179"/>
      <c r="Z72" s="179"/>
    </row>
    <row r="73" spans="1:26">
      <c r="A73" s="253">
        <f t="shared" si="13"/>
        <v>72</v>
      </c>
      <c r="B73" s="179"/>
      <c r="C73" s="306" t="s">
        <v>557</v>
      </c>
      <c r="D73" s="179"/>
      <c r="E73" s="306" t="s">
        <v>559</v>
      </c>
      <c r="F73" s="306" t="s">
        <v>561</v>
      </c>
      <c r="G73" s="179">
        <v>454.1</v>
      </c>
      <c r="H73" s="179">
        <v>535.79999999999995</v>
      </c>
      <c r="I73" s="244">
        <f t="shared" si="0"/>
        <v>198.59100000000001</v>
      </c>
      <c r="J73" s="244">
        <v>60</v>
      </c>
      <c r="K73" s="244">
        <f t="shared" si="1"/>
        <v>39.718200000000003</v>
      </c>
      <c r="L73" s="244">
        <f t="shared" si="2"/>
        <v>26.478800000000003</v>
      </c>
      <c r="M73" s="244">
        <f t="shared" si="3"/>
        <v>50</v>
      </c>
      <c r="N73" s="244">
        <f t="shared" si="4"/>
        <v>275.06979999999999</v>
      </c>
      <c r="O73" s="245">
        <f t="shared" si="5"/>
        <v>0.20776606190612865</v>
      </c>
      <c r="P73" s="244">
        <f t="shared" si="6"/>
        <v>66.197000000000003</v>
      </c>
      <c r="Q73" s="244">
        <f t="shared" si="7"/>
        <v>26.478800000000003</v>
      </c>
      <c r="R73" s="244">
        <f t="shared" si="8"/>
        <v>921.56380000000001</v>
      </c>
      <c r="S73" s="244">
        <f t="shared" si="23"/>
        <v>201.95694915254239</v>
      </c>
      <c r="T73" s="246">
        <f t="shared" si="10"/>
        <v>200.41925084745765</v>
      </c>
      <c r="U73" s="247">
        <f t="shared" si="11"/>
        <v>0.15138091669370035</v>
      </c>
      <c r="V73" s="299">
        <f t="shared" si="25"/>
        <v>1323.94</v>
      </c>
      <c r="W73" s="179">
        <f>VLOOKUP(C73,Sheet6!O:P,2,0)</f>
        <v>1249</v>
      </c>
      <c r="X73" s="179"/>
      <c r="Y73" s="179"/>
      <c r="Z73" s="179"/>
    </row>
    <row r="74" spans="1:26">
      <c r="A74" s="253">
        <f t="shared" si="13"/>
        <v>73</v>
      </c>
      <c r="B74" s="179"/>
      <c r="C74" s="306" t="s">
        <v>584</v>
      </c>
      <c r="D74" s="179"/>
      <c r="E74" s="306" t="s">
        <v>586</v>
      </c>
      <c r="F74" s="306" t="s">
        <v>588</v>
      </c>
      <c r="G74" s="179">
        <v>1035.3</v>
      </c>
      <c r="H74" s="179">
        <v>1221.5999999999999</v>
      </c>
      <c r="I74" s="244">
        <f t="shared" si="0"/>
        <v>524.54099999999994</v>
      </c>
      <c r="J74" s="244">
        <v>60</v>
      </c>
      <c r="K74" s="244">
        <f t="shared" si="1"/>
        <v>104.90819999999999</v>
      </c>
      <c r="L74" s="244">
        <f t="shared" si="2"/>
        <v>69.938800000000001</v>
      </c>
      <c r="M74" s="244">
        <f t="shared" si="3"/>
        <v>50</v>
      </c>
      <c r="N74" s="244">
        <f t="shared" si="4"/>
        <v>644.47979999999995</v>
      </c>
      <c r="O74" s="245">
        <f t="shared" si="5"/>
        <v>0.18429821501083804</v>
      </c>
      <c r="P74" s="244">
        <f t="shared" si="6"/>
        <v>174.84700000000001</v>
      </c>
      <c r="Q74" s="244">
        <f t="shared" si="7"/>
        <v>69.938800000000001</v>
      </c>
      <c r="R74" s="244">
        <f t="shared" si="8"/>
        <v>2089.4737999999998</v>
      </c>
      <c r="S74" s="244">
        <f t="shared" si="23"/>
        <v>533.43152542372854</v>
      </c>
      <c r="T74" s="246">
        <f t="shared" si="10"/>
        <v>874.03467457627175</v>
      </c>
      <c r="U74" s="247">
        <f t="shared" si="11"/>
        <v>0.24994271408038793</v>
      </c>
      <c r="V74" s="299">
        <f t="shared" si="25"/>
        <v>3496.94</v>
      </c>
      <c r="W74" s="179">
        <f>VLOOKUP(C74,Sheet6!O:P,2,0)</f>
        <v>3299</v>
      </c>
      <c r="X74" s="179"/>
      <c r="Y74" s="179"/>
      <c r="Z74" s="179"/>
    </row>
    <row r="75" spans="1:26">
      <c r="A75" s="253">
        <f t="shared" si="13"/>
        <v>74</v>
      </c>
      <c r="B75" s="179" t="s">
        <v>934</v>
      </c>
      <c r="C75" s="306" t="s">
        <v>599</v>
      </c>
      <c r="D75" s="179"/>
      <c r="E75" s="306" t="s">
        <v>601</v>
      </c>
      <c r="F75" s="306" t="s">
        <v>602</v>
      </c>
      <c r="G75" s="179">
        <v>861.9</v>
      </c>
      <c r="H75" s="179">
        <v>1017</v>
      </c>
      <c r="I75" s="244">
        <f t="shared" si="0"/>
        <v>317.84999999999997</v>
      </c>
      <c r="J75" s="244">
        <v>60</v>
      </c>
      <c r="K75" s="244">
        <f t="shared" si="1"/>
        <v>63.57</v>
      </c>
      <c r="L75" s="244">
        <f t="shared" si="2"/>
        <v>42.38</v>
      </c>
      <c r="M75" s="244">
        <f t="shared" si="3"/>
        <v>50</v>
      </c>
      <c r="N75" s="244">
        <f t="shared" si="4"/>
        <v>410.22999999999996</v>
      </c>
      <c r="O75" s="245">
        <f t="shared" si="5"/>
        <v>0.19359603586597449</v>
      </c>
      <c r="P75" s="244">
        <f t="shared" si="6"/>
        <v>105.95</v>
      </c>
      <c r="Q75" s="244">
        <f t="shared" si="7"/>
        <v>42.38</v>
      </c>
      <c r="R75" s="244">
        <f t="shared" si="8"/>
        <v>1544.0300000000002</v>
      </c>
      <c r="S75" s="244">
        <f t="shared" si="23"/>
        <v>323.23728813559319</v>
      </c>
      <c r="T75" s="246">
        <f t="shared" si="10"/>
        <v>251.73271186440661</v>
      </c>
      <c r="U75" s="247">
        <f t="shared" si="11"/>
        <v>0.11879788195583134</v>
      </c>
      <c r="V75" s="299">
        <v>2119</v>
      </c>
      <c r="W75" s="179">
        <f>VLOOKUP(C75,Sheet6!O:P,2,0)</f>
        <v>1799</v>
      </c>
      <c r="X75" s="179"/>
      <c r="Y75" s="179"/>
      <c r="Z75" s="179"/>
    </row>
    <row r="76" spans="1:26">
      <c r="A76" s="253">
        <f t="shared" si="13"/>
        <v>75</v>
      </c>
      <c r="B76" s="179"/>
      <c r="C76" s="306" t="s">
        <v>603</v>
      </c>
      <c r="D76" s="179"/>
      <c r="E76" s="306" t="s">
        <v>605</v>
      </c>
      <c r="F76" s="306" t="s">
        <v>607</v>
      </c>
      <c r="G76" s="179">
        <v>1263.0999999999999</v>
      </c>
      <c r="H76" s="179">
        <v>1490.4</v>
      </c>
      <c r="I76" s="244">
        <f t="shared" si="0"/>
        <v>397.34100000000001</v>
      </c>
      <c r="J76" s="244">
        <v>60</v>
      </c>
      <c r="K76" s="244">
        <f t="shared" si="1"/>
        <v>79.468199999999996</v>
      </c>
      <c r="L76" s="244">
        <f t="shared" si="2"/>
        <v>52.9788</v>
      </c>
      <c r="M76" s="244">
        <f t="shared" si="3"/>
        <v>50</v>
      </c>
      <c r="N76" s="244">
        <f t="shared" si="4"/>
        <v>500.31979999999999</v>
      </c>
      <c r="O76" s="245">
        <f t="shared" si="5"/>
        <v>0.18887547471818916</v>
      </c>
      <c r="P76" s="244">
        <f t="shared" si="6"/>
        <v>132.447</v>
      </c>
      <c r="Q76" s="244">
        <f t="shared" si="7"/>
        <v>52.9788</v>
      </c>
      <c r="R76" s="244">
        <f t="shared" si="8"/>
        <v>2088.3137999999999</v>
      </c>
      <c r="S76" s="244">
        <f t="shared" si="23"/>
        <v>404.07559322033876</v>
      </c>
      <c r="T76" s="246">
        <f t="shared" si="10"/>
        <v>156.55060677966139</v>
      </c>
      <c r="U76" s="247">
        <f t="shared" si="11"/>
        <v>5.9099340407733431E-2</v>
      </c>
      <c r="V76" s="299">
        <f>W76*(1+0.06)</f>
        <v>2648.94</v>
      </c>
      <c r="W76" s="179">
        <f>VLOOKUP(C76,Sheet6!O:P,2,0)</f>
        <v>2499</v>
      </c>
      <c r="X76" s="179"/>
      <c r="Y76" s="179"/>
      <c r="Z76" s="179"/>
    </row>
    <row r="77" spans="1:26">
      <c r="A77" s="253">
        <f t="shared" si="13"/>
        <v>76</v>
      </c>
      <c r="B77" s="179" t="s">
        <v>934</v>
      </c>
      <c r="C77" s="306" t="s">
        <v>608</v>
      </c>
      <c r="D77" s="179"/>
      <c r="E77" s="306" t="s">
        <v>610</v>
      </c>
      <c r="F77" s="306" t="s">
        <v>612</v>
      </c>
      <c r="G77" s="179">
        <v>1171.5999999999999</v>
      </c>
      <c r="H77" s="179">
        <v>1382.5</v>
      </c>
      <c r="I77" s="244">
        <f t="shared" si="0"/>
        <v>397.34999999999997</v>
      </c>
      <c r="J77" s="244">
        <v>60</v>
      </c>
      <c r="K77" s="244">
        <f t="shared" si="1"/>
        <v>79.47</v>
      </c>
      <c r="L77" s="244">
        <f t="shared" si="2"/>
        <v>52.980000000000004</v>
      </c>
      <c r="M77" s="244">
        <f t="shared" si="3"/>
        <v>50</v>
      </c>
      <c r="N77" s="244">
        <f t="shared" si="4"/>
        <v>500.33</v>
      </c>
      <c r="O77" s="245">
        <f t="shared" si="5"/>
        <v>0.18887504718761797</v>
      </c>
      <c r="P77" s="244">
        <f t="shared" si="6"/>
        <v>132.45000000000002</v>
      </c>
      <c r="Q77" s="244">
        <f t="shared" si="7"/>
        <v>52.980000000000004</v>
      </c>
      <c r="R77" s="244">
        <f t="shared" si="8"/>
        <v>1996.83</v>
      </c>
      <c r="S77" s="244">
        <f t="shared" si="23"/>
        <v>404.08474576271192</v>
      </c>
      <c r="T77" s="246">
        <f t="shared" si="10"/>
        <v>248.08525423728815</v>
      </c>
      <c r="U77" s="247">
        <f t="shared" si="11"/>
        <v>9.3652417605620292E-2</v>
      </c>
      <c r="V77" s="299">
        <v>2649</v>
      </c>
      <c r="W77" s="179">
        <f>VLOOKUP(C77,Sheet6!O:P,2,0)</f>
        <v>2499</v>
      </c>
      <c r="X77" s="179"/>
      <c r="Y77" s="179"/>
      <c r="Z77" s="179"/>
    </row>
    <row r="78" spans="1:26">
      <c r="A78" s="253">
        <f t="shared" si="13"/>
        <v>77</v>
      </c>
      <c r="B78" s="179"/>
      <c r="C78" s="306" t="s">
        <v>625</v>
      </c>
      <c r="D78" s="179"/>
      <c r="E78" s="306" t="s">
        <v>627</v>
      </c>
      <c r="F78" s="306" t="s">
        <v>631</v>
      </c>
      <c r="G78" s="179">
        <v>1033.8</v>
      </c>
      <c r="H78" s="179">
        <v>1219.8</v>
      </c>
      <c r="I78" s="244">
        <f t="shared" si="0"/>
        <v>365.541</v>
      </c>
      <c r="J78" s="244">
        <v>60</v>
      </c>
      <c r="K78" s="244">
        <f t="shared" si="1"/>
        <v>73.108199999999997</v>
      </c>
      <c r="L78" s="244">
        <f t="shared" si="2"/>
        <v>48.738800000000005</v>
      </c>
      <c r="M78" s="244">
        <f t="shared" si="3"/>
        <v>50</v>
      </c>
      <c r="N78" s="244">
        <f t="shared" si="4"/>
        <v>464.27980000000002</v>
      </c>
      <c r="O78" s="245">
        <f t="shared" si="5"/>
        <v>0.19051753428479978</v>
      </c>
      <c r="P78" s="244">
        <f t="shared" si="6"/>
        <v>121.84700000000001</v>
      </c>
      <c r="Q78" s="244">
        <f t="shared" si="7"/>
        <v>48.738800000000005</v>
      </c>
      <c r="R78" s="244">
        <f t="shared" si="8"/>
        <v>1801.7737999999999</v>
      </c>
      <c r="S78" s="244">
        <f t="shared" si="23"/>
        <v>371.73661016949154</v>
      </c>
      <c r="T78" s="246">
        <f t="shared" si="10"/>
        <v>263.42958983050858</v>
      </c>
      <c r="U78" s="247">
        <f t="shared" si="11"/>
        <v>0.10809851281956412</v>
      </c>
      <c r="V78" s="299">
        <f t="shared" ref="V78:V82" si="26">W78*(1+0.06)</f>
        <v>2436.94</v>
      </c>
      <c r="W78" s="179">
        <f>VLOOKUP(C78,Sheet6!O:P,2,0)</f>
        <v>2299</v>
      </c>
      <c r="X78" s="179"/>
      <c r="Y78" s="179"/>
      <c r="Z78" s="179"/>
    </row>
    <row r="79" spans="1:26">
      <c r="A79" s="253">
        <f t="shared" si="13"/>
        <v>78</v>
      </c>
      <c r="B79" s="179"/>
      <c r="C79" s="306" t="s">
        <v>947</v>
      </c>
      <c r="D79" s="179"/>
      <c r="E79" s="306" t="s">
        <v>639</v>
      </c>
      <c r="F79" s="306" t="s">
        <v>641</v>
      </c>
      <c r="G79" s="179">
        <v>2341</v>
      </c>
      <c r="H79" s="179">
        <v>2762.4</v>
      </c>
      <c r="I79" s="244">
        <f t="shared" si="0"/>
        <v>556.34100000000001</v>
      </c>
      <c r="J79" s="244">
        <v>60</v>
      </c>
      <c r="K79" s="244">
        <f t="shared" si="1"/>
        <v>111.26819999999999</v>
      </c>
      <c r="L79" s="244">
        <f t="shared" si="2"/>
        <v>74.17880000000001</v>
      </c>
      <c r="M79" s="244">
        <f t="shared" si="3"/>
        <v>50</v>
      </c>
      <c r="N79" s="244">
        <f t="shared" si="4"/>
        <v>680.51980000000003</v>
      </c>
      <c r="O79" s="245">
        <f t="shared" si="5"/>
        <v>0.18348094064611453</v>
      </c>
      <c r="P79" s="244">
        <f t="shared" si="6"/>
        <v>185.447</v>
      </c>
      <c r="Q79" s="244">
        <f t="shared" si="7"/>
        <v>74.17880000000001</v>
      </c>
      <c r="R79" s="244">
        <f t="shared" si="8"/>
        <v>3452.4138000000003</v>
      </c>
      <c r="S79" s="244">
        <f t="shared" si="23"/>
        <v>565.77050847457622</v>
      </c>
      <c r="T79" s="246">
        <f t="shared" si="10"/>
        <v>-309.24430847457643</v>
      </c>
      <c r="U79" s="247">
        <f t="shared" si="11"/>
        <v>-8.3378083353889909E-2</v>
      </c>
      <c r="V79" s="299">
        <f t="shared" si="26"/>
        <v>3708.94</v>
      </c>
      <c r="W79" s="179">
        <f>VLOOKUP(C79,Sheet6!O:P,2,0)</f>
        <v>3499</v>
      </c>
      <c r="X79" s="179"/>
      <c r="Y79" s="179"/>
      <c r="Z79" s="179"/>
    </row>
    <row r="80" spans="1:26">
      <c r="A80" s="253">
        <f t="shared" si="13"/>
        <v>79</v>
      </c>
      <c r="B80" s="179"/>
      <c r="C80" s="306" t="s">
        <v>646</v>
      </c>
      <c r="D80" s="179"/>
      <c r="E80" s="306" t="s">
        <v>648</v>
      </c>
      <c r="F80" s="306" t="s">
        <v>650</v>
      </c>
      <c r="G80" s="179">
        <v>676.3</v>
      </c>
      <c r="H80" s="179">
        <v>798</v>
      </c>
      <c r="I80" s="244">
        <f t="shared" si="0"/>
        <v>238.34100000000001</v>
      </c>
      <c r="J80" s="244">
        <v>60</v>
      </c>
      <c r="K80" s="244">
        <f t="shared" si="1"/>
        <v>47.668199999999999</v>
      </c>
      <c r="L80" s="244">
        <f t="shared" si="2"/>
        <v>31.7788</v>
      </c>
      <c r="M80" s="244">
        <f t="shared" si="3"/>
        <v>50</v>
      </c>
      <c r="N80" s="244">
        <f t="shared" si="4"/>
        <v>320.1198</v>
      </c>
      <c r="O80" s="245">
        <f t="shared" si="5"/>
        <v>0.20146751922665423</v>
      </c>
      <c r="P80" s="244">
        <f t="shared" si="6"/>
        <v>79.447000000000003</v>
      </c>
      <c r="Q80" s="244">
        <f t="shared" si="7"/>
        <v>31.7788</v>
      </c>
      <c r="R80" s="244">
        <f t="shared" si="8"/>
        <v>1215.3137999999999</v>
      </c>
      <c r="S80" s="244">
        <f t="shared" si="23"/>
        <v>242.38067796610153</v>
      </c>
      <c r="T80" s="246">
        <f t="shared" si="10"/>
        <v>131.24552203389862</v>
      </c>
      <c r="U80" s="247">
        <f t="shared" si="11"/>
        <v>8.2599419760279569E-2</v>
      </c>
      <c r="V80" s="299">
        <f t="shared" si="26"/>
        <v>1588.94</v>
      </c>
      <c r="W80" s="179">
        <f>VLOOKUP(C80,Sheet6!O:P,2,0)</f>
        <v>1499</v>
      </c>
      <c r="X80" s="179"/>
      <c r="Y80" s="179"/>
      <c r="Z80" s="179"/>
    </row>
    <row r="81" spans="1:26">
      <c r="A81" s="253">
        <f t="shared" si="13"/>
        <v>80</v>
      </c>
      <c r="B81" s="179"/>
      <c r="C81" s="306" t="s">
        <v>651</v>
      </c>
      <c r="D81" s="179"/>
      <c r="E81" s="306" t="s">
        <v>653</v>
      </c>
      <c r="F81" s="306" t="s">
        <v>654</v>
      </c>
      <c r="G81" s="179">
        <v>845.4</v>
      </c>
      <c r="H81" s="179">
        <v>997.5</v>
      </c>
      <c r="I81" s="244">
        <f t="shared" si="0"/>
        <v>309.89100000000002</v>
      </c>
      <c r="J81" s="244">
        <v>60</v>
      </c>
      <c r="K81" s="244">
        <f t="shared" si="1"/>
        <v>61.978200000000001</v>
      </c>
      <c r="L81" s="244">
        <f t="shared" si="2"/>
        <v>41.318800000000003</v>
      </c>
      <c r="M81" s="244">
        <f t="shared" si="3"/>
        <v>50</v>
      </c>
      <c r="N81" s="244">
        <f t="shared" si="4"/>
        <v>401.20980000000003</v>
      </c>
      <c r="O81" s="245">
        <f t="shared" si="5"/>
        <v>0.19420205814302449</v>
      </c>
      <c r="P81" s="244">
        <f t="shared" si="6"/>
        <v>103.29700000000001</v>
      </c>
      <c r="Q81" s="244">
        <f t="shared" si="7"/>
        <v>41.318800000000003</v>
      </c>
      <c r="R81" s="244">
        <f t="shared" si="8"/>
        <v>1513.2038</v>
      </c>
      <c r="S81" s="244">
        <f t="shared" si="23"/>
        <v>315.14338983050834</v>
      </c>
      <c r="T81" s="246">
        <f t="shared" si="10"/>
        <v>237.59281016949171</v>
      </c>
      <c r="U81" s="247">
        <f t="shared" si="11"/>
        <v>0.11500470012173233</v>
      </c>
      <c r="V81" s="299">
        <f t="shared" si="26"/>
        <v>2065.94</v>
      </c>
      <c r="W81" s="179">
        <f>VLOOKUP(C81,Sheet6!O:P,2,0)</f>
        <v>1949</v>
      </c>
      <c r="X81" s="179"/>
      <c r="Y81" s="179"/>
      <c r="Z81" s="179"/>
    </row>
    <row r="82" spans="1:26">
      <c r="A82" s="253">
        <f t="shared" si="13"/>
        <v>81</v>
      </c>
      <c r="B82" s="179"/>
      <c r="C82" s="306" t="s">
        <v>655</v>
      </c>
      <c r="D82" s="179"/>
      <c r="E82" s="306" t="s">
        <v>657</v>
      </c>
      <c r="F82" s="306" t="s">
        <v>658</v>
      </c>
      <c r="G82" s="179">
        <v>1159.4000000000001</v>
      </c>
      <c r="H82" s="179">
        <v>1368</v>
      </c>
      <c r="I82" s="244">
        <f t="shared" si="0"/>
        <v>365.541</v>
      </c>
      <c r="J82" s="244">
        <v>60</v>
      </c>
      <c r="K82" s="244">
        <f t="shared" si="1"/>
        <v>73.108199999999997</v>
      </c>
      <c r="L82" s="244">
        <f t="shared" si="2"/>
        <v>48.738800000000005</v>
      </c>
      <c r="M82" s="244">
        <f t="shared" si="3"/>
        <v>50</v>
      </c>
      <c r="N82" s="244">
        <f t="shared" si="4"/>
        <v>464.27980000000002</v>
      </c>
      <c r="O82" s="245">
        <f t="shared" si="5"/>
        <v>0.19051753428479978</v>
      </c>
      <c r="P82" s="244">
        <f t="shared" si="6"/>
        <v>121.84700000000001</v>
      </c>
      <c r="Q82" s="244">
        <f t="shared" si="7"/>
        <v>48.738800000000005</v>
      </c>
      <c r="R82" s="244">
        <f t="shared" si="8"/>
        <v>1927.3738000000001</v>
      </c>
      <c r="S82" s="244">
        <f t="shared" si="23"/>
        <v>371.73661016949154</v>
      </c>
      <c r="T82" s="246">
        <f t="shared" si="10"/>
        <v>137.82958983050844</v>
      </c>
      <c r="U82" s="247">
        <f t="shared" si="11"/>
        <v>5.6558466696146989E-2</v>
      </c>
      <c r="V82" s="299">
        <f t="shared" si="26"/>
        <v>2436.94</v>
      </c>
      <c r="W82" s="179">
        <f>VLOOKUP(C82,Sheet6!O:P,2,0)</f>
        <v>2299</v>
      </c>
      <c r="X82" s="179"/>
      <c r="Y82" s="179"/>
      <c r="Z82" s="179"/>
    </row>
    <row r="83" spans="1:26">
      <c r="A83" s="253">
        <f t="shared" si="13"/>
        <v>82</v>
      </c>
      <c r="B83" s="179" t="s">
        <v>934</v>
      </c>
      <c r="C83" s="306" t="s">
        <v>659</v>
      </c>
      <c r="D83" s="179"/>
      <c r="E83" s="306" t="s">
        <v>661</v>
      </c>
      <c r="F83" s="306" t="s">
        <v>662</v>
      </c>
      <c r="G83" s="179">
        <v>732.8</v>
      </c>
      <c r="H83" s="179">
        <v>864.7</v>
      </c>
      <c r="I83" s="244">
        <f t="shared" si="0"/>
        <v>317.84999999999997</v>
      </c>
      <c r="J83" s="244">
        <v>60</v>
      </c>
      <c r="K83" s="244">
        <f t="shared" si="1"/>
        <v>63.57</v>
      </c>
      <c r="L83" s="244">
        <f t="shared" si="2"/>
        <v>42.38</v>
      </c>
      <c r="M83" s="244">
        <f t="shared" si="3"/>
        <v>50</v>
      </c>
      <c r="N83" s="244">
        <f t="shared" si="4"/>
        <v>410.22999999999996</v>
      </c>
      <c r="O83" s="245">
        <f t="shared" si="5"/>
        <v>0.19359603586597449</v>
      </c>
      <c r="P83" s="244">
        <f t="shared" si="6"/>
        <v>105.95</v>
      </c>
      <c r="Q83" s="244">
        <f t="shared" si="7"/>
        <v>42.38</v>
      </c>
      <c r="R83" s="244">
        <f t="shared" si="8"/>
        <v>1414.93</v>
      </c>
      <c r="S83" s="244">
        <f t="shared" si="23"/>
        <v>323.23728813559319</v>
      </c>
      <c r="T83" s="246">
        <f t="shared" si="10"/>
        <v>380.83271186440675</v>
      </c>
      <c r="U83" s="247">
        <f t="shared" si="11"/>
        <v>0.17972284656177762</v>
      </c>
      <c r="V83" s="299">
        <v>2119</v>
      </c>
      <c r="W83" s="179">
        <f>VLOOKUP(C83,Sheet6!O:P,2,0)</f>
        <v>1999</v>
      </c>
      <c r="X83" s="179"/>
      <c r="Y83" s="179"/>
      <c r="Z83" s="179"/>
    </row>
    <row r="84" spans="1:26">
      <c r="A84" s="253">
        <f t="shared" si="13"/>
        <v>83</v>
      </c>
      <c r="B84" s="179" t="s">
        <v>934</v>
      </c>
      <c r="C84" s="306" t="s">
        <v>668</v>
      </c>
      <c r="D84" s="179"/>
      <c r="E84" s="306" t="s">
        <v>670</v>
      </c>
      <c r="F84" s="306" t="s">
        <v>673</v>
      </c>
      <c r="G84" s="179">
        <v>566.20000000000005</v>
      </c>
      <c r="H84" s="179">
        <v>668.1</v>
      </c>
      <c r="I84" s="244">
        <f t="shared" si="0"/>
        <v>238.35</v>
      </c>
      <c r="J84" s="244">
        <v>60</v>
      </c>
      <c r="K84" s="244">
        <f t="shared" si="1"/>
        <v>47.67</v>
      </c>
      <c r="L84" s="244">
        <f t="shared" si="2"/>
        <v>31.78</v>
      </c>
      <c r="M84" s="244">
        <f t="shared" si="3"/>
        <v>50</v>
      </c>
      <c r="N84" s="244">
        <f t="shared" si="4"/>
        <v>320.13</v>
      </c>
      <c r="O84" s="245">
        <f t="shared" si="5"/>
        <v>0.20146633102580239</v>
      </c>
      <c r="P84" s="244">
        <f t="shared" si="6"/>
        <v>79.45</v>
      </c>
      <c r="Q84" s="244">
        <f t="shared" si="7"/>
        <v>31.78</v>
      </c>
      <c r="R84" s="244">
        <f t="shared" si="8"/>
        <v>1105.23</v>
      </c>
      <c r="S84" s="244">
        <f t="shared" si="23"/>
        <v>242.38983050847446</v>
      </c>
      <c r="T84" s="246">
        <f t="shared" si="10"/>
        <v>241.38016949152552</v>
      </c>
      <c r="U84" s="247">
        <f t="shared" si="11"/>
        <v>0.15190696632569259</v>
      </c>
      <c r="V84" s="299">
        <v>1589</v>
      </c>
      <c r="W84" s="179">
        <f>VLOOKUP(C84,Sheet6!O:P,2,0)</f>
        <v>1499</v>
      </c>
      <c r="X84" s="179"/>
      <c r="Y84" s="179"/>
      <c r="Z84" s="179"/>
    </row>
    <row r="85" spans="1:26">
      <c r="A85" s="253">
        <f t="shared" si="13"/>
        <v>84</v>
      </c>
      <c r="B85" s="179"/>
      <c r="C85" s="306" t="s">
        <v>683</v>
      </c>
      <c r="D85" s="179"/>
      <c r="E85" s="306" t="s">
        <v>685</v>
      </c>
      <c r="F85" s="306" t="s">
        <v>687</v>
      </c>
      <c r="G85" s="179">
        <v>789.4</v>
      </c>
      <c r="H85" s="179">
        <v>931.5</v>
      </c>
      <c r="I85" s="244">
        <f t="shared" si="0"/>
        <v>270.14100000000002</v>
      </c>
      <c r="J85" s="244">
        <v>60</v>
      </c>
      <c r="K85" s="244">
        <f t="shared" si="1"/>
        <v>54.028199999999998</v>
      </c>
      <c r="L85" s="244">
        <f t="shared" si="2"/>
        <v>36.018799999999999</v>
      </c>
      <c r="M85" s="244">
        <f t="shared" si="3"/>
        <v>50</v>
      </c>
      <c r="N85" s="244">
        <f t="shared" si="4"/>
        <v>356.15980000000002</v>
      </c>
      <c r="O85" s="245">
        <f t="shared" si="5"/>
        <v>0.19776327917643008</v>
      </c>
      <c r="P85" s="244">
        <f t="shared" si="6"/>
        <v>90.047000000000011</v>
      </c>
      <c r="Q85" s="244">
        <f t="shared" si="7"/>
        <v>36.018799999999999</v>
      </c>
      <c r="R85" s="244">
        <f t="shared" si="8"/>
        <v>1385.6538</v>
      </c>
      <c r="S85" s="244">
        <f t="shared" si="23"/>
        <v>274.71966101694898</v>
      </c>
      <c r="T85" s="246">
        <f t="shared" si="10"/>
        <v>140.56653898305103</v>
      </c>
      <c r="U85" s="247">
        <f t="shared" si="11"/>
        <v>7.8051761293019772E-2</v>
      </c>
      <c r="V85" s="299">
        <f t="shared" ref="V85:V87" si="27">W85*(1+0.06)</f>
        <v>1800.94</v>
      </c>
      <c r="W85" s="179">
        <f>VLOOKUP(C85,Sheet6!O:P,2,0)</f>
        <v>1699</v>
      </c>
      <c r="X85" s="179"/>
      <c r="Y85" s="179"/>
      <c r="Z85" s="179"/>
    </row>
    <row r="86" spans="1:26">
      <c r="A86" s="253">
        <f t="shared" si="13"/>
        <v>85</v>
      </c>
      <c r="B86" s="179"/>
      <c r="C86" s="306" t="s">
        <v>688</v>
      </c>
      <c r="D86" s="179"/>
      <c r="E86" s="306" t="s">
        <v>690</v>
      </c>
      <c r="F86" s="306" t="s">
        <v>691</v>
      </c>
      <c r="G86" s="179">
        <v>789.4</v>
      </c>
      <c r="H86" s="179">
        <v>931.5</v>
      </c>
      <c r="I86" s="244">
        <f t="shared" si="0"/>
        <v>238.34100000000001</v>
      </c>
      <c r="J86" s="244">
        <v>60</v>
      </c>
      <c r="K86" s="244">
        <f t="shared" si="1"/>
        <v>47.668199999999999</v>
      </c>
      <c r="L86" s="244">
        <f t="shared" si="2"/>
        <v>31.7788</v>
      </c>
      <c r="M86" s="244">
        <f t="shared" si="3"/>
        <v>50</v>
      </c>
      <c r="N86" s="244">
        <f t="shared" si="4"/>
        <v>320.1198</v>
      </c>
      <c r="O86" s="245">
        <f t="shared" si="5"/>
        <v>0.20146751922665423</v>
      </c>
      <c r="P86" s="244">
        <f t="shared" si="6"/>
        <v>79.447000000000003</v>
      </c>
      <c r="Q86" s="244">
        <f t="shared" si="7"/>
        <v>31.7788</v>
      </c>
      <c r="R86" s="244">
        <f t="shared" si="8"/>
        <v>1328.4138000000003</v>
      </c>
      <c r="S86" s="244">
        <f t="shared" si="23"/>
        <v>242.38067796610153</v>
      </c>
      <c r="T86" s="246">
        <f t="shared" si="10"/>
        <v>18.14552203389826</v>
      </c>
      <c r="U86" s="247">
        <f t="shared" si="11"/>
        <v>1.1419891269587435E-2</v>
      </c>
      <c r="V86" s="299">
        <f t="shared" si="27"/>
        <v>1588.94</v>
      </c>
      <c r="W86" s="179">
        <f>VLOOKUP(C86,Sheet6!O:P,2,0)</f>
        <v>1499</v>
      </c>
      <c r="X86" s="179"/>
      <c r="Y86" s="179"/>
      <c r="Z86" s="179"/>
    </row>
    <row r="87" spans="1:26">
      <c r="A87" s="253">
        <f t="shared" si="13"/>
        <v>86</v>
      </c>
      <c r="B87" s="179"/>
      <c r="C87" s="306" t="s">
        <v>704</v>
      </c>
      <c r="D87" s="179"/>
      <c r="E87" s="306" t="s">
        <v>706</v>
      </c>
      <c r="F87" s="306" t="s">
        <v>708</v>
      </c>
      <c r="G87" s="179">
        <v>2177.6999999999998</v>
      </c>
      <c r="H87" s="179">
        <v>2569.6999999999998</v>
      </c>
      <c r="I87" s="244">
        <f t="shared" si="0"/>
        <v>953.84100000000001</v>
      </c>
      <c r="J87" s="244">
        <v>60</v>
      </c>
      <c r="K87" s="244">
        <f t="shared" si="1"/>
        <v>190.76820000000001</v>
      </c>
      <c r="L87" s="244">
        <f t="shared" si="2"/>
        <v>127.17880000000001</v>
      </c>
      <c r="M87" s="244">
        <f t="shared" si="3"/>
        <v>70</v>
      </c>
      <c r="N87" s="244">
        <f t="shared" si="4"/>
        <v>1151.0198</v>
      </c>
      <c r="O87" s="245">
        <f t="shared" si="5"/>
        <v>0.18100812399550867</v>
      </c>
      <c r="P87" s="244">
        <f t="shared" si="6"/>
        <v>317.94700000000006</v>
      </c>
      <c r="Q87" s="244">
        <f t="shared" si="7"/>
        <v>127.17880000000001</v>
      </c>
      <c r="R87" s="244">
        <f t="shared" si="8"/>
        <v>4024.6138000000001</v>
      </c>
      <c r="S87" s="244">
        <f t="shared" si="23"/>
        <v>970.00779661016895</v>
      </c>
      <c r="T87" s="246">
        <f t="shared" si="10"/>
        <v>1364.3184033898315</v>
      </c>
      <c r="U87" s="247">
        <f t="shared" si="11"/>
        <v>0.21455123076956714</v>
      </c>
      <c r="V87" s="299">
        <f t="shared" si="27"/>
        <v>6358.9400000000005</v>
      </c>
      <c r="W87" s="179">
        <f>VLOOKUP(C87,Sheet6!O:P,2,0)</f>
        <v>5999</v>
      </c>
      <c r="X87" s="179"/>
      <c r="Y87" s="179"/>
      <c r="Z87" s="179"/>
    </row>
    <row r="88" spans="1:26">
      <c r="A88" s="253">
        <f t="shared" si="13"/>
        <v>87</v>
      </c>
      <c r="B88" s="179" t="s">
        <v>934</v>
      </c>
      <c r="C88" s="306" t="s">
        <v>712</v>
      </c>
      <c r="D88" s="179"/>
      <c r="E88" s="306" t="s">
        <v>714</v>
      </c>
      <c r="F88" s="306" t="s">
        <v>716</v>
      </c>
      <c r="G88" s="179">
        <v>961.5</v>
      </c>
      <c r="H88" s="179">
        <v>1134.5</v>
      </c>
      <c r="I88" s="244">
        <f t="shared" si="0"/>
        <v>365.84999999999997</v>
      </c>
      <c r="J88" s="244">
        <v>60</v>
      </c>
      <c r="K88" s="244">
        <f t="shared" si="1"/>
        <v>73.17</v>
      </c>
      <c r="L88" s="244">
        <f t="shared" si="2"/>
        <v>48.78</v>
      </c>
      <c r="M88" s="244">
        <f t="shared" si="3"/>
        <v>50</v>
      </c>
      <c r="N88" s="244">
        <f t="shared" si="4"/>
        <v>464.63</v>
      </c>
      <c r="O88" s="245">
        <f t="shared" si="5"/>
        <v>0.19050020500205</v>
      </c>
      <c r="P88" s="244">
        <f t="shared" si="6"/>
        <v>121.95</v>
      </c>
      <c r="Q88" s="244">
        <f t="shared" si="7"/>
        <v>48.78</v>
      </c>
      <c r="R88" s="244">
        <f t="shared" si="8"/>
        <v>1730.03</v>
      </c>
      <c r="S88" s="244">
        <f t="shared" si="23"/>
        <v>372.05084745762679</v>
      </c>
      <c r="T88" s="246">
        <f t="shared" si="10"/>
        <v>336.91915254237324</v>
      </c>
      <c r="U88" s="247">
        <f t="shared" si="11"/>
        <v>0.13813823392471228</v>
      </c>
      <c r="V88" s="299">
        <v>2439</v>
      </c>
      <c r="W88" s="179">
        <f>VLOOKUP(C88,Sheet6!O:P,2,0)</f>
        <v>2299</v>
      </c>
      <c r="X88" s="179"/>
      <c r="Y88" s="179"/>
      <c r="Z88" s="179"/>
    </row>
    <row r="89" spans="1:26">
      <c r="A89" s="253">
        <f t="shared" si="13"/>
        <v>88</v>
      </c>
      <c r="B89" s="179" t="s">
        <v>934</v>
      </c>
      <c r="C89" s="306" t="s">
        <v>717</v>
      </c>
      <c r="D89" s="179"/>
      <c r="E89" s="306" t="s">
        <v>719</v>
      </c>
      <c r="F89" s="306" t="s">
        <v>716</v>
      </c>
      <c r="G89" s="179">
        <v>1018.1</v>
      </c>
      <c r="H89" s="179">
        <v>1201.3</v>
      </c>
      <c r="I89" s="244">
        <f t="shared" si="0"/>
        <v>317.84999999999997</v>
      </c>
      <c r="J89" s="244">
        <v>60</v>
      </c>
      <c r="K89" s="244">
        <f t="shared" si="1"/>
        <v>63.57</v>
      </c>
      <c r="L89" s="244">
        <f t="shared" si="2"/>
        <v>42.38</v>
      </c>
      <c r="M89" s="244">
        <f t="shared" si="3"/>
        <v>50</v>
      </c>
      <c r="N89" s="244">
        <f t="shared" si="4"/>
        <v>410.22999999999996</v>
      </c>
      <c r="O89" s="245">
        <f t="shared" si="5"/>
        <v>0.19359603586597449</v>
      </c>
      <c r="P89" s="244">
        <f t="shared" si="6"/>
        <v>105.95</v>
      </c>
      <c r="Q89" s="244">
        <f t="shared" si="7"/>
        <v>42.38</v>
      </c>
      <c r="R89" s="244">
        <f t="shared" si="8"/>
        <v>1700.2300000000002</v>
      </c>
      <c r="S89" s="244">
        <f t="shared" si="23"/>
        <v>323.23728813559319</v>
      </c>
      <c r="T89" s="246">
        <f t="shared" si="10"/>
        <v>95.532711864406565</v>
      </c>
      <c r="U89" s="247">
        <f t="shared" si="11"/>
        <v>4.5083865910526932E-2</v>
      </c>
      <c r="V89" s="299">
        <v>2119</v>
      </c>
      <c r="W89" s="179">
        <f>VLOOKUP(C89,Sheet6!O:P,2,0)</f>
        <v>2199</v>
      </c>
      <c r="X89" s="179"/>
      <c r="Y89" s="179"/>
      <c r="Z89" s="179"/>
    </row>
    <row r="90" spans="1:26">
      <c r="A90" s="253">
        <f t="shared" si="13"/>
        <v>89</v>
      </c>
      <c r="B90" s="179"/>
      <c r="C90" s="306" t="s">
        <v>740</v>
      </c>
      <c r="D90" s="179"/>
      <c r="E90" s="306" t="s">
        <v>742</v>
      </c>
      <c r="F90" s="306" t="s">
        <v>743</v>
      </c>
      <c r="G90" s="179">
        <v>980.8</v>
      </c>
      <c r="H90" s="179">
        <v>1157.3</v>
      </c>
      <c r="I90" s="244">
        <f t="shared" si="0"/>
        <v>317.84100000000001</v>
      </c>
      <c r="J90" s="244">
        <v>60</v>
      </c>
      <c r="K90" s="244">
        <f t="shared" si="1"/>
        <v>63.568199999999997</v>
      </c>
      <c r="L90" s="244">
        <f t="shared" si="2"/>
        <v>42.378800000000005</v>
      </c>
      <c r="M90" s="244">
        <f t="shared" si="3"/>
        <v>50</v>
      </c>
      <c r="N90" s="244">
        <f t="shared" si="4"/>
        <v>410.21980000000002</v>
      </c>
      <c r="O90" s="245">
        <f t="shared" si="5"/>
        <v>0.19359670401238355</v>
      </c>
      <c r="P90" s="244">
        <f t="shared" si="6"/>
        <v>105.947</v>
      </c>
      <c r="Q90" s="244">
        <f t="shared" si="7"/>
        <v>42.378800000000005</v>
      </c>
      <c r="R90" s="244">
        <f t="shared" si="8"/>
        <v>1662.9137999999998</v>
      </c>
      <c r="S90" s="244">
        <f t="shared" si="23"/>
        <v>323.22813559322026</v>
      </c>
      <c r="T90" s="246">
        <f t="shared" si="10"/>
        <v>132.79806440677999</v>
      </c>
      <c r="U90" s="247">
        <f t="shared" si="11"/>
        <v>6.2671932384484694E-2</v>
      </c>
      <c r="V90" s="299">
        <f>W90*(1+0.06)</f>
        <v>2118.94</v>
      </c>
      <c r="W90" s="179">
        <f>VLOOKUP(C90,Sheet6!O:P,2,0)</f>
        <v>1999</v>
      </c>
      <c r="X90" s="179"/>
      <c r="Y90" s="179"/>
      <c r="Z90" s="179"/>
    </row>
    <row r="91" spans="1:26">
      <c r="A91" s="253">
        <f t="shared" si="13"/>
        <v>90</v>
      </c>
      <c r="B91" s="179" t="s">
        <v>934</v>
      </c>
      <c r="C91" s="306" t="s">
        <v>779</v>
      </c>
      <c r="D91" s="179"/>
      <c r="E91" s="306" t="s">
        <v>781</v>
      </c>
      <c r="F91" s="306" t="s">
        <v>782</v>
      </c>
      <c r="G91" s="179">
        <v>733.1</v>
      </c>
      <c r="H91" s="179">
        <v>865.1</v>
      </c>
      <c r="I91" s="244">
        <f t="shared" si="0"/>
        <v>223.35</v>
      </c>
      <c r="J91" s="244">
        <v>60</v>
      </c>
      <c r="K91" s="244">
        <f t="shared" si="1"/>
        <v>44.67</v>
      </c>
      <c r="L91" s="244">
        <f t="shared" si="2"/>
        <v>29.78</v>
      </c>
      <c r="M91" s="244">
        <f t="shared" si="3"/>
        <v>50</v>
      </c>
      <c r="N91" s="244">
        <f t="shared" si="4"/>
        <v>303.13</v>
      </c>
      <c r="O91" s="245">
        <f t="shared" si="5"/>
        <v>0.2035795836131632</v>
      </c>
      <c r="P91" s="244">
        <f t="shared" si="6"/>
        <v>74.45</v>
      </c>
      <c r="Q91" s="244">
        <f t="shared" si="7"/>
        <v>29.78</v>
      </c>
      <c r="R91" s="244">
        <f t="shared" si="8"/>
        <v>1245.1300000000001</v>
      </c>
      <c r="S91" s="244">
        <f t="shared" si="23"/>
        <v>227.13559322033893</v>
      </c>
      <c r="T91" s="246">
        <f t="shared" si="10"/>
        <v>16.734406779660958</v>
      </c>
      <c r="U91" s="247">
        <f t="shared" si="11"/>
        <v>1.1238688233486204E-2</v>
      </c>
      <c r="V91" s="299">
        <v>1489</v>
      </c>
      <c r="W91" s="179">
        <f>VLOOKUP(C91,Sheet6!O:P,2,0)</f>
        <v>1599</v>
      </c>
      <c r="X91" s="179"/>
      <c r="Y91" s="179"/>
      <c r="Z91" s="179"/>
    </row>
    <row r="92" spans="1:26">
      <c r="A92" s="253">
        <f t="shared" si="13"/>
        <v>91</v>
      </c>
      <c r="B92" s="179"/>
      <c r="C92" s="308" t="s">
        <v>783</v>
      </c>
      <c r="D92" s="179"/>
      <c r="E92" s="306" t="s">
        <v>785</v>
      </c>
      <c r="F92" s="306" t="s">
        <v>787</v>
      </c>
      <c r="G92" s="179">
        <v>1176</v>
      </c>
      <c r="H92" s="179">
        <v>1387.6</v>
      </c>
      <c r="I92" s="244">
        <f t="shared" si="0"/>
        <v>476.84100000000001</v>
      </c>
      <c r="J92" s="244">
        <v>60</v>
      </c>
      <c r="K92" s="244">
        <f t="shared" si="1"/>
        <v>95.368200000000002</v>
      </c>
      <c r="L92" s="244">
        <f t="shared" si="2"/>
        <v>63.578800000000001</v>
      </c>
      <c r="M92" s="244">
        <f t="shared" si="3"/>
        <v>50</v>
      </c>
      <c r="N92" s="244">
        <f t="shared" si="4"/>
        <v>590.41980000000001</v>
      </c>
      <c r="O92" s="245">
        <f t="shared" si="5"/>
        <v>0.1857285132780109</v>
      </c>
      <c r="P92" s="244">
        <f t="shared" si="6"/>
        <v>158.947</v>
      </c>
      <c r="Q92" s="244">
        <f t="shared" si="7"/>
        <v>63.578800000000001</v>
      </c>
      <c r="R92" s="244">
        <f t="shared" si="8"/>
        <v>2144.3137999999999</v>
      </c>
      <c r="S92" s="244">
        <f t="shared" si="23"/>
        <v>484.92305084745749</v>
      </c>
      <c r="T92" s="246">
        <f t="shared" si="10"/>
        <v>549.70314915254266</v>
      </c>
      <c r="U92" s="247">
        <f t="shared" si="11"/>
        <v>0.17292026560820356</v>
      </c>
      <c r="V92" s="299">
        <f t="shared" ref="V92:V93" si="28">W92*(1+0.06)</f>
        <v>3178.94</v>
      </c>
      <c r="W92" s="179">
        <f>VLOOKUP(C92,Sheet6!O:P,2,0)</f>
        <v>2999</v>
      </c>
      <c r="X92" s="179"/>
      <c r="Y92" s="179"/>
      <c r="Z92" s="179"/>
    </row>
    <row r="93" spans="1:26">
      <c r="A93" s="253">
        <f t="shared" si="13"/>
        <v>92</v>
      </c>
      <c r="B93" s="179"/>
      <c r="C93" s="308" t="s">
        <v>788</v>
      </c>
      <c r="D93" s="179"/>
      <c r="E93" s="306" t="s">
        <v>790</v>
      </c>
      <c r="F93" s="306" t="s">
        <v>791</v>
      </c>
      <c r="G93" s="179">
        <v>2776.6</v>
      </c>
      <c r="H93" s="179">
        <v>3276.3</v>
      </c>
      <c r="I93" s="244">
        <f t="shared" si="0"/>
        <v>906.14100000000008</v>
      </c>
      <c r="J93" s="244">
        <v>60</v>
      </c>
      <c r="K93" s="244">
        <f t="shared" si="1"/>
        <v>181.22820000000002</v>
      </c>
      <c r="L93" s="244">
        <f t="shared" si="2"/>
        <v>120.81880000000001</v>
      </c>
      <c r="M93" s="244">
        <f t="shared" si="3"/>
        <v>70</v>
      </c>
      <c r="N93" s="244">
        <f t="shared" si="4"/>
        <v>1096.9598000000001</v>
      </c>
      <c r="O93" s="245">
        <f t="shared" si="5"/>
        <v>0.18158760060520382</v>
      </c>
      <c r="P93" s="244">
        <f t="shared" si="6"/>
        <v>302.04700000000003</v>
      </c>
      <c r="Q93" s="244">
        <f t="shared" si="7"/>
        <v>120.81880000000001</v>
      </c>
      <c r="R93" s="244">
        <f t="shared" si="8"/>
        <v>4537.6538</v>
      </c>
      <c r="S93" s="244">
        <f t="shared" si="23"/>
        <v>921.49932203389835</v>
      </c>
      <c r="T93" s="246">
        <f t="shared" si="10"/>
        <v>581.78687796610211</v>
      </c>
      <c r="U93" s="247">
        <f t="shared" si="11"/>
        <v>9.6307342560280701E-2</v>
      </c>
      <c r="V93" s="299">
        <f t="shared" si="28"/>
        <v>6040.9400000000005</v>
      </c>
      <c r="W93" s="179">
        <f>VLOOKUP(C93,Sheet6!O:P,2,0)</f>
        <v>5699</v>
      </c>
      <c r="X93" s="179"/>
      <c r="Y93" s="179"/>
      <c r="Z93" s="179"/>
    </row>
    <row r="94" spans="1:26">
      <c r="A94" s="253">
        <f t="shared" si="13"/>
        <v>93</v>
      </c>
      <c r="B94" s="179" t="s">
        <v>934</v>
      </c>
      <c r="C94" s="306" t="s">
        <v>810</v>
      </c>
      <c r="D94" s="179"/>
      <c r="E94" s="306" t="s">
        <v>812</v>
      </c>
      <c r="F94" s="306" t="s">
        <v>814</v>
      </c>
      <c r="G94" s="179">
        <v>418</v>
      </c>
      <c r="H94" s="179">
        <v>468.1</v>
      </c>
      <c r="I94" s="244">
        <f t="shared" si="0"/>
        <v>175.35</v>
      </c>
      <c r="J94" s="244">
        <v>60</v>
      </c>
      <c r="K94" s="244">
        <f t="shared" si="1"/>
        <v>35.07</v>
      </c>
      <c r="L94" s="244">
        <f t="shared" si="2"/>
        <v>23.38</v>
      </c>
      <c r="M94" s="244">
        <f t="shared" si="3"/>
        <v>50</v>
      </c>
      <c r="N94" s="244">
        <f t="shared" si="4"/>
        <v>248.73</v>
      </c>
      <c r="O94" s="245">
        <f t="shared" si="5"/>
        <v>0.21277159965782719</v>
      </c>
      <c r="P94" s="244">
        <f t="shared" si="6"/>
        <v>58.45</v>
      </c>
      <c r="Q94" s="244">
        <f t="shared" si="7"/>
        <v>23.38</v>
      </c>
      <c r="R94" s="244">
        <f t="shared" si="8"/>
        <v>843.63000000000011</v>
      </c>
      <c r="S94" s="244">
        <f t="shared" si="23"/>
        <v>178.32203389830499</v>
      </c>
      <c r="T94" s="246">
        <f t="shared" si="10"/>
        <v>147.0479661016949</v>
      </c>
      <c r="U94" s="247">
        <f t="shared" si="11"/>
        <v>0.12578953473198878</v>
      </c>
      <c r="V94" s="299">
        <v>1169</v>
      </c>
      <c r="W94" s="179">
        <f>VLOOKUP(C94,Sheet6!O:P,2,0)</f>
        <v>1099</v>
      </c>
      <c r="X94" s="179"/>
      <c r="Y94" s="179"/>
      <c r="Z94" s="179"/>
    </row>
    <row r="95" spans="1:26">
      <c r="A95" s="253">
        <f t="shared" si="13"/>
        <v>94</v>
      </c>
      <c r="B95" s="179" t="s">
        <v>934</v>
      </c>
      <c r="C95" s="306" t="s">
        <v>815</v>
      </c>
      <c r="D95" s="179"/>
      <c r="E95" s="306" t="s">
        <v>817</v>
      </c>
      <c r="F95" s="306" t="s">
        <v>818</v>
      </c>
      <c r="G95" s="179">
        <v>418</v>
      </c>
      <c r="H95" s="179">
        <v>468.1</v>
      </c>
      <c r="I95" s="244">
        <f t="shared" si="0"/>
        <v>175.35</v>
      </c>
      <c r="J95" s="244">
        <v>60</v>
      </c>
      <c r="K95" s="244">
        <f t="shared" si="1"/>
        <v>35.07</v>
      </c>
      <c r="L95" s="244">
        <f t="shared" si="2"/>
        <v>23.38</v>
      </c>
      <c r="M95" s="244">
        <f t="shared" si="3"/>
        <v>50</v>
      </c>
      <c r="N95" s="244">
        <f t="shared" si="4"/>
        <v>248.73</v>
      </c>
      <c r="O95" s="245">
        <f t="shared" si="5"/>
        <v>0.21277159965782719</v>
      </c>
      <c r="P95" s="244">
        <f t="shared" si="6"/>
        <v>58.45</v>
      </c>
      <c r="Q95" s="244">
        <f t="shared" si="7"/>
        <v>23.38</v>
      </c>
      <c r="R95" s="244">
        <f t="shared" si="8"/>
        <v>843.63000000000011</v>
      </c>
      <c r="S95" s="244">
        <f t="shared" si="23"/>
        <v>178.32203389830499</v>
      </c>
      <c r="T95" s="246">
        <f t="shared" si="10"/>
        <v>147.0479661016949</v>
      </c>
      <c r="U95" s="247">
        <f t="shared" si="11"/>
        <v>0.12578953473198878</v>
      </c>
      <c r="V95" s="299">
        <v>1169</v>
      </c>
      <c r="W95" s="179">
        <f>VLOOKUP(C95,Sheet6!O:P,2,0)</f>
        <v>1099</v>
      </c>
      <c r="X95" s="179"/>
      <c r="Y95" s="179"/>
      <c r="Z95" s="179"/>
    </row>
    <row r="96" spans="1:26">
      <c r="A96" s="253">
        <f t="shared" si="13"/>
        <v>95</v>
      </c>
      <c r="B96" s="179"/>
      <c r="C96" s="306" t="s">
        <v>819</v>
      </c>
      <c r="D96" s="179"/>
      <c r="E96" s="306" t="s">
        <v>821</v>
      </c>
      <c r="F96" s="306" t="s">
        <v>822</v>
      </c>
      <c r="G96" s="179">
        <v>8065</v>
      </c>
      <c r="H96" s="179">
        <v>9032.7999999999993</v>
      </c>
      <c r="I96" s="244">
        <f t="shared" si="0"/>
        <v>2542.4100000000003</v>
      </c>
      <c r="J96" s="244">
        <v>60</v>
      </c>
      <c r="K96" s="244">
        <f t="shared" si="1"/>
        <v>508.48200000000003</v>
      </c>
      <c r="L96" s="244">
        <f t="shared" si="2"/>
        <v>338.98800000000006</v>
      </c>
      <c r="M96" s="244">
        <f t="shared" si="3"/>
        <v>70</v>
      </c>
      <c r="N96" s="244">
        <f t="shared" si="4"/>
        <v>2951.3980000000001</v>
      </c>
      <c r="O96" s="245">
        <f t="shared" si="5"/>
        <v>0.17412993970288032</v>
      </c>
      <c r="P96" s="244">
        <f t="shared" si="6"/>
        <v>847.47000000000014</v>
      </c>
      <c r="Q96" s="244">
        <f t="shared" si="7"/>
        <v>338.98800000000006</v>
      </c>
      <c r="R96" s="244">
        <f t="shared" si="8"/>
        <v>12771.337999999998</v>
      </c>
      <c r="S96" s="244">
        <f t="shared" si="23"/>
        <v>2585.5016949152541</v>
      </c>
      <c r="T96" s="246">
        <f t="shared" si="10"/>
        <v>1592.5603050847494</v>
      </c>
      <c r="U96" s="247">
        <f t="shared" si="11"/>
        <v>9.3959686188581859E-2</v>
      </c>
      <c r="V96" s="299">
        <f>W96*(1+0.06)</f>
        <v>16949.400000000001</v>
      </c>
      <c r="W96" s="179">
        <f>VLOOKUP(C96,Sheet6!O:P,2,0)</f>
        <v>15990</v>
      </c>
      <c r="X96" s="179"/>
      <c r="Y96" s="179"/>
      <c r="Z96" s="179"/>
    </row>
    <row r="97" spans="1:26">
      <c r="A97" s="253">
        <f t="shared" si="13"/>
        <v>96</v>
      </c>
      <c r="B97" s="179" t="s">
        <v>934</v>
      </c>
      <c r="C97" s="306" t="s">
        <v>827</v>
      </c>
      <c r="D97" s="179"/>
      <c r="E97" s="306" t="s">
        <v>829</v>
      </c>
      <c r="F97" s="306" t="s">
        <v>830</v>
      </c>
      <c r="G97" s="179">
        <v>656.1</v>
      </c>
      <c r="H97" s="179">
        <v>734.9</v>
      </c>
      <c r="I97" s="244">
        <f t="shared" si="0"/>
        <v>317.84999999999997</v>
      </c>
      <c r="J97" s="244">
        <v>60</v>
      </c>
      <c r="K97" s="244">
        <f t="shared" si="1"/>
        <v>63.57</v>
      </c>
      <c r="L97" s="244">
        <f t="shared" si="2"/>
        <v>42.38</v>
      </c>
      <c r="M97" s="244">
        <f t="shared" si="3"/>
        <v>50</v>
      </c>
      <c r="N97" s="244">
        <f t="shared" si="4"/>
        <v>410.22999999999996</v>
      </c>
      <c r="O97" s="245">
        <f t="shared" si="5"/>
        <v>0.19359603586597449</v>
      </c>
      <c r="P97" s="244">
        <f t="shared" si="6"/>
        <v>105.95</v>
      </c>
      <c r="Q97" s="244">
        <f t="shared" si="7"/>
        <v>42.38</v>
      </c>
      <c r="R97" s="244">
        <f t="shared" si="8"/>
        <v>1338.2300000000002</v>
      </c>
      <c r="S97" s="244">
        <f t="shared" si="23"/>
        <v>323.23728813559319</v>
      </c>
      <c r="T97" s="246">
        <f t="shared" si="10"/>
        <v>457.53271186440656</v>
      </c>
      <c r="U97" s="247">
        <f t="shared" si="11"/>
        <v>0.21591916558018243</v>
      </c>
      <c r="V97" s="299">
        <v>2119</v>
      </c>
      <c r="W97" s="179">
        <f>VLOOKUP(C97,Sheet6!O:P,2,0)</f>
        <v>1999</v>
      </c>
      <c r="X97" s="179"/>
      <c r="Y97" s="179"/>
      <c r="Z97" s="179"/>
    </row>
    <row r="98" spans="1:26">
      <c r="A98" s="253">
        <f t="shared" si="13"/>
        <v>97</v>
      </c>
      <c r="B98" s="179" t="s">
        <v>934</v>
      </c>
      <c r="C98" s="306" t="s">
        <v>831</v>
      </c>
      <c r="D98" s="179"/>
      <c r="E98" s="306" t="s">
        <v>833</v>
      </c>
      <c r="F98" s="306" t="s">
        <v>834</v>
      </c>
      <c r="G98" s="179">
        <v>656.1</v>
      </c>
      <c r="H98" s="179">
        <v>734.9</v>
      </c>
      <c r="I98" s="244">
        <f t="shared" si="0"/>
        <v>254.85</v>
      </c>
      <c r="J98" s="244">
        <v>60</v>
      </c>
      <c r="K98" s="244">
        <f t="shared" si="1"/>
        <v>50.97</v>
      </c>
      <c r="L98" s="244">
        <f t="shared" si="2"/>
        <v>33.980000000000004</v>
      </c>
      <c r="M98" s="244">
        <f t="shared" si="3"/>
        <v>50</v>
      </c>
      <c r="N98" s="244">
        <f t="shared" si="4"/>
        <v>338.83</v>
      </c>
      <c r="O98" s="245">
        <f t="shared" si="5"/>
        <v>0.19942907592701589</v>
      </c>
      <c r="P98" s="244">
        <f t="shared" si="6"/>
        <v>84.95</v>
      </c>
      <c r="Q98" s="244">
        <f t="shared" si="7"/>
        <v>33.980000000000004</v>
      </c>
      <c r="R98" s="244">
        <f t="shared" si="8"/>
        <v>1224.8300000000002</v>
      </c>
      <c r="S98" s="244">
        <f t="shared" si="23"/>
        <v>259.16949152542361</v>
      </c>
      <c r="T98" s="246">
        <f t="shared" si="10"/>
        <v>215.00050847457624</v>
      </c>
      <c r="U98" s="247">
        <f t="shared" si="11"/>
        <v>0.12654532576490654</v>
      </c>
      <c r="V98" s="299">
        <v>1699</v>
      </c>
      <c r="W98" s="179">
        <f>VLOOKUP(C98,Sheet6!O:P,2,0)</f>
        <v>1599</v>
      </c>
      <c r="X98" s="179"/>
      <c r="Y98" s="179"/>
      <c r="Z98" s="179"/>
    </row>
    <row r="99" spans="1:26">
      <c r="A99" s="253">
        <f t="shared" si="13"/>
        <v>98</v>
      </c>
      <c r="B99" s="179"/>
      <c r="C99" s="306" t="s">
        <v>859</v>
      </c>
      <c r="D99" s="179"/>
      <c r="E99" s="306" t="s">
        <v>861</v>
      </c>
      <c r="F99" s="306" t="s">
        <v>862</v>
      </c>
      <c r="G99" s="179">
        <v>1245.2</v>
      </c>
      <c r="H99" s="179">
        <v>1469.4</v>
      </c>
      <c r="I99" s="244">
        <f t="shared" si="0"/>
        <v>635.84100000000001</v>
      </c>
      <c r="J99" s="244">
        <v>60</v>
      </c>
      <c r="K99" s="244">
        <f t="shared" si="1"/>
        <v>127.16820000000001</v>
      </c>
      <c r="L99" s="244">
        <f t="shared" si="2"/>
        <v>84.778800000000018</v>
      </c>
      <c r="M99" s="244">
        <f t="shared" si="3"/>
        <v>50</v>
      </c>
      <c r="N99" s="244">
        <f t="shared" si="4"/>
        <v>770.61980000000005</v>
      </c>
      <c r="O99" s="245">
        <f t="shared" si="5"/>
        <v>0.18179540168060881</v>
      </c>
      <c r="P99" s="244">
        <f t="shared" si="6"/>
        <v>211.94700000000003</v>
      </c>
      <c r="Q99" s="244">
        <f t="shared" si="7"/>
        <v>84.778800000000018</v>
      </c>
      <c r="R99" s="244">
        <f t="shared" si="8"/>
        <v>2499.7138000000004</v>
      </c>
      <c r="S99" s="244">
        <f t="shared" si="23"/>
        <v>646.61796610169495</v>
      </c>
      <c r="T99" s="246">
        <f t="shared" si="10"/>
        <v>1092.6082338983051</v>
      </c>
      <c r="U99" s="247">
        <f t="shared" si="11"/>
        <v>0.25775505996742226</v>
      </c>
      <c r="V99" s="299">
        <f>W99*(1+0.06)</f>
        <v>4238.9400000000005</v>
      </c>
      <c r="W99" s="179">
        <f>VLOOKUP(C99,Sheet6!O:P,2,0)</f>
        <v>3999</v>
      </c>
      <c r="X99" s="179"/>
      <c r="Y99" s="179"/>
      <c r="Z99" s="179"/>
    </row>
    <row r="100" spans="1:26">
      <c r="A100" s="179"/>
      <c r="B100" s="179"/>
      <c r="C100" s="69" t="s">
        <v>874</v>
      </c>
      <c r="D100" s="179"/>
      <c r="E100" s="43" t="s">
        <v>876</v>
      </c>
      <c r="F100" s="306"/>
      <c r="G100" s="179">
        <v>275</v>
      </c>
      <c r="H100" s="179">
        <v>324.5</v>
      </c>
      <c r="I100" s="244" t="e">
        <f t="shared" si="0"/>
        <v>#REF!</v>
      </c>
      <c r="J100" s="244">
        <v>60</v>
      </c>
      <c r="K100" s="244" t="e">
        <f t="shared" si="1"/>
        <v>#REF!</v>
      </c>
      <c r="L100" s="244" t="e">
        <f t="shared" si="2"/>
        <v>#REF!</v>
      </c>
      <c r="M100" s="244" t="e">
        <f t="shared" si="3"/>
        <v>#REF!</v>
      </c>
      <c r="N100" s="244" t="e">
        <f t="shared" si="4"/>
        <v>#REF!</v>
      </c>
      <c r="O100" s="245" t="e">
        <f t="shared" si="5"/>
        <v>#REF!</v>
      </c>
      <c r="P100" s="244" t="e">
        <f t="shared" si="6"/>
        <v>#REF!</v>
      </c>
      <c r="Q100" s="244" t="e">
        <f t="shared" si="7"/>
        <v>#REF!</v>
      </c>
      <c r="R100" s="244" t="e">
        <f t="shared" si="8"/>
        <v>#REF!</v>
      </c>
      <c r="S100" s="244" t="e">
        <f t="shared" si="23"/>
        <v>#REF!</v>
      </c>
      <c r="T100" s="246" t="e">
        <f t="shared" si="10"/>
        <v>#REF!</v>
      </c>
      <c r="U100" s="247" t="e">
        <f t="shared" si="11"/>
        <v>#REF!</v>
      </c>
      <c r="V100" s="299" t="e">
        <f>VLOOKUP(C100,'Margin Calculation'!F:AN,37,0)</f>
        <v>#REF!</v>
      </c>
      <c r="W100" s="179"/>
      <c r="X100" s="179"/>
      <c r="Y100" s="179"/>
      <c r="Z100" s="179"/>
    </row>
    <row r="101" spans="1:26">
      <c r="A101" s="179"/>
      <c r="B101" s="179"/>
      <c r="C101" s="2" t="s">
        <v>879</v>
      </c>
      <c r="D101" s="179"/>
      <c r="E101" s="182" t="s">
        <v>881</v>
      </c>
      <c r="F101" s="306"/>
      <c r="G101" s="179">
        <v>216.82425600000002</v>
      </c>
      <c r="H101" s="179">
        <v>255.85262208</v>
      </c>
      <c r="I101" s="244" t="e">
        <f t="shared" si="0"/>
        <v>#REF!</v>
      </c>
      <c r="J101" s="244">
        <v>60</v>
      </c>
      <c r="K101" s="244" t="e">
        <f t="shared" si="1"/>
        <v>#REF!</v>
      </c>
      <c r="L101" s="244" t="e">
        <f t="shared" si="2"/>
        <v>#REF!</v>
      </c>
      <c r="M101" s="244" t="e">
        <f t="shared" si="3"/>
        <v>#REF!</v>
      </c>
      <c r="N101" s="244" t="e">
        <f t="shared" si="4"/>
        <v>#REF!</v>
      </c>
      <c r="O101" s="245" t="e">
        <f t="shared" si="5"/>
        <v>#REF!</v>
      </c>
      <c r="P101" s="244" t="e">
        <f t="shared" si="6"/>
        <v>#REF!</v>
      </c>
      <c r="Q101" s="244" t="e">
        <f t="shared" si="7"/>
        <v>#REF!</v>
      </c>
      <c r="R101" s="244" t="e">
        <f t="shared" si="8"/>
        <v>#REF!</v>
      </c>
      <c r="S101" s="244" t="e">
        <f t="shared" si="23"/>
        <v>#REF!</v>
      </c>
      <c r="T101" s="246" t="e">
        <f t="shared" si="10"/>
        <v>#REF!</v>
      </c>
      <c r="U101" s="247" t="e">
        <f t="shared" si="11"/>
        <v>#REF!</v>
      </c>
      <c r="V101" s="299" t="e">
        <f>VLOOKUP(C101,'Margin Calculation'!F:AN,37,0)</f>
        <v>#REF!</v>
      </c>
      <c r="W101" s="179"/>
      <c r="X101" s="179"/>
      <c r="Y101" s="179"/>
      <c r="Z101" s="179"/>
    </row>
    <row r="102" spans="1:26">
      <c r="A102" s="179"/>
      <c r="B102" s="179"/>
      <c r="C102" s="2" t="s">
        <v>884</v>
      </c>
      <c r="D102" s="179"/>
      <c r="E102" s="182" t="s">
        <v>886</v>
      </c>
      <c r="F102" s="306"/>
      <c r="G102" s="179">
        <v>246.3912</v>
      </c>
      <c r="H102" s="179">
        <v>290.74161599999996</v>
      </c>
      <c r="I102" s="244" t="e">
        <f t="shared" si="0"/>
        <v>#REF!</v>
      </c>
      <c r="J102" s="244">
        <v>60</v>
      </c>
      <c r="K102" s="244" t="e">
        <f t="shared" si="1"/>
        <v>#REF!</v>
      </c>
      <c r="L102" s="244" t="e">
        <f t="shared" si="2"/>
        <v>#REF!</v>
      </c>
      <c r="M102" s="244" t="e">
        <f t="shared" si="3"/>
        <v>#REF!</v>
      </c>
      <c r="N102" s="244" t="e">
        <f t="shared" si="4"/>
        <v>#REF!</v>
      </c>
      <c r="O102" s="245" t="e">
        <f t="shared" si="5"/>
        <v>#REF!</v>
      </c>
      <c r="P102" s="244" t="e">
        <f t="shared" si="6"/>
        <v>#REF!</v>
      </c>
      <c r="Q102" s="244" t="e">
        <f t="shared" si="7"/>
        <v>#REF!</v>
      </c>
      <c r="R102" s="244" t="e">
        <f t="shared" si="8"/>
        <v>#REF!</v>
      </c>
      <c r="S102" s="244" t="e">
        <f t="shared" si="23"/>
        <v>#REF!</v>
      </c>
      <c r="T102" s="246" t="e">
        <f t="shared" si="10"/>
        <v>#REF!</v>
      </c>
      <c r="U102" s="247" t="e">
        <f t="shared" si="11"/>
        <v>#REF!</v>
      </c>
      <c r="V102" s="299" t="e">
        <f>VLOOKUP(C102,'Margin Calculation'!F:AN,37,0)</f>
        <v>#REF!</v>
      </c>
      <c r="W102" s="179"/>
      <c r="X102" s="179"/>
      <c r="Y102" s="179"/>
      <c r="Z102" s="179"/>
    </row>
    <row r="103" spans="1:26">
      <c r="A103" s="179"/>
      <c r="B103" s="179"/>
      <c r="C103" s="2" t="s">
        <v>889</v>
      </c>
      <c r="D103" s="179"/>
      <c r="E103" s="182" t="s">
        <v>891</v>
      </c>
      <c r="F103" s="306"/>
      <c r="G103" s="179">
        <v>1056.7444799999998</v>
      </c>
      <c r="H103" s="179">
        <v>1246.9584863999999</v>
      </c>
      <c r="I103" s="244" t="e">
        <f t="shared" si="0"/>
        <v>#REF!</v>
      </c>
      <c r="J103" s="244">
        <v>60</v>
      </c>
      <c r="K103" s="244" t="e">
        <f t="shared" si="1"/>
        <v>#REF!</v>
      </c>
      <c r="L103" s="244" t="e">
        <f t="shared" si="2"/>
        <v>#REF!</v>
      </c>
      <c r="M103" s="244" t="e">
        <f t="shared" si="3"/>
        <v>#REF!</v>
      </c>
      <c r="N103" s="244" t="e">
        <f t="shared" si="4"/>
        <v>#REF!</v>
      </c>
      <c r="O103" s="245" t="e">
        <f t="shared" si="5"/>
        <v>#REF!</v>
      </c>
      <c r="P103" s="244" t="e">
        <f t="shared" si="6"/>
        <v>#REF!</v>
      </c>
      <c r="Q103" s="244" t="e">
        <f t="shared" si="7"/>
        <v>#REF!</v>
      </c>
      <c r="R103" s="244" t="e">
        <f t="shared" si="8"/>
        <v>#REF!</v>
      </c>
      <c r="S103" s="244" t="e">
        <f t="shared" si="23"/>
        <v>#REF!</v>
      </c>
      <c r="T103" s="246" t="e">
        <f t="shared" si="10"/>
        <v>#REF!</v>
      </c>
      <c r="U103" s="247" t="e">
        <f t="shared" si="11"/>
        <v>#REF!</v>
      </c>
      <c r="V103" s="299" t="e">
        <f>VLOOKUP(C103,'Margin Calculation'!F:AN,37,0)</f>
        <v>#REF!</v>
      </c>
      <c r="W103" s="179"/>
      <c r="X103" s="179"/>
      <c r="Y103" s="179"/>
      <c r="Z103" s="179"/>
    </row>
    <row r="104" spans="1:26">
      <c r="A104" s="179"/>
      <c r="B104" s="179"/>
      <c r="C104" s="2" t="s">
        <v>895</v>
      </c>
      <c r="D104" s="179"/>
      <c r="E104" s="182" t="s">
        <v>897</v>
      </c>
      <c r="F104" s="306"/>
      <c r="G104" s="179">
        <v>120.45792</v>
      </c>
      <c r="H104" s="179">
        <v>142.14034559999999</v>
      </c>
      <c r="I104" s="244" t="e">
        <f t="shared" si="0"/>
        <v>#REF!</v>
      </c>
      <c r="J104" s="244">
        <v>60</v>
      </c>
      <c r="K104" s="244" t="e">
        <f t="shared" si="1"/>
        <v>#REF!</v>
      </c>
      <c r="L104" s="244" t="e">
        <f t="shared" si="2"/>
        <v>#REF!</v>
      </c>
      <c r="M104" s="244" t="e">
        <f t="shared" si="3"/>
        <v>#REF!</v>
      </c>
      <c r="N104" s="244" t="e">
        <f t="shared" si="4"/>
        <v>#REF!</v>
      </c>
      <c r="O104" s="245" t="e">
        <f t="shared" si="5"/>
        <v>#REF!</v>
      </c>
      <c r="P104" s="244" t="e">
        <f t="shared" si="6"/>
        <v>#REF!</v>
      </c>
      <c r="Q104" s="244" t="e">
        <f t="shared" si="7"/>
        <v>#REF!</v>
      </c>
      <c r="R104" s="244" t="e">
        <f t="shared" si="8"/>
        <v>#REF!</v>
      </c>
      <c r="S104" s="244" t="e">
        <f t="shared" si="23"/>
        <v>#REF!</v>
      </c>
      <c r="T104" s="246" t="e">
        <f t="shared" si="10"/>
        <v>#REF!</v>
      </c>
      <c r="U104" s="247" t="e">
        <f t="shared" si="11"/>
        <v>#REF!</v>
      </c>
      <c r="V104" s="299" t="e">
        <f>VLOOKUP(C104,'Margin Calculation'!F:AN,37,0)</f>
        <v>#REF!</v>
      </c>
      <c r="W104" s="179"/>
      <c r="X104" s="179"/>
      <c r="Y104" s="179"/>
      <c r="Z104" s="179"/>
    </row>
    <row r="105" spans="1:26">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spans="1:26">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spans="1:26">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spans="1:26">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spans="1:26">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spans="1:26">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spans="1:26">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spans="1:26">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spans="1:26">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spans="1:26">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spans="1:26">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spans="1:26">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spans="1:26">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spans="1:26">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spans="1:26">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spans="1:26">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spans="1:26">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spans="1:26">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spans="1:26">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spans="1:26">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spans="1:26">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spans="1:26">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spans="1:26">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spans="1:26">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spans="1:26">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spans="1:26">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spans="1:26">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spans="1:26">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spans="1:26">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spans="1:26">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spans="1:26">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spans="1:26">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spans="1:26">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spans="1:26">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spans="1:26">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spans="1:26">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spans="1:26">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spans="1:26">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spans="1:26">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spans="1:26">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spans="1:26">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spans="1:26">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spans="1:26">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spans="1:26">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spans="1:26">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spans="1:26">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spans="1:26">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spans="1:26">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spans="1:26">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spans="1:26">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spans="1:26">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spans="1:26">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spans="1:26">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spans="1:26">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spans="1:26">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spans="1:26">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spans="1:26">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spans="1:26">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spans="1:26">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spans="1:26">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spans="1:26">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spans="1:26">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spans="1:26">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spans="1:26">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spans="1:26">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spans="1:26">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spans="1:26">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spans="1:26">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spans="1:26">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spans="1:26">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spans="1:26">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spans="1:26">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spans="1:26">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spans="1:26">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spans="1:26">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spans="1:26">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spans="1:26">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spans="1:26">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spans="1:26">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spans="1:26">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spans="1:26">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spans="1:26">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spans="1:26">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spans="1:26">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spans="1:26">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spans="1:26">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spans="1:26">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spans="1:26">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spans="1:26">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spans="1:26">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spans="1:26">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spans="1:26">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spans="1:26">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spans="1:26">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spans="1:26">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spans="1:26">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spans="1:26">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spans="1:26">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spans="1:26">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spans="1:26">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spans="1:26">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spans="1:26">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spans="1:26">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spans="1:26">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spans="1:26">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spans="1:26">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spans="1:26">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spans="1:26">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spans="1:26">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spans="1:26">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spans="1:26">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spans="1:26">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spans="1:26">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spans="1:26">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spans="1:26">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spans="1:26">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spans="1:26">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spans="1:26">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spans="1:26">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spans="1:26">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spans="1:26">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spans="1:26">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spans="1:26">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spans="1:26">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spans="1:26">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spans="1:26">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spans="1:26">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spans="1:26">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spans="1:26">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spans="1:26">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spans="1:26">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spans="1:26">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spans="1:26">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spans="1:26">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spans="1:26">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spans="1:26">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spans="1:26">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spans="1:26">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spans="1:26">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spans="1:26">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spans="1:26">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spans="1:26">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spans="1:26">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spans="1:26">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spans="1:26">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spans="1:26">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spans="1:26">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spans="1:26">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spans="1:26">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spans="1:26">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spans="1:26">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spans="1:26">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spans="1:26">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spans="1:26">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spans="1:26">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spans="1:26">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spans="1:26">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spans="1:26">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spans="1:26">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spans="1:26">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spans="1:26">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spans="1:26">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spans="1:26">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spans="1:26">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spans="1:26">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spans="1:26">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spans="1:26">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spans="1:26">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spans="1:26">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spans="1:26">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spans="1:26">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spans="1:26">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spans="1:26">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spans="1:26">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spans="1:26">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spans="1:26">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spans="1:26">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spans="1:26">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spans="1:26">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spans="1:26">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spans="1:26">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spans="1:26">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spans="1:26">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spans="1:26">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spans="1:26">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spans="1:26">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spans="1:26">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spans="1:26">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spans="1:26">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spans="1:26">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spans="1:26">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spans="1:26">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spans="1:26">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spans="1:26">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spans="1:26">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spans="1:26">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spans="1:26">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spans="1:26">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spans="1:26">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spans="1:26">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spans="1:26">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spans="1:26">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spans="1:26">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spans="1:26">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spans="1:26">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spans="1:26">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spans="1:26">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spans="1:26">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spans="1:26">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spans="1:26">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spans="1:26">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spans="1:26">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spans="1:26">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spans="1:26">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spans="1:26">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spans="1:26">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spans="1:26">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spans="1:26">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spans="1:26">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spans="1:26">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spans="1:26">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spans="1:26">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spans="1:26">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spans="1:26">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spans="1:26">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spans="1:26">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spans="1:26">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spans="1:26">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spans="1:26">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spans="1:26">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spans="1:26">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spans="1:26">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spans="1:26">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spans="1:26">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spans="1:26">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spans="1:26">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spans="1:26">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spans="1:26">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spans="1:26">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spans="1:26">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spans="1:26">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spans="1:26">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spans="1:26">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spans="1:26">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spans="1:26">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spans="1:26">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spans="1:26">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spans="1:26">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spans="1:26">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spans="1:26">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spans="1:26">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spans="1:26">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spans="1:26">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spans="1:26">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spans="1:26">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spans="1:26">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spans="1:26">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spans="1:26">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spans="1:26">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spans="1:26">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spans="1:26">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spans="1:26">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spans="1:26">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spans="1:26">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spans="1:26">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spans="1:26">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spans="1:26">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spans="1:26">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spans="1:26">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spans="1:26">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spans="1:26">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spans="1:26">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spans="1:26">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spans="1:26">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spans="1:26">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spans="1:26">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spans="1:26">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spans="1:26">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spans="1:26">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spans="1:26">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spans="1:26">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spans="1:26">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spans="1:26">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spans="1:26">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spans="1:26">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spans="1:26">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spans="1:26">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spans="1:26">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spans="1:26">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spans="1:26">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spans="1:26">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spans="1:26">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spans="1:26">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spans="1:26">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spans="1:26">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spans="1:26">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spans="1:26">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spans="1:26">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spans="1:26">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spans="1:26">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spans="1:26">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spans="1:26">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spans="1:26">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spans="1:26">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spans="1:26">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spans="1:26">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spans="1:26">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spans="1:26">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spans="1:26">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spans="1:26">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spans="1:26">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spans="1:26">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spans="1:26">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spans="1:26">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spans="1:26">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spans="1:26">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spans="1:26">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spans="1:26">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spans="1:26">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spans="1:26">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spans="1:26">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spans="1:26">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spans="1:26">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spans="1:26">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spans="1:26">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spans="1:26">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spans="1:26">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spans="1:26">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spans="1:26">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spans="1:26">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spans="1:26">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spans="1:26">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spans="1:26">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spans="1:26">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spans="1:26">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spans="1:26">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spans="1:26">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spans="1:26">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spans="1:26">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spans="1:26">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spans="1:26">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spans="1:26">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spans="1:26">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spans="1:26">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spans="1:26">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spans="1:26">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spans="1:26">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spans="1:26">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spans="1:26">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spans="1:26">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spans="1:26">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spans="1:26">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spans="1:26">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spans="1:26">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spans="1:26">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spans="1:26">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spans="1:26">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spans="1:26">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spans="1:26">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spans="1:26">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spans="1:26">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spans="1:26">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spans="1:26">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spans="1:26">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spans="1:26">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spans="1:26">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spans="1:26">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spans="1:26">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spans="1:26">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spans="1:26">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spans="1:26">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spans="1:26">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spans="1:26">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spans="1:26">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spans="1:26">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spans="1:26">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spans="1:26">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spans="1:26">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spans="1:26">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spans="1:26">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spans="1:26">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spans="1:26">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spans="1:26">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spans="1:26">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spans="1:26">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spans="1:26">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spans="1:26">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spans="1:26">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spans="1:26">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spans="1:26">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spans="1:26">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spans="1:26">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spans="1:26">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spans="1:26">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spans="1:26">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spans="1:26">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spans="1:26">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spans="1:26">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spans="1:26">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spans="1:26">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spans="1:26">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spans="1:26">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spans="1:26">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spans="1:26">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spans="1:26">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spans="1:26">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spans="1:26">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spans="1:26">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spans="1:26">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spans="1:26">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spans="1:26">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spans="1:26">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spans="1:26">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spans="1:26">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spans="1:26">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spans="1:26">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spans="1:26">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spans="1:26">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spans="1:26">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spans="1:26">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spans="1:26">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spans="1:26">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spans="1:26">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spans="1:26">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spans="1:26">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spans="1:26">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spans="1:26">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spans="1:26">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spans="1:26">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spans="1:26">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spans="1:26">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spans="1:26">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spans="1:26">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spans="1:26">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spans="1:26">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spans="1:26">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spans="1:26">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spans="1:26">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spans="1:26">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spans="1:26">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spans="1:26">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spans="1:26">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spans="1:26">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spans="1:26">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spans="1:26">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spans="1:26">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spans="1:26">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spans="1:26">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spans="1:26">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spans="1:26">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spans="1:26">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spans="1:26">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spans="1:26">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spans="1:26">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spans="1:26">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spans="1:26">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spans="1:26">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spans="1:26">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spans="1:26">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spans="1:26">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spans="1:26">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spans="1:26">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spans="1:26">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spans="1:26">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spans="1:26">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spans="1:26">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spans="1:26">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spans="1:26">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spans="1:26">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spans="1:26">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spans="1:26">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spans="1:26">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spans="1:26">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spans="1:26">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spans="1:26">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spans="1:26">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spans="1:26">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spans="1:26">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spans="1:26">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spans="1:26">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spans="1:26">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spans="1:26">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spans="1:26">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spans="1:26">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spans="1:26">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spans="1:26">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spans="1:26">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spans="1:26">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spans="1:26">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spans="1:26">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spans="1:26">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spans="1:26">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spans="1:26">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spans="1:26">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spans="1:26">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spans="1:26">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spans="1:26">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spans="1:26">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spans="1:26">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spans="1:26">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spans="1:26">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spans="1:26">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spans="1:26">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spans="1:26">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spans="1:26">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spans="1:26">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spans="1:26">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spans="1:26">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spans="1:26">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spans="1:26">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spans="1:26">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spans="1:26">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spans="1:26">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spans="1:26">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spans="1:26">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spans="1:26">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spans="1:26">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spans="1:26">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spans="1:26">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spans="1:26">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spans="1:26">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spans="1:26">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spans="1:26">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spans="1:26">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spans="1:26">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spans="1:26">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spans="1:26">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spans="1:26">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spans="1:26">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spans="1:26">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spans="1:26">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spans="1:26">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spans="1:26">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spans="1:26">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spans="1:26">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spans="1:26">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spans="1:26">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spans="1:26">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spans="1:26">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spans="1:26">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spans="1:26">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spans="1:26">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spans="1:26">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spans="1:26">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spans="1:26">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spans="1:26">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spans="1:26">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spans="1:26">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spans="1:26">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spans="1:26">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spans="1:26">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spans="1:26">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spans="1:26">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spans="1:26">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spans="1:26">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spans="1:26">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spans="1:26">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spans="1:26">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spans="1:26">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spans="1:26">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spans="1:26">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spans="1:26">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spans="1:26">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spans="1:26">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spans="1:26">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spans="1:26">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spans="1:26">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spans="1:26">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spans="1:26">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spans="1:26">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spans="1:26">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spans="1:26">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spans="1:26">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spans="1:26">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spans="1:26">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spans="1:26">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spans="1:26">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spans="1:26">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spans="1:26">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spans="1:26">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spans="1:26">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spans="1:26">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spans="1:26">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spans="1:26">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spans="1:26">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spans="1:26">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spans="1:26">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spans="1:26">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spans="1:26">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spans="1:26">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spans="1:26">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spans="1:26">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spans="1:26">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spans="1:26">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spans="1:26">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spans="1:26">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spans="1:26">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spans="1:26">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spans="1:26">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spans="1:26">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spans="1:26">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spans="1:26">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spans="1:26">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spans="1:26">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spans="1:26">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spans="1:26">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spans="1:26">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spans="1:26">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spans="1:26">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spans="1:26">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spans="1:26">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spans="1:26">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spans="1:26">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spans="1:26">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spans="1:26">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spans="1:26">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spans="1:26">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spans="1:26">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spans="1:26">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spans="1:26">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spans="1:26">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spans="1:26">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spans="1:26">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spans="1:26">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spans="1:26">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spans="1:26">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spans="1:26">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spans="1:26">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spans="1:26">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spans="1:26">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spans="1:26">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spans="1:26">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spans="1:26">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spans="1:26">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spans="1:26">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spans="1:26">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spans="1:26">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spans="1:26">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spans="1:26">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spans="1:26">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spans="1:26">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spans="1:26">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spans="1:26">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spans="1:26">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spans="1:26">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spans="1:26">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spans="1:26">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spans="1:26">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spans="1:26">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spans="1:26">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spans="1:26">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spans="1:26">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spans="1:26">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spans="1:26">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spans="1:26">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spans="1:26">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spans="1:26">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spans="1:26">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spans="1:26">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spans="1:26">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spans="1:26">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spans="1:26">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spans="1:26">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spans="1:26">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spans="1:26">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spans="1:26">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spans="1:26">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spans="1:26">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spans="1:26">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spans="1:26">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spans="1:26">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spans="1:26">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spans="1:26">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spans="1:26">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spans="1:26">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spans="1:26">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spans="1:26">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spans="1:26">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spans="1:26">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spans="1:26">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spans="1:26">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spans="1:26">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spans="1:26">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spans="1:26">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spans="1:26">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spans="1:26">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spans="1:26">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spans="1:26">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spans="1:26">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spans="1:26">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spans="1:26">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spans="1:26">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spans="1:26">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spans="1:26">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spans="1:26">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spans="1:26">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spans="1:26">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spans="1:26">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spans="1:26">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spans="1:26">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spans="1:26">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spans="1:26">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spans="1:26">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spans="1:26">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spans="1:26">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spans="1:26">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spans="1:26">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spans="1:26">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spans="1:26">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spans="1:26">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spans="1:26">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spans="1:26">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spans="1:26">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spans="1:26">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spans="1:26">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spans="1:26">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spans="1:26">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spans="1:26">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spans="1:26">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spans="1:26">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spans="1:26">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spans="1:26">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spans="1:26">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spans="1:26">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spans="1:26">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spans="1:26">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spans="1:26">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spans="1:26">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spans="1:26">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spans="1:26">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spans="1:26">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spans="1:26">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spans="1:26">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spans="1:26">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spans="1:26">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spans="1:26">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spans="1:26">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spans="1:26">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spans="1:26">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spans="1:26">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spans="1:26">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spans="1:26">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spans="1:26">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spans="1:26">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spans="1:26">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spans="1:26">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spans="1:26">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spans="1:26">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spans="1:26">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spans="1:26">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spans="1:26">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spans="1:26">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spans="1:26">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spans="1:26">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spans="1:26">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spans="1:26">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spans="1:26">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spans="1:26">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spans="1:26">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spans="1:26">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spans="1:26">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spans="1:26">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spans="1:26">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spans="1:26">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spans="1:26">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spans="1:26">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spans="1:26">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spans="1:26">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spans="1:26">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spans="1:26">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spans="1:26">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spans="1:26">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spans="1:26">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spans="1:26">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spans="1:26">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spans="1:26">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spans="1:26">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spans="1:26">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spans="1:26">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spans="1:26">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spans="1:26">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spans="1:26">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spans="1:26">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spans="1:26">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spans="1:26">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spans="1:26">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spans="1:26">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spans="1:26">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spans="1:26">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spans="1:26">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spans="1:26">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spans="1:26">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spans="1:26">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spans="1:26">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spans="1:26">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spans="1:26">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spans="1:26">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spans="1:26">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spans="1:26">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spans="1:26">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spans="1:26">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spans="1:26">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spans="1:26">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spans="1:26">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spans="1:26">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spans="1:26">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spans="1:26">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spans="1:26">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spans="1:26">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spans="1:26">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spans="1:26">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spans="1:26">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spans="1:26">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spans="1:26">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spans="1:26">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spans="1:26">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spans="1:26">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spans="1:26">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spans="1:26">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spans="1:26">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spans="1:26">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spans="1:26">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spans="1:26">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spans="1:26">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spans="1:26">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spans="1:26">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spans="1:26">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spans="1:26">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spans="1:26">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spans="1:26">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spans="1:26">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spans="1:26">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spans="1:26">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spans="1:26">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spans="1:26">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spans="1:26">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spans="1:26">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spans="1:26">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spans="1:26">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spans="1:26">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spans="1:26">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spans="1:26">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spans="1:26">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spans="1:26">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spans="1:26">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spans="1:26">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spans="1:26">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spans="1:26">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spans="1:26">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spans="1:26">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spans="1:26">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spans="1:26">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spans="1:26">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spans="1:26">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spans="1:26">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spans="1:26">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spans="1:26">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spans="1:26">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spans="1:26">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spans="1:26">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spans="1:26">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spans="1:26">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spans="1:26">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spans="1:26">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spans="1:26">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spans="1:26">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spans="1:26">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spans="1:26">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spans="1:26">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sheetData>
  <autoFilter ref="A1:Z973"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D942"/>
  <sheetViews>
    <sheetView workbookViewId="0"/>
  </sheetViews>
  <sheetFormatPr defaultColWidth="14.44140625" defaultRowHeight="15" customHeight="1"/>
  <cols>
    <col min="1" max="1" width="9.109375" customWidth="1"/>
    <col min="4" max="4" width="23.88671875" customWidth="1"/>
    <col min="5" max="5" width="15.6640625" customWidth="1"/>
    <col min="6" max="6" width="59.33203125" customWidth="1"/>
    <col min="9" max="12" width="14.44140625" hidden="1"/>
  </cols>
  <sheetData>
    <row r="1" spans="1:30">
      <c r="A1" s="280" t="s">
        <v>1068</v>
      </c>
      <c r="B1" s="281" t="s">
        <v>1</v>
      </c>
      <c r="C1" s="282" t="s">
        <v>4</v>
      </c>
      <c r="D1" s="282" t="s">
        <v>162</v>
      </c>
      <c r="E1" s="281" t="s">
        <v>1106</v>
      </c>
      <c r="F1" s="282" t="s">
        <v>6</v>
      </c>
      <c r="G1" s="280" t="s">
        <v>1071</v>
      </c>
      <c r="H1" s="280" t="s">
        <v>174</v>
      </c>
      <c r="I1" s="280" t="s">
        <v>1126</v>
      </c>
      <c r="J1" s="280" t="s">
        <v>1101</v>
      </c>
      <c r="K1" s="280" t="s">
        <v>959</v>
      </c>
      <c r="L1" s="280" t="s">
        <v>960</v>
      </c>
      <c r="M1" s="280" t="s">
        <v>931</v>
      </c>
      <c r="N1" s="280" t="s">
        <v>11</v>
      </c>
      <c r="O1" s="280" t="s">
        <v>186</v>
      </c>
      <c r="P1" s="280" t="s">
        <v>961</v>
      </c>
      <c r="Q1" s="280" t="s">
        <v>1127</v>
      </c>
      <c r="R1" s="284" t="s">
        <v>1085</v>
      </c>
      <c r="S1" s="280" t="s">
        <v>9</v>
      </c>
      <c r="T1" s="280" t="s">
        <v>1128</v>
      </c>
      <c r="U1" s="285"/>
      <c r="V1" s="285"/>
      <c r="W1" s="285"/>
      <c r="X1" s="285"/>
      <c r="Y1" s="285"/>
      <c r="Z1" s="285"/>
      <c r="AA1" s="285"/>
      <c r="AB1" s="285"/>
      <c r="AC1" s="285"/>
      <c r="AD1" s="285"/>
    </row>
    <row r="2" spans="1:30">
      <c r="A2" s="309">
        <v>1</v>
      </c>
      <c r="B2" s="310" t="s">
        <v>231</v>
      </c>
      <c r="C2" s="311" t="s">
        <v>232</v>
      </c>
      <c r="D2" s="311" t="str">
        <f>VLOOKUP(B2,'Margin Calculation'!F:I,4,0)</f>
        <v>Home &amp; Kitchen</v>
      </c>
      <c r="E2" s="310" t="s">
        <v>233</v>
      </c>
      <c r="F2" s="310" t="s">
        <v>238</v>
      </c>
      <c r="G2" s="312">
        <f>VLOOKUP(B2,'Margin Calculation'!F:Y,20,0)</f>
        <v>1311.1911936000001</v>
      </c>
      <c r="H2" s="312">
        <f>VLOOKUP(B2,'Margin Calculation'!F:Z,21,0)</f>
        <v>1547.205608448</v>
      </c>
      <c r="I2" s="309"/>
      <c r="J2" s="309">
        <f t="shared" ref="J2:J87" si="0">Q2*5%</f>
        <v>68.97</v>
      </c>
      <c r="K2" s="309">
        <f t="shared" ref="K2:K87" si="1">Q2*5%</f>
        <v>68.97</v>
      </c>
      <c r="L2" s="309">
        <f t="shared" ref="L2:L87" si="2">Q2*5%</f>
        <v>68.97</v>
      </c>
      <c r="M2" s="312">
        <f t="shared" ref="M2:M87" si="3">G2+I2+K2+L2+J2</f>
        <v>1518.1011936000002</v>
      </c>
      <c r="N2" s="313">
        <f t="shared" ref="N2:N87" si="4">Q2-(Q2/1.18)</f>
        <v>210.4169491525422</v>
      </c>
      <c r="O2" s="313">
        <f t="shared" ref="O2:O87" si="5">Q2-M2-N2</f>
        <v>-349.11814275254255</v>
      </c>
      <c r="P2" s="314">
        <f t="shared" ref="P2:P87" si="6">O2/Q2</f>
        <v>-0.25309420237243918</v>
      </c>
      <c r="Q2" s="313">
        <f t="shared" ref="Q2:Q87" si="7">R2*(1-0.4)</f>
        <v>1379.3999999999999</v>
      </c>
      <c r="R2" s="313">
        <v>2299</v>
      </c>
      <c r="S2" s="309">
        <f>VLOOKUP(C2,Sheet6!AF:AG,2,0)</f>
        <v>5999</v>
      </c>
      <c r="T2" s="309">
        <f>VLOOKUP(B2,Sheet6!AC:AD,2,0)</f>
        <v>48</v>
      </c>
      <c r="U2" s="117"/>
      <c r="V2" s="117"/>
      <c r="W2" s="117"/>
      <c r="X2" s="117"/>
      <c r="Y2" s="117"/>
      <c r="Z2" s="117"/>
      <c r="AA2" s="117"/>
      <c r="AB2" s="117"/>
      <c r="AC2" s="117"/>
      <c r="AD2" s="117"/>
    </row>
    <row r="3" spans="1:30">
      <c r="A3" s="315">
        <f t="shared" ref="A3:A20" si="8">A2+1</f>
        <v>2</v>
      </c>
      <c r="B3" s="316" t="s">
        <v>240</v>
      </c>
      <c r="C3" s="317" t="s">
        <v>241</v>
      </c>
      <c r="D3" s="317" t="str">
        <f>VLOOKUP(B3,'Margin Calculation'!F:I,4,0)</f>
        <v>Home &amp; Kitchen</v>
      </c>
      <c r="E3" s="318" t="s">
        <v>242</v>
      </c>
      <c r="F3" s="316" t="s">
        <v>244</v>
      </c>
      <c r="G3" s="319">
        <f>VLOOKUP(B3,'Margin Calculation'!F:Y,20,0)</f>
        <v>1066.3371935999999</v>
      </c>
      <c r="H3" s="319">
        <f>VLOOKUP(B3,'Margin Calculation'!F:Z,21,0)</f>
        <v>1258.2778884479999</v>
      </c>
      <c r="I3" s="315"/>
      <c r="J3" s="315">
        <f t="shared" si="0"/>
        <v>77.97</v>
      </c>
      <c r="K3" s="315">
        <f t="shared" si="1"/>
        <v>77.97</v>
      </c>
      <c r="L3" s="315">
        <f t="shared" si="2"/>
        <v>77.97</v>
      </c>
      <c r="M3" s="319">
        <f t="shared" si="3"/>
        <v>1300.2471935999999</v>
      </c>
      <c r="N3" s="248">
        <f t="shared" si="4"/>
        <v>237.87457627118624</v>
      </c>
      <c r="O3" s="248">
        <f t="shared" si="5"/>
        <v>21.278230128813675</v>
      </c>
      <c r="P3" s="320">
        <f t="shared" si="6"/>
        <v>1.3645139238690315E-2</v>
      </c>
      <c r="Q3" s="248">
        <f t="shared" si="7"/>
        <v>1559.3999999999999</v>
      </c>
      <c r="R3" s="248">
        <v>2599</v>
      </c>
      <c r="S3" s="315">
        <f>VLOOKUP(C3,Sheet6!AF:AG,2,0)</f>
        <v>4999</v>
      </c>
      <c r="T3" s="315">
        <f>VLOOKUP(B3,Sheet6!AC:AD,2,0)</f>
        <v>931</v>
      </c>
      <c r="U3" s="117"/>
      <c r="V3" s="117"/>
      <c r="W3" s="117"/>
      <c r="X3" s="117"/>
      <c r="Y3" s="117"/>
      <c r="Z3" s="117"/>
      <c r="AA3" s="117"/>
      <c r="AB3" s="117"/>
      <c r="AC3" s="117"/>
      <c r="AD3" s="117"/>
    </row>
    <row r="4" spans="1:30">
      <c r="A4" s="309">
        <f t="shared" si="8"/>
        <v>3</v>
      </c>
      <c r="B4" s="310" t="s">
        <v>246</v>
      </c>
      <c r="C4" s="311" t="s">
        <v>247</v>
      </c>
      <c r="D4" s="311" t="str">
        <f>VLOOKUP(B4,'Margin Calculation'!F:I,4,0)</f>
        <v>Home &amp; Kitchen</v>
      </c>
      <c r="E4" s="310" t="s">
        <v>248</v>
      </c>
      <c r="F4" s="310" t="s">
        <v>251</v>
      </c>
      <c r="G4" s="312">
        <f>VLOOKUP(B4,'Margin Calculation'!F:Y,20,0)</f>
        <v>1521.9733235294116</v>
      </c>
      <c r="H4" s="312">
        <f>VLOOKUP(B4,'Margin Calculation'!F:Z,21,0)</f>
        <v>1795.9285217647055</v>
      </c>
      <c r="I4" s="309"/>
      <c r="J4" s="309">
        <f t="shared" si="0"/>
        <v>101.97</v>
      </c>
      <c r="K4" s="309">
        <f t="shared" si="1"/>
        <v>101.97</v>
      </c>
      <c r="L4" s="309">
        <f t="shared" si="2"/>
        <v>101.97</v>
      </c>
      <c r="M4" s="312">
        <f t="shared" si="3"/>
        <v>1827.8833235294117</v>
      </c>
      <c r="N4" s="313">
        <f t="shared" si="4"/>
        <v>311.09491525423709</v>
      </c>
      <c r="O4" s="313">
        <f t="shared" si="5"/>
        <v>-99.578238783648885</v>
      </c>
      <c r="P4" s="314">
        <f t="shared" si="6"/>
        <v>-4.8827223096817148E-2</v>
      </c>
      <c r="Q4" s="313">
        <f t="shared" si="7"/>
        <v>2039.3999999999999</v>
      </c>
      <c r="R4" s="313">
        <v>3399</v>
      </c>
      <c r="S4" s="309">
        <f>VLOOKUP(C4,Sheet6!AF:AG,2,0)</f>
        <v>9999</v>
      </c>
      <c r="T4" s="309">
        <f>VLOOKUP(B4,Sheet6!AC:AD,2,0)</f>
        <v>1725</v>
      </c>
      <c r="U4" s="117"/>
      <c r="V4" s="117"/>
      <c r="W4" s="117"/>
      <c r="X4" s="117"/>
      <c r="Y4" s="117"/>
      <c r="Z4" s="117"/>
      <c r="AA4" s="117"/>
      <c r="AB4" s="117"/>
      <c r="AC4" s="117"/>
      <c r="AD4" s="117"/>
    </row>
    <row r="5" spans="1:30">
      <c r="A5" s="309">
        <f t="shared" si="8"/>
        <v>4</v>
      </c>
      <c r="B5" s="310" t="s">
        <v>253</v>
      </c>
      <c r="C5" s="311" t="s">
        <v>254</v>
      </c>
      <c r="D5" s="311" t="str">
        <f>VLOOKUP(B5,'Margin Calculation'!F:I,4,0)</f>
        <v>Sports, Fitness &amp; Outdoors</v>
      </c>
      <c r="E5" s="310" t="s">
        <v>255</v>
      </c>
      <c r="F5" s="310" t="s">
        <v>259</v>
      </c>
      <c r="G5" s="312">
        <f>VLOOKUP(B5,'Margin Calculation'!F:Y,20,0)</f>
        <v>355.33344600000004</v>
      </c>
      <c r="H5" s="312">
        <f>VLOOKUP(B5,'Margin Calculation'!F:Z,21,0)</f>
        <v>397.97345952000006</v>
      </c>
      <c r="I5" s="309"/>
      <c r="J5" s="309">
        <f t="shared" si="0"/>
        <v>20.97</v>
      </c>
      <c r="K5" s="309">
        <f t="shared" si="1"/>
        <v>20.97</v>
      </c>
      <c r="L5" s="309">
        <f t="shared" si="2"/>
        <v>20.97</v>
      </c>
      <c r="M5" s="312">
        <f t="shared" si="3"/>
        <v>418.24344600000006</v>
      </c>
      <c r="N5" s="313">
        <f t="shared" si="4"/>
        <v>63.97627118644067</v>
      </c>
      <c r="O5" s="313">
        <f t="shared" si="5"/>
        <v>-62.819717186440755</v>
      </c>
      <c r="P5" s="314">
        <f t="shared" si="6"/>
        <v>-0.14978473339637757</v>
      </c>
      <c r="Q5" s="313">
        <f t="shared" si="7"/>
        <v>419.4</v>
      </c>
      <c r="R5" s="313">
        <v>699</v>
      </c>
      <c r="S5" s="309">
        <f>VLOOKUP(C5,Sheet6!AF:AG,2,0)</f>
        <v>1499</v>
      </c>
      <c r="T5" s="309">
        <f>VLOOKUP(B5,Sheet6!AC:AD,2,0)</f>
        <v>992</v>
      </c>
      <c r="U5" s="117"/>
      <c r="V5" s="117"/>
      <c r="W5" s="117"/>
      <c r="X5" s="117"/>
      <c r="Y5" s="117"/>
      <c r="Z5" s="117"/>
      <c r="AA5" s="117"/>
      <c r="AB5" s="117"/>
      <c r="AC5" s="117"/>
      <c r="AD5" s="117"/>
    </row>
    <row r="6" spans="1:30">
      <c r="A6" s="309">
        <f t="shared" si="8"/>
        <v>5</v>
      </c>
      <c r="B6" s="310" t="s">
        <v>262</v>
      </c>
      <c r="C6" s="311" t="s">
        <v>263</v>
      </c>
      <c r="D6" s="311" t="str">
        <f>VLOOKUP(B6,'Margin Calculation'!F:I,4,0)</f>
        <v>Sports, Fitness &amp; Outdoors</v>
      </c>
      <c r="E6" s="310" t="s">
        <v>264</v>
      </c>
      <c r="F6" s="310" t="s">
        <v>265</v>
      </c>
      <c r="G6" s="312">
        <f>VLOOKUP(B6,'Margin Calculation'!F:Y,20,0)</f>
        <v>355.33344600000004</v>
      </c>
      <c r="H6" s="312">
        <f>VLOOKUP(B6,'Margin Calculation'!F:Z,21,0)</f>
        <v>397.97345952000006</v>
      </c>
      <c r="I6" s="309"/>
      <c r="J6" s="309">
        <f t="shared" si="0"/>
        <v>20.97</v>
      </c>
      <c r="K6" s="309">
        <f t="shared" si="1"/>
        <v>20.97</v>
      </c>
      <c r="L6" s="309">
        <f t="shared" si="2"/>
        <v>20.97</v>
      </c>
      <c r="M6" s="312">
        <f t="shared" si="3"/>
        <v>418.24344600000006</v>
      </c>
      <c r="N6" s="313">
        <f t="shared" si="4"/>
        <v>63.97627118644067</v>
      </c>
      <c r="O6" s="313">
        <f t="shared" si="5"/>
        <v>-62.819717186440755</v>
      </c>
      <c r="P6" s="314">
        <f t="shared" si="6"/>
        <v>-0.14978473339637757</v>
      </c>
      <c r="Q6" s="313">
        <f t="shared" si="7"/>
        <v>419.4</v>
      </c>
      <c r="R6" s="313">
        <v>699</v>
      </c>
      <c r="S6" s="309">
        <f>VLOOKUP(C6,Sheet6!AF:AG,2,0)</f>
        <v>1999</v>
      </c>
      <c r="T6" s="309">
        <f>VLOOKUP(B6,Sheet6!AC:AD,2,0)</f>
        <v>1036</v>
      </c>
      <c r="U6" s="117"/>
      <c r="V6" s="117"/>
      <c r="W6" s="117"/>
      <c r="X6" s="117"/>
      <c r="Y6" s="117"/>
      <c r="Z6" s="117"/>
      <c r="AA6" s="117"/>
      <c r="AB6" s="117"/>
      <c r="AC6" s="117"/>
      <c r="AD6" s="117"/>
    </row>
    <row r="7" spans="1:30">
      <c r="A7" s="309">
        <f t="shared" si="8"/>
        <v>6</v>
      </c>
      <c r="B7" s="310" t="s">
        <v>267</v>
      </c>
      <c r="C7" s="311" t="s">
        <v>268</v>
      </c>
      <c r="D7" s="311" t="str">
        <f>VLOOKUP(B7,'Margin Calculation'!F:I,4,0)</f>
        <v>Sports, Fitness &amp; Outdoors</v>
      </c>
      <c r="E7" s="310" t="s">
        <v>269</v>
      </c>
      <c r="F7" s="310" t="s">
        <v>270</v>
      </c>
      <c r="G7" s="312">
        <f>VLOOKUP(B7,'Margin Calculation'!F:Y,20,0)</f>
        <v>355.33344600000004</v>
      </c>
      <c r="H7" s="312">
        <f>VLOOKUP(B7,'Margin Calculation'!F:Z,21,0)</f>
        <v>397.97345952000006</v>
      </c>
      <c r="I7" s="309"/>
      <c r="J7" s="309">
        <f t="shared" si="0"/>
        <v>20.97</v>
      </c>
      <c r="K7" s="309">
        <f t="shared" si="1"/>
        <v>20.97</v>
      </c>
      <c r="L7" s="309">
        <f t="shared" si="2"/>
        <v>20.97</v>
      </c>
      <c r="M7" s="312">
        <f t="shared" si="3"/>
        <v>418.24344600000006</v>
      </c>
      <c r="N7" s="313">
        <f t="shared" si="4"/>
        <v>63.97627118644067</v>
      </c>
      <c r="O7" s="313">
        <f t="shared" si="5"/>
        <v>-62.819717186440755</v>
      </c>
      <c r="P7" s="314">
        <f t="shared" si="6"/>
        <v>-0.14978473339637757</v>
      </c>
      <c r="Q7" s="313">
        <f t="shared" si="7"/>
        <v>419.4</v>
      </c>
      <c r="R7" s="313">
        <v>699</v>
      </c>
      <c r="S7" s="309">
        <f>VLOOKUP(C7,Sheet6!AF:AG,2,0)</f>
        <v>1499</v>
      </c>
      <c r="T7" s="309">
        <f>VLOOKUP(B7,Sheet6!AC:AD,2,0)</f>
        <v>1005</v>
      </c>
      <c r="U7" s="117"/>
      <c r="V7" s="117"/>
      <c r="W7" s="117"/>
      <c r="X7" s="117"/>
      <c r="Y7" s="117"/>
      <c r="Z7" s="117"/>
      <c r="AA7" s="117"/>
      <c r="AB7" s="117"/>
      <c r="AC7" s="117"/>
      <c r="AD7" s="117"/>
    </row>
    <row r="8" spans="1:30">
      <c r="A8" s="309">
        <f t="shared" si="8"/>
        <v>7</v>
      </c>
      <c r="B8" s="309" t="s">
        <v>324</v>
      </c>
      <c r="C8" s="321" t="s">
        <v>325</v>
      </c>
      <c r="D8" s="321" t="str">
        <f>VLOOKUP(B8,'Margin Calculation'!F:I,4,0)</f>
        <v>Home &amp; Kitchen</v>
      </c>
      <c r="E8" s="309" t="s">
        <v>326</v>
      </c>
      <c r="F8" s="309" t="s">
        <v>327</v>
      </c>
      <c r="G8" s="312">
        <f>VLOOKUP(B8,'Margin Calculation'!F:Y,20,0)</f>
        <v>1278.2511936000001</v>
      </c>
      <c r="H8" s="312">
        <f>VLOOKUP(B8,'Margin Calculation'!F:Z,21,0)</f>
        <v>1508.3364084479999</v>
      </c>
      <c r="I8" s="309"/>
      <c r="J8" s="309">
        <f t="shared" si="0"/>
        <v>65.97</v>
      </c>
      <c r="K8" s="309">
        <f t="shared" si="1"/>
        <v>65.97</v>
      </c>
      <c r="L8" s="309">
        <f t="shared" si="2"/>
        <v>65.97</v>
      </c>
      <c r="M8" s="312">
        <f t="shared" si="3"/>
        <v>1476.1611936000002</v>
      </c>
      <c r="N8" s="313">
        <f t="shared" si="4"/>
        <v>201.26440677966093</v>
      </c>
      <c r="O8" s="313">
        <f t="shared" si="5"/>
        <v>-358.02560037966123</v>
      </c>
      <c r="P8" s="314">
        <f t="shared" si="6"/>
        <v>-0.27135485855666308</v>
      </c>
      <c r="Q8" s="313">
        <f t="shared" si="7"/>
        <v>1319.3999999999999</v>
      </c>
      <c r="R8" s="313">
        <v>2199</v>
      </c>
      <c r="S8" s="309">
        <f>VLOOKUP(C8,Sheet6!AF:AG,2,0)</f>
        <v>5999</v>
      </c>
      <c r="T8" s="309">
        <f>VLOOKUP(B8,Sheet6!AC:AD,2,0)</f>
        <v>410</v>
      </c>
      <c r="U8" s="117"/>
      <c r="V8" s="117"/>
      <c r="W8" s="117"/>
      <c r="X8" s="117"/>
      <c r="Y8" s="117"/>
      <c r="Z8" s="117"/>
      <c r="AA8" s="117"/>
      <c r="AB8" s="117"/>
      <c r="AC8" s="117"/>
      <c r="AD8" s="117"/>
    </row>
    <row r="9" spans="1:30">
      <c r="A9" s="309">
        <f t="shared" si="8"/>
        <v>8</v>
      </c>
      <c r="B9" s="310" t="s">
        <v>329</v>
      </c>
      <c r="C9" s="321" t="s">
        <v>330</v>
      </c>
      <c r="D9" s="321" t="str">
        <f>VLOOKUP(B9,'Margin Calculation'!F:I,4,0)</f>
        <v>HPC</v>
      </c>
      <c r="E9" s="309" t="s">
        <v>331</v>
      </c>
      <c r="F9" s="309" t="s">
        <v>333</v>
      </c>
      <c r="G9" s="312">
        <f>VLOOKUP(B9,'Margin Calculation'!F:Y,20,0)</f>
        <v>240.79140000000001</v>
      </c>
      <c r="H9" s="312">
        <f>VLOOKUP(B9,'Margin Calculation'!F:Z,21,0)</f>
        <v>284.13385199999999</v>
      </c>
      <c r="I9" s="309"/>
      <c r="J9" s="309">
        <f t="shared" si="0"/>
        <v>17.37</v>
      </c>
      <c r="K9" s="309">
        <f t="shared" si="1"/>
        <v>17.37</v>
      </c>
      <c r="L9" s="309">
        <f t="shared" si="2"/>
        <v>17.37</v>
      </c>
      <c r="M9" s="312">
        <f t="shared" si="3"/>
        <v>292.90140000000002</v>
      </c>
      <c r="N9" s="313">
        <f t="shared" si="4"/>
        <v>52.993220338983008</v>
      </c>
      <c r="O9" s="313">
        <f t="shared" si="5"/>
        <v>1.5053796610169456</v>
      </c>
      <c r="P9" s="314">
        <f t="shared" si="6"/>
        <v>4.3332747870378401E-3</v>
      </c>
      <c r="Q9" s="313">
        <f t="shared" si="7"/>
        <v>347.4</v>
      </c>
      <c r="R9" s="313">
        <v>579</v>
      </c>
      <c r="S9" s="309">
        <f>VLOOKUP(C9,Sheet6!AF:AG,2,0)</f>
        <v>1199</v>
      </c>
      <c r="T9" s="309">
        <f>VLOOKUP(B9,Sheet6!AC:AD,2,0)</f>
        <v>0</v>
      </c>
      <c r="U9" s="117"/>
      <c r="V9" s="117"/>
      <c r="W9" s="117"/>
      <c r="X9" s="117"/>
      <c r="Y9" s="117"/>
      <c r="Z9" s="117"/>
      <c r="AA9" s="117"/>
      <c r="AB9" s="117"/>
      <c r="AC9" s="117"/>
      <c r="AD9" s="117"/>
    </row>
    <row r="10" spans="1:30">
      <c r="A10" s="309">
        <f t="shared" si="8"/>
        <v>9</v>
      </c>
      <c r="B10" s="310" t="s">
        <v>335</v>
      </c>
      <c r="C10" s="321" t="s">
        <v>336</v>
      </c>
      <c r="D10" s="321" t="str">
        <f>VLOOKUP(B10,'Margin Calculation'!F:I,4,0)</f>
        <v>HPC</v>
      </c>
      <c r="E10" s="309" t="s">
        <v>337</v>
      </c>
      <c r="F10" s="309" t="s">
        <v>338</v>
      </c>
      <c r="G10" s="312">
        <f>VLOOKUP(B10,'Margin Calculation'!F:Y,20,0)</f>
        <v>240.79140000000001</v>
      </c>
      <c r="H10" s="312">
        <f>VLOOKUP(B10,'Margin Calculation'!F:Z,21,0)</f>
        <v>284.13385199999999</v>
      </c>
      <c r="I10" s="309"/>
      <c r="J10" s="309">
        <f t="shared" si="0"/>
        <v>11.969999999999999</v>
      </c>
      <c r="K10" s="309">
        <f t="shared" si="1"/>
        <v>11.969999999999999</v>
      </c>
      <c r="L10" s="309">
        <f t="shared" si="2"/>
        <v>11.969999999999999</v>
      </c>
      <c r="M10" s="312">
        <f t="shared" si="3"/>
        <v>276.70140000000004</v>
      </c>
      <c r="N10" s="313">
        <f t="shared" si="4"/>
        <v>36.5186440677966</v>
      </c>
      <c r="O10" s="313">
        <f t="shared" si="5"/>
        <v>-73.820044067796658</v>
      </c>
      <c r="P10" s="314">
        <f t="shared" si="6"/>
        <v>-0.30835440295654415</v>
      </c>
      <c r="Q10" s="313">
        <f t="shared" si="7"/>
        <v>239.39999999999998</v>
      </c>
      <c r="R10" s="313">
        <v>399</v>
      </c>
      <c r="S10" s="309">
        <f>VLOOKUP(C10,Sheet6!AF:AG,2,0)</f>
        <v>1199</v>
      </c>
      <c r="T10" s="309">
        <f>VLOOKUP(B10,Sheet6!AC:AD,2,0)</f>
        <v>0</v>
      </c>
      <c r="U10" s="117"/>
      <c r="V10" s="117"/>
      <c r="W10" s="117"/>
      <c r="X10" s="117"/>
      <c r="Y10" s="117"/>
      <c r="Z10" s="117"/>
      <c r="AA10" s="117"/>
      <c r="AB10" s="117"/>
      <c r="AC10" s="117"/>
      <c r="AD10" s="117"/>
    </row>
    <row r="11" spans="1:30">
      <c r="A11" s="309">
        <f t="shared" si="8"/>
        <v>10</v>
      </c>
      <c r="B11" s="310" t="s">
        <v>340</v>
      </c>
      <c r="C11" s="321" t="s">
        <v>341</v>
      </c>
      <c r="D11" s="321" t="str">
        <f>VLOOKUP(B11,'Margin Calculation'!F:I,4,0)</f>
        <v>HPC</v>
      </c>
      <c r="E11" s="309" t="s">
        <v>342</v>
      </c>
      <c r="F11" s="309" t="s">
        <v>343</v>
      </c>
      <c r="G11" s="312">
        <f>VLOOKUP(B11,'Margin Calculation'!F:Y,20,0)</f>
        <v>165.75408000000002</v>
      </c>
      <c r="H11" s="312">
        <f>VLOOKUP(B11,'Margin Calculation'!F:Z,21,0)</f>
        <v>195.58981439999999</v>
      </c>
      <c r="I11" s="309"/>
      <c r="J11" s="309">
        <f t="shared" si="0"/>
        <v>8.9700000000000006</v>
      </c>
      <c r="K11" s="309">
        <f t="shared" si="1"/>
        <v>8.9700000000000006</v>
      </c>
      <c r="L11" s="309">
        <f t="shared" si="2"/>
        <v>8.9700000000000006</v>
      </c>
      <c r="M11" s="312">
        <f t="shared" si="3"/>
        <v>192.66408000000001</v>
      </c>
      <c r="N11" s="313">
        <f t="shared" si="4"/>
        <v>27.366101694915244</v>
      </c>
      <c r="O11" s="313">
        <f t="shared" si="5"/>
        <v>-40.630181694915251</v>
      </c>
      <c r="P11" s="314">
        <f t="shared" si="6"/>
        <v>-0.22647815883453318</v>
      </c>
      <c r="Q11" s="313">
        <f t="shared" si="7"/>
        <v>179.4</v>
      </c>
      <c r="R11" s="313">
        <v>299</v>
      </c>
      <c r="S11" s="309">
        <f>VLOOKUP(C11,Sheet6!AF:AG,2,0)</f>
        <v>699</v>
      </c>
      <c r="T11" s="309">
        <f>VLOOKUP(B11,Sheet6!AC:AD,2,0)</f>
        <v>557</v>
      </c>
      <c r="U11" s="117"/>
      <c r="V11" s="117"/>
      <c r="W11" s="117"/>
      <c r="X11" s="117"/>
      <c r="Y11" s="117"/>
      <c r="Z11" s="117"/>
      <c r="AA11" s="117"/>
      <c r="AB11" s="117"/>
      <c r="AC11" s="117"/>
      <c r="AD11" s="117"/>
    </row>
    <row r="12" spans="1:30">
      <c r="A12" s="309">
        <f t="shared" si="8"/>
        <v>11</v>
      </c>
      <c r="B12" s="310" t="s">
        <v>418</v>
      </c>
      <c r="C12" s="321" t="s">
        <v>419</v>
      </c>
      <c r="D12" s="321" t="str">
        <f>VLOOKUP(B12,'Margin Calculation'!F:I,4,0)</f>
        <v>Home &amp; Kitchen</v>
      </c>
      <c r="E12" s="310" t="s">
        <v>420</v>
      </c>
      <c r="F12" s="310" t="s">
        <v>422</v>
      </c>
      <c r="G12" s="312">
        <f>VLOOKUP(B12,'Margin Calculation'!F:Y,20,0)</f>
        <v>1159.1586</v>
      </c>
      <c r="H12" s="312">
        <f>VLOOKUP(B12,'Margin Calculation'!F:Z,21,0)</f>
        <v>1367.8071479999999</v>
      </c>
      <c r="I12" s="309"/>
      <c r="J12" s="309">
        <f t="shared" si="0"/>
        <v>71.97</v>
      </c>
      <c r="K12" s="309">
        <f t="shared" si="1"/>
        <v>71.97</v>
      </c>
      <c r="L12" s="309">
        <f t="shared" si="2"/>
        <v>71.97</v>
      </c>
      <c r="M12" s="312">
        <f t="shared" si="3"/>
        <v>1375.0686000000001</v>
      </c>
      <c r="N12" s="313">
        <f t="shared" si="4"/>
        <v>219.5694915254237</v>
      </c>
      <c r="O12" s="313">
        <f t="shared" si="5"/>
        <v>-155.2380915254239</v>
      </c>
      <c r="P12" s="314">
        <f t="shared" si="6"/>
        <v>-0.10784916737906344</v>
      </c>
      <c r="Q12" s="313">
        <f t="shared" si="7"/>
        <v>1439.3999999999999</v>
      </c>
      <c r="R12" s="313">
        <v>2399</v>
      </c>
      <c r="S12" s="309">
        <f>VLOOKUP(C12,Sheet6!AF:AG,2,0)</f>
        <v>6999</v>
      </c>
      <c r="T12" s="309">
        <f>VLOOKUP(B12,Sheet6!AC:AD,2,0)</f>
        <v>1388</v>
      </c>
      <c r="U12" s="117"/>
      <c r="V12" s="117"/>
      <c r="W12" s="117"/>
      <c r="X12" s="117"/>
      <c r="Y12" s="117"/>
      <c r="Z12" s="117"/>
      <c r="AA12" s="117"/>
      <c r="AB12" s="117"/>
      <c r="AC12" s="117"/>
      <c r="AD12" s="117"/>
    </row>
    <row r="13" spans="1:30">
      <c r="A13" s="315">
        <f t="shared" si="8"/>
        <v>12</v>
      </c>
      <c r="B13" s="316" t="s">
        <v>424</v>
      </c>
      <c r="C13" s="322" t="s">
        <v>425</v>
      </c>
      <c r="D13" s="322" t="str">
        <f>VLOOKUP(B13,'Margin Calculation'!F:I,4,0)</f>
        <v>Home &amp; Kitchen</v>
      </c>
      <c r="E13" s="318" t="s">
        <v>426</v>
      </c>
      <c r="F13" s="316" t="s">
        <v>427</v>
      </c>
      <c r="G13" s="319">
        <f>VLOOKUP(B13,'Margin Calculation'!F:Y,20,0)</f>
        <v>957.84120000000019</v>
      </c>
      <c r="H13" s="319">
        <f>VLOOKUP(B13,'Margin Calculation'!F:Z,21,0)</f>
        <v>1130.2526160000002</v>
      </c>
      <c r="I13" s="315"/>
      <c r="J13" s="315">
        <f t="shared" si="0"/>
        <v>86.97</v>
      </c>
      <c r="K13" s="315">
        <f t="shared" si="1"/>
        <v>86.97</v>
      </c>
      <c r="L13" s="315">
        <f t="shared" si="2"/>
        <v>86.97</v>
      </c>
      <c r="M13" s="319">
        <f t="shared" si="3"/>
        <v>1218.7512000000002</v>
      </c>
      <c r="N13" s="248">
        <f t="shared" si="4"/>
        <v>265.33220338983051</v>
      </c>
      <c r="O13" s="248">
        <f t="shared" si="5"/>
        <v>255.3165966101692</v>
      </c>
      <c r="P13" s="320">
        <f t="shared" si="6"/>
        <v>0.14678429148566702</v>
      </c>
      <c r="Q13" s="248">
        <f t="shared" si="7"/>
        <v>1739.3999999999999</v>
      </c>
      <c r="R13" s="248">
        <v>2899</v>
      </c>
      <c r="S13" s="315">
        <f>VLOOKUP(C13,Sheet6!AF:AG,2,0)</f>
        <v>5499</v>
      </c>
      <c r="T13" s="315">
        <f>VLOOKUP(B13,Sheet6!AC:AD,2,0)</f>
        <v>3606</v>
      </c>
      <c r="U13" s="117"/>
      <c r="V13" s="117"/>
      <c r="W13" s="117"/>
      <c r="X13" s="117"/>
      <c r="Y13" s="117"/>
      <c r="Z13" s="117"/>
      <c r="AA13" s="117"/>
      <c r="AB13" s="117"/>
      <c r="AC13" s="117"/>
      <c r="AD13" s="117"/>
    </row>
    <row r="14" spans="1:30">
      <c r="A14" s="315">
        <f t="shared" si="8"/>
        <v>13</v>
      </c>
      <c r="B14" s="316" t="s">
        <v>434</v>
      </c>
      <c r="C14" s="322" t="s">
        <v>435</v>
      </c>
      <c r="D14" s="322" t="str">
        <f>VLOOKUP(B14,'Margin Calculation'!F:I,4,0)</f>
        <v>HPC</v>
      </c>
      <c r="E14" s="316" t="s">
        <v>436</v>
      </c>
      <c r="F14" s="316" t="s">
        <v>439</v>
      </c>
      <c r="G14" s="319">
        <f>VLOOKUP(B14,'Margin Calculation'!F:Y,20,0)</f>
        <v>456.50304000000006</v>
      </c>
      <c r="H14" s="319">
        <f>VLOOKUP(B14,'Margin Calculation'!F:Z,21,0)</f>
        <v>538.67358720000004</v>
      </c>
      <c r="I14" s="315"/>
      <c r="J14" s="315">
        <f t="shared" si="0"/>
        <v>29.97</v>
      </c>
      <c r="K14" s="315">
        <f t="shared" si="1"/>
        <v>29.97</v>
      </c>
      <c r="L14" s="315">
        <f t="shared" si="2"/>
        <v>29.97</v>
      </c>
      <c r="M14" s="319">
        <f t="shared" si="3"/>
        <v>546.41304000000014</v>
      </c>
      <c r="N14" s="248">
        <f t="shared" si="4"/>
        <v>91.433898305084711</v>
      </c>
      <c r="O14" s="248">
        <f t="shared" si="5"/>
        <v>-38.446938305084871</v>
      </c>
      <c r="P14" s="323">
        <f t="shared" si="6"/>
        <v>-6.4142372881356144E-2</v>
      </c>
      <c r="Q14" s="248">
        <f t="shared" si="7"/>
        <v>599.4</v>
      </c>
      <c r="R14" s="248">
        <v>999</v>
      </c>
      <c r="S14" s="315">
        <f>VLOOKUP(C14,Sheet6!AF:AG,2,0)</f>
        <v>1999</v>
      </c>
      <c r="T14" s="315">
        <f>VLOOKUP(B14,Sheet6!AC:AD,2,0)</f>
        <v>1845</v>
      </c>
      <c r="U14" s="117"/>
      <c r="V14" s="117"/>
      <c r="W14" s="117"/>
      <c r="X14" s="117"/>
      <c r="Y14" s="117"/>
      <c r="Z14" s="117"/>
      <c r="AA14" s="117"/>
      <c r="AB14" s="117"/>
      <c r="AC14" s="117"/>
      <c r="AD14" s="117"/>
    </row>
    <row r="15" spans="1:30">
      <c r="A15" s="309">
        <f t="shared" si="8"/>
        <v>14</v>
      </c>
      <c r="B15" s="310" t="s">
        <v>441</v>
      </c>
      <c r="C15" s="321" t="s">
        <v>442</v>
      </c>
      <c r="D15" s="321" t="str">
        <f>VLOOKUP(B15,'Margin Calculation'!F:I,4,0)</f>
        <v>HPC</v>
      </c>
      <c r="E15" s="310" t="s">
        <v>443</v>
      </c>
      <c r="F15" s="310" t="s">
        <v>445</v>
      </c>
      <c r="G15" s="312">
        <f>VLOOKUP(B15,'Margin Calculation'!F:Y,20,0)</f>
        <v>443.50416000000001</v>
      </c>
      <c r="H15" s="312">
        <f>VLOOKUP(B15,'Margin Calculation'!F:Z,21,0)</f>
        <v>523.33490879999999</v>
      </c>
      <c r="I15" s="309"/>
      <c r="J15" s="309">
        <f t="shared" si="0"/>
        <v>32.97</v>
      </c>
      <c r="K15" s="309">
        <f t="shared" si="1"/>
        <v>32.97</v>
      </c>
      <c r="L15" s="309">
        <f t="shared" si="2"/>
        <v>32.97</v>
      </c>
      <c r="M15" s="312">
        <f t="shared" si="3"/>
        <v>542.41416000000004</v>
      </c>
      <c r="N15" s="313">
        <f t="shared" si="4"/>
        <v>100.58644067796604</v>
      </c>
      <c r="O15" s="313">
        <f t="shared" si="5"/>
        <v>16.399399322033901</v>
      </c>
      <c r="P15" s="314">
        <f t="shared" si="6"/>
        <v>2.4870183988525783E-2</v>
      </c>
      <c r="Q15" s="313">
        <f t="shared" si="7"/>
        <v>659.4</v>
      </c>
      <c r="R15" s="313">
        <v>1099</v>
      </c>
      <c r="S15" s="309">
        <f>VLOOKUP(C15,Sheet6!AF:AG,2,0)</f>
        <v>1499</v>
      </c>
      <c r="T15" s="309">
        <f>VLOOKUP(B15,Sheet6!AC:AD,2,0)</f>
        <v>1048</v>
      </c>
      <c r="U15" s="117"/>
      <c r="V15" s="117"/>
      <c r="W15" s="117"/>
      <c r="X15" s="117"/>
      <c r="Y15" s="117"/>
      <c r="Z15" s="117"/>
      <c r="AA15" s="117"/>
      <c r="AB15" s="117"/>
      <c r="AC15" s="117"/>
      <c r="AD15" s="117"/>
    </row>
    <row r="16" spans="1:30">
      <c r="A16" s="315">
        <f t="shared" si="8"/>
        <v>15</v>
      </c>
      <c r="B16" s="316" t="s">
        <v>448</v>
      </c>
      <c r="C16" s="322" t="s">
        <v>449</v>
      </c>
      <c r="D16" s="322" t="str">
        <f>VLOOKUP(B16,'Margin Calculation'!F:I,4,0)</f>
        <v>HPC</v>
      </c>
      <c r="E16" s="316" t="s">
        <v>450</v>
      </c>
      <c r="F16" s="316" t="s">
        <v>451</v>
      </c>
      <c r="G16" s="319">
        <f>VLOOKUP(B16,'Margin Calculation'!F:Y,20,0)</f>
        <v>520.78140000000008</v>
      </c>
      <c r="H16" s="319">
        <f>VLOOKUP(B16,'Margin Calculation'!F:Z,21,0)</f>
        <v>614.52205200000003</v>
      </c>
      <c r="I16" s="315"/>
      <c r="J16" s="315">
        <f t="shared" si="0"/>
        <v>41.97</v>
      </c>
      <c r="K16" s="315">
        <f t="shared" si="1"/>
        <v>41.97</v>
      </c>
      <c r="L16" s="315">
        <f t="shared" si="2"/>
        <v>41.97</v>
      </c>
      <c r="M16" s="319">
        <f t="shared" si="3"/>
        <v>646.69140000000016</v>
      </c>
      <c r="N16" s="248">
        <f t="shared" si="4"/>
        <v>128.04406779661008</v>
      </c>
      <c r="O16" s="248">
        <f t="shared" si="5"/>
        <v>64.66453220338974</v>
      </c>
      <c r="P16" s="323">
        <f t="shared" si="6"/>
        <v>7.7036612107922023E-2</v>
      </c>
      <c r="Q16" s="248">
        <f t="shared" si="7"/>
        <v>839.4</v>
      </c>
      <c r="R16" s="248">
        <v>1399</v>
      </c>
      <c r="S16" s="315">
        <f>VLOOKUP(C16,Sheet6!AF:AG,2,0)</f>
        <v>1899</v>
      </c>
      <c r="T16" s="315">
        <f>VLOOKUP(B16,Sheet6!AC:AD,2,0)</f>
        <v>2114</v>
      </c>
      <c r="U16" s="117"/>
      <c r="V16" s="117"/>
      <c r="W16" s="117"/>
      <c r="X16" s="117"/>
      <c r="Y16" s="117"/>
      <c r="Z16" s="117"/>
      <c r="AA16" s="117"/>
      <c r="AB16" s="117"/>
      <c r="AC16" s="117"/>
      <c r="AD16" s="117"/>
    </row>
    <row r="17" spans="1:30">
      <c r="A17" s="315">
        <f t="shared" si="8"/>
        <v>16</v>
      </c>
      <c r="B17" s="316" t="s">
        <v>454</v>
      </c>
      <c r="C17" s="322" t="s">
        <v>455</v>
      </c>
      <c r="D17" s="322" t="str">
        <f>VLOOKUP(B17,'Margin Calculation'!F:I,4,0)</f>
        <v>Home &amp; Kitchen</v>
      </c>
      <c r="E17" s="318" t="s">
        <v>456</v>
      </c>
      <c r="F17" s="316" t="s">
        <v>457</v>
      </c>
      <c r="G17" s="319">
        <f>VLOOKUP(B17,'Margin Calculation'!F:Y,20,0)</f>
        <v>839.97</v>
      </c>
      <c r="H17" s="319">
        <f>VLOOKUP(B17,'Margin Calculation'!F:Z,21,0)</f>
        <v>991.16459999999995</v>
      </c>
      <c r="I17" s="315"/>
      <c r="J17" s="315">
        <f t="shared" si="0"/>
        <v>59.97</v>
      </c>
      <c r="K17" s="315">
        <f t="shared" si="1"/>
        <v>59.97</v>
      </c>
      <c r="L17" s="315">
        <f t="shared" si="2"/>
        <v>59.97</v>
      </c>
      <c r="M17" s="319">
        <f t="shared" si="3"/>
        <v>1019.8800000000001</v>
      </c>
      <c r="N17" s="248">
        <f t="shared" si="4"/>
        <v>182.95932203389827</v>
      </c>
      <c r="O17" s="248">
        <f t="shared" si="5"/>
        <v>-3.4393220338985202</v>
      </c>
      <c r="P17" s="320">
        <f t="shared" si="6"/>
        <v>-2.8675354626467573E-3</v>
      </c>
      <c r="Q17" s="248">
        <f t="shared" si="7"/>
        <v>1199.3999999999999</v>
      </c>
      <c r="R17" s="248">
        <v>1999</v>
      </c>
      <c r="S17" s="315">
        <f>VLOOKUP(C17,Sheet6!AF:AG,2,0)</f>
        <v>3999</v>
      </c>
      <c r="T17" s="315">
        <f>VLOOKUP(B17,Sheet6!AC:AD,2,0)</f>
        <v>1438</v>
      </c>
      <c r="U17" s="117"/>
      <c r="V17" s="117"/>
      <c r="W17" s="117"/>
      <c r="X17" s="117"/>
      <c r="Y17" s="117"/>
      <c r="Z17" s="117"/>
      <c r="AA17" s="117"/>
      <c r="AB17" s="117"/>
      <c r="AC17" s="117"/>
      <c r="AD17" s="117"/>
    </row>
    <row r="18" spans="1:30">
      <c r="A18" s="324">
        <f t="shared" si="8"/>
        <v>17</v>
      </c>
      <c r="B18" s="325" t="s">
        <v>462</v>
      </c>
      <c r="C18" s="326" t="s">
        <v>463</v>
      </c>
      <c r="D18" s="326" t="str">
        <f>VLOOKUP(B18,'Margin Calculation'!F:I,4,0)</f>
        <v>HPC</v>
      </c>
      <c r="E18" s="325" t="s">
        <v>464</v>
      </c>
      <c r="F18" s="325" t="s">
        <v>466</v>
      </c>
      <c r="G18" s="327">
        <f>VLOOKUP(B18,'Margin Calculation'!F:Y,20,0)</f>
        <v>615.97800000000007</v>
      </c>
      <c r="H18" s="327">
        <f>VLOOKUP(B18,'Margin Calculation'!F:Z,21,0)</f>
        <v>726.85404000000005</v>
      </c>
      <c r="I18" s="324"/>
      <c r="J18" s="324">
        <f t="shared" si="0"/>
        <v>41.97</v>
      </c>
      <c r="K18" s="324">
        <f t="shared" si="1"/>
        <v>41.97</v>
      </c>
      <c r="L18" s="324">
        <f t="shared" si="2"/>
        <v>41.97</v>
      </c>
      <c r="M18" s="327">
        <f t="shared" si="3"/>
        <v>741.88800000000015</v>
      </c>
      <c r="N18" s="300">
        <f t="shared" si="4"/>
        <v>128.04406779661008</v>
      </c>
      <c r="O18" s="300">
        <f t="shared" si="5"/>
        <v>-30.532067796610249</v>
      </c>
      <c r="P18" s="303">
        <f t="shared" si="6"/>
        <v>-3.6373680958554026E-2</v>
      </c>
      <c r="Q18" s="300">
        <f t="shared" si="7"/>
        <v>839.4</v>
      </c>
      <c r="R18" s="300">
        <v>1399</v>
      </c>
      <c r="S18" s="324">
        <f>VLOOKUP(C18,Sheet6!AF:AG,2,0)</f>
        <v>3499</v>
      </c>
      <c r="T18" s="324">
        <f>VLOOKUP(B18,Sheet6!AC:AD,2,0)</f>
        <v>1440</v>
      </c>
      <c r="U18" s="117"/>
      <c r="V18" s="117"/>
      <c r="W18" s="117"/>
      <c r="X18" s="117"/>
      <c r="Y18" s="117"/>
      <c r="Z18" s="117"/>
      <c r="AA18" s="117"/>
      <c r="AB18" s="117"/>
      <c r="AC18" s="117"/>
      <c r="AD18" s="117"/>
    </row>
    <row r="19" spans="1:30">
      <c r="A19" s="315">
        <f t="shared" si="8"/>
        <v>18</v>
      </c>
      <c r="B19" s="316" t="s">
        <v>468</v>
      </c>
      <c r="C19" s="328" t="s">
        <v>469</v>
      </c>
      <c r="D19" s="328" t="str">
        <f>VLOOKUP(B19,'Margin Calculation'!F:I,4,0)</f>
        <v>HPC</v>
      </c>
      <c r="E19" s="316" t="s">
        <v>470</v>
      </c>
      <c r="F19" s="316" t="s">
        <v>466</v>
      </c>
      <c r="G19" s="319">
        <f>VLOOKUP(B19,'Margin Calculation'!F:Y,20,0)</f>
        <v>559.9799999999999</v>
      </c>
      <c r="H19" s="319">
        <f>VLOOKUP(B19,'Margin Calculation'!F:Z,21,0)</f>
        <v>660.77639999999985</v>
      </c>
      <c r="I19" s="315"/>
      <c r="J19" s="315">
        <f t="shared" si="0"/>
        <v>47.97</v>
      </c>
      <c r="K19" s="315">
        <f t="shared" si="1"/>
        <v>47.97</v>
      </c>
      <c r="L19" s="315">
        <f t="shared" si="2"/>
        <v>47.97</v>
      </c>
      <c r="M19" s="319">
        <f t="shared" si="3"/>
        <v>703.89</v>
      </c>
      <c r="N19" s="248">
        <f t="shared" si="4"/>
        <v>146.34915254237285</v>
      </c>
      <c r="O19" s="248">
        <f t="shared" si="5"/>
        <v>109.16084745762714</v>
      </c>
      <c r="P19" s="320">
        <f t="shared" si="6"/>
        <v>0.11378032880719945</v>
      </c>
      <c r="Q19" s="248">
        <f t="shared" si="7"/>
        <v>959.4</v>
      </c>
      <c r="R19" s="248">
        <v>1599</v>
      </c>
      <c r="S19" s="315">
        <f>VLOOKUP(C19,Sheet6!AF:AG,2,0)</f>
        <v>3499</v>
      </c>
      <c r="T19" s="315">
        <f>VLOOKUP(B19,Sheet6!AC:AD,2,0)</f>
        <v>4424</v>
      </c>
      <c r="U19" s="117"/>
      <c r="V19" s="117"/>
      <c r="W19" s="117"/>
      <c r="X19" s="117"/>
      <c r="Y19" s="117"/>
      <c r="Z19" s="117"/>
      <c r="AA19" s="117"/>
      <c r="AB19" s="117"/>
      <c r="AC19" s="117"/>
      <c r="AD19" s="117"/>
    </row>
    <row r="20" spans="1:30">
      <c r="A20" s="315">
        <f t="shared" si="8"/>
        <v>19</v>
      </c>
      <c r="B20" s="316" t="s">
        <v>480</v>
      </c>
      <c r="C20" s="317" t="s">
        <v>509</v>
      </c>
      <c r="D20" s="317" t="str">
        <f>VLOOKUP(B20,'Margin Calculation'!F:I,4,0)</f>
        <v>Hair Care</v>
      </c>
      <c r="E20" s="316" t="s">
        <v>481</v>
      </c>
      <c r="F20" s="316" t="s">
        <v>482</v>
      </c>
      <c r="G20" s="319">
        <f>VLOOKUP(B20,'Margin Calculation'!F:Y,20,0)</f>
        <v>455.82372000000009</v>
      </c>
      <c r="H20" s="319">
        <f>VLOOKUP(B20,'Margin Calculation'!F:Z,21,0)</f>
        <v>537.87198960000012</v>
      </c>
      <c r="I20" s="315"/>
      <c r="J20" s="315">
        <f t="shared" si="0"/>
        <v>44.97</v>
      </c>
      <c r="K20" s="315">
        <f t="shared" si="1"/>
        <v>44.97</v>
      </c>
      <c r="L20" s="315">
        <f t="shared" si="2"/>
        <v>44.97</v>
      </c>
      <c r="M20" s="319">
        <f t="shared" si="3"/>
        <v>590.73372000000018</v>
      </c>
      <c r="N20" s="248">
        <f t="shared" si="4"/>
        <v>137.19661016949146</v>
      </c>
      <c r="O20" s="248">
        <f t="shared" si="5"/>
        <v>171.46966983050834</v>
      </c>
      <c r="P20" s="323">
        <f t="shared" si="6"/>
        <v>0.19064895467034507</v>
      </c>
      <c r="Q20" s="248">
        <f t="shared" si="7"/>
        <v>899.4</v>
      </c>
      <c r="R20" s="248">
        <v>1499</v>
      </c>
      <c r="S20" s="315">
        <f>VLOOKUP(C20,Sheet6!AF:AG,2,0)</f>
        <v>2499</v>
      </c>
      <c r="T20" s="315">
        <v>1771</v>
      </c>
      <c r="U20" s="117"/>
      <c r="V20" s="117"/>
      <c r="W20" s="117"/>
      <c r="X20" s="117"/>
      <c r="Y20" s="117"/>
      <c r="Z20" s="117"/>
      <c r="AA20" s="117"/>
      <c r="AB20" s="117"/>
      <c r="AC20" s="117"/>
      <c r="AD20" s="117"/>
    </row>
    <row r="21" spans="1:30">
      <c r="A21" s="309">
        <v>21</v>
      </c>
      <c r="B21" s="310" t="s">
        <v>485</v>
      </c>
      <c r="C21" s="311" t="s">
        <v>472</v>
      </c>
      <c r="D21" s="311" t="str">
        <f>VLOOKUP(B21,'Margin Calculation'!F:I,4,0)</f>
        <v>Home &amp; Kitchen</v>
      </c>
      <c r="E21" s="310" t="s">
        <v>486</v>
      </c>
      <c r="F21" s="310" t="s">
        <v>487</v>
      </c>
      <c r="G21" s="312">
        <f>VLOOKUP(B21,'Margin Calculation'!F:Y,20,0)</f>
        <v>321.42851999999999</v>
      </c>
      <c r="H21" s="312">
        <f>VLOOKUP(B21,'Margin Calculation'!F:Z,21,0)</f>
        <v>379.28565359999999</v>
      </c>
      <c r="I21" s="309"/>
      <c r="J21" s="309">
        <f t="shared" si="0"/>
        <v>23.97</v>
      </c>
      <c r="K21" s="309">
        <f t="shared" si="1"/>
        <v>23.97</v>
      </c>
      <c r="L21" s="309">
        <f t="shared" si="2"/>
        <v>23.97</v>
      </c>
      <c r="M21" s="312">
        <f t="shared" si="3"/>
        <v>393.33852000000002</v>
      </c>
      <c r="N21" s="313">
        <f t="shared" si="4"/>
        <v>73.128813559321998</v>
      </c>
      <c r="O21" s="313">
        <f t="shared" si="5"/>
        <v>12.932666440677963</v>
      </c>
      <c r="P21" s="314">
        <f t="shared" si="6"/>
        <v>2.6976776054814276E-2</v>
      </c>
      <c r="Q21" s="313">
        <f t="shared" si="7"/>
        <v>479.4</v>
      </c>
      <c r="R21" s="313">
        <v>799</v>
      </c>
      <c r="S21" s="309">
        <f>VLOOKUP(C21,Sheet6!AF:AG,2,0)</f>
        <v>1299</v>
      </c>
      <c r="T21" s="309">
        <v>736</v>
      </c>
      <c r="U21" s="117"/>
      <c r="V21" s="117"/>
      <c r="W21" s="117"/>
      <c r="X21" s="117"/>
      <c r="Y21" s="117"/>
      <c r="Z21" s="117"/>
      <c r="AA21" s="117"/>
      <c r="AB21" s="117"/>
      <c r="AC21" s="117"/>
      <c r="AD21" s="117"/>
    </row>
    <row r="22" spans="1:30">
      <c r="A22" s="309">
        <f t="shared" ref="A22:A87" si="9">A21+1</f>
        <v>22</v>
      </c>
      <c r="B22" s="310" t="s">
        <v>488</v>
      </c>
      <c r="C22" s="311" t="s">
        <v>472</v>
      </c>
      <c r="D22" s="311" t="str">
        <f>VLOOKUP(B22,'Margin Calculation'!F:I,4,0)</f>
        <v>Home &amp; Kitchen</v>
      </c>
      <c r="E22" s="310" t="s">
        <v>489</v>
      </c>
      <c r="F22" s="310" t="s">
        <v>490</v>
      </c>
      <c r="G22" s="312">
        <f>VLOOKUP(B22,'Margin Calculation'!F:Y,20,0)</f>
        <v>331.50816000000003</v>
      </c>
      <c r="H22" s="312">
        <f>VLOOKUP(B22,'Margin Calculation'!F:Z,21,0)</f>
        <v>391.17962879999999</v>
      </c>
      <c r="I22" s="309"/>
      <c r="J22" s="309">
        <f t="shared" si="0"/>
        <v>23.97</v>
      </c>
      <c r="K22" s="309">
        <f t="shared" si="1"/>
        <v>23.97</v>
      </c>
      <c r="L22" s="309">
        <f t="shared" si="2"/>
        <v>23.97</v>
      </c>
      <c r="M22" s="312">
        <f t="shared" si="3"/>
        <v>403.41816000000006</v>
      </c>
      <c r="N22" s="313">
        <f t="shared" si="4"/>
        <v>73.128813559321998</v>
      </c>
      <c r="O22" s="313">
        <f t="shared" si="5"/>
        <v>2.8530264406779224</v>
      </c>
      <c r="P22" s="314">
        <f t="shared" si="6"/>
        <v>5.951244139920573E-3</v>
      </c>
      <c r="Q22" s="313">
        <f t="shared" si="7"/>
        <v>479.4</v>
      </c>
      <c r="R22" s="313">
        <v>799</v>
      </c>
      <c r="S22" s="309">
        <f>VLOOKUP(C22,Sheet6!AF:AG,2,0)</f>
        <v>1299</v>
      </c>
      <c r="T22" s="309">
        <v>423</v>
      </c>
      <c r="U22" s="117"/>
      <c r="V22" s="117"/>
      <c r="W22" s="117"/>
      <c r="X22" s="117"/>
      <c r="Y22" s="117"/>
      <c r="Z22" s="117"/>
      <c r="AA22" s="117"/>
      <c r="AB22" s="117"/>
      <c r="AC22" s="117"/>
      <c r="AD22" s="117"/>
    </row>
    <row r="23" spans="1:30">
      <c r="A23" s="309">
        <f t="shared" si="9"/>
        <v>23</v>
      </c>
      <c r="B23" s="321" t="s">
        <v>491</v>
      </c>
      <c r="C23" s="311" t="s">
        <v>492</v>
      </c>
      <c r="D23" s="311" t="str">
        <f>VLOOKUP(B23,'Margin Calculation'!F:I,4,0)</f>
        <v>Home &amp; Kitchen</v>
      </c>
      <c r="E23" s="310" t="s">
        <v>493</v>
      </c>
      <c r="F23" s="310" t="s">
        <v>494</v>
      </c>
      <c r="G23" s="312">
        <f>VLOOKUP(B23,'Margin Calculation'!F:Y,20,0)</f>
        <v>1959.93</v>
      </c>
      <c r="H23" s="312">
        <f>VLOOKUP(B23,'Margin Calculation'!F:Z,21,0)</f>
        <v>2312.7174</v>
      </c>
      <c r="I23" s="309"/>
      <c r="J23" s="309">
        <f t="shared" si="0"/>
        <v>110.97000000000001</v>
      </c>
      <c r="K23" s="309">
        <f t="shared" si="1"/>
        <v>110.97000000000001</v>
      </c>
      <c r="L23" s="309">
        <f t="shared" si="2"/>
        <v>110.97000000000001</v>
      </c>
      <c r="M23" s="312">
        <f t="shared" si="3"/>
        <v>2292.8399999999997</v>
      </c>
      <c r="N23" s="313">
        <f t="shared" si="4"/>
        <v>338.55254237288136</v>
      </c>
      <c r="O23" s="313">
        <f t="shared" si="5"/>
        <v>-411.99254237288096</v>
      </c>
      <c r="P23" s="314">
        <f t="shared" si="6"/>
        <v>-0.185632397212256</v>
      </c>
      <c r="Q23" s="313">
        <f t="shared" si="7"/>
        <v>2219.4</v>
      </c>
      <c r="R23" s="313">
        <v>3699</v>
      </c>
      <c r="S23" s="309">
        <f>VLOOKUP(C23,Sheet6!AF:AG,2,0)</f>
        <v>8999</v>
      </c>
      <c r="T23" s="309">
        <f>VLOOKUP(B23,Sheet6!AC:AD,2,0)</f>
        <v>1281</v>
      </c>
      <c r="U23" s="117"/>
      <c r="V23" s="117"/>
      <c r="W23" s="117"/>
      <c r="X23" s="117"/>
      <c r="Y23" s="117"/>
      <c r="Z23" s="117"/>
      <c r="AA23" s="117"/>
      <c r="AB23" s="117"/>
      <c r="AC23" s="117"/>
      <c r="AD23" s="117"/>
    </row>
    <row r="24" spans="1:30">
      <c r="A24" s="315">
        <f t="shared" si="9"/>
        <v>24</v>
      </c>
      <c r="B24" s="316" t="s">
        <v>500</v>
      </c>
      <c r="C24" s="317" t="s">
        <v>501</v>
      </c>
      <c r="D24" s="317" t="str">
        <f>VLOOKUP(B24,'Margin Calculation'!F:I,4,0)</f>
        <v>Home &amp; Kitchen</v>
      </c>
      <c r="E24" s="318" t="s">
        <v>459</v>
      </c>
      <c r="F24" s="316" t="s">
        <v>503</v>
      </c>
      <c r="G24" s="319">
        <f>VLOOKUP(B24,'Margin Calculation'!F:Y,20,0)</f>
        <v>380.78639999999996</v>
      </c>
      <c r="H24" s="319">
        <f>VLOOKUP(B24,'Margin Calculation'!F:Z,21,0)</f>
        <v>449.32795199999993</v>
      </c>
      <c r="I24" s="315"/>
      <c r="J24" s="315">
        <f t="shared" si="0"/>
        <v>20.97</v>
      </c>
      <c r="K24" s="315">
        <f t="shared" si="1"/>
        <v>20.97</v>
      </c>
      <c r="L24" s="315">
        <f t="shared" si="2"/>
        <v>20.97</v>
      </c>
      <c r="M24" s="319">
        <f t="shared" si="3"/>
        <v>443.69640000000004</v>
      </c>
      <c r="N24" s="248">
        <f t="shared" si="4"/>
        <v>63.97627118644067</v>
      </c>
      <c r="O24" s="248">
        <f t="shared" si="5"/>
        <v>-88.272671186440732</v>
      </c>
      <c r="P24" s="323">
        <f t="shared" si="6"/>
        <v>-0.21047370335345908</v>
      </c>
      <c r="Q24" s="248">
        <f t="shared" si="7"/>
        <v>419.4</v>
      </c>
      <c r="R24" s="248">
        <v>699</v>
      </c>
      <c r="S24" s="315">
        <f>VLOOKUP(C24,Sheet6!AF:AG,2,0)</f>
        <v>1499</v>
      </c>
      <c r="T24" s="315">
        <f>VLOOKUP(B24,Sheet6!AC:AD,2,0)</f>
        <v>2351</v>
      </c>
      <c r="U24" s="117"/>
      <c r="V24" s="117">
        <f>25*2*3</f>
        <v>150</v>
      </c>
      <c r="W24" s="117"/>
      <c r="X24" s="117"/>
      <c r="Y24" s="117"/>
      <c r="Z24" s="117"/>
      <c r="AA24" s="117"/>
      <c r="AB24" s="117"/>
      <c r="AC24" s="117"/>
      <c r="AD24" s="117"/>
    </row>
    <row r="25" spans="1:30">
      <c r="A25" s="309">
        <f t="shared" si="9"/>
        <v>25</v>
      </c>
      <c r="B25" s="321" t="s">
        <v>504</v>
      </c>
      <c r="C25" s="329" t="s">
        <v>505</v>
      </c>
      <c r="D25" s="329" t="str">
        <f>VLOOKUP(B25,'Margin Calculation'!F:I,4,0)</f>
        <v>Home &amp; Kitchen</v>
      </c>
      <c r="E25" s="310" t="s">
        <v>506</v>
      </c>
      <c r="F25" s="310" t="s">
        <v>507</v>
      </c>
      <c r="G25" s="312">
        <f>VLOOKUP(B25,'Margin Calculation'!F:Y,20,0)</f>
        <v>761.57279999999992</v>
      </c>
      <c r="H25" s="312">
        <f>VLOOKUP(B25,'Margin Calculation'!F:Z,21,0)</f>
        <v>898.65590399999985</v>
      </c>
      <c r="I25" s="309"/>
      <c r="J25" s="309">
        <f t="shared" si="0"/>
        <v>46.47</v>
      </c>
      <c r="K25" s="309">
        <f t="shared" si="1"/>
        <v>46.47</v>
      </c>
      <c r="L25" s="309">
        <f t="shared" si="2"/>
        <v>46.47</v>
      </c>
      <c r="M25" s="312">
        <f t="shared" si="3"/>
        <v>900.9828</v>
      </c>
      <c r="N25" s="313">
        <f t="shared" si="4"/>
        <v>141.77288135593221</v>
      </c>
      <c r="O25" s="313">
        <f t="shared" si="5"/>
        <v>-113.35568135593223</v>
      </c>
      <c r="P25" s="314">
        <f t="shared" si="6"/>
        <v>-0.1219665174907814</v>
      </c>
      <c r="Q25" s="313">
        <f t="shared" si="7"/>
        <v>929.4</v>
      </c>
      <c r="R25" s="313">
        <v>1549</v>
      </c>
      <c r="S25" s="309">
        <f>VLOOKUP(C25,Sheet6!AF:AG,2,0)</f>
        <v>2999</v>
      </c>
      <c r="T25" s="309">
        <f>VLOOKUP(B25,Sheet6!AC:AD,2,0)</f>
        <v>2490</v>
      </c>
      <c r="U25" s="117"/>
      <c r="V25" s="117"/>
      <c r="W25" s="117"/>
      <c r="X25" s="117"/>
      <c r="Y25" s="117"/>
      <c r="Z25" s="117"/>
      <c r="AA25" s="117"/>
      <c r="AB25" s="117"/>
      <c r="AC25" s="117"/>
      <c r="AD25" s="117"/>
    </row>
    <row r="26" spans="1:30">
      <c r="A26" s="315">
        <f t="shared" si="9"/>
        <v>26</v>
      </c>
      <c r="B26" s="322" t="s">
        <v>512</v>
      </c>
      <c r="C26" s="317" t="s">
        <v>513</v>
      </c>
      <c r="D26" s="317" t="str">
        <f>VLOOKUP(B26,'Margin Calculation'!F:I,4,0)</f>
        <v>HPC</v>
      </c>
      <c r="E26" s="316" t="s">
        <v>514</v>
      </c>
      <c r="F26" s="316" t="s">
        <v>516</v>
      </c>
      <c r="G26" s="319">
        <f>VLOOKUP(B26,'Margin Calculation'!F:Y,20,0)</f>
        <v>458.541</v>
      </c>
      <c r="H26" s="319">
        <f>VLOOKUP(B26,'Margin Calculation'!F:Z,21,0)</f>
        <v>513.56592000000001</v>
      </c>
      <c r="I26" s="315"/>
      <c r="J26" s="315">
        <f t="shared" si="0"/>
        <v>29.97</v>
      </c>
      <c r="K26" s="315">
        <f t="shared" si="1"/>
        <v>29.97</v>
      </c>
      <c r="L26" s="315">
        <f t="shared" si="2"/>
        <v>29.97</v>
      </c>
      <c r="M26" s="319">
        <f t="shared" si="3"/>
        <v>548.45100000000002</v>
      </c>
      <c r="N26" s="248">
        <f t="shared" si="4"/>
        <v>91.433898305084711</v>
      </c>
      <c r="O26" s="248">
        <f t="shared" si="5"/>
        <v>-40.484898305084755</v>
      </c>
      <c r="P26" s="323">
        <f t="shared" si="6"/>
        <v>-6.754237288135595E-2</v>
      </c>
      <c r="Q26" s="248">
        <f t="shared" si="7"/>
        <v>599.4</v>
      </c>
      <c r="R26" s="248">
        <v>999</v>
      </c>
      <c r="S26" s="315">
        <f>VLOOKUP(C26,Sheet6!AF:AG,2,0)</f>
        <v>2099</v>
      </c>
      <c r="T26" s="315">
        <f>VLOOKUP(B26,Sheet6!AC:AD,2,0)</f>
        <v>1221</v>
      </c>
      <c r="U26" s="117"/>
      <c r="V26" s="117"/>
      <c r="W26" s="117"/>
      <c r="X26" s="117"/>
      <c r="Y26" s="117"/>
      <c r="Z26" s="117"/>
      <c r="AA26" s="117"/>
      <c r="AB26" s="117"/>
      <c r="AC26" s="117"/>
      <c r="AD26" s="117"/>
    </row>
    <row r="27" spans="1:30">
      <c r="A27" s="315">
        <f t="shared" si="9"/>
        <v>27</v>
      </c>
      <c r="B27" s="316" t="s">
        <v>520</v>
      </c>
      <c r="C27" s="317" t="s">
        <v>521</v>
      </c>
      <c r="D27" s="317" t="str">
        <f>VLOOKUP(B27,'Margin Calculation'!F:I,4,0)</f>
        <v>HPC</v>
      </c>
      <c r="E27" s="316" t="s">
        <v>522</v>
      </c>
      <c r="F27" s="316" t="s">
        <v>524</v>
      </c>
      <c r="G27" s="319">
        <f>VLOOKUP(B27,'Margin Calculation'!F:Y,20,0)</f>
        <v>611.38800000000003</v>
      </c>
      <c r="H27" s="319">
        <f>VLOOKUP(B27,'Margin Calculation'!F:Z,21,0)</f>
        <v>684.75456000000008</v>
      </c>
      <c r="I27" s="315"/>
      <c r="J27" s="315">
        <f t="shared" si="0"/>
        <v>41.97</v>
      </c>
      <c r="K27" s="315">
        <f t="shared" si="1"/>
        <v>41.97</v>
      </c>
      <c r="L27" s="315">
        <f t="shared" si="2"/>
        <v>41.97</v>
      </c>
      <c r="M27" s="319">
        <f t="shared" si="3"/>
        <v>737.29800000000012</v>
      </c>
      <c r="N27" s="248">
        <f t="shared" si="4"/>
        <v>128.04406779661008</v>
      </c>
      <c r="O27" s="248">
        <f t="shared" si="5"/>
        <v>-25.942067796610218</v>
      </c>
      <c r="P27" s="320">
        <f t="shared" si="6"/>
        <v>-3.0905489393150128E-2</v>
      </c>
      <c r="Q27" s="248">
        <f t="shared" si="7"/>
        <v>839.4</v>
      </c>
      <c r="R27" s="248">
        <v>1399</v>
      </c>
      <c r="S27" s="315">
        <f>VLOOKUP(C27,Sheet6!AF:AG,2,0)</f>
        <v>2699</v>
      </c>
      <c r="T27" s="315">
        <f>VLOOKUP(B27,Sheet6!AC:AD,2,0)</f>
        <v>1949</v>
      </c>
      <c r="U27" s="117"/>
      <c r="V27" s="117"/>
      <c r="W27" s="117"/>
      <c r="X27" s="117"/>
      <c r="Y27" s="117"/>
      <c r="Z27" s="117"/>
      <c r="AA27" s="117"/>
      <c r="AB27" s="117"/>
      <c r="AC27" s="117"/>
      <c r="AD27" s="117"/>
    </row>
    <row r="28" spans="1:30">
      <c r="A28" s="309">
        <f t="shared" si="9"/>
        <v>28</v>
      </c>
      <c r="B28" s="310" t="s">
        <v>525</v>
      </c>
      <c r="C28" s="311" t="s">
        <v>526</v>
      </c>
      <c r="D28" s="311" t="str">
        <f>VLOOKUP(B28,'Margin Calculation'!F:I,4,0)</f>
        <v>HPC</v>
      </c>
      <c r="E28" s="310" t="s">
        <v>527</v>
      </c>
      <c r="F28" s="310" t="s">
        <v>528</v>
      </c>
      <c r="G28" s="312">
        <f>VLOOKUP(B28,'Margin Calculation'!F:Y,20,0)</f>
        <v>346.06763999999998</v>
      </c>
      <c r="H28" s="312">
        <f>VLOOKUP(B28,'Margin Calculation'!F:Z,21,0)</f>
        <v>408.35981519999996</v>
      </c>
      <c r="I28" s="309"/>
      <c r="J28" s="309">
        <f t="shared" si="0"/>
        <v>23.97</v>
      </c>
      <c r="K28" s="309">
        <f t="shared" si="1"/>
        <v>23.97</v>
      </c>
      <c r="L28" s="309">
        <f t="shared" si="2"/>
        <v>23.97</v>
      </c>
      <c r="M28" s="312">
        <f t="shared" si="3"/>
        <v>417.97764000000006</v>
      </c>
      <c r="N28" s="313">
        <f t="shared" si="4"/>
        <v>73.128813559321998</v>
      </c>
      <c r="O28" s="313">
        <f t="shared" si="5"/>
        <v>-11.706453559322085</v>
      </c>
      <c r="P28" s="314">
        <f t="shared" si="6"/>
        <v>-2.4418968626036892E-2</v>
      </c>
      <c r="Q28" s="313">
        <f t="shared" si="7"/>
        <v>479.4</v>
      </c>
      <c r="R28" s="313">
        <v>799</v>
      </c>
      <c r="S28" s="309">
        <f>VLOOKUP(C28,Sheet6!AF:AG,2,0)</f>
        <v>1499</v>
      </c>
      <c r="T28" s="309">
        <f>VLOOKUP(B28,Sheet6!AC:AD,2,0)</f>
        <v>182</v>
      </c>
      <c r="U28" s="117"/>
      <c r="V28" s="117"/>
      <c r="W28" s="117"/>
      <c r="X28" s="117"/>
      <c r="Y28" s="117"/>
      <c r="Z28" s="117"/>
      <c r="AA28" s="117"/>
      <c r="AB28" s="117"/>
      <c r="AC28" s="117"/>
      <c r="AD28" s="117"/>
    </row>
    <row r="29" spans="1:30">
      <c r="A29" s="309">
        <f t="shared" si="9"/>
        <v>29</v>
      </c>
      <c r="B29" s="310" t="s">
        <v>529</v>
      </c>
      <c r="C29" s="311" t="s">
        <v>530</v>
      </c>
      <c r="D29" s="311" t="str">
        <f>VLOOKUP(B29,'Margin Calculation'!F:I,4,0)</f>
        <v>HPC</v>
      </c>
      <c r="E29" s="310" t="s">
        <v>531</v>
      </c>
      <c r="F29" s="310" t="s">
        <v>532</v>
      </c>
      <c r="G29" s="312">
        <f>VLOOKUP(B29,'Margin Calculation'!F:Y,20,0)</f>
        <v>352.78740000000005</v>
      </c>
      <c r="H29" s="312">
        <f>VLOOKUP(B29,'Margin Calculation'!F:Z,21,0)</f>
        <v>416.28913200000005</v>
      </c>
      <c r="I29" s="309"/>
      <c r="J29" s="309">
        <f t="shared" si="0"/>
        <v>20.97</v>
      </c>
      <c r="K29" s="309">
        <f t="shared" si="1"/>
        <v>20.97</v>
      </c>
      <c r="L29" s="309">
        <f t="shared" si="2"/>
        <v>20.97</v>
      </c>
      <c r="M29" s="312">
        <f t="shared" si="3"/>
        <v>415.69740000000013</v>
      </c>
      <c r="N29" s="313">
        <f t="shared" si="4"/>
        <v>63.97627118644067</v>
      </c>
      <c r="O29" s="313">
        <f t="shared" si="5"/>
        <v>-60.273671186440822</v>
      </c>
      <c r="P29" s="314">
        <f t="shared" si="6"/>
        <v>-0.14371404670109877</v>
      </c>
      <c r="Q29" s="313">
        <f t="shared" si="7"/>
        <v>419.4</v>
      </c>
      <c r="R29" s="313">
        <v>699</v>
      </c>
      <c r="S29" s="309">
        <f>VLOOKUP(C29,Sheet6!AF:AG,2,0)</f>
        <v>1499</v>
      </c>
      <c r="T29" s="309">
        <f>VLOOKUP(B29,Sheet6!AC:AD,2,0)</f>
        <v>235</v>
      </c>
      <c r="U29" s="117"/>
      <c r="V29" s="117"/>
      <c r="W29" s="117"/>
      <c r="X29" s="117"/>
      <c r="Y29" s="117"/>
      <c r="Z29" s="117"/>
      <c r="AA29" s="117"/>
      <c r="AB29" s="117"/>
      <c r="AC29" s="117"/>
      <c r="AD29" s="117"/>
    </row>
    <row r="30" spans="1:30">
      <c r="A30" s="315">
        <f t="shared" si="9"/>
        <v>30</v>
      </c>
      <c r="B30" s="322" t="s">
        <v>538</v>
      </c>
      <c r="C30" s="328" t="s">
        <v>539</v>
      </c>
      <c r="D30" s="328" t="str">
        <f>VLOOKUP(B30,'Margin Calculation'!F:I,4,0)</f>
        <v>HPC</v>
      </c>
      <c r="E30" s="316" t="s">
        <v>483</v>
      </c>
      <c r="F30" s="316" t="s">
        <v>540</v>
      </c>
      <c r="G30" s="319">
        <f>VLOOKUP(B30,'Margin Calculation'!F:Y,20,0)</f>
        <v>379.66644000000002</v>
      </c>
      <c r="H30" s="319">
        <f>VLOOKUP(B30,'Margin Calculation'!F:Z,21,0)</f>
        <v>448.00639919999998</v>
      </c>
      <c r="I30" s="315"/>
      <c r="J30" s="315">
        <f t="shared" si="0"/>
        <v>29.97</v>
      </c>
      <c r="K30" s="315">
        <f t="shared" si="1"/>
        <v>29.97</v>
      </c>
      <c r="L30" s="315">
        <f t="shared" si="2"/>
        <v>29.97</v>
      </c>
      <c r="M30" s="319">
        <f t="shared" si="3"/>
        <v>469.57644000000005</v>
      </c>
      <c r="N30" s="248">
        <f t="shared" si="4"/>
        <v>91.433898305084711</v>
      </c>
      <c r="O30" s="248">
        <f t="shared" si="5"/>
        <v>38.389661694915219</v>
      </c>
      <c r="P30" s="323">
        <f t="shared" si="6"/>
        <v>6.4046816307833196E-2</v>
      </c>
      <c r="Q30" s="248">
        <f t="shared" si="7"/>
        <v>599.4</v>
      </c>
      <c r="R30" s="248">
        <v>999</v>
      </c>
      <c r="S30" s="315">
        <f>VLOOKUP(C30,Sheet6!AF:AG,2,0)</f>
        <v>1999</v>
      </c>
      <c r="T30" s="315">
        <f>VLOOKUP(B30,Sheet6!AC:AD,2,0)</f>
        <v>698</v>
      </c>
      <c r="U30" s="117"/>
      <c r="V30" s="117"/>
      <c r="W30" s="117"/>
      <c r="X30" s="117"/>
      <c r="Y30" s="117"/>
      <c r="Z30" s="117"/>
      <c r="AA30" s="117"/>
      <c r="AB30" s="117"/>
      <c r="AC30" s="117"/>
      <c r="AD30" s="117"/>
    </row>
    <row r="31" spans="1:30">
      <c r="A31" s="315">
        <f t="shared" si="9"/>
        <v>31</v>
      </c>
      <c r="B31" s="322" t="s">
        <v>543</v>
      </c>
      <c r="C31" s="317" t="s">
        <v>544</v>
      </c>
      <c r="D31" s="317" t="str">
        <f>VLOOKUP(B31,'Margin Calculation'!F:I,4,0)</f>
        <v>HPC</v>
      </c>
      <c r="E31" s="316" t="s">
        <v>545</v>
      </c>
      <c r="F31" s="316" t="s">
        <v>547</v>
      </c>
      <c r="G31" s="319">
        <f>VLOOKUP(B31,'Margin Calculation'!F:Y,20,0)</f>
        <v>611.38800000000003</v>
      </c>
      <c r="H31" s="319">
        <f>VLOOKUP(B31,'Margin Calculation'!F:Z,21,0)</f>
        <v>721.43784000000005</v>
      </c>
      <c r="I31" s="315"/>
      <c r="J31" s="315">
        <f t="shared" si="0"/>
        <v>38.97</v>
      </c>
      <c r="K31" s="315">
        <f t="shared" si="1"/>
        <v>38.97</v>
      </c>
      <c r="L31" s="315">
        <f t="shared" si="2"/>
        <v>38.97</v>
      </c>
      <c r="M31" s="319">
        <f t="shared" si="3"/>
        <v>728.29800000000012</v>
      </c>
      <c r="N31" s="248">
        <f t="shared" si="4"/>
        <v>118.89152542372881</v>
      </c>
      <c r="O31" s="248">
        <f t="shared" si="5"/>
        <v>-67.789525423728946</v>
      </c>
      <c r="P31" s="323">
        <f t="shared" si="6"/>
        <v>-8.6976553019924241E-2</v>
      </c>
      <c r="Q31" s="248">
        <f t="shared" si="7"/>
        <v>779.4</v>
      </c>
      <c r="R31" s="248">
        <v>1299</v>
      </c>
      <c r="S31" s="315">
        <f>VLOOKUP(C31,Sheet6!AF:AG,2,0)</f>
        <v>2999</v>
      </c>
      <c r="T31" s="315">
        <f>VLOOKUP(B31,Sheet6!AC:AD,2,0)</f>
        <v>4086</v>
      </c>
      <c r="U31" s="117"/>
      <c r="V31" s="117"/>
      <c r="W31" s="117"/>
      <c r="X31" s="117"/>
      <c r="Y31" s="117"/>
      <c r="Z31" s="117"/>
      <c r="AA31" s="117"/>
      <c r="AB31" s="117"/>
      <c r="AC31" s="117"/>
      <c r="AD31" s="117"/>
    </row>
    <row r="32" spans="1:30">
      <c r="A32" s="315">
        <f t="shared" si="9"/>
        <v>32</v>
      </c>
      <c r="B32" s="316" t="s">
        <v>557</v>
      </c>
      <c r="C32" s="316" t="s">
        <v>558</v>
      </c>
      <c r="D32" s="316" t="str">
        <f>VLOOKUP(B32,'Margin Calculation'!F:I,4,0)</f>
        <v>Pet Supplies</v>
      </c>
      <c r="E32" s="330" t="s">
        <v>559</v>
      </c>
      <c r="F32" s="315" t="s">
        <v>561</v>
      </c>
      <c r="G32" s="319">
        <f>VLOOKUP(B32,'Margin Calculation'!F:Y,20,0)</f>
        <v>447.18074999999999</v>
      </c>
      <c r="H32" s="319">
        <f>VLOOKUP(B32,'Margin Calculation'!F:Z,21,0)</f>
        <v>527.67328499999996</v>
      </c>
      <c r="I32" s="315"/>
      <c r="J32" s="315">
        <f t="shared" si="0"/>
        <v>37.47</v>
      </c>
      <c r="K32" s="315">
        <f t="shared" si="1"/>
        <v>37.47</v>
      </c>
      <c r="L32" s="315">
        <f t="shared" si="2"/>
        <v>37.47</v>
      </c>
      <c r="M32" s="319">
        <f t="shared" si="3"/>
        <v>559.59075000000007</v>
      </c>
      <c r="N32" s="248">
        <f t="shared" si="4"/>
        <v>114.31525423728806</v>
      </c>
      <c r="O32" s="248">
        <f t="shared" si="5"/>
        <v>75.493995762711847</v>
      </c>
      <c r="P32" s="323">
        <f t="shared" si="6"/>
        <v>0.10073925241888423</v>
      </c>
      <c r="Q32" s="248">
        <f t="shared" si="7"/>
        <v>749.4</v>
      </c>
      <c r="R32" s="248">
        <v>1249</v>
      </c>
      <c r="S32" s="315">
        <f>VLOOKUP(C32,Sheet6!AF:AG,2,0)</f>
        <v>2999</v>
      </c>
      <c r="T32" s="315">
        <f>VLOOKUP(B32,Sheet6!AC:AD,2,0)</f>
        <v>857</v>
      </c>
      <c r="U32" s="117"/>
      <c r="V32" s="117"/>
      <c r="W32" s="117"/>
      <c r="X32" s="117"/>
      <c r="Y32" s="117"/>
      <c r="Z32" s="117"/>
      <c r="AA32" s="117"/>
      <c r="AB32" s="117"/>
      <c r="AC32" s="117"/>
      <c r="AD32" s="117"/>
    </row>
    <row r="33" spans="1:30">
      <c r="A33" s="309">
        <f t="shared" si="9"/>
        <v>33</v>
      </c>
      <c r="B33" s="310" t="s">
        <v>562</v>
      </c>
      <c r="C33" s="321" t="s">
        <v>563</v>
      </c>
      <c r="D33" s="321" t="str">
        <f>VLOOKUP(B33,'Margin Calculation'!F:I,4,0)</f>
        <v>HPC</v>
      </c>
      <c r="E33" s="309" t="s">
        <v>564</v>
      </c>
      <c r="F33" s="309" t="s">
        <v>565</v>
      </c>
      <c r="G33" s="312">
        <f>VLOOKUP(B33,'Margin Calculation'!F:Y,20,0)</f>
        <v>577.89936</v>
      </c>
      <c r="H33" s="312">
        <f>VLOOKUP(B33,'Margin Calculation'!F:Z,21,0)</f>
        <v>681.92124479999995</v>
      </c>
      <c r="I33" s="309"/>
      <c r="J33" s="309">
        <f t="shared" si="0"/>
        <v>44.97</v>
      </c>
      <c r="K33" s="309">
        <f t="shared" si="1"/>
        <v>44.97</v>
      </c>
      <c r="L33" s="309">
        <f t="shared" si="2"/>
        <v>44.97</v>
      </c>
      <c r="M33" s="312">
        <f t="shared" si="3"/>
        <v>712.80936000000008</v>
      </c>
      <c r="N33" s="313">
        <f t="shared" si="4"/>
        <v>137.19661016949146</v>
      </c>
      <c r="O33" s="313">
        <f t="shared" si="5"/>
        <v>49.39402983050843</v>
      </c>
      <c r="P33" s="314">
        <f t="shared" si="6"/>
        <v>5.4918867945862163E-2</v>
      </c>
      <c r="Q33" s="313">
        <f t="shared" si="7"/>
        <v>899.4</v>
      </c>
      <c r="R33" s="313">
        <v>1499</v>
      </c>
      <c r="S33" s="309">
        <f>VLOOKUP(C33,Sheet6!AF:AG,2,0)</f>
        <v>1699</v>
      </c>
      <c r="T33" s="309">
        <f>VLOOKUP(B33,Sheet6!AC:AD,2,0)</f>
        <v>633</v>
      </c>
      <c r="U33" s="117"/>
      <c r="V33" s="117"/>
      <c r="W33" s="117"/>
      <c r="X33" s="117"/>
      <c r="Y33" s="117"/>
      <c r="Z33" s="117"/>
      <c r="AA33" s="117"/>
      <c r="AB33" s="117"/>
      <c r="AC33" s="117"/>
      <c r="AD33" s="117"/>
    </row>
    <row r="34" spans="1:30">
      <c r="A34" s="315">
        <f t="shared" si="9"/>
        <v>34</v>
      </c>
      <c r="B34" s="316" t="s">
        <v>570</v>
      </c>
      <c r="C34" s="322" t="s">
        <v>571</v>
      </c>
      <c r="D34" s="322" t="str">
        <f>VLOOKUP(B34,'Margin Calculation'!F:I,4,0)</f>
        <v>HPC</v>
      </c>
      <c r="E34" s="315" t="s">
        <v>572</v>
      </c>
      <c r="F34" s="315" t="s">
        <v>574</v>
      </c>
      <c r="G34" s="319">
        <f>VLOOKUP(B34,'Margin Calculation'!F:Y,20,0)</f>
        <v>744.77340000000015</v>
      </c>
      <c r="H34" s="319">
        <f>VLOOKUP(B34,'Margin Calculation'!F:Z,21,0)</f>
        <v>878.83261200000015</v>
      </c>
      <c r="I34" s="315"/>
      <c r="J34" s="315">
        <f t="shared" si="0"/>
        <v>47.97</v>
      </c>
      <c r="K34" s="315">
        <f t="shared" si="1"/>
        <v>47.97</v>
      </c>
      <c r="L34" s="315">
        <f t="shared" si="2"/>
        <v>47.97</v>
      </c>
      <c r="M34" s="319">
        <f t="shared" si="3"/>
        <v>888.68340000000023</v>
      </c>
      <c r="N34" s="248">
        <f t="shared" si="4"/>
        <v>146.34915254237285</v>
      </c>
      <c r="O34" s="248">
        <f t="shared" si="5"/>
        <v>-75.632552542373105</v>
      </c>
      <c r="P34" s="320">
        <f t="shared" si="6"/>
        <v>-7.8833179635577552E-2</v>
      </c>
      <c r="Q34" s="248">
        <f t="shared" si="7"/>
        <v>959.4</v>
      </c>
      <c r="R34" s="248">
        <v>1599</v>
      </c>
      <c r="S34" s="315">
        <f>VLOOKUP(C34,Sheet6!AF:AG,2,0)</f>
        <v>2499</v>
      </c>
      <c r="T34" s="315">
        <f>VLOOKUP(B34,Sheet6!AC:AD,2,0)</f>
        <v>2121</v>
      </c>
      <c r="U34" s="117"/>
      <c r="V34" s="117"/>
      <c r="W34" s="117"/>
      <c r="X34" s="117"/>
      <c r="Y34" s="117"/>
      <c r="Z34" s="117"/>
      <c r="AA34" s="117"/>
      <c r="AB34" s="117"/>
      <c r="AC34" s="117"/>
      <c r="AD34" s="117"/>
    </row>
    <row r="35" spans="1:30">
      <c r="A35" s="315">
        <f t="shared" si="9"/>
        <v>35</v>
      </c>
      <c r="B35" s="316" t="s">
        <v>575</v>
      </c>
      <c r="C35" s="322" t="s">
        <v>576</v>
      </c>
      <c r="D35" s="322" t="str">
        <f>VLOOKUP(B35,'Margin Calculation'!F:I,4,0)</f>
        <v>HPC</v>
      </c>
      <c r="E35" s="315" t="s">
        <v>577</v>
      </c>
      <c r="F35" s="315" t="s">
        <v>579</v>
      </c>
      <c r="G35" s="319">
        <f>VLOOKUP(B35,'Margin Calculation'!F:Y,20,0)</f>
        <v>710.05464000000006</v>
      </c>
      <c r="H35" s="319">
        <f>VLOOKUP(B35,'Margin Calculation'!F:Z,21,0)</f>
        <v>837.86447520000002</v>
      </c>
      <c r="I35" s="315"/>
      <c r="J35" s="315">
        <f t="shared" si="0"/>
        <v>65.97</v>
      </c>
      <c r="K35" s="315">
        <f t="shared" si="1"/>
        <v>65.97</v>
      </c>
      <c r="L35" s="315">
        <f t="shared" si="2"/>
        <v>65.97</v>
      </c>
      <c r="M35" s="319">
        <f t="shared" si="3"/>
        <v>907.96464000000014</v>
      </c>
      <c r="N35" s="248">
        <f t="shared" si="4"/>
        <v>201.26440677966093</v>
      </c>
      <c r="O35" s="248">
        <f t="shared" si="5"/>
        <v>210.17095322033879</v>
      </c>
      <c r="P35" s="323">
        <f t="shared" si="6"/>
        <v>0.15929282493583358</v>
      </c>
      <c r="Q35" s="248">
        <f t="shared" si="7"/>
        <v>1319.3999999999999</v>
      </c>
      <c r="R35" s="248">
        <v>2199</v>
      </c>
      <c r="S35" s="315">
        <f>VLOOKUP(C35,Sheet6!AF:AG,2,0)</f>
        <v>3599</v>
      </c>
      <c r="T35" s="315">
        <f>VLOOKUP(B35,Sheet6!AC:AD,2,0)</f>
        <v>461</v>
      </c>
      <c r="U35" s="117"/>
      <c r="V35" s="117"/>
      <c r="W35" s="117"/>
      <c r="X35" s="117"/>
      <c r="Y35" s="117"/>
      <c r="Z35" s="117"/>
      <c r="AA35" s="117"/>
      <c r="AB35" s="117"/>
      <c r="AC35" s="117"/>
      <c r="AD35" s="117"/>
    </row>
    <row r="36" spans="1:30">
      <c r="A36" s="315">
        <f t="shared" si="9"/>
        <v>36</v>
      </c>
      <c r="B36" s="316" t="s">
        <v>580</v>
      </c>
      <c r="C36" s="322" t="s">
        <v>581</v>
      </c>
      <c r="D36" s="322" t="str">
        <f>VLOOKUP(B36,'Margin Calculation'!F:I,4,0)</f>
        <v>HPC</v>
      </c>
      <c r="E36" s="315" t="s">
        <v>582</v>
      </c>
      <c r="F36" s="315" t="s">
        <v>583</v>
      </c>
      <c r="G36" s="319">
        <f>VLOOKUP(B36,'Margin Calculation'!F:Y,20,0)</f>
        <v>827.65044</v>
      </c>
      <c r="H36" s="319">
        <f>VLOOKUP(B36,'Margin Calculation'!F:Z,21,0)</f>
        <v>976.62751919999994</v>
      </c>
      <c r="I36" s="315"/>
      <c r="J36" s="315">
        <f t="shared" si="0"/>
        <v>74.97</v>
      </c>
      <c r="K36" s="315">
        <f t="shared" si="1"/>
        <v>74.97</v>
      </c>
      <c r="L36" s="315">
        <f t="shared" si="2"/>
        <v>74.97</v>
      </c>
      <c r="M36" s="319">
        <f t="shared" si="3"/>
        <v>1052.56044</v>
      </c>
      <c r="N36" s="248">
        <f t="shared" si="4"/>
        <v>228.72203389830497</v>
      </c>
      <c r="O36" s="248">
        <f t="shared" si="5"/>
        <v>218.11752610169492</v>
      </c>
      <c r="P36" s="320">
        <f t="shared" si="6"/>
        <v>0.14546987201660327</v>
      </c>
      <c r="Q36" s="248">
        <f t="shared" si="7"/>
        <v>1499.3999999999999</v>
      </c>
      <c r="R36" s="248">
        <v>2499</v>
      </c>
      <c r="S36" s="315">
        <f>VLOOKUP(C36,Sheet6!AF:AG,2,0)</f>
        <v>3599</v>
      </c>
      <c r="T36" s="315">
        <f>VLOOKUP(B36,Sheet6!AC:AD,2,0)</f>
        <v>1878</v>
      </c>
      <c r="U36" s="117"/>
      <c r="V36" s="117"/>
      <c r="W36" s="117"/>
      <c r="X36" s="117"/>
      <c r="Y36" s="117"/>
      <c r="Z36" s="117"/>
      <c r="AA36" s="117"/>
      <c r="AB36" s="117"/>
      <c r="AC36" s="117"/>
      <c r="AD36" s="117"/>
    </row>
    <row r="37" spans="1:30">
      <c r="A37" s="315">
        <f t="shared" si="9"/>
        <v>37</v>
      </c>
      <c r="B37" s="316" t="s">
        <v>584</v>
      </c>
      <c r="C37" s="322" t="s">
        <v>585</v>
      </c>
      <c r="D37" s="322" t="str">
        <f>VLOOKUP(B37,'Margin Calculation'!F:I,4,0)</f>
        <v>Home &amp; Kitchen</v>
      </c>
      <c r="E37" s="330" t="s">
        <v>586</v>
      </c>
      <c r="F37" s="315" t="s">
        <v>588</v>
      </c>
      <c r="G37" s="319">
        <f>VLOOKUP(B37,'Margin Calculation'!F:Y,20,0)</f>
        <v>1151.4474000000002</v>
      </c>
      <c r="H37" s="319">
        <f>VLOOKUP(B37,'Margin Calculation'!F:Z,21,0)</f>
        <v>1358.7079320000003</v>
      </c>
      <c r="I37" s="315"/>
      <c r="J37" s="315">
        <f t="shared" si="0"/>
        <v>98.97</v>
      </c>
      <c r="K37" s="315">
        <f t="shared" si="1"/>
        <v>98.97</v>
      </c>
      <c r="L37" s="315">
        <f t="shared" si="2"/>
        <v>98.97</v>
      </c>
      <c r="M37" s="319">
        <f t="shared" si="3"/>
        <v>1448.3574000000003</v>
      </c>
      <c r="N37" s="248">
        <f t="shared" si="4"/>
        <v>301.94237288135582</v>
      </c>
      <c r="O37" s="248">
        <f t="shared" si="5"/>
        <v>229.10022711864372</v>
      </c>
      <c r="P37" s="323">
        <f t="shared" si="6"/>
        <v>0.11574225882522166</v>
      </c>
      <c r="Q37" s="248">
        <f t="shared" si="7"/>
        <v>1979.3999999999999</v>
      </c>
      <c r="R37" s="248">
        <v>3299</v>
      </c>
      <c r="S37" s="315">
        <f>VLOOKUP(C37,Sheet6!AF:AG,2,0)</f>
        <v>6599</v>
      </c>
      <c r="T37" s="315">
        <f>VLOOKUP(B37,Sheet6!AC:AD,2,0)</f>
        <v>1893</v>
      </c>
      <c r="U37" s="117"/>
      <c r="V37" s="117"/>
      <c r="W37" s="117"/>
      <c r="X37" s="117"/>
      <c r="Y37" s="117"/>
      <c r="Z37" s="117"/>
      <c r="AA37" s="117"/>
      <c r="AB37" s="117"/>
      <c r="AC37" s="117"/>
      <c r="AD37" s="117"/>
    </row>
    <row r="38" spans="1:30">
      <c r="A38" s="315">
        <f t="shared" si="9"/>
        <v>38</v>
      </c>
      <c r="B38" s="316" t="s">
        <v>589</v>
      </c>
      <c r="C38" s="322" t="s">
        <v>590</v>
      </c>
      <c r="D38" s="322" t="str">
        <f>VLOOKUP(B38,'Margin Calculation'!F:I,4,0)</f>
        <v>HPC</v>
      </c>
      <c r="E38" s="315" t="s">
        <v>591</v>
      </c>
      <c r="F38" s="315" t="s">
        <v>593</v>
      </c>
      <c r="G38" s="319">
        <f>VLOOKUP(B38,'Margin Calculation'!F:Y,20,0)</f>
        <v>540.05939999999998</v>
      </c>
      <c r="H38" s="319">
        <f>VLOOKUP(B38,'Margin Calculation'!F:Z,21,0)</f>
        <v>637.27009199999998</v>
      </c>
      <c r="I38" s="315"/>
      <c r="J38" s="315">
        <f t="shared" si="0"/>
        <v>61.410000000000004</v>
      </c>
      <c r="K38" s="315">
        <f t="shared" si="1"/>
        <v>61.410000000000004</v>
      </c>
      <c r="L38" s="315">
        <f t="shared" si="2"/>
        <v>61.410000000000004</v>
      </c>
      <c r="M38" s="319">
        <f t="shared" si="3"/>
        <v>724.28939999999989</v>
      </c>
      <c r="N38" s="248">
        <f t="shared" si="4"/>
        <v>187.35254237288132</v>
      </c>
      <c r="O38" s="248">
        <f t="shared" si="5"/>
        <v>316.55805762711884</v>
      </c>
      <c r="P38" s="320">
        <f t="shared" si="6"/>
        <v>0.25774145711375901</v>
      </c>
      <c r="Q38" s="248">
        <f t="shared" si="7"/>
        <v>1228.2</v>
      </c>
      <c r="R38" s="248">
        <v>2047</v>
      </c>
      <c r="S38" s="315">
        <f>VLOOKUP(C38,Sheet6!AF:AG,2,0)</f>
        <v>2999</v>
      </c>
      <c r="T38" s="315">
        <f>VLOOKUP(B38,Sheet6!AC:AD,2,0)</f>
        <v>992</v>
      </c>
      <c r="U38" s="315"/>
      <c r="V38" s="315"/>
      <c r="W38" s="315"/>
      <c r="X38" s="315"/>
      <c r="Y38" s="315"/>
      <c r="Z38" s="315"/>
      <c r="AA38" s="315"/>
      <c r="AB38" s="315"/>
      <c r="AC38" s="315"/>
      <c r="AD38" s="315"/>
    </row>
    <row r="39" spans="1:30">
      <c r="A39" s="315">
        <f t="shared" si="9"/>
        <v>39</v>
      </c>
      <c r="B39" s="316" t="s">
        <v>594</v>
      </c>
      <c r="C39" s="322" t="s">
        <v>595</v>
      </c>
      <c r="D39" s="322" t="str">
        <f>VLOOKUP(B39,'Margin Calculation'!F:I,4,0)</f>
        <v>HPC</v>
      </c>
      <c r="E39" s="315" t="s">
        <v>596</v>
      </c>
      <c r="F39" s="315" t="s">
        <v>598</v>
      </c>
      <c r="G39" s="319">
        <f>VLOOKUP(B39,'Margin Calculation'!F:Y,20,0)</f>
        <v>864.54944999999998</v>
      </c>
      <c r="H39" s="319">
        <f>VLOOKUP(B39,'Margin Calculation'!F:Z,21,0)</f>
        <v>1020.1683509999999</v>
      </c>
      <c r="I39" s="315"/>
      <c r="J39" s="315">
        <f t="shared" si="0"/>
        <v>59.97</v>
      </c>
      <c r="K39" s="315">
        <f t="shared" si="1"/>
        <v>59.97</v>
      </c>
      <c r="L39" s="315">
        <f t="shared" si="2"/>
        <v>59.97</v>
      </c>
      <c r="M39" s="319">
        <f t="shared" si="3"/>
        <v>1044.4594500000001</v>
      </c>
      <c r="N39" s="248">
        <f t="shared" si="4"/>
        <v>182.95932203389827</v>
      </c>
      <c r="O39" s="248">
        <f t="shared" si="5"/>
        <v>-28.018772033898472</v>
      </c>
      <c r="P39" s="323">
        <f t="shared" si="6"/>
        <v>-2.3360657023427111E-2</v>
      </c>
      <c r="Q39" s="248">
        <f t="shared" si="7"/>
        <v>1199.3999999999999</v>
      </c>
      <c r="R39" s="248">
        <v>1999</v>
      </c>
      <c r="S39" s="315">
        <f>VLOOKUP(C39,Sheet6!AF:AG,2,0)</f>
        <v>3399</v>
      </c>
      <c r="T39" s="315">
        <f>VLOOKUP(B39,Sheet6!AC:AD,2,0)</f>
        <v>69</v>
      </c>
      <c r="U39" s="117"/>
      <c r="V39" s="117"/>
      <c r="W39" s="117"/>
      <c r="X39" s="117"/>
      <c r="Y39" s="117"/>
      <c r="Z39" s="117"/>
      <c r="AA39" s="117"/>
      <c r="AB39" s="117"/>
      <c r="AC39" s="117"/>
      <c r="AD39" s="117"/>
    </row>
    <row r="40" spans="1:30">
      <c r="A40" s="309">
        <f t="shared" si="9"/>
        <v>40</v>
      </c>
      <c r="B40" s="310" t="s">
        <v>599</v>
      </c>
      <c r="C40" s="321" t="s">
        <v>600</v>
      </c>
      <c r="D40" s="321" t="str">
        <f>VLOOKUP(B40,'Margin Calculation'!F:I,4,0)</f>
        <v>Home &amp; Kitchen</v>
      </c>
      <c r="E40" s="309" t="s">
        <v>601</v>
      </c>
      <c r="F40" s="309" t="s">
        <v>602</v>
      </c>
      <c r="G40" s="312">
        <f>VLOOKUP(B40,'Margin Calculation'!F:Y,20,0)</f>
        <v>845.75340000000006</v>
      </c>
      <c r="H40" s="312">
        <f>VLOOKUP(B40,'Margin Calculation'!F:Z,21,0)</f>
        <v>997.989012</v>
      </c>
      <c r="I40" s="309"/>
      <c r="J40" s="309">
        <f t="shared" si="0"/>
        <v>53.97</v>
      </c>
      <c r="K40" s="309">
        <f t="shared" si="1"/>
        <v>53.97</v>
      </c>
      <c r="L40" s="309">
        <f t="shared" si="2"/>
        <v>53.97</v>
      </c>
      <c r="M40" s="312">
        <f t="shared" si="3"/>
        <v>1007.6634000000001</v>
      </c>
      <c r="N40" s="313">
        <f t="shared" si="4"/>
        <v>164.6542372881355</v>
      </c>
      <c r="O40" s="313">
        <f t="shared" si="5"/>
        <v>-92.917637288135779</v>
      </c>
      <c r="P40" s="314">
        <f t="shared" si="6"/>
        <v>-8.6082673048115427E-2</v>
      </c>
      <c r="Q40" s="313">
        <f t="shared" si="7"/>
        <v>1079.3999999999999</v>
      </c>
      <c r="R40" s="313">
        <v>1799</v>
      </c>
      <c r="S40" s="309">
        <f>VLOOKUP(C40,Sheet6!AF:AG,2,0)</f>
        <v>3699</v>
      </c>
      <c r="T40" s="309">
        <f>VLOOKUP(B40,Sheet6!AC:AD,2,0)</f>
        <v>1093</v>
      </c>
      <c r="U40" s="117"/>
      <c r="V40" s="117"/>
      <c r="W40" s="117"/>
      <c r="X40" s="117"/>
      <c r="Y40" s="117"/>
      <c r="Z40" s="117"/>
      <c r="AA40" s="117"/>
      <c r="AB40" s="117"/>
      <c r="AC40" s="117"/>
      <c r="AD40" s="117"/>
    </row>
    <row r="41" spans="1:30">
      <c r="A41" s="309">
        <f t="shared" si="9"/>
        <v>41</v>
      </c>
      <c r="B41" s="310" t="s">
        <v>603</v>
      </c>
      <c r="C41" s="321" t="s">
        <v>604</v>
      </c>
      <c r="D41" s="321" t="str">
        <f>VLOOKUP(B41,'Margin Calculation'!F:I,4,0)</f>
        <v>Home &amp; Kitchen</v>
      </c>
      <c r="E41" s="309" t="s">
        <v>605</v>
      </c>
      <c r="F41" s="309" t="s">
        <v>607</v>
      </c>
      <c r="G41" s="312">
        <f>VLOOKUP(B41,'Margin Calculation'!F:Y,20,0)</f>
        <v>1040.4428399999999</v>
      </c>
      <c r="H41" s="312">
        <f>VLOOKUP(B41,'Margin Calculation'!F:Z,21,0)</f>
        <v>1227.7225511999998</v>
      </c>
      <c r="I41" s="309"/>
      <c r="J41" s="309">
        <f t="shared" si="0"/>
        <v>74.97</v>
      </c>
      <c r="K41" s="309">
        <f t="shared" si="1"/>
        <v>74.97</v>
      </c>
      <c r="L41" s="309">
        <f t="shared" si="2"/>
        <v>74.97</v>
      </c>
      <c r="M41" s="312">
        <f t="shared" si="3"/>
        <v>1265.35284</v>
      </c>
      <c r="N41" s="313">
        <f t="shared" si="4"/>
        <v>228.72203389830497</v>
      </c>
      <c r="O41" s="313">
        <f t="shared" si="5"/>
        <v>5.3251261016948774</v>
      </c>
      <c r="P41" s="314">
        <f t="shared" si="6"/>
        <v>3.5515046696644511E-3</v>
      </c>
      <c r="Q41" s="313">
        <f t="shared" si="7"/>
        <v>1499.3999999999999</v>
      </c>
      <c r="R41" s="313">
        <v>2499</v>
      </c>
      <c r="S41" s="309">
        <f>VLOOKUP(C41,Sheet6!AF:AG,2,0)</f>
        <v>4999</v>
      </c>
      <c r="T41" s="309">
        <f>VLOOKUP(B41,Sheet6!AC:AD,2,0)</f>
        <v>451</v>
      </c>
      <c r="U41" s="117"/>
      <c r="V41" s="117"/>
      <c r="W41" s="117"/>
      <c r="X41" s="117"/>
      <c r="Y41" s="117"/>
      <c r="Z41" s="117"/>
      <c r="AA41" s="117"/>
      <c r="AB41" s="117"/>
      <c r="AC41" s="117"/>
      <c r="AD41" s="117"/>
    </row>
    <row r="42" spans="1:30">
      <c r="A42" s="315">
        <f t="shared" si="9"/>
        <v>42</v>
      </c>
      <c r="B42" s="316" t="s">
        <v>608</v>
      </c>
      <c r="C42" s="316" t="s">
        <v>609</v>
      </c>
      <c r="D42" s="316" t="str">
        <f>VLOOKUP(B42,'Margin Calculation'!F:I,4,0)</f>
        <v>Home &amp; Kitchen</v>
      </c>
      <c r="E42" s="330" t="s">
        <v>610</v>
      </c>
      <c r="F42" s="315" t="s">
        <v>612</v>
      </c>
      <c r="G42" s="319">
        <f>VLOOKUP(B42,'Margin Calculation'!F:Y,20,0)</f>
        <v>1205.0769600000001</v>
      </c>
      <c r="H42" s="319">
        <f>VLOOKUP(B42,'Margin Calculation'!F:Z,21,0)</f>
        <v>1421.9908128</v>
      </c>
      <c r="I42" s="315"/>
      <c r="J42" s="315">
        <f t="shared" si="0"/>
        <v>74.97</v>
      </c>
      <c r="K42" s="315">
        <f t="shared" si="1"/>
        <v>74.97</v>
      </c>
      <c r="L42" s="315">
        <f t="shared" si="2"/>
        <v>74.97</v>
      </c>
      <c r="M42" s="319">
        <f t="shared" si="3"/>
        <v>1429.9869600000002</v>
      </c>
      <c r="N42" s="248">
        <f t="shared" si="4"/>
        <v>228.72203389830497</v>
      </c>
      <c r="O42" s="248">
        <f t="shared" si="5"/>
        <v>-159.30899389830529</v>
      </c>
      <c r="P42" s="323">
        <f t="shared" si="6"/>
        <v>-0.10624849533033567</v>
      </c>
      <c r="Q42" s="248">
        <f t="shared" si="7"/>
        <v>1499.3999999999999</v>
      </c>
      <c r="R42" s="248">
        <v>2499</v>
      </c>
      <c r="S42" s="315">
        <f>VLOOKUP(C42,Sheet6!AF:AG,2,0)</f>
        <v>4299</v>
      </c>
      <c r="T42" s="315">
        <f>VLOOKUP(B42,Sheet6!AC:AD,2,0)</f>
        <v>521</v>
      </c>
      <c r="U42" s="117"/>
      <c r="V42" s="117"/>
      <c r="W42" s="117"/>
      <c r="X42" s="117"/>
      <c r="Y42" s="117"/>
      <c r="Z42" s="117"/>
      <c r="AA42" s="117"/>
      <c r="AB42" s="117"/>
      <c r="AC42" s="117"/>
      <c r="AD42" s="117"/>
    </row>
    <row r="43" spans="1:30">
      <c r="A43" s="315">
        <f t="shared" si="9"/>
        <v>43</v>
      </c>
      <c r="B43" s="316" t="s">
        <v>615</v>
      </c>
      <c r="C43" s="316" t="s">
        <v>616</v>
      </c>
      <c r="D43" s="316" t="str">
        <f>VLOOKUP(B43,'Margin Calculation'!F:I,4,0)</f>
        <v>HPC</v>
      </c>
      <c r="E43" s="315" t="s">
        <v>617</v>
      </c>
      <c r="F43" s="315" t="s">
        <v>620</v>
      </c>
      <c r="G43" s="319">
        <f>VLOOKUP(B43,'Margin Calculation'!F:Y,20,0)</f>
        <v>478.92060000000009</v>
      </c>
      <c r="H43" s="319">
        <f>VLOOKUP(B43,'Margin Calculation'!F:Z,21,0)</f>
        <v>536.39107200000012</v>
      </c>
      <c r="I43" s="315"/>
      <c r="J43" s="315">
        <f t="shared" si="0"/>
        <v>41.97</v>
      </c>
      <c r="K43" s="315">
        <f t="shared" si="1"/>
        <v>41.97</v>
      </c>
      <c r="L43" s="315">
        <f t="shared" si="2"/>
        <v>41.97</v>
      </c>
      <c r="M43" s="319">
        <f t="shared" si="3"/>
        <v>604.83060000000012</v>
      </c>
      <c r="N43" s="248">
        <f t="shared" si="4"/>
        <v>128.04406779661008</v>
      </c>
      <c r="O43" s="248">
        <f t="shared" si="5"/>
        <v>106.52533220338978</v>
      </c>
      <c r="P43" s="320">
        <f t="shared" si="6"/>
        <v>0.12690651918440526</v>
      </c>
      <c r="Q43" s="248">
        <f t="shared" si="7"/>
        <v>839.4</v>
      </c>
      <c r="R43" s="248">
        <v>1399</v>
      </c>
      <c r="S43" s="315">
        <f>VLOOKUP(C43,Sheet6!AF:AG,2,0)</f>
        <v>2499</v>
      </c>
      <c r="T43" s="315">
        <f>VLOOKUP(B43,Sheet6!AC:AD,2,0)</f>
        <v>1327</v>
      </c>
      <c r="U43" s="117"/>
      <c r="V43" s="117"/>
      <c r="W43" s="117"/>
      <c r="X43" s="117"/>
      <c r="Y43" s="117"/>
      <c r="Z43" s="117"/>
      <c r="AA43" s="117"/>
      <c r="AB43" s="117"/>
      <c r="AC43" s="117"/>
      <c r="AD43" s="117"/>
    </row>
    <row r="44" spans="1:30">
      <c r="A44" s="315">
        <f t="shared" si="9"/>
        <v>44</v>
      </c>
      <c r="B44" s="316" t="s">
        <v>621</v>
      </c>
      <c r="C44" s="316" t="s">
        <v>622</v>
      </c>
      <c r="D44" s="316" t="str">
        <f>VLOOKUP(B44,'Margin Calculation'!F:I,4,0)</f>
        <v>HPC</v>
      </c>
      <c r="E44" s="315" t="s">
        <v>623</v>
      </c>
      <c r="F44" s="315" t="s">
        <v>624</v>
      </c>
      <c r="G44" s="319">
        <f>VLOOKUP(B44,'Margin Calculation'!F:Y,20,0)</f>
        <v>478.92060000000009</v>
      </c>
      <c r="H44" s="319">
        <f>VLOOKUP(B44,'Margin Calculation'!F:Z,21,0)</f>
        <v>536.39107200000012</v>
      </c>
      <c r="I44" s="315"/>
      <c r="J44" s="315">
        <f t="shared" si="0"/>
        <v>41.97</v>
      </c>
      <c r="K44" s="315">
        <f t="shared" si="1"/>
        <v>41.97</v>
      </c>
      <c r="L44" s="315">
        <f t="shared" si="2"/>
        <v>41.97</v>
      </c>
      <c r="M44" s="319">
        <f t="shared" si="3"/>
        <v>604.83060000000012</v>
      </c>
      <c r="N44" s="248">
        <f t="shared" si="4"/>
        <v>128.04406779661008</v>
      </c>
      <c r="O44" s="248">
        <f t="shared" si="5"/>
        <v>106.52533220338978</v>
      </c>
      <c r="P44" s="323">
        <f t="shared" si="6"/>
        <v>0.12690651918440526</v>
      </c>
      <c r="Q44" s="248">
        <f t="shared" si="7"/>
        <v>839.4</v>
      </c>
      <c r="R44" s="248">
        <v>1399</v>
      </c>
      <c r="S44" s="315">
        <f>VLOOKUP(C44,Sheet6!AF:AG,2,0)</f>
        <v>2499</v>
      </c>
      <c r="T44" s="315">
        <f>VLOOKUP(B44,Sheet6!AC:AD,2,0)</f>
        <v>1141</v>
      </c>
      <c r="U44" s="117"/>
      <c r="V44" s="117"/>
      <c r="W44" s="117"/>
      <c r="X44" s="117"/>
      <c r="Y44" s="117"/>
      <c r="Z44" s="117"/>
      <c r="AA44" s="117"/>
      <c r="AB44" s="117"/>
      <c r="AC44" s="117"/>
      <c r="AD44" s="117"/>
    </row>
    <row r="45" spans="1:30">
      <c r="A45" s="117">
        <f t="shared" si="9"/>
        <v>45</v>
      </c>
      <c r="B45" s="69" t="s">
        <v>625</v>
      </c>
      <c r="C45" s="102" t="s">
        <v>626</v>
      </c>
      <c r="D45" s="102" t="str">
        <f>VLOOKUP(B45,'Margin Calculation'!F:I,4,0)</f>
        <v>Car &amp; Motorbike</v>
      </c>
      <c r="E45" s="117" t="s">
        <v>627</v>
      </c>
      <c r="F45" s="117" t="s">
        <v>631</v>
      </c>
      <c r="G45" s="287">
        <f>VLOOKUP(B45,'Margin Calculation'!F:Y,20,0)</f>
        <v>1063.2964499999998</v>
      </c>
      <c r="H45" s="287">
        <f>VLOOKUP(B45,'Margin Calculation'!F:Z,21,0)</f>
        <v>1254.6898109999997</v>
      </c>
      <c r="I45" s="117"/>
      <c r="J45" s="117">
        <f t="shared" si="0"/>
        <v>68.97</v>
      </c>
      <c r="K45" s="117">
        <f t="shared" si="1"/>
        <v>68.97</v>
      </c>
      <c r="L45" s="117">
        <f t="shared" si="2"/>
        <v>68.97</v>
      </c>
      <c r="M45" s="287">
        <f t="shared" si="3"/>
        <v>1270.2064499999999</v>
      </c>
      <c r="N45" s="289">
        <f t="shared" si="4"/>
        <v>210.4169491525422</v>
      </c>
      <c r="O45" s="289">
        <f t="shared" si="5"/>
        <v>-101.22339915254224</v>
      </c>
      <c r="P45" s="288">
        <f t="shared" si="6"/>
        <v>-7.3382194542947837E-2</v>
      </c>
      <c r="Q45" s="289">
        <f t="shared" si="7"/>
        <v>1379.3999999999999</v>
      </c>
      <c r="R45" s="289">
        <v>2299</v>
      </c>
      <c r="S45" s="117">
        <f>VLOOKUP(C45,Sheet6!AF:AG,2,0)</f>
        <v>4199</v>
      </c>
      <c r="T45" s="117">
        <f>VLOOKUP(B45,Sheet6!AC:AD,2,0)</f>
        <v>389</v>
      </c>
      <c r="U45" s="117"/>
      <c r="V45" s="117"/>
      <c r="W45" s="117"/>
      <c r="X45" s="117"/>
      <c r="Y45" s="117"/>
      <c r="Z45" s="117"/>
      <c r="AA45" s="117"/>
      <c r="AB45" s="117"/>
      <c r="AC45" s="117"/>
      <c r="AD45" s="117"/>
    </row>
    <row r="46" spans="1:30">
      <c r="A46" s="309">
        <f t="shared" si="9"/>
        <v>46</v>
      </c>
      <c r="B46" s="310" t="s">
        <v>632</v>
      </c>
      <c r="C46" s="321" t="s">
        <v>633</v>
      </c>
      <c r="D46" s="321" t="str">
        <f>VLOOKUP(B46,'Margin Calculation'!F:I,4,0)</f>
        <v>HPC</v>
      </c>
      <c r="E46" s="309" t="s">
        <v>634</v>
      </c>
      <c r="F46" s="309" t="s">
        <v>636</v>
      </c>
      <c r="G46" s="312">
        <f>VLOOKUP(B46,'Margin Calculation'!F:Y,20,0)</f>
        <v>414.3852</v>
      </c>
      <c r="H46" s="312">
        <f>VLOOKUP(B46,'Margin Calculation'!F:Z,21,0)</f>
        <v>488.97453599999994</v>
      </c>
      <c r="I46" s="309"/>
      <c r="J46" s="309">
        <f t="shared" si="0"/>
        <v>29.97</v>
      </c>
      <c r="K46" s="309">
        <f t="shared" si="1"/>
        <v>29.97</v>
      </c>
      <c r="L46" s="309">
        <f t="shared" si="2"/>
        <v>29.97</v>
      </c>
      <c r="M46" s="312">
        <f t="shared" si="3"/>
        <v>504.29520000000002</v>
      </c>
      <c r="N46" s="313">
        <f t="shared" si="4"/>
        <v>91.433898305084711</v>
      </c>
      <c r="O46" s="313">
        <f t="shared" si="5"/>
        <v>3.6709016949152442</v>
      </c>
      <c r="P46" s="314">
        <f t="shared" si="6"/>
        <v>6.1242937853107178E-3</v>
      </c>
      <c r="Q46" s="313">
        <f t="shared" si="7"/>
        <v>599.4</v>
      </c>
      <c r="R46" s="313">
        <v>999</v>
      </c>
      <c r="S46" s="309">
        <f>VLOOKUP(C46,Sheet6!AF:AG,2,0)</f>
        <v>1499</v>
      </c>
      <c r="T46" s="309">
        <f>VLOOKUP(B46,Sheet6!AC:AD,2,0)</f>
        <v>1564</v>
      </c>
      <c r="U46" s="117"/>
      <c r="V46" s="117"/>
      <c r="W46" s="117"/>
      <c r="X46" s="117"/>
      <c r="Y46" s="117"/>
      <c r="Z46" s="117"/>
      <c r="AA46" s="117"/>
      <c r="AB46" s="117"/>
      <c r="AC46" s="117"/>
      <c r="AD46" s="117"/>
    </row>
    <row r="47" spans="1:30">
      <c r="A47" s="309">
        <f t="shared" si="9"/>
        <v>47</v>
      </c>
      <c r="B47" s="310" t="s">
        <v>947</v>
      </c>
      <c r="C47" s="321" t="s">
        <v>938</v>
      </c>
      <c r="D47" s="321" t="e">
        <f>VLOOKUP(B47,'Margin Calculation'!F:I,4,0)</f>
        <v>#N/A</v>
      </c>
      <c r="E47" s="309" t="s">
        <v>639</v>
      </c>
      <c r="F47" s="309" t="s">
        <v>641</v>
      </c>
      <c r="G47" s="309" t="e">
        <f>VLOOKUP(B47,'Margin Calculation'!F:Y,20,0)</f>
        <v>#N/A</v>
      </c>
      <c r="H47" s="309" t="e">
        <f>VLOOKUP(B47,'Margin Calculation'!F:Z,21,0)</f>
        <v>#N/A</v>
      </c>
      <c r="I47" s="309"/>
      <c r="J47" s="309">
        <f t="shared" si="0"/>
        <v>104.97000000000001</v>
      </c>
      <c r="K47" s="309">
        <f t="shared" si="1"/>
        <v>104.97000000000001</v>
      </c>
      <c r="L47" s="309">
        <f t="shared" si="2"/>
        <v>104.97000000000001</v>
      </c>
      <c r="M47" s="309" t="e">
        <f t="shared" si="3"/>
        <v>#N/A</v>
      </c>
      <c r="N47" s="313">
        <f t="shared" si="4"/>
        <v>320.24745762711859</v>
      </c>
      <c r="O47" s="309" t="e">
        <f t="shared" si="5"/>
        <v>#N/A</v>
      </c>
      <c r="P47" s="314" t="e">
        <f t="shared" si="6"/>
        <v>#N/A</v>
      </c>
      <c r="Q47" s="313">
        <f t="shared" si="7"/>
        <v>2099.4</v>
      </c>
      <c r="R47" s="313">
        <v>3499</v>
      </c>
      <c r="S47" s="309">
        <f>VLOOKUP(C47,Sheet6!AF:AG,2,0)</f>
        <v>7499</v>
      </c>
      <c r="T47" s="309">
        <f>VLOOKUP(B47,Sheet6!AC:AD,2,0)</f>
        <v>629</v>
      </c>
      <c r="U47" s="117"/>
      <c r="V47" s="117"/>
      <c r="W47" s="117"/>
      <c r="X47" s="117"/>
      <c r="Y47" s="117"/>
      <c r="Z47" s="117"/>
      <c r="AA47" s="117"/>
      <c r="AB47" s="117"/>
      <c r="AC47" s="117"/>
      <c r="AD47" s="117"/>
    </row>
    <row r="48" spans="1:30">
      <c r="A48" s="315">
        <f t="shared" si="9"/>
        <v>48</v>
      </c>
      <c r="B48" s="316" t="s">
        <v>642</v>
      </c>
      <c r="C48" s="322" t="s">
        <v>643</v>
      </c>
      <c r="D48" s="322" t="str">
        <f>VLOOKUP(B48,'Margin Calculation'!F:I,4,0)</f>
        <v>HPC</v>
      </c>
      <c r="E48" s="315" t="s">
        <v>644</v>
      </c>
      <c r="F48" s="315" t="s">
        <v>645</v>
      </c>
      <c r="G48" s="319">
        <f>VLOOKUP(B48,'Margin Calculation'!F:Y,20,0)</f>
        <v>509.48999999999995</v>
      </c>
      <c r="H48" s="319">
        <f>VLOOKUP(B48,'Margin Calculation'!F:Z,21,0)</f>
        <v>601.19819999999993</v>
      </c>
      <c r="I48" s="315"/>
      <c r="J48" s="315">
        <f t="shared" si="0"/>
        <v>46.47</v>
      </c>
      <c r="K48" s="315">
        <f t="shared" si="1"/>
        <v>46.47</v>
      </c>
      <c r="L48" s="315">
        <f t="shared" si="2"/>
        <v>46.47</v>
      </c>
      <c r="M48" s="319">
        <f t="shared" si="3"/>
        <v>648.9</v>
      </c>
      <c r="N48" s="248">
        <f t="shared" si="4"/>
        <v>141.77288135593221</v>
      </c>
      <c r="O48" s="248">
        <f t="shared" si="5"/>
        <v>138.72711864406779</v>
      </c>
      <c r="P48" s="323">
        <f t="shared" si="6"/>
        <v>0.14926524493659113</v>
      </c>
      <c r="Q48" s="248">
        <f t="shared" si="7"/>
        <v>929.4</v>
      </c>
      <c r="R48" s="248">
        <v>1549</v>
      </c>
      <c r="S48" s="315">
        <f>VLOOKUP(C48,Sheet6!AF:AG,2,0)</f>
        <v>2499</v>
      </c>
      <c r="T48" s="315">
        <f>VLOOKUP(B48,Sheet6!AC:AD,2,0)</f>
        <v>357</v>
      </c>
      <c r="U48" s="117"/>
      <c r="V48" s="117"/>
      <c r="W48" s="117"/>
      <c r="X48" s="117"/>
      <c r="Y48" s="117"/>
      <c r="Z48" s="117"/>
      <c r="AA48" s="117"/>
      <c r="AB48" s="117"/>
      <c r="AC48" s="117"/>
      <c r="AD48" s="117"/>
    </row>
    <row r="49" spans="1:30">
      <c r="A49" s="117">
        <f t="shared" si="9"/>
        <v>49</v>
      </c>
      <c r="B49" s="69" t="s">
        <v>646</v>
      </c>
      <c r="C49" s="102" t="s">
        <v>647</v>
      </c>
      <c r="D49" s="102" t="str">
        <f>VLOOKUP(B49,'Margin Calculation'!F:I,4,0)</f>
        <v>Car &amp; Motorbike</v>
      </c>
      <c r="E49" s="117" t="s">
        <v>648</v>
      </c>
      <c r="F49" s="117" t="s">
        <v>650</v>
      </c>
      <c r="G49" s="287">
        <f>VLOOKUP(B49,'Margin Calculation'!F:Y,20,0)</f>
        <v>695.61449999999991</v>
      </c>
      <c r="H49" s="287">
        <f>VLOOKUP(B49,'Margin Calculation'!F:Z,21,0)</f>
        <v>820.82510999999988</v>
      </c>
      <c r="I49" s="117"/>
      <c r="J49" s="117">
        <f t="shared" si="0"/>
        <v>44.97</v>
      </c>
      <c r="K49" s="117">
        <f t="shared" si="1"/>
        <v>44.97</v>
      </c>
      <c r="L49" s="117">
        <f t="shared" si="2"/>
        <v>44.97</v>
      </c>
      <c r="M49" s="287">
        <f t="shared" si="3"/>
        <v>830.52449999999999</v>
      </c>
      <c r="N49" s="289">
        <f t="shared" si="4"/>
        <v>137.19661016949146</v>
      </c>
      <c r="O49" s="289">
        <f t="shared" si="5"/>
        <v>-68.321110169491476</v>
      </c>
      <c r="P49" s="288">
        <f t="shared" si="6"/>
        <v>-7.596298662385087E-2</v>
      </c>
      <c r="Q49" s="289">
        <f t="shared" si="7"/>
        <v>899.4</v>
      </c>
      <c r="R49" s="289">
        <v>1499</v>
      </c>
      <c r="S49" s="117">
        <f>VLOOKUP(C49,Sheet6!AF:AG,2,0)</f>
        <v>2799</v>
      </c>
      <c r="T49" s="117">
        <f>VLOOKUP(B49,Sheet6!AC:AD,2,0)</f>
        <v>13</v>
      </c>
      <c r="U49" s="117"/>
      <c r="V49" s="117"/>
      <c r="W49" s="117"/>
      <c r="X49" s="117"/>
      <c r="Y49" s="117"/>
      <c r="Z49" s="117"/>
      <c r="AA49" s="117"/>
      <c r="AB49" s="117"/>
      <c r="AC49" s="117"/>
      <c r="AD49" s="117"/>
    </row>
    <row r="50" spans="1:30">
      <c r="A50" s="117">
        <f t="shared" si="9"/>
        <v>50</v>
      </c>
      <c r="B50" s="69" t="s">
        <v>651</v>
      </c>
      <c r="C50" s="102" t="s">
        <v>652</v>
      </c>
      <c r="D50" s="102" t="str">
        <f>VLOOKUP(B50,'Margin Calculation'!F:I,4,0)</f>
        <v>Car &amp; Motorbike</v>
      </c>
      <c r="E50" s="117" t="s">
        <v>653</v>
      </c>
      <c r="F50" s="117" t="s">
        <v>654</v>
      </c>
      <c r="G50" s="287">
        <f>VLOOKUP(B50,'Margin Calculation'!F:Y,20,0)</f>
        <v>695.61449999999991</v>
      </c>
      <c r="H50" s="287">
        <f>VLOOKUP(B50,'Margin Calculation'!F:Z,21,0)</f>
        <v>820.82510999999988</v>
      </c>
      <c r="I50" s="117"/>
      <c r="J50" s="117">
        <f t="shared" si="0"/>
        <v>58.47</v>
      </c>
      <c r="K50" s="117">
        <f t="shared" si="1"/>
        <v>58.47</v>
      </c>
      <c r="L50" s="117">
        <f t="shared" si="2"/>
        <v>58.47</v>
      </c>
      <c r="M50" s="287">
        <f t="shared" si="3"/>
        <v>871.02449999999999</v>
      </c>
      <c r="N50" s="289">
        <f t="shared" si="4"/>
        <v>178.38305084745753</v>
      </c>
      <c r="O50" s="289">
        <f t="shared" si="5"/>
        <v>119.99244915254235</v>
      </c>
      <c r="P50" s="288">
        <f t="shared" si="6"/>
        <v>0.10261026949935212</v>
      </c>
      <c r="Q50" s="289">
        <f t="shared" si="7"/>
        <v>1169.3999999999999</v>
      </c>
      <c r="R50" s="289">
        <v>1949</v>
      </c>
      <c r="S50" s="117">
        <f>VLOOKUP(C50,Sheet6!AF:AG,2,0)</f>
        <v>3699</v>
      </c>
      <c r="T50" s="117">
        <f>VLOOKUP(B50,Sheet6!AC:AD,2,0)</f>
        <v>1183</v>
      </c>
      <c r="U50" s="117"/>
      <c r="V50" s="117"/>
      <c r="W50" s="117"/>
      <c r="X50" s="117"/>
      <c r="Y50" s="117"/>
      <c r="Z50" s="117"/>
      <c r="AA50" s="117"/>
      <c r="AB50" s="117"/>
      <c r="AC50" s="117"/>
      <c r="AD50" s="117"/>
    </row>
    <row r="51" spans="1:30">
      <c r="A51" s="117">
        <f t="shared" si="9"/>
        <v>51</v>
      </c>
      <c r="B51" s="69" t="s">
        <v>655</v>
      </c>
      <c r="C51" s="102" t="s">
        <v>656</v>
      </c>
      <c r="D51" s="102" t="str">
        <f>VLOOKUP(B51,'Margin Calculation'!F:I,4,0)</f>
        <v>Car &amp; Motorbike</v>
      </c>
      <c r="E51" s="117" t="s">
        <v>657</v>
      </c>
      <c r="F51" s="117" t="s">
        <v>658</v>
      </c>
      <c r="G51" s="287">
        <f>VLOOKUP(B51,'Margin Calculation'!F:Y,20,0)</f>
        <v>936.09836999999993</v>
      </c>
      <c r="H51" s="287">
        <f>VLOOKUP(B51,'Margin Calculation'!F:Z,21,0)</f>
        <v>1104.5960765999998</v>
      </c>
      <c r="I51" s="117"/>
      <c r="J51" s="117">
        <f t="shared" si="0"/>
        <v>68.97</v>
      </c>
      <c r="K51" s="117">
        <f t="shared" si="1"/>
        <v>68.97</v>
      </c>
      <c r="L51" s="117">
        <f t="shared" si="2"/>
        <v>68.97</v>
      </c>
      <c r="M51" s="287">
        <f t="shared" si="3"/>
        <v>1143.00837</v>
      </c>
      <c r="N51" s="289">
        <f t="shared" si="4"/>
        <v>210.4169491525422</v>
      </c>
      <c r="O51" s="289">
        <f t="shared" si="5"/>
        <v>25.974680847457648</v>
      </c>
      <c r="P51" s="288">
        <f t="shared" si="6"/>
        <v>1.8830419637130384E-2</v>
      </c>
      <c r="Q51" s="289">
        <f t="shared" si="7"/>
        <v>1379.3999999999999</v>
      </c>
      <c r="R51" s="289">
        <v>2299</v>
      </c>
      <c r="S51" s="117">
        <f>VLOOKUP(C51,Sheet6!AF:AG,2,0)</f>
        <v>4699</v>
      </c>
      <c r="T51" s="117">
        <f>VLOOKUP(B51,Sheet6!AC:AD,2,0)</f>
        <v>114</v>
      </c>
      <c r="U51" s="117"/>
      <c r="V51" s="117"/>
      <c r="W51" s="117"/>
      <c r="X51" s="117"/>
      <c r="Y51" s="117"/>
      <c r="Z51" s="117"/>
      <c r="AA51" s="117"/>
      <c r="AB51" s="117"/>
      <c r="AC51" s="117"/>
      <c r="AD51" s="117"/>
    </row>
    <row r="52" spans="1:30">
      <c r="A52" s="315">
        <f t="shared" si="9"/>
        <v>52</v>
      </c>
      <c r="B52" s="316" t="s">
        <v>659</v>
      </c>
      <c r="C52" s="322" t="s">
        <v>660</v>
      </c>
      <c r="D52" s="322" t="str">
        <f>VLOOKUP(B52,'Margin Calculation'!F:I,4,0)</f>
        <v>Home &amp; Kitchen</v>
      </c>
      <c r="E52" s="330" t="s">
        <v>661</v>
      </c>
      <c r="F52" s="315" t="s">
        <v>662</v>
      </c>
      <c r="G52" s="319">
        <f>VLOOKUP(B52,'Margin Calculation'!F:Y,20,0)</f>
        <v>753.73308000000009</v>
      </c>
      <c r="H52" s="319">
        <f>VLOOKUP(B52,'Margin Calculation'!F:Z,21,0)</f>
        <v>889.40503440000009</v>
      </c>
      <c r="I52" s="315"/>
      <c r="J52" s="315">
        <f t="shared" si="0"/>
        <v>59.97</v>
      </c>
      <c r="K52" s="315">
        <f t="shared" si="1"/>
        <v>59.97</v>
      </c>
      <c r="L52" s="315">
        <f t="shared" si="2"/>
        <v>59.97</v>
      </c>
      <c r="M52" s="319">
        <f t="shared" si="3"/>
        <v>933.64308000000017</v>
      </c>
      <c r="N52" s="248">
        <f t="shared" si="4"/>
        <v>182.95932203389827</v>
      </c>
      <c r="O52" s="248">
        <f t="shared" si="5"/>
        <v>82.797597966101421</v>
      </c>
      <c r="P52" s="320">
        <f t="shared" si="6"/>
        <v>6.9032514562365713E-2</v>
      </c>
      <c r="Q52" s="248">
        <f t="shared" si="7"/>
        <v>1199.3999999999999</v>
      </c>
      <c r="R52" s="248">
        <v>1999</v>
      </c>
      <c r="S52" s="315">
        <f>VLOOKUP(C52,Sheet6!AF:AG,2,0)</f>
        <v>3999</v>
      </c>
      <c r="T52" s="315">
        <f>VLOOKUP(B52,Sheet6!AC:AD,2,0)</f>
        <v>1834</v>
      </c>
      <c r="U52" s="117"/>
      <c r="V52" s="117"/>
      <c r="W52" s="117"/>
      <c r="X52" s="117"/>
      <c r="Y52" s="117"/>
      <c r="Z52" s="117"/>
      <c r="AA52" s="117"/>
      <c r="AB52" s="117"/>
      <c r="AC52" s="117"/>
      <c r="AD52" s="117"/>
    </row>
    <row r="53" spans="1:30">
      <c r="A53" s="315">
        <f t="shared" si="9"/>
        <v>53</v>
      </c>
      <c r="B53" s="316" t="s">
        <v>663</v>
      </c>
      <c r="C53" s="322" t="s">
        <v>664</v>
      </c>
      <c r="D53" s="322" t="str">
        <f>VLOOKUP(B53,'Margin Calculation'!F:I,4,0)</f>
        <v>HPC</v>
      </c>
      <c r="E53" s="315" t="s">
        <v>665</v>
      </c>
      <c r="F53" s="315" t="s">
        <v>667</v>
      </c>
      <c r="G53" s="319">
        <f>VLOOKUP(B53,'Margin Calculation'!F:Y,20,0)</f>
        <v>1119.9599999999998</v>
      </c>
      <c r="H53" s="319">
        <f>VLOOKUP(B53,'Margin Calculation'!F:Z,21,0)</f>
        <v>1321.5527999999997</v>
      </c>
      <c r="I53" s="315"/>
      <c r="J53" s="315">
        <f t="shared" si="0"/>
        <v>89.97</v>
      </c>
      <c r="K53" s="315">
        <f t="shared" si="1"/>
        <v>89.97</v>
      </c>
      <c r="L53" s="315">
        <f t="shared" si="2"/>
        <v>89.97</v>
      </c>
      <c r="M53" s="319">
        <f t="shared" si="3"/>
        <v>1389.87</v>
      </c>
      <c r="N53" s="248">
        <f t="shared" si="4"/>
        <v>274.48474576271178</v>
      </c>
      <c r="O53" s="248">
        <f t="shared" si="5"/>
        <v>135.04525423728819</v>
      </c>
      <c r="P53" s="323">
        <f t="shared" si="6"/>
        <v>7.505015796225864E-2</v>
      </c>
      <c r="Q53" s="248">
        <f t="shared" si="7"/>
        <v>1799.3999999999999</v>
      </c>
      <c r="R53" s="248">
        <v>2999</v>
      </c>
      <c r="S53" s="315">
        <f>VLOOKUP(C53,Sheet6!AF:AG,2,0)</f>
        <v>3999</v>
      </c>
      <c r="T53" s="315">
        <f>VLOOKUP(B53,Sheet6!AC:AD,2,0)</f>
        <v>325</v>
      </c>
      <c r="U53" s="117"/>
      <c r="V53" s="117"/>
      <c r="W53" s="117"/>
      <c r="X53" s="117"/>
      <c r="Y53" s="117"/>
      <c r="Z53" s="117"/>
      <c r="AA53" s="117"/>
      <c r="AB53" s="117"/>
      <c r="AC53" s="117"/>
      <c r="AD53" s="117"/>
    </row>
    <row r="54" spans="1:30">
      <c r="A54" s="315">
        <f t="shared" si="9"/>
        <v>54</v>
      </c>
      <c r="B54" s="316" t="s">
        <v>668</v>
      </c>
      <c r="C54" s="322" t="s">
        <v>944</v>
      </c>
      <c r="D54" s="322" t="str">
        <f>VLOOKUP(B54,'Margin Calculation'!F:I,4,0)</f>
        <v>Kitchen Appliances</v>
      </c>
      <c r="E54" s="315" t="s">
        <v>670</v>
      </c>
      <c r="F54" s="315" t="s">
        <v>673</v>
      </c>
      <c r="G54" s="319">
        <f>VLOOKUP(B54,'Margin Calculation'!F:Y,20,0)</f>
        <v>582.37919999999997</v>
      </c>
      <c r="H54" s="319">
        <f>VLOOKUP(B54,'Margin Calculation'!F:Z,21,0)</f>
        <v>687.20745599999998</v>
      </c>
      <c r="I54" s="315"/>
      <c r="J54" s="315">
        <f t="shared" si="0"/>
        <v>44.97</v>
      </c>
      <c r="K54" s="315">
        <f t="shared" si="1"/>
        <v>44.97</v>
      </c>
      <c r="L54" s="315">
        <f t="shared" si="2"/>
        <v>44.97</v>
      </c>
      <c r="M54" s="319">
        <f t="shared" si="3"/>
        <v>717.28920000000005</v>
      </c>
      <c r="N54" s="248">
        <f t="shared" si="4"/>
        <v>137.19661016949146</v>
      </c>
      <c r="O54" s="248">
        <f t="shared" si="5"/>
        <v>44.914189830508462</v>
      </c>
      <c r="P54" s="320">
        <f t="shared" si="6"/>
        <v>4.9937947332119703E-2</v>
      </c>
      <c r="Q54" s="248">
        <f t="shared" si="7"/>
        <v>899.4</v>
      </c>
      <c r="R54" s="248">
        <v>1499</v>
      </c>
      <c r="S54" s="315">
        <v>2699</v>
      </c>
      <c r="T54" s="315">
        <f>VLOOKUP(B54,Sheet6!AC:AD,2,0)</f>
        <v>1065</v>
      </c>
      <c r="U54" s="117"/>
      <c r="V54" s="117"/>
      <c r="W54" s="117"/>
      <c r="X54" s="117"/>
      <c r="Y54" s="117"/>
      <c r="Z54" s="117"/>
      <c r="AA54" s="117"/>
      <c r="AB54" s="117"/>
      <c r="AC54" s="117"/>
      <c r="AD54" s="117"/>
    </row>
    <row r="55" spans="1:30">
      <c r="A55" s="309">
        <f t="shared" si="9"/>
        <v>55</v>
      </c>
      <c r="B55" s="310" t="s">
        <v>675</v>
      </c>
      <c r="C55" s="321" t="s">
        <v>676</v>
      </c>
      <c r="D55" s="321" t="str">
        <f>VLOOKUP(B55,'Margin Calculation'!F:I,4,0)</f>
        <v>HPC</v>
      </c>
      <c r="E55" s="309" t="s">
        <v>677</v>
      </c>
      <c r="F55" s="309" t="s">
        <v>678</v>
      </c>
      <c r="G55" s="312">
        <f>VLOOKUP(B55,'Margin Calculation'!F:Y,20,0)</f>
        <v>509.58179999999999</v>
      </c>
      <c r="H55" s="312">
        <f>VLOOKUP(B55,'Margin Calculation'!F:Z,21,0)</f>
        <v>601.30652399999997</v>
      </c>
      <c r="I55" s="309"/>
      <c r="J55" s="309">
        <f t="shared" si="0"/>
        <v>47.97</v>
      </c>
      <c r="K55" s="309">
        <f t="shared" si="1"/>
        <v>47.97</v>
      </c>
      <c r="L55" s="309">
        <f t="shared" si="2"/>
        <v>47.97</v>
      </c>
      <c r="M55" s="312">
        <f t="shared" si="3"/>
        <v>653.49180000000001</v>
      </c>
      <c r="N55" s="313">
        <f t="shared" si="4"/>
        <v>146.34915254237285</v>
      </c>
      <c r="O55" s="313">
        <f t="shared" si="5"/>
        <v>159.55904745762712</v>
      </c>
      <c r="P55" s="314">
        <f t="shared" si="6"/>
        <v>0.16631128565522943</v>
      </c>
      <c r="Q55" s="313">
        <f t="shared" si="7"/>
        <v>959.4</v>
      </c>
      <c r="R55" s="313">
        <v>1599</v>
      </c>
      <c r="S55" s="309">
        <f>VLOOKUP(C55,Sheet6!AF:AG,2,0)</f>
        <v>1999</v>
      </c>
      <c r="T55" s="309">
        <f>VLOOKUP(B55,Sheet6!AC:AD,2,0)</f>
        <v>1347</v>
      </c>
      <c r="U55" s="117"/>
      <c r="V55" s="117"/>
      <c r="W55" s="117"/>
      <c r="X55" s="117"/>
      <c r="Y55" s="117"/>
      <c r="Z55" s="117"/>
      <c r="AA55" s="117"/>
      <c r="AB55" s="117"/>
      <c r="AC55" s="117"/>
      <c r="AD55" s="117"/>
    </row>
    <row r="56" spans="1:30">
      <c r="A56" s="309">
        <f t="shared" si="9"/>
        <v>56</v>
      </c>
      <c r="B56" s="310" t="s">
        <v>679</v>
      </c>
      <c r="C56" s="321" t="s">
        <v>680</v>
      </c>
      <c r="D56" s="321" t="str">
        <f>VLOOKUP(B56,'Margin Calculation'!F:I,4,0)</f>
        <v>HPC</v>
      </c>
      <c r="E56" s="309" t="s">
        <v>681</v>
      </c>
      <c r="F56" s="309" t="s">
        <v>682</v>
      </c>
      <c r="G56" s="312">
        <f>VLOOKUP(B56,'Margin Calculation'!F:Y,20,0)</f>
        <v>394.22592000000003</v>
      </c>
      <c r="H56" s="312">
        <f>VLOOKUP(B56,'Margin Calculation'!F:Z,21,0)</f>
        <v>465.1865856</v>
      </c>
      <c r="I56" s="309"/>
      <c r="J56" s="309">
        <f t="shared" si="0"/>
        <v>34.770000000000003</v>
      </c>
      <c r="K56" s="309">
        <f t="shared" si="1"/>
        <v>34.770000000000003</v>
      </c>
      <c r="L56" s="309">
        <f t="shared" si="2"/>
        <v>34.770000000000003</v>
      </c>
      <c r="M56" s="312">
        <f t="shared" si="3"/>
        <v>498.53591999999998</v>
      </c>
      <c r="N56" s="313">
        <f t="shared" si="4"/>
        <v>106.07796610169487</v>
      </c>
      <c r="O56" s="313">
        <f t="shared" si="5"/>
        <v>90.786113898305132</v>
      </c>
      <c r="P56" s="314">
        <f t="shared" si="6"/>
        <v>0.1305523639607494</v>
      </c>
      <c r="Q56" s="313">
        <f t="shared" si="7"/>
        <v>695.4</v>
      </c>
      <c r="R56" s="313">
        <v>1159</v>
      </c>
      <c r="S56" s="309">
        <f>VLOOKUP(C56,Sheet6!AF:AG,2,0)</f>
        <v>1599</v>
      </c>
      <c r="T56" s="309">
        <f>VLOOKUP(B56,Sheet6!AC:AD,2,0)</f>
        <v>124</v>
      </c>
      <c r="U56" s="117"/>
      <c r="V56" s="117"/>
      <c r="W56" s="117"/>
      <c r="X56" s="117"/>
      <c r="Y56" s="117"/>
      <c r="Z56" s="117"/>
      <c r="AA56" s="117"/>
      <c r="AB56" s="117"/>
      <c r="AC56" s="117"/>
      <c r="AD56" s="117"/>
    </row>
    <row r="57" spans="1:30">
      <c r="A57" s="315">
        <f t="shared" si="9"/>
        <v>57</v>
      </c>
      <c r="B57" s="316" t="s">
        <v>683</v>
      </c>
      <c r="C57" s="322" t="s">
        <v>684</v>
      </c>
      <c r="D57" s="322" t="str">
        <f>VLOOKUP(B57,'Margin Calculation'!F:I,4,0)</f>
        <v>Home &amp; Kitchen</v>
      </c>
      <c r="E57" s="330" t="s">
        <v>685</v>
      </c>
      <c r="F57" s="315" t="s">
        <v>687</v>
      </c>
      <c r="G57" s="319">
        <f>VLOOKUP(B57,'Margin Calculation'!F:Y,20,0)</f>
        <v>811.97099999999989</v>
      </c>
      <c r="H57" s="319">
        <f>VLOOKUP(B57,'Margin Calculation'!F:Z,21,0)</f>
        <v>958.12577999999985</v>
      </c>
      <c r="I57" s="315"/>
      <c r="J57" s="315">
        <f t="shared" si="0"/>
        <v>50.97</v>
      </c>
      <c r="K57" s="315">
        <f t="shared" si="1"/>
        <v>50.97</v>
      </c>
      <c r="L57" s="315">
        <f t="shared" si="2"/>
        <v>50.97</v>
      </c>
      <c r="M57" s="319">
        <f t="shared" si="3"/>
        <v>964.88099999999997</v>
      </c>
      <c r="N57" s="248">
        <f t="shared" si="4"/>
        <v>155.50169491525423</v>
      </c>
      <c r="O57" s="248">
        <f t="shared" si="5"/>
        <v>-100.98269491525423</v>
      </c>
      <c r="P57" s="320">
        <f t="shared" si="6"/>
        <v>-9.9060913199189943E-2</v>
      </c>
      <c r="Q57" s="248">
        <f t="shared" si="7"/>
        <v>1019.4</v>
      </c>
      <c r="R57" s="248">
        <v>1699</v>
      </c>
      <c r="S57" s="315">
        <f>VLOOKUP(C57,Sheet6!AF:AG,2,0)</f>
        <v>2799</v>
      </c>
      <c r="T57" s="315">
        <f>VLOOKUP(B57,Sheet6!AC:AD,2,0)</f>
        <v>1406</v>
      </c>
      <c r="U57" s="117"/>
      <c r="V57" s="117"/>
      <c r="W57" s="117"/>
      <c r="X57" s="117"/>
      <c r="Y57" s="117"/>
      <c r="Z57" s="117"/>
      <c r="AA57" s="117"/>
      <c r="AB57" s="117"/>
      <c r="AC57" s="117"/>
      <c r="AD57" s="117"/>
    </row>
    <row r="58" spans="1:30">
      <c r="A58" s="309">
        <f t="shared" si="9"/>
        <v>58</v>
      </c>
      <c r="B58" s="310" t="s">
        <v>688</v>
      </c>
      <c r="C58" s="321" t="s">
        <v>689</v>
      </c>
      <c r="D58" s="321" t="str">
        <f>VLOOKUP(B58,'Margin Calculation'!F:I,4,0)</f>
        <v>Home &amp; Kitchen</v>
      </c>
      <c r="E58" s="309" t="s">
        <v>690</v>
      </c>
      <c r="F58" s="309" t="s">
        <v>691</v>
      </c>
      <c r="G58" s="312">
        <f>VLOOKUP(B58,'Margin Calculation'!F:Y,20,0)</f>
        <v>811.97099999999989</v>
      </c>
      <c r="H58" s="312">
        <f>VLOOKUP(B58,'Margin Calculation'!F:Z,21,0)</f>
        <v>958.12577999999985</v>
      </c>
      <c r="I58" s="309"/>
      <c r="J58" s="309">
        <f t="shared" si="0"/>
        <v>44.97</v>
      </c>
      <c r="K58" s="309">
        <f t="shared" si="1"/>
        <v>44.97</v>
      </c>
      <c r="L58" s="309">
        <f t="shared" si="2"/>
        <v>44.97</v>
      </c>
      <c r="M58" s="312">
        <f t="shared" si="3"/>
        <v>946.88099999999997</v>
      </c>
      <c r="N58" s="313">
        <f t="shared" si="4"/>
        <v>137.19661016949146</v>
      </c>
      <c r="O58" s="313">
        <f t="shared" si="5"/>
        <v>-184.67761016949146</v>
      </c>
      <c r="P58" s="314">
        <f t="shared" si="6"/>
        <v>-0.20533423412218307</v>
      </c>
      <c r="Q58" s="313">
        <f t="shared" si="7"/>
        <v>899.4</v>
      </c>
      <c r="R58" s="313">
        <v>1499</v>
      </c>
      <c r="S58" s="309">
        <f>VLOOKUP(C58,Sheet6!AF:AG,2,0)</f>
        <v>2799</v>
      </c>
      <c r="T58" s="309">
        <f>VLOOKUP(B58,Sheet6!AC:AD,2,0)</f>
        <v>1429</v>
      </c>
      <c r="U58" s="117"/>
      <c r="V58" s="117"/>
      <c r="W58" s="117"/>
      <c r="X58" s="117"/>
      <c r="Y58" s="117"/>
      <c r="Z58" s="117"/>
      <c r="AA58" s="117"/>
      <c r="AB58" s="117"/>
      <c r="AC58" s="117"/>
      <c r="AD58" s="117"/>
    </row>
    <row r="59" spans="1:30">
      <c r="A59" s="315">
        <f t="shared" si="9"/>
        <v>59</v>
      </c>
      <c r="B59" s="316" t="s">
        <v>695</v>
      </c>
      <c r="C59" s="316" t="s">
        <v>696</v>
      </c>
      <c r="D59" s="316" t="str">
        <f>VLOOKUP(B59,'Margin Calculation'!F:I,4,0)</f>
        <v>HPC</v>
      </c>
      <c r="E59" s="315" t="s">
        <v>697</v>
      </c>
      <c r="F59" s="315" t="s">
        <v>699</v>
      </c>
      <c r="G59" s="319">
        <f>VLOOKUP(B59,'Margin Calculation'!F:Y,20,0)</f>
        <v>931.80672000000004</v>
      </c>
      <c r="H59" s="319">
        <f>VLOOKUP(B59,'Margin Calculation'!F:Z,21,0)</f>
        <v>1099.5319296</v>
      </c>
      <c r="I59" s="315"/>
      <c r="J59" s="315">
        <f t="shared" si="0"/>
        <v>89.97</v>
      </c>
      <c r="K59" s="315">
        <f t="shared" si="1"/>
        <v>89.97</v>
      </c>
      <c r="L59" s="315">
        <f t="shared" si="2"/>
        <v>89.97</v>
      </c>
      <c r="M59" s="319">
        <f t="shared" si="3"/>
        <v>1201.7167200000001</v>
      </c>
      <c r="N59" s="248">
        <f t="shared" si="4"/>
        <v>274.48474576271178</v>
      </c>
      <c r="O59" s="248">
        <f t="shared" si="5"/>
        <v>323.19853423728796</v>
      </c>
      <c r="P59" s="323">
        <f t="shared" si="6"/>
        <v>0.17961461278053129</v>
      </c>
      <c r="Q59" s="248">
        <f t="shared" si="7"/>
        <v>1799.3999999999999</v>
      </c>
      <c r="R59" s="248">
        <v>2999</v>
      </c>
      <c r="S59" s="315">
        <f>VLOOKUP(C59,Sheet6!AF:AG,2,0)</f>
        <v>3699</v>
      </c>
      <c r="T59" s="315">
        <f>VLOOKUP(B59,Sheet6!AC:AD,2,0)</f>
        <v>848</v>
      </c>
      <c r="U59" s="117"/>
      <c r="V59" s="117"/>
      <c r="W59" s="117"/>
      <c r="X59" s="117"/>
      <c r="Y59" s="117"/>
      <c r="Z59" s="117"/>
      <c r="AA59" s="117"/>
      <c r="AB59" s="117"/>
      <c r="AC59" s="117"/>
      <c r="AD59" s="117"/>
    </row>
    <row r="60" spans="1:30">
      <c r="A60" s="315">
        <f t="shared" si="9"/>
        <v>60</v>
      </c>
      <c r="B60" s="316" t="s">
        <v>700</v>
      </c>
      <c r="C60" s="322" t="s">
        <v>701</v>
      </c>
      <c r="D60" s="322" t="str">
        <f>VLOOKUP(B60,'Margin Calculation'!F:I,4,0)</f>
        <v>HPC</v>
      </c>
      <c r="E60" s="315" t="s">
        <v>702</v>
      </c>
      <c r="F60" s="315" t="s">
        <v>703</v>
      </c>
      <c r="G60" s="319">
        <f>VLOOKUP(B60,'Margin Calculation'!F:Y,20,0)</f>
        <v>724.61412000000007</v>
      </c>
      <c r="H60" s="319">
        <f>VLOOKUP(B60,'Margin Calculation'!F:Z,21,0)</f>
        <v>855.04466160000004</v>
      </c>
      <c r="I60" s="315"/>
      <c r="J60" s="315">
        <f t="shared" si="0"/>
        <v>59.97</v>
      </c>
      <c r="K60" s="315">
        <f t="shared" si="1"/>
        <v>59.97</v>
      </c>
      <c r="L60" s="315">
        <f t="shared" si="2"/>
        <v>59.97</v>
      </c>
      <c r="M60" s="319">
        <f t="shared" si="3"/>
        <v>904.52412000000015</v>
      </c>
      <c r="N60" s="248">
        <f t="shared" si="4"/>
        <v>182.95932203389827</v>
      </c>
      <c r="O60" s="248">
        <f t="shared" si="5"/>
        <v>111.91655796610144</v>
      </c>
      <c r="P60" s="323">
        <f t="shared" si="6"/>
        <v>9.3310453531850468E-2</v>
      </c>
      <c r="Q60" s="248">
        <f t="shared" si="7"/>
        <v>1199.3999999999999</v>
      </c>
      <c r="R60" s="248">
        <v>1999</v>
      </c>
      <c r="S60" s="315">
        <f>VLOOKUP(C60,Sheet6!AF:AG,2,0)</f>
        <v>3399</v>
      </c>
      <c r="T60" s="315">
        <f>VLOOKUP(B60,Sheet6!AC:AD,2,0)</f>
        <v>897</v>
      </c>
      <c r="U60" s="117"/>
      <c r="V60" s="117"/>
      <c r="W60" s="117"/>
      <c r="X60" s="117"/>
      <c r="Y60" s="117"/>
      <c r="Z60" s="117"/>
      <c r="AA60" s="117"/>
      <c r="AB60" s="117"/>
      <c r="AC60" s="117"/>
      <c r="AD60" s="117"/>
    </row>
    <row r="61" spans="1:30">
      <c r="A61" s="315">
        <f t="shared" si="9"/>
        <v>61</v>
      </c>
      <c r="B61" s="316" t="s">
        <v>704</v>
      </c>
      <c r="C61" s="322" t="s">
        <v>705</v>
      </c>
      <c r="D61" s="322" t="str">
        <f>VLOOKUP(B61,'Margin Calculation'!F:I,4,0)</f>
        <v>Home &amp; Kitchen</v>
      </c>
      <c r="E61" s="330" t="s">
        <v>706</v>
      </c>
      <c r="F61" s="315" t="s">
        <v>708</v>
      </c>
      <c r="G61" s="319">
        <f>VLOOKUP(B61,'Margin Calculation'!F:Y,20,0)</f>
        <v>2239.9199999999996</v>
      </c>
      <c r="H61" s="319">
        <f>VLOOKUP(B61,'Margin Calculation'!F:Z,21,0)</f>
        <v>2643.1055999999994</v>
      </c>
      <c r="I61" s="315"/>
      <c r="J61" s="315">
        <f t="shared" si="0"/>
        <v>179.97000000000003</v>
      </c>
      <c r="K61" s="315">
        <f t="shared" si="1"/>
        <v>179.97000000000003</v>
      </c>
      <c r="L61" s="315">
        <f t="shared" si="2"/>
        <v>179.97000000000003</v>
      </c>
      <c r="M61" s="319">
        <f t="shared" si="3"/>
        <v>2779.83</v>
      </c>
      <c r="N61" s="248">
        <f t="shared" si="4"/>
        <v>549.06101694915242</v>
      </c>
      <c r="O61" s="248">
        <f t="shared" si="5"/>
        <v>270.50898305084775</v>
      </c>
      <c r="P61" s="320">
        <f t="shared" si="6"/>
        <v>7.5153909832429783E-2</v>
      </c>
      <c r="Q61" s="248">
        <f t="shared" si="7"/>
        <v>3599.4</v>
      </c>
      <c r="R61" s="248">
        <v>5999</v>
      </c>
      <c r="S61" s="315">
        <f>VLOOKUP(C61,Sheet6!AF:AG,2,0)</f>
        <v>8299</v>
      </c>
      <c r="T61" s="315">
        <f>VLOOKUP(B61,Sheet6!AC:AD,2,0)</f>
        <v>2319</v>
      </c>
      <c r="U61" s="117"/>
      <c r="V61" s="117"/>
      <c r="W61" s="117"/>
      <c r="X61" s="117"/>
      <c r="Y61" s="117"/>
      <c r="Z61" s="117"/>
      <c r="AA61" s="117"/>
      <c r="AB61" s="117"/>
      <c r="AC61" s="117"/>
      <c r="AD61" s="117"/>
    </row>
    <row r="62" spans="1:30">
      <c r="A62" s="315">
        <f t="shared" si="9"/>
        <v>62</v>
      </c>
      <c r="B62" s="316" t="s">
        <v>712</v>
      </c>
      <c r="C62" s="322" t="s">
        <v>1129</v>
      </c>
      <c r="D62" s="322" t="str">
        <f>VLOOKUP(B62,'Margin Calculation'!F:I,4,0)</f>
        <v>Home &amp; Kitchen</v>
      </c>
      <c r="E62" s="330" t="s">
        <v>714</v>
      </c>
      <c r="F62" s="315" t="s">
        <v>716</v>
      </c>
      <c r="G62" s="319">
        <f>VLOOKUP(B62,'Margin Calculation'!F:Y,20,0)</f>
        <v>988.92468000000008</v>
      </c>
      <c r="H62" s="319">
        <f>VLOOKUP(B62,'Margin Calculation'!F:Z,21,0)</f>
        <v>1166.9311224</v>
      </c>
      <c r="I62" s="315"/>
      <c r="J62" s="315">
        <f t="shared" si="0"/>
        <v>68.97</v>
      </c>
      <c r="K62" s="315">
        <f t="shared" si="1"/>
        <v>68.97</v>
      </c>
      <c r="L62" s="315">
        <f t="shared" si="2"/>
        <v>68.97</v>
      </c>
      <c r="M62" s="319">
        <f t="shared" si="3"/>
        <v>1195.8346800000002</v>
      </c>
      <c r="N62" s="248">
        <f t="shared" si="4"/>
        <v>210.4169491525422</v>
      </c>
      <c r="O62" s="248">
        <f t="shared" si="5"/>
        <v>-26.8516291525425</v>
      </c>
      <c r="P62" s="323">
        <f t="shared" si="6"/>
        <v>-1.9466165834814052E-2</v>
      </c>
      <c r="Q62" s="248">
        <f t="shared" si="7"/>
        <v>1379.3999999999999</v>
      </c>
      <c r="R62" s="248">
        <v>2299</v>
      </c>
      <c r="S62" s="315">
        <f>VLOOKUP(C62,Sheet6!AF:AG,2,0)</f>
        <v>4499</v>
      </c>
      <c r="T62" s="315">
        <f>VLOOKUP(B62,Sheet6!AC:AD,2,0)</f>
        <v>1397</v>
      </c>
      <c r="U62" s="117"/>
      <c r="V62" s="117"/>
      <c r="W62" s="117"/>
      <c r="X62" s="117"/>
      <c r="Y62" s="117"/>
      <c r="Z62" s="117"/>
      <c r="AA62" s="117"/>
      <c r="AB62" s="117"/>
      <c r="AC62" s="117"/>
      <c r="AD62" s="117"/>
    </row>
    <row r="63" spans="1:30">
      <c r="A63" s="309">
        <f t="shared" si="9"/>
        <v>63</v>
      </c>
      <c r="B63" s="310" t="s">
        <v>717</v>
      </c>
      <c r="C63" s="321" t="s">
        <v>718</v>
      </c>
      <c r="D63" s="321" t="str">
        <f>VLOOKUP(B63,'Margin Calculation'!F:I,4,0)</f>
        <v>Home &amp; Kitchen</v>
      </c>
      <c r="E63" s="309" t="s">
        <v>719</v>
      </c>
      <c r="F63" s="309" t="s">
        <v>716</v>
      </c>
      <c r="G63" s="312">
        <f>VLOOKUP(B63,'Margin Calculation'!F:Y,20,0)</f>
        <v>1047.1625999999999</v>
      </c>
      <c r="H63" s="312">
        <f>VLOOKUP(B63,'Margin Calculation'!F:Z,21,0)</f>
        <v>1235.6518679999997</v>
      </c>
      <c r="I63" s="309"/>
      <c r="J63" s="309">
        <f t="shared" si="0"/>
        <v>65.97</v>
      </c>
      <c r="K63" s="309">
        <f t="shared" si="1"/>
        <v>65.97</v>
      </c>
      <c r="L63" s="309">
        <f t="shared" si="2"/>
        <v>65.97</v>
      </c>
      <c r="M63" s="312">
        <f t="shared" si="3"/>
        <v>1245.0726</v>
      </c>
      <c r="N63" s="313">
        <f t="shared" si="4"/>
        <v>201.26440677966093</v>
      </c>
      <c r="O63" s="313">
        <f t="shared" si="5"/>
        <v>-126.93700677966103</v>
      </c>
      <c r="P63" s="331">
        <f t="shared" si="6"/>
        <v>-9.6208130043702475E-2</v>
      </c>
      <c r="Q63" s="313">
        <f t="shared" si="7"/>
        <v>1319.3999999999999</v>
      </c>
      <c r="R63" s="313">
        <v>2199</v>
      </c>
      <c r="S63" s="309">
        <f>VLOOKUP(C63,Sheet6!AF:AG,2,0)</f>
        <v>4499</v>
      </c>
      <c r="T63" s="309">
        <f>VLOOKUP(B63,Sheet6!AC:AD,2,0)</f>
        <v>782</v>
      </c>
      <c r="U63" s="117"/>
      <c r="V63" s="117"/>
      <c r="W63" s="117"/>
      <c r="X63" s="117"/>
      <c r="Y63" s="117"/>
      <c r="Z63" s="117"/>
      <c r="AA63" s="117"/>
      <c r="AB63" s="117"/>
      <c r="AC63" s="117"/>
      <c r="AD63" s="117"/>
    </row>
    <row r="64" spans="1:30">
      <c r="A64" s="315">
        <f t="shared" si="9"/>
        <v>64</v>
      </c>
      <c r="B64" s="316" t="s">
        <v>724</v>
      </c>
      <c r="C64" s="316" t="s">
        <v>725</v>
      </c>
      <c r="D64" s="316" t="str">
        <f>VLOOKUP(B64,'Margin Calculation'!F:I,4,0)</f>
        <v>HPC</v>
      </c>
      <c r="E64" s="315" t="s">
        <v>726</v>
      </c>
      <c r="F64" s="315" t="s">
        <v>727</v>
      </c>
      <c r="G64" s="319">
        <f>VLOOKUP(B64,'Margin Calculation'!F:Y,20,0)</f>
        <v>458.541</v>
      </c>
      <c r="H64" s="319">
        <f>VLOOKUP(B64,'Margin Calculation'!F:Z,21,0)</f>
        <v>541.07837999999992</v>
      </c>
      <c r="I64" s="315"/>
      <c r="J64" s="315">
        <f t="shared" si="0"/>
        <v>42.57</v>
      </c>
      <c r="K64" s="315">
        <f t="shared" si="1"/>
        <v>42.57</v>
      </c>
      <c r="L64" s="315">
        <f t="shared" si="2"/>
        <v>42.57</v>
      </c>
      <c r="M64" s="319">
        <f t="shared" si="3"/>
        <v>586.25100000000009</v>
      </c>
      <c r="N64" s="248">
        <f t="shared" si="4"/>
        <v>129.87457627118636</v>
      </c>
      <c r="O64" s="248">
        <f t="shared" si="5"/>
        <v>135.27442372881353</v>
      </c>
      <c r="P64" s="323">
        <f t="shared" si="6"/>
        <v>0.15888468842942627</v>
      </c>
      <c r="Q64" s="248">
        <f t="shared" si="7"/>
        <v>851.4</v>
      </c>
      <c r="R64" s="248">
        <v>1419</v>
      </c>
      <c r="S64" s="315">
        <f>VLOOKUP(C64,Sheet6!AF:AG,2,0)</f>
        <v>1699</v>
      </c>
      <c r="T64" s="315">
        <f>VLOOKUP(B64,Sheet6!AC:AD,2,0)</f>
        <v>359</v>
      </c>
      <c r="U64" s="117"/>
      <c r="V64" s="117"/>
      <c r="W64" s="117"/>
      <c r="X64" s="117"/>
      <c r="Y64" s="117"/>
      <c r="Z64" s="117"/>
      <c r="AA64" s="117"/>
      <c r="AB64" s="117"/>
      <c r="AC64" s="117"/>
      <c r="AD64" s="117"/>
    </row>
    <row r="65" spans="1:30">
      <c r="A65" s="309">
        <f t="shared" si="9"/>
        <v>65</v>
      </c>
      <c r="B65" s="310" t="s">
        <v>728</v>
      </c>
      <c r="C65" s="321" t="s">
        <v>729</v>
      </c>
      <c r="D65" s="321" t="str">
        <f>VLOOKUP(B65,'Margin Calculation'!F:I,4,0)</f>
        <v>HPC</v>
      </c>
      <c r="E65" s="309" t="s">
        <v>730</v>
      </c>
      <c r="F65" s="309" t="s">
        <v>731</v>
      </c>
      <c r="G65" s="312">
        <f>VLOOKUP(B65,'Margin Calculation'!F:Y,20,0)</f>
        <v>1120.8779999999999</v>
      </c>
      <c r="H65" s="312">
        <f>VLOOKUP(B65,'Margin Calculation'!F:Z,21,0)</f>
        <v>1322.6360399999999</v>
      </c>
      <c r="I65" s="309"/>
      <c r="J65" s="309">
        <f t="shared" si="0"/>
        <v>86.97</v>
      </c>
      <c r="K65" s="309">
        <f t="shared" si="1"/>
        <v>86.97</v>
      </c>
      <c r="L65" s="309">
        <f t="shared" si="2"/>
        <v>86.97</v>
      </c>
      <c r="M65" s="312">
        <f t="shared" si="3"/>
        <v>1381.788</v>
      </c>
      <c r="N65" s="313">
        <f t="shared" si="4"/>
        <v>265.33220338983051</v>
      </c>
      <c r="O65" s="313">
        <f t="shared" si="5"/>
        <v>92.279796610169342</v>
      </c>
      <c r="P65" s="314">
        <f t="shared" si="6"/>
        <v>5.3052659888564647E-2</v>
      </c>
      <c r="Q65" s="313">
        <f t="shared" si="7"/>
        <v>1739.3999999999999</v>
      </c>
      <c r="R65" s="313">
        <v>2899</v>
      </c>
      <c r="S65" s="309">
        <f>VLOOKUP(C65,Sheet6!AF:AG,2,0)</f>
        <v>5399</v>
      </c>
      <c r="T65" s="309">
        <f>VLOOKUP(B65,Sheet6!AC:AD,2,0)</f>
        <v>58</v>
      </c>
      <c r="U65" s="117"/>
      <c r="V65" s="117"/>
      <c r="W65" s="117"/>
      <c r="X65" s="117"/>
      <c r="Y65" s="117"/>
      <c r="Z65" s="117"/>
      <c r="AA65" s="117"/>
      <c r="AB65" s="117"/>
      <c r="AC65" s="117"/>
      <c r="AD65" s="117"/>
    </row>
    <row r="66" spans="1:30">
      <c r="A66" s="309">
        <f t="shared" si="9"/>
        <v>66</v>
      </c>
      <c r="B66" s="310" t="s">
        <v>736</v>
      </c>
      <c r="C66" s="321" t="s">
        <v>737</v>
      </c>
      <c r="D66" s="321" t="str">
        <f>VLOOKUP(B66,'Margin Calculation'!F:I,4,0)</f>
        <v>HPC</v>
      </c>
      <c r="E66" s="309" t="s">
        <v>738</v>
      </c>
      <c r="F66" s="309" t="s">
        <v>739</v>
      </c>
      <c r="G66" s="312">
        <f>VLOOKUP(B66,'Margin Calculation'!F:Y,20,0)</f>
        <v>1034.2646999999999</v>
      </c>
      <c r="H66" s="312">
        <f>VLOOKUP(B66,'Margin Calculation'!F:Z,21,0)</f>
        <v>1220.4323459999998</v>
      </c>
      <c r="I66" s="309"/>
      <c r="J66" s="309">
        <f t="shared" si="0"/>
        <v>86.97</v>
      </c>
      <c r="K66" s="309">
        <f t="shared" si="1"/>
        <v>86.97</v>
      </c>
      <c r="L66" s="309">
        <f t="shared" si="2"/>
        <v>86.97</v>
      </c>
      <c r="M66" s="312">
        <f t="shared" si="3"/>
        <v>1295.1747</v>
      </c>
      <c r="N66" s="313">
        <f t="shared" si="4"/>
        <v>265.33220338983051</v>
      </c>
      <c r="O66" s="313">
        <f t="shared" si="5"/>
        <v>178.89309661016932</v>
      </c>
      <c r="P66" s="314">
        <f t="shared" si="6"/>
        <v>0.10284758917452531</v>
      </c>
      <c r="Q66" s="313">
        <f t="shared" si="7"/>
        <v>1739.3999999999999</v>
      </c>
      <c r="R66" s="313">
        <v>2899</v>
      </c>
      <c r="S66" s="309">
        <f>VLOOKUP(C66,Sheet6!AF:AG,2,0)</f>
        <v>3999</v>
      </c>
      <c r="T66" s="309">
        <f>VLOOKUP(B66,Sheet6!AC:AD,2,0)</f>
        <v>44</v>
      </c>
      <c r="U66" s="117"/>
      <c r="V66" s="117"/>
      <c r="W66" s="117"/>
      <c r="X66" s="117"/>
      <c r="Y66" s="117"/>
      <c r="Z66" s="117"/>
      <c r="AA66" s="117"/>
      <c r="AB66" s="117"/>
      <c r="AC66" s="117"/>
      <c r="AD66" s="117"/>
    </row>
    <row r="67" spans="1:30">
      <c r="A67" s="315">
        <f t="shared" si="9"/>
        <v>67</v>
      </c>
      <c r="B67" s="316" t="s">
        <v>740</v>
      </c>
      <c r="C67" s="322" t="s">
        <v>741</v>
      </c>
      <c r="D67" s="322" t="str">
        <f>VLOOKUP(B67,'Margin Calculation'!F:I,4,0)</f>
        <v>Cleaning &amp; Vacumming</v>
      </c>
      <c r="E67" s="330" t="s">
        <v>742</v>
      </c>
      <c r="F67" s="315" t="s">
        <v>743</v>
      </c>
      <c r="G67" s="319">
        <f>VLOOKUP(B67,'Margin Calculation'!F:Y,20,0)</f>
        <v>917.08199999999999</v>
      </c>
      <c r="H67" s="319">
        <f>VLOOKUP(B67,'Margin Calculation'!F:Z,21,0)</f>
        <v>1082.1567599999998</v>
      </c>
      <c r="I67" s="315"/>
      <c r="J67" s="315">
        <f t="shared" si="0"/>
        <v>59.97</v>
      </c>
      <c r="K67" s="315">
        <f t="shared" si="1"/>
        <v>59.97</v>
      </c>
      <c r="L67" s="315">
        <f t="shared" si="2"/>
        <v>59.97</v>
      </c>
      <c r="M67" s="319">
        <f t="shared" si="3"/>
        <v>1096.992</v>
      </c>
      <c r="N67" s="248">
        <f t="shared" si="4"/>
        <v>182.95932203389827</v>
      </c>
      <c r="O67" s="248">
        <f t="shared" si="5"/>
        <v>-80.551322033898373</v>
      </c>
      <c r="P67" s="320">
        <f t="shared" si="6"/>
        <v>-6.7159681535683163E-2</v>
      </c>
      <c r="Q67" s="248">
        <f t="shared" si="7"/>
        <v>1199.3999999999999</v>
      </c>
      <c r="R67" s="248">
        <v>1999</v>
      </c>
      <c r="S67" s="315">
        <f>VLOOKUP(C67,Sheet6!AF:AG,2,0)</f>
        <v>4999</v>
      </c>
      <c r="T67" s="315">
        <f>VLOOKUP(B67,Sheet6!AC:AD,2,0)</f>
        <v>1709</v>
      </c>
      <c r="U67" s="117"/>
      <c r="V67" s="117"/>
      <c r="W67" s="117"/>
      <c r="X67" s="117"/>
      <c r="Y67" s="117"/>
      <c r="Z67" s="117"/>
      <c r="AA67" s="117"/>
      <c r="AB67" s="117"/>
      <c r="AC67" s="117"/>
      <c r="AD67" s="117"/>
    </row>
    <row r="68" spans="1:30">
      <c r="A68" s="315">
        <f t="shared" si="9"/>
        <v>68</v>
      </c>
      <c r="B68" s="316" t="s">
        <v>744</v>
      </c>
      <c r="C68" s="322" t="s">
        <v>745</v>
      </c>
      <c r="D68" s="322" t="str">
        <f>VLOOKUP(B68,'Margin Calculation'!F:I,4,0)</f>
        <v>HPC</v>
      </c>
      <c r="E68" s="315" t="s">
        <v>746</v>
      </c>
      <c r="F68" s="315" t="s">
        <v>748</v>
      </c>
      <c r="G68" s="319">
        <f>VLOOKUP(B68,'Margin Calculation'!F:Y,20,0)</f>
        <v>855.94319999999993</v>
      </c>
      <c r="H68" s="319">
        <f>VLOOKUP(B68,'Margin Calculation'!F:Z,21,0)</f>
        <v>1010.0129759999999</v>
      </c>
      <c r="I68" s="315"/>
      <c r="J68" s="315">
        <f t="shared" si="0"/>
        <v>74.97</v>
      </c>
      <c r="K68" s="315">
        <f t="shared" si="1"/>
        <v>74.97</v>
      </c>
      <c r="L68" s="315">
        <f t="shared" si="2"/>
        <v>74.97</v>
      </c>
      <c r="M68" s="319">
        <f t="shared" si="3"/>
        <v>1080.8532</v>
      </c>
      <c r="N68" s="248">
        <f t="shared" si="4"/>
        <v>228.72203389830497</v>
      </c>
      <c r="O68" s="248">
        <f t="shared" si="5"/>
        <v>189.82476610169488</v>
      </c>
      <c r="P68" s="323">
        <f t="shared" si="6"/>
        <v>0.12660048426150119</v>
      </c>
      <c r="Q68" s="248">
        <f t="shared" si="7"/>
        <v>1499.3999999999999</v>
      </c>
      <c r="R68" s="248">
        <v>2499</v>
      </c>
      <c r="S68" s="315">
        <v>3999</v>
      </c>
      <c r="T68" s="315">
        <f>VLOOKUP(B68,Sheet6!AC:AD,2,0)</f>
        <v>415</v>
      </c>
      <c r="U68" s="117"/>
      <c r="V68" s="117"/>
      <c r="W68" s="117"/>
      <c r="X68" s="117"/>
      <c r="Y68" s="117"/>
      <c r="Z68" s="117"/>
      <c r="AA68" s="117"/>
      <c r="AB68" s="117"/>
      <c r="AC68" s="117"/>
      <c r="AD68" s="117"/>
    </row>
    <row r="69" spans="1:30">
      <c r="A69" s="309">
        <f t="shared" si="9"/>
        <v>69</v>
      </c>
      <c r="B69" s="310" t="s">
        <v>749</v>
      </c>
      <c r="C69" s="321" t="s">
        <v>750</v>
      </c>
      <c r="D69" s="321" t="str">
        <f>VLOOKUP(B69,'Margin Calculation'!F:I,4,0)</f>
        <v>HPC</v>
      </c>
      <c r="E69" s="309" t="s">
        <v>751</v>
      </c>
      <c r="F69" s="309" t="s">
        <v>752</v>
      </c>
      <c r="G69" s="312">
        <f>VLOOKUP(B69,'Margin Calculation'!F:Y,20,0)</f>
        <v>881.41770000000008</v>
      </c>
      <c r="H69" s="312">
        <f>VLOOKUP(B69,'Margin Calculation'!F:Z,21,0)</f>
        <v>1040.0728860000002</v>
      </c>
      <c r="I69" s="309"/>
      <c r="J69" s="309">
        <f t="shared" si="0"/>
        <v>46.47</v>
      </c>
      <c r="K69" s="309">
        <f t="shared" si="1"/>
        <v>46.47</v>
      </c>
      <c r="L69" s="309">
        <f t="shared" si="2"/>
        <v>46.47</v>
      </c>
      <c r="M69" s="312">
        <f t="shared" si="3"/>
        <v>1020.8277000000002</v>
      </c>
      <c r="N69" s="313">
        <f t="shared" si="4"/>
        <v>141.77288135593221</v>
      </c>
      <c r="O69" s="313">
        <f t="shared" si="5"/>
        <v>-233.2005813559324</v>
      </c>
      <c r="P69" s="314">
        <f t="shared" si="6"/>
        <v>-0.25091519405630774</v>
      </c>
      <c r="Q69" s="313">
        <f t="shared" si="7"/>
        <v>929.4</v>
      </c>
      <c r="R69" s="313">
        <v>1549</v>
      </c>
      <c r="S69" s="309">
        <f>VLOOKUP(C69,Sheet6!AF:AG,2,0)</f>
        <v>3399</v>
      </c>
      <c r="T69" s="309">
        <f>VLOOKUP(B69,Sheet6!AC:AD,2,0)</f>
        <v>1147</v>
      </c>
      <c r="U69" s="117"/>
      <c r="V69" s="117"/>
      <c r="W69" s="117"/>
      <c r="X69" s="117"/>
      <c r="Y69" s="117"/>
      <c r="Z69" s="117"/>
      <c r="AA69" s="117"/>
      <c r="AB69" s="117"/>
      <c r="AC69" s="117"/>
      <c r="AD69" s="117"/>
    </row>
    <row r="70" spans="1:30">
      <c r="A70" s="315">
        <f t="shared" si="9"/>
        <v>70</v>
      </c>
      <c r="B70" s="316" t="s">
        <v>779</v>
      </c>
      <c r="C70" s="322" t="s">
        <v>780</v>
      </c>
      <c r="D70" s="322" t="str">
        <f>VLOOKUP(B70,'Margin Calculation'!F:I,4,0)</f>
        <v>Home &amp; Kitchen</v>
      </c>
      <c r="E70" s="330" t="s">
        <v>781</v>
      </c>
      <c r="F70" s="315" t="s">
        <v>782</v>
      </c>
      <c r="G70" s="319">
        <f>VLOOKUP(B70,'Margin Calculation'!F:Y,20,0)</f>
        <v>754.04520000000002</v>
      </c>
      <c r="H70" s="319">
        <f>VLOOKUP(B70,'Margin Calculation'!F:Z,21,0)</f>
        <v>889.77333599999997</v>
      </c>
      <c r="I70" s="315"/>
      <c r="J70" s="315">
        <f t="shared" si="0"/>
        <v>47.97</v>
      </c>
      <c r="K70" s="315">
        <f t="shared" si="1"/>
        <v>47.97</v>
      </c>
      <c r="L70" s="315">
        <f t="shared" si="2"/>
        <v>47.97</v>
      </c>
      <c r="M70" s="319">
        <f t="shared" si="3"/>
        <v>897.9552000000001</v>
      </c>
      <c r="N70" s="248">
        <f t="shared" si="4"/>
        <v>146.34915254237285</v>
      </c>
      <c r="O70" s="248">
        <f t="shared" si="5"/>
        <v>-84.904352542372976</v>
      </c>
      <c r="P70" s="323">
        <f t="shared" si="6"/>
        <v>-8.8497344738766914E-2</v>
      </c>
      <c r="Q70" s="248">
        <f t="shared" si="7"/>
        <v>959.4</v>
      </c>
      <c r="R70" s="248">
        <v>1599</v>
      </c>
      <c r="S70" s="315">
        <f>VLOOKUP(C70,Sheet6!AF:AG,2,0)</f>
        <v>3699</v>
      </c>
      <c r="T70" s="315">
        <f>VLOOKUP(B70,Sheet6!AC:AD,2,0)</f>
        <v>855</v>
      </c>
      <c r="U70" s="117"/>
      <c r="V70" s="117"/>
      <c r="W70" s="117"/>
      <c r="X70" s="117"/>
      <c r="Y70" s="117"/>
      <c r="Z70" s="117"/>
      <c r="AA70" s="117"/>
      <c r="AB70" s="117"/>
      <c r="AC70" s="117"/>
      <c r="AD70" s="117"/>
    </row>
    <row r="71" spans="1:30">
      <c r="A71" s="315">
        <f t="shared" si="9"/>
        <v>71</v>
      </c>
      <c r="B71" s="316" t="s">
        <v>783</v>
      </c>
      <c r="C71" s="322" t="s">
        <v>784</v>
      </c>
      <c r="D71" s="322" t="str">
        <f>VLOOKUP(B71,'Margin Calculation'!F:I,4,0)</f>
        <v>Cleaning &amp; Vacuuming</v>
      </c>
      <c r="E71" s="318" t="s">
        <v>785</v>
      </c>
      <c r="F71" s="316" t="s">
        <v>787</v>
      </c>
      <c r="G71" s="319">
        <f>VLOOKUP(B71,'Margin Calculation'!F:Y,20,0)</f>
        <v>1209.5568000000001</v>
      </c>
      <c r="H71" s="319">
        <f>VLOOKUP(B71,'Margin Calculation'!F:Z,21,0)</f>
        <v>1427.277024</v>
      </c>
      <c r="I71" s="315"/>
      <c r="J71" s="315">
        <f t="shared" si="0"/>
        <v>89.97</v>
      </c>
      <c r="K71" s="315">
        <f t="shared" si="1"/>
        <v>89.97</v>
      </c>
      <c r="L71" s="315">
        <f t="shared" si="2"/>
        <v>89.97</v>
      </c>
      <c r="M71" s="319">
        <f t="shared" si="3"/>
        <v>1479.4668000000001</v>
      </c>
      <c r="N71" s="248">
        <f t="shared" si="4"/>
        <v>274.48474576271178</v>
      </c>
      <c r="O71" s="248">
        <f t="shared" si="5"/>
        <v>45.448454237287933</v>
      </c>
      <c r="P71" s="320">
        <f t="shared" si="6"/>
        <v>2.5257560429747659E-2</v>
      </c>
      <c r="Q71" s="248">
        <f t="shared" si="7"/>
        <v>1799.3999999999999</v>
      </c>
      <c r="R71" s="248">
        <v>2999</v>
      </c>
      <c r="S71" s="315">
        <f>VLOOKUP(C71,Sheet6!AF:AG,2,0)</f>
        <v>5499</v>
      </c>
      <c r="T71" s="315">
        <f>VLOOKUP(B71,Sheet6!AC:AD,2,0)</f>
        <v>470</v>
      </c>
      <c r="U71" s="117"/>
      <c r="V71" s="117"/>
      <c r="W71" s="117"/>
      <c r="X71" s="117"/>
      <c r="Y71" s="117"/>
      <c r="Z71" s="117"/>
      <c r="AA71" s="117"/>
      <c r="AB71" s="117"/>
      <c r="AC71" s="117"/>
      <c r="AD71" s="117"/>
    </row>
    <row r="72" spans="1:30">
      <c r="A72" s="315">
        <f t="shared" si="9"/>
        <v>72</v>
      </c>
      <c r="B72" s="316" t="s">
        <v>788</v>
      </c>
      <c r="C72" s="322" t="s">
        <v>789</v>
      </c>
      <c r="D72" s="322" t="str">
        <f>VLOOKUP(B72,'Margin Calculation'!F:I,4,0)</f>
        <v>Kitchen Appliances</v>
      </c>
      <c r="E72" s="318" t="s">
        <v>790</v>
      </c>
      <c r="F72" s="316" t="s">
        <v>791</v>
      </c>
      <c r="G72" s="319">
        <f>VLOOKUP(B72,'Margin Calculation'!F:Y,20,0)</f>
        <v>2855.8980000000001</v>
      </c>
      <c r="H72" s="319">
        <f>VLOOKUP(B72,'Margin Calculation'!F:Z,21,0)</f>
        <v>3369.95964</v>
      </c>
      <c r="I72" s="315"/>
      <c r="J72" s="315">
        <f t="shared" si="0"/>
        <v>170.97000000000003</v>
      </c>
      <c r="K72" s="315">
        <f t="shared" si="1"/>
        <v>170.97000000000003</v>
      </c>
      <c r="L72" s="315">
        <f t="shared" si="2"/>
        <v>170.97000000000003</v>
      </c>
      <c r="M72" s="319">
        <f t="shared" si="3"/>
        <v>3368.8080000000009</v>
      </c>
      <c r="N72" s="248">
        <f t="shared" si="4"/>
        <v>521.60338983050815</v>
      </c>
      <c r="O72" s="248">
        <f t="shared" si="5"/>
        <v>-471.01138983050896</v>
      </c>
      <c r="P72" s="323">
        <f t="shared" si="6"/>
        <v>-0.13774679470974702</v>
      </c>
      <c r="Q72" s="248">
        <f t="shared" si="7"/>
        <v>3419.4</v>
      </c>
      <c r="R72" s="248">
        <v>5699</v>
      </c>
      <c r="S72" s="315">
        <f>VLOOKUP(C72,Sheet6!AF:AG,2,0)</f>
        <v>10999</v>
      </c>
      <c r="T72" s="315">
        <f>VLOOKUP(B72,Sheet6!AC:AD,2,0)</f>
        <v>169</v>
      </c>
      <c r="U72" s="117"/>
      <c r="V72" s="117"/>
      <c r="W72" s="117"/>
      <c r="X72" s="117"/>
      <c r="Y72" s="117"/>
      <c r="Z72" s="117"/>
      <c r="AA72" s="117"/>
      <c r="AB72" s="117"/>
      <c r="AC72" s="117"/>
      <c r="AD72" s="117"/>
    </row>
    <row r="73" spans="1:30">
      <c r="A73" s="315">
        <f t="shared" si="9"/>
        <v>73</v>
      </c>
      <c r="B73" s="316" t="s">
        <v>797</v>
      </c>
      <c r="C73" s="322" t="s">
        <v>798</v>
      </c>
      <c r="D73" s="322" t="str">
        <f>VLOOKUP(B73,'Margin Calculation'!F:I,4,0)</f>
        <v>Massager</v>
      </c>
      <c r="E73" s="315" t="s">
        <v>799</v>
      </c>
      <c r="F73" s="315" t="s">
        <v>801</v>
      </c>
      <c r="G73" s="319">
        <f>VLOOKUP(B73,'Margin Calculation'!F:Y,20,0)</f>
        <v>815.18400000000008</v>
      </c>
      <c r="H73" s="319">
        <f>VLOOKUP(B73,'Margin Calculation'!F:Z,21,0)</f>
        <v>961.91712000000007</v>
      </c>
      <c r="I73" s="315"/>
      <c r="J73" s="315">
        <f t="shared" si="0"/>
        <v>56.97</v>
      </c>
      <c r="K73" s="315">
        <f t="shared" si="1"/>
        <v>56.97</v>
      </c>
      <c r="L73" s="315">
        <f t="shared" si="2"/>
        <v>56.97</v>
      </c>
      <c r="M73" s="319">
        <f t="shared" si="3"/>
        <v>986.09400000000016</v>
      </c>
      <c r="N73" s="248">
        <f t="shared" si="4"/>
        <v>173.80677966101689</v>
      </c>
      <c r="O73" s="248">
        <f t="shared" si="5"/>
        <v>-20.500779661017191</v>
      </c>
      <c r="P73" s="323">
        <f t="shared" si="6"/>
        <v>-1.7992609848180793E-2</v>
      </c>
      <c r="Q73" s="248">
        <f t="shared" si="7"/>
        <v>1139.3999999999999</v>
      </c>
      <c r="R73" s="248">
        <v>1899</v>
      </c>
      <c r="S73" s="315">
        <f>VLOOKUP(C73,Sheet6!AF:AG,2,0)</f>
        <v>3499</v>
      </c>
      <c r="T73" s="315">
        <f>VLOOKUP(B73,Sheet6!AC:AD,2,0)</f>
        <v>210</v>
      </c>
      <c r="U73" s="117"/>
      <c r="V73" s="117"/>
      <c r="W73" s="117"/>
      <c r="X73" s="117"/>
      <c r="Y73" s="117"/>
      <c r="Z73" s="117"/>
      <c r="AA73" s="117"/>
      <c r="AB73" s="117"/>
      <c r="AC73" s="117"/>
      <c r="AD73" s="117"/>
    </row>
    <row r="74" spans="1:30">
      <c r="A74" s="315">
        <f t="shared" si="9"/>
        <v>74</v>
      </c>
      <c r="B74" s="316" t="s">
        <v>802</v>
      </c>
      <c r="C74" s="322" t="s">
        <v>803</v>
      </c>
      <c r="D74" s="322" t="str">
        <f>VLOOKUP(B74,'Margin Calculation'!F:I,4,0)</f>
        <v>Massager</v>
      </c>
      <c r="E74" s="315" t="s">
        <v>804</v>
      </c>
      <c r="F74" s="315" t="s">
        <v>805</v>
      </c>
      <c r="G74" s="319">
        <f>VLOOKUP(B74,'Margin Calculation'!F:Y,20,0)</f>
        <v>804.99420000000009</v>
      </c>
      <c r="H74" s="319">
        <f>VLOOKUP(B74,'Margin Calculation'!F:Z,21,0)</f>
        <v>949.89315600000009</v>
      </c>
      <c r="I74" s="315"/>
      <c r="J74" s="315">
        <f t="shared" si="0"/>
        <v>59.97</v>
      </c>
      <c r="K74" s="315">
        <f t="shared" si="1"/>
        <v>59.97</v>
      </c>
      <c r="L74" s="315">
        <f t="shared" si="2"/>
        <v>59.97</v>
      </c>
      <c r="M74" s="319">
        <f t="shared" si="3"/>
        <v>984.90420000000017</v>
      </c>
      <c r="N74" s="248">
        <f t="shared" si="4"/>
        <v>182.95932203389827</v>
      </c>
      <c r="O74" s="248">
        <f t="shared" si="5"/>
        <v>31.536477966101415</v>
      </c>
      <c r="P74" s="323">
        <f t="shared" si="6"/>
        <v>2.6293545077623326E-2</v>
      </c>
      <c r="Q74" s="248">
        <f t="shared" si="7"/>
        <v>1199.3999999999999</v>
      </c>
      <c r="R74" s="248">
        <v>1999</v>
      </c>
      <c r="S74" s="315">
        <f>VLOOKUP(C74,Sheet6!AF:AG,2,0)</f>
        <v>3899</v>
      </c>
      <c r="T74" s="315">
        <f>VLOOKUP(B74,Sheet6!AC:AD,2,0)</f>
        <v>161</v>
      </c>
      <c r="U74" s="117"/>
      <c r="V74" s="117"/>
      <c r="W74" s="117"/>
      <c r="X74" s="117"/>
      <c r="Y74" s="117"/>
      <c r="Z74" s="117"/>
      <c r="AA74" s="117"/>
      <c r="AB74" s="117"/>
      <c r="AC74" s="117"/>
      <c r="AD74" s="117"/>
    </row>
    <row r="75" spans="1:30">
      <c r="A75" s="309">
        <f t="shared" si="9"/>
        <v>75</v>
      </c>
      <c r="B75" s="310" t="s">
        <v>810</v>
      </c>
      <c r="C75" s="311" t="s">
        <v>811</v>
      </c>
      <c r="D75" s="311" t="str">
        <f>VLOOKUP(B75,'Margin Calculation'!F:I,4,0)</f>
        <v>Travel &amp; outdoor</v>
      </c>
      <c r="E75" s="310" t="s">
        <v>812</v>
      </c>
      <c r="F75" s="310" t="s">
        <v>814</v>
      </c>
      <c r="G75" s="312">
        <f>VLOOKUP(B75,'Margin Calculation'!F:Y,20,0)</f>
        <v>429.92094600000001</v>
      </c>
      <c r="H75" s="312">
        <f>VLOOKUP(B75,'Margin Calculation'!F:Z,21,0)</f>
        <v>481.51145952000007</v>
      </c>
      <c r="I75" s="309"/>
      <c r="J75" s="309">
        <f t="shared" si="0"/>
        <v>32.97</v>
      </c>
      <c r="K75" s="309">
        <f t="shared" si="1"/>
        <v>32.97</v>
      </c>
      <c r="L75" s="309">
        <f t="shared" si="2"/>
        <v>32.97</v>
      </c>
      <c r="M75" s="312">
        <f t="shared" si="3"/>
        <v>528.83094600000004</v>
      </c>
      <c r="N75" s="313">
        <f t="shared" si="4"/>
        <v>100.58644067796604</v>
      </c>
      <c r="O75" s="313">
        <f t="shared" si="5"/>
        <v>29.982613322033899</v>
      </c>
      <c r="P75" s="314">
        <f t="shared" si="6"/>
        <v>4.5469537946669546E-2</v>
      </c>
      <c r="Q75" s="313">
        <f t="shared" si="7"/>
        <v>659.4</v>
      </c>
      <c r="R75" s="313">
        <v>1099</v>
      </c>
      <c r="S75" s="309">
        <f>VLOOKUP(C75,Sheet6!AF:AG,2,0)</f>
        <v>1899</v>
      </c>
      <c r="T75" s="309">
        <f>VLOOKUP(B75,Sheet6!AC:AD,2,0)</f>
        <v>479</v>
      </c>
      <c r="U75" s="117"/>
      <c r="V75" s="117"/>
      <c r="W75" s="117"/>
      <c r="X75" s="117"/>
      <c r="Y75" s="117"/>
      <c r="Z75" s="117"/>
      <c r="AA75" s="117"/>
      <c r="AB75" s="117"/>
      <c r="AC75" s="117"/>
      <c r="AD75" s="117"/>
    </row>
    <row r="76" spans="1:30">
      <c r="A76" s="309">
        <f t="shared" si="9"/>
        <v>76</v>
      </c>
      <c r="B76" s="310" t="s">
        <v>815</v>
      </c>
      <c r="C76" s="311" t="s">
        <v>816</v>
      </c>
      <c r="D76" s="311" t="str">
        <f>VLOOKUP(B76,'Margin Calculation'!F:I,4,0)</f>
        <v>Travel &amp; outdoor</v>
      </c>
      <c r="E76" s="310" t="s">
        <v>817</v>
      </c>
      <c r="F76" s="310" t="s">
        <v>818</v>
      </c>
      <c r="G76" s="312">
        <f>VLOOKUP(B76,'Margin Calculation'!F:Y,20,0)</f>
        <v>429.92094600000001</v>
      </c>
      <c r="H76" s="312">
        <f>VLOOKUP(B76,'Margin Calculation'!F:Z,21,0)</f>
        <v>481.51145952000007</v>
      </c>
      <c r="I76" s="309"/>
      <c r="J76" s="309">
        <f t="shared" si="0"/>
        <v>32.97</v>
      </c>
      <c r="K76" s="309">
        <f t="shared" si="1"/>
        <v>32.97</v>
      </c>
      <c r="L76" s="309">
        <f t="shared" si="2"/>
        <v>32.97</v>
      </c>
      <c r="M76" s="312">
        <f t="shared" si="3"/>
        <v>528.83094600000004</v>
      </c>
      <c r="N76" s="313">
        <f t="shared" si="4"/>
        <v>100.58644067796604</v>
      </c>
      <c r="O76" s="313">
        <f t="shared" si="5"/>
        <v>29.982613322033899</v>
      </c>
      <c r="P76" s="314">
        <f t="shared" si="6"/>
        <v>4.5469537946669546E-2</v>
      </c>
      <c r="Q76" s="313">
        <f t="shared" si="7"/>
        <v>659.4</v>
      </c>
      <c r="R76" s="313">
        <v>1099</v>
      </c>
      <c r="S76" s="309">
        <f>VLOOKUP(C76,Sheet6!AF:AG,2,0)</f>
        <v>1899</v>
      </c>
      <c r="T76" s="309">
        <f>VLOOKUP(B76,Sheet6!AC:AD,2,0)</f>
        <v>493</v>
      </c>
      <c r="U76" s="117"/>
      <c r="V76" s="117"/>
      <c r="W76" s="117"/>
      <c r="X76" s="117"/>
      <c r="Y76" s="117"/>
      <c r="Z76" s="117"/>
      <c r="AA76" s="117"/>
      <c r="AB76" s="117"/>
      <c r="AC76" s="117"/>
      <c r="AD76" s="117"/>
    </row>
    <row r="77" spans="1:30">
      <c r="A77" s="315">
        <f t="shared" si="9"/>
        <v>77</v>
      </c>
      <c r="B77" s="316" t="s">
        <v>819</v>
      </c>
      <c r="C77" s="317" t="s">
        <v>820</v>
      </c>
      <c r="D77" s="317" t="str">
        <f>VLOOKUP(B77,'Margin Calculation'!F:I,4,0)</f>
        <v>Home &amp; Kitchen</v>
      </c>
      <c r="E77" s="318" t="s">
        <v>821</v>
      </c>
      <c r="F77" s="316" t="s">
        <v>822</v>
      </c>
      <c r="G77" s="319">
        <f>VLOOKUP(B77,'Margin Calculation'!F:Y,20,0)</f>
        <v>8295.4063129764709</v>
      </c>
      <c r="H77" s="319">
        <f>VLOOKUP(B77,'Margin Calculation'!F:Z,21,0)</f>
        <v>9290.8550705336474</v>
      </c>
      <c r="I77" s="315"/>
      <c r="J77" s="315">
        <f t="shared" si="0"/>
        <v>479.70000000000005</v>
      </c>
      <c r="K77" s="315">
        <f t="shared" si="1"/>
        <v>479.70000000000005</v>
      </c>
      <c r="L77" s="315">
        <f t="shared" si="2"/>
        <v>479.70000000000005</v>
      </c>
      <c r="M77" s="319">
        <f t="shared" si="3"/>
        <v>9734.5063129764731</v>
      </c>
      <c r="N77" s="248">
        <f t="shared" si="4"/>
        <v>1463.4915254237285</v>
      </c>
      <c r="O77" s="248">
        <f t="shared" si="5"/>
        <v>-1603.9978384002015</v>
      </c>
      <c r="P77" s="323">
        <f t="shared" si="6"/>
        <v>-0.16718760041694825</v>
      </c>
      <c r="Q77" s="248">
        <f t="shared" si="7"/>
        <v>9594</v>
      </c>
      <c r="R77" s="248">
        <v>15990</v>
      </c>
      <c r="S77" s="315">
        <f>VLOOKUP(C77,Sheet6!AF:AG,2,0)</f>
        <v>29999</v>
      </c>
      <c r="T77" s="315">
        <f>VLOOKUP(B77,Sheet6!AC:AD,2,0)</f>
        <v>90</v>
      </c>
      <c r="U77" s="117"/>
      <c r="V77" s="117"/>
      <c r="W77" s="117"/>
      <c r="X77" s="117"/>
      <c r="Y77" s="117"/>
      <c r="Z77" s="117"/>
      <c r="AA77" s="117"/>
      <c r="AB77" s="117"/>
      <c r="AC77" s="117"/>
      <c r="AD77" s="117"/>
    </row>
    <row r="78" spans="1:30">
      <c r="A78" s="315">
        <f t="shared" si="9"/>
        <v>78</v>
      </c>
      <c r="B78" s="316" t="s">
        <v>827</v>
      </c>
      <c r="C78" s="317" t="s">
        <v>828</v>
      </c>
      <c r="D78" s="317" t="str">
        <f>VLOOKUP(B78,'Margin Calculation'!F:I,4,0)</f>
        <v>Home &amp; Kitchen</v>
      </c>
      <c r="E78" s="318" t="s">
        <v>829</v>
      </c>
      <c r="F78" s="316" t="s">
        <v>830</v>
      </c>
      <c r="G78" s="319">
        <f>VLOOKUP(B78,'Margin Calculation'!F:Y,20,0)</f>
        <v>674.89533656470587</v>
      </c>
      <c r="H78" s="319">
        <f>VLOOKUP(B78,'Margin Calculation'!F:Z,21,0)</f>
        <v>755.88277695247064</v>
      </c>
      <c r="I78" s="315"/>
      <c r="J78" s="315">
        <f t="shared" si="0"/>
        <v>59.97</v>
      </c>
      <c r="K78" s="315">
        <f t="shared" si="1"/>
        <v>59.97</v>
      </c>
      <c r="L78" s="315">
        <f t="shared" si="2"/>
        <v>59.97</v>
      </c>
      <c r="M78" s="319">
        <f t="shared" si="3"/>
        <v>854.80533656470595</v>
      </c>
      <c r="N78" s="248">
        <f t="shared" si="4"/>
        <v>182.95932203389827</v>
      </c>
      <c r="O78" s="248">
        <f t="shared" si="5"/>
        <v>161.63534140139564</v>
      </c>
      <c r="P78" s="323">
        <f t="shared" si="6"/>
        <v>0.13476349958428852</v>
      </c>
      <c r="Q78" s="248">
        <f t="shared" si="7"/>
        <v>1199.3999999999999</v>
      </c>
      <c r="R78" s="248">
        <v>1999</v>
      </c>
      <c r="S78" s="315">
        <f>VLOOKUP(C78,Sheet6!AF:AG,2,0)</f>
        <v>3599</v>
      </c>
      <c r="T78" s="315">
        <f>VLOOKUP(B78,Sheet6!AC:AD,2,0)</f>
        <v>855</v>
      </c>
      <c r="U78" s="117"/>
      <c r="V78" s="117"/>
      <c r="W78" s="117"/>
      <c r="X78" s="117"/>
      <c r="Y78" s="117"/>
      <c r="Z78" s="117"/>
      <c r="AA78" s="117"/>
      <c r="AB78" s="117"/>
      <c r="AC78" s="117"/>
      <c r="AD78" s="117"/>
    </row>
    <row r="79" spans="1:30">
      <c r="A79" s="309">
        <f t="shared" si="9"/>
        <v>79</v>
      </c>
      <c r="B79" s="310" t="s">
        <v>831</v>
      </c>
      <c r="C79" s="311" t="s">
        <v>832</v>
      </c>
      <c r="D79" s="311" t="str">
        <f>VLOOKUP(B79,'Margin Calculation'!F:I,4,0)</f>
        <v>Home &amp; Kitchen</v>
      </c>
      <c r="E79" s="310" t="s">
        <v>833</v>
      </c>
      <c r="F79" s="310" t="s">
        <v>834</v>
      </c>
      <c r="G79" s="312">
        <f>VLOOKUP(B79,'Margin Calculation'!F:Y,20,0)</f>
        <v>674.89533656470587</v>
      </c>
      <c r="H79" s="312">
        <f>VLOOKUP(B79,'Margin Calculation'!F:Z,21,0)</f>
        <v>755.88277695247064</v>
      </c>
      <c r="I79" s="309"/>
      <c r="J79" s="309">
        <f t="shared" si="0"/>
        <v>47.97</v>
      </c>
      <c r="K79" s="309">
        <f t="shared" si="1"/>
        <v>47.97</v>
      </c>
      <c r="L79" s="309">
        <f t="shared" si="2"/>
        <v>47.97</v>
      </c>
      <c r="M79" s="312">
        <f t="shared" si="3"/>
        <v>818.80533656470595</v>
      </c>
      <c r="N79" s="313">
        <f t="shared" si="4"/>
        <v>146.34915254237285</v>
      </c>
      <c r="O79" s="313">
        <f t="shared" si="5"/>
        <v>-5.7544891070788253</v>
      </c>
      <c r="P79" s="314">
        <f t="shared" si="6"/>
        <v>-5.9980082416915001E-3</v>
      </c>
      <c r="Q79" s="313">
        <f t="shared" si="7"/>
        <v>959.4</v>
      </c>
      <c r="R79" s="313">
        <v>1599</v>
      </c>
      <c r="S79" s="309">
        <f>VLOOKUP(C79,Sheet6!AF:AG,2,0)</f>
        <v>2899</v>
      </c>
      <c r="T79" s="309">
        <f>VLOOKUP(B79,Sheet6!AC:AD,2,0)</f>
        <v>966</v>
      </c>
      <c r="U79" s="117"/>
      <c r="V79" s="117"/>
      <c r="W79" s="117"/>
      <c r="X79" s="117"/>
      <c r="Y79" s="117"/>
      <c r="Z79" s="117"/>
      <c r="AA79" s="117"/>
      <c r="AB79" s="117"/>
      <c r="AC79" s="117"/>
      <c r="AD79" s="117"/>
    </row>
    <row r="80" spans="1:30">
      <c r="A80" s="309">
        <f t="shared" si="9"/>
        <v>80</v>
      </c>
      <c r="B80" s="310" t="s">
        <v>839</v>
      </c>
      <c r="C80" s="321" t="s">
        <v>840</v>
      </c>
      <c r="D80" s="321" t="str">
        <f>VLOOKUP(B80,'Margin Calculation'!F:I,4,0)</f>
        <v>Massager</v>
      </c>
      <c r="E80" s="309" t="s">
        <v>841</v>
      </c>
      <c r="F80" s="310" t="s">
        <v>842</v>
      </c>
      <c r="G80" s="312">
        <f>VLOOKUP(B80,'Margin Calculation'!F:Y,20,0)</f>
        <v>367.85177999999996</v>
      </c>
      <c r="H80" s="312">
        <f>VLOOKUP(B80,'Margin Calculation'!F:Z,21,0)</f>
        <v>434.06510039999995</v>
      </c>
      <c r="I80" s="309"/>
      <c r="J80" s="309">
        <f t="shared" si="0"/>
        <v>32.97</v>
      </c>
      <c r="K80" s="309">
        <f t="shared" si="1"/>
        <v>32.97</v>
      </c>
      <c r="L80" s="309">
        <f t="shared" si="2"/>
        <v>32.97</v>
      </c>
      <c r="M80" s="312">
        <f t="shared" si="3"/>
        <v>466.76178000000004</v>
      </c>
      <c r="N80" s="313">
        <f t="shared" si="4"/>
        <v>100.58644067796604</v>
      </c>
      <c r="O80" s="313">
        <f t="shared" si="5"/>
        <v>92.051779322033894</v>
      </c>
      <c r="P80" s="314">
        <f t="shared" si="6"/>
        <v>0.13959930136796161</v>
      </c>
      <c r="Q80" s="313">
        <f t="shared" si="7"/>
        <v>659.4</v>
      </c>
      <c r="R80" s="313">
        <v>1099</v>
      </c>
      <c r="S80" s="309">
        <f>VLOOKUP(C80,Sheet6!AF:AG,2,0)</f>
        <v>1999</v>
      </c>
      <c r="T80" s="309">
        <f>VLOOKUP(B80,Sheet6!AC:AD,2,0)</f>
        <v>0</v>
      </c>
      <c r="U80" s="117"/>
      <c r="V80" s="117"/>
      <c r="W80" s="117"/>
      <c r="X80" s="117"/>
      <c r="Y80" s="117"/>
      <c r="Z80" s="117"/>
      <c r="AA80" s="117"/>
      <c r="AB80" s="117"/>
      <c r="AC80" s="117"/>
      <c r="AD80" s="117"/>
    </row>
    <row r="81" spans="1:30">
      <c r="A81" s="309">
        <f t="shared" si="9"/>
        <v>81</v>
      </c>
      <c r="B81" s="310" t="s">
        <v>843</v>
      </c>
      <c r="C81" s="321" t="s">
        <v>844</v>
      </c>
      <c r="D81" s="321" t="str">
        <f>VLOOKUP(B81,'Margin Calculation'!F:I,4,0)</f>
        <v>Massager</v>
      </c>
      <c r="E81" s="309" t="s">
        <v>845</v>
      </c>
      <c r="F81" s="310" t="s">
        <v>846</v>
      </c>
      <c r="G81" s="312">
        <f>VLOOKUP(B81,'Margin Calculation'!F:Y,20,0)</f>
        <v>830.46870000000001</v>
      </c>
      <c r="H81" s="312">
        <f>VLOOKUP(B81,'Margin Calculation'!F:Z,21,0)</f>
        <v>979.95306599999992</v>
      </c>
      <c r="I81" s="309"/>
      <c r="J81" s="309">
        <f t="shared" si="0"/>
        <v>68.97</v>
      </c>
      <c r="K81" s="309">
        <f t="shared" si="1"/>
        <v>68.97</v>
      </c>
      <c r="L81" s="309">
        <f t="shared" si="2"/>
        <v>68.97</v>
      </c>
      <c r="M81" s="312">
        <f t="shared" si="3"/>
        <v>1037.3787</v>
      </c>
      <c r="N81" s="313">
        <f t="shared" si="4"/>
        <v>210.4169491525422</v>
      </c>
      <c r="O81" s="313">
        <f t="shared" si="5"/>
        <v>131.60435084745768</v>
      </c>
      <c r="P81" s="314">
        <f t="shared" si="6"/>
        <v>9.5406952912467521E-2</v>
      </c>
      <c r="Q81" s="313">
        <f t="shared" si="7"/>
        <v>1379.3999999999999</v>
      </c>
      <c r="R81" s="313">
        <v>2299</v>
      </c>
      <c r="S81" s="309">
        <f>VLOOKUP(C81,Sheet6!AF:AG,2,0)</f>
        <v>3999</v>
      </c>
      <c r="T81" s="309">
        <f>VLOOKUP(B81,Sheet6!AC:AD,2,0)</f>
        <v>10</v>
      </c>
      <c r="U81" s="117"/>
      <c r="V81" s="117"/>
      <c r="W81" s="117"/>
      <c r="X81" s="117"/>
      <c r="Y81" s="117"/>
      <c r="Z81" s="117"/>
      <c r="AA81" s="117"/>
      <c r="AB81" s="117"/>
      <c r="AC81" s="117"/>
      <c r="AD81" s="117"/>
    </row>
    <row r="82" spans="1:30">
      <c r="A82" s="309">
        <f t="shared" si="9"/>
        <v>82</v>
      </c>
      <c r="B82" s="310" t="s">
        <v>847</v>
      </c>
      <c r="C82" s="321" t="s">
        <v>848</v>
      </c>
      <c r="D82" s="321" t="str">
        <f>VLOOKUP(B82,'Margin Calculation'!F:I,4,0)</f>
        <v>Massager</v>
      </c>
      <c r="E82" s="309" t="s">
        <v>849</v>
      </c>
      <c r="F82" s="310" t="s">
        <v>850</v>
      </c>
      <c r="G82" s="312">
        <f>VLOOKUP(B82,'Margin Calculation'!F:Y,20,0)</f>
        <v>5278.3163999999997</v>
      </c>
      <c r="H82" s="312">
        <f>VLOOKUP(B82,'Margin Calculation'!F:Z,21,0)</f>
        <v>6228.4133519999996</v>
      </c>
      <c r="I82" s="309"/>
      <c r="J82" s="309">
        <f t="shared" si="0"/>
        <v>299.96999999999997</v>
      </c>
      <c r="K82" s="309">
        <f t="shared" si="1"/>
        <v>299.96999999999997</v>
      </c>
      <c r="L82" s="309">
        <f t="shared" si="2"/>
        <v>299.96999999999997</v>
      </c>
      <c r="M82" s="312">
        <f t="shared" si="3"/>
        <v>6178.2264000000005</v>
      </c>
      <c r="N82" s="313">
        <f t="shared" si="4"/>
        <v>915.16271186440645</v>
      </c>
      <c r="O82" s="313">
        <f t="shared" si="5"/>
        <v>-1093.9891118644073</v>
      </c>
      <c r="P82" s="314">
        <f t="shared" si="6"/>
        <v>-0.18234975361942984</v>
      </c>
      <c r="Q82" s="313">
        <f t="shared" si="7"/>
        <v>5999.4</v>
      </c>
      <c r="R82" s="313">
        <v>9999</v>
      </c>
      <c r="S82" s="309">
        <f>VLOOKUP(C82,Sheet6!AF:AG,2,0)</f>
        <v>19999</v>
      </c>
      <c r="T82" s="309">
        <f>VLOOKUP(B82,Sheet6!AC:AD,2,0)</f>
        <v>5</v>
      </c>
      <c r="U82" s="117"/>
      <c r="V82" s="117"/>
      <c r="W82" s="117"/>
      <c r="X82" s="117"/>
      <c r="Y82" s="117"/>
      <c r="Z82" s="117"/>
      <c r="AA82" s="117"/>
      <c r="AB82" s="117"/>
      <c r="AC82" s="117"/>
      <c r="AD82" s="117"/>
    </row>
    <row r="83" spans="1:30">
      <c r="A83" s="309">
        <f t="shared" si="9"/>
        <v>83</v>
      </c>
      <c r="B83" s="310" t="s">
        <v>851</v>
      </c>
      <c r="C83" s="321" t="s">
        <v>852</v>
      </c>
      <c r="D83" s="321" t="str">
        <f>VLOOKUP(B83,'Margin Calculation'!F:I,4,0)</f>
        <v>Massager</v>
      </c>
      <c r="E83" s="309" t="s">
        <v>853</v>
      </c>
      <c r="F83" s="310" t="s">
        <v>854</v>
      </c>
      <c r="G83" s="312">
        <f>VLOOKUP(B83,'Margin Calculation'!F:Y,20,0)</f>
        <v>2751.2459999999996</v>
      </c>
      <c r="H83" s="312">
        <f>VLOOKUP(B83,'Margin Calculation'!F:Z,21,0)</f>
        <v>3246.4702799999995</v>
      </c>
      <c r="I83" s="309"/>
      <c r="J83" s="309">
        <f t="shared" si="0"/>
        <v>164.97000000000003</v>
      </c>
      <c r="K83" s="309">
        <f t="shared" si="1"/>
        <v>164.97000000000003</v>
      </c>
      <c r="L83" s="309">
        <f t="shared" si="2"/>
        <v>164.97000000000003</v>
      </c>
      <c r="M83" s="312">
        <f t="shared" si="3"/>
        <v>3246.1559999999999</v>
      </c>
      <c r="N83" s="313">
        <f t="shared" si="4"/>
        <v>503.29830508474561</v>
      </c>
      <c r="O83" s="313">
        <f t="shared" si="5"/>
        <v>-450.05430508474547</v>
      </c>
      <c r="P83" s="314">
        <f t="shared" si="6"/>
        <v>-0.13640489333962097</v>
      </c>
      <c r="Q83" s="313">
        <f t="shared" si="7"/>
        <v>3299.4</v>
      </c>
      <c r="R83" s="313">
        <v>5499</v>
      </c>
      <c r="S83" s="309">
        <f>VLOOKUP(C83,Sheet6!AF:AG,2,0)</f>
        <v>11999</v>
      </c>
      <c r="T83" s="309">
        <f>VLOOKUP(B83,Sheet6!AC:AD,2,0)</f>
        <v>1</v>
      </c>
      <c r="U83" s="117"/>
      <c r="V83" s="117"/>
      <c r="W83" s="117"/>
      <c r="X83" s="117"/>
      <c r="Y83" s="117"/>
      <c r="Z83" s="117"/>
      <c r="AA83" s="117"/>
      <c r="AB83" s="117"/>
      <c r="AC83" s="117"/>
      <c r="AD83" s="117"/>
    </row>
    <row r="84" spans="1:30">
      <c r="A84" s="309">
        <f t="shared" si="9"/>
        <v>84</v>
      </c>
      <c r="B84" s="310" t="s">
        <v>855</v>
      </c>
      <c r="C84" s="321" t="s">
        <v>856</v>
      </c>
      <c r="D84" s="321" t="str">
        <f>VLOOKUP(B84,'Margin Calculation'!F:I,4,0)</f>
        <v>Massager</v>
      </c>
      <c r="E84" s="309" t="s">
        <v>857</v>
      </c>
      <c r="F84" s="310" t="s">
        <v>858</v>
      </c>
      <c r="G84" s="312">
        <f>VLOOKUP(B84,'Margin Calculation'!F:Y,20,0)</f>
        <v>815.18400000000008</v>
      </c>
      <c r="H84" s="312">
        <f>VLOOKUP(B84,'Margin Calculation'!F:Z,21,0)</f>
        <v>961.91712000000007</v>
      </c>
      <c r="I84" s="309"/>
      <c r="J84" s="309">
        <f t="shared" si="0"/>
        <v>53.97</v>
      </c>
      <c r="K84" s="309">
        <f t="shared" si="1"/>
        <v>53.97</v>
      </c>
      <c r="L84" s="309">
        <f t="shared" si="2"/>
        <v>53.97</v>
      </c>
      <c r="M84" s="312">
        <f t="shared" si="3"/>
        <v>977.09400000000016</v>
      </c>
      <c r="N84" s="313">
        <f t="shared" si="4"/>
        <v>164.6542372881355</v>
      </c>
      <c r="O84" s="313">
        <f t="shared" si="5"/>
        <v>-62.348237288135806</v>
      </c>
      <c r="P84" s="314">
        <f t="shared" si="6"/>
        <v>-5.7761939307148243E-2</v>
      </c>
      <c r="Q84" s="313">
        <f t="shared" si="7"/>
        <v>1079.3999999999999</v>
      </c>
      <c r="R84" s="313">
        <v>1799</v>
      </c>
      <c r="S84" s="309">
        <f>VLOOKUP(C84,Sheet6!AF:AG,2,0)</f>
        <v>3999</v>
      </c>
      <c r="T84" s="309">
        <f>VLOOKUP(B84,Sheet6!AC:AD,2,0)</f>
        <v>70</v>
      </c>
      <c r="U84" s="117"/>
      <c r="V84" s="117"/>
      <c r="W84" s="117"/>
      <c r="X84" s="117"/>
      <c r="Y84" s="117"/>
      <c r="Z84" s="117"/>
      <c r="AA84" s="117"/>
      <c r="AB84" s="117"/>
      <c r="AC84" s="117"/>
      <c r="AD84" s="117"/>
    </row>
    <row r="85" spans="1:30">
      <c r="A85" s="315">
        <f t="shared" si="9"/>
        <v>85</v>
      </c>
      <c r="B85" s="316" t="s">
        <v>859</v>
      </c>
      <c r="C85" s="317" t="s">
        <v>860</v>
      </c>
      <c r="D85" s="317" t="str">
        <f>VLOOKUP(B85,'Margin Calculation'!F:I,4,0)</f>
        <v>Home &amp; Kitchen</v>
      </c>
      <c r="E85" s="318" t="s">
        <v>861</v>
      </c>
      <c r="F85" s="316" t="s">
        <v>862</v>
      </c>
      <c r="G85" s="319">
        <f>VLOOKUP(B85,'Margin Calculation'!F:Y,20,0)</f>
        <v>1783.2150000000001</v>
      </c>
      <c r="H85" s="319">
        <f>VLOOKUP(B85,'Margin Calculation'!F:Z,21,0)</f>
        <v>2104.1937000000003</v>
      </c>
      <c r="I85" s="315"/>
      <c r="J85" s="315">
        <f t="shared" si="0"/>
        <v>119.97000000000001</v>
      </c>
      <c r="K85" s="315">
        <f t="shared" si="1"/>
        <v>119.97000000000001</v>
      </c>
      <c r="L85" s="315">
        <f t="shared" si="2"/>
        <v>119.97000000000001</v>
      </c>
      <c r="M85" s="319">
        <f t="shared" si="3"/>
        <v>2143.125</v>
      </c>
      <c r="N85" s="248">
        <f t="shared" si="4"/>
        <v>366.0101694915254</v>
      </c>
      <c r="O85" s="248">
        <f t="shared" si="5"/>
        <v>-109.73516949152531</v>
      </c>
      <c r="P85" s="323">
        <f t="shared" si="6"/>
        <v>-4.5734420893358885E-2</v>
      </c>
      <c r="Q85" s="248">
        <f t="shared" si="7"/>
        <v>2399.4</v>
      </c>
      <c r="R85" s="248">
        <v>3999</v>
      </c>
      <c r="S85" s="315">
        <f>VLOOKUP(C85,Sheet6!AF:AG,2,0)</f>
        <v>6499</v>
      </c>
      <c r="T85" s="315">
        <f>VLOOKUP(B85,Sheet6!AC:AD,2,0)</f>
        <v>612</v>
      </c>
      <c r="U85" s="117"/>
      <c r="V85" s="117"/>
      <c r="W85" s="117"/>
      <c r="X85" s="117"/>
      <c r="Y85" s="117"/>
      <c r="Z85" s="117"/>
      <c r="AA85" s="117"/>
      <c r="AB85" s="117"/>
      <c r="AC85" s="117"/>
      <c r="AD85" s="117"/>
    </row>
    <row r="86" spans="1:30">
      <c r="A86" s="315">
        <f t="shared" si="9"/>
        <v>86</v>
      </c>
      <c r="B86" s="316" t="s">
        <v>863</v>
      </c>
      <c r="C86" s="316" t="s">
        <v>864</v>
      </c>
      <c r="D86" s="316" t="str">
        <f>VLOOKUP(B86,'Margin Calculation'!F:I,4,0)</f>
        <v>HPC</v>
      </c>
      <c r="E86" s="316" t="s">
        <v>865</v>
      </c>
      <c r="F86" s="316" t="s">
        <v>866</v>
      </c>
      <c r="G86" s="319">
        <f>VLOOKUP(B86,'Margin Calculation'!F:Y,20,0)</f>
        <v>1007.9640000000001</v>
      </c>
      <c r="H86" s="319">
        <f>VLOOKUP(B86,'Margin Calculation'!F:Z,21,0)</f>
        <v>1189.39752</v>
      </c>
      <c r="I86" s="315"/>
      <c r="J86" s="315">
        <f t="shared" si="0"/>
        <v>89.97</v>
      </c>
      <c r="K86" s="315">
        <f t="shared" si="1"/>
        <v>89.97</v>
      </c>
      <c r="L86" s="315">
        <f t="shared" si="2"/>
        <v>89.97</v>
      </c>
      <c r="M86" s="319">
        <f t="shared" si="3"/>
        <v>1277.874</v>
      </c>
      <c r="N86" s="248">
        <f t="shared" si="4"/>
        <v>274.48474576271178</v>
      </c>
      <c r="O86" s="248">
        <f t="shared" si="5"/>
        <v>247.04125423728806</v>
      </c>
      <c r="P86" s="323">
        <f t="shared" si="6"/>
        <v>0.13729090487789711</v>
      </c>
      <c r="Q86" s="248">
        <f t="shared" si="7"/>
        <v>1799.3999999999999</v>
      </c>
      <c r="R86" s="248">
        <v>2999</v>
      </c>
      <c r="S86" s="315">
        <f>VLOOKUP(C86,Sheet6!AF:AG,2,0)</f>
        <v>3499</v>
      </c>
      <c r="T86" s="315">
        <f>VLOOKUP(B86,Sheet6!AC:AD,2,0)</f>
        <v>91</v>
      </c>
      <c r="U86" s="117"/>
      <c r="V86" s="117"/>
      <c r="W86" s="117"/>
      <c r="X86" s="117"/>
      <c r="Y86" s="117"/>
      <c r="Z86" s="117"/>
      <c r="AA86" s="117"/>
      <c r="AB86" s="117"/>
      <c r="AC86" s="117"/>
      <c r="AD86" s="117"/>
    </row>
    <row r="87" spans="1:30">
      <c r="A87" s="309">
        <f t="shared" si="9"/>
        <v>87</v>
      </c>
      <c r="B87" s="310" t="s">
        <v>311</v>
      </c>
      <c r="C87" s="310" t="s">
        <v>312</v>
      </c>
      <c r="D87" s="310" t="s">
        <v>313</v>
      </c>
      <c r="E87" s="310" t="s">
        <v>313</v>
      </c>
      <c r="F87" s="310" t="s">
        <v>1119</v>
      </c>
      <c r="G87" s="312">
        <f>VLOOKUP(B87,'Margin Calculation'!F:Y,20,0)</f>
        <v>911.25499500000001</v>
      </c>
      <c r="H87" s="312">
        <f>VLOOKUP(B87,'Margin Calculation'!F:Z,21,0)</f>
        <v>1075.2808940999998</v>
      </c>
      <c r="I87" s="309"/>
      <c r="J87" s="309">
        <f t="shared" si="0"/>
        <v>50.97</v>
      </c>
      <c r="K87" s="309">
        <f t="shared" si="1"/>
        <v>50.97</v>
      </c>
      <c r="L87" s="309">
        <f t="shared" si="2"/>
        <v>50.97</v>
      </c>
      <c r="M87" s="312">
        <f t="shared" si="3"/>
        <v>1064.1649950000001</v>
      </c>
      <c r="N87" s="313">
        <f t="shared" si="4"/>
        <v>155.50169491525423</v>
      </c>
      <c r="O87" s="313">
        <f t="shared" si="5"/>
        <v>-200.26668991525435</v>
      </c>
      <c r="P87" s="314">
        <f t="shared" si="6"/>
        <v>-0.19645545410560561</v>
      </c>
      <c r="Q87" s="313">
        <f t="shared" si="7"/>
        <v>1019.4</v>
      </c>
      <c r="R87" s="313">
        <v>1699</v>
      </c>
      <c r="S87" s="309">
        <f>VLOOKUP(C87,Sheet6!AF:AG,2,0)</f>
        <v>3599</v>
      </c>
      <c r="T87" s="309"/>
      <c r="U87" s="117"/>
      <c r="V87" s="117"/>
      <c r="W87" s="117"/>
      <c r="X87" s="117"/>
      <c r="Y87" s="117"/>
      <c r="Z87" s="117"/>
      <c r="AA87" s="117"/>
      <c r="AB87" s="117"/>
      <c r="AC87" s="117"/>
      <c r="AD87" s="117"/>
    </row>
    <row r="88" spans="1:30">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row>
    <row r="89" spans="1:30">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row>
    <row r="90" spans="1:3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row>
    <row r="91" spans="1:30">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row>
    <row r="92" spans="1:30">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row>
    <row r="93" spans="1:30">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row>
    <row r="94" spans="1:30">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row>
    <row r="95" spans="1:30">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row>
    <row r="96" spans="1:30">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row>
    <row r="97" spans="1:30">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row>
    <row r="98" spans="1:30">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row>
    <row r="99" spans="1:30">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row>
    <row r="100" spans="1:3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row>
    <row r="101" spans="1:30">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row>
    <row r="102" spans="1:30">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row>
    <row r="103" spans="1:30">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row>
    <row r="104" spans="1:30">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row>
    <row r="105" spans="1:30">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row>
    <row r="106" spans="1:30">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row>
    <row r="107" spans="1:30">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row>
    <row r="108" spans="1:30">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row>
    <row r="109" spans="1:30">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row>
    <row r="110" spans="1:3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row>
    <row r="111" spans="1:30">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row>
    <row r="112" spans="1:30">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row>
    <row r="113" spans="1:30">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row>
    <row r="114" spans="1:30">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row>
    <row r="115" spans="1:30">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row>
    <row r="116" spans="1:30">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row>
    <row r="117" spans="1:30">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row>
    <row r="118" spans="1:30">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row>
    <row r="119" spans="1:30">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row>
    <row r="120" spans="1:3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row>
    <row r="121" spans="1:30">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row>
    <row r="122" spans="1:30">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row>
    <row r="123" spans="1:30">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row>
    <row r="124" spans="1:30">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row>
    <row r="125" spans="1:30">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row>
    <row r="126" spans="1:30">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row>
    <row r="127" spans="1:30">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row>
    <row r="128" spans="1:30">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row>
    <row r="129" spans="1:30">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row>
    <row r="130" spans="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row>
    <row r="131" spans="1:30">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row>
    <row r="132" spans="1:30">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row>
    <row r="133" spans="1:30">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row>
    <row r="134" spans="1:30">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row>
    <row r="135" spans="1:30">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row>
    <row r="136" spans="1:30">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row>
    <row r="137" spans="1:30">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row>
    <row r="138" spans="1:30">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row>
    <row r="139" spans="1:30">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row>
    <row r="140" spans="1:3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row>
    <row r="141" spans="1:30">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row>
    <row r="142" spans="1:30">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row>
    <row r="143" spans="1:30">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row>
    <row r="144" spans="1:30">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row>
    <row r="145" spans="1:30">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row>
    <row r="146" spans="1:30">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row>
    <row r="147" spans="1:30">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row>
    <row r="148" spans="1:30">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row>
    <row r="149" spans="1:30">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row>
    <row r="150" spans="1:3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row>
    <row r="151" spans="1:30">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row>
    <row r="152" spans="1:30">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row>
    <row r="153" spans="1:30">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row>
    <row r="154" spans="1:30">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row>
    <row r="155" spans="1:30">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row>
    <row r="156" spans="1:30">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row>
    <row r="157" spans="1:30">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row>
    <row r="158" spans="1:30">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row>
    <row r="159" spans="1:30">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row>
    <row r="160" spans="1:3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row>
    <row r="161" spans="1:30">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row>
    <row r="162" spans="1:30">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row>
    <row r="163" spans="1:30">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row>
    <row r="164" spans="1:30">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row>
    <row r="165" spans="1:30">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row>
    <row r="166" spans="1:30">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row>
    <row r="167" spans="1:30">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row>
    <row r="168" spans="1:30">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row>
    <row r="169" spans="1:30">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row>
    <row r="170" spans="1:3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row>
    <row r="171" spans="1:30">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row>
    <row r="172" spans="1:30">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row>
    <row r="173" spans="1:30">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row>
    <row r="174" spans="1:30">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row>
    <row r="175" spans="1:30">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row>
    <row r="176" spans="1:30">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row>
    <row r="177" spans="1:30">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row>
    <row r="178" spans="1:30">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row>
    <row r="179" spans="1:30">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row>
    <row r="180" spans="1:3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row>
    <row r="181" spans="1:30">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row>
    <row r="182" spans="1:30">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row>
    <row r="183" spans="1:30">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row>
    <row r="184" spans="1:30">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row>
    <row r="185" spans="1:30">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row>
    <row r="186" spans="1:30">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row>
    <row r="187" spans="1:30">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row>
    <row r="188" spans="1:30">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row>
    <row r="189" spans="1:30">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row>
    <row r="190" spans="1:3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row>
    <row r="191" spans="1:30">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row>
    <row r="192" spans="1:30">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row>
    <row r="193" spans="1:30">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row>
    <row r="194" spans="1:30">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row>
    <row r="195" spans="1:30">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row>
    <row r="196" spans="1:30">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row>
    <row r="197" spans="1:30">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row>
    <row r="198" spans="1:30">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row>
    <row r="199" spans="1:30">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row>
    <row r="200" spans="1:3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row>
    <row r="201" spans="1:30">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row>
    <row r="202" spans="1:30">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row>
    <row r="203" spans="1:30">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row>
    <row r="204" spans="1:30">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row>
    <row r="205" spans="1:30">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row>
    <row r="206" spans="1:30">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row>
    <row r="207" spans="1:30">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row>
    <row r="208" spans="1:30">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row>
    <row r="209" spans="1:30">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row>
    <row r="210" spans="1:3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row>
    <row r="211" spans="1:30">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row>
    <row r="212" spans="1:30">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row>
    <row r="213" spans="1:30">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row>
    <row r="214" spans="1:30">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row>
    <row r="215" spans="1:30">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row>
    <row r="216" spans="1:30">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row>
    <row r="217" spans="1:30">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row>
    <row r="218" spans="1:30">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row>
    <row r="219" spans="1:30">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row>
    <row r="220" spans="1:3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row>
    <row r="221" spans="1:30">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row>
    <row r="222" spans="1:30">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row>
    <row r="223" spans="1:30">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row>
    <row r="224" spans="1:30">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row>
    <row r="225" spans="1:30">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row>
    <row r="226" spans="1:30">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row>
    <row r="227" spans="1:30">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row>
    <row r="228" spans="1:30">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row>
    <row r="229" spans="1:30">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row>
    <row r="230" spans="1: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row>
    <row r="231" spans="1:30">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row>
    <row r="232" spans="1:30">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row>
    <row r="233" spans="1:30">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row>
    <row r="234" spans="1:30">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row>
    <row r="235" spans="1:30">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row>
    <row r="236" spans="1:30">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row>
    <row r="237" spans="1:30">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row>
    <row r="238" spans="1:30">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row>
    <row r="239" spans="1:30">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row>
    <row r="240" spans="1:3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row>
    <row r="241" spans="1:30">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row>
    <row r="242" spans="1:30">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row>
    <row r="243" spans="1:30">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row>
    <row r="244" spans="1:30">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row>
    <row r="245" spans="1:30">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row>
    <row r="246" spans="1:30">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row>
    <row r="247" spans="1:30">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row>
    <row r="248" spans="1:30">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row>
    <row r="249" spans="1:30">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row>
    <row r="250" spans="1:3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row>
    <row r="251" spans="1:30">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row>
    <row r="252" spans="1:30">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row>
    <row r="253" spans="1:30">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row>
    <row r="254" spans="1:30">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row>
    <row r="255" spans="1:30">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row>
    <row r="256" spans="1:30">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row>
    <row r="257" spans="1:30">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row>
    <row r="258" spans="1:30">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row>
    <row r="259" spans="1:30">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row>
    <row r="260" spans="1:3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row>
    <row r="261" spans="1:30">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row>
    <row r="262" spans="1:30">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row>
    <row r="263" spans="1:30">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row>
    <row r="264" spans="1:30">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row>
    <row r="265" spans="1:30">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row>
    <row r="266" spans="1:30">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row>
    <row r="267" spans="1:30">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row>
    <row r="268" spans="1:30">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row>
    <row r="269" spans="1:30">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row>
    <row r="270" spans="1:3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row>
    <row r="271" spans="1:30">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row>
    <row r="272" spans="1:30">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row>
    <row r="273" spans="1:30">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row>
    <row r="274" spans="1:30">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row>
    <row r="275" spans="1:30">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row>
    <row r="276" spans="1:30">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row>
    <row r="277" spans="1:30">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row>
    <row r="278" spans="1:30">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row>
    <row r="279" spans="1:30">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row>
    <row r="280" spans="1:3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row>
    <row r="281" spans="1:30">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row>
    <row r="282" spans="1:30">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row>
    <row r="283" spans="1:30">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row>
    <row r="284" spans="1:30">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row>
    <row r="285" spans="1:30">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row>
    <row r="286" spans="1:30">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row>
    <row r="287" spans="1:30">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row>
    <row r="288" spans="1:30">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row>
    <row r="289" spans="1:30">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row>
    <row r="290" spans="1:3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row>
    <row r="291" spans="1:30">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row>
    <row r="292" spans="1:30">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row>
    <row r="293" spans="1:30">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row>
    <row r="294" spans="1:30">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row>
    <row r="295" spans="1:30">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row>
    <row r="296" spans="1:30">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row>
    <row r="297" spans="1:30">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row>
    <row r="298" spans="1:30">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row>
    <row r="299" spans="1:30">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row>
    <row r="300" spans="1:3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row>
    <row r="301" spans="1:30">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row>
    <row r="302" spans="1:30">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row>
    <row r="303" spans="1:30">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row>
    <row r="304" spans="1:30">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row>
    <row r="305" spans="1:30">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row>
    <row r="306" spans="1:30">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row>
    <row r="307" spans="1:30">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row>
    <row r="308" spans="1:30">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row>
    <row r="309" spans="1:30">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row>
    <row r="310" spans="1:3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row>
    <row r="311" spans="1:30">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row>
    <row r="312" spans="1:30">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row>
    <row r="313" spans="1:30">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row>
    <row r="314" spans="1:30">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row>
    <row r="315" spans="1:30">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row>
    <row r="316" spans="1:30">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row>
    <row r="317" spans="1:30">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c r="AB317" s="117"/>
      <c r="AC317" s="117"/>
      <c r="AD317" s="117"/>
    </row>
    <row r="318" spans="1:30">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c r="AB318" s="117"/>
      <c r="AC318" s="117"/>
      <c r="AD318" s="117"/>
    </row>
    <row r="319" spans="1:30">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c r="AB319" s="117"/>
      <c r="AC319" s="117"/>
      <c r="AD319" s="117"/>
    </row>
    <row r="320" spans="1:3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c r="AB320" s="117"/>
      <c r="AC320" s="117"/>
      <c r="AD320" s="117"/>
    </row>
    <row r="321" spans="1:30">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c r="AB321" s="117"/>
      <c r="AC321" s="117"/>
      <c r="AD321" s="117"/>
    </row>
    <row r="322" spans="1:30">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c r="AB322" s="117"/>
      <c r="AC322" s="117"/>
      <c r="AD322" s="117"/>
    </row>
    <row r="323" spans="1:30">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c r="AB323" s="117"/>
      <c r="AC323" s="117"/>
      <c r="AD323" s="117"/>
    </row>
    <row r="324" spans="1:30">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c r="AB324" s="117"/>
      <c r="AC324" s="117"/>
      <c r="AD324" s="117"/>
    </row>
    <row r="325" spans="1:30">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c r="AB325" s="117"/>
      <c r="AC325" s="117"/>
      <c r="AD325" s="117"/>
    </row>
    <row r="326" spans="1:30">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c r="AB326" s="117"/>
      <c r="AC326" s="117"/>
      <c r="AD326" s="117"/>
    </row>
    <row r="327" spans="1:30">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c r="AB327" s="117"/>
      <c r="AC327" s="117"/>
      <c r="AD327" s="117"/>
    </row>
    <row r="328" spans="1:30">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c r="AB328" s="117"/>
      <c r="AC328" s="117"/>
      <c r="AD328" s="117"/>
    </row>
    <row r="329" spans="1:30">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c r="AB329" s="117"/>
      <c r="AC329" s="117"/>
      <c r="AD329" s="117"/>
    </row>
    <row r="330" spans="1: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c r="AB330" s="117"/>
      <c r="AC330" s="117"/>
      <c r="AD330" s="117"/>
    </row>
    <row r="331" spans="1:30">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c r="AB331" s="117"/>
      <c r="AC331" s="117"/>
      <c r="AD331" s="117"/>
    </row>
    <row r="332" spans="1:30">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c r="AB332" s="117"/>
      <c r="AC332" s="117"/>
      <c r="AD332" s="117"/>
    </row>
    <row r="333" spans="1:30">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c r="AB333" s="117"/>
      <c r="AC333" s="117"/>
      <c r="AD333" s="117"/>
    </row>
    <row r="334" spans="1:30">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c r="AB334" s="117"/>
      <c r="AC334" s="117"/>
      <c r="AD334" s="117"/>
    </row>
    <row r="335" spans="1:30">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c r="AB335" s="117"/>
      <c r="AC335" s="117"/>
      <c r="AD335" s="117"/>
    </row>
    <row r="336" spans="1:30">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c r="AB336" s="117"/>
      <c r="AC336" s="117"/>
      <c r="AD336" s="117"/>
    </row>
    <row r="337" spans="1:30">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c r="AB337" s="117"/>
      <c r="AC337" s="117"/>
      <c r="AD337" s="117"/>
    </row>
    <row r="338" spans="1:30">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c r="AB338" s="117"/>
      <c r="AC338" s="117"/>
      <c r="AD338" s="117"/>
    </row>
    <row r="339" spans="1:30">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c r="AB339" s="117"/>
      <c r="AC339" s="117"/>
      <c r="AD339" s="117"/>
    </row>
    <row r="340" spans="1:3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c r="AB340" s="117"/>
      <c r="AC340" s="117"/>
      <c r="AD340" s="117"/>
    </row>
    <row r="341" spans="1:30">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c r="AB341" s="117"/>
      <c r="AC341" s="117"/>
      <c r="AD341" s="117"/>
    </row>
    <row r="342" spans="1:30">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c r="AB342" s="117"/>
      <c r="AC342" s="117"/>
      <c r="AD342" s="117"/>
    </row>
    <row r="343" spans="1:30">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c r="AB343" s="117"/>
      <c r="AC343" s="117"/>
      <c r="AD343" s="117"/>
    </row>
    <row r="344" spans="1:30">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c r="AB344" s="117"/>
      <c r="AC344" s="117"/>
      <c r="AD344" s="117"/>
    </row>
    <row r="345" spans="1:30">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c r="AB345" s="117"/>
      <c r="AC345" s="117"/>
      <c r="AD345" s="117"/>
    </row>
    <row r="346" spans="1:30">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c r="AB346" s="117"/>
      <c r="AC346" s="117"/>
      <c r="AD346" s="117"/>
    </row>
    <row r="347" spans="1:30">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c r="AB347" s="117"/>
      <c r="AC347" s="117"/>
      <c r="AD347" s="117"/>
    </row>
    <row r="348" spans="1:30">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c r="AB348" s="117"/>
      <c r="AC348" s="117"/>
      <c r="AD348" s="117"/>
    </row>
    <row r="349" spans="1:30">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c r="AB349" s="117"/>
      <c r="AC349" s="117"/>
      <c r="AD349" s="117"/>
    </row>
    <row r="350" spans="1:3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c r="AB350" s="117"/>
      <c r="AC350" s="117"/>
      <c r="AD350" s="117"/>
    </row>
    <row r="351" spans="1:30">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c r="AB351" s="117"/>
      <c r="AC351" s="117"/>
      <c r="AD351" s="117"/>
    </row>
    <row r="352" spans="1:30">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c r="AB352" s="117"/>
      <c r="AC352" s="117"/>
      <c r="AD352" s="117"/>
    </row>
    <row r="353" spans="1:30">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c r="AB353" s="117"/>
      <c r="AC353" s="117"/>
      <c r="AD353" s="117"/>
    </row>
    <row r="354" spans="1:30">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c r="AB354" s="117"/>
      <c r="AC354" s="117"/>
      <c r="AD354" s="117"/>
    </row>
    <row r="355" spans="1:30">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c r="AB355" s="117"/>
      <c r="AC355" s="117"/>
      <c r="AD355" s="117"/>
    </row>
    <row r="356" spans="1:30">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c r="AB356" s="117"/>
      <c r="AC356" s="117"/>
      <c r="AD356" s="117"/>
    </row>
    <row r="357" spans="1:30">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c r="AB357" s="117"/>
      <c r="AC357" s="117"/>
      <c r="AD357" s="117"/>
    </row>
    <row r="358" spans="1:30">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c r="AB358" s="117"/>
      <c r="AC358" s="117"/>
      <c r="AD358" s="117"/>
    </row>
    <row r="359" spans="1:30">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c r="AB359" s="117"/>
      <c r="AC359" s="117"/>
      <c r="AD359" s="117"/>
    </row>
    <row r="360" spans="1:3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c r="AB360" s="117"/>
      <c r="AC360" s="117"/>
      <c r="AD360" s="117"/>
    </row>
    <row r="361" spans="1:30">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c r="AB361" s="117"/>
      <c r="AC361" s="117"/>
      <c r="AD361" s="117"/>
    </row>
    <row r="362" spans="1:30">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c r="AB362" s="117"/>
      <c r="AC362" s="117"/>
      <c r="AD362" s="117"/>
    </row>
    <row r="363" spans="1:30">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c r="AB363" s="117"/>
      <c r="AC363" s="117"/>
      <c r="AD363" s="117"/>
    </row>
    <row r="364" spans="1:30">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c r="AB364" s="117"/>
      <c r="AC364" s="117"/>
      <c r="AD364" s="117"/>
    </row>
    <row r="365" spans="1:30">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c r="AB365" s="117"/>
      <c r="AC365" s="117"/>
      <c r="AD365" s="117"/>
    </row>
    <row r="366" spans="1:30">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c r="AB366" s="117"/>
      <c r="AC366" s="117"/>
      <c r="AD366" s="117"/>
    </row>
    <row r="367" spans="1:30">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c r="AB367" s="117"/>
      <c r="AC367" s="117"/>
      <c r="AD367" s="117"/>
    </row>
    <row r="368" spans="1:30">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c r="AB368" s="117"/>
      <c r="AC368" s="117"/>
      <c r="AD368" s="117"/>
    </row>
    <row r="369" spans="1:30">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c r="AB369" s="117"/>
      <c r="AC369" s="117"/>
      <c r="AD369" s="117"/>
    </row>
    <row r="370" spans="1:3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c r="AB370" s="117"/>
      <c r="AC370" s="117"/>
      <c r="AD370" s="117"/>
    </row>
    <row r="371" spans="1:30">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c r="AB371" s="117"/>
      <c r="AC371" s="117"/>
      <c r="AD371" s="117"/>
    </row>
    <row r="372" spans="1:30">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c r="AB372" s="117"/>
      <c r="AC372" s="117"/>
      <c r="AD372" s="117"/>
    </row>
    <row r="373" spans="1:30">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c r="AB373" s="117"/>
      <c r="AC373" s="117"/>
      <c r="AD373" s="117"/>
    </row>
    <row r="374" spans="1:30">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c r="AB374" s="117"/>
      <c r="AC374" s="117"/>
      <c r="AD374" s="117"/>
    </row>
    <row r="375" spans="1:30">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c r="AB375" s="117"/>
      <c r="AC375" s="117"/>
      <c r="AD375" s="117"/>
    </row>
    <row r="376" spans="1:30">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c r="AB376" s="117"/>
      <c r="AC376" s="117"/>
      <c r="AD376" s="117"/>
    </row>
    <row r="377" spans="1:30">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c r="AB377" s="117"/>
      <c r="AC377" s="117"/>
      <c r="AD377" s="117"/>
    </row>
    <row r="378" spans="1:30">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c r="AB378" s="117"/>
      <c r="AC378" s="117"/>
      <c r="AD378" s="117"/>
    </row>
    <row r="379" spans="1:30">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c r="AB379" s="117"/>
      <c r="AC379" s="117"/>
      <c r="AD379" s="117"/>
    </row>
    <row r="380" spans="1:3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c r="AB380" s="117"/>
      <c r="AC380" s="117"/>
      <c r="AD380" s="117"/>
    </row>
    <row r="381" spans="1:30">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c r="AB381" s="117"/>
      <c r="AC381" s="117"/>
      <c r="AD381" s="117"/>
    </row>
    <row r="382" spans="1:30">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c r="AB382" s="117"/>
      <c r="AC382" s="117"/>
      <c r="AD382" s="117"/>
    </row>
    <row r="383" spans="1:30">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c r="AB383" s="117"/>
      <c r="AC383" s="117"/>
      <c r="AD383" s="117"/>
    </row>
    <row r="384" spans="1:30">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c r="AB384" s="117"/>
      <c r="AC384" s="117"/>
      <c r="AD384" s="117"/>
    </row>
    <row r="385" spans="1:30">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c r="AB385" s="117"/>
      <c r="AC385" s="117"/>
      <c r="AD385" s="117"/>
    </row>
    <row r="386" spans="1:30">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c r="AB386" s="117"/>
      <c r="AC386" s="117"/>
      <c r="AD386" s="117"/>
    </row>
    <row r="387" spans="1:30">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c r="AB387" s="117"/>
      <c r="AC387" s="117"/>
      <c r="AD387" s="117"/>
    </row>
    <row r="388" spans="1:30">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c r="AB388" s="117"/>
      <c r="AC388" s="117"/>
      <c r="AD388" s="117"/>
    </row>
    <row r="389" spans="1:30">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c r="AB389" s="117"/>
      <c r="AC389" s="117"/>
      <c r="AD389" s="117"/>
    </row>
    <row r="390" spans="1:3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c r="AB390" s="117"/>
      <c r="AC390" s="117"/>
      <c r="AD390" s="117"/>
    </row>
    <row r="391" spans="1:30">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c r="AB391" s="117"/>
      <c r="AC391" s="117"/>
      <c r="AD391" s="117"/>
    </row>
    <row r="392" spans="1:30">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c r="AB392" s="117"/>
      <c r="AC392" s="117"/>
      <c r="AD392" s="117"/>
    </row>
    <row r="393" spans="1:30">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c r="AB393" s="117"/>
      <c r="AC393" s="117"/>
      <c r="AD393" s="117"/>
    </row>
    <row r="394" spans="1:30">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c r="AB394" s="117"/>
      <c r="AC394" s="117"/>
      <c r="AD394" s="117"/>
    </row>
    <row r="395" spans="1:30">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c r="AB395" s="117"/>
      <c r="AC395" s="117"/>
      <c r="AD395" s="117"/>
    </row>
    <row r="396" spans="1:30">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c r="AB396" s="117"/>
      <c r="AC396" s="117"/>
      <c r="AD396" s="117"/>
    </row>
    <row r="397" spans="1:30">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7"/>
    </row>
    <row r="398" spans="1:30">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c r="AB398" s="117"/>
      <c r="AC398" s="117"/>
      <c r="AD398" s="117"/>
    </row>
    <row r="399" spans="1:30">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c r="AB399" s="117"/>
      <c r="AC399" s="117"/>
      <c r="AD399" s="117"/>
    </row>
    <row r="400" spans="1:3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c r="AB400" s="117"/>
      <c r="AC400" s="117"/>
      <c r="AD400" s="117"/>
    </row>
    <row r="401" spans="1:30">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row>
    <row r="402" spans="1:30">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c r="AB402" s="117"/>
      <c r="AC402" s="117"/>
      <c r="AD402" s="117"/>
    </row>
    <row r="403" spans="1:30">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c r="AB403" s="117"/>
      <c r="AC403" s="117"/>
      <c r="AD403" s="117"/>
    </row>
    <row r="404" spans="1:30">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c r="AB404" s="117"/>
      <c r="AC404" s="117"/>
      <c r="AD404" s="117"/>
    </row>
    <row r="405" spans="1:30">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c r="AB405" s="117"/>
      <c r="AC405" s="117"/>
      <c r="AD405" s="117"/>
    </row>
    <row r="406" spans="1:30">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c r="AB406" s="117"/>
      <c r="AC406" s="117"/>
      <c r="AD406" s="117"/>
    </row>
    <row r="407" spans="1:30">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c r="AB407" s="117"/>
      <c r="AC407" s="117"/>
      <c r="AD407" s="117"/>
    </row>
    <row r="408" spans="1:30">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c r="AB408" s="117"/>
      <c r="AC408" s="117"/>
      <c r="AD408" s="117"/>
    </row>
    <row r="409" spans="1:30">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c r="AB409" s="117"/>
      <c r="AC409" s="117"/>
      <c r="AD409" s="117"/>
    </row>
    <row r="410" spans="1:3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7"/>
    </row>
    <row r="411" spans="1:30">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c r="AB411" s="117"/>
      <c r="AC411" s="117"/>
      <c r="AD411" s="117"/>
    </row>
    <row r="412" spans="1:30">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c r="AB412" s="117"/>
      <c r="AC412" s="117"/>
      <c r="AD412" s="117"/>
    </row>
    <row r="413" spans="1:30">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c r="AB413" s="117"/>
      <c r="AC413" s="117"/>
      <c r="AD413" s="117"/>
    </row>
    <row r="414" spans="1:30">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c r="AB414" s="117"/>
      <c r="AC414" s="117"/>
      <c r="AD414" s="117"/>
    </row>
    <row r="415" spans="1:30">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c r="AB415" s="117"/>
      <c r="AC415" s="117"/>
      <c r="AD415" s="117"/>
    </row>
    <row r="416" spans="1:30">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c r="AB416" s="117"/>
      <c r="AC416" s="117"/>
      <c r="AD416" s="117"/>
    </row>
    <row r="417" spans="1:30">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c r="AB417" s="117"/>
      <c r="AC417" s="117"/>
      <c r="AD417" s="117"/>
    </row>
    <row r="418" spans="1:30">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c r="AB418" s="117"/>
      <c r="AC418" s="117"/>
      <c r="AD418" s="117"/>
    </row>
    <row r="419" spans="1:30">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c r="AB419" s="117"/>
      <c r="AC419" s="117"/>
      <c r="AD419" s="117"/>
    </row>
    <row r="420" spans="1:3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c r="AB420" s="117"/>
      <c r="AC420" s="117"/>
      <c r="AD420" s="117"/>
    </row>
    <row r="421" spans="1:30">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c r="AB421" s="117"/>
      <c r="AC421" s="117"/>
      <c r="AD421" s="117"/>
    </row>
    <row r="422" spans="1:30">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c r="AB422" s="117"/>
      <c r="AC422" s="117"/>
      <c r="AD422" s="117"/>
    </row>
    <row r="423" spans="1:30">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c r="AB423" s="117"/>
      <c r="AC423" s="117"/>
      <c r="AD423" s="117"/>
    </row>
    <row r="424" spans="1:30">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c r="AB424" s="117"/>
      <c r="AC424" s="117"/>
      <c r="AD424" s="117"/>
    </row>
    <row r="425" spans="1:30">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c r="AB425" s="117"/>
      <c r="AC425" s="117"/>
      <c r="AD425" s="117"/>
    </row>
    <row r="426" spans="1:30">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c r="AB426" s="117"/>
      <c r="AC426" s="117"/>
      <c r="AD426" s="117"/>
    </row>
    <row r="427" spans="1:30">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c r="AB427" s="117"/>
      <c r="AC427" s="117"/>
      <c r="AD427" s="117"/>
    </row>
    <row r="428" spans="1:30">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c r="AB428" s="117"/>
      <c r="AC428" s="117"/>
      <c r="AD428" s="117"/>
    </row>
    <row r="429" spans="1:30">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c r="AB429" s="117"/>
      <c r="AC429" s="117"/>
      <c r="AD429" s="117"/>
    </row>
    <row r="430" spans="1: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c r="AB430" s="117"/>
      <c r="AC430" s="117"/>
      <c r="AD430" s="117"/>
    </row>
    <row r="431" spans="1:30">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c r="AB431" s="117"/>
      <c r="AC431" s="117"/>
      <c r="AD431" s="117"/>
    </row>
    <row r="432" spans="1:30">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c r="AB432" s="117"/>
      <c r="AC432" s="117"/>
      <c r="AD432" s="117"/>
    </row>
    <row r="433" spans="1:30">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c r="AB433" s="117"/>
      <c r="AC433" s="117"/>
      <c r="AD433" s="117"/>
    </row>
    <row r="434" spans="1:30">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c r="AB434" s="117"/>
      <c r="AC434" s="117"/>
      <c r="AD434" s="117"/>
    </row>
    <row r="435" spans="1:30">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c r="AB435" s="117"/>
      <c r="AC435" s="117"/>
      <c r="AD435" s="117"/>
    </row>
    <row r="436" spans="1:30">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c r="AB436" s="117"/>
      <c r="AC436" s="117"/>
      <c r="AD436" s="117"/>
    </row>
    <row r="437" spans="1:30">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7"/>
    </row>
    <row r="438" spans="1:30">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c r="AB438" s="117"/>
      <c r="AC438" s="117"/>
      <c r="AD438" s="117"/>
    </row>
    <row r="439" spans="1:30">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c r="AB439" s="117"/>
      <c r="AC439" s="117"/>
      <c r="AD439" s="117"/>
    </row>
    <row r="440" spans="1:3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c r="AB440" s="117"/>
      <c r="AC440" s="117"/>
      <c r="AD440" s="117"/>
    </row>
    <row r="441" spans="1:30">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c r="AB441" s="117"/>
      <c r="AC441" s="117"/>
      <c r="AD441" s="117"/>
    </row>
    <row r="442" spans="1:30">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c r="AB442" s="117"/>
      <c r="AC442" s="117"/>
      <c r="AD442" s="117"/>
    </row>
    <row r="443" spans="1:30">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c r="AB443" s="117"/>
      <c r="AC443" s="117"/>
      <c r="AD443" s="117"/>
    </row>
    <row r="444" spans="1:30">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c r="AB444" s="117"/>
      <c r="AC444" s="117"/>
      <c r="AD444" s="117"/>
    </row>
    <row r="445" spans="1:30">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c r="AB445" s="117"/>
      <c r="AC445" s="117"/>
      <c r="AD445" s="117"/>
    </row>
    <row r="446" spans="1:30">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c r="AB446" s="117"/>
      <c r="AC446" s="117"/>
      <c r="AD446" s="117"/>
    </row>
    <row r="447" spans="1:30">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c r="AB447" s="117"/>
      <c r="AC447" s="117"/>
      <c r="AD447" s="117"/>
    </row>
    <row r="448" spans="1:30">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c r="AB448" s="117"/>
      <c r="AC448" s="117"/>
      <c r="AD448" s="117"/>
    </row>
    <row r="449" spans="1:30">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c r="AB449" s="117"/>
      <c r="AC449" s="117"/>
      <c r="AD449" s="117"/>
    </row>
    <row r="450" spans="1:3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c r="AB450" s="117"/>
      <c r="AC450" s="117"/>
      <c r="AD450" s="117"/>
    </row>
    <row r="451" spans="1:30">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c r="AB451" s="117"/>
      <c r="AC451" s="117"/>
      <c r="AD451" s="117"/>
    </row>
    <row r="452" spans="1:30">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c r="AB452" s="117"/>
      <c r="AC452" s="117"/>
      <c r="AD452" s="117"/>
    </row>
    <row r="453" spans="1:30">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7"/>
    </row>
    <row r="454" spans="1:30">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c r="AB454" s="117"/>
      <c r="AC454" s="117"/>
      <c r="AD454" s="117"/>
    </row>
    <row r="455" spans="1:30">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c r="AB455" s="117"/>
      <c r="AC455" s="117"/>
      <c r="AD455" s="117"/>
    </row>
    <row r="456" spans="1:30">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c r="AB456" s="117"/>
      <c r="AC456" s="117"/>
      <c r="AD456" s="117"/>
    </row>
    <row r="457" spans="1:30">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c r="AB457" s="117"/>
      <c r="AC457" s="117"/>
      <c r="AD457" s="117"/>
    </row>
    <row r="458" spans="1:30">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c r="AB458" s="117"/>
      <c r="AC458" s="117"/>
      <c r="AD458" s="117"/>
    </row>
    <row r="459" spans="1:30">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c r="AB459" s="117"/>
      <c r="AC459" s="117"/>
      <c r="AD459" s="117"/>
    </row>
    <row r="460" spans="1:3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row>
    <row r="461" spans="1:30">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c r="AB461" s="117"/>
      <c r="AC461" s="117"/>
      <c r="AD461" s="117"/>
    </row>
    <row r="462" spans="1:30">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c r="AB462" s="117"/>
      <c r="AC462" s="117"/>
      <c r="AD462" s="117"/>
    </row>
    <row r="463" spans="1:30">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c r="AB463" s="117"/>
      <c r="AC463" s="117"/>
      <c r="AD463" s="117"/>
    </row>
    <row r="464" spans="1:30">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c r="AB464" s="117"/>
      <c r="AC464" s="117"/>
      <c r="AD464" s="117"/>
    </row>
    <row r="465" spans="1:30">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c r="AB465" s="117"/>
      <c r="AC465" s="117"/>
      <c r="AD465" s="117"/>
    </row>
    <row r="466" spans="1:30">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c r="AB466" s="117"/>
      <c r="AC466" s="117"/>
      <c r="AD466" s="117"/>
    </row>
    <row r="467" spans="1:30">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c r="AB467" s="117"/>
      <c r="AC467" s="117"/>
      <c r="AD467" s="117"/>
    </row>
    <row r="468" spans="1:30">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c r="AB468" s="117"/>
      <c r="AC468" s="117"/>
      <c r="AD468" s="117"/>
    </row>
    <row r="469" spans="1:30">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c r="AB469" s="117"/>
      <c r="AC469" s="117"/>
      <c r="AD469" s="117"/>
    </row>
    <row r="470" spans="1:3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c r="AB470" s="117"/>
      <c r="AC470" s="117"/>
      <c r="AD470" s="117"/>
    </row>
    <row r="471" spans="1:30">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c r="AB471" s="117"/>
      <c r="AC471" s="117"/>
      <c r="AD471" s="117"/>
    </row>
    <row r="472" spans="1:30">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c r="AB472" s="117"/>
      <c r="AC472" s="117"/>
      <c r="AD472" s="117"/>
    </row>
    <row r="473" spans="1:30">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c r="AB473" s="117"/>
      <c r="AC473" s="117"/>
      <c r="AD473" s="117"/>
    </row>
    <row r="474" spans="1:30">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c r="AB474" s="117"/>
      <c r="AC474" s="117"/>
      <c r="AD474" s="117"/>
    </row>
    <row r="475" spans="1:30">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c r="AB475" s="117"/>
      <c r="AC475" s="117"/>
      <c r="AD475" s="117"/>
    </row>
    <row r="476" spans="1:30">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c r="AB476" s="117"/>
      <c r="AC476" s="117"/>
      <c r="AD476" s="117"/>
    </row>
    <row r="477" spans="1:30">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c r="AB477" s="117"/>
      <c r="AC477" s="117"/>
      <c r="AD477" s="117"/>
    </row>
    <row r="478" spans="1:30">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c r="AB478" s="117"/>
      <c r="AC478" s="117"/>
      <c r="AD478" s="117"/>
    </row>
    <row r="479" spans="1:30">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row>
    <row r="480" spans="1:3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c r="AB480" s="117"/>
      <c r="AC480" s="117"/>
      <c r="AD480" s="117"/>
    </row>
    <row r="481" spans="1:30">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row>
    <row r="482" spans="1:30">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c r="AB482" s="117"/>
      <c r="AC482" s="117"/>
      <c r="AD482" s="117"/>
    </row>
    <row r="483" spans="1:30">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c r="AB483" s="117"/>
      <c r="AC483" s="117"/>
      <c r="AD483" s="117"/>
    </row>
    <row r="484" spans="1:30">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c r="AB484" s="117"/>
      <c r="AC484" s="117"/>
      <c r="AD484" s="117"/>
    </row>
    <row r="485" spans="1:30">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c r="AB485" s="117"/>
      <c r="AC485" s="117"/>
      <c r="AD485" s="117"/>
    </row>
    <row r="486" spans="1:30">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c r="AB486" s="117"/>
      <c r="AC486" s="117"/>
      <c r="AD486" s="117"/>
    </row>
    <row r="487" spans="1:30">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c r="AB487" s="117"/>
      <c r="AC487" s="117"/>
      <c r="AD487" s="117"/>
    </row>
    <row r="488" spans="1:30">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c r="AB488" s="117"/>
      <c r="AC488" s="117"/>
      <c r="AD488" s="117"/>
    </row>
    <row r="489" spans="1:30">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c r="AB489" s="117"/>
      <c r="AC489" s="117"/>
      <c r="AD489" s="117"/>
    </row>
    <row r="490" spans="1:3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c r="AB490" s="117"/>
      <c r="AC490" s="117"/>
      <c r="AD490" s="117"/>
    </row>
    <row r="491" spans="1:30">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c r="AB491" s="117"/>
      <c r="AC491" s="117"/>
      <c r="AD491" s="117"/>
    </row>
    <row r="492" spans="1:30">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c r="AB492" s="117"/>
      <c r="AC492" s="117"/>
      <c r="AD492" s="117"/>
    </row>
    <row r="493" spans="1:30">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c r="AB493" s="117"/>
      <c r="AC493" s="117"/>
      <c r="AD493" s="117"/>
    </row>
    <row r="494" spans="1:30">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c r="AB494" s="117"/>
      <c r="AC494" s="117"/>
      <c r="AD494" s="117"/>
    </row>
    <row r="495" spans="1:30">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7"/>
    </row>
    <row r="496" spans="1:30">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c r="AB496" s="117"/>
      <c r="AC496" s="117"/>
      <c r="AD496" s="117"/>
    </row>
    <row r="497" spans="1:30">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c r="AB497" s="117"/>
      <c r="AC497" s="117"/>
      <c r="AD497" s="117"/>
    </row>
    <row r="498" spans="1:30">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c r="AB498" s="117"/>
      <c r="AC498" s="117"/>
      <c r="AD498" s="117"/>
    </row>
    <row r="499" spans="1:30">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c r="AB499" s="117"/>
      <c r="AC499" s="117"/>
      <c r="AD499" s="117"/>
    </row>
    <row r="500" spans="1:3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c r="AB500" s="117"/>
      <c r="AC500" s="117"/>
      <c r="AD500" s="117"/>
    </row>
    <row r="501" spans="1:30">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c r="AB501" s="117"/>
      <c r="AC501" s="117"/>
      <c r="AD501" s="117"/>
    </row>
    <row r="502" spans="1:30">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c r="AB502" s="117"/>
      <c r="AC502" s="117"/>
      <c r="AD502" s="117"/>
    </row>
    <row r="503" spans="1:30">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c r="AB503" s="117"/>
      <c r="AC503" s="117"/>
      <c r="AD503" s="117"/>
    </row>
    <row r="504" spans="1:30">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c r="AB504" s="117"/>
      <c r="AC504" s="117"/>
      <c r="AD504" s="117"/>
    </row>
    <row r="505" spans="1:30">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c r="AB505" s="117"/>
      <c r="AC505" s="117"/>
      <c r="AD505" s="117"/>
    </row>
    <row r="506" spans="1:30">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c r="AB506" s="117"/>
      <c r="AC506" s="117"/>
      <c r="AD506" s="117"/>
    </row>
    <row r="507" spans="1:30">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c r="AB507" s="117"/>
      <c r="AC507" s="117"/>
      <c r="AD507" s="117"/>
    </row>
    <row r="508" spans="1:30">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c r="AB508" s="117"/>
      <c r="AC508" s="117"/>
      <c r="AD508" s="117"/>
    </row>
    <row r="509" spans="1:30">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c r="AB509" s="117"/>
      <c r="AC509" s="117"/>
      <c r="AD509" s="117"/>
    </row>
    <row r="510" spans="1:3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c r="AB510" s="117"/>
      <c r="AC510" s="117"/>
      <c r="AD510" s="117"/>
    </row>
    <row r="511" spans="1:30">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c r="AB511" s="117"/>
      <c r="AC511" s="117"/>
      <c r="AD511" s="117"/>
    </row>
    <row r="512" spans="1:30">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7"/>
    </row>
    <row r="513" spans="1:30">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c r="AB513" s="117"/>
      <c r="AC513" s="117"/>
      <c r="AD513" s="117"/>
    </row>
    <row r="514" spans="1:30">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c r="AB514" s="117"/>
      <c r="AC514" s="117"/>
      <c r="AD514" s="117"/>
    </row>
    <row r="515" spans="1:30">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c r="AB515" s="117"/>
      <c r="AC515" s="117"/>
      <c r="AD515" s="117"/>
    </row>
    <row r="516" spans="1:30">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c r="AB516" s="117"/>
      <c r="AC516" s="117"/>
      <c r="AD516" s="117"/>
    </row>
    <row r="517" spans="1:30">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c r="AB517" s="117"/>
      <c r="AC517" s="117"/>
      <c r="AD517" s="117"/>
    </row>
    <row r="518" spans="1:30">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c r="AB518" s="117"/>
      <c r="AC518" s="117"/>
      <c r="AD518" s="117"/>
    </row>
    <row r="519" spans="1:30">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c r="AB519" s="117"/>
      <c r="AC519" s="117"/>
      <c r="AD519" s="117"/>
    </row>
    <row r="520" spans="1:3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c r="AB520" s="117"/>
      <c r="AC520" s="117"/>
      <c r="AD520" s="117"/>
    </row>
    <row r="521" spans="1:30">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c r="AB521" s="117"/>
      <c r="AC521" s="117"/>
      <c r="AD521" s="117"/>
    </row>
    <row r="522" spans="1:30">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c r="AB522" s="117"/>
      <c r="AC522" s="117"/>
      <c r="AD522" s="117"/>
    </row>
    <row r="523" spans="1:30">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c r="AB523" s="117"/>
      <c r="AC523" s="117"/>
      <c r="AD523" s="117"/>
    </row>
    <row r="524" spans="1:30">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c r="AB524" s="117"/>
      <c r="AC524" s="117"/>
      <c r="AD524" s="117"/>
    </row>
    <row r="525" spans="1:30">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row>
    <row r="526" spans="1:30">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c r="AB526" s="117"/>
      <c r="AC526" s="117"/>
      <c r="AD526" s="117"/>
    </row>
    <row r="527" spans="1:30">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c r="AB527" s="117"/>
      <c r="AC527" s="117"/>
      <c r="AD527" s="117"/>
    </row>
    <row r="528" spans="1:30">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c r="AB528" s="117"/>
      <c r="AC528" s="117"/>
      <c r="AD528" s="117"/>
    </row>
    <row r="529" spans="1:30">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c r="AB529" s="117"/>
      <c r="AC529" s="117"/>
      <c r="AD529" s="117"/>
    </row>
    <row r="530" spans="1: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c r="AB530" s="117"/>
      <c r="AC530" s="117"/>
      <c r="AD530" s="117"/>
    </row>
    <row r="531" spans="1:30">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c r="AB531" s="117"/>
      <c r="AC531" s="117"/>
      <c r="AD531" s="117"/>
    </row>
    <row r="532" spans="1:30">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c r="AB532" s="117"/>
      <c r="AC532" s="117"/>
      <c r="AD532" s="117"/>
    </row>
    <row r="533" spans="1:30">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c r="AB533" s="117"/>
      <c r="AC533" s="117"/>
      <c r="AD533" s="117"/>
    </row>
    <row r="534" spans="1:30">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c r="AB534" s="117"/>
      <c r="AC534" s="117"/>
      <c r="AD534" s="117"/>
    </row>
    <row r="535" spans="1:30">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c r="AB535" s="117"/>
      <c r="AC535" s="117"/>
      <c r="AD535" s="117"/>
    </row>
    <row r="536" spans="1:30">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c r="AB536" s="117"/>
      <c r="AC536" s="117"/>
      <c r="AD536" s="117"/>
    </row>
    <row r="537" spans="1:30">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c r="AB537" s="117"/>
      <c r="AC537" s="117"/>
      <c r="AD537" s="117"/>
    </row>
    <row r="538" spans="1:30">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c r="AB538" s="117"/>
      <c r="AC538" s="117"/>
      <c r="AD538" s="117"/>
    </row>
    <row r="539" spans="1:30">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c r="AB539" s="117"/>
      <c r="AC539" s="117"/>
      <c r="AD539" s="117"/>
    </row>
    <row r="540" spans="1:3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c r="AB540" s="117"/>
      <c r="AC540" s="117"/>
      <c r="AD540" s="117"/>
    </row>
    <row r="541" spans="1:30">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c r="AB541" s="117"/>
      <c r="AC541" s="117"/>
      <c r="AD541" s="117"/>
    </row>
    <row r="542" spans="1:30">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c r="AB542" s="117"/>
      <c r="AC542" s="117"/>
      <c r="AD542" s="117"/>
    </row>
    <row r="543" spans="1:30">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c r="AB543" s="117"/>
      <c r="AC543" s="117"/>
      <c r="AD543" s="117"/>
    </row>
    <row r="544" spans="1:30">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row>
    <row r="545" spans="1:30">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c r="AB545" s="117"/>
      <c r="AC545" s="117"/>
      <c r="AD545" s="117"/>
    </row>
    <row r="546" spans="1:30">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c r="AB546" s="117"/>
      <c r="AC546" s="117"/>
      <c r="AD546" s="117"/>
    </row>
    <row r="547" spans="1:30">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row>
    <row r="548" spans="1:30">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c r="AB548" s="117"/>
      <c r="AC548" s="117"/>
      <c r="AD548" s="117"/>
    </row>
    <row r="549" spans="1:30">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c r="AB549" s="117"/>
      <c r="AC549" s="117"/>
      <c r="AD549" s="117"/>
    </row>
    <row r="550" spans="1:3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c r="AB550" s="117"/>
      <c r="AC550" s="117"/>
      <c r="AD550" s="117"/>
    </row>
    <row r="551" spans="1:30">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c r="AB551" s="117"/>
      <c r="AC551" s="117"/>
      <c r="AD551" s="117"/>
    </row>
    <row r="552" spans="1:30">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c r="AB552" s="117"/>
      <c r="AC552" s="117"/>
      <c r="AD552" s="117"/>
    </row>
    <row r="553" spans="1:30">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c r="AB553" s="117"/>
      <c r="AC553" s="117"/>
      <c r="AD553" s="117"/>
    </row>
    <row r="554" spans="1:30">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c r="AB554" s="117"/>
      <c r="AC554" s="117"/>
      <c r="AD554" s="117"/>
    </row>
    <row r="555" spans="1:30">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c r="AB555" s="117"/>
      <c r="AC555" s="117"/>
      <c r="AD555" s="117"/>
    </row>
    <row r="556" spans="1:30">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c r="AB556" s="117"/>
      <c r="AC556" s="117"/>
      <c r="AD556" s="117"/>
    </row>
    <row r="557" spans="1:30">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c r="AB557" s="117"/>
      <c r="AC557" s="117"/>
      <c r="AD557" s="117"/>
    </row>
    <row r="558" spans="1:30">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c r="AB558" s="117"/>
      <c r="AC558" s="117"/>
      <c r="AD558" s="117"/>
    </row>
    <row r="559" spans="1:30">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c r="AB559" s="117"/>
      <c r="AC559" s="117"/>
      <c r="AD559" s="117"/>
    </row>
    <row r="560" spans="1:3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c r="AB560" s="117"/>
      <c r="AC560" s="117"/>
      <c r="AD560" s="117"/>
    </row>
    <row r="561" spans="1:30">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row>
    <row r="562" spans="1:30">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c r="AB562" s="117"/>
      <c r="AC562" s="117"/>
      <c r="AD562" s="117"/>
    </row>
    <row r="563" spans="1:30">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c r="AB563" s="117"/>
      <c r="AC563" s="117"/>
      <c r="AD563" s="117"/>
    </row>
    <row r="564" spans="1:30">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c r="AB564" s="117"/>
      <c r="AC564" s="117"/>
      <c r="AD564" s="117"/>
    </row>
    <row r="565" spans="1:30">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row>
    <row r="566" spans="1:30">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c r="AB566" s="117"/>
      <c r="AC566" s="117"/>
      <c r="AD566" s="117"/>
    </row>
    <row r="567" spans="1:30">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c r="AB567" s="117"/>
      <c r="AC567" s="117"/>
      <c r="AD567" s="117"/>
    </row>
    <row r="568" spans="1:30">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c r="AB568" s="117"/>
      <c r="AC568" s="117"/>
      <c r="AD568" s="117"/>
    </row>
    <row r="569" spans="1:30">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c r="AB569" s="117"/>
      <c r="AC569" s="117"/>
      <c r="AD569" s="117"/>
    </row>
    <row r="570" spans="1:3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c r="AB570" s="117"/>
      <c r="AC570" s="117"/>
      <c r="AD570" s="117"/>
    </row>
    <row r="571" spans="1:30">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c r="AB571" s="117"/>
      <c r="AC571" s="117"/>
      <c r="AD571" s="117"/>
    </row>
    <row r="572" spans="1:30">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c r="AB572" s="117"/>
      <c r="AC572" s="117"/>
      <c r="AD572" s="117"/>
    </row>
    <row r="573" spans="1:30">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c r="AB573" s="117"/>
      <c r="AC573" s="117"/>
      <c r="AD573" s="117"/>
    </row>
    <row r="574" spans="1:30">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c r="AB574" s="117"/>
      <c r="AC574" s="117"/>
      <c r="AD574" s="117"/>
    </row>
    <row r="575" spans="1:30">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c r="AB575" s="117"/>
      <c r="AC575" s="117"/>
      <c r="AD575" s="117"/>
    </row>
    <row r="576" spans="1:30">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c r="AB576" s="117"/>
      <c r="AC576" s="117"/>
      <c r="AD576" s="117"/>
    </row>
    <row r="577" spans="1:30">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row>
    <row r="578" spans="1:30">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c r="AB578" s="117"/>
      <c r="AC578" s="117"/>
      <c r="AD578" s="117"/>
    </row>
    <row r="579" spans="1:30">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c r="AB579" s="117"/>
      <c r="AC579" s="117"/>
      <c r="AD579" s="117"/>
    </row>
    <row r="580" spans="1:3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c r="AB580" s="117"/>
      <c r="AC580" s="117"/>
      <c r="AD580" s="117"/>
    </row>
    <row r="581" spans="1:30">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c r="AB581" s="117"/>
      <c r="AC581" s="117"/>
      <c r="AD581" s="117"/>
    </row>
    <row r="582" spans="1:30">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c r="AB582" s="117"/>
      <c r="AC582" s="117"/>
      <c r="AD582" s="117"/>
    </row>
    <row r="583" spans="1:30">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c r="AB583" s="117"/>
      <c r="AC583" s="117"/>
      <c r="AD583" s="117"/>
    </row>
    <row r="584" spans="1:30">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c r="AB584" s="117"/>
      <c r="AC584" s="117"/>
      <c r="AD584" s="117"/>
    </row>
    <row r="585" spans="1:30">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c r="AB585" s="117"/>
      <c r="AC585" s="117"/>
      <c r="AD585" s="117"/>
    </row>
    <row r="586" spans="1:30">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row>
    <row r="587" spans="1:30">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c r="AB587" s="117"/>
      <c r="AC587" s="117"/>
      <c r="AD587" s="117"/>
    </row>
    <row r="588" spans="1:30">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c r="AB588" s="117"/>
      <c r="AC588" s="117"/>
      <c r="AD588" s="117"/>
    </row>
    <row r="589" spans="1:30">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c r="AB589" s="117"/>
      <c r="AC589" s="117"/>
      <c r="AD589" s="117"/>
    </row>
    <row r="590" spans="1:3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c r="AB590" s="117"/>
      <c r="AC590" s="117"/>
      <c r="AD590" s="117"/>
    </row>
    <row r="591" spans="1:30">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c r="AB591" s="117"/>
      <c r="AC591" s="117"/>
      <c r="AD591" s="117"/>
    </row>
    <row r="592" spans="1:30">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c r="AB592" s="117"/>
      <c r="AC592" s="117"/>
      <c r="AD592" s="117"/>
    </row>
    <row r="593" spans="1:30">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c r="AB593" s="117"/>
      <c r="AC593" s="117"/>
      <c r="AD593" s="117"/>
    </row>
    <row r="594" spans="1:30">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c r="AB594" s="117"/>
      <c r="AC594" s="117"/>
      <c r="AD594" s="117"/>
    </row>
    <row r="595" spans="1:30">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c r="AB595" s="117"/>
      <c r="AC595" s="117"/>
      <c r="AD595" s="117"/>
    </row>
    <row r="596" spans="1:30">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c r="AB596" s="117"/>
      <c r="AC596" s="117"/>
      <c r="AD596" s="117"/>
    </row>
    <row r="597" spans="1:30">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c r="AB597" s="117"/>
      <c r="AC597" s="117"/>
      <c r="AD597" s="117"/>
    </row>
    <row r="598" spans="1:30">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c r="AB598" s="117"/>
      <c r="AC598" s="117"/>
      <c r="AD598" s="117"/>
    </row>
    <row r="599" spans="1:30">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c r="AB599" s="117"/>
      <c r="AC599" s="117"/>
      <c r="AD599" s="117"/>
    </row>
    <row r="600" spans="1:3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c r="AB600" s="117"/>
      <c r="AC600" s="117"/>
      <c r="AD600" s="117"/>
    </row>
    <row r="601" spans="1:30">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7"/>
    </row>
    <row r="602" spans="1:30">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c r="AB602" s="117"/>
      <c r="AC602" s="117"/>
      <c r="AD602" s="117"/>
    </row>
    <row r="603" spans="1:30">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c r="AB603" s="117"/>
      <c r="AC603" s="117"/>
      <c r="AD603" s="117"/>
    </row>
    <row r="604" spans="1:30">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c r="AB604" s="117"/>
      <c r="AC604" s="117"/>
      <c r="AD604" s="117"/>
    </row>
    <row r="605" spans="1:30">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row>
    <row r="606" spans="1:30">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row>
    <row r="607" spans="1:30">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row>
    <row r="608" spans="1:30">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row>
    <row r="609" spans="1:30">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c r="AB609" s="117"/>
      <c r="AC609" s="117"/>
      <c r="AD609" s="117"/>
    </row>
    <row r="610" spans="1:3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c r="AB610" s="117"/>
      <c r="AC610" s="117"/>
      <c r="AD610" s="117"/>
    </row>
    <row r="611" spans="1:30">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c r="AB611" s="117"/>
      <c r="AC611" s="117"/>
      <c r="AD611" s="117"/>
    </row>
    <row r="612" spans="1:30">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c r="AB612" s="117"/>
      <c r="AC612" s="117"/>
      <c r="AD612" s="117"/>
    </row>
    <row r="613" spans="1:30">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c r="AB613" s="117"/>
      <c r="AC613" s="117"/>
      <c r="AD613" s="117"/>
    </row>
    <row r="614" spans="1:30">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c r="AB614" s="117"/>
      <c r="AC614" s="117"/>
      <c r="AD614" s="117"/>
    </row>
    <row r="615" spans="1:30">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c r="AB615" s="117"/>
      <c r="AC615" s="117"/>
      <c r="AD615" s="117"/>
    </row>
    <row r="616" spans="1:30">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c r="AB616" s="117"/>
      <c r="AC616" s="117"/>
      <c r="AD616" s="117"/>
    </row>
    <row r="617" spans="1:30">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c r="AB617" s="117"/>
      <c r="AC617" s="117"/>
      <c r="AD617" s="117"/>
    </row>
    <row r="618" spans="1:30">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c r="AB618" s="117"/>
      <c r="AC618" s="117"/>
      <c r="AD618" s="117"/>
    </row>
    <row r="619" spans="1:30">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c r="AB619" s="117"/>
      <c r="AC619" s="117"/>
      <c r="AD619" s="117"/>
    </row>
    <row r="620" spans="1:3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c r="AB620" s="117"/>
      <c r="AC620" s="117"/>
      <c r="AD620" s="117"/>
    </row>
    <row r="621" spans="1:30">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row>
    <row r="622" spans="1:30">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row>
    <row r="623" spans="1:30">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row>
    <row r="624" spans="1:30">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row>
    <row r="625" spans="1:30">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row>
    <row r="626" spans="1:30">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row>
    <row r="627" spans="1:30">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row>
    <row r="628" spans="1:30">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row>
    <row r="629" spans="1:30">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row>
    <row r="630" spans="1: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row>
    <row r="631" spans="1:30">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c r="AB631" s="117"/>
      <c r="AC631" s="117"/>
      <c r="AD631" s="117"/>
    </row>
    <row r="632" spans="1:30">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c r="AB632" s="117"/>
      <c r="AC632" s="117"/>
      <c r="AD632" s="117"/>
    </row>
    <row r="633" spans="1:30">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row>
    <row r="634" spans="1:30">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row>
    <row r="635" spans="1:30">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row>
    <row r="636" spans="1:30">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row>
    <row r="637" spans="1:30">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row>
    <row r="638" spans="1:30">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row>
    <row r="639" spans="1:30">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row>
    <row r="640" spans="1:3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row>
    <row r="641" spans="1:30">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row>
    <row r="642" spans="1:30">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row>
    <row r="643" spans="1:30">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row>
    <row r="644" spans="1:30">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row>
    <row r="645" spans="1:30">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row>
    <row r="646" spans="1:30">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row>
    <row r="647" spans="1:30">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c r="AB647" s="117"/>
      <c r="AC647" s="117"/>
      <c r="AD647" s="117"/>
    </row>
    <row r="648" spans="1:30">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c r="AB648" s="117"/>
      <c r="AC648" s="117"/>
      <c r="AD648" s="117"/>
    </row>
    <row r="649" spans="1:30">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c r="AB649" s="117"/>
      <c r="AC649" s="117"/>
      <c r="AD649" s="117"/>
    </row>
    <row r="650" spans="1:3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c r="AB650" s="117"/>
      <c r="AC650" s="117"/>
      <c r="AD650" s="117"/>
    </row>
    <row r="651" spans="1:30">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c r="AB651" s="117"/>
      <c r="AC651" s="117"/>
      <c r="AD651" s="117"/>
    </row>
    <row r="652" spans="1:30">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c r="AB652" s="117"/>
      <c r="AC652" s="117"/>
      <c r="AD652" s="117"/>
    </row>
    <row r="653" spans="1:30">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c r="AB653" s="117"/>
      <c r="AC653" s="117"/>
      <c r="AD653" s="117"/>
    </row>
    <row r="654" spans="1:30">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c r="AB654" s="117"/>
      <c r="AC654" s="117"/>
      <c r="AD654" s="117"/>
    </row>
    <row r="655" spans="1:30">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c r="AB655" s="117"/>
      <c r="AC655" s="117"/>
      <c r="AD655" s="117"/>
    </row>
    <row r="656" spans="1:30">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c r="AB656" s="117"/>
      <c r="AC656" s="117"/>
      <c r="AD656" s="117"/>
    </row>
    <row r="657" spans="1:30">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c r="AB657" s="117"/>
      <c r="AC657" s="117"/>
      <c r="AD657" s="117"/>
    </row>
    <row r="658" spans="1:30">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c r="AB658" s="117"/>
      <c r="AC658" s="117"/>
      <c r="AD658" s="117"/>
    </row>
    <row r="659" spans="1:30">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c r="AB659" s="117"/>
      <c r="AC659" s="117"/>
      <c r="AD659" s="117"/>
    </row>
    <row r="660" spans="1:3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row>
    <row r="661" spans="1:30">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c r="AB661" s="117"/>
      <c r="AC661" s="117"/>
      <c r="AD661" s="117"/>
    </row>
    <row r="662" spans="1:30">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row>
    <row r="663" spans="1:30">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c r="AB663" s="117"/>
      <c r="AC663" s="117"/>
      <c r="AD663" s="117"/>
    </row>
    <row r="664" spans="1:30">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row>
    <row r="665" spans="1:30">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c r="AB665" s="117"/>
      <c r="AC665" s="117"/>
      <c r="AD665" s="117"/>
    </row>
    <row r="666" spans="1:30">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c r="AB666" s="117"/>
      <c r="AC666" s="117"/>
      <c r="AD666" s="117"/>
    </row>
    <row r="667" spans="1:30">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c r="AB667" s="117"/>
      <c r="AC667" s="117"/>
      <c r="AD667" s="117"/>
    </row>
    <row r="668" spans="1:30">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c r="AB668" s="117"/>
      <c r="AC668" s="117"/>
      <c r="AD668" s="117"/>
    </row>
    <row r="669" spans="1:30">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c r="AB669" s="117"/>
      <c r="AC669" s="117"/>
      <c r="AD669" s="117"/>
    </row>
    <row r="670" spans="1:3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c r="AB670" s="117"/>
      <c r="AC670" s="117"/>
      <c r="AD670" s="117"/>
    </row>
    <row r="671" spans="1:30">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c r="AB671" s="117"/>
      <c r="AC671" s="117"/>
      <c r="AD671" s="117"/>
    </row>
    <row r="672" spans="1:30">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c r="AB672" s="117"/>
      <c r="AC672" s="117"/>
      <c r="AD672" s="117"/>
    </row>
    <row r="673" spans="1:30">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c r="AB673" s="117"/>
      <c r="AC673" s="117"/>
      <c r="AD673" s="117"/>
    </row>
    <row r="674" spans="1:30">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c r="AB674" s="117"/>
      <c r="AC674" s="117"/>
      <c r="AD674" s="117"/>
    </row>
    <row r="675" spans="1:30">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c r="AB675" s="117"/>
      <c r="AC675" s="117"/>
      <c r="AD675" s="117"/>
    </row>
    <row r="676" spans="1:30">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c r="AB676" s="117"/>
      <c r="AC676" s="117"/>
      <c r="AD676" s="117"/>
    </row>
    <row r="677" spans="1:30">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c r="AB677" s="117"/>
      <c r="AC677" s="117"/>
      <c r="AD677" s="117"/>
    </row>
    <row r="678" spans="1:30">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c r="AB678" s="117"/>
      <c r="AC678" s="117"/>
      <c r="AD678" s="117"/>
    </row>
    <row r="679" spans="1:30">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c r="AB679" s="117"/>
      <c r="AC679" s="117"/>
      <c r="AD679" s="117"/>
    </row>
    <row r="680" spans="1:3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c r="AB680" s="117"/>
      <c r="AC680" s="117"/>
      <c r="AD680" s="117"/>
    </row>
    <row r="681" spans="1:30">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c r="AB681" s="117"/>
      <c r="AC681" s="117"/>
      <c r="AD681" s="117"/>
    </row>
    <row r="682" spans="1:30">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c r="AB682" s="117"/>
      <c r="AC682" s="117"/>
      <c r="AD682" s="117"/>
    </row>
    <row r="683" spans="1:30">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c r="AB683" s="117"/>
      <c r="AC683" s="117"/>
      <c r="AD683" s="117"/>
    </row>
    <row r="684" spans="1:30">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c r="AB684" s="117"/>
      <c r="AC684" s="117"/>
      <c r="AD684" s="117"/>
    </row>
    <row r="685" spans="1:30">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c r="AB685" s="117"/>
      <c r="AC685" s="117"/>
      <c r="AD685" s="117"/>
    </row>
    <row r="686" spans="1:30">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c r="AB686" s="117"/>
      <c r="AC686" s="117"/>
      <c r="AD686" s="117"/>
    </row>
    <row r="687" spans="1:30">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c r="AB687" s="117"/>
      <c r="AC687" s="117"/>
      <c r="AD687" s="117"/>
    </row>
    <row r="688" spans="1:30">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c r="AB688" s="117"/>
      <c r="AC688" s="117"/>
      <c r="AD688" s="117"/>
    </row>
    <row r="689" spans="1:30">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c r="AB689" s="117"/>
      <c r="AC689" s="117"/>
      <c r="AD689" s="117"/>
    </row>
    <row r="690" spans="1:3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c r="AB690" s="117"/>
      <c r="AC690" s="117"/>
      <c r="AD690" s="117"/>
    </row>
    <row r="691" spans="1:30">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c r="AB691" s="117"/>
      <c r="AC691" s="117"/>
      <c r="AD691" s="117"/>
    </row>
    <row r="692" spans="1:30">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c r="AB692" s="117"/>
      <c r="AC692" s="117"/>
      <c r="AD692" s="117"/>
    </row>
    <row r="693" spans="1:30">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c r="AB693" s="117"/>
      <c r="AC693" s="117"/>
      <c r="AD693" s="117"/>
    </row>
    <row r="694" spans="1:30">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c r="AB694" s="117"/>
      <c r="AC694" s="117"/>
      <c r="AD694" s="117"/>
    </row>
    <row r="695" spans="1:30">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c r="AB695" s="117"/>
      <c r="AC695" s="117"/>
      <c r="AD695" s="117"/>
    </row>
    <row r="696" spans="1:30">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c r="AB696" s="117"/>
      <c r="AC696" s="117"/>
      <c r="AD696" s="117"/>
    </row>
    <row r="697" spans="1:30">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c r="AB697" s="117"/>
      <c r="AC697" s="117"/>
      <c r="AD697" s="117"/>
    </row>
    <row r="698" spans="1:30">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c r="AB698" s="117"/>
      <c r="AC698" s="117"/>
      <c r="AD698" s="117"/>
    </row>
    <row r="699" spans="1:30">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c r="AB699" s="117"/>
      <c r="AC699" s="117"/>
      <c r="AD699" s="117"/>
    </row>
    <row r="700" spans="1:3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c r="AB700" s="117"/>
      <c r="AC700" s="117"/>
      <c r="AD700" s="117"/>
    </row>
    <row r="701" spans="1:30">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c r="AB701" s="117"/>
      <c r="AC701" s="117"/>
      <c r="AD701" s="117"/>
    </row>
    <row r="702" spans="1:30">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c r="AB702" s="117"/>
      <c r="AC702" s="117"/>
      <c r="AD702" s="117"/>
    </row>
    <row r="703" spans="1:30">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c r="AB703" s="117"/>
      <c r="AC703" s="117"/>
      <c r="AD703" s="117"/>
    </row>
    <row r="704" spans="1:30">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c r="AB704" s="117"/>
      <c r="AC704" s="117"/>
      <c r="AD704" s="117"/>
    </row>
    <row r="705" spans="1:30">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c r="AB705" s="117"/>
      <c r="AC705" s="117"/>
      <c r="AD705" s="117"/>
    </row>
    <row r="706" spans="1:30">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c r="AB706" s="117"/>
      <c r="AC706" s="117"/>
      <c r="AD706" s="117"/>
    </row>
    <row r="707" spans="1:30">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c r="AB707" s="117"/>
      <c r="AC707" s="117"/>
      <c r="AD707" s="117"/>
    </row>
    <row r="708" spans="1:30">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c r="AB708" s="117"/>
      <c r="AC708" s="117"/>
      <c r="AD708" s="117"/>
    </row>
    <row r="709" spans="1:30">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c r="AB709" s="117"/>
      <c r="AC709" s="117"/>
      <c r="AD709" s="117"/>
    </row>
    <row r="710" spans="1:3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c r="AB710" s="117"/>
      <c r="AC710" s="117"/>
      <c r="AD710" s="117"/>
    </row>
    <row r="711" spans="1:30">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c r="AB711" s="117"/>
      <c r="AC711" s="117"/>
      <c r="AD711" s="117"/>
    </row>
    <row r="712" spans="1:30">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c r="AB712" s="117"/>
      <c r="AC712" s="117"/>
      <c r="AD712" s="117"/>
    </row>
    <row r="713" spans="1:30">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c r="AB713" s="117"/>
      <c r="AC713" s="117"/>
      <c r="AD713" s="117"/>
    </row>
    <row r="714" spans="1:30">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c r="AB714" s="117"/>
      <c r="AC714" s="117"/>
      <c r="AD714" s="117"/>
    </row>
    <row r="715" spans="1:30">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c r="AB715" s="117"/>
      <c r="AC715" s="117"/>
      <c r="AD715" s="117"/>
    </row>
    <row r="716" spans="1:30">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c r="AB716" s="117"/>
      <c r="AC716" s="117"/>
      <c r="AD716" s="117"/>
    </row>
    <row r="717" spans="1:30">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c r="AB717" s="117"/>
      <c r="AC717" s="117"/>
      <c r="AD717" s="117"/>
    </row>
    <row r="718" spans="1:30">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c r="AB718" s="117"/>
      <c r="AC718" s="117"/>
      <c r="AD718" s="117"/>
    </row>
    <row r="719" spans="1:30">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c r="AB719" s="117"/>
      <c r="AC719" s="117"/>
      <c r="AD719" s="117"/>
    </row>
    <row r="720" spans="1:3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c r="AB720" s="117"/>
      <c r="AC720" s="117"/>
      <c r="AD720" s="117"/>
    </row>
    <row r="721" spans="1:30">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c r="AB721" s="117"/>
      <c r="AC721" s="117"/>
      <c r="AD721" s="117"/>
    </row>
    <row r="722" spans="1:30">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c r="AB722" s="117"/>
      <c r="AC722" s="117"/>
      <c r="AD722" s="117"/>
    </row>
    <row r="723" spans="1:30">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c r="AB723" s="117"/>
      <c r="AC723" s="117"/>
      <c r="AD723" s="117"/>
    </row>
    <row r="724" spans="1:30">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c r="AB724" s="117"/>
      <c r="AC724" s="117"/>
      <c r="AD724" s="117"/>
    </row>
    <row r="725" spans="1:30">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c r="AB725" s="117"/>
      <c r="AC725" s="117"/>
      <c r="AD725" s="117"/>
    </row>
    <row r="726" spans="1:30">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c r="AB726" s="117"/>
      <c r="AC726" s="117"/>
      <c r="AD726" s="117"/>
    </row>
    <row r="727" spans="1:30">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c r="AB727" s="117"/>
      <c r="AC727" s="117"/>
      <c r="AD727" s="117"/>
    </row>
    <row r="728" spans="1:30">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c r="AB728" s="117"/>
      <c r="AC728" s="117"/>
      <c r="AD728" s="117"/>
    </row>
    <row r="729" spans="1:30">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c r="AB729" s="117"/>
      <c r="AC729" s="117"/>
      <c r="AD729" s="117"/>
    </row>
    <row r="730" spans="1: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c r="AB730" s="117"/>
      <c r="AC730" s="117"/>
      <c r="AD730" s="117"/>
    </row>
    <row r="731" spans="1:30">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c r="AB731" s="117"/>
      <c r="AC731" s="117"/>
      <c r="AD731" s="117"/>
    </row>
    <row r="732" spans="1:30">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c r="AB732" s="117"/>
      <c r="AC732" s="117"/>
      <c r="AD732" s="117"/>
    </row>
    <row r="733" spans="1:30">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c r="AB733" s="117"/>
      <c r="AC733" s="117"/>
      <c r="AD733" s="117"/>
    </row>
    <row r="734" spans="1:30">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c r="AB734" s="117"/>
      <c r="AC734" s="117"/>
      <c r="AD734" s="117"/>
    </row>
    <row r="735" spans="1:30">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c r="AB735" s="117"/>
      <c r="AC735" s="117"/>
      <c r="AD735" s="117"/>
    </row>
    <row r="736" spans="1:30">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c r="AB736" s="117"/>
      <c r="AC736" s="117"/>
      <c r="AD736" s="117"/>
    </row>
    <row r="737" spans="1:30">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c r="AB737" s="117"/>
      <c r="AC737" s="117"/>
      <c r="AD737" s="117"/>
    </row>
    <row r="738" spans="1:30">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c r="AB738" s="117"/>
      <c r="AC738" s="117"/>
      <c r="AD738" s="117"/>
    </row>
    <row r="739" spans="1:30">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c r="AB739" s="117"/>
      <c r="AC739" s="117"/>
      <c r="AD739" s="117"/>
    </row>
    <row r="740" spans="1:3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c r="AB740" s="117"/>
      <c r="AC740" s="117"/>
      <c r="AD740" s="117"/>
    </row>
    <row r="741" spans="1:30">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c r="AB741" s="117"/>
      <c r="AC741" s="117"/>
      <c r="AD741" s="117"/>
    </row>
    <row r="742" spans="1:30">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c r="AB742" s="117"/>
      <c r="AC742" s="117"/>
      <c r="AD742" s="117"/>
    </row>
    <row r="743" spans="1:30">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c r="AB743" s="117"/>
      <c r="AC743" s="117"/>
      <c r="AD743" s="117"/>
    </row>
    <row r="744" spans="1:30">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c r="AB744" s="117"/>
      <c r="AC744" s="117"/>
      <c r="AD744" s="117"/>
    </row>
    <row r="745" spans="1:30">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c r="AB745" s="117"/>
      <c r="AC745" s="117"/>
      <c r="AD745" s="117"/>
    </row>
    <row r="746" spans="1:30">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c r="AB746" s="117"/>
      <c r="AC746" s="117"/>
      <c r="AD746" s="117"/>
    </row>
    <row r="747" spans="1:30">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c r="AB747" s="117"/>
      <c r="AC747" s="117"/>
      <c r="AD747" s="117"/>
    </row>
    <row r="748" spans="1:30">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c r="AB748" s="117"/>
      <c r="AC748" s="117"/>
      <c r="AD748" s="117"/>
    </row>
    <row r="749" spans="1:30">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c r="AB749" s="117"/>
      <c r="AC749" s="117"/>
      <c r="AD749" s="117"/>
    </row>
    <row r="750" spans="1:3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c r="AB750" s="117"/>
      <c r="AC750" s="117"/>
      <c r="AD750" s="117"/>
    </row>
    <row r="751" spans="1:30">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c r="AB751" s="117"/>
      <c r="AC751" s="117"/>
      <c r="AD751" s="117"/>
    </row>
    <row r="752" spans="1:30">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c r="AB752" s="117"/>
      <c r="AC752" s="117"/>
      <c r="AD752" s="117"/>
    </row>
    <row r="753" spans="1:30">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c r="AB753" s="117"/>
      <c r="AC753" s="117"/>
      <c r="AD753" s="117"/>
    </row>
    <row r="754" spans="1:30">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c r="AB754" s="117"/>
      <c r="AC754" s="117"/>
      <c r="AD754" s="117"/>
    </row>
    <row r="755" spans="1:30">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c r="AB755" s="117"/>
      <c r="AC755" s="117"/>
      <c r="AD755" s="117"/>
    </row>
    <row r="756" spans="1:30">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c r="AB756" s="117"/>
      <c r="AC756" s="117"/>
      <c r="AD756" s="117"/>
    </row>
    <row r="757" spans="1:30">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c r="AB757" s="117"/>
      <c r="AC757" s="117"/>
      <c r="AD757" s="117"/>
    </row>
    <row r="758" spans="1:30">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c r="AB758" s="117"/>
      <c r="AC758" s="117"/>
      <c r="AD758" s="117"/>
    </row>
    <row r="759" spans="1:30">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c r="AB759" s="117"/>
      <c r="AC759" s="117"/>
      <c r="AD759" s="117"/>
    </row>
    <row r="760" spans="1:3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c r="AB760" s="117"/>
      <c r="AC760" s="117"/>
      <c r="AD760" s="117"/>
    </row>
    <row r="761" spans="1:30">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c r="AB761" s="117"/>
      <c r="AC761" s="117"/>
      <c r="AD761" s="117"/>
    </row>
    <row r="762" spans="1:30">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c r="AB762" s="117"/>
      <c r="AC762" s="117"/>
      <c r="AD762" s="117"/>
    </row>
    <row r="763" spans="1:30">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c r="AB763" s="117"/>
      <c r="AC763" s="117"/>
      <c r="AD763" s="117"/>
    </row>
    <row r="764" spans="1:30">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c r="AB764" s="117"/>
      <c r="AC764" s="117"/>
      <c r="AD764" s="117"/>
    </row>
    <row r="765" spans="1:30">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c r="AB765" s="117"/>
      <c r="AC765" s="117"/>
      <c r="AD765" s="117"/>
    </row>
    <row r="766" spans="1:30">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c r="AB766" s="117"/>
      <c r="AC766" s="117"/>
      <c r="AD766" s="117"/>
    </row>
    <row r="767" spans="1:30">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c r="AB767" s="117"/>
      <c r="AC767" s="117"/>
      <c r="AD767" s="117"/>
    </row>
    <row r="768" spans="1:30">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c r="AB768" s="117"/>
      <c r="AC768" s="117"/>
      <c r="AD768" s="117"/>
    </row>
    <row r="769" spans="1:30">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c r="AB769" s="117"/>
      <c r="AC769" s="117"/>
      <c r="AD769" s="117"/>
    </row>
    <row r="770" spans="1:3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c r="AB770" s="117"/>
      <c r="AC770" s="117"/>
      <c r="AD770" s="117"/>
    </row>
    <row r="771" spans="1:30">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c r="AB771" s="117"/>
      <c r="AC771" s="117"/>
      <c r="AD771" s="117"/>
    </row>
    <row r="772" spans="1:30">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c r="AB772" s="117"/>
      <c r="AC772" s="117"/>
      <c r="AD772" s="117"/>
    </row>
    <row r="773" spans="1:30">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c r="AB773" s="117"/>
      <c r="AC773" s="117"/>
      <c r="AD773" s="117"/>
    </row>
    <row r="774" spans="1:30">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c r="AB774" s="117"/>
      <c r="AC774" s="117"/>
      <c r="AD774" s="117"/>
    </row>
    <row r="775" spans="1:30">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c r="AB775" s="117"/>
      <c r="AC775" s="117"/>
      <c r="AD775" s="117"/>
    </row>
    <row r="776" spans="1:30">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c r="AB776" s="117"/>
      <c r="AC776" s="117"/>
      <c r="AD776" s="117"/>
    </row>
    <row r="777" spans="1:30">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c r="AB777" s="117"/>
      <c r="AC777" s="117"/>
      <c r="AD777" s="117"/>
    </row>
    <row r="778" spans="1:30">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c r="AB778" s="117"/>
      <c r="AC778" s="117"/>
      <c r="AD778" s="117"/>
    </row>
    <row r="779" spans="1:30">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c r="AB779" s="117"/>
      <c r="AC779" s="117"/>
      <c r="AD779" s="117"/>
    </row>
    <row r="780" spans="1:3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c r="AB780" s="117"/>
      <c r="AC780" s="117"/>
      <c r="AD780" s="117"/>
    </row>
    <row r="781" spans="1:30">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c r="AB781" s="117"/>
      <c r="AC781" s="117"/>
      <c r="AD781" s="117"/>
    </row>
    <row r="782" spans="1:30">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c r="AB782" s="117"/>
      <c r="AC782" s="117"/>
      <c r="AD782" s="117"/>
    </row>
    <row r="783" spans="1:30">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c r="AB783" s="117"/>
      <c r="AC783" s="117"/>
      <c r="AD783" s="117"/>
    </row>
    <row r="784" spans="1:30">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c r="AB784" s="117"/>
      <c r="AC784" s="117"/>
      <c r="AD784" s="117"/>
    </row>
    <row r="785" spans="1:30">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c r="AB785" s="117"/>
      <c r="AC785" s="117"/>
      <c r="AD785" s="117"/>
    </row>
    <row r="786" spans="1:30">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c r="AB786" s="117"/>
      <c r="AC786" s="117"/>
      <c r="AD786" s="117"/>
    </row>
    <row r="787" spans="1:30">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c r="AB787" s="117"/>
      <c r="AC787" s="117"/>
      <c r="AD787" s="117"/>
    </row>
    <row r="788" spans="1:30">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c r="AB788" s="117"/>
      <c r="AC788" s="117"/>
      <c r="AD788" s="117"/>
    </row>
    <row r="789" spans="1:30">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c r="AB789" s="117"/>
      <c r="AC789" s="117"/>
      <c r="AD789" s="117"/>
    </row>
    <row r="790" spans="1:3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c r="AB790" s="117"/>
      <c r="AC790" s="117"/>
      <c r="AD790" s="117"/>
    </row>
    <row r="791" spans="1:30">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c r="AB791" s="117"/>
      <c r="AC791" s="117"/>
      <c r="AD791" s="117"/>
    </row>
    <row r="792" spans="1:30">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c r="AB792" s="117"/>
      <c r="AC792" s="117"/>
      <c r="AD792" s="117"/>
    </row>
    <row r="793" spans="1:30">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c r="AB793" s="117"/>
      <c r="AC793" s="117"/>
      <c r="AD793" s="117"/>
    </row>
    <row r="794" spans="1:30">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c r="AB794" s="117"/>
      <c r="AC794" s="117"/>
      <c r="AD794" s="117"/>
    </row>
    <row r="795" spans="1:30">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c r="AB795" s="117"/>
      <c r="AC795" s="117"/>
      <c r="AD795" s="117"/>
    </row>
    <row r="796" spans="1:30">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c r="AB796" s="117"/>
      <c r="AC796" s="117"/>
      <c r="AD796" s="117"/>
    </row>
    <row r="797" spans="1:30">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c r="AB797" s="117"/>
      <c r="AC797" s="117"/>
      <c r="AD797" s="117"/>
    </row>
    <row r="798" spans="1:30">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c r="AB798" s="117"/>
      <c r="AC798" s="117"/>
      <c r="AD798" s="117"/>
    </row>
    <row r="799" spans="1:30">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c r="AB799" s="117"/>
      <c r="AC799" s="117"/>
      <c r="AD799" s="117"/>
    </row>
    <row r="800" spans="1:3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c r="AB800" s="117"/>
      <c r="AC800" s="117"/>
      <c r="AD800" s="117"/>
    </row>
    <row r="801" spans="1:30">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c r="AB801" s="117"/>
      <c r="AC801" s="117"/>
      <c r="AD801" s="117"/>
    </row>
    <row r="802" spans="1:30">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c r="AB802" s="117"/>
      <c r="AC802" s="117"/>
      <c r="AD802" s="117"/>
    </row>
    <row r="803" spans="1:30">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c r="AB803" s="117"/>
      <c r="AC803" s="117"/>
      <c r="AD803" s="117"/>
    </row>
    <row r="804" spans="1:30">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c r="AB804" s="117"/>
      <c r="AC804" s="117"/>
      <c r="AD804" s="117"/>
    </row>
    <row r="805" spans="1:30">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c r="AB805" s="117"/>
      <c r="AC805" s="117"/>
      <c r="AD805" s="117"/>
    </row>
    <row r="806" spans="1:30">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c r="AB806" s="117"/>
      <c r="AC806" s="117"/>
      <c r="AD806" s="117"/>
    </row>
    <row r="807" spans="1:30">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c r="AB807" s="117"/>
      <c r="AC807" s="117"/>
      <c r="AD807" s="117"/>
    </row>
    <row r="808" spans="1:30">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c r="AB808" s="117"/>
      <c r="AC808" s="117"/>
      <c r="AD808" s="117"/>
    </row>
    <row r="809" spans="1:30">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c r="AB809" s="117"/>
      <c r="AC809" s="117"/>
      <c r="AD809" s="117"/>
    </row>
    <row r="810" spans="1:3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c r="AB810" s="117"/>
      <c r="AC810" s="117"/>
      <c r="AD810" s="117"/>
    </row>
    <row r="811" spans="1:30">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c r="AB811" s="117"/>
      <c r="AC811" s="117"/>
      <c r="AD811" s="117"/>
    </row>
    <row r="812" spans="1:30">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c r="AB812" s="117"/>
      <c r="AC812" s="117"/>
      <c r="AD812" s="117"/>
    </row>
    <row r="813" spans="1:30">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c r="AB813" s="117"/>
      <c r="AC813" s="117"/>
      <c r="AD813" s="117"/>
    </row>
    <row r="814" spans="1:30">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c r="AB814" s="117"/>
      <c r="AC814" s="117"/>
      <c r="AD814" s="117"/>
    </row>
    <row r="815" spans="1:30">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c r="AB815" s="117"/>
      <c r="AC815" s="117"/>
      <c r="AD815" s="117"/>
    </row>
    <row r="816" spans="1:30">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c r="AB816" s="117"/>
      <c r="AC816" s="117"/>
      <c r="AD816" s="117"/>
    </row>
    <row r="817" spans="1:30">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c r="AB817" s="117"/>
      <c r="AC817" s="117"/>
      <c r="AD817" s="117"/>
    </row>
    <row r="818" spans="1:30">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c r="AB818" s="117"/>
      <c r="AC818" s="117"/>
      <c r="AD818" s="117"/>
    </row>
    <row r="819" spans="1:30">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c r="AB819" s="117"/>
      <c r="AC819" s="117"/>
      <c r="AD819" s="117"/>
    </row>
    <row r="820" spans="1:3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c r="AB820" s="117"/>
      <c r="AC820" s="117"/>
      <c r="AD820" s="117"/>
    </row>
    <row r="821" spans="1:30">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c r="AB821" s="117"/>
      <c r="AC821" s="117"/>
      <c r="AD821" s="117"/>
    </row>
    <row r="822" spans="1:30">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c r="AB822" s="117"/>
      <c r="AC822" s="117"/>
      <c r="AD822" s="117"/>
    </row>
    <row r="823" spans="1:30">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c r="AB823" s="117"/>
      <c r="AC823" s="117"/>
      <c r="AD823" s="117"/>
    </row>
    <row r="824" spans="1:30">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c r="AB824" s="117"/>
      <c r="AC824" s="117"/>
      <c r="AD824" s="117"/>
    </row>
    <row r="825" spans="1:30">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c r="AB825" s="117"/>
      <c r="AC825" s="117"/>
      <c r="AD825" s="117"/>
    </row>
    <row r="826" spans="1:30">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c r="AB826" s="117"/>
      <c r="AC826" s="117"/>
      <c r="AD826" s="117"/>
    </row>
    <row r="827" spans="1:30">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c r="AB827" s="117"/>
      <c r="AC827" s="117"/>
      <c r="AD827" s="117"/>
    </row>
    <row r="828" spans="1:30">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c r="AB828" s="117"/>
      <c r="AC828" s="117"/>
      <c r="AD828" s="117"/>
    </row>
    <row r="829" spans="1:30">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c r="AB829" s="117"/>
      <c r="AC829" s="117"/>
      <c r="AD829" s="117"/>
    </row>
    <row r="830" spans="1: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c r="AB830" s="117"/>
      <c r="AC830" s="117"/>
      <c r="AD830" s="117"/>
    </row>
    <row r="831" spans="1:30">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c r="AB831" s="117"/>
      <c r="AC831" s="117"/>
      <c r="AD831" s="117"/>
    </row>
    <row r="832" spans="1:30">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c r="AB832" s="117"/>
      <c r="AC832" s="117"/>
      <c r="AD832" s="117"/>
    </row>
    <row r="833" spans="1:30">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c r="AB833" s="117"/>
      <c r="AC833" s="117"/>
      <c r="AD833" s="117"/>
    </row>
    <row r="834" spans="1:30">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c r="AB834" s="117"/>
      <c r="AC834" s="117"/>
      <c r="AD834" s="117"/>
    </row>
    <row r="835" spans="1:30">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c r="AB835" s="117"/>
      <c r="AC835" s="117"/>
      <c r="AD835" s="117"/>
    </row>
    <row r="836" spans="1:30">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c r="AB836" s="117"/>
      <c r="AC836" s="117"/>
      <c r="AD836" s="117"/>
    </row>
    <row r="837" spans="1:30">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c r="AB837" s="117"/>
      <c r="AC837" s="117"/>
      <c r="AD837" s="117"/>
    </row>
    <row r="838" spans="1:30">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c r="AB838" s="117"/>
      <c r="AC838" s="117"/>
      <c r="AD838" s="117"/>
    </row>
    <row r="839" spans="1:30">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c r="AB839" s="117"/>
      <c r="AC839" s="117"/>
      <c r="AD839" s="117"/>
    </row>
    <row r="840" spans="1:3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c r="AB840" s="117"/>
      <c r="AC840" s="117"/>
      <c r="AD840" s="117"/>
    </row>
    <row r="841" spans="1:30">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c r="AB841" s="117"/>
      <c r="AC841" s="117"/>
      <c r="AD841" s="117"/>
    </row>
    <row r="842" spans="1:30">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c r="AB842" s="117"/>
      <c r="AC842" s="117"/>
      <c r="AD842" s="117"/>
    </row>
    <row r="843" spans="1:30">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c r="AB843" s="117"/>
      <c r="AC843" s="117"/>
      <c r="AD843" s="117"/>
    </row>
    <row r="844" spans="1:30">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c r="AB844" s="117"/>
      <c r="AC844" s="117"/>
      <c r="AD844" s="117"/>
    </row>
    <row r="845" spans="1:30">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c r="AB845" s="117"/>
      <c r="AC845" s="117"/>
      <c r="AD845" s="117"/>
    </row>
    <row r="846" spans="1:30">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c r="AB846" s="117"/>
      <c r="AC846" s="117"/>
      <c r="AD846" s="117"/>
    </row>
    <row r="847" spans="1:30">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row>
    <row r="848" spans="1:30">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c r="AB848" s="117"/>
      <c r="AC848" s="117"/>
      <c r="AD848" s="117"/>
    </row>
    <row r="849" spans="1:30">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c r="AB849" s="117"/>
      <c r="AC849" s="117"/>
      <c r="AD849" s="117"/>
    </row>
    <row r="850" spans="1:3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c r="AB850" s="117"/>
      <c r="AC850" s="117"/>
      <c r="AD850" s="117"/>
    </row>
    <row r="851" spans="1:30">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c r="AB851" s="117"/>
      <c r="AC851" s="117"/>
      <c r="AD851" s="117"/>
    </row>
    <row r="852" spans="1:30">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c r="AB852" s="117"/>
      <c r="AC852" s="117"/>
      <c r="AD852" s="117"/>
    </row>
    <row r="853" spans="1:30">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c r="AB853" s="117"/>
      <c r="AC853" s="117"/>
      <c r="AD853" s="117"/>
    </row>
    <row r="854" spans="1:30">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c r="AB854" s="117"/>
      <c r="AC854" s="117"/>
      <c r="AD854" s="117"/>
    </row>
    <row r="855" spans="1:30">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c r="AB855" s="117"/>
      <c r="AC855" s="117"/>
      <c r="AD855" s="117"/>
    </row>
    <row r="856" spans="1:30">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c r="AB856" s="117"/>
      <c r="AC856" s="117"/>
      <c r="AD856" s="117"/>
    </row>
    <row r="857" spans="1:30">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c r="AB857" s="117"/>
      <c r="AC857" s="117"/>
      <c r="AD857" s="117"/>
    </row>
    <row r="858" spans="1:30">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c r="AB858" s="117"/>
      <c r="AC858" s="117"/>
      <c r="AD858" s="117"/>
    </row>
    <row r="859" spans="1:30">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c r="AB859" s="117"/>
      <c r="AC859" s="117"/>
      <c r="AD859" s="117"/>
    </row>
    <row r="860" spans="1:3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c r="AB860" s="117"/>
      <c r="AC860" s="117"/>
      <c r="AD860" s="117"/>
    </row>
    <row r="861" spans="1:30">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c r="AB861" s="117"/>
      <c r="AC861" s="117"/>
      <c r="AD861" s="117"/>
    </row>
    <row r="862" spans="1:30">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c r="AB862" s="117"/>
      <c r="AC862" s="117"/>
      <c r="AD862" s="117"/>
    </row>
    <row r="863" spans="1:30">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c r="AB863" s="117"/>
      <c r="AC863" s="117"/>
      <c r="AD863" s="117"/>
    </row>
    <row r="864" spans="1:30">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c r="AB864" s="117"/>
      <c r="AC864" s="117"/>
      <c r="AD864" s="117"/>
    </row>
    <row r="865" spans="1:30">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c r="AB865" s="117"/>
      <c r="AC865" s="117"/>
      <c r="AD865" s="117"/>
    </row>
    <row r="866" spans="1:30">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c r="AB866" s="117"/>
      <c r="AC866" s="117"/>
      <c r="AD866" s="117"/>
    </row>
    <row r="867" spans="1:30">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c r="AB867" s="117"/>
      <c r="AC867" s="117"/>
      <c r="AD867" s="117"/>
    </row>
    <row r="868" spans="1:30">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c r="AB868" s="117"/>
      <c r="AC868" s="117"/>
      <c r="AD868" s="117"/>
    </row>
    <row r="869" spans="1:30">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c r="AB869" s="117"/>
      <c r="AC869" s="117"/>
      <c r="AD869" s="117"/>
    </row>
    <row r="870" spans="1:3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c r="AB870" s="117"/>
      <c r="AC870" s="117"/>
      <c r="AD870" s="117"/>
    </row>
    <row r="871" spans="1:30">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c r="AB871" s="117"/>
      <c r="AC871" s="117"/>
      <c r="AD871" s="117"/>
    </row>
    <row r="872" spans="1:30">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c r="AB872" s="117"/>
      <c r="AC872" s="117"/>
      <c r="AD872" s="117"/>
    </row>
    <row r="873" spans="1:30">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c r="AB873" s="117"/>
      <c r="AC873" s="117"/>
      <c r="AD873" s="117"/>
    </row>
    <row r="874" spans="1:30">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c r="AB874" s="117"/>
      <c r="AC874" s="117"/>
      <c r="AD874" s="117"/>
    </row>
    <row r="875" spans="1:30">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c r="AB875" s="117"/>
      <c r="AC875" s="117"/>
      <c r="AD875" s="117"/>
    </row>
    <row r="876" spans="1:30">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c r="AB876" s="117"/>
      <c r="AC876" s="117"/>
      <c r="AD876" s="117"/>
    </row>
    <row r="877" spans="1:30">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c r="AB877" s="117"/>
      <c r="AC877" s="117"/>
      <c r="AD877" s="117"/>
    </row>
    <row r="878" spans="1:30">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c r="AB878" s="117"/>
      <c r="AC878" s="117"/>
      <c r="AD878" s="117"/>
    </row>
    <row r="879" spans="1:30">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c r="AB879" s="117"/>
      <c r="AC879" s="117"/>
      <c r="AD879" s="117"/>
    </row>
    <row r="880" spans="1:3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c r="AB880" s="117"/>
      <c r="AC880" s="117"/>
      <c r="AD880" s="117"/>
    </row>
    <row r="881" spans="1:30">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c r="AB881" s="117"/>
      <c r="AC881" s="117"/>
      <c r="AD881" s="117"/>
    </row>
    <row r="882" spans="1:30">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c r="AB882" s="117"/>
      <c r="AC882" s="117"/>
      <c r="AD882" s="117"/>
    </row>
    <row r="883" spans="1:30">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c r="AB883" s="117"/>
      <c r="AC883" s="117"/>
      <c r="AD883" s="117"/>
    </row>
    <row r="884" spans="1:30">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c r="AB884" s="117"/>
      <c r="AC884" s="117"/>
      <c r="AD884" s="117"/>
    </row>
    <row r="885" spans="1:30">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c r="AB885" s="117"/>
      <c r="AC885" s="117"/>
      <c r="AD885" s="117"/>
    </row>
    <row r="886" spans="1:30">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c r="AB886" s="117"/>
      <c r="AC886" s="117"/>
      <c r="AD886" s="117"/>
    </row>
    <row r="887" spans="1:30">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c r="AB887" s="117"/>
      <c r="AC887" s="117"/>
      <c r="AD887" s="117"/>
    </row>
    <row r="888" spans="1:30">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c r="AB888" s="117"/>
      <c r="AC888" s="117"/>
      <c r="AD888" s="117"/>
    </row>
    <row r="889" spans="1:30">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c r="AB889" s="117"/>
      <c r="AC889" s="117"/>
      <c r="AD889" s="117"/>
    </row>
    <row r="890" spans="1:3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c r="AB890" s="117"/>
      <c r="AC890" s="117"/>
      <c r="AD890" s="117"/>
    </row>
    <row r="891" spans="1:30">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c r="AB891" s="117"/>
      <c r="AC891" s="117"/>
      <c r="AD891" s="117"/>
    </row>
    <row r="892" spans="1:30">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c r="AB892" s="117"/>
      <c r="AC892" s="117"/>
      <c r="AD892" s="117"/>
    </row>
    <row r="893" spans="1:30">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c r="AB893" s="117"/>
      <c r="AC893" s="117"/>
      <c r="AD893" s="117"/>
    </row>
    <row r="894" spans="1:30">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c r="AB894" s="117"/>
      <c r="AC894" s="117"/>
      <c r="AD894" s="117"/>
    </row>
    <row r="895" spans="1:30">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c r="AB895" s="117"/>
      <c r="AC895" s="117"/>
      <c r="AD895" s="117"/>
    </row>
    <row r="896" spans="1:30">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c r="AB896" s="117"/>
      <c r="AC896" s="117"/>
      <c r="AD896" s="117"/>
    </row>
    <row r="897" spans="1:30">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c r="AB897" s="117"/>
      <c r="AC897" s="117"/>
      <c r="AD897" s="117"/>
    </row>
    <row r="898" spans="1:30">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c r="AB898" s="117"/>
      <c r="AC898" s="117"/>
      <c r="AD898" s="117"/>
    </row>
    <row r="899" spans="1:30">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c r="AB899" s="117"/>
      <c r="AC899" s="117"/>
      <c r="AD899" s="117"/>
    </row>
    <row r="900" spans="1:3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c r="AB900" s="117"/>
      <c r="AC900" s="117"/>
      <c r="AD900" s="117"/>
    </row>
    <row r="901" spans="1:30">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c r="AB901" s="117"/>
      <c r="AC901" s="117"/>
      <c r="AD901" s="117"/>
    </row>
    <row r="902" spans="1:30">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c r="AB902" s="117"/>
      <c r="AC902" s="117"/>
      <c r="AD902" s="117"/>
    </row>
    <row r="903" spans="1:30">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c r="AB903" s="117"/>
      <c r="AC903" s="117"/>
      <c r="AD903" s="117"/>
    </row>
    <row r="904" spans="1:30">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c r="AB904" s="117"/>
      <c r="AC904" s="117"/>
      <c r="AD904" s="117"/>
    </row>
    <row r="905" spans="1:30">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c r="AB905" s="117"/>
      <c r="AC905" s="117"/>
      <c r="AD905" s="117"/>
    </row>
    <row r="906" spans="1:30">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c r="AB906" s="117"/>
      <c r="AC906" s="117"/>
      <c r="AD906" s="117"/>
    </row>
    <row r="907" spans="1:30">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c r="AB907" s="117"/>
      <c r="AC907" s="117"/>
      <c r="AD907" s="117"/>
    </row>
    <row r="908" spans="1:30">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c r="AB908" s="117"/>
      <c r="AC908" s="117"/>
      <c r="AD908" s="117"/>
    </row>
    <row r="909" spans="1:30">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c r="AB909" s="117"/>
      <c r="AC909" s="117"/>
      <c r="AD909" s="117"/>
    </row>
    <row r="910" spans="1:3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c r="AB910" s="117"/>
      <c r="AC910" s="117"/>
      <c r="AD910" s="117"/>
    </row>
    <row r="911" spans="1:30">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c r="AB911" s="117"/>
      <c r="AC911" s="117"/>
      <c r="AD911" s="117"/>
    </row>
    <row r="912" spans="1:30">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c r="AB912" s="117"/>
      <c r="AC912" s="117"/>
      <c r="AD912" s="117"/>
    </row>
    <row r="913" spans="1:30">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c r="AB913" s="117"/>
      <c r="AC913" s="117"/>
      <c r="AD913" s="117"/>
    </row>
    <row r="914" spans="1:30">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c r="AB914" s="117"/>
      <c r="AC914" s="117"/>
      <c r="AD914" s="117"/>
    </row>
    <row r="915" spans="1:30">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c r="AB915" s="117"/>
      <c r="AC915" s="117"/>
      <c r="AD915" s="117"/>
    </row>
    <row r="916" spans="1:30">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c r="AB916" s="117"/>
      <c r="AC916" s="117"/>
      <c r="AD916" s="117"/>
    </row>
    <row r="917" spans="1:30">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c r="AB917" s="117"/>
      <c r="AC917" s="117"/>
      <c r="AD917" s="117"/>
    </row>
    <row r="918" spans="1:30">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c r="AB918" s="117"/>
      <c r="AC918" s="117"/>
      <c r="AD918" s="117"/>
    </row>
    <row r="919" spans="1:30">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c r="AB919" s="117"/>
      <c r="AC919" s="117"/>
      <c r="AD919" s="117"/>
    </row>
    <row r="920" spans="1:3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c r="AB920" s="117"/>
      <c r="AC920" s="117"/>
      <c r="AD920" s="117"/>
    </row>
    <row r="921" spans="1:30">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c r="AB921" s="117"/>
      <c r="AC921" s="117"/>
      <c r="AD921" s="117"/>
    </row>
    <row r="922" spans="1:30">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c r="AB922" s="117"/>
      <c r="AC922" s="117"/>
      <c r="AD922" s="117"/>
    </row>
    <row r="923" spans="1:30">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c r="AB923" s="117"/>
      <c r="AC923" s="117"/>
      <c r="AD923" s="117"/>
    </row>
    <row r="924" spans="1:30">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c r="AB924" s="117"/>
      <c r="AC924" s="117"/>
      <c r="AD924" s="117"/>
    </row>
    <row r="925" spans="1:30">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c r="AB925" s="117"/>
      <c r="AC925" s="117"/>
      <c r="AD925" s="117"/>
    </row>
    <row r="926" spans="1:30">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c r="AB926" s="117"/>
      <c r="AC926" s="117"/>
      <c r="AD926" s="117"/>
    </row>
    <row r="927" spans="1:30">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c r="AB927" s="117"/>
      <c r="AC927" s="117"/>
      <c r="AD927" s="117"/>
    </row>
    <row r="928" spans="1:30">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c r="AB928" s="117"/>
      <c r="AC928" s="117"/>
      <c r="AD928" s="117"/>
    </row>
    <row r="929" spans="1:30">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c r="AB929" s="117"/>
      <c r="AC929" s="117"/>
      <c r="AD929" s="117"/>
    </row>
    <row r="930" spans="1: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c r="AB930" s="117"/>
      <c r="AC930" s="117"/>
      <c r="AD930" s="117"/>
    </row>
    <row r="931" spans="1:30">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c r="AB931" s="117"/>
      <c r="AC931" s="117"/>
      <c r="AD931" s="117"/>
    </row>
    <row r="932" spans="1:30">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c r="AB932" s="117"/>
      <c r="AC932" s="117"/>
      <c r="AD932" s="117"/>
    </row>
    <row r="933" spans="1:30">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c r="AB933" s="117"/>
      <c r="AC933" s="117"/>
      <c r="AD933" s="117"/>
    </row>
    <row r="934" spans="1:30">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c r="AB934" s="117"/>
      <c r="AC934" s="117"/>
      <c r="AD934" s="117"/>
    </row>
    <row r="935" spans="1:30">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c r="AB935" s="117"/>
      <c r="AC935" s="117"/>
      <c r="AD935" s="117"/>
    </row>
    <row r="936" spans="1:30">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c r="AB936" s="117"/>
      <c r="AC936" s="117"/>
      <c r="AD936" s="117"/>
    </row>
    <row r="937" spans="1:30">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c r="AB937" s="117"/>
      <c r="AC937" s="117"/>
      <c r="AD937" s="117"/>
    </row>
    <row r="938" spans="1:30">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c r="AB938" s="117"/>
      <c r="AC938" s="117"/>
      <c r="AD938" s="117"/>
    </row>
    <row r="939" spans="1:30">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c r="AB939" s="117"/>
      <c r="AC939" s="117"/>
      <c r="AD939" s="117"/>
    </row>
    <row r="940" spans="1:3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c r="AB940" s="117"/>
      <c r="AC940" s="117"/>
      <c r="AD940" s="117"/>
    </row>
    <row r="941" spans="1:30">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c r="AB941" s="117"/>
      <c r="AC941" s="117"/>
      <c r="AD941" s="117"/>
    </row>
    <row r="942" spans="1:30">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c r="AB942" s="117"/>
      <c r="AC942" s="117"/>
      <c r="AD942" s="11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966"/>
  <sheetViews>
    <sheetView workbookViewId="0"/>
  </sheetViews>
  <sheetFormatPr defaultColWidth="14.44140625" defaultRowHeight="15" customHeight="1"/>
  <cols>
    <col min="1" max="1" width="9.109375" customWidth="1"/>
    <col min="2" max="3" width="9.6640625" customWidth="1"/>
    <col min="4" max="4" width="14.33203125" customWidth="1"/>
    <col min="5" max="5" width="15.6640625" customWidth="1"/>
    <col min="6" max="6" width="59.33203125" customWidth="1"/>
    <col min="7" max="7" width="10.88671875" customWidth="1"/>
    <col min="8" max="8" width="9.109375" customWidth="1"/>
    <col min="9" max="9" width="11.33203125" customWidth="1"/>
    <col min="10" max="10" width="10.6640625" customWidth="1"/>
    <col min="11" max="11" width="13" customWidth="1"/>
    <col min="12" max="12" width="9.109375" customWidth="1"/>
    <col min="13" max="13" width="12.44140625" customWidth="1"/>
    <col min="14" max="14" width="7.33203125" customWidth="1"/>
    <col min="15" max="15" width="10.33203125" customWidth="1"/>
    <col min="16" max="16" width="12.33203125" customWidth="1"/>
    <col min="17" max="17" width="10" customWidth="1"/>
    <col min="18" max="18" width="7" customWidth="1"/>
    <col min="19" max="19" width="7.6640625" customWidth="1"/>
    <col min="20" max="20" width="8.109375" customWidth="1"/>
    <col min="21" max="21" width="8.88671875" customWidth="1"/>
  </cols>
  <sheetData>
    <row r="1" spans="1:23">
      <c r="A1" s="332" t="s">
        <v>1068</v>
      </c>
      <c r="B1" s="333" t="s">
        <v>160</v>
      </c>
      <c r="C1" s="333" t="s">
        <v>1</v>
      </c>
      <c r="D1" s="334" t="s">
        <v>4</v>
      </c>
      <c r="E1" s="333" t="s">
        <v>1106</v>
      </c>
      <c r="F1" s="334" t="s">
        <v>6</v>
      </c>
      <c r="G1" s="332" t="s">
        <v>1071</v>
      </c>
      <c r="H1" s="332" t="s">
        <v>174</v>
      </c>
      <c r="I1" s="332" t="s">
        <v>1126</v>
      </c>
      <c r="J1" s="332" t="s">
        <v>1101</v>
      </c>
      <c r="K1" s="332" t="s">
        <v>959</v>
      </c>
      <c r="L1" s="332" t="s">
        <v>960</v>
      </c>
      <c r="M1" s="332" t="s">
        <v>931</v>
      </c>
      <c r="N1" s="332" t="s">
        <v>11</v>
      </c>
      <c r="O1" s="332" t="s">
        <v>186</v>
      </c>
      <c r="P1" s="335" t="s">
        <v>961</v>
      </c>
      <c r="Q1" s="336" t="s">
        <v>1130</v>
      </c>
      <c r="R1" s="332" t="s">
        <v>962</v>
      </c>
      <c r="S1" s="293" t="s">
        <v>1125</v>
      </c>
      <c r="T1" s="293" t="s">
        <v>9</v>
      </c>
      <c r="U1" s="337" t="s">
        <v>1084</v>
      </c>
      <c r="V1" s="2" t="s">
        <v>1131</v>
      </c>
    </row>
    <row r="2" spans="1:23">
      <c r="A2" s="43">
        <v>1</v>
      </c>
      <c r="B2" s="44" t="s">
        <v>1132</v>
      </c>
      <c r="C2" s="44" t="s">
        <v>231</v>
      </c>
      <c r="D2" s="249" t="s">
        <v>232</v>
      </c>
      <c r="E2" s="44" t="s">
        <v>233</v>
      </c>
      <c r="F2" s="44" t="s">
        <v>238</v>
      </c>
      <c r="G2" s="275">
        <f>VLOOKUP(C2,'Margin Calculation'!F:Y,20,0)</f>
        <v>1311.1911936000001</v>
      </c>
      <c r="H2" s="275">
        <f>VLOOKUP(C2,'Margin Calculation'!F:Z,21,0)</f>
        <v>1547.205608448</v>
      </c>
      <c r="I2" s="43" t="e">
        <f t="shared" ref="I2:I90" si="0">R2*16%</f>
        <v>#N/A</v>
      </c>
      <c r="J2" s="43" t="e">
        <f t="shared" ref="J2:J90" si="1">R2*5%</f>
        <v>#N/A</v>
      </c>
      <c r="K2" s="43" t="e">
        <f t="shared" ref="K2:K90" si="2">R2*5%</f>
        <v>#N/A</v>
      </c>
      <c r="L2" s="43" t="e">
        <f t="shared" ref="L2:L90" si="3">R2*5%</f>
        <v>#N/A</v>
      </c>
      <c r="M2" s="43" t="e">
        <f t="shared" ref="M2:M90" si="4">H2+I2+J2+K2+L2</f>
        <v>#N/A</v>
      </c>
      <c r="N2" s="43" t="e">
        <f t="shared" ref="N2:N90" si="5">R2-(R2/1.18)</f>
        <v>#N/A</v>
      </c>
      <c r="O2" s="43" t="e">
        <f t="shared" ref="O2:O90" si="6">R2-M2-N2</f>
        <v>#N/A</v>
      </c>
      <c r="P2" s="338" t="e">
        <f t="shared" ref="P2:P90" si="7">O2/R2</f>
        <v>#N/A</v>
      </c>
      <c r="Q2" s="248"/>
      <c r="R2" s="253" t="e">
        <f t="shared" ref="R2:R90" si="8">S2-U2</f>
        <v>#N/A</v>
      </c>
      <c r="S2" s="253" t="e">
        <f>VLOOKUP(C2,'Amazon Live Products'!E:AF,28,0)</f>
        <v>#N/A</v>
      </c>
      <c r="T2" s="253">
        <f>VLOOKUP(D2,Sheet6!AF:AG,2,0)</f>
        <v>5999</v>
      </c>
      <c r="U2" s="2" t="e">
        <f t="shared" ref="U2:U90" si="9">S2*15%</f>
        <v>#N/A</v>
      </c>
      <c r="V2" s="2">
        <f t="shared" ref="V2:V86" si="10">Q2*3%</f>
        <v>0</v>
      </c>
      <c r="W2" s="339">
        <f t="shared" ref="W2:W86" si="11">Q2-V2</f>
        <v>0</v>
      </c>
    </row>
    <row r="3" spans="1:23">
      <c r="A3" s="43">
        <f t="shared" ref="A3:A90" si="12">A2+1</f>
        <v>2</v>
      </c>
      <c r="B3" s="44" t="s">
        <v>934</v>
      </c>
      <c r="C3" s="44" t="s">
        <v>240</v>
      </c>
      <c r="D3" s="249" t="s">
        <v>241</v>
      </c>
      <c r="E3" s="44" t="s">
        <v>242</v>
      </c>
      <c r="F3" s="44" t="s">
        <v>244</v>
      </c>
      <c r="G3" s="275">
        <f>VLOOKUP(C3,'Margin Calculation'!F:Y,20,0)</f>
        <v>1066.3371935999999</v>
      </c>
      <c r="H3" s="275">
        <f>VLOOKUP(C3,'Margin Calculation'!F:Z,21,0)</f>
        <v>1258.2778884479999</v>
      </c>
      <c r="I3" s="43">
        <f t="shared" si="0"/>
        <v>278.66400000000004</v>
      </c>
      <c r="J3" s="60">
        <f t="shared" si="1"/>
        <v>87.08250000000001</v>
      </c>
      <c r="K3" s="43">
        <f t="shared" si="2"/>
        <v>87.08250000000001</v>
      </c>
      <c r="L3" s="43">
        <f t="shared" si="3"/>
        <v>87.08250000000001</v>
      </c>
      <c r="M3" s="275">
        <f t="shared" si="4"/>
        <v>1798.1893884479998</v>
      </c>
      <c r="N3" s="253">
        <f t="shared" si="5"/>
        <v>265.67542372881348</v>
      </c>
      <c r="O3" s="253">
        <f t="shared" si="6"/>
        <v>-322.21481217681321</v>
      </c>
      <c r="P3" s="338">
        <f t="shared" si="7"/>
        <v>-0.18500549029759894</v>
      </c>
      <c r="Q3" s="340">
        <v>1826</v>
      </c>
      <c r="R3" s="253">
        <f t="shared" si="8"/>
        <v>1741.65</v>
      </c>
      <c r="S3" s="253">
        <f>VLOOKUP(C3,'Amazon Live Products'!E:AF,28,0)</f>
        <v>2049</v>
      </c>
      <c r="T3" s="253">
        <f>VLOOKUP(D3,Sheet6!AF:AG,2,0)</f>
        <v>4999</v>
      </c>
      <c r="U3" s="2">
        <f t="shared" si="9"/>
        <v>307.34999999999997</v>
      </c>
      <c r="V3" s="2">
        <f t="shared" si="10"/>
        <v>54.78</v>
      </c>
      <c r="W3" s="339">
        <f t="shared" si="11"/>
        <v>1771.22</v>
      </c>
    </row>
    <row r="4" spans="1:23">
      <c r="A4" s="43">
        <f t="shared" si="12"/>
        <v>3</v>
      </c>
      <c r="B4" s="44" t="s">
        <v>934</v>
      </c>
      <c r="C4" s="44" t="s">
        <v>246</v>
      </c>
      <c r="D4" s="249" t="s">
        <v>247</v>
      </c>
      <c r="E4" s="44" t="s">
        <v>248</v>
      </c>
      <c r="F4" s="44" t="s">
        <v>251</v>
      </c>
      <c r="G4" s="275">
        <f>VLOOKUP(C4,'Margin Calculation'!F:Y,20,0)</f>
        <v>1521.9733235294116</v>
      </c>
      <c r="H4" s="275">
        <f>VLOOKUP(C4,'Margin Calculation'!F:Z,21,0)</f>
        <v>1795.9285217647055</v>
      </c>
      <c r="I4" s="43">
        <f t="shared" si="0"/>
        <v>462.26400000000001</v>
      </c>
      <c r="J4" s="60">
        <f t="shared" si="1"/>
        <v>144.45750000000001</v>
      </c>
      <c r="K4" s="43">
        <f t="shared" si="2"/>
        <v>144.45750000000001</v>
      </c>
      <c r="L4" s="43">
        <f t="shared" si="3"/>
        <v>144.45750000000001</v>
      </c>
      <c r="M4" s="275">
        <f t="shared" si="4"/>
        <v>2691.5650217647053</v>
      </c>
      <c r="N4" s="253">
        <f t="shared" si="5"/>
        <v>440.71779661016944</v>
      </c>
      <c r="O4" s="253">
        <f t="shared" si="6"/>
        <v>-243.13281837487466</v>
      </c>
      <c r="P4" s="338">
        <f t="shared" si="7"/>
        <v>-8.4153754001998732E-2</v>
      </c>
      <c r="Q4" s="248">
        <v>2954</v>
      </c>
      <c r="R4" s="253">
        <f t="shared" si="8"/>
        <v>2889.15</v>
      </c>
      <c r="S4" s="253">
        <f>VLOOKUP(C4,'Amazon Live Products'!E:AF,28,0)</f>
        <v>3399</v>
      </c>
      <c r="T4" s="253">
        <f>VLOOKUP(D4,Sheet6!AF:AG,2,0)</f>
        <v>9999</v>
      </c>
      <c r="U4" s="2">
        <f t="shared" si="9"/>
        <v>509.84999999999997</v>
      </c>
      <c r="V4" s="2">
        <f t="shared" si="10"/>
        <v>88.61999999999999</v>
      </c>
      <c r="W4" s="339">
        <f t="shared" si="11"/>
        <v>2865.38</v>
      </c>
    </row>
    <row r="5" spans="1:23">
      <c r="A5" s="43">
        <f t="shared" si="12"/>
        <v>4</v>
      </c>
      <c r="B5" s="44" t="s">
        <v>934</v>
      </c>
      <c r="C5" s="44" t="s">
        <v>253</v>
      </c>
      <c r="D5" s="249" t="s">
        <v>254</v>
      </c>
      <c r="E5" s="44" t="s">
        <v>255</v>
      </c>
      <c r="F5" s="44" t="s">
        <v>259</v>
      </c>
      <c r="G5" s="275">
        <f>VLOOKUP(C5,'Margin Calculation'!F:Y,20,0)</f>
        <v>355.33344600000004</v>
      </c>
      <c r="H5" s="275">
        <f>VLOOKUP(C5,'Margin Calculation'!F:Z,21,0)</f>
        <v>397.97345952000006</v>
      </c>
      <c r="I5" s="43">
        <f t="shared" si="0"/>
        <v>95.063999999999993</v>
      </c>
      <c r="J5" s="60">
        <f t="shared" si="1"/>
        <v>29.7075</v>
      </c>
      <c r="K5" s="43">
        <f t="shared" si="2"/>
        <v>29.7075</v>
      </c>
      <c r="L5" s="43">
        <f t="shared" si="3"/>
        <v>29.7075</v>
      </c>
      <c r="M5" s="275">
        <f t="shared" si="4"/>
        <v>582.15995952000003</v>
      </c>
      <c r="N5" s="253">
        <f t="shared" si="5"/>
        <v>90.633050847457582</v>
      </c>
      <c r="O5" s="253">
        <f t="shared" si="6"/>
        <v>-78.643010367457634</v>
      </c>
      <c r="P5" s="338">
        <f t="shared" si="7"/>
        <v>-0.13236221554734939</v>
      </c>
      <c r="Q5" s="248">
        <v>608</v>
      </c>
      <c r="R5" s="253">
        <f t="shared" si="8"/>
        <v>594.15</v>
      </c>
      <c r="S5" s="253">
        <f>VLOOKUP(C5,'Amazon Live Products'!E:AF,28,0)</f>
        <v>699</v>
      </c>
      <c r="T5" s="253">
        <f>VLOOKUP(D5,Sheet6!AF:AG,2,0)</f>
        <v>1499</v>
      </c>
      <c r="U5" s="2">
        <f t="shared" si="9"/>
        <v>104.85</v>
      </c>
      <c r="V5" s="2">
        <f t="shared" si="10"/>
        <v>18.239999999999998</v>
      </c>
      <c r="W5" s="339">
        <f t="shared" si="11"/>
        <v>589.76</v>
      </c>
    </row>
    <row r="6" spans="1:23">
      <c r="A6" s="43">
        <f t="shared" si="12"/>
        <v>5</v>
      </c>
      <c r="B6" s="44" t="s">
        <v>934</v>
      </c>
      <c r="C6" s="44" t="s">
        <v>262</v>
      </c>
      <c r="D6" s="249" t="s">
        <v>263</v>
      </c>
      <c r="E6" s="44" t="s">
        <v>264</v>
      </c>
      <c r="F6" s="44" t="s">
        <v>265</v>
      </c>
      <c r="G6" s="275">
        <f>VLOOKUP(C6,'Margin Calculation'!F:Y,20,0)</f>
        <v>355.33344600000004</v>
      </c>
      <c r="H6" s="275">
        <f>VLOOKUP(C6,'Margin Calculation'!F:Z,21,0)</f>
        <v>397.97345952000006</v>
      </c>
      <c r="I6" s="43">
        <f t="shared" si="0"/>
        <v>95.063999999999993</v>
      </c>
      <c r="J6" s="60">
        <f t="shared" si="1"/>
        <v>29.7075</v>
      </c>
      <c r="K6" s="43">
        <f t="shared" si="2"/>
        <v>29.7075</v>
      </c>
      <c r="L6" s="43">
        <f t="shared" si="3"/>
        <v>29.7075</v>
      </c>
      <c r="M6" s="275">
        <f t="shared" si="4"/>
        <v>582.15995952000003</v>
      </c>
      <c r="N6" s="253">
        <f t="shared" si="5"/>
        <v>90.633050847457582</v>
      </c>
      <c r="O6" s="253">
        <f t="shared" si="6"/>
        <v>-78.643010367457634</v>
      </c>
      <c r="P6" s="338">
        <f t="shared" si="7"/>
        <v>-0.13236221554734939</v>
      </c>
      <c r="Q6" s="248">
        <v>608</v>
      </c>
      <c r="R6" s="253">
        <f t="shared" si="8"/>
        <v>594.15</v>
      </c>
      <c r="S6" s="253">
        <f>VLOOKUP(C6,'Amazon Live Products'!E:AF,28,0)</f>
        <v>699</v>
      </c>
      <c r="T6" s="253">
        <f>VLOOKUP(D6,Sheet6!AF:AG,2,0)</f>
        <v>1999</v>
      </c>
      <c r="U6" s="2">
        <f t="shared" si="9"/>
        <v>104.85</v>
      </c>
      <c r="V6" s="2">
        <f t="shared" si="10"/>
        <v>18.239999999999998</v>
      </c>
      <c r="W6" s="339">
        <f t="shared" si="11"/>
        <v>589.76</v>
      </c>
    </row>
    <row r="7" spans="1:23">
      <c r="A7" s="43">
        <f t="shared" si="12"/>
        <v>6</v>
      </c>
      <c r="B7" s="44" t="s">
        <v>934</v>
      </c>
      <c r="C7" s="44" t="s">
        <v>267</v>
      </c>
      <c r="D7" s="249" t="s">
        <v>268</v>
      </c>
      <c r="E7" s="44" t="s">
        <v>269</v>
      </c>
      <c r="F7" s="44" t="s">
        <v>270</v>
      </c>
      <c r="G7" s="275">
        <f>VLOOKUP(C7,'Margin Calculation'!F:Y,20,0)</f>
        <v>355.33344600000004</v>
      </c>
      <c r="H7" s="275">
        <f>VLOOKUP(C7,'Margin Calculation'!F:Z,21,0)</f>
        <v>397.97345952000006</v>
      </c>
      <c r="I7" s="43">
        <f t="shared" si="0"/>
        <v>95.063999999999993</v>
      </c>
      <c r="J7" s="60">
        <f t="shared" si="1"/>
        <v>29.7075</v>
      </c>
      <c r="K7" s="43">
        <f t="shared" si="2"/>
        <v>29.7075</v>
      </c>
      <c r="L7" s="43">
        <f t="shared" si="3"/>
        <v>29.7075</v>
      </c>
      <c r="M7" s="275">
        <f t="shared" si="4"/>
        <v>582.15995952000003</v>
      </c>
      <c r="N7" s="253">
        <f t="shared" si="5"/>
        <v>90.633050847457582</v>
      </c>
      <c r="O7" s="253">
        <f t="shared" si="6"/>
        <v>-78.643010367457634</v>
      </c>
      <c r="P7" s="338">
        <f t="shared" si="7"/>
        <v>-0.13236221554734939</v>
      </c>
      <c r="Q7" s="248">
        <v>608</v>
      </c>
      <c r="R7" s="253">
        <f t="shared" si="8"/>
        <v>594.15</v>
      </c>
      <c r="S7" s="253">
        <f>VLOOKUP(C7,'Amazon Live Products'!E:AF,28,0)</f>
        <v>699</v>
      </c>
      <c r="T7" s="253">
        <f>VLOOKUP(D7,Sheet6!AF:AG,2,0)</f>
        <v>1499</v>
      </c>
      <c r="U7" s="2">
        <f t="shared" si="9"/>
        <v>104.85</v>
      </c>
      <c r="V7" s="2">
        <f t="shared" si="10"/>
        <v>18.239999999999998</v>
      </c>
      <c r="W7" s="339">
        <f t="shared" si="11"/>
        <v>589.76</v>
      </c>
    </row>
    <row r="8" spans="1:23">
      <c r="A8" s="43">
        <f t="shared" si="12"/>
        <v>7</v>
      </c>
      <c r="B8" s="44" t="s">
        <v>934</v>
      </c>
      <c r="C8" s="43" t="s">
        <v>324</v>
      </c>
      <c r="D8" s="75" t="s">
        <v>325</v>
      </c>
      <c r="E8" s="43" t="s">
        <v>326</v>
      </c>
      <c r="F8" s="43" t="s">
        <v>327</v>
      </c>
      <c r="G8" s="275">
        <f>VLOOKUP(C8,'Margin Calculation'!F:Y,20,0)</f>
        <v>1278.2511936000001</v>
      </c>
      <c r="H8" s="275">
        <f>VLOOKUP(C8,'Margin Calculation'!F:Z,21,0)</f>
        <v>1508.3364084479999</v>
      </c>
      <c r="I8" s="43">
        <f t="shared" si="0"/>
        <v>299.06400000000002</v>
      </c>
      <c r="J8" s="60">
        <f t="shared" si="1"/>
        <v>93.45750000000001</v>
      </c>
      <c r="K8" s="43">
        <f t="shared" si="2"/>
        <v>93.45750000000001</v>
      </c>
      <c r="L8" s="43">
        <f t="shared" si="3"/>
        <v>93.45750000000001</v>
      </c>
      <c r="M8" s="275">
        <f t="shared" si="4"/>
        <v>2087.7729084480002</v>
      </c>
      <c r="N8" s="253">
        <f t="shared" si="5"/>
        <v>285.12457627118647</v>
      </c>
      <c r="O8" s="253">
        <f t="shared" si="6"/>
        <v>-503.74748471918656</v>
      </c>
      <c r="P8" s="338">
        <f t="shared" si="7"/>
        <v>-0.2695061844791411</v>
      </c>
      <c r="Q8" s="248">
        <v>1913</v>
      </c>
      <c r="R8" s="253">
        <f t="shared" si="8"/>
        <v>1869.15</v>
      </c>
      <c r="S8" s="253">
        <f>VLOOKUP(C8,'Amazon Live Products'!E:AF,28,0)</f>
        <v>2199</v>
      </c>
      <c r="T8" s="253">
        <f>VLOOKUP(D8,Sheet6!AF:AG,2,0)</f>
        <v>5999</v>
      </c>
      <c r="U8" s="2">
        <f t="shared" si="9"/>
        <v>329.84999999999997</v>
      </c>
      <c r="V8" s="2">
        <f t="shared" si="10"/>
        <v>57.39</v>
      </c>
      <c r="W8" s="339">
        <f t="shared" si="11"/>
        <v>1855.61</v>
      </c>
    </row>
    <row r="9" spans="1:23">
      <c r="A9" s="43">
        <f t="shared" si="12"/>
        <v>8</v>
      </c>
      <c r="B9" s="44" t="s">
        <v>934</v>
      </c>
      <c r="C9" s="69" t="s">
        <v>329</v>
      </c>
      <c r="D9" s="75" t="s">
        <v>330</v>
      </c>
      <c r="E9" s="43" t="s">
        <v>331</v>
      </c>
      <c r="F9" s="43" t="s">
        <v>333</v>
      </c>
      <c r="G9" s="275">
        <f>VLOOKUP(C9,'Margin Calculation'!F:Y,20,0)</f>
        <v>240.79140000000001</v>
      </c>
      <c r="H9" s="275">
        <f>VLOOKUP(C9,'Margin Calculation'!F:Z,21,0)</f>
        <v>284.13385199999999</v>
      </c>
      <c r="I9" s="43">
        <f t="shared" si="0"/>
        <v>40.664000000000001</v>
      </c>
      <c r="J9" s="60">
        <f t="shared" si="1"/>
        <v>12.707500000000001</v>
      </c>
      <c r="K9" s="43">
        <f t="shared" si="2"/>
        <v>12.707500000000001</v>
      </c>
      <c r="L9" s="43">
        <f t="shared" si="3"/>
        <v>12.707500000000001</v>
      </c>
      <c r="M9" s="275">
        <f t="shared" si="4"/>
        <v>362.92035199999992</v>
      </c>
      <c r="N9" s="253">
        <f t="shared" si="5"/>
        <v>38.7686440677966</v>
      </c>
      <c r="O9" s="253">
        <f t="shared" si="6"/>
        <v>-147.53899606779652</v>
      </c>
      <c r="P9" s="338">
        <f t="shared" si="7"/>
        <v>-0.58051936284791072</v>
      </c>
      <c r="Q9" s="248">
        <v>493</v>
      </c>
      <c r="R9" s="253">
        <f t="shared" si="8"/>
        <v>254.15</v>
      </c>
      <c r="S9" s="253">
        <f>VLOOKUP(C9,'Amazon Live Products'!E:AF,28,0)</f>
        <v>299</v>
      </c>
      <c r="T9" s="253">
        <f>VLOOKUP(D9,Sheet6!AF:AG,2,0)</f>
        <v>1199</v>
      </c>
      <c r="U9" s="2">
        <f t="shared" si="9"/>
        <v>44.85</v>
      </c>
      <c r="V9" s="2">
        <f t="shared" si="10"/>
        <v>14.79</v>
      </c>
      <c r="W9" s="339">
        <f t="shared" si="11"/>
        <v>478.21</v>
      </c>
    </row>
    <row r="10" spans="1:23">
      <c r="A10" s="43">
        <f t="shared" si="12"/>
        <v>9</v>
      </c>
      <c r="B10" s="69" t="s">
        <v>953</v>
      </c>
      <c r="C10" s="69" t="s">
        <v>335</v>
      </c>
      <c r="D10" s="75" t="s">
        <v>336</v>
      </c>
      <c r="E10" s="43" t="s">
        <v>337</v>
      </c>
      <c r="F10" s="43" t="s">
        <v>338</v>
      </c>
      <c r="G10" s="275">
        <f>VLOOKUP(C10,'Margin Calculation'!F:Y,20,0)</f>
        <v>240.79140000000001</v>
      </c>
      <c r="H10" s="275">
        <f>VLOOKUP(C10,'Margin Calculation'!F:Z,21,0)</f>
        <v>284.13385199999999</v>
      </c>
      <c r="I10" s="43">
        <f t="shared" si="0"/>
        <v>40.664000000000001</v>
      </c>
      <c r="J10" s="60">
        <f t="shared" si="1"/>
        <v>12.707500000000001</v>
      </c>
      <c r="K10" s="43">
        <f t="shared" si="2"/>
        <v>12.707500000000001</v>
      </c>
      <c r="L10" s="43">
        <f t="shared" si="3"/>
        <v>12.707500000000001</v>
      </c>
      <c r="M10" s="275">
        <f t="shared" si="4"/>
        <v>362.92035199999992</v>
      </c>
      <c r="N10" s="253">
        <f t="shared" si="5"/>
        <v>38.7686440677966</v>
      </c>
      <c r="O10" s="253">
        <f t="shared" si="6"/>
        <v>-147.53899606779652</v>
      </c>
      <c r="P10" s="338">
        <f t="shared" si="7"/>
        <v>-0.58051936284791072</v>
      </c>
      <c r="Q10" s="248"/>
      <c r="R10" s="253">
        <f t="shared" si="8"/>
        <v>254.15</v>
      </c>
      <c r="S10" s="253">
        <f>VLOOKUP(C10,'Amazon Live Products'!E:AF,28,0)</f>
        <v>299</v>
      </c>
      <c r="T10" s="253">
        <f>VLOOKUP(D10,Sheet6!AF:AG,2,0)</f>
        <v>1199</v>
      </c>
      <c r="U10" s="2">
        <f t="shared" si="9"/>
        <v>44.85</v>
      </c>
      <c r="V10" s="2">
        <f t="shared" si="10"/>
        <v>0</v>
      </c>
      <c r="W10" s="339">
        <f t="shared" si="11"/>
        <v>0</v>
      </c>
    </row>
    <row r="11" spans="1:23">
      <c r="A11" s="43">
        <f t="shared" si="12"/>
        <v>10</v>
      </c>
      <c r="B11" s="69" t="s">
        <v>934</v>
      </c>
      <c r="C11" s="69" t="s">
        <v>340</v>
      </c>
      <c r="D11" s="75" t="s">
        <v>341</v>
      </c>
      <c r="E11" s="43" t="s">
        <v>342</v>
      </c>
      <c r="F11" s="43" t="s">
        <v>343</v>
      </c>
      <c r="G11" s="275">
        <f>VLOOKUP(C11,'Margin Calculation'!F:Y,20,0)</f>
        <v>165.75408000000002</v>
      </c>
      <c r="H11" s="275">
        <f>VLOOKUP(C11,'Margin Calculation'!F:Z,21,0)</f>
        <v>195.58981439999999</v>
      </c>
      <c r="I11" s="43" t="e">
        <f t="shared" si="0"/>
        <v>#N/A</v>
      </c>
      <c r="J11" s="60" t="e">
        <f t="shared" si="1"/>
        <v>#N/A</v>
      </c>
      <c r="K11" s="43" t="e">
        <f t="shared" si="2"/>
        <v>#N/A</v>
      </c>
      <c r="L11" s="43" t="e">
        <f t="shared" si="3"/>
        <v>#N/A</v>
      </c>
      <c r="M11" s="43" t="e">
        <f t="shared" si="4"/>
        <v>#N/A</v>
      </c>
      <c r="N11" s="43" t="e">
        <f t="shared" si="5"/>
        <v>#N/A</v>
      </c>
      <c r="O11" s="43" t="e">
        <f t="shared" si="6"/>
        <v>#N/A</v>
      </c>
      <c r="P11" s="338" t="e">
        <f t="shared" si="7"/>
        <v>#N/A</v>
      </c>
      <c r="Q11" s="248">
        <v>340</v>
      </c>
      <c r="R11" s="253" t="e">
        <f t="shared" si="8"/>
        <v>#N/A</v>
      </c>
      <c r="S11" s="253" t="e">
        <f>VLOOKUP(C11,'Amazon Live Products'!E:AF,28,0)</f>
        <v>#N/A</v>
      </c>
      <c r="T11" s="253">
        <f>VLOOKUP(D11,Sheet6!AF:AG,2,0)</f>
        <v>699</v>
      </c>
      <c r="U11" s="2" t="e">
        <f t="shared" si="9"/>
        <v>#N/A</v>
      </c>
      <c r="V11" s="2">
        <f t="shared" si="10"/>
        <v>10.199999999999999</v>
      </c>
      <c r="W11" s="339">
        <f t="shared" si="11"/>
        <v>329.8</v>
      </c>
    </row>
    <row r="12" spans="1:23">
      <c r="A12" s="43">
        <f t="shared" si="12"/>
        <v>11</v>
      </c>
      <c r="B12" s="69" t="s">
        <v>934</v>
      </c>
      <c r="C12" s="69" t="s">
        <v>418</v>
      </c>
      <c r="D12" s="75" t="s">
        <v>419</v>
      </c>
      <c r="E12" s="44" t="s">
        <v>420</v>
      </c>
      <c r="F12" s="44" t="s">
        <v>422</v>
      </c>
      <c r="G12" s="275">
        <f>VLOOKUP(C12,'Margin Calculation'!F:Y,20,0)</f>
        <v>1159.1586</v>
      </c>
      <c r="H12" s="275">
        <f>VLOOKUP(C12,'Margin Calculation'!F:Z,21,0)</f>
        <v>1367.8071479999999</v>
      </c>
      <c r="I12" s="43">
        <f t="shared" si="0"/>
        <v>333.06400000000002</v>
      </c>
      <c r="J12" s="60">
        <f t="shared" si="1"/>
        <v>104.08250000000001</v>
      </c>
      <c r="K12" s="43">
        <f t="shared" si="2"/>
        <v>104.08250000000001</v>
      </c>
      <c r="L12" s="43">
        <f t="shared" si="3"/>
        <v>104.08250000000001</v>
      </c>
      <c r="M12" s="275">
        <f t="shared" si="4"/>
        <v>2013.1186479999999</v>
      </c>
      <c r="N12" s="253">
        <f t="shared" si="5"/>
        <v>317.53983050847455</v>
      </c>
      <c r="O12" s="253">
        <f t="shared" si="6"/>
        <v>-249.00847850847435</v>
      </c>
      <c r="P12" s="338">
        <f t="shared" si="7"/>
        <v>-0.11962072322843627</v>
      </c>
      <c r="Q12" s="248">
        <v>2082</v>
      </c>
      <c r="R12" s="253">
        <f t="shared" si="8"/>
        <v>2081.65</v>
      </c>
      <c r="S12" s="253">
        <f>VLOOKUP(C12,'Amazon Live Products'!E:AF,28,0)</f>
        <v>2449</v>
      </c>
      <c r="T12" s="253">
        <f>VLOOKUP(D12,Sheet6!AF:AG,2,0)</f>
        <v>6999</v>
      </c>
      <c r="U12" s="2">
        <f t="shared" si="9"/>
        <v>367.34999999999997</v>
      </c>
      <c r="V12" s="2">
        <f t="shared" si="10"/>
        <v>62.46</v>
      </c>
      <c r="W12" s="339">
        <f t="shared" si="11"/>
        <v>2019.54</v>
      </c>
    </row>
    <row r="13" spans="1:23">
      <c r="A13" s="43">
        <f t="shared" si="12"/>
        <v>12</v>
      </c>
      <c r="B13" s="69" t="s">
        <v>934</v>
      </c>
      <c r="C13" s="69" t="s">
        <v>424</v>
      </c>
      <c r="D13" s="75" t="s">
        <v>425</v>
      </c>
      <c r="E13" s="44" t="s">
        <v>426</v>
      </c>
      <c r="F13" s="44" t="s">
        <v>427</v>
      </c>
      <c r="G13" s="275">
        <f>VLOOKUP(C13,'Margin Calculation'!F:Y,20,0)</f>
        <v>957.84120000000019</v>
      </c>
      <c r="H13" s="275">
        <f>VLOOKUP(C13,'Margin Calculation'!F:Z,21,0)</f>
        <v>1130.2526160000002</v>
      </c>
      <c r="I13" s="43">
        <f t="shared" si="0"/>
        <v>394.26400000000001</v>
      </c>
      <c r="J13" s="60">
        <f t="shared" si="1"/>
        <v>123.20750000000001</v>
      </c>
      <c r="K13" s="43">
        <f t="shared" si="2"/>
        <v>123.20750000000001</v>
      </c>
      <c r="L13" s="43">
        <f t="shared" si="3"/>
        <v>123.20750000000001</v>
      </c>
      <c r="M13" s="275">
        <f t="shared" si="4"/>
        <v>1894.1391160000003</v>
      </c>
      <c r="N13" s="253">
        <f t="shared" si="5"/>
        <v>375.88728813559328</v>
      </c>
      <c r="O13" s="253">
        <f t="shared" si="6"/>
        <v>194.12359586440652</v>
      </c>
      <c r="P13" s="338">
        <f t="shared" si="7"/>
        <v>7.87791310855291E-2</v>
      </c>
      <c r="Q13" s="248">
        <v>2465</v>
      </c>
      <c r="R13" s="253">
        <f t="shared" si="8"/>
        <v>2464.15</v>
      </c>
      <c r="S13" s="253">
        <f>VLOOKUP(C13,'Amazon Live Products'!E:AF,28,0)</f>
        <v>2899</v>
      </c>
      <c r="T13" s="253">
        <f>VLOOKUP(D13,Sheet6!AF:AG,2,0)</f>
        <v>5499</v>
      </c>
      <c r="U13" s="2">
        <f t="shared" si="9"/>
        <v>434.84999999999997</v>
      </c>
      <c r="V13" s="2">
        <f t="shared" si="10"/>
        <v>73.95</v>
      </c>
      <c r="W13" s="339">
        <f t="shared" si="11"/>
        <v>2391.0500000000002</v>
      </c>
    </row>
    <row r="14" spans="1:23">
      <c r="A14" s="43">
        <f t="shared" si="12"/>
        <v>13</v>
      </c>
      <c r="B14" s="69" t="s">
        <v>934</v>
      </c>
      <c r="C14" s="69" t="s">
        <v>434</v>
      </c>
      <c r="D14" s="75" t="s">
        <v>435</v>
      </c>
      <c r="E14" s="271" t="s">
        <v>436</v>
      </c>
      <c r="F14" s="44" t="s">
        <v>439</v>
      </c>
      <c r="G14" s="275">
        <f>VLOOKUP(C14,'Margin Calculation'!F:Y,20,0)</f>
        <v>456.50304000000006</v>
      </c>
      <c r="H14" s="275">
        <f>VLOOKUP(C14,'Margin Calculation'!F:Z,21,0)</f>
        <v>538.67358720000004</v>
      </c>
      <c r="I14" s="43">
        <f t="shared" si="0"/>
        <v>105.944</v>
      </c>
      <c r="J14" s="60">
        <f t="shared" si="1"/>
        <v>33.107500000000002</v>
      </c>
      <c r="K14" s="43">
        <f t="shared" si="2"/>
        <v>33.107500000000002</v>
      </c>
      <c r="L14" s="43">
        <f t="shared" si="3"/>
        <v>33.107500000000002</v>
      </c>
      <c r="M14" s="275">
        <f t="shared" si="4"/>
        <v>743.94008719999988</v>
      </c>
      <c r="N14" s="253">
        <f t="shared" si="5"/>
        <v>101.00593220338976</v>
      </c>
      <c r="O14" s="253">
        <f t="shared" si="6"/>
        <v>-182.79601940338966</v>
      </c>
      <c r="P14" s="338">
        <f t="shared" si="7"/>
        <v>-0.27606436517917343</v>
      </c>
      <c r="Q14" s="248">
        <v>765</v>
      </c>
      <c r="R14" s="253">
        <f t="shared" si="8"/>
        <v>662.15</v>
      </c>
      <c r="S14" s="253">
        <f>VLOOKUP(C14,'Amazon Live Products'!E:AF,28,0)</f>
        <v>779</v>
      </c>
      <c r="T14" s="253">
        <f>VLOOKUP(D14,Sheet6!AF:AG,2,0)</f>
        <v>1999</v>
      </c>
      <c r="U14" s="2">
        <f t="shared" si="9"/>
        <v>116.85</v>
      </c>
      <c r="V14" s="2">
        <f t="shared" si="10"/>
        <v>22.95</v>
      </c>
      <c r="W14" s="339">
        <f t="shared" si="11"/>
        <v>742.05</v>
      </c>
    </row>
    <row r="15" spans="1:23">
      <c r="A15" s="43">
        <f t="shared" si="12"/>
        <v>14</v>
      </c>
      <c r="B15" s="69" t="s">
        <v>934</v>
      </c>
      <c r="C15" s="69" t="s">
        <v>441</v>
      </c>
      <c r="D15" s="75" t="s">
        <v>442</v>
      </c>
      <c r="E15" s="271" t="s">
        <v>443</v>
      </c>
      <c r="F15" s="44" t="s">
        <v>445</v>
      </c>
      <c r="G15" s="275">
        <f>VLOOKUP(C15,'Margin Calculation'!F:Y,20,0)</f>
        <v>443.50416000000001</v>
      </c>
      <c r="H15" s="275">
        <f>VLOOKUP(C15,'Margin Calculation'!F:Z,21,0)</f>
        <v>523.33490879999999</v>
      </c>
      <c r="I15" s="43">
        <f t="shared" si="0"/>
        <v>135.864</v>
      </c>
      <c r="J15" s="60">
        <f t="shared" si="1"/>
        <v>42.457500000000003</v>
      </c>
      <c r="K15" s="43">
        <f t="shared" si="2"/>
        <v>42.457500000000003</v>
      </c>
      <c r="L15" s="43">
        <f t="shared" si="3"/>
        <v>42.457500000000003</v>
      </c>
      <c r="M15" s="275">
        <f t="shared" si="4"/>
        <v>786.57140879999997</v>
      </c>
      <c r="N15" s="253">
        <f t="shared" si="5"/>
        <v>129.53135593220338</v>
      </c>
      <c r="O15" s="253">
        <f t="shared" si="6"/>
        <v>-66.952764732203377</v>
      </c>
      <c r="P15" s="338">
        <f t="shared" si="7"/>
        <v>-7.8846805313788348E-2</v>
      </c>
      <c r="Q15" s="248">
        <v>787</v>
      </c>
      <c r="R15" s="253">
        <f t="shared" si="8"/>
        <v>849.15</v>
      </c>
      <c r="S15" s="253">
        <f>VLOOKUP(C15,'Amazon Live Products'!E:AF,28,0)</f>
        <v>999</v>
      </c>
      <c r="T15" s="253">
        <f>VLOOKUP(D15,Sheet6!AF:AG,2,0)</f>
        <v>1499</v>
      </c>
      <c r="U15" s="2">
        <f t="shared" si="9"/>
        <v>149.85</v>
      </c>
      <c r="V15" s="2">
        <f t="shared" si="10"/>
        <v>23.61</v>
      </c>
      <c r="W15" s="339">
        <f t="shared" si="11"/>
        <v>763.39</v>
      </c>
    </row>
    <row r="16" spans="1:23">
      <c r="A16" s="43">
        <f t="shared" si="12"/>
        <v>15</v>
      </c>
      <c r="B16" s="69" t="s">
        <v>934</v>
      </c>
      <c r="C16" s="69" t="s">
        <v>448</v>
      </c>
      <c r="D16" s="75" t="s">
        <v>449</v>
      </c>
      <c r="E16" s="271" t="s">
        <v>450</v>
      </c>
      <c r="F16" s="44" t="s">
        <v>451</v>
      </c>
      <c r="G16" s="275">
        <f>VLOOKUP(C16,'Margin Calculation'!F:Y,20,0)</f>
        <v>520.78140000000008</v>
      </c>
      <c r="H16" s="275">
        <f>VLOOKUP(C16,'Margin Calculation'!F:Z,21,0)</f>
        <v>614.52205200000003</v>
      </c>
      <c r="I16" s="43">
        <f t="shared" si="0"/>
        <v>149.464</v>
      </c>
      <c r="J16" s="60">
        <f t="shared" si="1"/>
        <v>46.707500000000003</v>
      </c>
      <c r="K16" s="43">
        <f t="shared" si="2"/>
        <v>46.707500000000003</v>
      </c>
      <c r="L16" s="43">
        <f t="shared" si="3"/>
        <v>46.707500000000003</v>
      </c>
      <c r="M16" s="275">
        <f t="shared" si="4"/>
        <v>904.10855199999992</v>
      </c>
      <c r="N16" s="253">
        <f t="shared" si="5"/>
        <v>142.49745762711859</v>
      </c>
      <c r="O16" s="253">
        <f t="shared" si="6"/>
        <v>-112.45600962711853</v>
      </c>
      <c r="P16" s="338">
        <f t="shared" si="7"/>
        <v>-0.1203832464027389</v>
      </c>
      <c r="Q16" s="248">
        <v>960</v>
      </c>
      <c r="R16" s="253">
        <f t="shared" si="8"/>
        <v>934.15</v>
      </c>
      <c r="S16" s="253">
        <f>VLOOKUP(C16,'Amazon Live Products'!E:AF,28,0)</f>
        <v>1099</v>
      </c>
      <c r="T16" s="253">
        <f>VLOOKUP(D16,Sheet6!AF:AG,2,0)</f>
        <v>1899</v>
      </c>
      <c r="U16" s="2">
        <f t="shared" si="9"/>
        <v>164.85</v>
      </c>
      <c r="V16" s="2">
        <f t="shared" si="10"/>
        <v>28.799999999999997</v>
      </c>
      <c r="W16" s="339">
        <f t="shared" si="11"/>
        <v>931.2</v>
      </c>
    </row>
    <row r="17" spans="1:23">
      <c r="A17" s="43">
        <f t="shared" si="12"/>
        <v>16</v>
      </c>
      <c r="B17" s="102"/>
      <c r="C17" s="102" t="s">
        <v>454</v>
      </c>
      <c r="D17" s="75" t="s">
        <v>455</v>
      </c>
      <c r="E17" s="271" t="s">
        <v>456</v>
      </c>
      <c r="F17" s="44" t="s">
        <v>457</v>
      </c>
      <c r="G17" s="275">
        <f>VLOOKUP(C17,'Margin Calculation'!F:Y,20,0)</f>
        <v>839.97</v>
      </c>
      <c r="H17" s="275">
        <f>VLOOKUP(C17,'Margin Calculation'!F:Z,21,0)</f>
        <v>991.16459999999995</v>
      </c>
      <c r="I17" s="43">
        <f t="shared" si="0"/>
        <v>271.86400000000003</v>
      </c>
      <c r="J17" s="60">
        <f t="shared" si="1"/>
        <v>84.95750000000001</v>
      </c>
      <c r="K17" s="43">
        <f t="shared" si="2"/>
        <v>84.95750000000001</v>
      </c>
      <c r="L17" s="43">
        <f t="shared" si="3"/>
        <v>84.95750000000001</v>
      </c>
      <c r="M17" s="275">
        <f t="shared" si="4"/>
        <v>1517.9011</v>
      </c>
      <c r="N17" s="253">
        <f t="shared" si="5"/>
        <v>259.19237288135582</v>
      </c>
      <c r="O17" s="253">
        <f t="shared" si="6"/>
        <v>-77.943472881355774</v>
      </c>
      <c r="P17" s="338">
        <f t="shared" si="7"/>
        <v>-4.5872037713772046E-2</v>
      </c>
      <c r="Q17" s="248"/>
      <c r="R17" s="253">
        <f t="shared" si="8"/>
        <v>1699.15</v>
      </c>
      <c r="S17" s="253">
        <f>VLOOKUP(C17,'Amazon Live Products'!E:AF,28,0)</f>
        <v>1999</v>
      </c>
      <c r="T17" s="253">
        <f>VLOOKUP(D17,Sheet6!AF:AG,2,0)</f>
        <v>3999</v>
      </c>
      <c r="U17" s="2">
        <f t="shared" si="9"/>
        <v>299.84999999999997</v>
      </c>
      <c r="V17" s="2">
        <f t="shared" si="10"/>
        <v>0</v>
      </c>
      <c r="W17" s="339">
        <f t="shared" si="11"/>
        <v>0</v>
      </c>
    </row>
    <row r="18" spans="1:23">
      <c r="A18" s="43">
        <f t="shared" si="12"/>
        <v>17</v>
      </c>
      <c r="B18" s="69" t="s">
        <v>934</v>
      </c>
      <c r="C18" s="69" t="s">
        <v>462</v>
      </c>
      <c r="D18" s="341" t="s">
        <v>463</v>
      </c>
      <c r="E18" s="271" t="s">
        <v>464</v>
      </c>
      <c r="F18" s="44" t="s">
        <v>466</v>
      </c>
      <c r="G18" s="275">
        <f>VLOOKUP(C18,'Margin Calculation'!F:Y,20,0)</f>
        <v>615.97800000000007</v>
      </c>
      <c r="H18" s="275">
        <f>VLOOKUP(C18,'Margin Calculation'!F:Z,21,0)</f>
        <v>726.85404000000005</v>
      </c>
      <c r="I18" s="43">
        <f t="shared" si="0"/>
        <v>169.864</v>
      </c>
      <c r="J18" s="60">
        <f t="shared" si="1"/>
        <v>53.08250000000001</v>
      </c>
      <c r="K18" s="43">
        <f t="shared" si="2"/>
        <v>53.08250000000001</v>
      </c>
      <c r="L18" s="43">
        <f t="shared" si="3"/>
        <v>53.08250000000001</v>
      </c>
      <c r="M18" s="275">
        <f t="shared" si="4"/>
        <v>1055.9655400000001</v>
      </c>
      <c r="N18" s="253">
        <f t="shared" si="5"/>
        <v>161.94661016949146</v>
      </c>
      <c r="O18" s="253">
        <f t="shared" si="6"/>
        <v>-156.26215016949152</v>
      </c>
      <c r="P18" s="338">
        <f t="shared" si="7"/>
        <v>-0.14718800939056328</v>
      </c>
      <c r="Q18" s="248">
        <v>1146</v>
      </c>
      <c r="R18" s="253">
        <f t="shared" si="8"/>
        <v>1061.6500000000001</v>
      </c>
      <c r="S18" s="253">
        <f>VLOOKUP(C18,'Amazon Live Products'!E:AF,28,0)</f>
        <v>1249</v>
      </c>
      <c r="T18" s="253">
        <f>VLOOKUP(D18,Sheet6!AF:AG,2,0)</f>
        <v>3499</v>
      </c>
      <c r="U18" s="2">
        <f t="shared" si="9"/>
        <v>187.35</v>
      </c>
      <c r="V18" s="2">
        <f t="shared" si="10"/>
        <v>34.379999999999995</v>
      </c>
      <c r="W18" s="339">
        <f t="shared" si="11"/>
        <v>1111.6199999999999</v>
      </c>
    </row>
    <row r="19" spans="1:23">
      <c r="A19" s="43">
        <f t="shared" si="12"/>
        <v>18</v>
      </c>
      <c r="B19" s="69" t="s">
        <v>934</v>
      </c>
      <c r="C19" s="69" t="s">
        <v>468</v>
      </c>
      <c r="D19" s="341" t="s">
        <v>469</v>
      </c>
      <c r="E19" s="271" t="s">
        <v>470</v>
      </c>
      <c r="F19" s="44" t="s">
        <v>466</v>
      </c>
      <c r="G19" s="275">
        <f>VLOOKUP(C19,'Margin Calculation'!F:Y,20,0)</f>
        <v>559.9799999999999</v>
      </c>
      <c r="H19" s="275">
        <f>VLOOKUP(C19,'Margin Calculation'!F:Z,21,0)</f>
        <v>660.77639999999985</v>
      </c>
      <c r="I19" s="43">
        <f t="shared" si="0"/>
        <v>203.86400000000003</v>
      </c>
      <c r="J19" s="60">
        <f t="shared" si="1"/>
        <v>63.70750000000001</v>
      </c>
      <c r="K19" s="43">
        <f t="shared" si="2"/>
        <v>63.70750000000001</v>
      </c>
      <c r="L19" s="43">
        <f t="shared" si="3"/>
        <v>63.70750000000001</v>
      </c>
      <c r="M19" s="275">
        <f t="shared" si="4"/>
        <v>1055.7628999999999</v>
      </c>
      <c r="N19" s="253">
        <f t="shared" si="5"/>
        <v>194.36186440677966</v>
      </c>
      <c r="O19" s="253">
        <f t="shared" si="6"/>
        <v>24.025235593220486</v>
      </c>
      <c r="P19" s="338">
        <f t="shared" si="7"/>
        <v>1.8855892628984409E-2</v>
      </c>
      <c r="Q19" s="248">
        <v>1359</v>
      </c>
      <c r="R19" s="253">
        <f t="shared" si="8"/>
        <v>1274.1500000000001</v>
      </c>
      <c r="S19" s="253">
        <f>VLOOKUP(C19,'Amazon Live Products'!E:AF,28,0)</f>
        <v>1499</v>
      </c>
      <c r="T19" s="253">
        <f>VLOOKUP(D19,Sheet6!AF:AG,2,0)</f>
        <v>3499</v>
      </c>
      <c r="U19" s="2">
        <f t="shared" si="9"/>
        <v>224.85</v>
      </c>
      <c r="V19" s="2">
        <f t="shared" si="10"/>
        <v>40.769999999999996</v>
      </c>
      <c r="W19" s="339">
        <f t="shared" si="11"/>
        <v>1318.23</v>
      </c>
    </row>
    <row r="20" spans="1:23">
      <c r="A20" s="43">
        <f t="shared" si="12"/>
        <v>19</v>
      </c>
      <c r="B20" s="69" t="s">
        <v>934</v>
      </c>
      <c r="C20" s="69" t="s">
        <v>508</v>
      </c>
      <c r="D20" s="249" t="s">
        <v>509</v>
      </c>
      <c r="E20" s="271" t="s">
        <v>481</v>
      </c>
      <c r="F20" s="44" t="s">
        <v>482</v>
      </c>
      <c r="G20" s="275">
        <f>VLOOKUP(C20,'Margin Calculation'!F:Y,20,0)</f>
        <v>655.17660000000001</v>
      </c>
      <c r="H20" s="275">
        <f>VLOOKUP(C20,'Margin Calculation'!F:Z,21,0)</f>
        <v>773.10838799999999</v>
      </c>
      <c r="I20" s="43">
        <f t="shared" si="0"/>
        <v>169.048</v>
      </c>
      <c r="J20" s="60">
        <f t="shared" si="1"/>
        <v>52.827500000000001</v>
      </c>
      <c r="K20" s="43">
        <f t="shared" si="2"/>
        <v>52.827500000000001</v>
      </c>
      <c r="L20" s="43">
        <f t="shared" si="3"/>
        <v>52.827500000000001</v>
      </c>
      <c r="M20" s="275">
        <f t="shared" si="4"/>
        <v>1100.6388880000002</v>
      </c>
      <c r="N20" s="253">
        <f t="shared" si="5"/>
        <v>161.16864406779655</v>
      </c>
      <c r="O20" s="253">
        <f t="shared" si="6"/>
        <v>-205.25753206779677</v>
      </c>
      <c r="P20" s="338">
        <f t="shared" si="7"/>
        <v>-0.1942714798805516</v>
      </c>
      <c r="Q20" s="248">
        <v>1275</v>
      </c>
      <c r="R20" s="253">
        <f t="shared" si="8"/>
        <v>1056.55</v>
      </c>
      <c r="S20" s="253">
        <f>VLOOKUP(C20,'Amazon Live Products'!E:AF,28,0)</f>
        <v>1243</v>
      </c>
      <c r="T20" s="253">
        <f>VLOOKUP(D20,Sheet6!AF:AG,2,0)</f>
        <v>2499</v>
      </c>
      <c r="U20" s="2">
        <f t="shared" si="9"/>
        <v>186.45</v>
      </c>
      <c r="V20" s="2">
        <f t="shared" si="10"/>
        <v>38.25</v>
      </c>
      <c r="W20" s="339">
        <f t="shared" si="11"/>
        <v>1236.75</v>
      </c>
    </row>
    <row r="21" spans="1:23">
      <c r="A21" s="43">
        <f t="shared" si="12"/>
        <v>20</v>
      </c>
      <c r="B21" s="69" t="s">
        <v>934</v>
      </c>
      <c r="C21" s="102" t="s">
        <v>491</v>
      </c>
      <c r="D21" s="249" t="s">
        <v>539</v>
      </c>
      <c r="E21" s="271" t="s">
        <v>483</v>
      </c>
      <c r="F21" s="44" t="s">
        <v>484</v>
      </c>
      <c r="G21" s="275">
        <f>VLOOKUP(C21,'Margin Calculation'!F:Y,20,0)</f>
        <v>1959.93</v>
      </c>
      <c r="H21" s="275">
        <f>VLOOKUP(C21,'Margin Calculation'!F:Z,21,0)</f>
        <v>2312.7174</v>
      </c>
      <c r="I21" s="43">
        <f t="shared" si="0"/>
        <v>112.06399999999999</v>
      </c>
      <c r="J21" s="60">
        <f t="shared" si="1"/>
        <v>35.020000000000003</v>
      </c>
      <c r="K21" s="43">
        <f t="shared" si="2"/>
        <v>35.020000000000003</v>
      </c>
      <c r="L21" s="43">
        <f t="shared" si="3"/>
        <v>35.020000000000003</v>
      </c>
      <c r="M21" s="275">
        <f t="shared" si="4"/>
        <v>2529.8413999999998</v>
      </c>
      <c r="N21" s="253">
        <f t="shared" si="5"/>
        <v>106.84067796610168</v>
      </c>
      <c r="O21" s="253">
        <f t="shared" si="6"/>
        <v>-1936.2820779661015</v>
      </c>
      <c r="P21" s="338">
        <f t="shared" si="7"/>
        <v>-2.7645375185124239</v>
      </c>
      <c r="Q21" s="248">
        <v>850</v>
      </c>
      <c r="R21" s="253">
        <f t="shared" si="8"/>
        <v>700.4</v>
      </c>
      <c r="S21" s="253">
        <v>824</v>
      </c>
      <c r="T21" s="253">
        <f>VLOOKUP(D21,Sheet6!AF:AG,2,0)</f>
        <v>1999</v>
      </c>
      <c r="U21" s="2">
        <f t="shared" si="9"/>
        <v>123.6</v>
      </c>
      <c r="V21" s="2">
        <f t="shared" si="10"/>
        <v>25.5</v>
      </c>
      <c r="W21" s="339">
        <f t="shared" si="11"/>
        <v>824.5</v>
      </c>
    </row>
    <row r="22" spans="1:23">
      <c r="A22" s="43">
        <f t="shared" si="12"/>
        <v>21</v>
      </c>
      <c r="B22" s="69" t="s">
        <v>934</v>
      </c>
      <c r="C22" s="44" t="s">
        <v>485</v>
      </c>
      <c r="D22" s="249" t="s">
        <v>472</v>
      </c>
      <c r="E22" s="69" t="s">
        <v>473</v>
      </c>
      <c r="F22" s="69" t="s">
        <v>487</v>
      </c>
      <c r="G22" s="275">
        <f>VLOOKUP(C22,'Margin Calculation'!F:Y,20,0)</f>
        <v>321.42851999999999</v>
      </c>
      <c r="H22" s="275">
        <f>VLOOKUP(C22,'Margin Calculation'!F:Z,21,0)</f>
        <v>379.28565359999999</v>
      </c>
      <c r="I22" s="43">
        <f t="shared" si="0"/>
        <v>108.664</v>
      </c>
      <c r="J22" s="60">
        <f t="shared" si="1"/>
        <v>33.957500000000003</v>
      </c>
      <c r="K22" s="43">
        <f t="shared" si="2"/>
        <v>33.957500000000003</v>
      </c>
      <c r="L22" s="43">
        <f t="shared" si="3"/>
        <v>33.957500000000003</v>
      </c>
      <c r="M22" s="275">
        <f t="shared" si="4"/>
        <v>589.82215359999998</v>
      </c>
      <c r="N22" s="253">
        <f t="shared" si="5"/>
        <v>103.59915254237285</v>
      </c>
      <c r="O22" s="253">
        <f t="shared" si="6"/>
        <v>-14.27130614237285</v>
      </c>
      <c r="P22" s="338">
        <f t="shared" si="7"/>
        <v>-2.101348176746352E-2</v>
      </c>
      <c r="Q22" s="248">
        <v>594</v>
      </c>
      <c r="R22" s="253">
        <f t="shared" si="8"/>
        <v>679.15</v>
      </c>
      <c r="S22" s="253">
        <f>VLOOKUP(C22,'Amazon Live Products'!E:AF,28,0)</f>
        <v>799</v>
      </c>
      <c r="T22" s="253">
        <f>VLOOKUP(D22,Sheet6!AF:AG,2,0)</f>
        <v>1299</v>
      </c>
      <c r="U22" s="2">
        <f t="shared" si="9"/>
        <v>119.85</v>
      </c>
      <c r="V22" s="2">
        <f t="shared" si="10"/>
        <v>17.82</v>
      </c>
      <c r="W22" s="339">
        <f t="shared" si="11"/>
        <v>576.17999999999995</v>
      </c>
    </row>
    <row r="23" spans="1:23">
      <c r="A23" s="43">
        <f t="shared" si="12"/>
        <v>22</v>
      </c>
      <c r="B23" s="44" t="s">
        <v>934</v>
      </c>
      <c r="C23" s="44" t="s">
        <v>488</v>
      </c>
      <c r="D23" s="249" t="s">
        <v>476</v>
      </c>
      <c r="E23" s="69" t="s">
        <v>477</v>
      </c>
      <c r="F23" s="69" t="s">
        <v>490</v>
      </c>
      <c r="G23" s="275">
        <f>VLOOKUP(C23,'Margin Calculation'!F:Y,20,0)</f>
        <v>331.50816000000003</v>
      </c>
      <c r="H23" s="275">
        <f>VLOOKUP(C23,'Margin Calculation'!F:Z,21,0)</f>
        <v>391.17962879999999</v>
      </c>
      <c r="I23" s="43">
        <f t="shared" si="0"/>
        <v>115.464</v>
      </c>
      <c r="J23" s="60">
        <f t="shared" si="1"/>
        <v>36.082500000000003</v>
      </c>
      <c r="K23" s="43">
        <f t="shared" si="2"/>
        <v>36.082500000000003</v>
      </c>
      <c r="L23" s="43">
        <f t="shared" si="3"/>
        <v>36.082500000000003</v>
      </c>
      <c r="M23" s="275">
        <f t="shared" si="4"/>
        <v>614.89112879999993</v>
      </c>
      <c r="N23" s="253">
        <f t="shared" si="5"/>
        <v>110.08220338983051</v>
      </c>
      <c r="O23" s="253">
        <f t="shared" si="6"/>
        <v>-3.3233321898304666</v>
      </c>
      <c r="P23" s="338">
        <f t="shared" si="7"/>
        <v>-4.6051856022039312E-3</v>
      </c>
      <c r="Q23" s="248">
        <v>680</v>
      </c>
      <c r="R23" s="253">
        <f t="shared" si="8"/>
        <v>721.65</v>
      </c>
      <c r="S23" s="253">
        <f>VLOOKUP(C23,'Amazon Live Products'!E:AF,28,0)</f>
        <v>849</v>
      </c>
      <c r="T23" s="253">
        <f>VLOOKUP(D23,Sheet6!AF:AG,2,0)</f>
        <v>1499</v>
      </c>
      <c r="U23" s="2">
        <f t="shared" si="9"/>
        <v>127.35</v>
      </c>
      <c r="V23" s="2">
        <f t="shared" si="10"/>
        <v>20.399999999999999</v>
      </c>
      <c r="W23" s="339">
        <f t="shared" si="11"/>
        <v>659.6</v>
      </c>
    </row>
    <row r="24" spans="1:23">
      <c r="A24" s="43">
        <f t="shared" si="12"/>
        <v>23</v>
      </c>
      <c r="B24" s="44" t="s">
        <v>934</v>
      </c>
      <c r="C24" s="102" t="s">
        <v>491</v>
      </c>
      <c r="D24" s="249" t="s">
        <v>492</v>
      </c>
      <c r="E24" s="271" t="s">
        <v>493</v>
      </c>
      <c r="F24" s="44" t="s">
        <v>494</v>
      </c>
      <c r="G24" s="275">
        <f>VLOOKUP(C24,'Margin Calculation'!F:Y,20,0)</f>
        <v>1959.93</v>
      </c>
      <c r="H24" s="275">
        <f>VLOOKUP(C24,'Margin Calculation'!F:Z,21,0)</f>
        <v>2312.7174</v>
      </c>
      <c r="I24" s="43">
        <f t="shared" si="0"/>
        <v>516.66399999999999</v>
      </c>
      <c r="J24" s="60">
        <f t="shared" si="1"/>
        <v>161.45750000000001</v>
      </c>
      <c r="K24" s="43">
        <f t="shared" si="2"/>
        <v>161.45750000000001</v>
      </c>
      <c r="L24" s="43">
        <f t="shared" si="3"/>
        <v>161.45750000000001</v>
      </c>
      <c r="M24" s="275">
        <f t="shared" si="4"/>
        <v>3313.7539000000002</v>
      </c>
      <c r="N24" s="253">
        <f t="shared" si="5"/>
        <v>492.58220338983028</v>
      </c>
      <c r="O24" s="253">
        <f t="shared" si="6"/>
        <v>-577.18610338983035</v>
      </c>
      <c r="P24" s="338">
        <f t="shared" si="7"/>
        <v>-0.1787424255267889</v>
      </c>
      <c r="Q24" s="248">
        <v>3215</v>
      </c>
      <c r="R24" s="253">
        <f t="shared" si="8"/>
        <v>3229.15</v>
      </c>
      <c r="S24" s="253">
        <f>VLOOKUP(C24,'Amazon Live Products'!E:AF,28,0)</f>
        <v>3799</v>
      </c>
      <c r="T24" s="253">
        <f>VLOOKUP(D24,Sheet6!AF:AG,2,0)</f>
        <v>8999</v>
      </c>
      <c r="U24" s="2">
        <f t="shared" si="9"/>
        <v>569.85</v>
      </c>
      <c r="V24" s="2">
        <f t="shared" si="10"/>
        <v>96.45</v>
      </c>
      <c r="W24" s="339">
        <f t="shared" si="11"/>
        <v>3118.55</v>
      </c>
    </row>
    <row r="25" spans="1:23">
      <c r="A25" s="43">
        <f t="shared" si="12"/>
        <v>24</v>
      </c>
      <c r="B25" s="44" t="s">
        <v>934</v>
      </c>
      <c r="C25" s="69" t="s">
        <v>500</v>
      </c>
      <c r="D25" s="249" t="s">
        <v>501</v>
      </c>
      <c r="E25" s="44" t="s">
        <v>459</v>
      </c>
      <c r="F25" s="44" t="s">
        <v>503</v>
      </c>
      <c r="G25" s="275">
        <f>VLOOKUP(C25,'Margin Calculation'!F:Y,20,0)</f>
        <v>380.78639999999996</v>
      </c>
      <c r="H25" s="275">
        <f>VLOOKUP(C25,'Margin Calculation'!F:Z,21,0)</f>
        <v>449.32795199999993</v>
      </c>
      <c r="I25" s="43">
        <f t="shared" si="0"/>
        <v>135.864</v>
      </c>
      <c r="J25" s="60">
        <f t="shared" si="1"/>
        <v>42.457500000000003</v>
      </c>
      <c r="K25" s="43">
        <f t="shared" si="2"/>
        <v>42.457500000000003</v>
      </c>
      <c r="L25" s="43">
        <f t="shared" si="3"/>
        <v>42.457500000000003</v>
      </c>
      <c r="M25" s="275">
        <f t="shared" si="4"/>
        <v>712.56445199999985</v>
      </c>
      <c r="N25" s="253">
        <f t="shared" si="5"/>
        <v>129.53135593220338</v>
      </c>
      <c r="O25" s="253">
        <f t="shared" si="6"/>
        <v>7.0541920677967482</v>
      </c>
      <c r="P25" s="338">
        <f t="shared" si="7"/>
        <v>8.3073568483739597E-3</v>
      </c>
      <c r="Q25" s="248">
        <v>595</v>
      </c>
      <c r="R25" s="253">
        <f t="shared" si="8"/>
        <v>849.15</v>
      </c>
      <c r="S25" s="253">
        <f>VLOOKUP(C25,'Amazon Live Products'!E:AF,28,0)</f>
        <v>999</v>
      </c>
      <c r="T25" s="253">
        <f>VLOOKUP(D25,Sheet6!AF:AG,2,0)</f>
        <v>1499</v>
      </c>
      <c r="U25" s="2">
        <f t="shared" si="9"/>
        <v>149.85</v>
      </c>
      <c r="V25" s="2">
        <f t="shared" si="10"/>
        <v>17.849999999999998</v>
      </c>
      <c r="W25" s="339">
        <f t="shared" si="11"/>
        <v>577.15</v>
      </c>
    </row>
    <row r="26" spans="1:23">
      <c r="A26" s="43">
        <f t="shared" si="12"/>
        <v>25</v>
      </c>
      <c r="B26" s="102" t="s">
        <v>934</v>
      </c>
      <c r="C26" s="102" t="s">
        <v>504</v>
      </c>
      <c r="D26" s="341" t="s">
        <v>505</v>
      </c>
      <c r="E26" s="44" t="s">
        <v>506</v>
      </c>
      <c r="F26" s="44" t="s">
        <v>507</v>
      </c>
      <c r="G26" s="275">
        <f>VLOOKUP(C26,'Margin Calculation'!F:Y,20,0)</f>
        <v>761.57279999999992</v>
      </c>
      <c r="H26" s="275">
        <f>VLOOKUP(C26,'Margin Calculation'!F:Z,21,0)</f>
        <v>898.65590399999985</v>
      </c>
      <c r="I26" s="43">
        <f t="shared" si="0"/>
        <v>203.86400000000003</v>
      </c>
      <c r="J26" s="60">
        <f t="shared" si="1"/>
        <v>63.70750000000001</v>
      </c>
      <c r="K26" s="43">
        <f t="shared" si="2"/>
        <v>63.70750000000001</v>
      </c>
      <c r="L26" s="43">
        <f t="shared" si="3"/>
        <v>63.70750000000001</v>
      </c>
      <c r="M26" s="275">
        <f t="shared" si="4"/>
        <v>1293.6424039999997</v>
      </c>
      <c r="N26" s="253">
        <f t="shared" si="5"/>
        <v>194.36186440677966</v>
      </c>
      <c r="O26" s="253">
        <f t="shared" si="6"/>
        <v>-213.85426840677928</v>
      </c>
      <c r="P26" s="338">
        <f t="shared" si="7"/>
        <v>-0.16784073178729292</v>
      </c>
      <c r="Q26" s="248">
        <v>1304</v>
      </c>
      <c r="R26" s="253">
        <f t="shared" si="8"/>
        <v>1274.1500000000001</v>
      </c>
      <c r="S26" s="253">
        <f>VLOOKUP(C26,'Amazon Live Products'!E:AF,28,0)</f>
        <v>1499</v>
      </c>
      <c r="T26" s="253">
        <f>VLOOKUP(D26,Sheet6!AF:AG,2,0)</f>
        <v>2999</v>
      </c>
      <c r="U26" s="2">
        <f t="shared" si="9"/>
        <v>224.85</v>
      </c>
      <c r="V26" s="2">
        <f t="shared" si="10"/>
        <v>39.119999999999997</v>
      </c>
      <c r="W26" s="339">
        <f t="shared" si="11"/>
        <v>1264.8800000000001</v>
      </c>
    </row>
    <row r="27" spans="1:23">
      <c r="A27" s="43">
        <f t="shared" si="12"/>
        <v>26</v>
      </c>
      <c r="B27" s="102" t="s">
        <v>934</v>
      </c>
      <c r="C27" s="102" t="s">
        <v>512</v>
      </c>
      <c r="D27" s="249" t="s">
        <v>940</v>
      </c>
      <c r="E27" s="44" t="s">
        <v>514</v>
      </c>
      <c r="F27" s="44" t="s">
        <v>516</v>
      </c>
      <c r="G27" s="275">
        <f>VLOOKUP(C27,'Margin Calculation'!F:Y,20,0)</f>
        <v>458.541</v>
      </c>
      <c r="H27" s="275">
        <f>VLOOKUP(C27,'Margin Calculation'!F:Z,21,0)</f>
        <v>513.56592000000001</v>
      </c>
      <c r="I27" s="43">
        <f t="shared" si="0"/>
        <v>127.70399999999999</v>
      </c>
      <c r="J27" s="60">
        <f t="shared" si="1"/>
        <v>39.907499999999999</v>
      </c>
      <c r="K27" s="43">
        <f t="shared" si="2"/>
        <v>39.907499999999999</v>
      </c>
      <c r="L27" s="43">
        <f t="shared" si="3"/>
        <v>39.907499999999999</v>
      </c>
      <c r="M27" s="275">
        <f t="shared" si="4"/>
        <v>760.99242000000004</v>
      </c>
      <c r="N27" s="253">
        <f t="shared" si="5"/>
        <v>121.75169491525423</v>
      </c>
      <c r="O27" s="253">
        <f t="shared" si="6"/>
        <v>-84.594114915254295</v>
      </c>
      <c r="P27" s="338">
        <f t="shared" si="7"/>
        <v>-0.10598774029349659</v>
      </c>
      <c r="Q27" s="248">
        <v>869</v>
      </c>
      <c r="R27" s="253">
        <f t="shared" si="8"/>
        <v>798.15</v>
      </c>
      <c r="S27" s="253">
        <f>VLOOKUP(C27,'Amazon Live Products'!E:AF,28,0)</f>
        <v>939</v>
      </c>
      <c r="T27" s="253">
        <v>2099</v>
      </c>
      <c r="U27" s="2">
        <f t="shared" si="9"/>
        <v>140.85</v>
      </c>
      <c r="V27" s="2">
        <f t="shared" si="10"/>
        <v>26.07</v>
      </c>
      <c r="W27" s="339">
        <f t="shared" si="11"/>
        <v>842.93</v>
      </c>
    </row>
    <row r="28" spans="1:23">
      <c r="A28" s="43">
        <f t="shared" si="12"/>
        <v>27</v>
      </c>
      <c r="B28" s="102" t="s">
        <v>934</v>
      </c>
      <c r="C28" s="69" t="s">
        <v>520</v>
      </c>
      <c r="D28" s="249" t="s">
        <v>521</v>
      </c>
      <c r="E28" s="44" t="s">
        <v>522</v>
      </c>
      <c r="F28" s="44" t="s">
        <v>524</v>
      </c>
      <c r="G28" s="275">
        <f>VLOOKUP(C28,'Margin Calculation'!F:Y,20,0)</f>
        <v>611.38800000000003</v>
      </c>
      <c r="H28" s="275">
        <f>VLOOKUP(C28,'Margin Calculation'!F:Z,21,0)</f>
        <v>684.75456000000008</v>
      </c>
      <c r="I28" s="43">
        <f t="shared" si="0"/>
        <v>190.26400000000001</v>
      </c>
      <c r="J28" s="60">
        <f t="shared" si="1"/>
        <v>59.45750000000001</v>
      </c>
      <c r="K28" s="43">
        <f t="shared" si="2"/>
        <v>59.45750000000001</v>
      </c>
      <c r="L28" s="43">
        <f t="shared" si="3"/>
        <v>59.45750000000001</v>
      </c>
      <c r="M28" s="275">
        <f t="shared" si="4"/>
        <v>1053.3910600000002</v>
      </c>
      <c r="N28" s="253">
        <f t="shared" si="5"/>
        <v>181.39576271186434</v>
      </c>
      <c r="O28" s="253">
        <f t="shared" si="6"/>
        <v>-45.636822711864397</v>
      </c>
      <c r="P28" s="338">
        <f t="shared" si="7"/>
        <v>-3.8377683817739053E-2</v>
      </c>
      <c r="Q28" s="248">
        <v>1190</v>
      </c>
      <c r="R28" s="253">
        <f t="shared" si="8"/>
        <v>1189.1500000000001</v>
      </c>
      <c r="S28" s="253">
        <f>VLOOKUP(C28,'Amazon Live Products'!E:AF,28,0)</f>
        <v>1399</v>
      </c>
      <c r="T28" s="253">
        <f>VLOOKUP(D28,Sheet6!AF:AG,2,0)</f>
        <v>2699</v>
      </c>
      <c r="U28" s="2">
        <f t="shared" si="9"/>
        <v>209.85</v>
      </c>
      <c r="V28" s="2">
        <f t="shared" si="10"/>
        <v>35.699999999999996</v>
      </c>
      <c r="W28" s="339">
        <f t="shared" si="11"/>
        <v>1154.3</v>
      </c>
    </row>
    <row r="29" spans="1:23">
      <c r="A29" s="43">
        <f t="shared" si="12"/>
        <v>28</v>
      </c>
      <c r="B29" s="69"/>
      <c r="C29" s="69" t="s">
        <v>525</v>
      </c>
      <c r="D29" s="249" t="s">
        <v>526</v>
      </c>
      <c r="E29" s="44" t="s">
        <v>527</v>
      </c>
      <c r="F29" s="69" t="s">
        <v>528</v>
      </c>
      <c r="G29" s="275">
        <f>VLOOKUP(C29,'Margin Calculation'!F:Y,20,0)</f>
        <v>346.06763999999998</v>
      </c>
      <c r="H29" s="275">
        <f>VLOOKUP(C29,'Margin Calculation'!F:Z,21,0)</f>
        <v>408.35981519999996</v>
      </c>
      <c r="I29" s="43">
        <f t="shared" si="0"/>
        <v>108.664</v>
      </c>
      <c r="J29" s="60">
        <f t="shared" si="1"/>
        <v>33.957500000000003</v>
      </c>
      <c r="K29" s="43">
        <f t="shared" si="2"/>
        <v>33.957500000000003</v>
      </c>
      <c r="L29" s="43">
        <f t="shared" si="3"/>
        <v>33.957500000000003</v>
      </c>
      <c r="M29" s="275">
        <f t="shared" si="4"/>
        <v>618.89631519999989</v>
      </c>
      <c r="N29" s="253">
        <f t="shared" si="5"/>
        <v>103.59915254237285</v>
      </c>
      <c r="O29" s="253">
        <f t="shared" si="6"/>
        <v>-43.345467742372762</v>
      </c>
      <c r="P29" s="338">
        <f t="shared" si="7"/>
        <v>-6.382311380751346E-2</v>
      </c>
      <c r="Q29" s="248"/>
      <c r="R29" s="253">
        <f t="shared" si="8"/>
        <v>679.15</v>
      </c>
      <c r="S29" s="253">
        <f>VLOOKUP(C29,'Amazon Live Products'!E:AF,28,0)</f>
        <v>799</v>
      </c>
      <c r="T29" s="253">
        <f>VLOOKUP(D29,Sheet6!AF:AG,2,0)</f>
        <v>1499</v>
      </c>
      <c r="U29" s="2">
        <f t="shared" si="9"/>
        <v>119.85</v>
      </c>
      <c r="V29" s="2">
        <f t="shared" si="10"/>
        <v>0</v>
      </c>
      <c r="W29" s="339">
        <f t="shared" si="11"/>
        <v>0</v>
      </c>
    </row>
    <row r="30" spans="1:23">
      <c r="A30" s="43">
        <f t="shared" si="12"/>
        <v>29</v>
      </c>
      <c r="B30" s="69" t="s">
        <v>934</v>
      </c>
      <c r="C30" s="69" t="s">
        <v>529</v>
      </c>
      <c r="D30" s="249" t="s">
        <v>530</v>
      </c>
      <c r="E30" s="44" t="s">
        <v>531</v>
      </c>
      <c r="F30" s="69" t="s">
        <v>532</v>
      </c>
      <c r="G30" s="275">
        <f>VLOOKUP(C30,'Margin Calculation'!F:Y,20,0)</f>
        <v>352.78740000000005</v>
      </c>
      <c r="H30" s="275">
        <f>VLOOKUP(C30,'Margin Calculation'!F:Z,21,0)</f>
        <v>416.28913200000005</v>
      </c>
      <c r="I30" s="43">
        <f t="shared" si="0"/>
        <v>95.744</v>
      </c>
      <c r="J30" s="60">
        <f t="shared" si="1"/>
        <v>29.92</v>
      </c>
      <c r="K30" s="43">
        <f t="shared" si="2"/>
        <v>29.92</v>
      </c>
      <c r="L30" s="43">
        <f t="shared" si="3"/>
        <v>29.92</v>
      </c>
      <c r="M30" s="275">
        <f t="shared" si="4"/>
        <v>601.7931319999999</v>
      </c>
      <c r="N30" s="253">
        <f t="shared" si="5"/>
        <v>91.281355932203383</v>
      </c>
      <c r="O30" s="253">
        <f t="shared" si="6"/>
        <v>-94.674487932203306</v>
      </c>
      <c r="P30" s="338">
        <f t="shared" si="7"/>
        <v>-0.15821271379044671</v>
      </c>
      <c r="Q30" s="248">
        <v>595</v>
      </c>
      <c r="R30" s="253">
        <f t="shared" si="8"/>
        <v>598.4</v>
      </c>
      <c r="S30" s="253">
        <f>VLOOKUP(C30,'Amazon Live Products'!E:AF,28,0)</f>
        <v>704</v>
      </c>
      <c r="T30" s="253">
        <f>VLOOKUP(D30,Sheet6!AF:AG,2,0)</f>
        <v>1499</v>
      </c>
      <c r="U30" s="2">
        <f t="shared" si="9"/>
        <v>105.6</v>
      </c>
      <c r="V30" s="2">
        <f t="shared" si="10"/>
        <v>17.849999999999998</v>
      </c>
      <c r="W30" s="339">
        <f t="shared" si="11"/>
        <v>577.15</v>
      </c>
    </row>
    <row r="31" spans="1:23">
      <c r="A31" s="43">
        <f t="shared" si="12"/>
        <v>30</v>
      </c>
      <c r="B31" s="69" t="s">
        <v>934</v>
      </c>
      <c r="C31" s="102" t="s">
        <v>543</v>
      </c>
      <c r="D31" s="249" t="s">
        <v>544</v>
      </c>
      <c r="E31" s="44" t="s">
        <v>545</v>
      </c>
      <c r="F31" s="69" t="s">
        <v>547</v>
      </c>
      <c r="G31" s="275">
        <f>VLOOKUP(C31,'Margin Calculation'!F:Y,20,0)</f>
        <v>611.38800000000003</v>
      </c>
      <c r="H31" s="275">
        <f>VLOOKUP(C31,'Margin Calculation'!F:Z,21,0)</f>
        <v>721.43784000000005</v>
      </c>
      <c r="I31" s="43">
        <f t="shared" si="0"/>
        <v>163.06399999999999</v>
      </c>
      <c r="J31" s="60">
        <f t="shared" si="1"/>
        <v>50.957500000000003</v>
      </c>
      <c r="K31" s="43">
        <f t="shared" si="2"/>
        <v>50.957500000000003</v>
      </c>
      <c r="L31" s="43">
        <f t="shared" si="3"/>
        <v>50.957500000000003</v>
      </c>
      <c r="M31" s="275">
        <f t="shared" si="4"/>
        <v>1037.3743400000001</v>
      </c>
      <c r="N31" s="253">
        <f t="shared" si="5"/>
        <v>155.4635593220338</v>
      </c>
      <c r="O31" s="253">
        <f t="shared" si="6"/>
        <v>-173.6878993220339</v>
      </c>
      <c r="P31" s="338">
        <f t="shared" si="7"/>
        <v>-0.17042427446600983</v>
      </c>
      <c r="Q31" s="248">
        <v>867</v>
      </c>
      <c r="R31" s="253">
        <f t="shared" si="8"/>
        <v>1019.15</v>
      </c>
      <c r="S31" s="253">
        <v>1199</v>
      </c>
      <c r="T31" s="253">
        <f>VLOOKUP(D31,Sheet6!AF:AG,2,0)</f>
        <v>2999</v>
      </c>
      <c r="U31" s="2">
        <f t="shared" si="9"/>
        <v>179.85</v>
      </c>
      <c r="V31" s="2">
        <f t="shared" si="10"/>
        <v>26.009999999999998</v>
      </c>
      <c r="W31" s="339">
        <f t="shared" si="11"/>
        <v>840.99</v>
      </c>
    </row>
    <row r="32" spans="1:23">
      <c r="A32" s="43">
        <f t="shared" si="12"/>
        <v>31</v>
      </c>
      <c r="B32" s="69" t="s">
        <v>934</v>
      </c>
      <c r="C32" s="44" t="s">
        <v>557</v>
      </c>
      <c r="D32" s="44" t="s">
        <v>558</v>
      </c>
      <c r="E32" s="43" t="s">
        <v>559</v>
      </c>
      <c r="F32" s="43" t="s">
        <v>561</v>
      </c>
      <c r="G32" s="275">
        <f>VLOOKUP(C32,'Margin Calculation'!F:Y,20,0)</f>
        <v>447.18074999999999</v>
      </c>
      <c r="H32" s="275">
        <f>VLOOKUP(C32,'Margin Calculation'!F:Z,21,0)</f>
        <v>527.67328499999996</v>
      </c>
      <c r="I32" s="43">
        <f t="shared" si="0"/>
        <v>169.864</v>
      </c>
      <c r="J32" s="60">
        <f t="shared" si="1"/>
        <v>53.08250000000001</v>
      </c>
      <c r="K32" s="43">
        <f t="shared" si="2"/>
        <v>53.08250000000001</v>
      </c>
      <c r="L32" s="43">
        <f t="shared" si="3"/>
        <v>53.08250000000001</v>
      </c>
      <c r="M32" s="275">
        <f t="shared" si="4"/>
        <v>856.78478499999994</v>
      </c>
      <c r="N32" s="253">
        <f t="shared" si="5"/>
        <v>161.94661016949146</v>
      </c>
      <c r="O32" s="253">
        <f t="shared" si="6"/>
        <v>42.918604830508684</v>
      </c>
      <c r="P32" s="338">
        <f t="shared" si="7"/>
        <v>4.0426322074609035E-2</v>
      </c>
      <c r="Q32" s="248">
        <v>1062</v>
      </c>
      <c r="R32" s="253">
        <f t="shared" si="8"/>
        <v>1061.6500000000001</v>
      </c>
      <c r="S32" s="253">
        <f>VLOOKUP(C32,'Amazon Live Products'!E:AF,28,0)</f>
        <v>1249</v>
      </c>
      <c r="T32" s="253">
        <f>VLOOKUP(D32,Sheet6!AF:AG,2,0)</f>
        <v>2999</v>
      </c>
      <c r="U32" s="2">
        <f t="shared" si="9"/>
        <v>187.35</v>
      </c>
      <c r="V32" s="2">
        <f t="shared" si="10"/>
        <v>31.86</v>
      </c>
      <c r="W32" s="339">
        <f t="shared" si="11"/>
        <v>1030.1400000000001</v>
      </c>
    </row>
    <row r="33" spans="1:23">
      <c r="A33" s="43">
        <f t="shared" si="12"/>
        <v>32</v>
      </c>
      <c r="B33" s="44" t="s">
        <v>934</v>
      </c>
      <c r="C33" s="44" t="s">
        <v>562</v>
      </c>
      <c r="D33" s="75" t="s">
        <v>563</v>
      </c>
      <c r="E33" s="43" t="s">
        <v>564</v>
      </c>
      <c r="F33" s="43" t="s">
        <v>565</v>
      </c>
      <c r="G33" s="275">
        <f>VLOOKUP(C33,'Margin Calculation'!F:Y,20,0)</f>
        <v>577.89936</v>
      </c>
      <c r="H33" s="275">
        <f>VLOOKUP(C33,'Margin Calculation'!F:Z,21,0)</f>
        <v>681.92124479999995</v>
      </c>
      <c r="I33" s="43">
        <f t="shared" si="0"/>
        <v>163.06399999999999</v>
      </c>
      <c r="J33" s="60">
        <f t="shared" si="1"/>
        <v>50.957500000000003</v>
      </c>
      <c r="K33" s="43">
        <f t="shared" si="2"/>
        <v>50.957500000000003</v>
      </c>
      <c r="L33" s="43">
        <f t="shared" si="3"/>
        <v>50.957500000000003</v>
      </c>
      <c r="M33" s="275">
        <f t="shared" si="4"/>
        <v>997.85774479999986</v>
      </c>
      <c r="N33" s="253">
        <f t="shared" si="5"/>
        <v>155.4635593220338</v>
      </c>
      <c r="O33" s="253">
        <f t="shared" si="6"/>
        <v>-134.17130412203369</v>
      </c>
      <c r="P33" s="338">
        <f t="shared" si="7"/>
        <v>-0.1316502027395709</v>
      </c>
      <c r="Q33" s="248">
        <v>1304</v>
      </c>
      <c r="R33" s="253">
        <f t="shared" si="8"/>
        <v>1019.15</v>
      </c>
      <c r="S33" s="253">
        <f>VLOOKUP(C33,'Amazon Live Products'!E:AF,28,0)</f>
        <v>1199</v>
      </c>
      <c r="T33" s="253">
        <f>VLOOKUP(D33,Sheet6!AF:AG,2,0)</f>
        <v>1699</v>
      </c>
      <c r="U33" s="2">
        <f t="shared" si="9"/>
        <v>179.85</v>
      </c>
      <c r="V33" s="2">
        <f t="shared" si="10"/>
        <v>39.119999999999997</v>
      </c>
      <c r="W33" s="339">
        <f t="shared" si="11"/>
        <v>1264.8800000000001</v>
      </c>
    </row>
    <row r="34" spans="1:23">
      <c r="A34" s="43">
        <f t="shared" si="12"/>
        <v>33</v>
      </c>
      <c r="B34" s="44" t="s">
        <v>934</v>
      </c>
      <c r="C34" s="44" t="s">
        <v>570</v>
      </c>
      <c r="D34" s="75" t="s">
        <v>571</v>
      </c>
      <c r="E34" s="43" t="s">
        <v>572</v>
      </c>
      <c r="F34" s="43" t="s">
        <v>574</v>
      </c>
      <c r="G34" s="275">
        <f>VLOOKUP(C34,'Margin Calculation'!F:Y,20,0)</f>
        <v>744.77340000000015</v>
      </c>
      <c r="H34" s="275">
        <f>VLOOKUP(C34,'Margin Calculation'!F:Z,21,0)</f>
        <v>878.83261200000015</v>
      </c>
      <c r="I34" s="43">
        <f t="shared" si="0"/>
        <v>231.06400000000002</v>
      </c>
      <c r="J34" s="60">
        <f t="shared" si="1"/>
        <v>72.20750000000001</v>
      </c>
      <c r="K34" s="43">
        <f t="shared" si="2"/>
        <v>72.20750000000001</v>
      </c>
      <c r="L34" s="43">
        <f t="shared" si="3"/>
        <v>72.20750000000001</v>
      </c>
      <c r="M34" s="275">
        <f t="shared" si="4"/>
        <v>1326.5191120000002</v>
      </c>
      <c r="N34" s="253">
        <f t="shared" si="5"/>
        <v>220.29406779661008</v>
      </c>
      <c r="O34" s="253">
        <f t="shared" si="6"/>
        <v>-102.66317979661017</v>
      </c>
      <c r="P34" s="338">
        <f t="shared" si="7"/>
        <v>-7.1089000309254691E-2</v>
      </c>
      <c r="Q34" s="248">
        <v>1360</v>
      </c>
      <c r="R34" s="253">
        <f t="shared" si="8"/>
        <v>1444.15</v>
      </c>
      <c r="S34" s="253">
        <f>VLOOKUP(C34,'Amazon Live Products'!E:AF,28,0)</f>
        <v>1699</v>
      </c>
      <c r="T34" s="253">
        <f>VLOOKUP(D34,Sheet6!AF:AG,2,0)</f>
        <v>2499</v>
      </c>
      <c r="U34" s="2">
        <f t="shared" si="9"/>
        <v>254.85</v>
      </c>
      <c r="V34" s="2">
        <f t="shared" si="10"/>
        <v>40.799999999999997</v>
      </c>
      <c r="W34" s="339">
        <f t="shared" si="11"/>
        <v>1319.2</v>
      </c>
    </row>
    <row r="35" spans="1:23">
      <c r="A35" s="43">
        <f t="shared" si="12"/>
        <v>34</v>
      </c>
      <c r="B35" s="44" t="s">
        <v>934</v>
      </c>
      <c r="C35" s="44" t="s">
        <v>575</v>
      </c>
      <c r="D35" s="75" t="s">
        <v>576</v>
      </c>
      <c r="E35" s="43" t="s">
        <v>577</v>
      </c>
      <c r="F35" s="43" t="s">
        <v>579</v>
      </c>
      <c r="G35" s="275">
        <f>VLOOKUP(C35,'Margin Calculation'!F:Y,20,0)</f>
        <v>710.05464000000006</v>
      </c>
      <c r="H35" s="275">
        <f>VLOOKUP(C35,'Margin Calculation'!F:Z,21,0)</f>
        <v>837.86447520000002</v>
      </c>
      <c r="I35" s="43">
        <f t="shared" si="0"/>
        <v>258.26400000000001</v>
      </c>
      <c r="J35" s="60">
        <f t="shared" si="1"/>
        <v>80.70750000000001</v>
      </c>
      <c r="K35" s="43">
        <f t="shared" si="2"/>
        <v>80.70750000000001</v>
      </c>
      <c r="L35" s="43">
        <f t="shared" si="3"/>
        <v>80.70750000000001</v>
      </c>
      <c r="M35" s="275">
        <f t="shared" si="4"/>
        <v>1338.2509752000001</v>
      </c>
      <c r="N35" s="253">
        <f t="shared" si="5"/>
        <v>246.22627118644073</v>
      </c>
      <c r="O35" s="253">
        <f t="shared" si="6"/>
        <v>29.67275361355928</v>
      </c>
      <c r="P35" s="338">
        <f t="shared" si="7"/>
        <v>1.8382897260824135E-2</v>
      </c>
      <c r="Q35" s="248">
        <v>1870</v>
      </c>
      <c r="R35" s="253">
        <f t="shared" si="8"/>
        <v>1614.15</v>
      </c>
      <c r="S35" s="253">
        <f>VLOOKUP(C35,'Amazon Live Products'!E:AF,28,0)</f>
        <v>1899</v>
      </c>
      <c r="T35" s="253">
        <f>VLOOKUP(D35,Sheet6!AF:AG,2,0)</f>
        <v>3599</v>
      </c>
      <c r="U35" s="2">
        <f t="shared" si="9"/>
        <v>284.84999999999997</v>
      </c>
      <c r="V35" s="2">
        <f t="shared" si="10"/>
        <v>56.1</v>
      </c>
      <c r="W35" s="339">
        <f t="shared" si="11"/>
        <v>1813.9</v>
      </c>
    </row>
    <row r="36" spans="1:23">
      <c r="A36" s="43">
        <f t="shared" si="12"/>
        <v>35</v>
      </c>
      <c r="B36" s="44" t="s">
        <v>934</v>
      </c>
      <c r="C36" s="44" t="s">
        <v>580</v>
      </c>
      <c r="D36" s="75" t="s">
        <v>581</v>
      </c>
      <c r="E36" s="43" t="s">
        <v>582</v>
      </c>
      <c r="F36" s="43" t="s">
        <v>583</v>
      </c>
      <c r="G36" s="275">
        <f>VLOOKUP(C36,'Margin Calculation'!F:Y,20,0)</f>
        <v>827.65044</v>
      </c>
      <c r="H36" s="275">
        <f>VLOOKUP(C36,'Margin Calculation'!F:Z,21,0)</f>
        <v>976.62751919999994</v>
      </c>
      <c r="I36" s="43">
        <f t="shared" si="0"/>
        <v>339.86400000000003</v>
      </c>
      <c r="J36" s="60">
        <f t="shared" si="1"/>
        <v>106.20750000000001</v>
      </c>
      <c r="K36" s="43">
        <f t="shared" si="2"/>
        <v>106.20750000000001</v>
      </c>
      <c r="L36" s="43">
        <f t="shared" si="3"/>
        <v>106.20750000000001</v>
      </c>
      <c r="M36" s="275">
        <f t="shared" si="4"/>
        <v>1635.1140191999998</v>
      </c>
      <c r="N36" s="253">
        <f t="shared" si="5"/>
        <v>324.02288135593221</v>
      </c>
      <c r="O36" s="253">
        <f t="shared" si="6"/>
        <v>165.01309944406808</v>
      </c>
      <c r="P36" s="338">
        <f t="shared" si="7"/>
        <v>7.7684296986591378E-2</v>
      </c>
      <c r="Q36" s="248">
        <v>2393</v>
      </c>
      <c r="R36" s="253">
        <f t="shared" si="8"/>
        <v>2124.15</v>
      </c>
      <c r="S36" s="253">
        <f>VLOOKUP(C36,'Amazon Live Products'!E:AF,28,0)</f>
        <v>2499</v>
      </c>
      <c r="T36" s="253">
        <f>VLOOKUP(D36,Sheet6!AF:AG,2,0)</f>
        <v>3599</v>
      </c>
      <c r="U36" s="2">
        <f t="shared" si="9"/>
        <v>374.84999999999997</v>
      </c>
      <c r="V36" s="2">
        <f t="shared" si="10"/>
        <v>71.789999999999992</v>
      </c>
      <c r="W36" s="339">
        <f t="shared" si="11"/>
        <v>2321.21</v>
      </c>
    </row>
    <row r="37" spans="1:23">
      <c r="A37" s="43">
        <f t="shared" si="12"/>
        <v>36</v>
      </c>
      <c r="B37" s="44" t="s">
        <v>934</v>
      </c>
      <c r="C37" s="44" t="s">
        <v>584</v>
      </c>
      <c r="D37" s="75" t="s">
        <v>585</v>
      </c>
      <c r="E37" s="43" t="s">
        <v>586</v>
      </c>
      <c r="F37" s="43" t="s">
        <v>588</v>
      </c>
      <c r="G37" s="275">
        <f>VLOOKUP(C37,'Margin Calculation'!F:Y,20,0)</f>
        <v>1151.4474000000002</v>
      </c>
      <c r="H37" s="275">
        <f>VLOOKUP(C37,'Margin Calculation'!F:Z,21,0)</f>
        <v>1358.7079320000003</v>
      </c>
      <c r="I37" s="43">
        <f t="shared" si="0"/>
        <v>448.66400000000004</v>
      </c>
      <c r="J37" s="60">
        <f t="shared" si="1"/>
        <v>140.20750000000001</v>
      </c>
      <c r="K37" s="43">
        <f t="shared" si="2"/>
        <v>140.20750000000001</v>
      </c>
      <c r="L37" s="43">
        <f t="shared" si="3"/>
        <v>140.20750000000001</v>
      </c>
      <c r="M37" s="275">
        <f t="shared" si="4"/>
        <v>2227.9944320000004</v>
      </c>
      <c r="N37" s="253">
        <f t="shared" si="5"/>
        <v>427.75169491525412</v>
      </c>
      <c r="O37" s="253">
        <f t="shared" si="6"/>
        <v>148.40387308474556</v>
      </c>
      <c r="P37" s="338">
        <f t="shared" si="7"/>
        <v>5.2922943881299339E-2</v>
      </c>
      <c r="Q37" s="248">
        <v>2805</v>
      </c>
      <c r="R37" s="253">
        <f t="shared" si="8"/>
        <v>2804.15</v>
      </c>
      <c r="S37" s="253">
        <f>VLOOKUP(C37,'Amazon Live Products'!E:AF,28,0)</f>
        <v>3299</v>
      </c>
      <c r="T37" s="253">
        <f>VLOOKUP(D37,Sheet6!AF:AG,2,0)</f>
        <v>6599</v>
      </c>
      <c r="U37" s="2">
        <f t="shared" si="9"/>
        <v>494.84999999999997</v>
      </c>
      <c r="V37" s="2">
        <f t="shared" si="10"/>
        <v>84.149999999999991</v>
      </c>
      <c r="W37" s="339">
        <f t="shared" si="11"/>
        <v>2720.85</v>
      </c>
    </row>
    <row r="38" spans="1:23">
      <c r="A38" s="43">
        <f t="shared" si="12"/>
        <v>37</v>
      </c>
      <c r="B38" s="44" t="s">
        <v>934</v>
      </c>
      <c r="C38" s="44" t="s">
        <v>589</v>
      </c>
      <c r="D38" s="75" t="s">
        <v>590</v>
      </c>
      <c r="E38" s="43" t="s">
        <v>591</v>
      </c>
      <c r="F38" s="43" t="s">
        <v>593</v>
      </c>
      <c r="G38" s="275">
        <f>VLOOKUP(C38,'Margin Calculation'!F:Y,20,0)</f>
        <v>540.05939999999998</v>
      </c>
      <c r="H38" s="275">
        <f>VLOOKUP(C38,'Margin Calculation'!F:Z,21,0)</f>
        <v>637.27009199999998</v>
      </c>
      <c r="I38" s="43">
        <f t="shared" si="0"/>
        <v>271.86400000000003</v>
      </c>
      <c r="J38" s="60">
        <f t="shared" si="1"/>
        <v>84.95750000000001</v>
      </c>
      <c r="K38" s="43">
        <f t="shared" si="2"/>
        <v>84.95750000000001</v>
      </c>
      <c r="L38" s="43">
        <f t="shared" si="3"/>
        <v>84.95750000000001</v>
      </c>
      <c r="M38" s="275">
        <f t="shared" si="4"/>
        <v>1164.006592</v>
      </c>
      <c r="N38" s="253">
        <f t="shared" si="5"/>
        <v>259.19237288135582</v>
      </c>
      <c r="O38" s="253">
        <f t="shared" si="6"/>
        <v>275.95103511864431</v>
      </c>
      <c r="P38" s="338">
        <f t="shared" si="7"/>
        <v>0.16240534097557266</v>
      </c>
      <c r="Q38" s="248">
        <v>1742</v>
      </c>
      <c r="R38" s="253">
        <f t="shared" si="8"/>
        <v>1699.15</v>
      </c>
      <c r="S38" s="253">
        <f>VLOOKUP(C38,'Amazon Live Products'!E:AF,28,0)</f>
        <v>1999</v>
      </c>
      <c r="T38" s="253">
        <f>VLOOKUP(D38,Sheet6!AF:AG,2,0)</f>
        <v>2999</v>
      </c>
      <c r="U38" s="2">
        <f t="shared" si="9"/>
        <v>299.84999999999997</v>
      </c>
      <c r="V38" s="2">
        <f t="shared" si="10"/>
        <v>52.26</v>
      </c>
      <c r="W38" s="339">
        <f t="shared" si="11"/>
        <v>1689.74</v>
      </c>
    </row>
    <row r="39" spans="1:23">
      <c r="A39" s="43">
        <f t="shared" si="12"/>
        <v>38</v>
      </c>
      <c r="B39" s="44" t="s">
        <v>953</v>
      </c>
      <c r="C39" s="44" t="s">
        <v>594</v>
      </c>
      <c r="D39" s="75" t="s">
        <v>595</v>
      </c>
      <c r="E39" s="43" t="s">
        <v>596</v>
      </c>
      <c r="F39" s="43" t="s">
        <v>598</v>
      </c>
      <c r="G39" s="275">
        <f>VLOOKUP(C39,'Margin Calculation'!F:Y,20,0)</f>
        <v>864.54944999999998</v>
      </c>
      <c r="H39" s="275">
        <f>VLOOKUP(C39,'Margin Calculation'!F:Z,21,0)</f>
        <v>1020.1683509999999</v>
      </c>
      <c r="I39" s="43">
        <f t="shared" si="0"/>
        <v>231.06400000000002</v>
      </c>
      <c r="J39" s="60">
        <f t="shared" si="1"/>
        <v>72.20750000000001</v>
      </c>
      <c r="K39" s="43">
        <f t="shared" si="2"/>
        <v>72.20750000000001</v>
      </c>
      <c r="L39" s="43">
        <f t="shared" si="3"/>
        <v>72.20750000000001</v>
      </c>
      <c r="M39" s="275">
        <f t="shared" si="4"/>
        <v>1467.8548509999998</v>
      </c>
      <c r="N39" s="253">
        <f t="shared" si="5"/>
        <v>220.29406779661008</v>
      </c>
      <c r="O39" s="253">
        <f t="shared" si="6"/>
        <v>-243.99891879660981</v>
      </c>
      <c r="P39" s="338">
        <f t="shared" si="7"/>
        <v>-0.16895676958529918</v>
      </c>
      <c r="Q39" s="248"/>
      <c r="R39" s="253">
        <f t="shared" si="8"/>
        <v>1444.15</v>
      </c>
      <c r="S39" s="253">
        <f>VLOOKUP(C39,'Amazon Live Products'!E:AF,28,0)</f>
        <v>1699</v>
      </c>
      <c r="T39" s="253">
        <f>VLOOKUP(D39,Sheet6!AF:AG,2,0)</f>
        <v>3399</v>
      </c>
      <c r="U39" s="2">
        <f t="shared" si="9"/>
        <v>254.85</v>
      </c>
      <c r="V39" s="2">
        <f t="shared" si="10"/>
        <v>0</v>
      </c>
      <c r="W39" s="339">
        <f t="shared" si="11"/>
        <v>0</v>
      </c>
    </row>
    <row r="40" spans="1:23">
      <c r="A40" s="43">
        <f t="shared" si="12"/>
        <v>39</v>
      </c>
      <c r="B40" s="44" t="s">
        <v>934</v>
      </c>
      <c r="C40" s="44" t="s">
        <v>599</v>
      </c>
      <c r="D40" s="75" t="s">
        <v>600</v>
      </c>
      <c r="E40" s="43" t="s">
        <v>601</v>
      </c>
      <c r="F40" s="43" t="s">
        <v>602</v>
      </c>
      <c r="G40" s="275">
        <f>VLOOKUP(C40,'Margin Calculation'!F:Y,20,0)</f>
        <v>845.75340000000006</v>
      </c>
      <c r="H40" s="275">
        <f>VLOOKUP(C40,'Margin Calculation'!F:Z,21,0)</f>
        <v>997.989012</v>
      </c>
      <c r="I40" s="43">
        <f t="shared" si="0"/>
        <v>271.86400000000003</v>
      </c>
      <c r="J40" s="60">
        <f t="shared" si="1"/>
        <v>84.95750000000001</v>
      </c>
      <c r="K40" s="43">
        <f t="shared" si="2"/>
        <v>84.95750000000001</v>
      </c>
      <c r="L40" s="43">
        <f t="shared" si="3"/>
        <v>84.95750000000001</v>
      </c>
      <c r="M40" s="275">
        <f t="shared" si="4"/>
        <v>1524.725512</v>
      </c>
      <c r="N40" s="253">
        <f t="shared" si="5"/>
        <v>259.19237288135582</v>
      </c>
      <c r="O40" s="253">
        <f t="shared" si="6"/>
        <v>-84.767884881355712</v>
      </c>
      <c r="P40" s="338">
        <f t="shared" si="7"/>
        <v>-4.9888405897864058E-2</v>
      </c>
      <c r="Q40" s="248">
        <v>1699</v>
      </c>
      <c r="R40" s="253">
        <f t="shared" si="8"/>
        <v>1699.15</v>
      </c>
      <c r="S40" s="253">
        <f>VLOOKUP(C40,'Amazon Live Products'!E:AF,28,0)</f>
        <v>1999</v>
      </c>
      <c r="T40" s="253">
        <f>VLOOKUP(D40,Sheet6!AF:AG,2,0)</f>
        <v>3699</v>
      </c>
      <c r="U40" s="2">
        <f t="shared" si="9"/>
        <v>299.84999999999997</v>
      </c>
      <c r="V40" s="2">
        <f t="shared" si="10"/>
        <v>50.97</v>
      </c>
      <c r="W40" s="339">
        <f t="shared" si="11"/>
        <v>1648.03</v>
      </c>
    </row>
    <row r="41" spans="1:23">
      <c r="A41" s="43">
        <f t="shared" si="12"/>
        <v>40</v>
      </c>
      <c r="B41" s="44" t="s">
        <v>934</v>
      </c>
      <c r="C41" s="44" t="s">
        <v>603</v>
      </c>
      <c r="D41" s="75" t="s">
        <v>604</v>
      </c>
      <c r="E41" s="43" t="s">
        <v>605</v>
      </c>
      <c r="F41" s="43" t="s">
        <v>607</v>
      </c>
      <c r="G41" s="275">
        <f>VLOOKUP(C41,'Margin Calculation'!F:Y,20,0)</f>
        <v>1040.4428399999999</v>
      </c>
      <c r="H41" s="275">
        <f>VLOOKUP(C41,'Margin Calculation'!F:Z,21,0)</f>
        <v>1227.7225511999998</v>
      </c>
      <c r="I41" s="43">
        <f t="shared" si="0"/>
        <v>367.06400000000002</v>
      </c>
      <c r="J41" s="60">
        <f t="shared" si="1"/>
        <v>114.70750000000001</v>
      </c>
      <c r="K41" s="43">
        <f t="shared" si="2"/>
        <v>114.70750000000001</v>
      </c>
      <c r="L41" s="43">
        <f t="shared" si="3"/>
        <v>114.70750000000001</v>
      </c>
      <c r="M41" s="275">
        <f t="shared" si="4"/>
        <v>1938.9090511999998</v>
      </c>
      <c r="N41" s="253">
        <f t="shared" si="5"/>
        <v>349.95508474576263</v>
      </c>
      <c r="O41" s="253">
        <f t="shared" si="6"/>
        <v>5.2858640542376634</v>
      </c>
      <c r="P41" s="338">
        <f t="shared" si="7"/>
        <v>2.3040620945612377E-3</v>
      </c>
      <c r="Q41" s="248">
        <v>2210</v>
      </c>
      <c r="R41" s="253">
        <f t="shared" si="8"/>
        <v>2294.15</v>
      </c>
      <c r="S41" s="253">
        <f>VLOOKUP(C41,'Amazon Live Products'!E:AF,28,0)</f>
        <v>2699</v>
      </c>
      <c r="T41" s="253">
        <f>VLOOKUP(D41,Sheet6!AF:AG,2,0)</f>
        <v>4999</v>
      </c>
      <c r="U41" s="2">
        <f t="shared" si="9"/>
        <v>404.84999999999997</v>
      </c>
      <c r="V41" s="2">
        <f t="shared" si="10"/>
        <v>66.3</v>
      </c>
      <c r="W41" s="339">
        <f t="shared" si="11"/>
        <v>2143.6999999999998</v>
      </c>
    </row>
    <row r="42" spans="1:23">
      <c r="A42" s="43">
        <f t="shared" si="12"/>
        <v>41</v>
      </c>
      <c r="B42" s="44" t="s">
        <v>934</v>
      </c>
      <c r="C42" s="44" t="s">
        <v>608</v>
      </c>
      <c r="D42" s="44" t="s">
        <v>609</v>
      </c>
      <c r="E42" s="43" t="s">
        <v>610</v>
      </c>
      <c r="F42" s="43" t="s">
        <v>612</v>
      </c>
      <c r="G42" s="275">
        <f>VLOOKUP(C42,'Margin Calculation'!F:Y,20,0)</f>
        <v>1205.0769600000001</v>
      </c>
      <c r="H42" s="275">
        <f>VLOOKUP(C42,'Margin Calculation'!F:Z,21,0)</f>
        <v>1421.9908128</v>
      </c>
      <c r="I42" s="43">
        <f t="shared" si="0"/>
        <v>339.86400000000003</v>
      </c>
      <c r="J42" s="60">
        <f t="shared" si="1"/>
        <v>106.20750000000001</v>
      </c>
      <c r="K42" s="43">
        <f t="shared" si="2"/>
        <v>106.20750000000001</v>
      </c>
      <c r="L42" s="43">
        <f t="shared" si="3"/>
        <v>106.20750000000001</v>
      </c>
      <c r="M42" s="275">
        <f t="shared" si="4"/>
        <v>2080.4773128000002</v>
      </c>
      <c r="N42" s="253">
        <f t="shared" si="5"/>
        <v>324.02288135593221</v>
      </c>
      <c r="O42" s="253">
        <f t="shared" si="6"/>
        <v>-280.35019415593229</v>
      </c>
      <c r="P42" s="338">
        <f t="shared" si="7"/>
        <v>-0.13198229605062367</v>
      </c>
      <c r="Q42" s="248">
        <v>2124</v>
      </c>
      <c r="R42" s="253">
        <f t="shared" si="8"/>
        <v>2124.15</v>
      </c>
      <c r="S42" s="253">
        <f>VLOOKUP(C42,'Amazon Live Products'!E:AF,28,0)</f>
        <v>2499</v>
      </c>
      <c r="T42" s="253">
        <f>VLOOKUP(D42,Sheet6!AF:AG,2,0)</f>
        <v>4299</v>
      </c>
      <c r="U42" s="2">
        <f t="shared" si="9"/>
        <v>374.84999999999997</v>
      </c>
      <c r="V42" s="2">
        <f t="shared" si="10"/>
        <v>63.72</v>
      </c>
      <c r="W42" s="339">
        <f t="shared" si="11"/>
        <v>2060.2800000000002</v>
      </c>
    </row>
    <row r="43" spans="1:23">
      <c r="A43" s="43">
        <f t="shared" si="12"/>
        <v>42</v>
      </c>
      <c r="B43" s="44" t="s">
        <v>934</v>
      </c>
      <c r="C43" s="44" t="s">
        <v>615</v>
      </c>
      <c r="D43" s="44" t="s">
        <v>616</v>
      </c>
      <c r="E43" s="43" t="s">
        <v>617</v>
      </c>
      <c r="F43" s="43" t="s">
        <v>620</v>
      </c>
      <c r="G43" s="275">
        <f>VLOOKUP(C43,'Margin Calculation'!F:Y,20,0)</f>
        <v>478.92060000000009</v>
      </c>
      <c r="H43" s="275">
        <f>VLOOKUP(C43,'Margin Calculation'!F:Z,21,0)</f>
        <v>536.39107200000012</v>
      </c>
      <c r="I43" s="43">
        <f t="shared" si="0"/>
        <v>173.4</v>
      </c>
      <c r="J43" s="60">
        <f t="shared" si="1"/>
        <v>54.1875</v>
      </c>
      <c r="K43" s="43">
        <f t="shared" si="2"/>
        <v>54.1875</v>
      </c>
      <c r="L43" s="43">
        <f t="shared" si="3"/>
        <v>54.1875</v>
      </c>
      <c r="M43" s="275">
        <f t="shared" si="4"/>
        <v>872.3535720000001</v>
      </c>
      <c r="N43" s="253">
        <f t="shared" si="5"/>
        <v>165.31779661016947</v>
      </c>
      <c r="O43" s="253">
        <f t="shared" si="6"/>
        <v>46.078631389830434</v>
      </c>
      <c r="P43" s="338">
        <f t="shared" si="7"/>
        <v>4.251776829511459E-2</v>
      </c>
      <c r="Q43" s="248">
        <v>1190</v>
      </c>
      <c r="R43" s="253">
        <f t="shared" si="8"/>
        <v>1083.75</v>
      </c>
      <c r="S43" s="253">
        <f>VLOOKUP(C43,'Amazon Live Products'!E:AF,28,0)</f>
        <v>1275</v>
      </c>
      <c r="T43" s="253">
        <f>VLOOKUP(D43,Sheet6!AF:AG,2,0)</f>
        <v>2499</v>
      </c>
      <c r="U43" s="2">
        <f t="shared" si="9"/>
        <v>191.25</v>
      </c>
      <c r="V43" s="2">
        <f t="shared" si="10"/>
        <v>35.699999999999996</v>
      </c>
      <c r="W43" s="339">
        <f t="shared" si="11"/>
        <v>1154.3</v>
      </c>
    </row>
    <row r="44" spans="1:23">
      <c r="A44" s="43">
        <f t="shared" si="12"/>
        <v>43</v>
      </c>
      <c r="B44" s="44" t="s">
        <v>934</v>
      </c>
      <c r="C44" s="44" t="s">
        <v>621</v>
      </c>
      <c r="D44" s="44" t="s">
        <v>622</v>
      </c>
      <c r="E44" s="43" t="s">
        <v>623</v>
      </c>
      <c r="F44" s="43" t="s">
        <v>624</v>
      </c>
      <c r="G44" s="275">
        <f>VLOOKUP(C44,'Margin Calculation'!F:Y,20,0)</f>
        <v>478.92060000000009</v>
      </c>
      <c r="H44" s="275">
        <f>VLOOKUP(C44,'Margin Calculation'!F:Z,21,0)</f>
        <v>536.39107200000012</v>
      </c>
      <c r="I44" s="43">
        <f t="shared" si="0"/>
        <v>176.66400000000002</v>
      </c>
      <c r="J44" s="60">
        <f t="shared" si="1"/>
        <v>55.20750000000001</v>
      </c>
      <c r="K44" s="43">
        <f t="shared" si="2"/>
        <v>55.20750000000001</v>
      </c>
      <c r="L44" s="43">
        <f t="shared" si="3"/>
        <v>55.20750000000001</v>
      </c>
      <c r="M44" s="275">
        <f t="shared" si="4"/>
        <v>878.67757200000005</v>
      </c>
      <c r="N44" s="253">
        <f t="shared" si="5"/>
        <v>168.42966101694913</v>
      </c>
      <c r="O44" s="253">
        <f t="shared" si="6"/>
        <v>57.04276698305091</v>
      </c>
      <c r="P44" s="338">
        <f t="shared" si="7"/>
        <v>5.1662153677535579E-2</v>
      </c>
      <c r="Q44" s="248">
        <v>1043</v>
      </c>
      <c r="R44" s="253">
        <f t="shared" si="8"/>
        <v>1104.1500000000001</v>
      </c>
      <c r="S44" s="253">
        <v>1299</v>
      </c>
      <c r="T44" s="253">
        <f>VLOOKUP(D44,Sheet6!AF:AG,2,0)</f>
        <v>2499</v>
      </c>
      <c r="U44" s="2">
        <f t="shared" si="9"/>
        <v>194.85</v>
      </c>
      <c r="V44" s="2">
        <f t="shared" si="10"/>
        <v>31.29</v>
      </c>
      <c r="W44" s="339">
        <f t="shared" si="11"/>
        <v>1011.71</v>
      </c>
    </row>
    <row r="45" spans="1:23">
      <c r="A45" s="43">
        <f t="shared" si="12"/>
        <v>44</v>
      </c>
      <c r="B45" s="44" t="s">
        <v>934</v>
      </c>
      <c r="C45" s="44" t="s">
        <v>625</v>
      </c>
      <c r="D45" s="75" t="s">
        <v>626</v>
      </c>
      <c r="E45" s="43" t="s">
        <v>627</v>
      </c>
      <c r="F45" s="43" t="s">
        <v>631</v>
      </c>
      <c r="G45" s="275">
        <f>VLOOKUP(C45,'Margin Calculation'!F:Y,20,0)</f>
        <v>1063.2964499999998</v>
      </c>
      <c r="H45" s="275">
        <f>VLOOKUP(C45,'Margin Calculation'!F:Z,21,0)</f>
        <v>1254.6898109999997</v>
      </c>
      <c r="I45" s="43">
        <f t="shared" si="0"/>
        <v>312.66400000000004</v>
      </c>
      <c r="J45" s="60">
        <f t="shared" si="1"/>
        <v>97.70750000000001</v>
      </c>
      <c r="K45" s="43">
        <f t="shared" si="2"/>
        <v>97.70750000000001</v>
      </c>
      <c r="L45" s="43">
        <f t="shared" si="3"/>
        <v>97.70750000000001</v>
      </c>
      <c r="M45" s="275">
        <f t="shared" si="4"/>
        <v>1860.4763109999997</v>
      </c>
      <c r="N45" s="253">
        <f t="shared" si="5"/>
        <v>298.09067796610157</v>
      </c>
      <c r="O45" s="253">
        <f t="shared" si="6"/>
        <v>-204.41698896610114</v>
      </c>
      <c r="P45" s="338">
        <f t="shared" si="7"/>
        <v>-0.10460660080654051</v>
      </c>
      <c r="Q45" s="248">
        <v>1955</v>
      </c>
      <c r="R45" s="253">
        <f t="shared" si="8"/>
        <v>1954.15</v>
      </c>
      <c r="S45" s="253">
        <f>VLOOKUP(C45,'Amazon Live Products'!E:AF,28,0)</f>
        <v>2299</v>
      </c>
      <c r="T45" s="253">
        <f>VLOOKUP(D45,Sheet6!AF:AG,2,0)</f>
        <v>4199</v>
      </c>
      <c r="U45" s="2">
        <f t="shared" si="9"/>
        <v>344.84999999999997</v>
      </c>
      <c r="V45" s="2">
        <f t="shared" si="10"/>
        <v>58.65</v>
      </c>
      <c r="W45" s="339">
        <f t="shared" si="11"/>
        <v>1896.35</v>
      </c>
    </row>
    <row r="46" spans="1:23">
      <c r="A46" s="43">
        <f t="shared" si="12"/>
        <v>45</v>
      </c>
      <c r="B46" s="44" t="s">
        <v>934</v>
      </c>
      <c r="C46" s="44" t="s">
        <v>632</v>
      </c>
      <c r="D46" s="75" t="s">
        <v>633</v>
      </c>
      <c r="E46" s="43" t="s">
        <v>634</v>
      </c>
      <c r="F46" s="43" t="s">
        <v>636</v>
      </c>
      <c r="G46" s="275">
        <f>VLOOKUP(C46,'Margin Calculation'!F:Y,20,0)</f>
        <v>414.3852</v>
      </c>
      <c r="H46" s="275">
        <f>VLOOKUP(C46,'Margin Calculation'!F:Z,21,0)</f>
        <v>488.97453599999994</v>
      </c>
      <c r="I46" s="43">
        <f t="shared" si="0"/>
        <v>107.44</v>
      </c>
      <c r="J46" s="60">
        <f t="shared" si="1"/>
        <v>33.575000000000003</v>
      </c>
      <c r="K46" s="43">
        <f t="shared" si="2"/>
        <v>33.575000000000003</v>
      </c>
      <c r="L46" s="43">
        <f t="shared" si="3"/>
        <v>33.575000000000003</v>
      </c>
      <c r="M46" s="275">
        <f t="shared" si="4"/>
        <v>697.13953600000013</v>
      </c>
      <c r="N46" s="253">
        <f t="shared" si="5"/>
        <v>102.43220338983053</v>
      </c>
      <c r="O46" s="253">
        <f t="shared" si="6"/>
        <v>-128.07173938983067</v>
      </c>
      <c r="P46" s="338">
        <f t="shared" si="7"/>
        <v>-0.19072485389401439</v>
      </c>
      <c r="Q46" s="248">
        <v>850</v>
      </c>
      <c r="R46" s="253">
        <f t="shared" si="8"/>
        <v>671.5</v>
      </c>
      <c r="S46" s="253">
        <f>VLOOKUP(C46,'Amazon Live Products'!E:AF,28,0)</f>
        <v>790</v>
      </c>
      <c r="T46" s="253">
        <f>VLOOKUP(D46,Sheet6!AF:AG,2,0)</f>
        <v>1499</v>
      </c>
      <c r="U46" s="2">
        <f t="shared" si="9"/>
        <v>118.5</v>
      </c>
      <c r="V46" s="2">
        <f t="shared" si="10"/>
        <v>25.5</v>
      </c>
      <c r="W46" s="339">
        <f t="shared" si="11"/>
        <v>824.5</v>
      </c>
    </row>
    <row r="47" spans="1:23">
      <c r="A47" s="43">
        <f t="shared" si="12"/>
        <v>46</v>
      </c>
      <c r="B47" s="44" t="s">
        <v>934</v>
      </c>
      <c r="C47" s="44" t="s">
        <v>947</v>
      </c>
      <c r="D47" s="75" t="s">
        <v>938</v>
      </c>
      <c r="E47" s="43" t="s">
        <v>639</v>
      </c>
      <c r="F47" s="43" t="s">
        <v>641</v>
      </c>
      <c r="G47" s="43" t="e">
        <f>VLOOKUP(C47,'Margin Calculation'!F:Y,20,0)</f>
        <v>#N/A</v>
      </c>
      <c r="H47" s="43" t="e">
        <f>VLOOKUP(C47,'Margin Calculation'!F:Z,21,0)</f>
        <v>#N/A</v>
      </c>
      <c r="I47" s="43">
        <f t="shared" si="0"/>
        <v>543.86400000000003</v>
      </c>
      <c r="J47" s="60">
        <f t="shared" si="1"/>
        <v>169.95750000000001</v>
      </c>
      <c r="K47" s="43">
        <f t="shared" si="2"/>
        <v>169.95750000000001</v>
      </c>
      <c r="L47" s="43">
        <f t="shared" si="3"/>
        <v>169.95750000000001</v>
      </c>
      <c r="M47" s="43" t="e">
        <f t="shared" si="4"/>
        <v>#N/A</v>
      </c>
      <c r="N47" s="253">
        <f t="shared" si="5"/>
        <v>518.51440677966093</v>
      </c>
      <c r="O47" s="43" t="e">
        <f t="shared" si="6"/>
        <v>#N/A</v>
      </c>
      <c r="P47" s="338" t="e">
        <f t="shared" si="7"/>
        <v>#N/A</v>
      </c>
      <c r="Q47" s="248">
        <v>3043</v>
      </c>
      <c r="R47" s="253">
        <f t="shared" si="8"/>
        <v>3399.15</v>
      </c>
      <c r="S47" s="253">
        <f>VLOOKUP(C47,'Amazon Live Products'!E:AF,28,0)</f>
        <v>3999</v>
      </c>
      <c r="T47" s="253">
        <f>VLOOKUP(D47,Sheet6!AF:AG,2,0)</f>
        <v>7499</v>
      </c>
      <c r="U47" s="2">
        <f t="shared" si="9"/>
        <v>599.85</v>
      </c>
      <c r="V47" s="2">
        <f t="shared" si="10"/>
        <v>91.289999999999992</v>
      </c>
      <c r="W47" s="339">
        <f t="shared" si="11"/>
        <v>2951.71</v>
      </c>
    </row>
    <row r="48" spans="1:23">
      <c r="A48" s="43">
        <f t="shared" si="12"/>
        <v>47</v>
      </c>
      <c r="B48" s="44" t="s">
        <v>934</v>
      </c>
      <c r="C48" s="44" t="s">
        <v>642</v>
      </c>
      <c r="D48" s="75" t="s">
        <v>643</v>
      </c>
      <c r="E48" s="43" t="s">
        <v>644</v>
      </c>
      <c r="F48" s="43" t="s">
        <v>645</v>
      </c>
      <c r="G48" s="275">
        <f>VLOOKUP(C48,'Margin Calculation'!F:Y,20,0)</f>
        <v>509.48999999999995</v>
      </c>
      <c r="H48" s="275">
        <f>VLOOKUP(C48,'Margin Calculation'!F:Z,21,0)</f>
        <v>601.19819999999993</v>
      </c>
      <c r="I48" s="43">
        <f t="shared" si="0"/>
        <v>203.86400000000003</v>
      </c>
      <c r="J48" s="60">
        <f t="shared" si="1"/>
        <v>63.70750000000001</v>
      </c>
      <c r="K48" s="43">
        <f t="shared" si="2"/>
        <v>63.70750000000001</v>
      </c>
      <c r="L48" s="43">
        <f t="shared" si="3"/>
        <v>63.70750000000001</v>
      </c>
      <c r="M48" s="275">
        <f t="shared" si="4"/>
        <v>996.18469999999991</v>
      </c>
      <c r="N48" s="253">
        <f t="shared" si="5"/>
        <v>194.36186440677966</v>
      </c>
      <c r="O48" s="253">
        <f t="shared" si="6"/>
        <v>83.603435593220524</v>
      </c>
      <c r="P48" s="338">
        <f t="shared" si="7"/>
        <v>6.5615065410839002E-2</v>
      </c>
      <c r="Q48" s="248">
        <v>1305</v>
      </c>
      <c r="R48" s="253">
        <f t="shared" si="8"/>
        <v>1274.1500000000001</v>
      </c>
      <c r="S48" s="253">
        <f>VLOOKUP(C48,'Amazon Live Products'!E:AF,28,0)</f>
        <v>1499</v>
      </c>
      <c r="T48" s="253">
        <f>VLOOKUP(D48,Sheet6!AF:AG,2,0)</f>
        <v>2499</v>
      </c>
      <c r="U48" s="2">
        <f t="shared" si="9"/>
        <v>224.85</v>
      </c>
      <c r="V48" s="2">
        <f t="shared" si="10"/>
        <v>39.15</v>
      </c>
      <c r="W48" s="339">
        <f t="shared" si="11"/>
        <v>1265.8499999999999</v>
      </c>
    </row>
    <row r="49" spans="1:23">
      <c r="A49" s="43">
        <f t="shared" si="12"/>
        <v>48</v>
      </c>
      <c r="B49" s="44" t="s">
        <v>953</v>
      </c>
      <c r="C49" s="44" t="s">
        <v>646</v>
      </c>
      <c r="D49" s="75" t="s">
        <v>647</v>
      </c>
      <c r="E49" s="43" t="s">
        <v>648</v>
      </c>
      <c r="F49" s="43" t="s">
        <v>650</v>
      </c>
      <c r="G49" s="275">
        <f>VLOOKUP(C49,'Margin Calculation'!F:Y,20,0)</f>
        <v>695.61449999999991</v>
      </c>
      <c r="H49" s="275">
        <f>VLOOKUP(C49,'Margin Calculation'!F:Z,21,0)</f>
        <v>820.82510999999988</v>
      </c>
      <c r="I49" s="43">
        <f t="shared" si="0"/>
        <v>203.86400000000003</v>
      </c>
      <c r="J49" s="60">
        <f t="shared" si="1"/>
        <v>63.70750000000001</v>
      </c>
      <c r="K49" s="43">
        <f t="shared" si="2"/>
        <v>63.70750000000001</v>
      </c>
      <c r="L49" s="43">
        <f t="shared" si="3"/>
        <v>63.70750000000001</v>
      </c>
      <c r="M49" s="275">
        <f t="shared" si="4"/>
        <v>1215.8116099999997</v>
      </c>
      <c r="N49" s="253">
        <f t="shared" si="5"/>
        <v>194.36186440677966</v>
      </c>
      <c r="O49" s="253">
        <f t="shared" si="6"/>
        <v>-136.02347440677931</v>
      </c>
      <c r="P49" s="338">
        <f t="shared" si="7"/>
        <v>-0.10675624879863384</v>
      </c>
      <c r="Q49" s="248"/>
      <c r="R49" s="253">
        <f t="shared" si="8"/>
        <v>1274.1500000000001</v>
      </c>
      <c r="S49" s="253">
        <f>VLOOKUP(C49,'Amazon Live Products'!E:AF,28,0)</f>
        <v>1499</v>
      </c>
      <c r="T49" s="253">
        <f>VLOOKUP(D49,Sheet6!AF:AG,2,0)</f>
        <v>2799</v>
      </c>
      <c r="U49" s="2">
        <f t="shared" si="9"/>
        <v>224.85</v>
      </c>
      <c r="V49" s="2">
        <f t="shared" si="10"/>
        <v>0</v>
      </c>
      <c r="W49" s="339">
        <f t="shared" si="11"/>
        <v>0</v>
      </c>
    </row>
    <row r="50" spans="1:23">
      <c r="A50" s="43">
        <f t="shared" si="12"/>
        <v>49</v>
      </c>
      <c r="B50" s="44" t="s">
        <v>934</v>
      </c>
      <c r="C50" s="44" t="s">
        <v>651</v>
      </c>
      <c r="D50" s="75" t="s">
        <v>652</v>
      </c>
      <c r="E50" s="43" t="s">
        <v>653</v>
      </c>
      <c r="F50" s="43" t="s">
        <v>654</v>
      </c>
      <c r="G50" s="275">
        <f>VLOOKUP(C50,'Margin Calculation'!F:Y,20,0)</f>
        <v>695.61449999999991</v>
      </c>
      <c r="H50" s="275">
        <f>VLOOKUP(C50,'Margin Calculation'!F:Z,21,0)</f>
        <v>820.82510999999988</v>
      </c>
      <c r="I50" s="43">
        <f t="shared" si="0"/>
        <v>265.06400000000002</v>
      </c>
      <c r="J50" s="60">
        <f t="shared" si="1"/>
        <v>82.83250000000001</v>
      </c>
      <c r="K50" s="43">
        <f t="shared" si="2"/>
        <v>82.83250000000001</v>
      </c>
      <c r="L50" s="43">
        <f t="shared" si="3"/>
        <v>82.83250000000001</v>
      </c>
      <c r="M50" s="275">
        <f t="shared" si="4"/>
        <v>1334.3866099999998</v>
      </c>
      <c r="N50" s="253">
        <f t="shared" si="5"/>
        <v>252.70932203389816</v>
      </c>
      <c r="O50" s="253">
        <f t="shared" si="6"/>
        <v>69.554067966102139</v>
      </c>
      <c r="P50" s="338">
        <f t="shared" si="7"/>
        <v>4.1984769242810575E-2</v>
      </c>
      <c r="Q50" s="248">
        <v>1657</v>
      </c>
      <c r="R50" s="253">
        <f t="shared" si="8"/>
        <v>1656.65</v>
      </c>
      <c r="S50" s="253">
        <f>VLOOKUP(C50,'Amazon Live Products'!E:AF,28,0)</f>
        <v>1949</v>
      </c>
      <c r="T50" s="253">
        <f>VLOOKUP(D50,Sheet6!AF:AG,2,0)</f>
        <v>3699</v>
      </c>
      <c r="U50" s="2">
        <f t="shared" si="9"/>
        <v>292.34999999999997</v>
      </c>
      <c r="V50" s="2">
        <f t="shared" si="10"/>
        <v>49.71</v>
      </c>
      <c r="W50" s="339">
        <f t="shared" si="11"/>
        <v>1607.29</v>
      </c>
    </row>
    <row r="51" spans="1:23">
      <c r="A51" s="43">
        <f t="shared" si="12"/>
        <v>50</v>
      </c>
      <c r="B51" s="44" t="s">
        <v>934</v>
      </c>
      <c r="C51" s="44" t="s">
        <v>655</v>
      </c>
      <c r="D51" s="75" t="s">
        <v>656</v>
      </c>
      <c r="E51" s="43" t="s">
        <v>657</v>
      </c>
      <c r="F51" s="43" t="s">
        <v>658</v>
      </c>
      <c r="G51" s="275">
        <f>VLOOKUP(C51,'Margin Calculation'!F:Y,20,0)</f>
        <v>936.09836999999993</v>
      </c>
      <c r="H51" s="275">
        <f>VLOOKUP(C51,'Margin Calculation'!F:Z,21,0)</f>
        <v>1104.5960765999998</v>
      </c>
      <c r="I51" s="43">
        <f t="shared" si="0"/>
        <v>312.66400000000004</v>
      </c>
      <c r="J51" s="60">
        <f t="shared" si="1"/>
        <v>97.70750000000001</v>
      </c>
      <c r="K51" s="43">
        <f t="shared" si="2"/>
        <v>97.70750000000001</v>
      </c>
      <c r="L51" s="43">
        <f t="shared" si="3"/>
        <v>97.70750000000001</v>
      </c>
      <c r="M51" s="275">
        <f t="shared" si="4"/>
        <v>1710.3825765999998</v>
      </c>
      <c r="N51" s="253">
        <f t="shared" si="5"/>
        <v>298.09067796610157</v>
      </c>
      <c r="O51" s="253">
        <f t="shared" si="6"/>
        <v>-54.323254566101241</v>
      </c>
      <c r="P51" s="338">
        <f t="shared" si="7"/>
        <v>-2.7798917465957699E-2</v>
      </c>
      <c r="Q51" s="248">
        <v>2292</v>
      </c>
      <c r="R51" s="253">
        <f t="shared" si="8"/>
        <v>1954.15</v>
      </c>
      <c r="S51" s="253">
        <f>VLOOKUP(C51,'Amazon Live Products'!E:AF,28,0)</f>
        <v>2299</v>
      </c>
      <c r="T51" s="253">
        <f>VLOOKUP(D51,Sheet6!AF:AG,2,0)</f>
        <v>4699</v>
      </c>
      <c r="U51" s="2">
        <f t="shared" si="9"/>
        <v>344.84999999999997</v>
      </c>
      <c r="V51" s="2">
        <f t="shared" si="10"/>
        <v>68.759999999999991</v>
      </c>
      <c r="W51" s="339">
        <f t="shared" si="11"/>
        <v>2223.2399999999998</v>
      </c>
    </row>
    <row r="52" spans="1:23">
      <c r="A52" s="43">
        <f t="shared" si="12"/>
        <v>51</v>
      </c>
      <c r="B52" s="44"/>
      <c r="C52" s="44" t="s">
        <v>659</v>
      </c>
      <c r="D52" s="75" t="s">
        <v>660</v>
      </c>
      <c r="E52" s="43" t="s">
        <v>661</v>
      </c>
      <c r="F52" s="43" t="s">
        <v>662</v>
      </c>
      <c r="G52" s="275">
        <f>VLOOKUP(C52,'Margin Calculation'!F:Y,20,0)</f>
        <v>753.73308000000009</v>
      </c>
      <c r="H52" s="275">
        <f>VLOOKUP(C52,'Margin Calculation'!F:Z,21,0)</f>
        <v>889.40503440000009</v>
      </c>
      <c r="I52" s="43">
        <f t="shared" si="0"/>
        <v>271.86400000000003</v>
      </c>
      <c r="J52" s="60">
        <f t="shared" si="1"/>
        <v>84.95750000000001</v>
      </c>
      <c r="K52" s="43">
        <f t="shared" si="2"/>
        <v>84.95750000000001</v>
      </c>
      <c r="L52" s="43">
        <f t="shared" si="3"/>
        <v>84.95750000000001</v>
      </c>
      <c r="M52" s="275">
        <f t="shared" si="4"/>
        <v>1416.1415344000002</v>
      </c>
      <c r="N52" s="253">
        <f t="shared" si="5"/>
        <v>259.19237288135582</v>
      </c>
      <c r="O52" s="253">
        <f t="shared" si="6"/>
        <v>23.816092718644086</v>
      </c>
      <c r="P52" s="338">
        <f t="shared" si="7"/>
        <v>1.4016474542355934E-2</v>
      </c>
      <c r="Q52" s="248"/>
      <c r="R52" s="253">
        <f t="shared" si="8"/>
        <v>1699.15</v>
      </c>
      <c r="S52" s="253">
        <f>VLOOKUP(C52,'Amazon Live Products'!E:AF,28,0)</f>
        <v>1999</v>
      </c>
      <c r="T52" s="253">
        <f>VLOOKUP(D52,Sheet6!AF:AG,2,0)</f>
        <v>3999</v>
      </c>
      <c r="U52" s="2">
        <f t="shared" si="9"/>
        <v>299.84999999999997</v>
      </c>
      <c r="V52" s="2">
        <f t="shared" si="10"/>
        <v>0</v>
      </c>
      <c r="W52" s="339">
        <f t="shared" si="11"/>
        <v>0</v>
      </c>
    </row>
    <row r="53" spans="1:23">
      <c r="A53" s="43">
        <f t="shared" si="12"/>
        <v>52</v>
      </c>
      <c r="B53" s="44"/>
      <c r="C53" s="44" t="s">
        <v>663</v>
      </c>
      <c r="D53" s="75" t="s">
        <v>664</v>
      </c>
      <c r="E53" s="43" t="s">
        <v>665</v>
      </c>
      <c r="F53" s="43" t="s">
        <v>667</v>
      </c>
      <c r="G53" s="275">
        <f>VLOOKUP(C53,'Margin Calculation'!F:Y,20,0)</f>
        <v>1119.9599999999998</v>
      </c>
      <c r="H53" s="275">
        <f>VLOOKUP(C53,'Margin Calculation'!F:Z,21,0)</f>
        <v>1321.5527999999997</v>
      </c>
      <c r="I53" s="43">
        <f t="shared" si="0"/>
        <v>299.06400000000002</v>
      </c>
      <c r="J53" s="60">
        <f t="shared" si="1"/>
        <v>93.45750000000001</v>
      </c>
      <c r="K53" s="43">
        <f t="shared" si="2"/>
        <v>93.45750000000001</v>
      </c>
      <c r="L53" s="43">
        <f t="shared" si="3"/>
        <v>93.45750000000001</v>
      </c>
      <c r="M53" s="275">
        <f t="shared" si="4"/>
        <v>1900.9892999999997</v>
      </c>
      <c r="N53" s="253">
        <f t="shared" si="5"/>
        <v>285.12457627118647</v>
      </c>
      <c r="O53" s="253">
        <f t="shared" si="6"/>
        <v>-316.96387627118611</v>
      </c>
      <c r="P53" s="338">
        <f t="shared" si="7"/>
        <v>-0.1695764792933612</v>
      </c>
      <c r="Q53" s="248"/>
      <c r="R53" s="253">
        <f t="shared" si="8"/>
        <v>1869.15</v>
      </c>
      <c r="S53" s="253">
        <f>VLOOKUP(C53,'Amazon Live Products'!E:AF,28,0)</f>
        <v>2199</v>
      </c>
      <c r="T53" s="253">
        <f>VLOOKUP(D53,Sheet6!AF:AG,2,0)</f>
        <v>3999</v>
      </c>
      <c r="U53" s="2">
        <f t="shared" si="9"/>
        <v>329.84999999999997</v>
      </c>
      <c r="V53" s="2">
        <f t="shared" si="10"/>
        <v>0</v>
      </c>
      <c r="W53" s="339">
        <f t="shared" si="11"/>
        <v>0</v>
      </c>
    </row>
    <row r="54" spans="1:23">
      <c r="A54" s="43">
        <f t="shared" si="12"/>
        <v>53</v>
      </c>
      <c r="B54" s="44"/>
      <c r="C54" s="44" t="s">
        <v>668</v>
      </c>
      <c r="D54" s="75" t="s">
        <v>944</v>
      </c>
      <c r="E54" s="43" t="s">
        <v>670</v>
      </c>
      <c r="F54" s="43" t="s">
        <v>673</v>
      </c>
      <c r="G54" s="275">
        <f>VLOOKUP(C54,'Margin Calculation'!F:Y,20,0)</f>
        <v>582.37919999999997</v>
      </c>
      <c r="H54" s="275">
        <f>VLOOKUP(C54,'Margin Calculation'!F:Z,21,0)</f>
        <v>687.20745599999998</v>
      </c>
      <c r="I54" s="43">
        <f t="shared" si="0"/>
        <v>203.86400000000003</v>
      </c>
      <c r="J54" s="60">
        <f t="shared" si="1"/>
        <v>63.70750000000001</v>
      </c>
      <c r="K54" s="43">
        <f t="shared" si="2"/>
        <v>63.70750000000001</v>
      </c>
      <c r="L54" s="43">
        <f t="shared" si="3"/>
        <v>63.70750000000001</v>
      </c>
      <c r="M54" s="275">
        <f t="shared" si="4"/>
        <v>1082.1939560000001</v>
      </c>
      <c r="N54" s="253">
        <f t="shared" si="5"/>
        <v>194.36186440677966</v>
      </c>
      <c r="O54" s="253">
        <f t="shared" si="6"/>
        <v>-2.4058204067796396</v>
      </c>
      <c r="P54" s="338">
        <f t="shared" si="7"/>
        <v>-1.8881767506020793E-3</v>
      </c>
      <c r="Q54" s="248"/>
      <c r="R54" s="253">
        <f t="shared" si="8"/>
        <v>1274.1500000000001</v>
      </c>
      <c r="S54" s="253">
        <f>VLOOKUP(C54,'Amazon Live Products'!E:AF,28,0)</f>
        <v>1499</v>
      </c>
      <c r="T54" s="253">
        <v>2699</v>
      </c>
      <c r="U54" s="2">
        <f t="shared" si="9"/>
        <v>224.85</v>
      </c>
      <c r="V54" s="2">
        <f t="shared" si="10"/>
        <v>0</v>
      </c>
      <c r="W54" s="339">
        <f t="shared" si="11"/>
        <v>0</v>
      </c>
    </row>
    <row r="55" spans="1:23">
      <c r="A55" s="43">
        <f t="shared" si="12"/>
        <v>54</v>
      </c>
      <c r="B55" s="44"/>
      <c r="C55" s="44" t="s">
        <v>675</v>
      </c>
      <c r="D55" s="75" t="s">
        <v>676</v>
      </c>
      <c r="E55" s="43" t="s">
        <v>677</v>
      </c>
      <c r="F55" s="43" t="s">
        <v>678</v>
      </c>
      <c r="G55" s="275">
        <f>VLOOKUP(C55,'Margin Calculation'!F:Y,20,0)</f>
        <v>509.58179999999999</v>
      </c>
      <c r="H55" s="275">
        <f>VLOOKUP(C55,'Margin Calculation'!F:Z,21,0)</f>
        <v>601.30652399999997</v>
      </c>
      <c r="I55" s="43">
        <f t="shared" si="0"/>
        <v>154.08799999999999</v>
      </c>
      <c r="J55" s="60">
        <f t="shared" si="1"/>
        <v>48.152500000000003</v>
      </c>
      <c r="K55" s="43">
        <f t="shared" si="2"/>
        <v>48.152500000000003</v>
      </c>
      <c r="L55" s="43">
        <f t="shared" si="3"/>
        <v>48.152500000000003</v>
      </c>
      <c r="M55" s="275">
        <f t="shared" si="4"/>
        <v>899.85202400000003</v>
      </c>
      <c r="N55" s="253">
        <f t="shared" si="5"/>
        <v>146.90593220338974</v>
      </c>
      <c r="O55" s="253">
        <f t="shared" si="6"/>
        <v>-83.707956203389813</v>
      </c>
      <c r="P55" s="338">
        <f t="shared" si="7"/>
        <v>-8.6919636782503321E-2</v>
      </c>
      <c r="Q55" s="248">
        <v>1359</v>
      </c>
      <c r="R55" s="253">
        <f t="shared" si="8"/>
        <v>963.05</v>
      </c>
      <c r="S55" s="253">
        <f>VLOOKUP(C55,'Amazon Live Products'!E:AF,28,0)</f>
        <v>1133</v>
      </c>
      <c r="T55" s="253">
        <f>VLOOKUP(D55,Sheet6!AF:AG,2,0)</f>
        <v>1999</v>
      </c>
      <c r="U55" s="2">
        <f t="shared" si="9"/>
        <v>169.95</v>
      </c>
      <c r="V55" s="2">
        <f t="shared" si="10"/>
        <v>40.769999999999996</v>
      </c>
      <c r="W55" s="339">
        <f t="shared" si="11"/>
        <v>1318.23</v>
      </c>
    </row>
    <row r="56" spans="1:23">
      <c r="A56" s="43">
        <f t="shared" si="12"/>
        <v>55</v>
      </c>
      <c r="B56" s="44"/>
      <c r="C56" s="44" t="s">
        <v>679</v>
      </c>
      <c r="D56" s="75" t="s">
        <v>680</v>
      </c>
      <c r="E56" s="43" t="s">
        <v>681</v>
      </c>
      <c r="F56" s="43" t="s">
        <v>682</v>
      </c>
      <c r="G56" s="275">
        <f>VLOOKUP(C56,'Margin Calculation'!F:Y,20,0)</f>
        <v>394.22592000000003</v>
      </c>
      <c r="H56" s="275">
        <f>VLOOKUP(C56,'Margin Calculation'!F:Z,21,0)</f>
        <v>465.1865856</v>
      </c>
      <c r="I56" s="43">
        <f t="shared" si="0"/>
        <v>135.864</v>
      </c>
      <c r="J56" s="60">
        <f t="shared" si="1"/>
        <v>42.457500000000003</v>
      </c>
      <c r="K56" s="43">
        <f t="shared" si="2"/>
        <v>42.457500000000003</v>
      </c>
      <c r="L56" s="43">
        <f t="shared" si="3"/>
        <v>42.457500000000003</v>
      </c>
      <c r="M56" s="275">
        <f t="shared" si="4"/>
        <v>728.42308559999992</v>
      </c>
      <c r="N56" s="253">
        <f t="shared" si="5"/>
        <v>129.53135593220338</v>
      </c>
      <c r="O56" s="253">
        <f t="shared" si="6"/>
        <v>-8.8044415322033274</v>
      </c>
      <c r="P56" s="338">
        <f t="shared" si="7"/>
        <v>-1.0368535043518021E-2</v>
      </c>
      <c r="Q56" s="248"/>
      <c r="R56" s="253">
        <f t="shared" si="8"/>
        <v>849.15</v>
      </c>
      <c r="S56" s="253">
        <f>VLOOKUP(C56,'Amazon Live Products'!E:AF,28,0)</f>
        <v>999</v>
      </c>
      <c r="T56" s="253">
        <f>VLOOKUP(D56,Sheet6!AF:AG,2,0)</f>
        <v>1599</v>
      </c>
      <c r="U56" s="2">
        <f t="shared" si="9"/>
        <v>149.85</v>
      </c>
      <c r="V56" s="2">
        <f t="shared" si="10"/>
        <v>0</v>
      </c>
      <c r="W56" s="339">
        <f t="shared" si="11"/>
        <v>0</v>
      </c>
    </row>
    <row r="57" spans="1:23">
      <c r="A57" s="43">
        <f t="shared" si="12"/>
        <v>56</v>
      </c>
      <c r="B57" s="44"/>
      <c r="C57" s="44" t="s">
        <v>683</v>
      </c>
      <c r="D57" s="75" t="s">
        <v>684</v>
      </c>
      <c r="E57" s="43" t="s">
        <v>685</v>
      </c>
      <c r="F57" s="43" t="s">
        <v>687</v>
      </c>
      <c r="G57" s="275">
        <f>VLOOKUP(C57,'Margin Calculation'!F:Y,20,0)</f>
        <v>811.97099999999989</v>
      </c>
      <c r="H57" s="275">
        <f>VLOOKUP(C57,'Margin Calculation'!F:Z,21,0)</f>
        <v>958.12577999999985</v>
      </c>
      <c r="I57" s="43">
        <f t="shared" si="0"/>
        <v>231.06400000000002</v>
      </c>
      <c r="J57" s="60">
        <f t="shared" si="1"/>
        <v>72.20750000000001</v>
      </c>
      <c r="K57" s="43">
        <f t="shared" si="2"/>
        <v>72.20750000000001</v>
      </c>
      <c r="L57" s="43">
        <f t="shared" si="3"/>
        <v>72.20750000000001</v>
      </c>
      <c r="M57" s="275">
        <f t="shared" si="4"/>
        <v>1405.8122799999999</v>
      </c>
      <c r="N57" s="253">
        <f t="shared" si="5"/>
        <v>220.29406779661008</v>
      </c>
      <c r="O57" s="253">
        <f t="shared" si="6"/>
        <v>-181.95634779660986</v>
      </c>
      <c r="P57" s="338">
        <f t="shared" si="7"/>
        <v>-0.12599546293432803</v>
      </c>
      <c r="Q57" s="248">
        <v>1478</v>
      </c>
      <c r="R57" s="253">
        <f t="shared" si="8"/>
        <v>1444.15</v>
      </c>
      <c r="S57" s="253">
        <f>VLOOKUP(C57,'Amazon Live Products'!E:AF,28,0)</f>
        <v>1699</v>
      </c>
      <c r="T57" s="253">
        <f>VLOOKUP(D57,Sheet6!AF:AG,2,0)</f>
        <v>2799</v>
      </c>
      <c r="U57" s="2">
        <f t="shared" si="9"/>
        <v>254.85</v>
      </c>
      <c r="V57" s="2">
        <f t="shared" si="10"/>
        <v>44.339999999999996</v>
      </c>
      <c r="W57" s="339">
        <f t="shared" si="11"/>
        <v>1433.66</v>
      </c>
    </row>
    <row r="58" spans="1:23">
      <c r="A58" s="43">
        <f t="shared" si="12"/>
        <v>57</v>
      </c>
      <c r="B58" s="44"/>
      <c r="C58" s="44" t="s">
        <v>688</v>
      </c>
      <c r="D58" s="75" t="s">
        <v>689</v>
      </c>
      <c r="E58" s="43" t="s">
        <v>690</v>
      </c>
      <c r="F58" s="43" t="s">
        <v>691</v>
      </c>
      <c r="G58" s="275">
        <f>VLOOKUP(C58,'Margin Calculation'!F:Y,20,0)</f>
        <v>811.97099999999989</v>
      </c>
      <c r="H58" s="275">
        <f>VLOOKUP(C58,'Margin Calculation'!F:Z,21,0)</f>
        <v>958.12577999999985</v>
      </c>
      <c r="I58" s="43">
        <f t="shared" si="0"/>
        <v>203.86400000000003</v>
      </c>
      <c r="J58" s="60">
        <f t="shared" si="1"/>
        <v>63.70750000000001</v>
      </c>
      <c r="K58" s="43">
        <f t="shared" si="2"/>
        <v>63.70750000000001</v>
      </c>
      <c r="L58" s="43">
        <f t="shared" si="3"/>
        <v>63.70750000000001</v>
      </c>
      <c r="M58" s="275">
        <f t="shared" si="4"/>
        <v>1353.1122799999998</v>
      </c>
      <c r="N58" s="253">
        <f t="shared" si="5"/>
        <v>194.36186440677966</v>
      </c>
      <c r="O58" s="253">
        <f t="shared" si="6"/>
        <v>-273.3241444067794</v>
      </c>
      <c r="P58" s="338">
        <f t="shared" si="7"/>
        <v>-0.21451488789136239</v>
      </c>
      <c r="Q58" s="248"/>
      <c r="R58" s="253">
        <f t="shared" si="8"/>
        <v>1274.1500000000001</v>
      </c>
      <c r="S58" s="253">
        <f>VLOOKUP(C58,'Amazon Live Products'!E:AF,28,0)</f>
        <v>1499</v>
      </c>
      <c r="T58" s="253">
        <f>VLOOKUP(D58,Sheet6!AF:AG,2,0)</f>
        <v>2799</v>
      </c>
      <c r="U58" s="2">
        <f t="shared" si="9"/>
        <v>224.85</v>
      </c>
      <c r="V58" s="2">
        <f t="shared" si="10"/>
        <v>0</v>
      </c>
      <c r="W58" s="339">
        <f t="shared" si="11"/>
        <v>0</v>
      </c>
    </row>
    <row r="59" spans="1:23">
      <c r="A59" s="43">
        <f t="shared" si="12"/>
        <v>58</v>
      </c>
      <c r="B59" s="44"/>
      <c r="C59" s="44" t="s">
        <v>695</v>
      </c>
      <c r="D59" s="44" t="s">
        <v>696</v>
      </c>
      <c r="E59" s="43" t="s">
        <v>697</v>
      </c>
      <c r="F59" s="43" t="s">
        <v>699</v>
      </c>
      <c r="G59" s="275">
        <f>VLOOKUP(C59,'Margin Calculation'!F:Y,20,0)</f>
        <v>931.80672000000004</v>
      </c>
      <c r="H59" s="275">
        <f>VLOOKUP(C59,'Margin Calculation'!F:Z,21,0)</f>
        <v>1099.5319296</v>
      </c>
      <c r="I59" s="43">
        <f t="shared" si="0"/>
        <v>271.86400000000003</v>
      </c>
      <c r="J59" s="60">
        <f t="shared" si="1"/>
        <v>84.95750000000001</v>
      </c>
      <c r="K59" s="43">
        <f t="shared" si="2"/>
        <v>84.95750000000001</v>
      </c>
      <c r="L59" s="43">
        <f t="shared" si="3"/>
        <v>84.95750000000001</v>
      </c>
      <c r="M59" s="275">
        <f t="shared" si="4"/>
        <v>1626.2684296</v>
      </c>
      <c r="N59" s="253">
        <f t="shared" si="5"/>
        <v>259.19237288135582</v>
      </c>
      <c r="O59" s="253">
        <f t="shared" si="6"/>
        <v>-186.31080248135572</v>
      </c>
      <c r="P59" s="338">
        <f t="shared" si="7"/>
        <v>-0.10964941440211619</v>
      </c>
      <c r="Q59" s="248">
        <v>2550</v>
      </c>
      <c r="R59" s="253">
        <f t="shared" si="8"/>
        <v>1699.15</v>
      </c>
      <c r="S59" s="253">
        <f>VLOOKUP(C59,'Amazon Live Products'!E:AF,28,0)</f>
        <v>1999</v>
      </c>
      <c r="T59" s="253">
        <f>VLOOKUP(D59,Sheet6!AF:AG,2,0)</f>
        <v>3699</v>
      </c>
      <c r="U59" s="2">
        <f t="shared" si="9"/>
        <v>299.84999999999997</v>
      </c>
      <c r="V59" s="2">
        <f t="shared" si="10"/>
        <v>76.5</v>
      </c>
      <c r="W59" s="339">
        <f t="shared" si="11"/>
        <v>2473.5</v>
      </c>
    </row>
    <row r="60" spans="1:23">
      <c r="A60" s="43">
        <f t="shared" si="12"/>
        <v>59</v>
      </c>
      <c r="B60" s="44"/>
      <c r="C60" s="44" t="s">
        <v>700</v>
      </c>
      <c r="D60" s="75" t="s">
        <v>701</v>
      </c>
      <c r="E60" s="43" t="s">
        <v>702</v>
      </c>
      <c r="F60" s="43" t="s">
        <v>703</v>
      </c>
      <c r="G60" s="275">
        <f>VLOOKUP(C60,'Margin Calculation'!F:Y,20,0)</f>
        <v>724.61412000000007</v>
      </c>
      <c r="H60" s="275">
        <f>VLOOKUP(C60,'Margin Calculation'!F:Z,21,0)</f>
        <v>855.04466160000004</v>
      </c>
      <c r="I60" s="43">
        <f t="shared" si="0"/>
        <v>271.72800000000001</v>
      </c>
      <c r="J60" s="60">
        <f t="shared" si="1"/>
        <v>84.915000000000006</v>
      </c>
      <c r="K60" s="43">
        <f t="shared" si="2"/>
        <v>84.915000000000006</v>
      </c>
      <c r="L60" s="43">
        <f t="shared" si="3"/>
        <v>84.915000000000006</v>
      </c>
      <c r="M60" s="275">
        <f t="shared" si="4"/>
        <v>1381.5176615999999</v>
      </c>
      <c r="N60" s="253">
        <f t="shared" si="5"/>
        <v>259.06271186440677</v>
      </c>
      <c r="O60" s="253">
        <f t="shared" si="6"/>
        <v>57.719626535593306</v>
      </c>
      <c r="P60" s="338">
        <f t="shared" si="7"/>
        <v>3.3986708199725199E-2</v>
      </c>
      <c r="Q60" s="248"/>
      <c r="R60" s="253">
        <f t="shared" si="8"/>
        <v>1698.3</v>
      </c>
      <c r="S60" s="253">
        <f>VLOOKUP(C60,'Amazon Live Products'!E:AF,28,0)</f>
        <v>1998</v>
      </c>
      <c r="T60" s="253">
        <f>VLOOKUP(D60,Sheet6!AF:AG,2,0)</f>
        <v>3399</v>
      </c>
      <c r="U60" s="2">
        <f t="shared" si="9"/>
        <v>299.7</v>
      </c>
      <c r="V60" s="2">
        <f t="shared" si="10"/>
        <v>0</v>
      </c>
      <c r="W60" s="339">
        <f t="shared" si="11"/>
        <v>0</v>
      </c>
    </row>
    <row r="61" spans="1:23">
      <c r="A61" s="43">
        <f t="shared" si="12"/>
        <v>60</v>
      </c>
      <c r="B61" s="44" t="s">
        <v>934</v>
      </c>
      <c r="C61" s="44" t="s">
        <v>704</v>
      </c>
      <c r="D61" s="75" t="s">
        <v>705</v>
      </c>
      <c r="E61" s="43" t="s">
        <v>706</v>
      </c>
      <c r="F61" s="43" t="s">
        <v>708</v>
      </c>
      <c r="G61" s="275">
        <f>VLOOKUP(C61,'Margin Calculation'!F:Y,20,0)</f>
        <v>2239.9199999999996</v>
      </c>
      <c r="H61" s="275">
        <f>VLOOKUP(C61,'Margin Calculation'!F:Z,21,0)</f>
        <v>2643.1055999999994</v>
      </c>
      <c r="I61" s="43">
        <f t="shared" si="0"/>
        <v>788.66399999999999</v>
      </c>
      <c r="J61" s="60">
        <f t="shared" si="1"/>
        <v>246.45749999999998</v>
      </c>
      <c r="K61" s="43">
        <f t="shared" si="2"/>
        <v>246.45749999999998</v>
      </c>
      <c r="L61" s="43">
        <f t="shared" si="3"/>
        <v>246.45749999999998</v>
      </c>
      <c r="M61" s="275">
        <f t="shared" si="4"/>
        <v>4171.1420999999991</v>
      </c>
      <c r="N61" s="253">
        <f t="shared" si="5"/>
        <v>751.90423728813494</v>
      </c>
      <c r="O61" s="253">
        <f t="shared" si="6"/>
        <v>6.1036627118655815</v>
      </c>
      <c r="P61" s="338">
        <f t="shared" si="7"/>
        <v>1.2382789551678448E-3</v>
      </c>
      <c r="Q61" s="248">
        <v>5100</v>
      </c>
      <c r="R61" s="253">
        <f t="shared" si="8"/>
        <v>4929.1499999999996</v>
      </c>
      <c r="S61" s="253">
        <f>VLOOKUP(C61,'Amazon Live Products'!E:AF,28,0)</f>
        <v>5799</v>
      </c>
      <c r="T61" s="253">
        <f>VLOOKUP(D61,Sheet6!AF:AG,2,0)</f>
        <v>8299</v>
      </c>
      <c r="U61" s="2">
        <f t="shared" si="9"/>
        <v>869.85</v>
      </c>
      <c r="V61" s="2">
        <f t="shared" si="10"/>
        <v>153</v>
      </c>
      <c r="W61" s="339">
        <f t="shared" si="11"/>
        <v>4947</v>
      </c>
    </row>
    <row r="62" spans="1:23">
      <c r="A62" s="43">
        <f t="shared" si="12"/>
        <v>61</v>
      </c>
      <c r="B62" s="44"/>
      <c r="C62" s="44" t="s">
        <v>712</v>
      </c>
      <c r="D62" s="75" t="s">
        <v>1129</v>
      </c>
      <c r="E62" s="43" t="s">
        <v>714</v>
      </c>
      <c r="F62" s="43" t="s">
        <v>716</v>
      </c>
      <c r="G62" s="275">
        <f>VLOOKUP(C62,'Margin Calculation'!F:Y,20,0)</f>
        <v>988.92468000000008</v>
      </c>
      <c r="H62" s="275">
        <f>VLOOKUP(C62,'Margin Calculation'!F:Z,21,0)</f>
        <v>1166.9311224</v>
      </c>
      <c r="I62" s="43">
        <f t="shared" si="0"/>
        <v>312.66400000000004</v>
      </c>
      <c r="J62" s="60">
        <f t="shared" si="1"/>
        <v>97.70750000000001</v>
      </c>
      <c r="K62" s="43">
        <f t="shared" si="2"/>
        <v>97.70750000000001</v>
      </c>
      <c r="L62" s="43">
        <f t="shared" si="3"/>
        <v>97.70750000000001</v>
      </c>
      <c r="M62" s="275">
        <f t="shared" si="4"/>
        <v>1772.7176224</v>
      </c>
      <c r="N62" s="253">
        <f t="shared" si="5"/>
        <v>298.09067796610157</v>
      </c>
      <c r="O62" s="253">
        <f t="shared" si="6"/>
        <v>-116.65830036610146</v>
      </c>
      <c r="P62" s="338">
        <f t="shared" si="7"/>
        <v>-5.9697720423765553E-2</v>
      </c>
      <c r="Q62" s="248"/>
      <c r="R62" s="253">
        <f t="shared" si="8"/>
        <v>1954.15</v>
      </c>
      <c r="S62" s="253">
        <f>VLOOKUP(C62,'Amazon Live Products'!E:AF,28,0)</f>
        <v>2299</v>
      </c>
      <c r="T62" s="253">
        <f>VLOOKUP(D62,Sheet6!AF:AG,2,0)</f>
        <v>4499</v>
      </c>
      <c r="U62" s="2">
        <f t="shared" si="9"/>
        <v>344.84999999999997</v>
      </c>
      <c r="V62" s="2">
        <f t="shared" si="10"/>
        <v>0</v>
      </c>
      <c r="W62" s="339">
        <f t="shared" si="11"/>
        <v>0</v>
      </c>
    </row>
    <row r="63" spans="1:23">
      <c r="A63" s="43">
        <f t="shared" si="12"/>
        <v>62</v>
      </c>
      <c r="B63" s="44"/>
      <c r="C63" s="44" t="s">
        <v>717</v>
      </c>
      <c r="D63" s="75" t="s">
        <v>718</v>
      </c>
      <c r="E63" s="43" t="s">
        <v>719</v>
      </c>
      <c r="F63" s="43" t="s">
        <v>716</v>
      </c>
      <c r="G63" s="275">
        <f>VLOOKUP(C63,'Margin Calculation'!F:Y,20,0)</f>
        <v>1047.1625999999999</v>
      </c>
      <c r="H63" s="275">
        <f>VLOOKUP(C63,'Margin Calculation'!F:Z,21,0)</f>
        <v>1235.6518679999997</v>
      </c>
      <c r="I63" s="43">
        <f t="shared" si="0"/>
        <v>339.86400000000003</v>
      </c>
      <c r="J63" s="60">
        <f t="shared" si="1"/>
        <v>106.20750000000001</v>
      </c>
      <c r="K63" s="43">
        <f t="shared" si="2"/>
        <v>106.20750000000001</v>
      </c>
      <c r="L63" s="43">
        <f t="shared" si="3"/>
        <v>106.20750000000001</v>
      </c>
      <c r="M63" s="275">
        <f t="shared" si="4"/>
        <v>1894.1383679999997</v>
      </c>
      <c r="N63" s="253">
        <f t="shared" si="5"/>
        <v>324.02288135593221</v>
      </c>
      <c r="O63" s="253">
        <f t="shared" si="6"/>
        <v>-94.011249355931795</v>
      </c>
      <c r="P63" s="338">
        <f t="shared" si="7"/>
        <v>-4.4258291248702675E-2</v>
      </c>
      <c r="Q63" s="248"/>
      <c r="R63" s="253">
        <f t="shared" si="8"/>
        <v>2124.15</v>
      </c>
      <c r="S63" s="253">
        <f>VLOOKUP(C63,'Amazon Live Products'!E:AF,28,0)</f>
        <v>2499</v>
      </c>
      <c r="T63" s="253">
        <f>VLOOKUP(D63,Sheet6!AF:AG,2,0)</f>
        <v>4499</v>
      </c>
      <c r="U63" s="2">
        <f t="shared" si="9"/>
        <v>374.84999999999997</v>
      </c>
      <c r="V63" s="2">
        <f t="shared" si="10"/>
        <v>0</v>
      </c>
      <c r="W63" s="339">
        <f t="shared" si="11"/>
        <v>0</v>
      </c>
    </row>
    <row r="64" spans="1:23">
      <c r="A64" s="43">
        <f t="shared" si="12"/>
        <v>63</v>
      </c>
      <c r="B64" s="44"/>
      <c r="C64" s="44" t="s">
        <v>724</v>
      </c>
      <c r="D64" s="44" t="s">
        <v>725</v>
      </c>
      <c r="E64" s="43" t="s">
        <v>726</v>
      </c>
      <c r="F64" s="43" t="s">
        <v>727</v>
      </c>
      <c r="G64" s="275">
        <f>VLOOKUP(C64,'Margin Calculation'!F:Y,20,0)</f>
        <v>458.541</v>
      </c>
      <c r="H64" s="275">
        <f>VLOOKUP(C64,'Margin Calculation'!F:Z,21,0)</f>
        <v>541.07837999999992</v>
      </c>
      <c r="I64" s="43">
        <f t="shared" si="0"/>
        <v>210.66400000000002</v>
      </c>
      <c r="J64" s="60">
        <f t="shared" si="1"/>
        <v>65.83250000000001</v>
      </c>
      <c r="K64" s="43">
        <f t="shared" si="2"/>
        <v>65.83250000000001</v>
      </c>
      <c r="L64" s="43">
        <f t="shared" si="3"/>
        <v>65.83250000000001</v>
      </c>
      <c r="M64" s="275">
        <f t="shared" si="4"/>
        <v>949.23987999999986</v>
      </c>
      <c r="N64" s="253">
        <f t="shared" si="5"/>
        <v>200.84491525423732</v>
      </c>
      <c r="O64" s="253">
        <f t="shared" si="6"/>
        <v>166.56520474576291</v>
      </c>
      <c r="P64" s="338">
        <f t="shared" si="7"/>
        <v>0.12650682014640405</v>
      </c>
      <c r="Q64" s="248"/>
      <c r="R64" s="253">
        <f t="shared" si="8"/>
        <v>1316.65</v>
      </c>
      <c r="S64" s="253">
        <f>VLOOKUP(C64,'Amazon Live Products'!E:AF,28,0)</f>
        <v>1549</v>
      </c>
      <c r="T64" s="253">
        <f>VLOOKUP(D64,Sheet6!AF:AG,2,0)</f>
        <v>1699</v>
      </c>
      <c r="U64" s="2">
        <f t="shared" si="9"/>
        <v>232.35</v>
      </c>
      <c r="V64" s="2">
        <f t="shared" si="10"/>
        <v>0</v>
      </c>
      <c r="W64" s="339">
        <f t="shared" si="11"/>
        <v>0</v>
      </c>
    </row>
    <row r="65" spans="1:23">
      <c r="A65" s="43">
        <f t="shared" si="12"/>
        <v>64</v>
      </c>
      <c r="B65" s="44"/>
      <c r="C65" s="44" t="s">
        <v>728</v>
      </c>
      <c r="D65" s="75" t="s">
        <v>729</v>
      </c>
      <c r="E65" s="43" t="s">
        <v>730</v>
      </c>
      <c r="F65" s="43" t="s">
        <v>731</v>
      </c>
      <c r="G65" s="275">
        <f>VLOOKUP(C65,'Margin Calculation'!F:Y,20,0)</f>
        <v>1120.8779999999999</v>
      </c>
      <c r="H65" s="275">
        <f>VLOOKUP(C65,'Margin Calculation'!F:Z,21,0)</f>
        <v>1322.6360399999999</v>
      </c>
      <c r="I65" s="43">
        <f t="shared" si="0"/>
        <v>448.66400000000004</v>
      </c>
      <c r="J65" s="60">
        <f t="shared" si="1"/>
        <v>140.20750000000001</v>
      </c>
      <c r="K65" s="43">
        <f t="shared" si="2"/>
        <v>140.20750000000001</v>
      </c>
      <c r="L65" s="43">
        <f t="shared" si="3"/>
        <v>140.20750000000001</v>
      </c>
      <c r="M65" s="275">
        <f t="shared" si="4"/>
        <v>2191.92254</v>
      </c>
      <c r="N65" s="253">
        <f t="shared" si="5"/>
        <v>427.75169491525412</v>
      </c>
      <c r="O65" s="253">
        <f t="shared" si="6"/>
        <v>184.47576508474594</v>
      </c>
      <c r="P65" s="338">
        <f t="shared" si="7"/>
        <v>6.5786696533618363E-2</v>
      </c>
      <c r="Q65" s="248"/>
      <c r="R65" s="253">
        <f t="shared" si="8"/>
        <v>2804.15</v>
      </c>
      <c r="S65" s="253">
        <f>VLOOKUP(C65,'Amazon Live Products'!E:AF,28,0)</f>
        <v>3299</v>
      </c>
      <c r="T65" s="253">
        <f>VLOOKUP(D65,Sheet6!AF:AG,2,0)</f>
        <v>5399</v>
      </c>
      <c r="U65" s="2">
        <f t="shared" si="9"/>
        <v>494.84999999999997</v>
      </c>
      <c r="V65" s="2">
        <f t="shared" si="10"/>
        <v>0</v>
      </c>
      <c r="W65" s="339">
        <f t="shared" si="11"/>
        <v>0</v>
      </c>
    </row>
    <row r="66" spans="1:23">
      <c r="A66" s="43">
        <f t="shared" si="12"/>
        <v>65</v>
      </c>
      <c r="B66" s="44"/>
      <c r="C66" s="44" t="s">
        <v>736</v>
      </c>
      <c r="D66" s="75" t="s">
        <v>737</v>
      </c>
      <c r="E66" s="43" t="s">
        <v>738</v>
      </c>
      <c r="F66" s="43" t="s">
        <v>739</v>
      </c>
      <c r="G66" s="275">
        <f>VLOOKUP(C66,'Margin Calculation'!F:Y,20,0)</f>
        <v>1034.2646999999999</v>
      </c>
      <c r="H66" s="275">
        <f>VLOOKUP(C66,'Margin Calculation'!F:Z,21,0)</f>
        <v>1220.4323459999998</v>
      </c>
      <c r="I66" s="43">
        <f t="shared" si="0"/>
        <v>353.464</v>
      </c>
      <c r="J66" s="60">
        <f t="shared" si="1"/>
        <v>110.45750000000001</v>
      </c>
      <c r="K66" s="43">
        <f t="shared" si="2"/>
        <v>110.45750000000001</v>
      </c>
      <c r="L66" s="43">
        <f t="shared" si="3"/>
        <v>110.45750000000001</v>
      </c>
      <c r="M66" s="275">
        <f t="shared" si="4"/>
        <v>1905.2688459999997</v>
      </c>
      <c r="N66" s="253">
        <f t="shared" si="5"/>
        <v>336.98898305084731</v>
      </c>
      <c r="O66" s="253">
        <f t="shared" si="6"/>
        <v>-33.107829050846931</v>
      </c>
      <c r="P66" s="338">
        <f t="shared" si="7"/>
        <v>-1.4986682231105598E-2</v>
      </c>
      <c r="Q66" s="248"/>
      <c r="R66" s="253">
        <f t="shared" si="8"/>
        <v>2209.15</v>
      </c>
      <c r="S66" s="253">
        <f>VLOOKUP(C66,'Amazon Live Products'!E:AF,28,0)</f>
        <v>2599</v>
      </c>
      <c r="T66" s="253">
        <f>VLOOKUP(D66,Sheet6!AF:AG,2,0)</f>
        <v>3999</v>
      </c>
      <c r="U66" s="2">
        <f t="shared" si="9"/>
        <v>389.84999999999997</v>
      </c>
      <c r="V66" s="2">
        <f t="shared" si="10"/>
        <v>0</v>
      </c>
      <c r="W66" s="339">
        <f t="shared" si="11"/>
        <v>0</v>
      </c>
    </row>
    <row r="67" spans="1:23">
      <c r="A67" s="43">
        <f t="shared" si="12"/>
        <v>66</v>
      </c>
      <c r="B67" s="44"/>
      <c r="C67" s="44" t="s">
        <v>740</v>
      </c>
      <c r="D67" s="75" t="s">
        <v>741</v>
      </c>
      <c r="E67" s="43" t="s">
        <v>742</v>
      </c>
      <c r="F67" s="43" t="s">
        <v>743</v>
      </c>
      <c r="G67" s="275">
        <f>VLOOKUP(C67,'Margin Calculation'!F:Y,20,0)</f>
        <v>917.08199999999999</v>
      </c>
      <c r="H67" s="275">
        <f>VLOOKUP(C67,'Margin Calculation'!F:Z,21,0)</f>
        <v>1082.1567599999998</v>
      </c>
      <c r="I67" s="43">
        <f t="shared" si="0"/>
        <v>285.464</v>
      </c>
      <c r="J67" s="60">
        <f t="shared" si="1"/>
        <v>89.20750000000001</v>
      </c>
      <c r="K67" s="43">
        <f t="shared" si="2"/>
        <v>89.20750000000001</v>
      </c>
      <c r="L67" s="43">
        <f t="shared" si="3"/>
        <v>89.20750000000001</v>
      </c>
      <c r="M67" s="275">
        <f t="shared" si="4"/>
        <v>1635.2432599999997</v>
      </c>
      <c r="N67" s="253">
        <f t="shared" si="5"/>
        <v>272.15847457627115</v>
      </c>
      <c r="O67" s="253">
        <f t="shared" si="6"/>
        <v>-123.25173457627079</v>
      </c>
      <c r="P67" s="338">
        <f t="shared" si="7"/>
        <v>-6.9081486745100354E-2</v>
      </c>
      <c r="Q67" s="248"/>
      <c r="R67" s="253">
        <f t="shared" si="8"/>
        <v>1784.15</v>
      </c>
      <c r="S67" s="253">
        <f>VLOOKUP(C67,'Amazon Live Products'!E:AF,28,0)</f>
        <v>2099</v>
      </c>
      <c r="T67" s="253">
        <f>VLOOKUP(D67,Sheet6!AF:AG,2,0)</f>
        <v>4999</v>
      </c>
      <c r="U67" s="2">
        <f t="shared" si="9"/>
        <v>314.84999999999997</v>
      </c>
      <c r="V67" s="2">
        <f t="shared" si="10"/>
        <v>0</v>
      </c>
      <c r="W67" s="339">
        <f t="shared" si="11"/>
        <v>0</v>
      </c>
    </row>
    <row r="68" spans="1:23">
      <c r="A68" s="43">
        <f t="shared" si="12"/>
        <v>67</v>
      </c>
      <c r="B68" s="44"/>
      <c r="C68" s="44" t="s">
        <v>744</v>
      </c>
      <c r="D68" s="75" t="s">
        <v>745</v>
      </c>
      <c r="E68" s="43" t="s">
        <v>746</v>
      </c>
      <c r="F68" s="43" t="s">
        <v>748</v>
      </c>
      <c r="G68" s="275">
        <f>VLOOKUP(C68,'Margin Calculation'!F:Y,20,0)</f>
        <v>855.94319999999993</v>
      </c>
      <c r="H68" s="275">
        <f>VLOOKUP(C68,'Margin Calculation'!F:Z,21,0)</f>
        <v>1010.0129759999999</v>
      </c>
      <c r="I68" s="43">
        <f t="shared" si="0"/>
        <v>365.70400000000001</v>
      </c>
      <c r="J68" s="60">
        <f t="shared" si="1"/>
        <v>114.28250000000001</v>
      </c>
      <c r="K68" s="43">
        <f t="shared" si="2"/>
        <v>114.28250000000001</v>
      </c>
      <c r="L68" s="43">
        <f t="shared" si="3"/>
        <v>114.28250000000001</v>
      </c>
      <c r="M68" s="275">
        <f t="shared" si="4"/>
        <v>1718.564476</v>
      </c>
      <c r="N68" s="253">
        <f t="shared" si="5"/>
        <v>348.65847457627115</v>
      </c>
      <c r="O68" s="253">
        <f t="shared" si="6"/>
        <v>218.42704942372893</v>
      </c>
      <c r="P68" s="338">
        <f t="shared" si="7"/>
        <v>9.5564521875059136E-2</v>
      </c>
      <c r="Q68" s="248"/>
      <c r="R68" s="253">
        <f t="shared" si="8"/>
        <v>2285.65</v>
      </c>
      <c r="S68" s="253">
        <f>VLOOKUP(C68,'Amazon Live Products'!E:AF,28,0)</f>
        <v>2689</v>
      </c>
      <c r="T68" s="253">
        <v>3999</v>
      </c>
      <c r="U68" s="2">
        <f t="shared" si="9"/>
        <v>403.34999999999997</v>
      </c>
      <c r="V68" s="2">
        <f t="shared" si="10"/>
        <v>0</v>
      </c>
      <c r="W68" s="339">
        <f t="shared" si="11"/>
        <v>0</v>
      </c>
    </row>
    <row r="69" spans="1:23">
      <c r="A69" s="43">
        <f t="shared" si="12"/>
        <v>68</v>
      </c>
      <c r="B69" s="44"/>
      <c r="C69" s="44" t="s">
        <v>749</v>
      </c>
      <c r="D69" s="75" t="s">
        <v>951</v>
      </c>
      <c r="E69" s="43" t="s">
        <v>751</v>
      </c>
      <c r="F69" s="43" t="s">
        <v>752</v>
      </c>
      <c r="G69" s="275">
        <f>VLOOKUP(C69,'Margin Calculation'!F:Y,20,0)</f>
        <v>881.41770000000008</v>
      </c>
      <c r="H69" s="275">
        <f>VLOOKUP(C69,'Margin Calculation'!F:Z,21,0)</f>
        <v>1040.0728860000002</v>
      </c>
      <c r="I69" s="43">
        <f t="shared" si="0"/>
        <v>197.06400000000002</v>
      </c>
      <c r="J69" s="60">
        <f t="shared" si="1"/>
        <v>61.58250000000001</v>
      </c>
      <c r="K69" s="43">
        <f t="shared" si="2"/>
        <v>61.58250000000001</v>
      </c>
      <c r="L69" s="43">
        <f t="shared" si="3"/>
        <v>61.58250000000001</v>
      </c>
      <c r="M69" s="275">
        <f t="shared" si="4"/>
        <v>1421.8843860000002</v>
      </c>
      <c r="N69" s="253">
        <f t="shared" si="5"/>
        <v>187.878813559322</v>
      </c>
      <c r="O69" s="253">
        <f t="shared" si="6"/>
        <v>-378.11319955932208</v>
      </c>
      <c r="P69" s="338">
        <f t="shared" si="7"/>
        <v>-0.30699727971365409</v>
      </c>
      <c r="Q69" s="248"/>
      <c r="R69" s="253">
        <f t="shared" si="8"/>
        <v>1231.6500000000001</v>
      </c>
      <c r="S69" s="253">
        <f>VLOOKUP(C69,'Amazon Live Products'!E:AF,28,0)</f>
        <v>1449</v>
      </c>
      <c r="T69" s="253">
        <v>3399</v>
      </c>
      <c r="U69" s="2">
        <f t="shared" si="9"/>
        <v>217.35</v>
      </c>
      <c r="V69" s="2">
        <f t="shared" si="10"/>
        <v>0</v>
      </c>
      <c r="W69" s="339">
        <f t="shared" si="11"/>
        <v>0</v>
      </c>
    </row>
    <row r="70" spans="1:23">
      <c r="A70" s="43">
        <f t="shared" si="12"/>
        <v>69</v>
      </c>
      <c r="B70" s="44"/>
      <c r="C70" s="44" t="s">
        <v>779</v>
      </c>
      <c r="D70" s="75" t="s">
        <v>780</v>
      </c>
      <c r="E70" s="43" t="s">
        <v>781</v>
      </c>
      <c r="F70" s="43" t="s">
        <v>782</v>
      </c>
      <c r="G70" s="275">
        <f>VLOOKUP(C70,'Margin Calculation'!F:Y,20,0)</f>
        <v>754.04520000000002</v>
      </c>
      <c r="H70" s="275">
        <f>VLOOKUP(C70,'Margin Calculation'!F:Z,21,0)</f>
        <v>889.77333599999997</v>
      </c>
      <c r="I70" s="43">
        <f t="shared" si="0"/>
        <v>190.26400000000001</v>
      </c>
      <c r="J70" s="60">
        <f t="shared" si="1"/>
        <v>59.45750000000001</v>
      </c>
      <c r="K70" s="43">
        <f t="shared" si="2"/>
        <v>59.45750000000001</v>
      </c>
      <c r="L70" s="43">
        <f t="shared" si="3"/>
        <v>59.45750000000001</v>
      </c>
      <c r="M70" s="275">
        <f t="shared" si="4"/>
        <v>1258.4098359999998</v>
      </c>
      <c r="N70" s="253">
        <f t="shared" si="5"/>
        <v>181.39576271186434</v>
      </c>
      <c r="O70" s="253">
        <f t="shared" si="6"/>
        <v>-250.65559871186406</v>
      </c>
      <c r="P70" s="338">
        <f t="shared" si="7"/>
        <v>-0.21078551798500109</v>
      </c>
      <c r="Q70" s="248"/>
      <c r="R70" s="253">
        <f t="shared" si="8"/>
        <v>1189.1500000000001</v>
      </c>
      <c r="S70" s="253">
        <f>VLOOKUP(C70,'Amazon Live Products'!E:AF,28,0)</f>
        <v>1399</v>
      </c>
      <c r="T70" s="253">
        <f>VLOOKUP(D70,Sheet6!AF:AG,2,0)</f>
        <v>3699</v>
      </c>
      <c r="U70" s="2">
        <f t="shared" si="9"/>
        <v>209.85</v>
      </c>
      <c r="V70" s="2">
        <f t="shared" si="10"/>
        <v>0</v>
      </c>
      <c r="W70" s="339">
        <f t="shared" si="11"/>
        <v>0</v>
      </c>
    </row>
    <row r="71" spans="1:23">
      <c r="A71" s="43">
        <f t="shared" si="12"/>
        <v>70</v>
      </c>
      <c r="B71" s="69" t="s">
        <v>934</v>
      </c>
      <c r="C71" s="69" t="s">
        <v>783</v>
      </c>
      <c r="D71" s="75" t="s">
        <v>784</v>
      </c>
      <c r="E71" s="44" t="s">
        <v>785</v>
      </c>
      <c r="F71" s="44" t="s">
        <v>787</v>
      </c>
      <c r="G71" s="275">
        <f>VLOOKUP(C71,'Margin Calculation'!F:Y,20,0)</f>
        <v>1209.5568000000001</v>
      </c>
      <c r="H71" s="275">
        <f>VLOOKUP(C71,'Margin Calculation'!F:Z,21,0)</f>
        <v>1427.277024</v>
      </c>
      <c r="I71" s="43">
        <f t="shared" si="0"/>
        <v>380.66400000000004</v>
      </c>
      <c r="J71" s="60">
        <f t="shared" si="1"/>
        <v>118.95750000000001</v>
      </c>
      <c r="K71" s="43">
        <f t="shared" si="2"/>
        <v>118.95750000000001</v>
      </c>
      <c r="L71" s="43">
        <f t="shared" si="3"/>
        <v>118.95750000000001</v>
      </c>
      <c r="M71" s="275">
        <f t="shared" si="4"/>
        <v>2164.8135240000001</v>
      </c>
      <c r="N71" s="253">
        <f t="shared" si="5"/>
        <v>362.92118644067796</v>
      </c>
      <c r="O71" s="253">
        <f t="shared" si="6"/>
        <v>-148.58471044067801</v>
      </c>
      <c r="P71" s="338">
        <f t="shared" si="7"/>
        <v>-6.2452855196468489E-2</v>
      </c>
      <c r="Q71" s="248">
        <v>2549</v>
      </c>
      <c r="R71" s="253">
        <f t="shared" si="8"/>
        <v>2379.15</v>
      </c>
      <c r="S71" s="253">
        <f>VLOOKUP(C71,'Amazon Live Products'!E:AF,28,0)</f>
        <v>2799</v>
      </c>
      <c r="T71" s="253">
        <f>VLOOKUP(D71,Sheet6!AF:AG,2,0)</f>
        <v>5499</v>
      </c>
      <c r="U71" s="2">
        <f t="shared" si="9"/>
        <v>419.84999999999997</v>
      </c>
      <c r="V71" s="2">
        <f t="shared" si="10"/>
        <v>76.47</v>
      </c>
      <c r="W71" s="339">
        <f t="shared" si="11"/>
        <v>2472.5300000000002</v>
      </c>
    </row>
    <row r="72" spans="1:23">
      <c r="A72" s="43">
        <f t="shared" si="12"/>
        <v>71</v>
      </c>
      <c r="B72" s="69"/>
      <c r="C72" s="69" t="s">
        <v>788</v>
      </c>
      <c r="D72" s="75" t="s">
        <v>789</v>
      </c>
      <c r="E72" s="44" t="s">
        <v>790</v>
      </c>
      <c r="F72" s="44" t="s">
        <v>791</v>
      </c>
      <c r="G72" s="275">
        <f>VLOOKUP(C72,'Margin Calculation'!F:Y,20,0)</f>
        <v>2855.8980000000001</v>
      </c>
      <c r="H72" s="275">
        <f>VLOOKUP(C72,'Margin Calculation'!F:Z,21,0)</f>
        <v>3369.95964</v>
      </c>
      <c r="I72" s="43">
        <f t="shared" si="0"/>
        <v>815.86399999999992</v>
      </c>
      <c r="J72" s="60">
        <f t="shared" si="1"/>
        <v>254.95749999999998</v>
      </c>
      <c r="K72" s="43">
        <f t="shared" si="2"/>
        <v>254.95749999999998</v>
      </c>
      <c r="L72" s="43">
        <f t="shared" si="3"/>
        <v>254.95749999999998</v>
      </c>
      <c r="M72" s="275">
        <f t="shared" si="4"/>
        <v>4950.69614</v>
      </c>
      <c r="N72" s="253">
        <f t="shared" si="5"/>
        <v>777.83644067796558</v>
      </c>
      <c r="O72" s="253">
        <f t="shared" si="6"/>
        <v>-629.38258067796596</v>
      </c>
      <c r="P72" s="338">
        <f t="shared" si="7"/>
        <v>-0.12342892063931557</v>
      </c>
      <c r="Q72" s="248"/>
      <c r="R72" s="253">
        <f t="shared" si="8"/>
        <v>5099.1499999999996</v>
      </c>
      <c r="S72" s="253">
        <f>VLOOKUP(C72,'Amazon Live Products'!E:AF,28,0)</f>
        <v>5999</v>
      </c>
      <c r="T72" s="253">
        <f>VLOOKUP(D72,Sheet6!AF:AG,2,0)</f>
        <v>10999</v>
      </c>
      <c r="U72" s="2">
        <f t="shared" si="9"/>
        <v>899.85</v>
      </c>
      <c r="V72" s="2">
        <f t="shared" si="10"/>
        <v>0</v>
      </c>
      <c r="W72" s="339">
        <f t="shared" si="11"/>
        <v>0</v>
      </c>
    </row>
    <row r="73" spans="1:23">
      <c r="A73" s="43">
        <f t="shared" si="12"/>
        <v>72</v>
      </c>
      <c r="B73" s="44"/>
      <c r="C73" s="44" t="s">
        <v>797</v>
      </c>
      <c r="D73" s="75" t="s">
        <v>798</v>
      </c>
      <c r="E73" s="43" t="s">
        <v>799</v>
      </c>
      <c r="F73" s="43" t="s">
        <v>801</v>
      </c>
      <c r="G73" s="275">
        <f>VLOOKUP(C73,'Margin Calculation'!F:Y,20,0)</f>
        <v>815.18400000000008</v>
      </c>
      <c r="H73" s="275">
        <f>VLOOKUP(C73,'Margin Calculation'!F:Z,21,0)</f>
        <v>961.91712000000007</v>
      </c>
      <c r="I73" s="43">
        <f t="shared" si="0"/>
        <v>278.12</v>
      </c>
      <c r="J73" s="60">
        <f t="shared" si="1"/>
        <v>86.912500000000009</v>
      </c>
      <c r="K73" s="43">
        <f t="shared" si="2"/>
        <v>86.912500000000009</v>
      </c>
      <c r="L73" s="43">
        <f t="shared" si="3"/>
        <v>86.912500000000009</v>
      </c>
      <c r="M73" s="275">
        <f t="shared" si="4"/>
        <v>1500.7746199999997</v>
      </c>
      <c r="N73" s="253">
        <f t="shared" si="5"/>
        <v>265.1567796610168</v>
      </c>
      <c r="O73" s="253">
        <f t="shared" si="6"/>
        <v>-27.681399661016485</v>
      </c>
      <c r="P73" s="338">
        <f t="shared" si="7"/>
        <v>-1.5924866768886228E-2</v>
      </c>
      <c r="Q73" s="248"/>
      <c r="R73" s="253">
        <f t="shared" si="8"/>
        <v>1738.25</v>
      </c>
      <c r="S73" s="253">
        <f>VLOOKUP(C73,'Amazon Live Products'!E:AF,28,0)</f>
        <v>2045</v>
      </c>
      <c r="T73" s="253">
        <f>VLOOKUP(D73,Sheet6!AF:AG,2,0)</f>
        <v>3499</v>
      </c>
      <c r="U73" s="2">
        <f t="shared" si="9"/>
        <v>306.75</v>
      </c>
      <c r="V73" s="2">
        <f t="shared" si="10"/>
        <v>0</v>
      </c>
      <c r="W73" s="339">
        <f t="shared" si="11"/>
        <v>0</v>
      </c>
    </row>
    <row r="74" spans="1:23">
      <c r="A74" s="43">
        <f t="shared" si="12"/>
        <v>73</v>
      </c>
      <c r="B74" s="44"/>
      <c r="C74" s="44" t="s">
        <v>802</v>
      </c>
      <c r="D74" s="75" t="s">
        <v>803</v>
      </c>
      <c r="E74" s="43" t="s">
        <v>804</v>
      </c>
      <c r="F74" s="43" t="s">
        <v>805</v>
      </c>
      <c r="G74" s="275">
        <f>VLOOKUP(C74,'Margin Calculation'!F:Y,20,0)</f>
        <v>804.99420000000009</v>
      </c>
      <c r="H74" s="275">
        <f>VLOOKUP(C74,'Margin Calculation'!F:Z,21,0)</f>
        <v>949.89315600000009</v>
      </c>
      <c r="I74" s="43">
        <f t="shared" si="0"/>
        <v>296.88799999999998</v>
      </c>
      <c r="J74" s="60">
        <f t="shared" si="1"/>
        <v>92.777500000000003</v>
      </c>
      <c r="K74" s="43">
        <f t="shared" si="2"/>
        <v>92.777500000000003</v>
      </c>
      <c r="L74" s="43">
        <f t="shared" si="3"/>
        <v>92.777500000000003</v>
      </c>
      <c r="M74" s="275">
        <f t="shared" si="4"/>
        <v>1525.1136559999998</v>
      </c>
      <c r="N74" s="253">
        <f t="shared" si="5"/>
        <v>283.04999999999995</v>
      </c>
      <c r="O74" s="253">
        <f t="shared" si="6"/>
        <v>47.386344000000236</v>
      </c>
      <c r="P74" s="338">
        <f t="shared" si="7"/>
        <v>2.5537627118644195E-2</v>
      </c>
      <c r="Q74" s="248"/>
      <c r="R74" s="253">
        <f t="shared" si="8"/>
        <v>1855.55</v>
      </c>
      <c r="S74" s="253">
        <f>VLOOKUP(C74,'Amazon Live Products'!E:AF,28,0)</f>
        <v>2183</v>
      </c>
      <c r="T74" s="253">
        <f>VLOOKUP(D74,Sheet6!AF:AG,2,0)</f>
        <v>3899</v>
      </c>
      <c r="U74" s="2">
        <f t="shared" si="9"/>
        <v>327.45</v>
      </c>
      <c r="V74" s="2">
        <f t="shared" si="10"/>
        <v>0</v>
      </c>
      <c r="W74" s="339">
        <f t="shared" si="11"/>
        <v>0</v>
      </c>
    </row>
    <row r="75" spans="1:23">
      <c r="A75" s="43">
        <f t="shared" si="12"/>
        <v>74</v>
      </c>
      <c r="B75" s="44" t="s">
        <v>934</v>
      </c>
      <c r="C75" s="44" t="s">
        <v>810</v>
      </c>
      <c r="D75" s="249" t="s">
        <v>811</v>
      </c>
      <c r="E75" s="44" t="s">
        <v>812</v>
      </c>
      <c r="F75" s="44" t="s">
        <v>814</v>
      </c>
      <c r="G75" s="275">
        <f>VLOOKUP(C75,'Margin Calculation'!F:Y,20,0)</f>
        <v>429.92094600000001</v>
      </c>
      <c r="H75" s="275">
        <f>VLOOKUP(C75,'Margin Calculation'!F:Z,21,0)</f>
        <v>481.51145952000007</v>
      </c>
      <c r="I75" s="43">
        <f t="shared" si="0"/>
        <v>149.464</v>
      </c>
      <c r="J75" s="60">
        <f t="shared" si="1"/>
        <v>46.707500000000003</v>
      </c>
      <c r="K75" s="43">
        <f t="shared" si="2"/>
        <v>46.707500000000003</v>
      </c>
      <c r="L75" s="43">
        <f t="shared" si="3"/>
        <v>46.707500000000003</v>
      </c>
      <c r="M75" s="275">
        <f t="shared" si="4"/>
        <v>771.09795952000002</v>
      </c>
      <c r="N75" s="253">
        <f t="shared" si="5"/>
        <v>142.49745762711859</v>
      </c>
      <c r="O75" s="253">
        <f t="shared" si="6"/>
        <v>20.554582852881367</v>
      </c>
      <c r="P75" s="338">
        <f t="shared" si="7"/>
        <v>2.2003514267388929E-2</v>
      </c>
      <c r="Q75" s="248">
        <v>935</v>
      </c>
      <c r="R75" s="253">
        <f t="shared" si="8"/>
        <v>934.15</v>
      </c>
      <c r="S75" s="253">
        <f>VLOOKUP(C75,'Amazon Live Products'!E:AF,28,0)</f>
        <v>1099</v>
      </c>
      <c r="T75" s="253">
        <f>VLOOKUP(D75,Sheet6!AF:AG,2,0)</f>
        <v>1899</v>
      </c>
      <c r="U75" s="2">
        <f t="shared" si="9"/>
        <v>164.85</v>
      </c>
      <c r="V75" s="2">
        <f t="shared" si="10"/>
        <v>28.05</v>
      </c>
      <c r="W75" s="339">
        <f t="shared" si="11"/>
        <v>906.95</v>
      </c>
    </row>
    <row r="76" spans="1:23">
      <c r="A76" s="43">
        <f t="shared" si="12"/>
        <v>75</v>
      </c>
      <c r="B76" s="44" t="s">
        <v>934</v>
      </c>
      <c r="C76" s="44" t="s">
        <v>815</v>
      </c>
      <c r="D76" s="249" t="s">
        <v>816</v>
      </c>
      <c r="E76" s="44" t="s">
        <v>817</v>
      </c>
      <c r="F76" s="44" t="s">
        <v>818</v>
      </c>
      <c r="G76" s="275">
        <f>VLOOKUP(C76,'Margin Calculation'!F:Y,20,0)</f>
        <v>429.92094600000001</v>
      </c>
      <c r="H76" s="275">
        <f>VLOOKUP(C76,'Margin Calculation'!F:Z,21,0)</f>
        <v>481.51145952000007</v>
      </c>
      <c r="I76" s="43">
        <f t="shared" si="0"/>
        <v>149.464</v>
      </c>
      <c r="J76" s="60">
        <f t="shared" si="1"/>
        <v>46.707500000000003</v>
      </c>
      <c r="K76" s="43">
        <f t="shared" si="2"/>
        <v>46.707500000000003</v>
      </c>
      <c r="L76" s="43">
        <f t="shared" si="3"/>
        <v>46.707500000000003</v>
      </c>
      <c r="M76" s="275">
        <f t="shared" si="4"/>
        <v>771.09795952000002</v>
      </c>
      <c r="N76" s="253">
        <f t="shared" si="5"/>
        <v>142.49745762711859</v>
      </c>
      <c r="O76" s="253">
        <f t="shared" si="6"/>
        <v>20.554582852881367</v>
      </c>
      <c r="P76" s="338">
        <f t="shared" si="7"/>
        <v>2.2003514267388929E-2</v>
      </c>
      <c r="Q76" s="248">
        <v>935</v>
      </c>
      <c r="R76" s="253">
        <f t="shared" si="8"/>
        <v>934.15</v>
      </c>
      <c r="S76" s="253">
        <f>VLOOKUP(C76,'Amazon Live Products'!E:AF,28,0)</f>
        <v>1099</v>
      </c>
      <c r="T76" s="253">
        <f>VLOOKUP(D76,Sheet6!AF:AG,2,0)</f>
        <v>1899</v>
      </c>
      <c r="U76" s="2">
        <f t="shared" si="9"/>
        <v>164.85</v>
      </c>
      <c r="V76" s="2">
        <f t="shared" si="10"/>
        <v>28.05</v>
      </c>
      <c r="W76" s="339">
        <f t="shared" si="11"/>
        <v>906.95</v>
      </c>
    </row>
    <row r="77" spans="1:23">
      <c r="A77" s="43">
        <f t="shared" si="12"/>
        <v>76</v>
      </c>
      <c r="B77" s="44"/>
      <c r="C77" s="44" t="s">
        <v>819</v>
      </c>
      <c r="D77" s="249" t="s">
        <v>820</v>
      </c>
      <c r="E77" s="44" t="s">
        <v>821</v>
      </c>
      <c r="F77" s="44" t="s">
        <v>822</v>
      </c>
      <c r="G77" s="275">
        <f>VLOOKUP(C77,'Margin Calculation'!F:Y,20,0)</f>
        <v>8295.4063129764709</v>
      </c>
      <c r="H77" s="275">
        <f>VLOOKUP(C77,'Margin Calculation'!F:Z,21,0)</f>
        <v>9290.8550705336474</v>
      </c>
      <c r="I77" s="43">
        <f t="shared" si="0"/>
        <v>2174.64</v>
      </c>
      <c r="J77" s="60">
        <f t="shared" si="1"/>
        <v>679.57500000000005</v>
      </c>
      <c r="K77" s="43">
        <f t="shared" si="2"/>
        <v>679.57500000000005</v>
      </c>
      <c r="L77" s="43">
        <f t="shared" si="3"/>
        <v>679.57500000000005</v>
      </c>
      <c r="M77" s="275">
        <f t="shared" si="4"/>
        <v>13504.220070533649</v>
      </c>
      <c r="N77" s="253">
        <f t="shared" si="5"/>
        <v>2073.279661016948</v>
      </c>
      <c r="O77" s="253">
        <f t="shared" si="6"/>
        <v>-1985.9997315505971</v>
      </c>
      <c r="P77" s="338">
        <f t="shared" si="7"/>
        <v>-0.14612071747420058</v>
      </c>
      <c r="Q77" s="248"/>
      <c r="R77" s="253">
        <f t="shared" si="8"/>
        <v>13591.5</v>
      </c>
      <c r="S77" s="253">
        <f>VLOOKUP(C77,'Amazon Live Products'!E:AF,28,0)</f>
        <v>15990</v>
      </c>
      <c r="T77" s="253">
        <f>VLOOKUP(D77,Sheet6!AF:AG,2,0)</f>
        <v>29999</v>
      </c>
      <c r="U77" s="2">
        <f t="shared" si="9"/>
        <v>2398.5</v>
      </c>
      <c r="V77" s="2">
        <f t="shared" si="10"/>
        <v>0</v>
      </c>
      <c r="W77" s="339">
        <f t="shared" si="11"/>
        <v>0</v>
      </c>
    </row>
    <row r="78" spans="1:23">
      <c r="A78" s="43">
        <f t="shared" si="12"/>
        <v>77</v>
      </c>
      <c r="B78" s="44"/>
      <c r="C78" s="44" t="s">
        <v>827</v>
      </c>
      <c r="D78" s="249" t="s">
        <v>828</v>
      </c>
      <c r="E78" s="44" t="s">
        <v>829</v>
      </c>
      <c r="F78" s="44" t="s">
        <v>830</v>
      </c>
      <c r="G78" s="275">
        <f>VLOOKUP(C78,'Margin Calculation'!F:Y,20,0)</f>
        <v>674.89533656470587</v>
      </c>
      <c r="H78" s="275">
        <f>VLOOKUP(C78,'Margin Calculation'!F:Z,21,0)</f>
        <v>755.88277695247064</v>
      </c>
      <c r="I78" s="43">
        <f t="shared" si="0"/>
        <v>251.46400000000003</v>
      </c>
      <c r="J78" s="60">
        <f t="shared" si="1"/>
        <v>78.58250000000001</v>
      </c>
      <c r="K78" s="43">
        <f t="shared" si="2"/>
        <v>78.58250000000001</v>
      </c>
      <c r="L78" s="43">
        <f t="shared" si="3"/>
        <v>78.58250000000001</v>
      </c>
      <c r="M78" s="275">
        <f t="shared" si="4"/>
        <v>1243.0942769524706</v>
      </c>
      <c r="N78" s="253">
        <f t="shared" si="5"/>
        <v>239.74322033898306</v>
      </c>
      <c r="O78" s="253">
        <f t="shared" si="6"/>
        <v>88.81250270854639</v>
      </c>
      <c r="P78" s="338">
        <f t="shared" si="7"/>
        <v>5.6509084534436031E-2</v>
      </c>
      <c r="Q78" s="248">
        <v>1700</v>
      </c>
      <c r="R78" s="253">
        <f t="shared" si="8"/>
        <v>1571.65</v>
      </c>
      <c r="S78" s="253">
        <f>VLOOKUP(C78,'Amazon Live Products'!E:AF,28,0)</f>
        <v>1849</v>
      </c>
      <c r="T78" s="253">
        <f>VLOOKUP(D78,Sheet6!AF:AG,2,0)</f>
        <v>3599</v>
      </c>
      <c r="U78" s="2">
        <f t="shared" si="9"/>
        <v>277.34999999999997</v>
      </c>
      <c r="V78" s="2">
        <f t="shared" si="10"/>
        <v>51</v>
      </c>
      <c r="W78" s="339">
        <f t="shared" si="11"/>
        <v>1649</v>
      </c>
    </row>
    <row r="79" spans="1:23">
      <c r="A79" s="43">
        <f t="shared" si="12"/>
        <v>78</v>
      </c>
      <c r="B79" s="44"/>
      <c r="C79" s="44" t="s">
        <v>831</v>
      </c>
      <c r="D79" s="249" t="s">
        <v>832</v>
      </c>
      <c r="E79" s="44" t="s">
        <v>833</v>
      </c>
      <c r="F79" s="44" t="s">
        <v>834</v>
      </c>
      <c r="G79" s="275">
        <f>VLOOKUP(C79,'Margin Calculation'!F:Y,20,0)</f>
        <v>674.89533656470587</v>
      </c>
      <c r="H79" s="275">
        <f>VLOOKUP(C79,'Margin Calculation'!F:Z,21,0)</f>
        <v>755.88277695247064</v>
      </c>
      <c r="I79" s="43">
        <f t="shared" si="0"/>
        <v>244.66400000000002</v>
      </c>
      <c r="J79" s="60">
        <f t="shared" si="1"/>
        <v>76.45750000000001</v>
      </c>
      <c r="K79" s="43">
        <f t="shared" si="2"/>
        <v>76.45750000000001</v>
      </c>
      <c r="L79" s="43">
        <f t="shared" si="3"/>
        <v>76.45750000000001</v>
      </c>
      <c r="M79" s="275">
        <f t="shared" si="4"/>
        <v>1229.9192769524707</v>
      </c>
      <c r="N79" s="253">
        <f t="shared" si="5"/>
        <v>233.2601694915254</v>
      </c>
      <c r="O79" s="253">
        <f t="shared" si="6"/>
        <v>65.970553556004006</v>
      </c>
      <c r="P79" s="338">
        <f t="shared" si="7"/>
        <v>4.3141976624924958E-2</v>
      </c>
      <c r="Q79" s="248"/>
      <c r="R79" s="253">
        <f t="shared" si="8"/>
        <v>1529.15</v>
      </c>
      <c r="S79" s="253">
        <f>VLOOKUP(C79,'Amazon Live Products'!E:AF,28,0)</f>
        <v>1799</v>
      </c>
      <c r="T79" s="253">
        <f>VLOOKUP(D79,Sheet6!AF:AG,2,0)</f>
        <v>2899</v>
      </c>
      <c r="U79" s="2">
        <f t="shared" si="9"/>
        <v>269.84999999999997</v>
      </c>
      <c r="V79" s="2">
        <f t="shared" si="10"/>
        <v>0</v>
      </c>
      <c r="W79" s="339">
        <f t="shared" si="11"/>
        <v>0</v>
      </c>
    </row>
    <row r="80" spans="1:23">
      <c r="A80" s="43">
        <f t="shared" si="12"/>
        <v>79</v>
      </c>
      <c r="B80" s="44"/>
      <c r="C80" s="44" t="s">
        <v>839</v>
      </c>
      <c r="D80" s="75" t="s">
        <v>840</v>
      </c>
      <c r="E80" s="43" t="s">
        <v>841</v>
      </c>
      <c r="F80" s="69" t="s">
        <v>842</v>
      </c>
      <c r="G80" s="275">
        <f>VLOOKUP(C80,'Margin Calculation'!F:Y,20,0)</f>
        <v>367.85177999999996</v>
      </c>
      <c r="H80" s="275">
        <f>VLOOKUP(C80,'Margin Calculation'!F:Z,21,0)</f>
        <v>434.06510039999995</v>
      </c>
      <c r="I80" s="43" t="e">
        <f t="shared" si="0"/>
        <v>#N/A</v>
      </c>
      <c r="J80" s="60" t="e">
        <f t="shared" si="1"/>
        <v>#N/A</v>
      </c>
      <c r="K80" s="43" t="e">
        <f t="shared" si="2"/>
        <v>#N/A</v>
      </c>
      <c r="L80" s="43" t="e">
        <f t="shared" si="3"/>
        <v>#N/A</v>
      </c>
      <c r="M80" s="43" t="e">
        <f t="shared" si="4"/>
        <v>#N/A</v>
      </c>
      <c r="N80" s="43" t="e">
        <f t="shared" si="5"/>
        <v>#N/A</v>
      </c>
      <c r="O80" s="43" t="e">
        <f t="shared" si="6"/>
        <v>#N/A</v>
      </c>
      <c r="P80" s="338" t="e">
        <f t="shared" si="7"/>
        <v>#N/A</v>
      </c>
      <c r="Q80" s="248"/>
      <c r="R80" s="253" t="e">
        <f t="shared" si="8"/>
        <v>#N/A</v>
      </c>
      <c r="S80" s="253" t="e">
        <f>VLOOKUP(C80,'Amazon Live Products'!E:AF,28,0)</f>
        <v>#N/A</v>
      </c>
      <c r="T80" s="253">
        <f>VLOOKUP(D80,Sheet6!AF:AG,2,0)</f>
        <v>1999</v>
      </c>
      <c r="U80" s="2" t="e">
        <f t="shared" si="9"/>
        <v>#N/A</v>
      </c>
      <c r="V80" s="2">
        <f t="shared" si="10"/>
        <v>0</v>
      </c>
      <c r="W80" s="339">
        <f t="shared" si="11"/>
        <v>0</v>
      </c>
    </row>
    <row r="81" spans="1:23">
      <c r="A81" s="43">
        <f t="shared" si="12"/>
        <v>80</v>
      </c>
      <c r="B81" s="44"/>
      <c r="C81" s="44" t="s">
        <v>843</v>
      </c>
      <c r="D81" s="75" t="s">
        <v>844</v>
      </c>
      <c r="E81" s="43" t="s">
        <v>845</v>
      </c>
      <c r="F81" s="69" t="s">
        <v>846</v>
      </c>
      <c r="G81" s="275">
        <f>VLOOKUP(C81,'Margin Calculation'!F:Y,20,0)</f>
        <v>830.46870000000001</v>
      </c>
      <c r="H81" s="275">
        <f>VLOOKUP(C81,'Margin Calculation'!F:Z,21,0)</f>
        <v>979.95306599999992</v>
      </c>
      <c r="I81" s="43" t="e">
        <f t="shared" si="0"/>
        <v>#N/A</v>
      </c>
      <c r="J81" s="60" t="e">
        <f t="shared" si="1"/>
        <v>#N/A</v>
      </c>
      <c r="K81" s="43" t="e">
        <f t="shared" si="2"/>
        <v>#N/A</v>
      </c>
      <c r="L81" s="43" t="e">
        <f t="shared" si="3"/>
        <v>#N/A</v>
      </c>
      <c r="M81" s="43" t="e">
        <f t="shared" si="4"/>
        <v>#N/A</v>
      </c>
      <c r="N81" s="43" t="e">
        <f t="shared" si="5"/>
        <v>#N/A</v>
      </c>
      <c r="O81" s="43" t="e">
        <f t="shared" si="6"/>
        <v>#N/A</v>
      </c>
      <c r="P81" s="338" t="e">
        <f t="shared" si="7"/>
        <v>#N/A</v>
      </c>
      <c r="Q81" s="248"/>
      <c r="R81" s="253" t="e">
        <f t="shared" si="8"/>
        <v>#N/A</v>
      </c>
      <c r="S81" s="253" t="e">
        <f>VLOOKUP(C81,'Amazon Live Products'!E:AF,28,0)</f>
        <v>#N/A</v>
      </c>
      <c r="T81" s="253">
        <f>VLOOKUP(D81,Sheet6!AF:AG,2,0)</f>
        <v>3999</v>
      </c>
      <c r="U81" s="2" t="e">
        <f t="shared" si="9"/>
        <v>#N/A</v>
      </c>
      <c r="V81" s="2">
        <f t="shared" si="10"/>
        <v>0</v>
      </c>
      <c r="W81" s="339">
        <f t="shared" si="11"/>
        <v>0</v>
      </c>
    </row>
    <row r="82" spans="1:23">
      <c r="A82" s="43">
        <f t="shared" si="12"/>
        <v>81</v>
      </c>
      <c r="B82" s="44"/>
      <c r="C82" s="44" t="s">
        <v>847</v>
      </c>
      <c r="D82" s="75" t="s">
        <v>848</v>
      </c>
      <c r="E82" s="43" t="s">
        <v>849</v>
      </c>
      <c r="F82" s="69" t="s">
        <v>850</v>
      </c>
      <c r="G82" s="275">
        <f>VLOOKUP(C82,'Margin Calculation'!F:Y,20,0)</f>
        <v>5278.3163999999997</v>
      </c>
      <c r="H82" s="275">
        <f>VLOOKUP(C82,'Margin Calculation'!F:Z,21,0)</f>
        <v>6228.4133519999996</v>
      </c>
      <c r="I82" s="43" t="e">
        <f t="shared" si="0"/>
        <v>#N/A</v>
      </c>
      <c r="J82" s="60" t="e">
        <f t="shared" si="1"/>
        <v>#N/A</v>
      </c>
      <c r="K82" s="43" t="e">
        <f t="shared" si="2"/>
        <v>#N/A</v>
      </c>
      <c r="L82" s="43" t="e">
        <f t="shared" si="3"/>
        <v>#N/A</v>
      </c>
      <c r="M82" s="43" t="e">
        <f t="shared" si="4"/>
        <v>#N/A</v>
      </c>
      <c r="N82" s="43" t="e">
        <f t="shared" si="5"/>
        <v>#N/A</v>
      </c>
      <c r="O82" s="43" t="e">
        <f t="shared" si="6"/>
        <v>#N/A</v>
      </c>
      <c r="P82" s="338" t="e">
        <f t="shared" si="7"/>
        <v>#N/A</v>
      </c>
      <c r="Q82" s="248"/>
      <c r="R82" s="253" t="e">
        <f t="shared" si="8"/>
        <v>#N/A</v>
      </c>
      <c r="S82" s="253" t="e">
        <f>VLOOKUP(C82,'Amazon Live Products'!E:AF,28,0)</f>
        <v>#N/A</v>
      </c>
      <c r="T82" s="253">
        <f>VLOOKUP(D82,Sheet6!AF:AG,2,0)</f>
        <v>19999</v>
      </c>
      <c r="U82" s="2" t="e">
        <f t="shared" si="9"/>
        <v>#N/A</v>
      </c>
      <c r="V82" s="2">
        <f t="shared" si="10"/>
        <v>0</v>
      </c>
      <c r="W82" s="339">
        <f t="shared" si="11"/>
        <v>0</v>
      </c>
    </row>
    <row r="83" spans="1:23">
      <c r="A83" s="43">
        <f t="shared" si="12"/>
        <v>82</v>
      </c>
      <c r="B83" s="44"/>
      <c r="C83" s="44" t="s">
        <v>851</v>
      </c>
      <c r="D83" s="75" t="s">
        <v>852</v>
      </c>
      <c r="E83" s="43" t="s">
        <v>853</v>
      </c>
      <c r="F83" s="69" t="s">
        <v>854</v>
      </c>
      <c r="G83" s="275">
        <f>VLOOKUP(C83,'Margin Calculation'!F:Y,20,0)</f>
        <v>2751.2459999999996</v>
      </c>
      <c r="H83" s="275">
        <f>VLOOKUP(C83,'Margin Calculation'!F:Z,21,0)</f>
        <v>3246.4702799999995</v>
      </c>
      <c r="I83" s="43" t="e">
        <f t="shared" si="0"/>
        <v>#N/A</v>
      </c>
      <c r="J83" s="60" t="e">
        <f t="shared" si="1"/>
        <v>#N/A</v>
      </c>
      <c r="K83" s="43" t="e">
        <f t="shared" si="2"/>
        <v>#N/A</v>
      </c>
      <c r="L83" s="43" t="e">
        <f t="shared" si="3"/>
        <v>#N/A</v>
      </c>
      <c r="M83" s="43" t="e">
        <f t="shared" si="4"/>
        <v>#N/A</v>
      </c>
      <c r="N83" s="43" t="e">
        <f t="shared" si="5"/>
        <v>#N/A</v>
      </c>
      <c r="O83" s="43" t="e">
        <f t="shared" si="6"/>
        <v>#N/A</v>
      </c>
      <c r="P83" s="338" t="e">
        <f t="shared" si="7"/>
        <v>#N/A</v>
      </c>
      <c r="Q83" s="248"/>
      <c r="R83" s="253" t="e">
        <f t="shared" si="8"/>
        <v>#N/A</v>
      </c>
      <c r="S83" s="253" t="e">
        <f>VLOOKUP(C83,'Amazon Live Products'!E:AF,28,0)</f>
        <v>#N/A</v>
      </c>
      <c r="T83" s="253">
        <f>VLOOKUP(D83,Sheet6!AF:AG,2,0)</f>
        <v>11999</v>
      </c>
      <c r="U83" s="2" t="e">
        <f t="shared" si="9"/>
        <v>#N/A</v>
      </c>
      <c r="V83" s="2">
        <f t="shared" si="10"/>
        <v>0</v>
      </c>
      <c r="W83" s="339">
        <f t="shared" si="11"/>
        <v>0</v>
      </c>
    </row>
    <row r="84" spans="1:23">
      <c r="A84" s="43">
        <f t="shared" si="12"/>
        <v>83</v>
      </c>
      <c r="B84" s="44"/>
      <c r="C84" s="44" t="s">
        <v>855</v>
      </c>
      <c r="D84" s="75" t="s">
        <v>856</v>
      </c>
      <c r="E84" s="43" t="s">
        <v>857</v>
      </c>
      <c r="F84" s="69" t="s">
        <v>858</v>
      </c>
      <c r="G84" s="275">
        <f>VLOOKUP(C84,'Margin Calculation'!F:Y,20,0)</f>
        <v>815.18400000000008</v>
      </c>
      <c r="H84" s="275">
        <f>VLOOKUP(C84,'Margin Calculation'!F:Z,21,0)</f>
        <v>961.91712000000007</v>
      </c>
      <c r="I84" s="43">
        <f t="shared" si="0"/>
        <v>254.18400000000003</v>
      </c>
      <c r="J84" s="60">
        <f t="shared" si="1"/>
        <v>79.432500000000005</v>
      </c>
      <c r="K84" s="43">
        <f t="shared" si="2"/>
        <v>79.432500000000005</v>
      </c>
      <c r="L84" s="43">
        <f t="shared" si="3"/>
        <v>79.432500000000005</v>
      </c>
      <c r="M84" s="275">
        <f t="shared" si="4"/>
        <v>1454.3986199999999</v>
      </c>
      <c r="N84" s="253">
        <f t="shared" si="5"/>
        <v>242.33644067796604</v>
      </c>
      <c r="O84" s="253">
        <f t="shared" si="6"/>
        <v>-108.08506067796588</v>
      </c>
      <c r="P84" s="338">
        <f t="shared" si="7"/>
        <v>-6.8035791821965744E-2</v>
      </c>
      <c r="Q84" s="248"/>
      <c r="R84" s="253">
        <f t="shared" si="8"/>
        <v>1588.65</v>
      </c>
      <c r="S84" s="253">
        <f>VLOOKUP(C84,'Amazon Live Products'!E:AF,28,0)</f>
        <v>1869</v>
      </c>
      <c r="T84" s="253">
        <f>VLOOKUP(D84,Sheet6!AF:AG,2,0)</f>
        <v>3999</v>
      </c>
      <c r="U84" s="2">
        <f t="shared" si="9"/>
        <v>280.34999999999997</v>
      </c>
      <c r="V84" s="2">
        <f t="shared" si="10"/>
        <v>0</v>
      </c>
      <c r="W84" s="339">
        <f t="shared" si="11"/>
        <v>0</v>
      </c>
    </row>
    <row r="85" spans="1:23">
      <c r="A85" s="43">
        <f t="shared" si="12"/>
        <v>84</v>
      </c>
      <c r="B85" s="44"/>
      <c r="C85" s="44" t="s">
        <v>859</v>
      </c>
      <c r="D85" s="249" t="s">
        <v>860</v>
      </c>
      <c r="E85" s="44" t="s">
        <v>861</v>
      </c>
      <c r="F85" s="44" t="s">
        <v>862</v>
      </c>
      <c r="G85" s="275">
        <f>VLOOKUP(C85,'Margin Calculation'!F:Y,20,0)</f>
        <v>1783.2150000000001</v>
      </c>
      <c r="H85" s="275">
        <f>VLOOKUP(C85,'Margin Calculation'!F:Z,21,0)</f>
        <v>2104.1937000000003</v>
      </c>
      <c r="I85" s="43">
        <f t="shared" si="0"/>
        <v>489.464</v>
      </c>
      <c r="J85" s="60">
        <f t="shared" si="1"/>
        <v>152.95750000000001</v>
      </c>
      <c r="K85" s="43">
        <f t="shared" si="2"/>
        <v>152.95750000000001</v>
      </c>
      <c r="L85" s="43">
        <f t="shared" si="3"/>
        <v>152.95750000000001</v>
      </c>
      <c r="M85" s="275">
        <f t="shared" si="4"/>
        <v>3052.5302000000001</v>
      </c>
      <c r="N85" s="253">
        <f t="shared" si="5"/>
        <v>466.65000000000009</v>
      </c>
      <c r="O85" s="253">
        <f t="shared" si="6"/>
        <v>-460.03020000000015</v>
      </c>
      <c r="P85" s="338">
        <f t="shared" si="7"/>
        <v>-0.15037843845512647</v>
      </c>
      <c r="Q85" s="248">
        <v>3399</v>
      </c>
      <c r="R85" s="253">
        <f t="shared" si="8"/>
        <v>3059.15</v>
      </c>
      <c r="S85" s="253">
        <f>VLOOKUP(C85,'Amazon Live Products'!E:AF,28,0)</f>
        <v>3599</v>
      </c>
      <c r="T85" s="253">
        <f>VLOOKUP(D85,Sheet6!AF:AG,2,0)</f>
        <v>6499</v>
      </c>
      <c r="U85" s="2">
        <f t="shared" si="9"/>
        <v>539.85</v>
      </c>
      <c r="V85" s="2">
        <f t="shared" si="10"/>
        <v>101.97</v>
      </c>
      <c r="W85" s="339">
        <f t="shared" si="11"/>
        <v>3297.03</v>
      </c>
    </row>
    <row r="86" spans="1:23">
      <c r="A86" s="43">
        <f t="shared" si="12"/>
        <v>85</v>
      </c>
      <c r="B86" s="44"/>
      <c r="C86" s="44" t="s">
        <v>863</v>
      </c>
      <c r="D86" s="44" t="s">
        <v>864</v>
      </c>
      <c r="E86" s="44" t="s">
        <v>865</v>
      </c>
      <c r="F86" s="44" t="s">
        <v>866</v>
      </c>
      <c r="G86" s="275">
        <f>VLOOKUP(C86,'Margin Calculation'!F:Y,20,0)</f>
        <v>1007.9640000000001</v>
      </c>
      <c r="H86" s="275">
        <f>VLOOKUP(C86,'Margin Calculation'!F:Z,21,0)</f>
        <v>1189.39752</v>
      </c>
      <c r="I86" s="43">
        <f t="shared" si="0"/>
        <v>339.86400000000003</v>
      </c>
      <c r="J86" s="60">
        <f t="shared" si="1"/>
        <v>106.20750000000001</v>
      </c>
      <c r="K86" s="43">
        <f t="shared" si="2"/>
        <v>106.20750000000001</v>
      </c>
      <c r="L86" s="43">
        <f t="shared" si="3"/>
        <v>106.20750000000001</v>
      </c>
      <c r="M86" s="275">
        <f t="shared" si="4"/>
        <v>1847.88402</v>
      </c>
      <c r="N86" s="253">
        <f t="shared" si="5"/>
        <v>324.02288135593221</v>
      </c>
      <c r="O86" s="253">
        <f t="shared" si="6"/>
        <v>-47.756901355932087</v>
      </c>
      <c r="P86" s="338">
        <f t="shared" si="7"/>
        <v>-2.2482829063828865E-2</v>
      </c>
      <c r="Q86" s="248"/>
      <c r="R86" s="253">
        <f t="shared" si="8"/>
        <v>2124.15</v>
      </c>
      <c r="S86" s="253">
        <f>VLOOKUP(C86,'Amazon Live Products'!E:AF,28,0)</f>
        <v>2499</v>
      </c>
      <c r="T86" s="253">
        <f>VLOOKUP(D86,Sheet6!AF:AG,2,0)</f>
        <v>3499</v>
      </c>
      <c r="U86" s="2">
        <f t="shared" si="9"/>
        <v>374.84999999999997</v>
      </c>
      <c r="V86" s="2">
        <f t="shared" si="10"/>
        <v>0</v>
      </c>
      <c r="W86" s="339">
        <f t="shared" si="11"/>
        <v>0</v>
      </c>
    </row>
    <row r="87" spans="1:23">
      <c r="A87" s="43">
        <f t="shared" si="12"/>
        <v>86</v>
      </c>
      <c r="B87" s="333"/>
      <c r="C87" s="2" t="s">
        <v>879</v>
      </c>
      <c r="D87" s="161" t="s">
        <v>880</v>
      </c>
      <c r="E87" s="182" t="s">
        <v>881</v>
      </c>
      <c r="F87" s="140" t="s">
        <v>883</v>
      </c>
      <c r="G87" s="275">
        <f>VLOOKUP(C87,'Margin Calculation'!F:Y,20,0)</f>
        <v>221.75208000000001</v>
      </c>
      <c r="H87" s="275">
        <f>VLOOKUP(C87,'Margin Calculation'!F:Z,21,0)</f>
        <v>261.6674544</v>
      </c>
      <c r="I87" s="43">
        <f t="shared" si="0"/>
        <v>74.664000000000001</v>
      </c>
      <c r="J87" s="60">
        <f t="shared" si="1"/>
        <v>23.3325</v>
      </c>
      <c r="K87" s="43">
        <f t="shared" si="2"/>
        <v>23.3325</v>
      </c>
      <c r="L87" s="43">
        <f t="shared" si="3"/>
        <v>23.3325</v>
      </c>
      <c r="M87" s="275">
        <f t="shared" si="4"/>
        <v>406.32895439999993</v>
      </c>
      <c r="N87" s="253">
        <f t="shared" si="5"/>
        <v>71.183898305084711</v>
      </c>
      <c r="O87" s="253">
        <f t="shared" si="6"/>
        <v>-10.862852705084663</v>
      </c>
      <c r="P87" s="338">
        <f t="shared" si="7"/>
        <v>-2.3278372881355754E-2</v>
      </c>
      <c r="Q87" s="332"/>
      <c r="R87" s="253">
        <f t="shared" si="8"/>
        <v>466.65</v>
      </c>
      <c r="S87" s="253">
        <f>VLOOKUP(C87,'Amazon Live Products'!E:AF,28,0)</f>
        <v>549</v>
      </c>
      <c r="T87" s="253"/>
      <c r="U87" s="2">
        <f t="shared" si="9"/>
        <v>82.35</v>
      </c>
    </row>
    <row r="88" spans="1:23">
      <c r="A88" s="43">
        <f t="shared" si="12"/>
        <v>87</v>
      </c>
      <c r="B88" s="44"/>
      <c r="C88" s="2" t="s">
        <v>884</v>
      </c>
      <c r="D88" s="161" t="s">
        <v>885</v>
      </c>
      <c r="E88" s="182" t="s">
        <v>886</v>
      </c>
      <c r="F88" s="140" t="s">
        <v>888</v>
      </c>
      <c r="G88" s="275">
        <f>VLOOKUP(C88,'Margin Calculation'!F:Y,20,0)</f>
        <v>251.99100000000001</v>
      </c>
      <c r="H88" s="275">
        <f>VLOOKUP(C88,'Margin Calculation'!F:Z,21,0)</f>
        <v>297.34938</v>
      </c>
      <c r="I88" s="43">
        <f t="shared" si="0"/>
        <v>81.463999999999999</v>
      </c>
      <c r="J88" s="60">
        <f t="shared" si="1"/>
        <v>25.4575</v>
      </c>
      <c r="K88" s="43">
        <f t="shared" si="2"/>
        <v>25.4575</v>
      </c>
      <c r="L88" s="43">
        <f t="shared" si="3"/>
        <v>25.4575</v>
      </c>
      <c r="M88" s="275">
        <f t="shared" si="4"/>
        <v>455.18587999999994</v>
      </c>
      <c r="N88" s="253">
        <f t="shared" si="5"/>
        <v>77.666949152542372</v>
      </c>
      <c r="O88" s="253">
        <f t="shared" si="6"/>
        <v>-23.702829152542336</v>
      </c>
      <c r="P88" s="338">
        <f t="shared" si="7"/>
        <v>-4.655372513511212E-2</v>
      </c>
      <c r="Q88" s="253"/>
      <c r="R88" s="253">
        <f t="shared" si="8"/>
        <v>509.15</v>
      </c>
      <c r="S88" s="253">
        <f>VLOOKUP(C88,'Amazon Live Products'!E:AF,28,0)</f>
        <v>599</v>
      </c>
      <c r="T88" s="253"/>
      <c r="U88" s="2">
        <f t="shared" si="9"/>
        <v>89.85</v>
      </c>
    </row>
    <row r="89" spans="1:23">
      <c r="A89" s="43">
        <f t="shared" si="12"/>
        <v>88</v>
      </c>
      <c r="B89" s="44"/>
      <c r="C89" s="2" t="s">
        <v>889</v>
      </c>
      <c r="D89" s="161" t="s">
        <v>890</v>
      </c>
      <c r="E89" s="182" t="s">
        <v>891</v>
      </c>
      <c r="F89" s="140" t="s">
        <v>893</v>
      </c>
      <c r="G89" s="275">
        <f>VLOOKUP(C89,'Margin Calculation'!F:Y,20,0)</f>
        <v>1114.3602000000001</v>
      </c>
      <c r="H89" s="275">
        <f>VLOOKUP(C89,'Margin Calculation'!F:Z,21,0)</f>
        <v>1314.9450360000001</v>
      </c>
      <c r="I89" s="43">
        <f t="shared" si="0"/>
        <v>326.26400000000001</v>
      </c>
      <c r="J89" s="60">
        <f t="shared" si="1"/>
        <v>101.95750000000001</v>
      </c>
      <c r="K89" s="43">
        <f t="shared" si="2"/>
        <v>101.95750000000001</v>
      </c>
      <c r="L89" s="43">
        <f t="shared" si="3"/>
        <v>101.95750000000001</v>
      </c>
      <c r="M89" s="275">
        <f t="shared" si="4"/>
        <v>1947.0815360000001</v>
      </c>
      <c r="N89" s="253">
        <f t="shared" si="5"/>
        <v>311.05677966101689</v>
      </c>
      <c r="O89" s="253">
        <f t="shared" si="6"/>
        <v>-218.98831566101694</v>
      </c>
      <c r="P89" s="338">
        <f t="shared" si="7"/>
        <v>-0.10739196020940928</v>
      </c>
      <c r="Q89" s="253"/>
      <c r="R89" s="253">
        <f t="shared" si="8"/>
        <v>2039.15</v>
      </c>
      <c r="S89" s="253">
        <f>VLOOKUP(C89,'Amazon Live Products'!E:AF,28,0)</f>
        <v>2399</v>
      </c>
      <c r="T89" s="253"/>
      <c r="U89" s="2">
        <f t="shared" si="9"/>
        <v>359.84999999999997</v>
      </c>
    </row>
    <row r="90" spans="1:23">
      <c r="A90" s="43">
        <f t="shared" si="12"/>
        <v>89</v>
      </c>
      <c r="B90" s="44"/>
      <c r="C90" s="2" t="s">
        <v>895</v>
      </c>
      <c r="D90" s="161" t="s">
        <v>896</v>
      </c>
      <c r="E90" s="182" t="s">
        <v>897</v>
      </c>
      <c r="F90" s="140" t="s">
        <v>899</v>
      </c>
      <c r="G90" s="275">
        <f>VLOOKUP(C90,'Margin Calculation'!F:Y,20,0)</f>
        <v>123.1956</v>
      </c>
      <c r="H90" s="275">
        <f>VLOOKUP(C90,'Margin Calculation'!F:Z,21,0)</f>
        <v>145.37080799999998</v>
      </c>
      <c r="I90" s="43">
        <f t="shared" si="0"/>
        <v>48.823999999999998</v>
      </c>
      <c r="J90" s="60">
        <f t="shared" si="1"/>
        <v>15.2575</v>
      </c>
      <c r="K90" s="43">
        <f t="shared" si="2"/>
        <v>15.2575</v>
      </c>
      <c r="L90" s="43">
        <f t="shared" si="3"/>
        <v>15.2575</v>
      </c>
      <c r="M90" s="275">
        <f t="shared" si="4"/>
        <v>239.96730799999995</v>
      </c>
      <c r="N90" s="253">
        <f t="shared" si="5"/>
        <v>46.548305084745721</v>
      </c>
      <c r="O90" s="253">
        <f t="shared" si="6"/>
        <v>18.634386915254311</v>
      </c>
      <c r="P90" s="338">
        <f t="shared" si="7"/>
        <v>6.1066317926443757E-2</v>
      </c>
      <c r="Q90" s="253"/>
      <c r="R90" s="253">
        <f t="shared" si="8"/>
        <v>305.14999999999998</v>
      </c>
      <c r="S90" s="253">
        <f>VLOOKUP(C90,'Amazon Live Products'!E:AF,28,0)</f>
        <v>359</v>
      </c>
      <c r="T90" s="253"/>
      <c r="U90" s="2">
        <f t="shared" si="9"/>
        <v>53.85</v>
      </c>
    </row>
    <row r="91" spans="1:23">
      <c r="A91" s="43"/>
      <c r="B91" s="44"/>
      <c r="C91" s="44"/>
      <c r="D91" s="249"/>
      <c r="E91" s="44"/>
      <c r="F91" s="44"/>
      <c r="G91" s="43"/>
      <c r="H91" s="43"/>
      <c r="I91" s="43"/>
      <c r="J91" s="43"/>
      <c r="K91" s="43"/>
      <c r="L91" s="43"/>
      <c r="M91" s="43"/>
      <c r="N91" s="43"/>
      <c r="O91" s="43"/>
      <c r="P91" s="245"/>
      <c r="Q91" s="253"/>
      <c r="R91" s="253"/>
      <c r="S91" s="253"/>
      <c r="T91" s="43"/>
    </row>
    <row r="92" spans="1:23">
      <c r="A92" s="43"/>
      <c r="B92" s="44"/>
      <c r="C92" s="44"/>
      <c r="D92" s="249"/>
      <c r="E92" s="44"/>
      <c r="F92" s="44"/>
      <c r="G92" s="43"/>
      <c r="H92" s="43"/>
      <c r="I92" s="43"/>
      <c r="J92" s="43"/>
      <c r="K92" s="43"/>
      <c r="L92" s="43"/>
      <c r="M92" s="43"/>
      <c r="N92" s="43"/>
      <c r="O92" s="43"/>
      <c r="P92" s="245"/>
      <c r="Q92" s="253"/>
      <c r="R92" s="253"/>
      <c r="S92" s="253"/>
      <c r="T92" s="43"/>
    </row>
    <row r="93" spans="1:23">
      <c r="A93" s="43"/>
      <c r="B93" s="44"/>
      <c r="C93" s="44"/>
      <c r="D93" s="249"/>
      <c r="E93" s="44"/>
      <c r="F93" s="44"/>
      <c r="G93" s="43"/>
      <c r="H93" s="43"/>
      <c r="I93" s="43"/>
      <c r="J93" s="43"/>
      <c r="K93" s="43"/>
      <c r="L93" s="43"/>
      <c r="M93" s="43"/>
      <c r="N93" s="43"/>
      <c r="O93" s="43"/>
      <c r="P93" s="245"/>
      <c r="Q93" s="253"/>
      <c r="R93" s="253"/>
      <c r="S93" s="253"/>
      <c r="T93" s="43"/>
    </row>
    <row r="94" spans="1:23">
      <c r="A94" s="43"/>
      <c r="B94" s="43"/>
      <c r="C94" s="43"/>
      <c r="D94" s="75"/>
      <c r="E94" s="43"/>
      <c r="F94" s="43"/>
      <c r="G94" s="43"/>
      <c r="H94" s="43"/>
      <c r="I94" s="43"/>
      <c r="J94" s="43"/>
      <c r="K94" s="43"/>
      <c r="L94" s="43"/>
      <c r="M94" s="43"/>
      <c r="N94" s="43"/>
      <c r="O94" s="43"/>
      <c r="P94" s="245"/>
      <c r="Q94" s="253"/>
      <c r="R94" s="253"/>
      <c r="S94" s="253"/>
      <c r="T94" s="43"/>
    </row>
    <row r="95" spans="1:23">
      <c r="A95" s="43"/>
      <c r="B95" s="69"/>
      <c r="C95" s="69"/>
      <c r="D95" s="75"/>
      <c r="E95" s="43"/>
      <c r="F95" s="43"/>
      <c r="G95" s="43"/>
      <c r="H95" s="43"/>
      <c r="I95" s="43"/>
      <c r="J95" s="43"/>
      <c r="K95" s="43"/>
      <c r="L95" s="43"/>
      <c r="M95" s="43"/>
      <c r="N95" s="43"/>
      <c r="O95" s="43"/>
      <c r="P95" s="245"/>
      <c r="Q95" s="253"/>
      <c r="R95" s="253"/>
      <c r="S95" s="253"/>
      <c r="T95" s="43"/>
    </row>
    <row r="96" spans="1:23">
      <c r="A96" s="43"/>
      <c r="B96" s="69"/>
      <c r="C96" s="69"/>
      <c r="D96" s="75"/>
      <c r="E96" s="43"/>
      <c r="F96" s="43"/>
      <c r="G96" s="43"/>
      <c r="H96" s="43"/>
      <c r="I96" s="43"/>
      <c r="J96" s="43"/>
      <c r="K96" s="43"/>
      <c r="L96" s="43"/>
      <c r="M96" s="43"/>
      <c r="N96" s="43"/>
      <c r="O96" s="43"/>
      <c r="P96" s="245"/>
      <c r="Q96" s="253"/>
      <c r="R96" s="253"/>
      <c r="S96" s="253"/>
      <c r="T96" s="43"/>
    </row>
    <row r="97" spans="1:20">
      <c r="A97" s="43"/>
      <c r="B97" s="69"/>
      <c r="C97" s="69"/>
      <c r="D97" s="75"/>
      <c r="E97" s="43"/>
      <c r="F97" s="43"/>
      <c r="G97" s="43"/>
      <c r="H97" s="43"/>
      <c r="I97" s="43"/>
      <c r="J97" s="43"/>
      <c r="K97" s="43"/>
      <c r="L97" s="43"/>
      <c r="M97" s="43"/>
      <c r="N97" s="43"/>
      <c r="O97" s="43"/>
      <c r="P97" s="245"/>
      <c r="Q97" s="253"/>
      <c r="R97" s="253"/>
      <c r="S97" s="253"/>
      <c r="T97" s="43"/>
    </row>
    <row r="98" spans="1:20">
      <c r="A98" s="43"/>
      <c r="B98" s="69"/>
      <c r="C98" s="69"/>
      <c r="D98" s="75"/>
      <c r="E98" s="44"/>
      <c r="F98" s="44"/>
      <c r="G98" s="43"/>
      <c r="H98" s="43"/>
      <c r="I98" s="43"/>
      <c r="J98" s="43"/>
      <c r="K98" s="43"/>
      <c r="L98" s="43"/>
      <c r="M98" s="43"/>
      <c r="N98" s="43"/>
      <c r="O98" s="43"/>
      <c r="P98" s="245"/>
      <c r="Q98" s="253"/>
      <c r="R98" s="253"/>
      <c r="S98" s="253"/>
      <c r="T98" s="43"/>
    </row>
    <row r="99" spans="1:20">
      <c r="A99" s="43"/>
      <c r="B99" s="69"/>
      <c r="C99" s="69"/>
      <c r="D99" s="75"/>
      <c r="E99" s="44"/>
      <c r="F99" s="44"/>
      <c r="G99" s="43"/>
      <c r="H99" s="43"/>
      <c r="I99" s="43"/>
      <c r="J99" s="43"/>
      <c r="K99" s="43"/>
      <c r="L99" s="43"/>
      <c r="M99" s="43"/>
      <c r="N99" s="43"/>
      <c r="O99" s="43"/>
      <c r="P99" s="245"/>
      <c r="Q99" s="253"/>
      <c r="R99" s="253"/>
      <c r="S99" s="253"/>
      <c r="T99" s="43"/>
    </row>
    <row r="100" spans="1:20">
      <c r="A100" s="43"/>
      <c r="B100" s="69"/>
      <c r="C100" s="69"/>
      <c r="D100" s="75"/>
      <c r="E100" s="271"/>
      <c r="F100" s="44"/>
      <c r="G100" s="43"/>
      <c r="H100" s="43"/>
      <c r="I100" s="43"/>
      <c r="J100" s="43"/>
      <c r="K100" s="43"/>
      <c r="L100" s="43"/>
      <c r="M100" s="43"/>
      <c r="N100" s="43"/>
      <c r="O100" s="43"/>
      <c r="P100" s="245"/>
      <c r="Q100" s="253"/>
      <c r="R100" s="253"/>
      <c r="S100" s="253"/>
      <c r="T100" s="43"/>
    </row>
    <row r="101" spans="1:20">
      <c r="A101" s="43"/>
      <c r="B101" s="69"/>
      <c r="C101" s="69"/>
      <c r="D101" s="75"/>
      <c r="E101" s="271"/>
      <c r="F101" s="44"/>
      <c r="G101" s="43"/>
      <c r="H101" s="43"/>
      <c r="I101" s="43"/>
      <c r="J101" s="43"/>
      <c r="K101" s="43"/>
      <c r="L101" s="43"/>
      <c r="M101" s="43"/>
      <c r="N101" s="43"/>
      <c r="O101" s="43"/>
      <c r="P101" s="245"/>
      <c r="Q101" s="253"/>
      <c r="R101" s="253"/>
      <c r="S101" s="253"/>
      <c r="T101" s="43"/>
    </row>
    <row r="102" spans="1:20">
      <c r="A102" s="43"/>
      <c r="B102" s="69"/>
      <c r="C102" s="69"/>
      <c r="D102" s="75"/>
      <c r="E102" s="271"/>
      <c r="F102" s="44"/>
      <c r="G102" s="43"/>
      <c r="H102" s="43"/>
      <c r="I102" s="43"/>
      <c r="J102" s="43"/>
      <c r="K102" s="43"/>
      <c r="L102" s="43"/>
      <c r="M102" s="43"/>
      <c r="N102" s="43"/>
      <c r="O102" s="43"/>
      <c r="P102" s="245"/>
      <c r="Q102" s="253"/>
      <c r="R102" s="253"/>
      <c r="S102" s="253"/>
      <c r="T102" s="43"/>
    </row>
    <row r="103" spans="1:20">
      <c r="A103" s="43"/>
      <c r="B103" s="102"/>
      <c r="C103" s="102"/>
      <c r="D103" s="75"/>
      <c r="E103" s="271"/>
      <c r="F103" s="44"/>
      <c r="G103" s="43"/>
      <c r="H103" s="43"/>
      <c r="I103" s="43"/>
      <c r="J103" s="43"/>
      <c r="K103" s="43"/>
      <c r="L103" s="43"/>
      <c r="M103" s="43"/>
      <c r="N103" s="43"/>
      <c r="O103" s="43"/>
      <c r="P103" s="245"/>
      <c r="Q103" s="253"/>
      <c r="R103" s="253"/>
      <c r="S103" s="253"/>
      <c r="T103" s="43"/>
    </row>
    <row r="104" spans="1:20">
      <c r="A104" s="43"/>
      <c r="B104" s="69"/>
      <c r="C104" s="69"/>
      <c r="D104" s="249"/>
      <c r="E104" s="271"/>
      <c r="F104" s="44"/>
      <c r="G104" s="43"/>
      <c r="H104" s="43"/>
      <c r="I104" s="43"/>
      <c r="J104" s="43"/>
      <c r="K104" s="43"/>
      <c r="L104" s="43"/>
      <c r="M104" s="43"/>
      <c r="N104" s="43"/>
      <c r="O104" s="43"/>
      <c r="P104" s="245"/>
      <c r="Q104" s="253"/>
      <c r="R104" s="253"/>
      <c r="S104" s="253"/>
      <c r="T104" s="43"/>
    </row>
    <row r="105" spans="1:20">
      <c r="A105" s="43"/>
      <c r="B105" s="69"/>
      <c r="C105" s="69"/>
      <c r="D105" s="341"/>
      <c r="E105" s="271"/>
      <c r="F105" s="44"/>
      <c r="G105" s="43"/>
      <c r="H105" s="43"/>
      <c r="I105" s="43"/>
      <c r="J105" s="43"/>
      <c r="K105" s="43"/>
      <c r="L105" s="43"/>
      <c r="M105" s="43"/>
      <c r="N105" s="43"/>
      <c r="O105" s="43"/>
      <c r="P105" s="245"/>
      <c r="Q105" s="253"/>
      <c r="R105" s="253"/>
      <c r="S105" s="253"/>
      <c r="T105" s="43"/>
    </row>
    <row r="106" spans="1:20">
      <c r="A106" s="43"/>
      <c r="B106" s="69"/>
      <c r="C106" s="69"/>
      <c r="D106" s="341"/>
      <c r="E106" s="271"/>
      <c r="F106" s="44"/>
      <c r="G106" s="43"/>
      <c r="H106" s="43"/>
      <c r="I106" s="43"/>
      <c r="J106" s="43"/>
      <c r="K106" s="43"/>
      <c r="L106" s="43"/>
      <c r="M106" s="43"/>
      <c r="N106" s="43"/>
      <c r="O106" s="43"/>
      <c r="P106" s="245"/>
      <c r="Q106" s="253"/>
      <c r="R106" s="253"/>
      <c r="S106" s="253"/>
      <c r="T106" s="43"/>
    </row>
    <row r="107" spans="1:20">
      <c r="A107" s="43"/>
      <c r="B107" s="69"/>
      <c r="C107" s="69"/>
      <c r="D107" s="249"/>
      <c r="E107" s="271"/>
      <c r="F107" s="44"/>
      <c r="G107" s="43"/>
      <c r="H107" s="43"/>
      <c r="I107" s="43"/>
      <c r="J107" s="43"/>
      <c r="K107" s="43"/>
      <c r="L107" s="43"/>
      <c r="M107" s="43"/>
      <c r="N107" s="43"/>
      <c r="O107" s="43"/>
      <c r="P107" s="245"/>
      <c r="Q107" s="253"/>
      <c r="R107" s="253"/>
      <c r="S107" s="253"/>
      <c r="T107" s="43"/>
    </row>
    <row r="108" spans="1:20">
      <c r="A108" s="43"/>
      <c r="B108" s="102"/>
      <c r="C108" s="102"/>
      <c r="D108" s="249"/>
      <c r="E108" s="271"/>
      <c r="F108" s="44"/>
      <c r="G108" s="43"/>
      <c r="H108" s="43"/>
      <c r="I108" s="43"/>
      <c r="J108" s="43"/>
      <c r="K108" s="43"/>
      <c r="L108" s="43"/>
      <c r="M108" s="43"/>
      <c r="N108" s="43"/>
      <c r="O108" s="43"/>
      <c r="P108" s="245"/>
      <c r="Q108" s="253"/>
      <c r="R108" s="253"/>
      <c r="S108" s="253"/>
      <c r="T108" s="43"/>
    </row>
    <row r="109" spans="1:20">
      <c r="A109" s="43"/>
      <c r="B109" s="44"/>
      <c r="C109" s="44"/>
      <c r="D109" s="249"/>
      <c r="E109" s="69"/>
      <c r="F109" s="69"/>
      <c r="G109" s="43"/>
      <c r="H109" s="43"/>
      <c r="I109" s="43"/>
      <c r="J109" s="43"/>
      <c r="K109" s="43"/>
      <c r="L109" s="43"/>
      <c r="M109" s="43"/>
      <c r="N109" s="43"/>
      <c r="O109" s="43"/>
      <c r="P109" s="245"/>
      <c r="Q109" s="253"/>
      <c r="R109" s="253"/>
      <c r="S109" s="253"/>
      <c r="T109" s="43"/>
    </row>
    <row r="110" spans="1:20">
      <c r="A110" s="43"/>
      <c r="B110" s="44"/>
      <c r="C110" s="44"/>
      <c r="D110" s="249"/>
      <c r="E110" s="69"/>
      <c r="F110" s="69"/>
      <c r="G110" s="43"/>
      <c r="H110" s="43"/>
      <c r="I110" s="43"/>
      <c r="J110" s="43"/>
      <c r="K110" s="43"/>
      <c r="L110" s="43"/>
      <c r="M110" s="43"/>
      <c r="N110" s="43"/>
      <c r="O110" s="43"/>
      <c r="P110" s="245"/>
      <c r="Q110" s="253"/>
      <c r="R110" s="253"/>
      <c r="S110" s="253"/>
      <c r="T110" s="43"/>
    </row>
    <row r="111" spans="1:20">
      <c r="A111" s="43"/>
      <c r="B111" s="102"/>
      <c r="C111" s="102"/>
      <c r="D111" s="249"/>
      <c r="E111" s="271"/>
      <c r="F111" s="44"/>
      <c r="G111" s="43"/>
      <c r="H111" s="43"/>
      <c r="I111" s="43"/>
      <c r="J111" s="43"/>
      <c r="K111" s="43"/>
      <c r="L111" s="43"/>
      <c r="M111" s="43"/>
      <c r="N111" s="43"/>
      <c r="O111" s="43"/>
      <c r="P111" s="245"/>
      <c r="Q111" s="253"/>
      <c r="R111" s="253"/>
      <c r="S111" s="253"/>
      <c r="T111" s="43"/>
    </row>
    <row r="112" spans="1:20">
      <c r="A112" s="43"/>
      <c r="B112" s="69"/>
      <c r="C112" s="69"/>
      <c r="D112" s="249"/>
      <c r="E112" s="44"/>
      <c r="F112" s="44"/>
      <c r="G112" s="43"/>
      <c r="H112" s="43"/>
      <c r="I112" s="43"/>
      <c r="J112" s="43"/>
      <c r="K112" s="43"/>
      <c r="L112" s="43"/>
      <c r="M112" s="43"/>
      <c r="N112" s="43"/>
      <c r="O112" s="43"/>
      <c r="P112" s="245"/>
      <c r="Q112" s="253"/>
      <c r="R112" s="253"/>
      <c r="S112" s="253"/>
      <c r="T112" s="43"/>
    </row>
    <row r="113" spans="1:20">
      <c r="A113" s="43"/>
      <c r="B113" s="102"/>
      <c r="C113" s="102"/>
      <c r="D113" s="341"/>
      <c r="E113" s="44"/>
      <c r="F113" s="44"/>
      <c r="G113" s="43"/>
      <c r="H113" s="43"/>
      <c r="I113" s="43"/>
      <c r="J113" s="43"/>
      <c r="K113" s="43"/>
      <c r="L113" s="43"/>
      <c r="M113" s="43"/>
      <c r="N113" s="43"/>
      <c r="O113" s="43"/>
      <c r="P113" s="245"/>
      <c r="Q113" s="253"/>
      <c r="R113" s="253"/>
      <c r="S113" s="253"/>
      <c r="T113" s="43"/>
    </row>
    <row r="114" spans="1:20">
      <c r="A114" s="43"/>
      <c r="B114" s="102"/>
      <c r="C114" s="102"/>
      <c r="D114" s="249"/>
      <c r="E114" s="44"/>
      <c r="F114" s="44"/>
      <c r="G114" s="43"/>
      <c r="H114" s="43"/>
      <c r="I114" s="43"/>
      <c r="J114" s="43"/>
      <c r="K114" s="43"/>
      <c r="L114" s="43"/>
      <c r="M114" s="43"/>
      <c r="N114" s="43"/>
      <c r="O114" s="43"/>
      <c r="P114" s="245"/>
      <c r="Q114" s="253"/>
      <c r="R114" s="253"/>
      <c r="S114" s="253"/>
      <c r="T114" s="43"/>
    </row>
    <row r="115" spans="1:20">
      <c r="A115" s="43"/>
      <c r="B115" s="69"/>
      <c r="C115" s="69"/>
      <c r="D115" s="249"/>
      <c r="E115" s="44"/>
      <c r="F115" s="44"/>
      <c r="G115" s="43"/>
      <c r="H115" s="43"/>
      <c r="I115" s="43"/>
      <c r="J115" s="43"/>
      <c r="K115" s="43"/>
      <c r="L115" s="43"/>
      <c r="M115" s="43"/>
      <c r="N115" s="43"/>
      <c r="O115" s="43"/>
      <c r="P115" s="245"/>
      <c r="Q115" s="253"/>
      <c r="R115" s="253"/>
      <c r="S115" s="253"/>
      <c r="T115" s="43"/>
    </row>
    <row r="116" spans="1:20">
      <c r="A116" s="43"/>
      <c r="B116" s="69"/>
      <c r="C116" s="69"/>
      <c r="D116" s="249"/>
      <c r="E116" s="44"/>
      <c r="F116" s="69"/>
      <c r="G116" s="43"/>
      <c r="H116" s="43"/>
      <c r="I116" s="43"/>
      <c r="J116" s="43"/>
      <c r="K116" s="43"/>
      <c r="L116" s="43"/>
      <c r="M116" s="43"/>
      <c r="N116" s="43"/>
      <c r="O116" s="43"/>
      <c r="P116" s="245"/>
      <c r="Q116" s="253"/>
      <c r="R116" s="253"/>
      <c r="S116" s="253"/>
      <c r="T116" s="43"/>
    </row>
    <row r="117" spans="1:20">
      <c r="A117" s="43"/>
      <c r="B117" s="69"/>
      <c r="C117" s="69"/>
      <c r="D117" s="249"/>
      <c r="E117" s="44"/>
      <c r="F117" s="69"/>
      <c r="G117" s="43"/>
      <c r="H117" s="43"/>
      <c r="I117" s="43"/>
      <c r="J117" s="43"/>
      <c r="K117" s="43"/>
      <c r="L117" s="43"/>
      <c r="M117" s="43"/>
      <c r="N117" s="43"/>
      <c r="O117" s="43"/>
      <c r="P117" s="245"/>
      <c r="Q117" s="253"/>
      <c r="R117" s="253"/>
      <c r="S117" s="253"/>
      <c r="T117" s="43"/>
    </row>
    <row r="118" spans="1:20">
      <c r="A118" s="43"/>
      <c r="B118" s="102"/>
      <c r="C118" s="102"/>
      <c r="D118" s="341"/>
      <c r="E118" s="44"/>
      <c r="F118" s="44"/>
      <c r="G118" s="43"/>
      <c r="H118" s="43"/>
      <c r="I118" s="43"/>
      <c r="J118" s="43"/>
      <c r="K118" s="43"/>
      <c r="L118" s="43"/>
      <c r="M118" s="43"/>
      <c r="N118" s="43"/>
      <c r="O118" s="43"/>
      <c r="P118" s="245"/>
      <c r="Q118" s="253"/>
      <c r="R118" s="253"/>
      <c r="S118" s="253"/>
      <c r="T118" s="43"/>
    </row>
    <row r="119" spans="1:20">
      <c r="A119" s="43"/>
      <c r="B119" s="102"/>
      <c r="C119" s="102"/>
      <c r="D119" s="249"/>
      <c r="E119" s="44"/>
      <c r="F119" s="69"/>
      <c r="G119" s="43"/>
      <c r="H119" s="43"/>
      <c r="I119" s="43"/>
      <c r="J119" s="43"/>
      <c r="K119" s="43"/>
      <c r="L119" s="43"/>
      <c r="M119" s="43"/>
      <c r="N119" s="43"/>
      <c r="O119" s="43"/>
      <c r="P119" s="245"/>
      <c r="Q119" s="253"/>
      <c r="R119" s="253"/>
      <c r="S119" s="253"/>
      <c r="T119" s="43"/>
    </row>
    <row r="120" spans="1:20">
      <c r="A120" s="43"/>
      <c r="B120" s="44"/>
      <c r="C120" s="44"/>
      <c r="D120" s="44"/>
      <c r="E120" s="43"/>
      <c r="F120" s="43"/>
      <c r="G120" s="43"/>
      <c r="H120" s="43"/>
      <c r="I120" s="43"/>
      <c r="J120" s="43"/>
      <c r="K120" s="43"/>
      <c r="L120" s="43"/>
      <c r="M120" s="43"/>
      <c r="N120" s="43"/>
      <c r="O120" s="43"/>
      <c r="P120" s="245"/>
      <c r="Q120" s="253"/>
      <c r="R120" s="253"/>
      <c r="S120" s="253"/>
      <c r="T120" s="43"/>
    </row>
    <row r="121" spans="1:20">
      <c r="A121" s="43"/>
      <c r="B121" s="44"/>
      <c r="C121" s="44"/>
      <c r="D121" s="75"/>
      <c r="E121" s="43"/>
      <c r="F121" s="43"/>
      <c r="G121" s="43"/>
      <c r="H121" s="43"/>
      <c r="I121" s="43"/>
      <c r="J121" s="43"/>
      <c r="K121" s="43"/>
      <c r="L121" s="43"/>
      <c r="M121" s="43"/>
      <c r="N121" s="43"/>
      <c r="O121" s="43"/>
      <c r="P121" s="245"/>
      <c r="Q121" s="253"/>
      <c r="R121" s="253"/>
      <c r="S121" s="253"/>
      <c r="T121" s="43"/>
    </row>
    <row r="122" spans="1:20">
      <c r="A122" s="43"/>
      <c r="B122" s="44"/>
      <c r="C122" s="44"/>
      <c r="D122" s="75"/>
      <c r="E122" s="43"/>
      <c r="F122" s="43"/>
      <c r="G122" s="43"/>
      <c r="H122" s="43"/>
      <c r="I122" s="43"/>
      <c r="J122" s="43"/>
      <c r="K122" s="43"/>
      <c r="L122" s="43"/>
      <c r="M122" s="43"/>
      <c r="N122" s="43"/>
      <c r="O122" s="43"/>
      <c r="P122" s="245"/>
      <c r="Q122" s="253"/>
      <c r="R122" s="253"/>
      <c r="S122" s="253"/>
      <c r="T122" s="43"/>
    </row>
    <row r="123" spans="1:20">
      <c r="A123" s="43"/>
      <c r="B123" s="44"/>
      <c r="C123" s="44"/>
      <c r="D123" s="75"/>
      <c r="E123" s="43"/>
      <c r="F123" s="43"/>
      <c r="G123" s="43"/>
      <c r="H123" s="43"/>
      <c r="I123" s="43"/>
      <c r="J123" s="43"/>
      <c r="K123" s="43"/>
      <c r="L123" s="43"/>
      <c r="M123" s="43"/>
      <c r="N123" s="43"/>
      <c r="O123" s="43"/>
      <c r="P123" s="245"/>
      <c r="Q123" s="253"/>
      <c r="R123" s="253"/>
      <c r="S123" s="253"/>
      <c r="T123" s="43"/>
    </row>
    <row r="124" spans="1:20">
      <c r="A124" s="43"/>
      <c r="B124" s="44"/>
      <c r="C124" s="44"/>
      <c r="D124" s="75"/>
      <c r="E124" s="43"/>
      <c r="F124" s="43"/>
      <c r="G124" s="43"/>
      <c r="H124" s="43"/>
      <c r="I124" s="43"/>
      <c r="J124" s="43"/>
      <c r="K124" s="43"/>
      <c r="L124" s="43"/>
      <c r="M124" s="43"/>
      <c r="N124" s="43"/>
      <c r="O124" s="43"/>
      <c r="P124" s="245"/>
      <c r="Q124" s="253"/>
      <c r="R124" s="253"/>
      <c r="S124" s="253"/>
      <c r="T124" s="43"/>
    </row>
    <row r="125" spans="1:20">
      <c r="A125" s="43"/>
      <c r="B125" s="44"/>
      <c r="C125" s="44"/>
      <c r="D125" s="75"/>
      <c r="E125" s="43"/>
      <c r="F125" s="43"/>
      <c r="G125" s="43"/>
      <c r="H125" s="43"/>
      <c r="I125" s="43"/>
      <c r="J125" s="43"/>
      <c r="K125" s="43"/>
      <c r="L125" s="43"/>
      <c r="M125" s="43"/>
      <c r="N125" s="43"/>
      <c r="O125" s="43"/>
      <c r="P125" s="245"/>
      <c r="Q125" s="253"/>
      <c r="R125" s="253"/>
      <c r="S125" s="253"/>
      <c r="T125" s="43"/>
    </row>
    <row r="126" spans="1:20">
      <c r="A126" s="43"/>
      <c r="B126" s="44"/>
      <c r="C126" s="44"/>
      <c r="D126" s="75"/>
      <c r="E126" s="43"/>
      <c r="F126" s="43"/>
      <c r="G126" s="43"/>
      <c r="H126" s="43"/>
      <c r="I126" s="43"/>
      <c r="J126" s="43"/>
      <c r="K126" s="43"/>
      <c r="L126" s="43"/>
      <c r="M126" s="43"/>
      <c r="N126" s="43"/>
      <c r="O126" s="43"/>
      <c r="P126" s="245"/>
      <c r="Q126" s="253"/>
      <c r="R126" s="253"/>
      <c r="S126" s="253"/>
      <c r="T126" s="43"/>
    </row>
    <row r="127" spans="1:20">
      <c r="A127" s="43"/>
      <c r="B127" s="44"/>
      <c r="C127" s="44"/>
      <c r="D127" s="75"/>
      <c r="E127" s="43"/>
      <c r="F127" s="43"/>
      <c r="G127" s="43"/>
      <c r="H127" s="43"/>
      <c r="I127" s="43"/>
      <c r="J127" s="43"/>
      <c r="K127" s="43"/>
      <c r="L127" s="43"/>
      <c r="M127" s="43"/>
      <c r="N127" s="43"/>
      <c r="O127" s="43"/>
      <c r="P127" s="245"/>
      <c r="Q127" s="253"/>
      <c r="R127" s="253"/>
      <c r="S127" s="253"/>
      <c r="T127" s="43"/>
    </row>
    <row r="128" spans="1:20">
      <c r="A128" s="43"/>
      <c r="B128" s="44"/>
      <c r="C128" s="44"/>
      <c r="D128" s="75"/>
      <c r="E128" s="43"/>
      <c r="F128" s="43"/>
      <c r="G128" s="43"/>
      <c r="H128" s="43"/>
      <c r="I128" s="43"/>
      <c r="J128" s="43"/>
      <c r="K128" s="43"/>
      <c r="L128" s="43"/>
      <c r="M128" s="43"/>
      <c r="N128" s="43"/>
      <c r="O128" s="43"/>
      <c r="P128" s="245"/>
      <c r="Q128" s="253"/>
      <c r="R128" s="253"/>
      <c r="S128" s="253"/>
      <c r="T128" s="43"/>
    </row>
    <row r="129" spans="1:20">
      <c r="A129" s="43"/>
      <c r="B129" s="44"/>
      <c r="C129" s="44"/>
      <c r="D129" s="75"/>
      <c r="E129" s="43"/>
      <c r="F129" s="43"/>
      <c r="G129" s="43"/>
      <c r="H129" s="43"/>
      <c r="I129" s="43"/>
      <c r="J129" s="43"/>
      <c r="K129" s="43"/>
      <c r="L129" s="43"/>
      <c r="M129" s="43"/>
      <c r="N129" s="43"/>
      <c r="O129" s="43"/>
      <c r="P129" s="245"/>
      <c r="Q129" s="253"/>
      <c r="R129" s="253"/>
      <c r="S129" s="253"/>
      <c r="T129" s="43"/>
    </row>
    <row r="130" spans="1:20">
      <c r="A130" s="43"/>
      <c r="B130" s="44"/>
      <c r="C130" s="44"/>
      <c r="D130" s="44"/>
      <c r="E130" s="43"/>
      <c r="F130" s="43"/>
      <c r="G130" s="43"/>
      <c r="H130" s="43"/>
      <c r="I130" s="43"/>
      <c r="J130" s="43"/>
      <c r="K130" s="43"/>
      <c r="L130" s="43"/>
      <c r="M130" s="43"/>
      <c r="N130" s="43"/>
      <c r="O130" s="43"/>
      <c r="P130" s="245"/>
      <c r="Q130" s="253"/>
      <c r="R130" s="253"/>
      <c r="S130" s="253"/>
      <c r="T130" s="43"/>
    </row>
    <row r="131" spans="1:20">
      <c r="A131" s="43"/>
      <c r="B131" s="44"/>
      <c r="C131" s="44"/>
      <c r="D131" s="44"/>
      <c r="E131" s="43"/>
      <c r="F131" s="43"/>
      <c r="G131" s="43"/>
      <c r="H131" s="43"/>
      <c r="I131" s="43"/>
      <c r="J131" s="43"/>
      <c r="K131" s="43"/>
      <c r="L131" s="43"/>
      <c r="M131" s="43"/>
      <c r="N131" s="43"/>
      <c r="O131" s="43"/>
      <c r="P131" s="245"/>
      <c r="Q131" s="253"/>
      <c r="R131" s="253"/>
      <c r="S131" s="253"/>
      <c r="T131" s="43"/>
    </row>
    <row r="132" spans="1:20">
      <c r="A132" s="43"/>
      <c r="B132" s="44"/>
      <c r="C132" s="44"/>
      <c r="D132" s="44"/>
      <c r="E132" s="43"/>
      <c r="F132" s="43"/>
      <c r="G132" s="43"/>
      <c r="H132" s="43"/>
      <c r="I132" s="43"/>
      <c r="J132" s="43"/>
      <c r="K132" s="43"/>
      <c r="L132" s="43"/>
      <c r="M132" s="43"/>
      <c r="N132" s="43"/>
      <c r="O132" s="43"/>
      <c r="P132" s="245"/>
      <c r="Q132" s="253"/>
      <c r="R132" s="253"/>
      <c r="S132" s="253"/>
      <c r="T132" s="43"/>
    </row>
    <row r="133" spans="1:20">
      <c r="A133" s="43"/>
      <c r="B133" s="44"/>
      <c r="C133" s="44"/>
      <c r="D133" s="75"/>
      <c r="E133" s="43"/>
      <c r="F133" s="43"/>
      <c r="G133" s="43"/>
      <c r="H133" s="43"/>
      <c r="I133" s="43"/>
      <c r="J133" s="43"/>
      <c r="K133" s="43"/>
      <c r="L133" s="43"/>
      <c r="M133" s="43"/>
      <c r="N133" s="43"/>
      <c r="O133" s="43"/>
      <c r="P133" s="245"/>
      <c r="Q133" s="253"/>
      <c r="R133" s="253"/>
      <c r="S133" s="253"/>
      <c r="T133" s="43"/>
    </row>
    <row r="134" spans="1:20">
      <c r="A134" s="43"/>
      <c r="B134" s="44"/>
      <c r="C134" s="44"/>
      <c r="D134" s="75"/>
      <c r="E134" s="43"/>
      <c r="F134" s="43"/>
      <c r="G134" s="43"/>
      <c r="H134" s="43"/>
      <c r="I134" s="43"/>
      <c r="J134" s="43"/>
      <c r="K134" s="43"/>
      <c r="L134" s="43"/>
      <c r="M134" s="43"/>
      <c r="N134" s="43"/>
      <c r="O134" s="43"/>
      <c r="P134" s="245"/>
      <c r="Q134" s="253"/>
      <c r="R134" s="253"/>
      <c r="S134" s="253"/>
      <c r="T134" s="43"/>
    </row>
    <row r="135" spans="1:20">
      <c r="A135" s="43"/>
      <c r="B135" s="44"/>
      <c r="C135" s="44"/>
      <c r="D135" s="75"/>
      <c r="E135" s="43"/>
      <c r="F135" s="43"/>
      <c r="G135" s="43"/>
      <c r="H135" s="43"/>
      <c r="I135" s="43"/>
      <c r="J135" s="43"/>
      <c r="K135" s="43"/>
      <c r="L135" s="43"/>
      <c r="M135" s="43"/>
      <c r="N135" s="43"/>
      <c r="O135" s="43"/>
      <c r="P135" s="245"/>
      <c r="Q135" s="253"/>
      <c r="R135" s="253"/>
      <c r="S135" s="253"/>
      <c r="T135" s="43"/>
    </row>
    <row r="136" spans="1:20">
      <c r="A136" s="43"/>
      <c r="B136" s="44"/>
      <c r="C136" s="44"/>
      <c r="D136" s="75"/>
      <c r="E136" s="43"/>
      <c r="F136" s="43"/>
      <c r="G136" s="43"/>
      <c r="H136" s="43"/>
      <c r="I136" s="43"/>
      <c r="J136" s="43"/>
      <c r="K136" s="43"/>
      <c r="L136" s="43"/>
      <c r="M136" s="43"/>
      <c r="N136" s="43"/>
      <c r="O136" s="43"/>
      <c r="P136" s="245"/>
      <c r="Q136" s="253"/>
      <c r="R136" s="253"/>
      <c r="S136" s="253"/>
      <c r="T136" s="43"/>
    </row>
    <row r="137" spans="1:20">
      <c r="A137" s="43"/>
      <c r="B137" s="44"/>
      <c r="C137" s="44"/>
      <c r="D137" s="75"/>
      <c r="E137" s="43"/>
      <c r="F137" s="43"/>
      <c r="G137" s="43"/>
      <c r="H137" s="43"/>
      <c r="I137" s="43"/>
      <c r="J137" s="43"/>
      <c r="K137" s="43"/>
      <c r="L137" s="43"/>
      <c r="M137" s="43"/>
      <c r="N137" s="43"/>
      <c r="O137" s="43"/>
      <c r="P137" s="245"/>
      <c r="Q137" s="253"/>
      <c r="R137" s="253"/>
      <c r="S137" s="253"/>
      <c r="T137" s="43"/>
    </row>
    <row r="138" spans="1:20">
      <c r="A138" s="43"/>
      <c r="B138" s="44"/>
      <c r="C138" s="44"/>
      <c r="D138" s="75"/>
      <c r="E138" s="43"/>
      <c r="F138" s="43"/>
      <c r="G138" s="43"/>
      <c r="H138" s="43"/>
      <c r="I138" s="43"/>
      <c r="J138" s="43"/>
      <c r="K138" s="43"/>
      <c r="L138" s="43"/>
      <c r="M138" s="43"/>
      <c r="N138" s="43"/>
      <c r="O138" s="43"/>
      <c r="P138" s="245"/>
      <c r="Q138" s="253"/>
      <c r="R138" s="253"/>
      <c r="S138" s="253"/>
      <c r="T138" s="43"/>
    </row>
    <row r="139" spans="1:20">
      <c r="A139" s="43"/>
      <c r="B139" s="44"/>
      <c r="C139" s="44"/>
      <c r="D139" s="75"/>
      <c r="E139" s="43"/>
      <c r="F139" s="43"/>
      <c r="G139" s="43"/>
      <c r="H139" s="43"/>
      <c r="I139" s="43"/>
      <c r="J139" s="43"/>
      <c r="K139" s="43"/>
      <c r="L139" s="43"/>
      <c r="M139" s="43"/>
      <c r="N139" s="43"/>
      <c r="O139" s="43"/>
      <c r="P139" s="245"/>
      <c r="Q139" s="253"/>
      <c r="R139" s="253"/>
      <c r="S139" s="253"/>
      <c r="T139" s="43"/>
    </row>
    <row r="140" spans="1:20">
      <c r="A140" s="43"/>
      <c r="B140" s="44"/>
      <c r="C140" s="44"/>
      <c r="D140" s="75"/>
      <c r="E140" s="43"/>
      <c r="F140" s="43"/>
      <c r="G140" s="43"/>
      <c r="H140" s="43"/>
      <c r="I140" s="43"/>
      <c r="J140" s="43"/>
      <c r="K140" s="43"/>
      <c r="L140" s="43"/>
      <c r="M140" s="43"/>
      <c r="N140" s="43"/>
      <c r="O140" s="43"/>
      <c r="P140" s="245"/>
      <c r="Q140" s="253"/>
      <c r="R140" s="253"/>
      <c r="S140" s="253"/>
      <c r="T140" s="43"/>
    </row>
    <row r="141" spans="1:20">
      <c r="A141" s="43"/>
      <c r="B141" s="44"/>
      <c r="C141" s="44"/>
      <c r="D141" s="75"/>
      <c r="E141" s="43"/>
      <c r="F141" s="43"/>
      <c r="G141" s="43"/>
      <c r="H141" s="43"/>
      <c r="I141" s="43"/>
      <c r="J141" s="43"/>
      <c r="K141" s="43"/>
      <c r="L141" s="43"/>
      <c r="M141" s="43"/>
      <c r="N141" s="43"/>
      <c r="O141" s="43"/>
      <c r="P141" s="245"/>
      <c r="Q141" s="253"/>
      <c r="R141" s="253"/>
      <c r="S141" s="253"/>
      <c r="T141" s="43"/>
    </row>
    <row r="142" spans="1:20">
      <c r="A142" s="43"/>
      <c r="B142" s="44"/>
      <c r="C142" s="44"/>
      <c r="D142" s="75"/>
      <c r="E142" s="43"/>
      <c r="F142" s="43"/>
      <c r="G142" s="43"/>
      <c r="H142" s="43"/>
      <c r="I142" s="43"/>
      <c r="J142" s="43"/>
      <c r="K142" s="43"/>
      <c r="L142" s="43"/>
      <c r="M142" s="43"/>
      <c r="N142" s="43"/>
      <c r="O142" s="43"/>
      <c r="P142" s="245"/>
      <c r="Q142" s="253"/>
      <c r="R142" s="253"/>
      <c r="S142" s="253"/>
      <c r="T142" s="43"/>
    </row>
    <row r="143" spans="1:20">
      <c r="A143" s="43"/>
      <c r="B143" s="44"/>
      <c r="C143" s="44"/>
      <c r="D143" s="75"/>
      <c r="E143" s="43"/>
      <c r="F143" s="43"/>
      <c r="G143" s="43"/>
      <c r="H143" s="43"/>
      <c r="I143" s="43"/>
      <c r="J143" s="43"/>
      <c r="K143" s="43"/>
      <c r="L143" s="43"/>
      <c r="M143" s="43"/>
      <c r="N143" s="43"/>
      <c r="O143" s="43"/>
      <c r="P143" s="245"/>
      <c r="Q143" s="253"/>
      <c r="R143" s="253"/>
      <c r="S143" s="253"/>
      <c r="T143" s="43"/>
    </row>
    <row r="144" spans="1:20">
      <c r="A144" s="43"/>
      <c r="B144" s="44"/>
      <c r="C144" s="44"/>
      <c r="D144" s="75"/>
      <c r="E144" s="43"/>
      <c r="F144" s="43"/>
      <c r="G144" s="43"/>
      <c r="H144" s="43"/>
      <c r="I144" s="43"/>
      <c r="J144" s="43"/>
      <c r="K144" s="43"/>
      <c r="L144" s="43"/>
      <c r="M144" s="43"/>
      <c r="N144" s="43"/>
      <c r="O144" s="43"/>
      <c r="P144" s="245"/>
      <c r="Q144" s="253"/>
      <c r="R144" s="253"/>
      <c r="S144" s="253"/>
      <c r="T144" s="43"/>
    </row>
    <row r="145" spans="1:20">
      <c r="A145" s="43"/>
      <c r="B145" s="44"/>
      <c r="C145" s="44"/>
      <c r="D145" s="75"/>
      <c r="E145" s="43"/>
      <c r="F145" s="43"/>
      <c r="G145" s="43"/>
      <c r="H145" s="43"/>
      <c r="I145" s="43"/>
      <c r="J145" s="43"/>
      <c r="K145" s="43"/>
      <c r="L145" s="43"/>
      <c r="M145" s="43"/>
      <c r="N145" s="43"/>
      <c r="O145" s="43"/>
      <c r="P145" s="245"/>
      <c r="Q145" s="253"/>
      <c r="R145" s="253"/>
      <c r="S145" s="253"/>
      <c r="T145" s="43"/>
    </row>
    <row r="146" spans="1:20">
      <c r="A146" s="43"/>
      <c r="B146" s="44"/>
      <c r="C146" s="44"/>
      <c r="D146" s="75"/>
      <c r="E146" s="43"/>
      <c r="F146" s="43"/>
      <c r="G146" s="43"/>
      <c r="H146" s="43"/>
      <c r="I146" s="43"/>
      <c r="J146" s="43"/>
      <c r="K146" s="43"/>
      <c r="L146" s="43"/>
      <c r="M146" s="43"/>
      <c r="N146" s="43"/>
      <c r="O146" s="43"/>
      <c r="P146" s="245"/>
      <c r="Q146" s="253"/>
      <c r="R146" s="253"/>
      <c r="S146" s="253"/>
      <c r="T146" s="43"/>
    </row>
    <row r="147" spans="1:20">
      <c r="A147" s="43"/>
      <c r="B147" s="44"/>
      <c r="C147" s="44"/>
      <c r="D147" s="44"/>
      <c r="E147" s="43"/>
      <c r="F147" s="43"/>
      <c r="G147" s="43"/>
      <c r="H147" s="43"/>
      <c r="I147" s="43"/>
      <c r="J147" s="43"/>
      <c r="K147" s="43"/>
      <c r="L147" s="43"/>
      <c r="M147" s="43"/>
      <c r="N147" s="43"/>
      <c r="O147" s="43"/>
      <c r="P147" s="245"/>
      <c r="Q147" s="253"/>
      <c r="R147" s="253"/>
      <c r="S147" s="253"/>
      <c r="T147" s="43"/>
    </row>
    <row r="148" spans="1:20">
      <c r="A148" s="43"/>
      <c r="B148" s="44"/>
      <c r="C148" s="44"/>
      <c r="D148" s="75"/>
      <c r="E148" s="43"/>
      <c r="F148" s="43"/>
      <c r="G148" s="43"/>
      <c r="H148" s="43"/>
      <c r="I148" s="43"/>
      <c r="J148" s="43"/>
      <c r="K148" s="43"/>
      <c r="L148" s="43"/>
      <c r="M148" s="43"/>
      <c r="N148" s="43"/>
      <c r="O148" s="43"/>
      <c r="P148" s="245"/>
      <c r="Q148" s="253"/>
      <c r="R148" s="253"/>
      <c r="S148" s="253"/>
      <c r="T148" s="43"/>
    </row>
    <row r="149" spans="1:20">
      <c r="A149" s="43"/>
      <c r="B149" s="44"/>
      <c r="C149" s="44"/>
      <c r="D149" s="75"/>
      <c r="E149" s="43"/>
      <c r="F149" s="43"/>
      <c r="G149" s="43"/>
      <c r="H149" s="43"/>
      <c r="I149" s="43"/>
      <c r="J149" s="43"/>
      <c r="K149" s="43"/>
      <c r="L149" s="43"/>
      <c r="M149" s="43"/>
      <c r="N149" s="43"/>
      <c r="O149" s="43"/>
      <c r="P149" s="245"/>
      <c r="Q149" s="253"/>
      <c r="R149" s="253"/>
      <c r="S149" s="253"/>
      <c r="T149" s="43"/>
    </row>
    <row r="150" spans="1:20">
      <c r="A150" s="43"/>
      <c r="B150" s="44"/>
      <c r="C150" s="44"/>
      <c r="D150" s="75"/>
      <c r="E150" s="43"/>
      <c r="F150" s="43"/>
      <c r="G150" s="43"/>
      <c r="H150" s="43"/>
      <c r="I150" s="43"/>
      <c r="J150" s="43"/>
      <c r="K150" s="43"/>
      <c r="L150" s="43"/>
      <c r="M150" s="43"/>
      <c r="N150" s="43"/>
      <c r="O150" s="43"/>
      <c r="P150" s="245"/>
      <c r="Q150" s="253"/>
      <c r="R150" s="253"/>
      <c r="S150" s="253"/>
      <c r="T150" s="43"/>
    </row>
    <row r="151" spans="1:20">
      <c r="A151" s="43"/>
      <c r="B151" s="44"/>
      <c r="C151" s="44"/>
      <c r="D151" s="75"/>
      <c r="E151" s="43"/>
      <c r="F151" s="43"/>
      <c r="G151" s="43"/>
      <c r="H151" s="43"/>
      <c r="I151" s="43"/>
      <c r="J151" s="43"/>
      <c r="K151" s="43"/>
      <c r="L151" s="43"/>
      <c r="M151" s="43"/>
      <c r="N151" s="43"/>
      <c r="O151" s="43"/>
      <c r="P151" s="245"/>
      <c r="Q151" s="253"/>
      <c r="R151" s="253"/>
      <c r="S151" s="253"/>
      <c r="T151" s="43"/>
    </row>
    <row r="152" spans="1:20">
      <c r="A152" s="43"/>
      <c r="B152" s="44"/>
      <c r="C152" s="44"/>
      <c r="D152" s="44"/>
      <c r="E152" s="43"/>
      <c r="F152" s="43"/>
      <c r="G152" s="43"/>
      <c r="H152" s="43"/>
      <c r="I152" s="43"/>
      <c r="J152" s="43"/>
      <c r="K152" s="43"/>
      <c r="L152" s="43"/>
      <c r="M152" s="43"/>
      <c r="N152" s="43"/>
      <c r="O152" s="43"/>
      <c r="P152" s="245"/>
      <c r="Q152" s="253"/>
      <c r="R152" s="253"/>
      <c r="S152" s="253"/>
      <c r="T152" s="43"/>
    </row>
    <row r="153" spans="1:20">
      <c r="A153" s="43"/>
      <c r="B153" s="44"/>
      <c r="C153" s="44"/>
      <c r="D153" s="75"/>
      <c r="E153" s="43"/>
      <c r="F153" s="43"/>
      <c r="G153" s="43"/>
      <c r="H153" s="43"/>
      <c r="I153" s="43"/>
      <c r="J153" s="43"/>
      <c r="K153" s="43"/>
      <c r="L153" s="43"/>
      <c r="M153" s="43"/>
      <c r="N153" s="43"/>
      <c r="O153" s="43"/>
      <c r="P153" s="245"/>
      <c r="Q153" s="253"/>
      <c r="R153" s="253"/>
      <c r="S153" s="253"/>
      <c r="T153" s="43"/>
    </row>
    <row r="154" spans="1:20">
      <c r="A154" s="43"/>
      <c r="B154" s="44"/>
      <c r="C154" s="44"/>
      <c r="D154" s="75"/>
      <c r="E154" s="43"/>
      <c r="F154" s="43"/>
      <c r="G154" s="43"/>
      <c r="H154" s="43"/>
      <c r="I154" s="43"/>
      <c r="J154" s="43"/>
      <c r="K154" s="43"/>
      <c r="L154" s="43"/>
      <c r="M154" s="43"/>
      <c r="N154" s="43"/>
      <c r="O154" s="43"/>
      <c r="P154" s="245"/>
      <c r="Q154" s="253"/>
      <c r="R154" s="253"/>
      <c r="S154" s="253"/>
      <c r="T154" s="43"/>
    </row>
    <row r="155" spans="1:20">
      <c r="A155" s="43"/>
      <c r="B155" s="44"/>
      <c r="C155" s="44"/>
      <c r="D155" s="75"/>
      <c r="E155" s="43"/>
      <c r="F155" s="43"/>
      <c r="G155" s="43"/>
      <c r="H155" s="43"/>
      <c r="I155" s="43"/>
      <c r="J155" s="43"/>
      <c r="K155" s="43"/>
      <c r="L155" s="43"/>
      <c r="M155" s="43"/>
      <c r="N155" s="43"/>
      <c r="O155" s="43"/>
      <c r="P155" s="245"/>
      <c r="Q155" s="253"/>
      <c r="R155" s="253"/>
      <c r="S155" s="253"/>
      <c r="T155" s="43"/>
    </row>
    <row r="156" spans="1:20">
      <c r="A156" s="43"/>
      <c r="B156" s="44"/>
      <c r="C156" s="44"/>
      <c r="D156" s="75"/>
      <c r="E156" s="43"/>
      <c r="F156" s="43"/>
      <c r="G156" s="43"/>
      <c r="H156" s="43"/>
      <c r="I156" s="43"/>
      <c r="J156" s="43"/>
      <c r="K156" s="43"/>
      <c r="L156" s="43"/>
      <c r="M156" s="43"/>
      <c r="N156" s="43"/>
      <c r="O156" s="43"/>
      <c r="P156" s="245"/>
      <c r="Q156" s="253"/>
      <c r="R156" s="253"/>
      <c r="S156" s="253"/>
      <c r="T156" s="43"/>
    </row>
    <row r="157" spans="1:20">
      <c r="A157" s="43"/>
      <c r="B157" s="44"/>
      <c r="C157" s="44"/>
      <c r="D157" s="75"/>
      <c r="E157" s="43"/>
      <c r="F157" s="43"/>
      <c r="G157" s="43"/>
      <c r="H157" s="43"/>
      <c r="I157" s="43"/>
      <c r="J157" s="43"/>
      <c r="K157" s="43"/>
      <c r="L157" s="43"/>
      <c r="M157" s="43"/>
      <c r="N157" s="43"/>
      <c r="O157" s="43"/>
      <c r="P157" s="245"/>
      <c r="Q157" s="253"/>
      <c r="R157" s="253"/>
      <c r="S157" s="253"/>
      <c r="T157" s="43"/>
    </row>
    <row r="158" spans="1:20">
      <c r="A158" s="43"/>
      <c r="B158" s="44"/>
      <c r="C158" s="44"/>
      <c r="D158" s="75"/>
      <c r="E158" s="43"/>
      <c r="F158" s="43"/>
      <c r="G158" s="43"/>
      <c r="H158" s="43"/>
      <c r="I158" s="43"/>
      <c r="J158" s="43"/>
      <c r="K158" s="43"/>
      <c r="L158" s="43"/>
      <c r="M158" s="43"/>
      <c r="N158" s="43"/>
      <c r="O158" s="43"/>
      <c r="P158" s="245"/>
      <c r="Q158" s="253"/>
      <c r="R158" s="253"/>
      <c r="S158" s="253"/>
      <c r="T158" s="43"/>
    </row>
    <row r="159" spans="1:20">
      <c r="A159" s="43"/>
      <c r="B159" s="69"/>
      <c r="C159" s="69"/>
      <c r="D159" s="75"/>
      <c r="E159" s="44"/>
      <c r="F159" s="44"/>
      <c r="G159" s="43"/>
      <c r="H159" s="43"/>
      <c r="I159" s="43"/>
      <c r="J159" s="43"/>
      <c r="K159" s="43"/>
      <c r="L159" s="43"/>
      <c r="M159" s="43"/>
      <c r="N159" s="43"/>
      <c r="O159" s="43"/>
      <c r="P159" s="245"/>
      <c r="Q159" s="253"/>
      <c r="R159" s="253"/>
      <c r="S159" s="253"/>
      <c r="T159" s="43"/>
    </row>
    <row r="160" spans="1:20">
      <c r="A160" s="43"/>
      <c r="B160" s="69"/>
      <c r="C160" s="69"/>
      <c r="D160" s="75"/>
      <c r="E160" s="44"/>
      <c r="F160" s="44"/>
      <c r="G160" s="43"/>
      <c r="H160" s="43"/>
      <c r="I160" s="43"/>
      <c r="J160" s="43"/>
      <c r="K160" s="43"/>
      <c r="L160" s="43"/>
      <c r="M160" s="43"/>
      <c r="N160" s="43"/>
      <c r="O160" s="43"/>
      <c r="P160" s="245"/>
      <c r="Q160" s="253"/>
      <c r="R160" s="253"/>
      <c r="S160" s="253"/>
      <c r="T160" s="43"/>
    </row>
    <row r="161" spans="1:20">
      <c r="A161" s="43"/>
      <c r="B161" s="44"/>
      <c r="C161" s="44"/>
      <c r="D161" s="75"/>
      <c r="E161" s="43"/>
      <c r="F161" s="43"/>
      <c r="G161" s="43"/>
      <c r="H161" s="43"/>
      <c r="I161" s="43"/>
      <c r="J161" s="43"/>
      <c r="K161" s="43"/>
      <c r="L161" s="43"/>
      <c r="M161" s="43"/>
      <c r="N161" s="43"/>
      <c r="O161" s="43"/>
      <c r="P161" s="245"/>
      <c r="Q161" s="253"/>
      <c r="R161" s="253"/>
      <c r="S161" s="253"/>
      <c r="T161" s="43"/>
    </row>
    <row r="162" spans="1:20">
      <c r="A162" s="43"/>
      <c r="B162" s="44"/>
      <c r="C162" s="44"/>
      <c r="D162" s="75"/>
      <c r="E162" s="43"/>
      <c r="F162" s="43"/>
      <c r="G162" s="43"/>
      <c r="H162" s="43"/>
      <c r="I162" s="43"/>
      <c r="J162" s="43"/>
      <c r="K162" s="43"/>
      <c r="L162" s="43"/>
      <c r="M162" s="43"/>
      <c r="N162" s="43"/>
      <c r="O162" s="43"/>
      <c r="P162" s="245"/>
      <c r="Q162" s="253"/>
      <c r="R162" s="253"/>
      <c r="S162" s="253"/>
      <c r="T162" s="43"/>
    </row>
    <row r="163" spans="1:20">
      <c r="A163" s="43"/>
      <c r="B163" s="44"/>
      <c r="C163" s="44"/>
      <c r="D163" s="249"/>
      <c r="E163" s="44"/>
      <c r="F163" s="44"/>
      <c r="G163" s="43"/>
      <c r="H163" s="43"/>
      <c r="I163" s="43"/>
      <c r="J163" s="43"/>
      <c r="K163" s="43"/>
      <c r="L163" s="43"/>
      <c r="M163" s="43"/>
      <c r="N163" s="43"/>
      <c r="O163" s="43"/>
      <c r="P163" s="245"/>
      <c r="Q163" s="253"/>
      <c r="R163" s="253"/>
      <c r="S163" s="253"/>
      <c r="T163" s="43"/>
    </row>
    <row r="164" spans="1:20">
      <c r="A164" s="43"/>
      <c r="B164" s="44"/>
      <c r="C164" s="44"/>
      <c r="D164" s="249"/>
      <c r="E164" s="44"/>
      <c r="F164" s="44"/>
      <c r="G164" s="43"/>
      <c r="H164" s="43"/>
      <c r="I164" s="43"/>
      <c r="J164" s="43"/>
      <c r="K164" s="43"/>
      <c r="L164" s="43"/>
      <c r="M164" s="43"/>
      <c r="N164" s="43"/>
      <c r="O164" s="43"/>
      <c r="P164" s="245"/>
      <c r="Q164" s="253"/>
      <c r="R164" s="253"/>
      <c r="S164" s="253"/>
      <c r="T164" s="43"/>
    </row>
    <row r="165" spans="1:20">
      <c r="A165" s="43"/>
      <c r="B165" s="44"/>
      <c r="C165" s="44"/>
      <c r="D165" s="249"/>
      <c r="E165" s="44"/>
      <c r="F165" s="44"/>
      <c r="G165" s="43"/>
      <c r="H165" s="43"/>
      <c r="I165" s="43"/>
      <c r="J165" s="43"/>
      <c r="K165" s="43"/>
      <c r="L165" s="43"/>
      <c r="M165" s="43"/>
      <c r="N165" s="43"/>
      <c r="O165" s="43"/>
      <c r="P165" s="245"/>
      <c r="Q165" s="253"/>
      <c r="R165" s="253"/>
      <c r="S165" s="253"/>
      <c r="T165" s="43"/>
    </row>
    <row r="166" spans="1:20">
      <c r="A166" s="43"/>
      <c r="B166" s="44"/>
      <c r="C166" s="44"/>
      <c r="D166" s="249"/>
      <c r="E166" s="44"/>
      <c r="F166" s="44"/>
      <c r="G166" s="43"/>
      <c r="H166" s="43"/>
      <c r="I166" s="43"/>
      <c r="J166" s="43"/>
      <c r="K166" s="43"/>
      <c r="L166" s="43"/>
      <c r="M166" s="43"/>
      <c r="N166" s="43"/>
      <c r="O166" s="43"/>
      <c r="P166" s="245"/>
      <c r="Q166" s="253"/>
      <c r="R166" s="253"/>
      <c r="S166" s="253"/>
      <c r="T166" s="43"/>
    </row>
    <row r="167" spans="1:20">
      <c r="A167" s="43"/>
      <c r="B167" s="44"/>
      <c r="C167" s="44"/>
      <c r="D167" s="249"/>
      <c r="E167" s="44"/>
      <c r="F167" s="44"/>
      <c r="G167" s="43"/>
      <c r="H167" s="43"/>
      <c r="I167" s="43"/>
      <c r="J167" s="43"/>
      <c r="K167" s="43"/>
      <c r="L167" s="43"/>
      <c r="M167" s="43"/>
      <c r="N167" s="43"/>
      <c r="O167" s="43"/>
      <c r="P167" s="245"/>
      <c r="Q167" s="253"/>
      <c r="R167" s="253"/>
      <c r="S167" s="253"/>
      <c r="T167" s="43"/>
    </row>
    <row r="168" spans="1:20">
      <c r="A168" s="43"/>
      <c r="B168" s="44"/>
      <c r="C168" s="44"/>
      <c r="D168" s="75"/>
      <c r="E168" s="43"/>
      <c r="F168" s="69"/>
      <c r="G168" s="43"/>
      <c r="H168" s="43"/>
      <c r="I168" s="43"/>
      <c r="J168" s="43"/>
      <c r="K168" s="43"/>
      <c r="L168" s="43"/>
      <c r="M168" s="43"/>
      <c r="N168" s="43"/>
      <c r="O168" s="43"/>
      <c r="P168" s="245"/>
      <c r="Q168" s="253"/>
      <c r="R168" s="253"/>
      <c r="S168" s="253"/>
      <c r="T168" s="43"/>
    </row>
    <row r="169" spans="1:20">
      <c r="A169" s="43"/>
      <c r="B169" s="44"/>
      <c r="C169" s="44"/>
      <c r="D169" s="75"/>
      <c r="E169" s="43"/>
      <c r="F169" s="69"/>
      <c r="G169" s="43"/>
      <c r="H169" s="43"/>
      <c r="I169" s="43"/>
      <c r="J169" s="43"/>
      <c r="K169" s="43"/>
      <c r="L169" s="43"/>
      <c r="M169" s="43"/>
      <c r="N169" s="43"/>
      <c r="O169" s="43"/>
      <c r="P169" s="245"/>
      <c r="Q169" s="253"/>
      <c r="R169" s="253"/>
      <c r="S169" s="253"/>
      <c r="T169" s="43"/>
    </row>
    <row r="170" spans="1:20">
      <c r="A170" s="43"/>
      <c r="B170" s="44"/>
      <c r="C170" s="44"/>
      <c r="D170" s="75"/>
      <c r="E170" s="43"/>
      <c r="F170" s="69"/>
      <c r="G170" s="43"/>
      <c r="H170" s="43"/>
      <c r="I170" s="43"/>
      <c r="J170" s="43"/>
      <c r="K170" s="43"/>
      <c r="L170" s="43"/>
      <c r="M170" s="43"/>
      <c r="N170" s="43"/>
      <c r="O170" s="43"/>
      <c r="P170" s="245"/>
      <c r="Q170" s="253"/>
      <c r="R170" s="253"/>
      <c r="S170" s="253"/>
      <c r="T170" s="43"/>
    </row>
    <row r="171" spans="1:20">
      <c r="A171" s="43"/>
      <c r="B171" s="44"/>
      <c r="C171" s="44"/>
      <c r="D171" s="75"/>
      <c r="E171" s="43"/>
      <c r="F171" s="69"/>
      <c r="G171" s="43"/>
      <c r="H171" s="43"/>
      <c r="I171" s="43"/>
      <c r="J171" s="43"/>
      <c r="K171" s="43"/>
      <c r="L171" s="43"/>
      <c r="M171" s="43"/>
      <c r="N171" s="43"/>
      <c r="O171" s="43"/>
      <c r="P171" s="245"/>
      <c r="Q171" s="253"/>
      <c r="R171" s="253"/>
      <c r="S171" s="253"/>
      <c r="T171" s="43"/>
    </row>
    <row r="172" spans="1:20">
      <c r="A172" s="43"/>
      <c r="B172" s="44"/>
      <c r="C172" s="44"/>
      <c r="D172" s="75"/>
      <c r="E172" s="43"/>
      <c r="F172" s="69"/>
      <c r="G172" s="43"/>
      <c r="H172" s="43"/>
      <c r="I172" s="43"/>
      <c r="J172" s="43"/>
      <c r="K172" s="43"/>
      <c r="L172" s="43"/>
      <c r="M172" s="43"/>
      <c r="N172" s="43"/>
      <c r="O172" s="43"/>
      <c r="P172" s="245"/>
      <c r="Q172" s="253"/>
      <c r="R172" s="253"/>
      <c r="S172" s="253"/>
      <c r="T172" s="43"/>
    </row>
    <row r="173" spans="1:20">
      <c r="A173" s="43"/>
      <c r="B173" s="44"/>
      <c r="C173" s="44"/>
      <c r="D173" s="249"/>
      <c r="E173" s="44"/>
      <c r="F173" s="44"/>
      <c r="G173" s="43"/>
      <c r="H173" s="43"/>
      <c r="I173" s="43"/>
      <c r="J173" s="43"/>
      <c r="K173" s="43"/>
      <c r="L173" s="43"/>
      <c r="M173" s="43"/>
      <c r="N173" s="43"/>
      <c r="O173" s="43"/>
      <c r="P173" s="245"/>
      <c r="Q173" s="253"/>
      <c r="R173" s="253"/>
      <c r="S173" s="253"/>
      <c r="T173" s="43"/>
    </row>
    <row r="174" spans="1:20">
      <c r="A174" s="43"/>
      <c r="B174" s="44"/>
      <c r="C174" s="44"/>
      <c r="D174" s="44"/>
      <c r="E174" s="44"/>
      <c r="F174" s="44"/>
      <c r="G174" s="43"/>
      <c r="H174" s="43"/>
      <c r="I174" s="43"/>
      <c r="J174" s="43"/>
      <c r="K174" s="43"/>
      <c r="L174" s="43"/>
      <c r="M174" s="43"/>
      <c r="N174" s="43"/>
      <c r="O174" s="43"/>
      <c r="P174" s="245"/>
      <c r="Q174" s="253"/>
      <c r="R174" s="253"/>
      <c r="S174" s="253"/>
      <c r="T174" s="43"/>
    </row>
    <row r="175" spans="1:20">
      <c r="A175" s="332"/>
      <c r="B175" s="333"/>
      <c r="C175" s="333"/>
      <c r="D175" s="334"/>
      <c r="E175" s="333"/>
      <c r="F175" s="334"/>
      <c r="G175" s="332"/>
      <c r="H175" s="332"/>
      <c r="I175" s="332"/>
      <c r="J175" s="332"/>
      <c r="K175" s="332"/>
      <c r="L175" s="332"/>
      <c r="M175" s="332"/>
      <c r="N175" s="332"/>
      <c r="O175" s="332"/>
      <c r="P175" s="332"/>
      <c r="Q175" s="332"/>
      <c r="R175" s="332"/>
      <c r="S175" s="293"/>
      <c r="T175" s="332"/>
    </row>
    <row r="176" spans="1:20">
      <c r="A176" s="43"/>
      <c r="B176" s="44"/>
      <c r="C176" s="44"/>
      <c r="D176" s="249"/>
      <c r="E176" s="44"/>
      <c r="F176" s="44"/>
      <c r="G176" s="43"/>
      <c r="H176" s="43"/>
      <c r="I176" s="43"/>
      <c r="J176" s="43"/>
      <c r="K176" s="43"/>
      <c r="L176" s="43"/>
      <c r="M176" s="43"/>
      <c r="N176" s="43"/>
      <c r="O176" s="43"/>
      <c r="P176" s="245"/>
      <c r="Q176" s="253"/>
      <c r="R176" s="253"/>
      <c r="S176" s="253"/>
      <c r="T176" s="43"/>
    </row>
    <row r="177" spans="1:20">
      <c r="A177" s="43"/>
      <c r="B177" s="44"/>
      <c r="C177" s="44"/>
      <c r="D177" s="249"/>
      <c r="E177" s="44"/>
      <c r="F177" s="44"/>
      <c r="G177" s="43"/>
      <c r="H177" s="43"/>
      <c r="I177" s="43"/>
      <c r="J177" s="43"/>
      <c r="K177" s="43"/>
      <c r="L177" s="43"/>
      <c r="M177" s="43"/>
      <c r="N177" s="43"/>
      <c r="O177" s="43"/>
      <c r="P177" s="245"/>
      <c r="Q177" s="253"/>
      <c r="R177" s="253"/>
      <c r="S177" s="253"/>
      <c r="T177" s="43"/>
    </row>
    <row r="178" spans="1:20">
      <c r="A178" s="43"/>
      <c r="B178" s="44"/>
      <c r="C178" s="44"/>
      <c r="D178" s="249"/>
      <c r="E178" s="44"/>
      <c r="F178" s="44"/>
      <c r="G178" s="43"/>
      <c r="H178" s="43"/>
      <c r="I178" s="43"/>
      <c r="J178" s="43"/>
      <c r="K178" s="43"/>
      <c r="L178" s="43"/>
      <c r="M178" s="43"/>
      <c r="N178" s="43"/>
      <c r="O178" s="43"/>
      <c r="P178" s="245"/>
      <c r="Q178" s="253"/>
      <c r="R178" s="253"/>
      <c r="S178" s="253"/>
      <c r="T178" s="43"/>
    </row>
    <row r="179" spans="1:20">
      <c r="A179" s="43"/>
      <c r="B179" s="44"/>
      <c r="C179" s="44"/>
      <c r="D179" s="249"/>
      <c r="E179" s="44"/>
      <c r="F179" s="44"/>
      <c r="G179" s="43"/>
      <c r="H179" s="43"/>
      <c r="I179" s="43"/>
      <c r="J179" s="43"/>
      <c r="K179" s="43"/>
      <c r="L179" s="43"/>
      <c r="M179" s="43"/>
      <c r="N179" s="43"/>
      <c r="O179" s="43"/>
      <c r="P179" s="245"/>
      <c r="Q179" s="253"/>
      <c r="R179" s="253"/>
      <c r="S179" s="253"/>
      <c r="T179" s="43"/>
    </row>
    <row r="180" spans="1:20">
      <c r="A180" s="43"/>
      <c r="B180" s="44"/>
      <c r="C180" s="44"/>
      <c r="D180" s="249"/>
      <c r="E180" s="44"/>
      <c r="F180" s="44"/>
      <c r="G180" s="43"/>
      <c r="H180" s="43"/>
      <c r="I180" s="43"/>
      <c r="J180" s="43"/>
      <c r="K180" s="43"/>
      <c r="L180" s="43"/>
      <c r="M180" s="43"/>
      <c r="N180" s="43"/>
      <c r="O180" s="43"/>
      <c r="P180" s="245"/>
      <c r="Q180" s="253"/>
      <c r="R180" s="253"/>
      <c r="S180" s="253"/>
      <c r="T180" s="43"/>
    </row>
    <row r="181" spans="1:20">
      <c r="A181" s="43"/>
      <c r="B181" s="44"/>
      <c r="C181" s="44"/>
      <c r="D181" s="249"/>
      <c r="E181" s="44"/>
      <c r="F181" s="44"/>
      <c r="G181" s="43"/>
      <c r="H181" s="43"/>
      <c r="I181" s="43"/>
      <c r="J181" s="43"/>
      <c r="K181" s="43"/>
      <c r="L181" s="43"/>
      <c r="M181" s="43"/>
      <c r="N181" s="43"/>
      <c r="O181" s="43"/>
      <c r="P181" s="245"/>
      <c r="Q181" s="253"/>
      <c r="R181" s="253"/>
      <c r="S181" s="253"/>
      <c r="T181" s="43"/>
    </row>
    <row r="182" spans="1:20">
      <c r="A182" s="43"/>
      <c r="B182" s="43"/>
      <c r="C182" s="43"/>
      <c r="D182" s="75"/>
      <c r="E182" s="43"/>
      <c r="F182" s="43"/>
      <c r="G182" s="43"/>
      <c r="H182" s="43"/>
      <c r="I182" s="43"/>
      <c r="J182" s="43"/>
      <c r="K182" s="43"/>
      <c r="L182" s="43"/>
      <c r="M182" s="43"/>
      <c r="N182" s="43"/>
      <c r="O182" s="43"/>
      <c r="P182" s="245"/>
      <c r="Q182" s="253"/>
      <c r="R182" s="253"/>
      <c r="S182" s="253"/>
      <c r="T182" s="43"/>
    </row>
    <row r="183" spans="1:20">
      <c r="A183" s="43"/>
      <c r="B183" s="69"/>
      <c r="C183" s="69"/>
      <c r="D183" s="75"/>
      <c r="E183" s="43"/>
      <c r="F183" s="43"/>
      <c r="G183" s="43"/>
      <c r="H183" s="43"/>
      <c r="I183" s="43"/>
      <c r="J183" s="43"/>
      <c r="K183" s="43"/>
      <c r="L183" s="43"/>
      <c r="M183" s="43"/>
      <c r="N183" s="43"/>
      <c r="O183" s="43"/>
      <c r="P183" s="245"/>
      <c r="Q183" s="253"/>
      <c r="R183" s="253"/>
      <c r="S183" s="253"/>
      <c r="T183" s="43"/>
    </row>
    <row r="184" spans="1:20">
      <c r="A184" s="43"/>
      <c r="B184" s="69"/>
      <c r="C184" s="69"/>
      <c r="D184" s="75"/>
      <c r="E184" s="43"/>
      <c r="F184" s="43"/>
      <c r="G184" s="43"/>
      <c r="H184" s="43"/>
      <c r="I184" s="43"/>
      <c r="J184" s="43"/>
      <c r="K184" s="43"/>
      <c r="L184" s="43"/>
      <c r="M184" s="43"/>
      <c r="N184" s="43"/>
      <c r="O184" s="43"/>
      <c r="P184" s="245"/>
      <c r="Q184" s="253"/>
      <c r="R184" s="253"/>
      <c r="S184" s="253"/>
      <c r="T184" s="43"/>
    </row>
    <row r="185" spans="1:20">
      <c r="A185" s="43"/>
      <c r="B185" s="69"/>
      <c r="C185" s="69"/>
      <c r="D185" s="75"/>
      <c r="E185" s="43"/>
      <c r="F185" s="43"/>
      <c r="G185" s="43"/>
      <c r="H185" s="43"/>
      <c r="I185" s="43"/>
      <c r="J185" s="43"/>
      <c r="K185" s="43"/>
      <c r="L185" s="43"/>
      <c r="M185" s="43"/>
      <c r="N185" s="43"/>
      <c r="O185" s="43"/>
      <c r="P185" s="245"/>
      <c r="Q185" s="253"/>
      <c r="R185" s="253"/>
      <c r="S185" s="253"/>
      <c r="T185" s="43"/>
    </row>
    <row r="186" spans="1:20">
      <c r="A186" s="43"/>
      <c r="B186" s="69"/>
      <c r="C186" s="69"/>
      <c r="D186" s="75"/>
      <c r="E186" s="44"/>
      <c r="F186" s="44"/>
      <c r="G186" s="43"/>
      <c r="H186" s="43"/>
      <c r="I186" s="43"/>
      <c r="J186" s="43"/>
      <c r="K186" s="43"/>
      <c r="L186" s="43"/>
      <c r="M186" s="43"/>
      <c r="N186" s="43"/>
      <c r="O186" s="43"/>
      <c r="P186" s="245"/>
      <c r="Q186" s="253"/>
      <c r="R186" s="253"/>
      <c r="S186" s="253"/>
      <c r="T186" s="43"/>
    </row>
    <row r="187" spans="1:20">
      <c r="A187" s="43"/>
      <c r="B187" s="69"/>
      <c r="C187" s="69"/>
      <c r="D187" s="75"/>
      <c r="E187" s="44"/>
      <c r="F187" s="44"/>
      <c r="G187" s="43"/>
      <c r="H187" s="43"/>
      <c r="I187" s="43"/>
      <c r="J187" s="43"/>
      <c r="K187" s="43"/>
      <c r="L187" s="43"/>
      <c r="M187" s="43"/>
      <c r="N187" s="43"/>
      <c r="O187" s="43"/>
      <c r="P187" s="245"/>
      <c r="Q187" s="253"/>
      <c r="R187" s="253"/>
      <c r="S187" s="253"/>
      <c r="T187" s="43"/>
    </row>
    <row r="188" spans="1:20">
      <c r="A188" s="43"/>
      <c r="B188" s="69"/>
      <c r="C188" s="69"/>
      <c r="D188" s="75"/>
      <c r="E188" s="271"/>
      <c r="F188" s="44"/>
      <c r="G188" s="43"/>
      <c r="H188" s="43"/>
      <c r="I188" s="43"/>
      <c r="J188" s="43"/>
      <c r="K188" s="43"/>
      <c r="L188" s="43"/>
      <c r="M188" s="43"/>
      <c r="N188" s="43"/>
      <c r="O188" s="43"/>
      <c r="P188" s="245"/>
      <c r="Q188" s="253"/>
      <c r="R188" s="253"/>
      <c r="S188" s="253"/>
      <c r="T188" s="43"/>
    </row>
    <row r="189" spans="1:20">
      <c r="A189" s="43"/>
      <c r="B189" s="69"/>
      <c r="C189" s="69"/>
      <c r="D189" s="75"/>
      <c r="E189" s="271"/>
      <c r="F189" s="44"/>
      <c r="G189" s="43"/>
      <c r="H189" s="43"/>
      <c r="I189" s="43"/>
      <c r="J189" s="43"/>
      <c r="K189" s="43"/>
      <c r="L189" s="43"/>
      <c r="M189" s="43"/>
      <c r="N189" s="43"/>
      <c r="O189" s="43"/>
      <c r="P189" s="245"/>
      <c r="Q189" s="253"/>
      <c r="R189" s="253"/>
      <c r="S189" s="253"/>
      <c r="T189" s="43"/>
    </row>
    <row r="190" spans="1:20">
      <c r="A190" s="43"/>
      <c r="B190" s="69"/>
      <c r="C190" s="69"/>
      <c r="D190" s="75"/>
      <c r="E190" s="271"/>
      <c r="F190" s="44"/>
      <c r="G190" s="43"/>
      <c r="H190" s="43"/>
      <c r="I190" s="43"/>
      <c r="J190" s="43"/>
      <c r="K190" s="43"/>
      <c r="L190" s="43"/>
      <c r="M190" s="43"/>
      <c r="N190" s="43"/>
      <c r="O190" s="43"/>
      <c r="P190" s="245"/>
      <c r="Q190" s="253"/>
      <c r="R190" s="253"/>
      <c r="S190" s="253"/>
      <c r="T190" s="43"/>
    </row>
    <row r="191" spans="1:20">
      <c r="A191" s="43"/>
      <c r="B191" s="102"/>
      <c r="C191" s="102"/>
      <c r="D191" s="75"/>
      <c r="E191" s="271"/>
      <c r="F191" s="44"/>
      <c r="G191" s="43"/>
      <c r="H191" s="43"/>
      <c r="I191" s="43"/>
      <c r="J191" s="43"/>
      <c r="K191" s="43"/>
      <c r="L191" s="43"/>
      <c r="M191" s="43"/>
      <c r="N191" s="43"/>
      <c r="O191" s="43"/>
      <c r="P191" s="245"/>
      <c r="Q191" s="253"/>
      <c r="R191" s="253"/>
      <c r="S191" s="253"/>
      <c r="T191" s="43"/>
    </row>
    <row r="192" spans="1:20">
      <c r="A192" s="43"/>
      <c r="B192" s="69"/>
      <c r="C192" s="69"/>
      <c r="D192" s="249"/>
      <c r="E192" s="271"/>
      <c r="F192" s="44"/>
      <c r="G192" s="43"/>
      <c r="H192" s="43"/>
      <c r="I192" s="43"/>
      <c r="J192" s="43"/>
      <c r="K192" s="43"/>
      <c r="L192" s="43"/>
      <c r="M192" s="43"/>
      <c r="N192" s="43"/>
      <c r="O192" s="43"/>
      <c r="P192" s="245"/>
      <c r="Q192" s="253"/>
      <c r="R192" s="253"/>
      <c r="S192" s="253"/>
      <c r="T192" s="43"/>
    </row>
    <row r="193" spans="1:20">
      <c r="A193" s="43"/>
      <c r="B193" s="69"/>
      <c r="C193" s="69"/>
      <c r="D193" s="341"/>
      <c r="E193" s="271"/>
      <c r="F193" s="44"/>
      <c r="G193" s="43"/>
      <c r="H193" s="43"/>
      <c r="I193" s="43"/>
      <c r="J193" s="43"/>
      <c r="K193" s="43"/>
      <c r="L193" s="43"/>
      <c r="M193" s="43"/>
      <c r="N193" s="43"/>
      <c r="O193" s="43"/>
      <c r="P193" s="245"/>
      <c r="Q193" s="253"/>
      <c r="R193" s="253"/>
      <c r="S193" s="253"/>
      <c r="T193" s="43"/>
    </row>
    <row r="194" spans="1:20">
      <c r="A194" s="43"/>
      <c r="B194" s="69"/>
      <c r="C194" s="69"/>
      <c r="D194" s="341"/>
      <c r="E194" s="271"/>
      <c r="F194" s="44"/>
      <c r="G194" s="43"/>
      <c r="H194" s="43"/>
      <c r="I194" s="43"/>
      <c r="J194" s="43"/>
      <c r="K194" s="43"/>
      <c r="L194" s="43"/>
      <c r="M194" s="43"/>
      <c r="N194" s="43"/>
      <c r="O194" s="43"/>
      <c r="P194" s="245"/>
      <c r="Q194" s="253"/>
      <c r="R194" s="253"/>
      <c r="S194" s="253"/>
      <c r="T194" s="43"/>
    </row>
    <row r="195" spans="1:20">
      <c r="A195" s="43"/>
      <c r="B195" s="69"/>
      <c r="C195" s="69"/>
      <c r="D195" s="249"/>
      <c r="E195" s="271"/>
      <c r="F195" s="44"/>
      <c r="G195" s="43"/>
      <c r="H195" s="43"/>
      <c r="I195" s="43"/>
      <c r="J195" s="43"/>
      <c r="K195" s="43"/>
      <c r="L195" s="43"/>
      <c r="M195" s="43"/>
      <c r="N195" s="43"/>
      <c r="O195" s="43"/>
      <c r="P195" s="245"/>
      <c r="Q195" s="253"/>
      <c r="R195" s="253"/>
      <c r="S195" s="253"/>
      <c r="T195" s="43"/>
    </row>
    <row r="196" spans="1:20">
      <c r="A196" s="43"/>
      <c r="B196" s="102"/>
      <c r="C196" s="102"/>
      <c r="D196" s="249"/>
      <c r="E196" s="271"/>
      <c r="F196" s="44"/>
      <c r="G196" s="43"/>
      <c r="H196" s="43"/>
      <c r="I196" s="43"/>
      <c r="J196" s="43"/>
      <c r="K196" s="43"/>
      <c r="L196" s="43"/>
      <c r="M196" s="43"/>
      <c r="N196" s="43"/>
      <c r="O196" s="43"/>
      <c r="P196" s="245"/>
      <c r="Q196" s="253"/>
      <c r="R196" s="253"/>
      <c r="S196" s="253"/>
      <c r="T196" s="43"/>
    </row>
    <row r="197" spans="1:20">
      <c r="A197" s="43"/>
      <c r="B197" s="44"/>
      <c r="C197" s="44"/>
      <c r="D197" s="249"/>
      <c r="E197" s="69"/>
      <c r="F197" s="69"/>
      <c r="G197" s="43"/>
      <c r="H197" s="43"/>
      <c r="I197" s="43"/>
      <c r="J197" s="43"/>
      <c r="K197" s="43"/>
      <c r="L197" s="43"/>
      <c r="M197" s="43"/>
      <c r="N197" s="43"/>
      <c r="O197" s="43"/>
      <c r="P197" s="245"/>
      <c r="Q197" s="253"/>
      <c r="R197" s="253"/>
      <c r="S197" s="253"/>
      <c r="T197" s="43"/>
    </row>
    <row r="198" spans="1:20">
      <c r="A198" s="43"/>
      <c r="B198" s="44"/>
      <c r="C198" s="44"/>
      <c r="D198" s="249"/>
      <c r="E198" s="69"/>
      <c r="F198" s="69"/>
      <c r="G198" s="43"/>
      <c r="H198" s="43"/>
      <c r="I198" s="43"/>
      <c r="J198" s="43"/>
      <c r="K198" s="43"/>
      <c r="L198" s="43"/>
      <c r="M198" s="43"/>
      <c r="N198" s="43"/>
      <c r="O198" s="43"/>
      <c r="P198" s="245"/>
      <c r="Q198" s="253"/>
      <c r="R198" s="253"/>
      <c r="S198" s="253"/>
      <c r="T198" s="43"/>
    </row>
    <row r="199" spans="1:20">
      <c r="A199" s="43"/>
      <c r="B199" s="102"/>
      <c r="C199" s="102"/>
      <c r="D199" s="249"/>
      <c r="E199" s="271"/>
      <c r="F199" s="44"/>
      <c r="G199" s="43"/>
      <c r="H199" s="43"/>
      <c r="I199" s="43"/>
      <c r="J199" s="43"/>
      <c r="K199" s="43"/>
      <c r="L199" s="43"/>
      <c r="M199" s="43"/>
      <c r="N199" s="43"/>
      <c r="O199" s="43"/>
      <c r="P199" s="245"/>
      <c r="Q199" s="253"/>
      <c r="R199" s="253"/>
      <c r="S199" s="253"/>
      <c r="T199" s="43"/>
    </row>
    <row r="200" spans="1:20">
      <c r="A200" s="43"/>
      <c r="B200" s="69"/>
      <c r="C200" s="69"/>
      <c r="D200" s="249"/>
      <c r="E200" s="44"/>
      <c r="F200" s="44"/>
      <c r="G200" s="43"/>
      <c r="H200" s="43"/>
      <c r="I200" s="43"/>
      <c r="J200" s="43"/>
      <c r="K200" s="43"/>
      <c r="L200" s="43"/>
      <c r="M200" s="43"/>
      <c r="N200" s="43"/>
      <c r="O200" s="43"/>
      <c r="P200" s="245"/>
      <c r="Q200" s="253"/>
      <c r="R200" s="253"/>
      <c r="S200" s="253"/>
      <c r="T200" s="43"/>
    </row>
    <row r="201" spans="1:20">
      <c r="A201" s="43"/>
      <c r="B201" s="102"/>
      <c r="C201" s="102"/>
      <c r="D201" s="341"/>
      <c r="E201" s="44"/>
      <c r="F201" s="44"/>
      <c r="G201" s="43"/>
      <c r="H201" s="43"/>
      <c r="I201" s="43"/>
      <c r="J201" s="43"/>
      <c r="K201" s="43"/>
      <c r="L201" s="43"/>
      <c r="M201" s="43"/>
      <c r="N201" s="43"/>
      <c r="O201" s="43"/>
      <c r="P201" s="245"/>
      <c r="Q201" s="253"/>
      <c r="R201" s="253"/>
      <c r="S201" s="253"/>
      <c r="T201" s="43"/>
    </row>
    <row r="202" spans="1:20">
      <c r="A202" s="43"/>
      <c r="B202" s="102"/>
      <c r="C202" s="102"/>
      <c r="D202" s="249"/>
      <c r="E202" s="44"/>
      <c r="F202" s="44"/>
      <c r="G202" s="43"/>
      <c r="H202" s="43"/>
      <c r="I202" s="43"/>
      <c r="J202" s="43"/>
      <c r="K202" s="43"/>
      <c r="L202" s="43"/>
      <c r="M202" s="43"/>
      <c r="N202" s="43"/>
      <c r="O202" s="43"/>
      <c r="P202" s="245"/>
      <c r="Q202" s="253"/>
      <c r="R202" s="253"/>
      <c r="S202" s="253"/>
      <c r="T202" s="43"/>
    </row>
    <row r="203" spans="1:20">
      <c r="A203" s="43"/>
      <c r="B203" s="69"/>
      <c r="C203" s="69"/>
      <c r="D203" s="249"/>
      <c r="E203" s="44"/>
      <c r="F203" s="44"/>
      <c r="G203" s="43"/>
      <c r="H203" s="43"/>
      <c r="I203" s="43"/>
      <c r="J203" s="43"/>
      <c r="K203" s="43"/>
      <c r="L203" s="43"/>
      <c r="M203" s="43"/>
      <c r="N203" s="43"/>
      <c r="O203" s="43"/>
      <c r="P203" s="245"/>
      <c r="Q203" s="253"/>
      <c r="R203" s="253"/>
      <c r="S203" s="253"/>
      <c r="T203" s="43"/>
    </row>
    <row r="204" spans="1:20">
      <c r="A204" s="43"/>
      <c r="B204" s="69"/>
      <c r="C204" s="69"/>
      <c r="D204" s="249"/>
      <c r="E204" s="44"/>
      <c r="F204" s="69"/>
      <c r="G204" s="43"/>
      <c r="H204" s="43"/>
      <c r="I204" s="43"/>
      <c r="J204" s="43"/>
      <c r="K204" s="43"/>
      <c r="L204" s="43"/>
      <c r="M204" s="43"/>
      <c r="N204" s="43"/>
      <c r="O204" s="43"/>
      <c r="P204" s="245"/>
      <c r="Q204" s="253"/>
      <c r="R204" s="253"/>
      <c r="S204" s="253"/>
      <c r="T204" s="43"/>
    </row>
    <row r="205" spans="1:20">
      <c r="A205" s="43"/>
      <c r="B205" s="69"/>
      <c r="C205" s="69"/>
      <c r="D205" s="249"/>
      <c r="E205" s="44"/>
      <c r="F205" s="69"/>
      <c r="G205" s="43"/>
      <c r="H205" s="43"/>
      <c r="I205" s="43"/>
      <c r="J205" s="43"/>
      <c r="K205" s="43"/>
      <c r="L205" s="43"/>
      <c r="M205" s="43"/>
      <c r="N205" s="43"/>
      <c r="O205" s="43"/>
      <c r="P205" s="245"/>
      <c r="Q205" s="253"/>
      <c r="R205" s="253"/>
      <c r="S205" s="253"/>
      <c r="T205" s="43"/>
    </row>
    <row r="206" spans="1:20">
      <c r="A206" s="43"/>
      <c r="B206" s="102"/>
      <c r="C206" s="102"/>
      <c r="D206" s="341"/>
      <c r="E206" s="44"/>
      <c r="F206" s="44"/>
      <c r="G206" s="43"/>
      <c r="H206" s="43"/>
      <c r="I206" s="43"/>
      <c r="J206" s="43"/>
      <c r="K206" s="43"/>
      <c r="L206" s="43"/>
      <c r="M206" s="43"/>
      <c r="N206" s="43"/>
      <c r="O206" s="43"/>
      <c r="P206" s="245"/>
      <c r="Q206" s="253"/>
      <c r="R206" s="253"/>
      <c r="S206" s="253"/>
      <c r="T206" s="43"/>
    </row>
    <row r="207" spans="1:20">
      <c r="A207" s="43"/>
      <c r="B207" s="102"/>
      <c r="C207" s="102"/>
      <c r="D207" s="249"/>
      <c r="E207" s="44"/>
      <c r="F207" s="69"/>
      <c r="G207" s="43"/>
      <c r="H207" s="43"/>
      <c r="I207" s="43"/>
      <c r="J207" s="43"/>
      <c r="K207" s="43"/>
      <c r="L207" s="43"/>
      <c r="M207" s="43"/>
      <c r="N207" s="43"/>
      <c r="O207" s="43"/>
      <c r="P207" s="245"/>
      <c r="Q207" s="253"/>
      <c r="R207" s="253"/>
      <c r="S207" s="253"/>
      <c r="T207" s="43"/>
    </row>
    <row r="208" spans="1:20">
      <c r="A208" s="43"/>
      <c r="B208" s="44"/>
      <c r="C208" s="44"/>
      <c r="D208" s="44"/>
      <c r="E208" s="43"/>
      <c r="F208" s="43"/>
      <c r="G208" s="43"/>
      <c r="H208" s="43"/>
      <c r="I208" s="43"/>
      <c r="J208" s="43"/>
      <c r="K208" s="43"/>
      <c r="L208" s="43"/>
      <c r="M208" s="43"/>
      <c r="N208" s="43"/>
      <c r="O208" s="43"/>
      <c r="P208" s="245"/>
      <c r="Q208" s="253"/>
      <c r="R208" s="253"/>
      <c r="S208" s="253"/>
      <c r="T208" s="43"/>
    </row>
    <row r="209" spans="1:20">
      <c r="A209" s="43"/>
      <c r="B209" s="44"/>
      <c r="C209" s="44"/>
      <c r="D209" s="75"/>
      <c r="E209" s="43"/>
      <c r="F209" s="43"/>
      <c r="G209" s="43"/>
      <c r="H209" s="43"/>
      <c r="I209" s="43"/>
      <c r="J209" s="43"/>
      <c r="K209" s="43"/>
      <c r="L209" s="43"/>
      <c r="M209" s="43"/>
      <c r="N209" s="43"/>
      <c r="O209" s="43"/>
      <c r="P209" s="245"/>
      <c r="Q209" s="253"/>
      <c r="R209" s="253"/>
      <c r="S209" s="253"/>
      <c r="T209" s="43"/>
    </row>
    <row r="210" spans="1:20">
      <c r="A210" s="43"/>
      <c r="B210" s="44"/>
      <c r="C210" s="44"/>
      <c r="D210" s="75"/>
      <c r="E210" s="43"/>
      <c r="F210" s="43"/>
      <c r="G210" s="43"/>
      <c r="H210" s="43"/>
      <c r="I210" s="43"/>
      <c r="J210" s="43"/>
      <c r="K210" s="43"/>
      <c r="L210" s="43"/>
      <c r="M210" s="43"/>
      <c r="N210" s="43"/>
      <c r="O210" s="43"/>
      <c r="P210" s="245"/>
      <c r="Q210" s="253"/>
      <c r="R210" s="253"/>
      <c r="S210" s="253"/>
      <c r="T210" s="43"/>
    </row>
    <row r="211" spans="1:20">
      <c r="A211" s="43"/>
      <c r="B211" s="44"/>
      <c r="C211" s="44"/>
      <c r="D211" s="75"/>
      <c r="E211" s="43"/>
      <c r="F211" s="43"/>
      <c r="G211" s="43"/>
      <c r="H211" s="43"/>
      <c r="I211" s="43"/>
      <c r="J211" s="43"/>
      <c r="K211" s="43"/>
      <c r="L211" s="43"/>
      <c r="M211" s="43"/>
      <c r="N211" s="43"/>
      <c r="O211" s="43"/>
      <c r="P211" s="245"/>
      <c r="Q211" s="253"/>
      <c r="R211" s="253"/>
      <c r="S211" s="253"/>
      <c r="T211" s="43"/>
    </row>
    <row r="212" spans="1:20">
      <c r="A212" s="43"/>
      <c r="B212" s="44"/>
      <c r="C212" s="44"/>
      <c r="D212" s="75"/>
      <c r="E212" s="43"/>
      <c r="F212" s="43"/>
      <c r="G212" s="43"/>
      <c r="H212" s="43"/>
      <c r="I212" s="43"/>
      <c r="J212" s="43"/>
      <c r="K212" s="43"/>
      <c r="L212" s="43"/>
      <c r="M212" s="43"/>
      <c r="N212" s="43"/>
      <c r="O212" s="43"/>
      <c r="P212" s="245"/>
      <c r="Q212" s="253"/>
      <c r="R212" s="253"/>
      <c r="S212" s="253"/>
      <c r="T212" s="43"/>
    </row>
    <row r="213" spans="1:20">
      <c r="A213" s="43"/>
      <c r="B213" s="44"/>
      <c r="C213" s="44"/>
      <c r="D213" s="75"/>
      <c r="E213" s="43"/>
      <c r="F213" s="43"/>
      <c r="G213" s="43"/>
      <c r="H213" s="43"/>
      <c r="I213" s="43"/>
      <c r="J213" s="43"/>
      <c r="K213" s="43"/>
      <c r="L213" s="43"/>
      <c r="M213" s="43"/>
      <c r="N213" s="43"/>
      <c r="O213" s="43"/>
      <c r="P213" s="245"/>
      <c r="Q213" s="253"/>
      <c r="R213" s="253"/>
      <c r="S213" s="253"/>
      <c r="T213" s="43"/>
    </row>
    <row r="214" spans="1:20">
      <c r="A214" s="43"/>
      <c r="B214" s="44"/>
      <c r="C214" s="44"/>
      <c r="D214" s="75"/>
      <c r="E214" s="43"/>
      <c r="F214" s="43"/>
      <c r="G214" s="43"/>
      <c r="H214" s="43"/>
      <c r="I214" s="43"/>
      <c r="J214" s="43"/>
      <c r="K214" s="43"/>
      <c r="L214" s="43"/>
      <c r="M214" s="43"/>
      <c r="N214" s="43"/>
      <c r="O214" s="43"/>
      <c r="P214" s="245"/>
      <c r="Q214" s="253"/>
      <c r="R214" s="253"/>
      <c r="S214" s="253"/>
      <c r="T214" s="43"/>
    </row>
    <row r="215" spans="1:20">
      <c r="A215" s="43"/>
      <c r="B215" s="44"/>
      <c r="C215" s="44"/>
      <c r="D215" s="75"/>
      <c r="E215" s="43"/>
      <c r="F215" s="43"/>
      <c r="G215" s="43"/>
      <c r="H215" s="43"/>
      <c r="I215" s="43"/>
      <c r="J215" s="43"/>
      <c r="K215" s="43"/>
      <c r="L215" s="43"/>
      <c r="M215" s="43"/>
      <c r="N215" s="43"/>
      <c r="O215" s="43"/>
      <c r="P215" s="245"/>
      <c r="Q215" s="253"/>
      <c r="R215" s="253"/>
      <c r="S215" s="253"/>
      <c r="T215" s="43"/>
    </row>
    <row r="216" spans="1:20">
      <c r="A216" s="43"/>
      <c r="B216" s="44"/>
      <c r="C216" s="44"/>
      <c r="D216" s="75"/>
      <c r="E216" s="43"/>
      <c r="F216" s="43"/>
      <c r="G216" s="43"/>
      <c r="H216" s="43"/>
      <c r="I216" s="43"/>
      <c r="J216" s="43"/>
      <c r="K216" s="43"/>
      <c r="L216" s="43"/>
      <c r="M216" s="43"/>
      <c r="N216" s="43"/>
      <c r="O216" s="43"/>
      <c r="P216" s="245"/>
      <c r="Q216" s="253"/>
      <c r="R216" s="253"/>
      <c r="S216" s="253"/>
      <c r="T216" s="43"/>
    </row>
    <row r="217" spans="1:20">
      <c r="A217" s="43"/>
      <c r="B217" s="44"/>
      <c r="C217" s="44"/>
      <c r="D217" s="75"/>
      <c r="E217" s="43"/>
      <c r="F217" s="43"/>
      <c r="G217" s="43"/>
      <c r="H217" s="43"/>
      <c r="I217" s="43"/>
      <c r="J217" s="43"/>
      <c r="K217" s="43"/>
      <c r="L217" s="43"/>
      <c r="M217" s="43"/>
      <c r="N217" s="43"/>
      <c r="O217" s="43"/>
      <c r="P217" s="245"/>
      <c r="Q217" s="253"/>
      <c r="R217" s="253"/>
      <c r="S217" s="253"/>
      <c r="T217" s="43"/>
    </row>
    <row r="218" spans="1:20">
      <c r="A218" s="43"/>
      <c r="B218" s="44"/>
      <c r="C218" s="44"/>
      <c r="D218" s="44"/>
      <c r="E218" s="43"/>
      <c r="F218" s="43"/>
      <c r="G218" s="43"/>
      <c r="H218" s="43"/>
      <c r="I218" s="43"/>
      <c r="J218" s="43"/>
      <c r="K218" s="43"/>
      <c r="L218" s="43"/>
      <c r="M218" s="43"/>
      <c r="N218" s="43"/>
      <c r="O218" s="43"/>
      <c r="P218" s="245"/>
      <c r="Q218" s="253"/>
      <c r="R218" s="253"/>
      <c r="S218" s="253"/>
      <c r="T218" s="43"/>
    </row>
    <row r="219" spans="1:20">
      <c r="A219" s="43"/>
      <c r="B219" s="44"/>
      <c r="C219" s="44"/>
      <c r="D219" s="44"/>
      <c r="E219" s="43"/>
      <c r="F219" s="43"/>
      <c r="G219" s="43"/>
      <c r="H219" s="43"/>
      <c r="I219" s="43"/>
      <c r="J219" s="43"/>
      <c r="K219" s="43"/>
      <c r="L219" s="43"/>
      <c r="M219" s="43"/>
      <c r="N219" s="43"/>
      <c r="O219" s="43"/>
      <c r="P219" s="245"/>
      <c r="Q219" s="253"/>
      <c r="R219" s="253"/>
      <c r="S219" s="253"/>
      <c r="T219" s="43"/>
    </row>
    <row r="220" spans="1:20">
      <c r="A220" s="43"/>
      <c r="B220" s="44"/>
      <c r="C220" s="44"/>
      <c r="D220" s="44"/>
      <c r="E220" s="43"/>
      <c r="F220" s="43"/>
      <c r="G220" s="43"/>
      <c r="H220" s="43"/>
      <c r="I220" s="43"/>
      <c r="J220" s="43"/>
      <c r="K220" s="43"/>
      <c r="L220" s="43"/>
      <c r="M220" s="43"/>
      <c r="N220" s="43"/>
      <c r="O220" s="43"/>
      <c r="P220" s="245"/>
      <c r="Q220" s="253"/>
      <c r="R220" s="253"/>
      <c r="S220" s="253"/>
      <c r="T220" s="43"/>
    </row>
    <row r="221" spans="1:20">
      <c r="A221" s="43"/>
      <c r="B221" s="44"/>
      <c r="C221" s="44"/>
      <c r="D221" s="75"/>
      <c r="E221" s="43"/>
      <c r="F221" s="43"/>
      <c r="G221" s="43"/>
      <c r="H221" s="43"/>
      <c r="I221" s="43"/>
      <c r="J221" s="43"/>
      <c r="K221" s="43"/>
      <c r="L221" s="43"/>
      <c r="M221" s="43"/>
      <c r="N221" s="43"/>
      <c r="O221" s="43"/>
      <c r="P221" s="245"/>
      <c r="Q221" s="253"/>
      <c r="R221" s="253"/>
      <c r="S221" s="253"/>
      <c r="T221" s="43"/>
    </row>
    <row r="222" spans="1:20">
      <c r="A222" s="43"/>
      <c r="B222" s="44"/>
      <c r="C222" s="44"/>
      <c r="D222" s="75"/>
      <c r="E222" s="43"/>
      <c r="F222" s="43"/>
      <c r="G222" s="43"/>
      <c r="H222" s="43"/>
      <c r="I222" s="43"/>
      <c r="J222" s="43"/>
      <c r="K222" s="43"/>
      <c r="L222" s="43"/>
      <c r="M222" s="43"/>
      <c r="N222" s="43"/>
      <c r="O222" s="43"/>
      <c r="P222" s="245"/>
      <c r="Q222" s="253"/>
      <c r="R222" s="253"/>
      <c r="S222" s="253"/>
      <c r="T222" s="43"/>
    </row>
    <row r="223" spans="1:20">
      <c r="A223" s="43"/>
      <c r="B223" s="44"/>
      <c r="C223" s="44"/>
      <c r="D223" s="75"/>
      <c r="E223" s="43"/>
      <c r="F223" s="43"/>
      <c r="G223" s="43"/>
      <c r="H223" s="43"/>
      <c r="I223" s="43"/>
      <c r="J223" s="43"/>
      <c r="K223" s="43"/>
      <c r="L223" s="43"/>
      <c r="M223" s="43"/>
      <c r="N223" s="43"/>
      <c r="O223" s="43"/>
      <c r="P223" s="245"/>
      <c r="Q223" s="253"/>
      <c r="R223" s="253"/>
      <c r="S223" s="253"/>
      <c r="T223" s="43"/>
    </row>
    <row r="224" spans="1:20">
      <c r="A224" s="43"/>
      <c r="B224" s="44"/>
      <c r="C224" s="44"/>
      <c r="D224" s="75"/>
      <c r="E224" s="43"/>
      <c r="F224" s="43"/>
      <c r="G224" s="43"/>
      <c r="H224" s="43"/>
      <c r="I224" s="43"/>
      <c r="J224" s="43"/>
      <c r="K224" s="43"/>
      <c r="L224" s="43"/>
      <c r="M224" s="43"/>
      <c r="N224" s="43"/>
      <c r="O224" s="43"/>
      <c r="P224" s="245"/>
      <c r="Q224" s="253"/>
      <c r="R224" s="253"/>
      <c r="S224" s="253"/>
      <c r="T224" s="43"/>
    </row>
    <row r="225" spans="1:20">
      <c r="A225" s="43"/>
      <c r="B225" s="44"/>
      <c r="C225" s="44"/>
      <c r="D225" s="75"/>
      <c r="E225" s="43"/>
      <c r="F225" s="43"/>
      <c r="G225" s="43"/>
      <c r="H225" s="43"/>
      <c r="I225" s="43"/>
      <c r="J225" s="43"/>
      <c r="K225" s="43"/>
      <c r="L225" s="43"/>
      <c r="M225" s="43"/>
      <c r="N225" s="43"/>
      <c r="O225" s="43"/>
      <c r="P225" s="245"/>
      <c r="Q225" s="253"/>
      <c r="R225" s="253"/>
      <c r="S225" s="253"/>
      <c r="T225" s="43"/>
    </row>
    <row r="226" spans="1:20">
      <c r="A226" s="43"/>
      <c r="B226" s="44"/>
      <c r="C226" s="44"/>
      <c r="D226" s="75"/>
      <c r="E226" s="43"/>
      <c r="F226" s="43"/>
      <c r="G226" s="43"/>
      <c r="H226" s="43"/>
      <c r="I226" s="43"/>
      <c r="J226" s="43"/>
      <c r="K226" s="43"/>
      <c r="L226" s="43"/>
      <c r="M226" s="43"/>
      <c r="N226" s="43"/>
      <c r="O226" s="43"/>
      <c r="P226" s="245"/>
      <c r="Q226" s="253"/>
      <c r="R226" s="253"/>
      <c r="S226" s="253"/>
      <c r="T226" s="43"/>
    </row>
    <row r="227" spans="1:20">
      <c r="A227" s="43"/>
      <c r="B227" s="44"/>
      <c r="C227" s="44"/>
      <c r="D227" s="75"/>
      <c r="E227" s="43"/>
      <c r="F227" s="43"/>
      <c r="G227" s="43"/>
      <c r="H227" s="43"/>
      <c r="I227" s="43"/>
      <c r="J227" s="43"/>
      <c r="K227" s="43"/>
      <c r="L227" s="43"/>
      <c r="M227" s="43"/>
      <c r="N227" s="43"/>
      <c r="O227" s="43"/>
      <c r="P227" s="245"/>
      <c r="Q227" s="253"/>
      <c r="R227" s="253"/>
      <c r="S227" s="253"/>
      <c r="T227" s="43"/>
    </row>
    <row r="228" spans="1:20">
      <c r="A228" s="43"/>
      <c r="B228" s="44"/>
      <c r="C228" s="44"/>
      <c r="D228" s="75"/>
      <c r="E228" s="43"/>
      <c r="F228" s="43"/>
      <c r="G228" s="43"/>
      <c r="H228" s="43"/>
      <c r="I228" s="43"/>
      <c r="J228" s="43"/>
      <c r="K228" s="43"/>
      <c r="L228" s="43"/>
      <c r="M228" s="43"/>
      <c r="N228" s="43"/>
      <c r="O228" s="43"/>
      <c r="P228" s="245"/>
      <c r="Q228" s="253"/>
      <c r="R228" s="253"/>
      <c r="S228" s="253"/>
      <c r="T228" s="43"/>
    </row>
    <row r="229" spans="1:20">
      <c r="A229" s="43"/>
      <c r="B229" s="44"/>
      <c r="C229" s="44"/>
      <c r="D229" s="75"/>
      <c r="E229" s="43"/>
      <c r="F229" s="43"/>
      <c r="G229" s="43"/>
      <c r="H229" s="43"/>
      <c r="I229" s="43"/>
      <c r="J229" s="43"/>
      <c r="K229" s="43"/>
      <c r="L229" s="43"/>
      <c r="M229" s="43"/>
      <c r="N229" s="43"/>
      <c r="O229" s="43"/>
      <c r="P229" s="245"/>
      <c r="Q229" s="253"/>
      <c r="R229" s="253"/>
      <c r="S229" s="253"/>
      <c r="T229" s="43"/>
    </row>
    <row r="230" spans="1:20">
      <c r="A230" s="43"/>
      <c r="B230" s="44"/>
      <c r="C230" s="44"/>
      <c r="D230" s="75"/>
      <c r="E230" s="43"/>
      <c r="F230" s="43"/>
      <c r="G230" s="43"/>
      <c r="H230" s="43"/>
      <c r="I230" s="43"/>
      <c r="J230" s="43"/>
      <c r="K230" s="43"/>
      <c r="L230" s="43"/>
      <c r="M230" s="43"/>
      <c r="N230" s="43"/>
      <c r="O230" s="43"/>
      <c r="P230" s="245"/>
      <c r="Q230" s="253"/>
      <c r="R230" s="253"/>
      <c r="S230" s="253"/>
      <c r="T230" s="43"/>
    </row>
    <row r="231" spans="1:20">
      <c r="A231" s="43"/>
      <c r="B231" s="44"/>
      <c r="C231" s="44"/>
      <c r="D231" s="75"/>
      <c r="E231" s="43"/>
      <c r="F231" s="43"/>
      <c r="G231" s="43"/>
      <c r="H231" s="43"/>
      <c r="I231" s="43"/>
      <c r="J231" s="43"/>
      <c r="K231" s="43"/>
      <c r="L231" s="43"/>
      <c r="M231" s="43"/>
      <c r="N231" s="43"/>
      <c r="O231" s="43"/>
      <c r="P231" s="245"/>
      <c r="Q231" s="253"/>
      <c r="R231" s="253"/>
      <c r="S231" s="253"/>
      <c r="T231" s="43"/>
    </row>
    <row r="232" spans="1:20">
      <c r="A232" s="43"/>
      <c r="B232" s="44"/>
      <c r="C232" s="44"/>
      <c r="D232" s="75"/>
      <c r="E232" s="43"/>
      <c r="F232" s="43"/>
      <c r="G232" s="43"/>
      <c r="H232" s="43"/>
      <c r="I232" s="43"/>
      <c r="J232" s="43"/>
      <c r="K232" s="43"/>
      <c r="L232" s="43"/>
      <c r="M232" s="43"/>
      <c r="N232" s="43"/>
      <c r="O232" s="43"/>
      <c r="P232" s="245"/>
      <c r="Q232" s="253"/>
      <c r="R232" s="253"/>
      <c r="S232" s="253"/>
      <c r="T232" s="43"/>
    </row>
    <row r="233" spans="1:20">
      <c r="A233" s="43"/>
      <c r="B233" s="44"/>
      <c r="C233" s="44"/>
      <c r="D233" s="75"/>
      <c r="E233" s="43"/>
      <c r="F233" s="43"/>
      <c r="G233" s="43"/>
      <c r="H233" s="43"/>
      <c r="I233" s="43"/>
      <c r="J233" s="43"/>
      <c r="K233" s="43"/>
      <c r="L233" s="43"/>
      <c r="M233" s="43"/>
      <c r="N233" s="43"/>
      <c r="O233" s="43"/>
      <c r="P233" s="245"/>
      <c r="Q233" s="253"/>
      <c r="R233" s="253"/>
      <c r="S233" s="253"/>
      <c r="T233" s="43"/>
    </row>
    <row r="234" spans="1:20">
      <c r="A234" s="43"/>
      <c r="B234" s="44"/>
      <c r="C234" s="44"/>
      <c r="D234" s="75"/>
      <c r="E234" s="43"/>
      <c r="F234" s="43"/>
      <c r="G234" s="43"/>
      <c r="H234" s="43"/>
      <c r="I234" s="43"/>
      <c r="J234" s="43"/>
      <c r="K234" s="43"/>
      <c r="L234" s="43"/>
      <c r="M234" s="43"/>
      <c r="N234" s="43"/>
      <c r="O234" s="43"/>
      <c r="P234" s="245"/>
      <c r="Q234" s="253"/>
      <c r="R234" s="253"/>
      <c r="S234" s="253"/>
      <c r="T234" s="43"/>
    </row>
    <row r="235" spans="1:20">
      <c r="A235" s="43"/>
      <c r="B235" s="44"/>
      <c r="C235" s="44"/>
      <c r="D235" s="44"/>
      <c r="E235" s="43"/>
      <c r="F235" s="43"/>
      <c r="G235" s="43"/>
      <c r="H235" s="43"/>
      <c r="I235" s="43"/>
      <c r="J235" s="43"/>
      <c r="K235" s="43"/>
      <c r="L235" s="43"/>
      <c r="M235" s="43"/>
      <c r="N235" s="43"/>
      <c r="O235" s="43"/>
      <c r="P235" s="245"/>
      <c r="Q235" s="253"/>
      <c r="R235" s="253"/>
      <c r="S235" s="253"/>
      <c r="T235" s="43"/>
    </row>
    <row r="236" spans="1:20">
      <c r="A236" s="43"/>
      <c r="B236" s="44"/>
      <c r="C236" s="44"/>
      <c r="D236" s="75"/>
      <c r="E236" s="43"/>
      <c r="F236" s="43"/>
      <c r="G236" s="43"/>
      <c r="H236" s="43"/>
      <c r="I236" s="43"/>
      <c r="J236" s="43"/>
      <c r="K236" s="43"/>
      <c r="L236" s="43"/>
      <c r="M236" s="43"/>
      <c r="N236" s="43"/>
      <c r="O236" s="43"/>
      <c r="P236" s="245"/>
      <c r="Q236" s="253"/>
      <c r="R236" s="253"/>
      <c r="S236" s="253"/>
      <c r="T236" s="43"/>
    </row>
    <row r="237" spans="1:20">
      <c r="A237" s="43"/>
      <c r="B237" s="44"/>
      <c r="C237" s="44"/>
      <c r="D237" s="75"/>
      <c r="E237" s="43"/>
      <c r="F237" s="43"/>
      <c r="G237" s="43"/>
      <c r="H237" s="43"/>
      <c r="I237" s="43"/>
      <c r="J237" s="43"/>
      <c r="K237" s="43"/>
      <c r="L237" s="43"/>
      <c r="M237" s="43"/>
      <c r="N237" s="43"/>
      <c r="O237" s="43"/>
      <c r="P237" s="245"/>
      <c r="Q237" s="253"/>
      <c r="R237" s="253"/>
      <c r="S237" s="253"/>
      <c r="T237" s="43"/>
    </row>
    <row r="238" spans="1:20">
      <c r="A238" s="43"/>
      <c r="B238" s="44"/>
      <c r="C238" s="44"/>
      <c r="D238" s="75"/>
      <c r="E238" s="43"/>
      <c r="F238" s="43"/>
      <c r="G238" s="43"/>
      <c r="H238" s="43"/>
      <c r="I238" s="43"/>
      <c r="J238" s="43"/>
      <c r="K238" s="43"/>
      <c r="L238" s="43"/>
      <c r="M238" s="43"/>
      <c r="N238" s="43"/>
      <c r="O238" s="43"/>
      <c r="P238" s="245"/>
      <c r="Q238" s="253"/>
      <c r="R238" s="253"/>
      <c r="S238" s="253"/>
      <c r="T238" s="43"/>
    </row>
    <row r="239" spans="1:20">
      <c r="A239" s="43"/>
      <c r="B239" s="44"/>
      <c r="C239" s="44"/>
      <c r="D239" s="75"/>
      <c r="E239" s="43"/>
      <c r="F239" s="43"/>
      <c r="G239" s="43"/>
      <c r="H239" s="43"/>
      <c r="I239" s="43"/>
      <c r="J239" s="43"/>
      <c r="K239" s="43"/>
      <c r="L239" s="43"/>
      <c r="M239" s="43"/>
      <c r="N239" s="43"/>
      <c r="O239" s="43"/>
      <c r="P239" s="245"/>
      <c r="Q239" s="253"/>
      <c r="R239" s="253"/>
      <c r="S239" s="253"/>
      <c r="T239" s="43"/>
    </row>
    <row r="240" spans="1:20">
      <c r="A240" s="43"/>
      <c r="B240" s="44"/>
      <c r="C240" s="44"/>
      <c r="D240" s="44"/>
      <c r="E240" s="43"/>
      <c r="F240" s="43"/>
      <c r="G240" s="43"/>
      <c r="H240" s="43"/>
      <c r="I240" s="43"/>
      <c r="J240" s="43"/>
      <c r="K240" s="43"/>
      <c r="L240" s="43"/>
      <c r="M240" s="43"/>
      <c r="N240" s="43"/>
      <c r="O240" s="43"/>
      <c r="P240" s="245"/>
      <c r="Q240" s="253"/>
      <c r="R240" s="253"/>
      <c r="S240" s="253"/>
      <c r="T240" s="43"/>
    </row>
    <row r="241" spans="1:20">
      <c r="A241" s="43"/>
      <c r="B241" s="44"/>
      <c r="C241" s="44"/>
      <c r="D241" s="75"/>
      <c r="E241" s="43"/>
      <c r="F241" s="43"/>
      <c r="G241" s="43"/>
      <c r="H241" s="43"/>
      <c r="I241" s="43"/>
      <c r="J241" s="43"/>
      <c r="K241" s="43"/>
      <c r="L241" s="43"/>
      <c r="M241" s="43"/>
      <c r="N241" s="43"/>
      <c r="O241" s="43"/>
      <c r="P241" s="245"/>
      <c r="Q241" s="253"/>
      <c r="R241" s="253"/>
      <c r="S241" s="253"/>
      <c r="T241" s="43"/>
    </row>
    <row r="242" spans="1:20">
      <c r="A242" s="43"/>
      <c r="B242" s="44"/>
      <c r="C242" s="44"/>
      <c r="D242" s="75"/>
      <c r="E242" s="43"/>
      <c r="F242" s="43"/>
      <c r="G242" s="43"/>
      <c r="H242" s="43"/>
      <c r="I242" s="43"/>
      <c r="J242" s="43"/>
      <c r="K242" s="43"/>
      <c r="L242" s="43"/>
      <c r="M242" s="43"/>
      <c r="N242" s="43"/>
      <c r="O242" s="43"/>
      <c r="P242" s="245"/>
      <c r="Q242" s="253"/>
      <c r="R242" s="253"/>
      <c r="S242" s="253"/>
      <c r="T242" s="43"/>
    </row>
    <row r="243" spans="1:20">
      <c r="A243" s="43"/>
      <c r="B243" s="44"/>
      <c r="C243" s="44"/>
      <c r="D243" s="75"/>
      <c r="E243" s="43"/>
      <c r="F243" s="43"/>
      <c r="G243" s="43"/>
      <c r="H243" s="43"/>
      <c r="I243" s="43"/>
      <c r="J243" s="43"/>
      <c r="K243" s="43"/>
      <c r="L243" s="43"/>
      <c r="M243" s="43"/>
      <c r="N243" s="43"/>
      <c r="O243" s="43"/>
      <c r="P243" s="245"/>
      <c r="Q243" s="253"/>
      <c r="R243" s="253"/>
      <c r="S243" s="253"/>
      <c r="T243" s="43"/>
    </row>
    <row r="244" spans="1:20">
      <c r="A244" s="43"/>
      <c r="B244" s="44"/>
      <c r="C244" s="44"/>
      <c r="D244" s="75"/>
      <c r="E244" s="43"/>
      <c r="F244" s="43"/>
      <c r="G244" s="43"/>
      <c r="H244" s="43"/>
      <c r="I244" s="43"/>
      <c r="J244" s="43"/>
      <c r="K244" s="43"/>
      <c r="L244" s="43"/>
      <c r="M244" s="43"/>
      <c r="N244" s="43"/>
      <c r="O244" s="43"/>
      <c r="P244" s="245"/>
      <c r="Q244" s="253"/>
      <c r="R244" s="253"/>
      <c r="S244" s="253"/>
      <c r="T244" s="43"/>
    </row>
    <row r="245" spans="1:20">
      <c r="A245" s="43"/>
      <c r="B245" s="44"/>
      <c r="C245" s="44"/>
      <c r="D245" s="75"/>
      <c r="E245" s="43"/>
      <c r="F245" s="43"/>
      <c r="G245" s="43"/>
      <c r="H245" s="43"/>
      <c r="I245" s="43"/>
      <c r="J245" s="43"/>
      <c r="K245" s="43"/>
      <c r="L245" s="43"/>
      <c r="M245" s="43"/>
      <c r="N245" s="43"/>
      <c r="O245" s="43"/>
      <c r="P245" s="245"/>
      <c r="Q245" s="253"/>
      <c r="R245" s="253"/>
      <c r="S245" s="253"/>
      <c r="T245" s="43"/>
    </row>
    <row r="246" spans="1:20">
      <c r="A246" s="43"/>
      <c r="B246" s="44"/>
      <c r="C246" s="44"/>
      <c r="D246" s="75"/>
      <c r="E246" s="43"/>
      <c r="F246" s="43"/>
      <c r="G246" s="43"/>
      <c r="H246" s="43"/>
      <c r="I246" s="43"/>
      <c r="J246" s="43"/>
      <c r="K246" s="43"/>
      <c r="L246" s="43"/>
      <c r="M246" s="43"/>
      <c r="N246" s="43"/>
      <c r="O246" s="43"/>
      <c r="P246" s="245"/>
      <c r="Q246" s="253"/>
      <c r="R246" s="253"/>
      <c r="S246" s="253"/>
      <c r="T246" s="43"/>
    </row>
    <row r="247" spans="1:20">
      <c r="A247" s="43"/>
      <c r="B247" s="69"/>
      <c r="C247" s="69"/>
      <c r="D247" s="75"/>
      <c r="E247" s="44"/>
      <c r="F247" s="44"/>
      <c r="G247" s="43"/>
      <c r="H247" s="43"/>
      <c r="I247" s="43"/>
      <c r="J247" s="43"/>
      <c r="K247" s="43"/>
      <c r="L247" s="43"/>
      <c r="M247" s="43"/>
      <c r="N247" s="43"/>
      <c r="O247" s="43"/>
      <c r="P247" s="245"/>
      <c r="Q247" s="253"/>
      <c r="R247" s="253"/>
      <c r="S247" s="253"/>
      <c r="T247" s="43"/>
    </row>
    <row r="248" spans="1:20">
      <c r="A248" s="43"/>
      <c r="B248" s="69"/>
      <c r="C248" s="69"/>
      <c r="D248" s="75"/>
      <c r="E248" s="44"/>
      <c r="F248" s="44"/>
      <c r="G248" s="43"/>
      <c r="H248" s="43"/>
      <c r="I248" s="43"/>
      <c r="J248" s="43"/>
      <c r="K248" s="43"/>
      <c r="L248" s="43"/>
      <c r="M248" s="43"/>
      <c r="N248" s="43"/>
      <c r="O248" s="43"/>
      <c r="P248" s="245"/>
      <c r="Q248" s="253"/>
      <c r="R248" s="253"/>
      <c r="S248" s="253"/>
      <c r="T248" s="43"/>
    </row>
    <row r="249" spans="1:20">
      <c r="A249" s="43"/>
      <c r="B249" s="44"/>
      <c r="C249" s="44"/>
      <c r="D249" s="75"/>
      <c r="E249" s="43"/>
      <c r="F249" s="43"/>
      <c r="G249" s="43"/>
      <c r="H249" s="43"/>
      <c r="I249" s="43"/>
      <c r="J249" s="43"/>
      <c r="K249" s="43"/>
      <c r="L249" s="43"/>
      <c r="M249" s="43"/>
      <c r="N249" s="43"/>
      <c r="O249" s="43"/>
      <c r="P249" s="245"/>
      <c r="Q249" s="253"/>
      <c r="R249" s="253"/>
      <c r="S249" s="253"/>
      <c r="T249" s="43"/>
    </row>
    <row r="250" spans="1:20">
      <c r="A250" s="43"/>
      <c r="B250" s="44"/>
      <c r="C250" s="44"/>
      <c r="D250" s="75"/>
      <c r="E250" s="43"/>
      <c r="F250" s="43"/>
      <c r="G250" s="43"/>
      <c r="H250" s="43"/>
      <c r="I250" s="43"/>
      <c r="J250" s="43"/>
      <c r="K250" s="43"/>
      <c r="L250" s="43"/>
      <c r="M250" s="43"/>
      <c r="N250" s="43"/>
      <c r="O250" s="43"/>
      <c r="P250" s="245"/>
      <c r="Q250" s="253"/>
      <c r="R250" s="253"/>
      <c r="S250" s="253"/>
      <c r="T250" s="43"/>
    </row>
    <row r="251" spans="1:20">
      <c r="A251" s="43"/>
      <c r="B251" s="44"/>
      <c r="C251" s="44"/>
      <c r="D251" s="249"/>
      <c r="E251" s="44"/>
      <c r="F251" s="44"/>
      <c r="G251" s="43"/>
      <c r="H251" s="43"/>
      <c r="I251" s="43"/>
      <c r="J251" s="43"/>
      <c r="K251" s="43"/>
      <c r="L251" s="43"/>
      <c r="M251" s="43"/>
      <c r="N251" s="43"/>
      <c r="O251" s="43"/>
      <c r="P251" s="245"/>
      <c r="Q251" s="253"/>
      <c r="R251" s="253"/>
      <c r="S251" s="253"/>
      <c r="T251" s="43"/>
    </row>
    <row r="252" spans="1:20">
      <c r="A252" s="43"/>
      <c r="B252" s="44"/>
      <c r="C252" s="44"/>
      <c r="D252" s="249"/>
      <c r="E252" s="44"/>
      <c r="F252" s="44"/>
      <c r="G252" s="43"/>
      <c r="H252" s="43"/>
      <c r="I252" s="43"/>
      <c r="J252" s="43"/>
      <c r="K252" s="43"/>
      <c r="L252" s="43"/>
      <c r="M252" s="43"/>
      <c r="N252" s="43"/>
      <c r="O252" s="43"/>
      <c r="P252" s="245"/>
      <c r="Q252" s="253"/>
      <c r="R252" s="253"/>
      <c r="S252" s="253"/>
      <c r="T252" s="43"/>
    </row>
    <row r="253" spans="1:20">
      <c r="A253" s="43"/>
      <c r="B253" s="44"/>
      <c r="C253" s="44"/>
      <c r="D253" s="249"/>
      <c r="E253" s="44"/>
      <c r="F253" s="44"/>
      <c r="G253" s="43"/>
      <c r="H253" s="43"/>
      <c r="I253" s="43"/>
      <c r="J253" s="43"/>
      <c r="K253" s="43"/>
      <c r="L253" s="43"/>
      <c r="M253" s="43"/>
      <c r="N253" s="43"/>
      <c r="O253" s="43"/>
      <c r="P253" s="245"/>
      <c r="Q253" s="253"/>
      <c r="R253" s="253"/>
      <c r="S253" s="253"/>
      <c r="T253" s="43"/>
    </row>
    <row r="254" spans="1:20">
      <c r="A254" s="43"/>
      <c r="B254" s="44"/>
      <c r="C254" s="44"/>
      <c r="D254" s="249"/>
      <c r="E254" s="44"/>
      <c r="F254" s="44"/>
      <c r="G254" s="43"/>
      <c r="H254" s="43"/>
      <c r="I254" s="43"/>
      <c r="J254" s="43"/>
      <c r="K254" s="43"/>
      <c r="L254" s="43"/>
      <c r="M254" s="43"/>
      <c r="N254" s="43"/>
      <c r="O254" s="43"/>
      <c r="P254" s="245"/>
      <c r="Q254" s="253"/>
      <c r="R254" s="253"/>
      <c r="S254" s="253"/>
      <c r="T254" s="43"/>
    </row>
    <row r="255" spans="1:20">
      <c r="A255" s="43"/>
      <c r="B255" s="44"/>
      <c r="C255" s="44"/>
      <c r="D255" s="249"/>
      <c r="E255" s="44"/>
      <c r="F255" s="44"/>
      <c r="G255" s="43"/>
      <c r="H255" s="43"/>
      <c r="I255" s="43"/>
      <c r="J255" s="43"/>
      <c r="K255" s="43"/>
      <c r="L255" s="43"/>
      <c r="M255" s="43"/>
      <c r="N255" s="43"/>
      <c r="O255" s="43"/>
      <c r="P255" s="245"/>
      <c r="Q255" s="253"/>
      <c r="R255" s="253"/>
      <c r="S255" s="253"/>
      <c r="T255" s="43"/>
    </row>
    <row r="256" spans="1:20">
      <c r="A256" s="43"/>
      <c r="B256" s="44"/>
      <c r="C256" s="44"/>
      <c r="D256" s="75"/>
      <c r="E256" s="43"/>
      <c r="F256" s="69"/>
      <c r="G256" s="43"/>
      <c r="H256" s="43"/>
      <c r="I256" s="43"/>
      <c r="J256" s="43"/>
      <c r="K256" s="43"/>
      <c r="L256" s="43"/>
      <c r="M256" s="43"/>
      <c r="N256" s="43"/>
      <c r="O256" s="43"/>
      <c r="P256" s="245"/>
      <c r="Q256" s="253"/>
      <c r="R256" s="253"/>
      <c r="S256" s="253"/>
      <c r="T256" s="43"/>
    </row>
    <row r="257" spans="1:20">
      <c r="A257" s="43"/>
      <c r="B257" s="44"/>
      <c r="C257" s="44"/>
      <c r="D257" s="75"/>
      <c r="E257" s="43"/>
      <c r="F257" s="69"/>
      <c r="G257" s="43"/>
      <c r="H257" s="43"/>
      <c r="I257" s="43"/>
      <c r="J257" s="43"/>
      <c r="K257" s="43"/>
      <c r="L257" s="43"/>
      <c r="M257" s="43"/>
      <c r="N257" s="43"/>
      <c r="O257" s="43"/>
      <c r="P257" s="245"/>
      <c r="Q257" s="253"/>
      <c r="R257" s="253"/>
      <c r="S257" s="253"/>
      <c r="T257" s="43"/>
    </row>
    <row r="258" spans="1:20">
      <c r="A258" s="43"/>
      <c r="B258" s="44"/>
      <c r="C258" s="44"/>
      <c r="D258" s="75"/>
      <c r="E258" s="43"/>
      <c r="F258" s="69"/>
      <c r="G258" s="43"/>
      <c r="H258" s="43"/>
      <c r="I258" s="43"/>
      <c r="J258" s="43"/>
      <c r="K258" s="43"/>
      <c r="L258" s="43"/>
      <c r="M258" s="43"/>
      <c r="N258" s="43"/>
      <c r="O258" s="43"/>
      <c r="P258" s="245"/>
      <c r="Q258" s="253"/>
      <c r="R258" s="253"/>
      <c r="S258" s="253"/>
      <c r="T258" s="43"/>
    </row>
    <row r="259" spans="1:20">
      <c r="A259" s="43"/>
      <c r="B259" s="44"/>
      <c r="C259" s="44"/>
      <c r="D259" s="75"/>
      <c r="E259" s="43"/>
      <c r="F259" s="69"/>
      <c r="G259" s="43"/>
      <c r="H259" s="43"/>
      <c r="I259" s="43"/>
      <c r="J259" s="43"/>
      <c r="K259" s="43"/>
      <c r="L259" s="43"/>
      <c r="M259" s="43"/>
      <c r="N259" s="43"/>
      <c r="O259" s="43"/>
      <c r="P259" s="245"/>
      <c r="Q259" s="253"/>
      <c r="R259" s="253"/>
      <c r="S259" s="253"/>
      <c r="T259" s="43"/>
    </row>
    <row r="260" spans="1:20">
      <c r="A260" s="43"/>
      <c r="B260" s="44"/>
      <c r="C260" s="44"/>
      <c r="D260" s="75"/>
      <c r="E260" s="43"/>
      <c r="F260" s="69"/>
      <c r="G260" s="43"/>
      <c r="H260" s="43"/>
      <c r="I260" s="43"/>
      <c r="J260" s="43"/>
      <c r="K260" s="43"/>
      <c r="L260" s="43"/>
      <c r="M260" s="43"/>
      <c r="N260" s="43"/>
      <c r="O260" s="43"/>
      <c r="P260" s="245"/>
      <c r="Q260" s="253"/>
      <c r="R260" s="253"/>
      <c r="S260" s="253"/>
      <c r="T260" s="43"/>
    </row>
    <row r="261" spans="1:20">
      <c r="A261" s="43"/>
      <c r="B261" s="44"/>
      <c r="C261" s="44"/>
      <c r="D261" s="249"/>
      <c r="E261" s="44"/>
      <c r="F261" s="44"/>
      <c r="G261" s="43"/>
      <c r="H261" s="43"/>
      <c r="I261" s="43"/>
      <c r="J261" s="43"/>
      <c r="K261" s="43"/>
      <c r="L261" s="43"/>
      <c r="M261" s="43"/>
      <c r="N261" s="43"/>
      <c r="O261" s="43"/>
      <c r="P261" s="245"/>
      <c r="Q261" s="253"/>
      <c r="R261" s="253"/>
      <c r="S261" s="253"/>
      <c r="T261" s="43"/>
    </row>
    <row r="262" spans="1:20">
      <c r="A262" s="43"/>
      <c r="B262" s="44"/>
      <c r="C262" s="44"/>
      <c r="D262" s="44"/>
      <c r="E262" s="44"/>
      <c r="F262" s="44"/>
      <c r="G262" s="43"/>
      <c r="H262" s="43"/>
      <c r="I262" s="43"/>
      <c r="J262" s="43"/>
      <c r="K262" s="43"/>
      <c r="L262" s="43"/>
      <c r="M262" s="43"/>
      <c r="N262" s="43"/>
      <c r="O262" s="43"/>
      <c r="P262" s="245"/>
      <c r="Q262" s="253"/>
      <c r="R262" s="253"/>
      <c r="S262" s="253"/>
      <c r="T262" s="43"/>
    </row>
    <row r="263" spans="1:20">
      <c r="A263" s="332"/>
      <c r="B263" s="333"/>
      <c r="C263" s="333"/>
      <c r="D263" s="334"/>
      <c r="E263" s="333"/>
      <c r="F263" s="334"/>
      <c r="G263" s="332"/>
      <c r="H263" s="332"/>
      <c r="I263" s="332"/>
      <c r="J263" s="332"/>
      <c r="K263" s="332"/>
      <c r="L263" s="332"/>
      <c r="M263" s="332"/>
      <c r="N263" s="332"/>
      <c r="O263" s="332"/>
      <c r="P263" s="332"/>
      <c r="Q263" s="332"/>
      <c r="R263" s="332"/>
      <c r="S263" s="293"/>
      <c r="T263" s="332"/>
    </row>
    <row r="264" spans="1:20">
      <c r="A264" s="43"/>
      <c r="B264" s="44"/>
      <c r="C264" s="44"/>
      <c r="D264" s="249"/>
      <c r="E264" s="44"/>
      <c r="F264" s="44"/>
      <c r="G264" s="43"/>
      <c r="H264" s="43"/>
      <c r="I264" s="43"/>
      <c r="J264" s="43"/>
      <c r="K264" s="43"/>
      <c r="L264" s="43"/>
      <c r="M264" s="43"/>
      <c r="N264" s="43"/>
      <c r="O264" s="43"/>
      <c r="P264" s="245"/>
      <c r="Q264" s="253"/>
      <c r="R264" s="253"/>
      <c r="S264" s="253"/>
      <c r="T264" s="43"/>
    </row>
    <row r="265" spans="1:20">
      <c r="A265" s="43"/>
      <c r="B265" s="44"/>
      <c r="C265" s="44"/>
      <c r="D265" s="249"/>
      <c r="E265" s="44"/>
      <c r="F265" s="44"/>
      <c r="G265" s="43"/>
      <c r="H265" s="43"/>
      <c r="I265" s="43"/>
      <c r="J265" s="43"/>
      <c r="K265" s="43"/>
      <c r="L265" s="43"/>
      <c r="M265" s="43"/>
      <c r="N265" s="43"/>
      <c r="O265" s="43"/>
      <c r="P265" s="245"/>
      <c r="Q265" s="253"/>
      <c r="R265" s="253"/>
      <c r="S265" s="253"/>
      <c r="T265" s="43"/>
    </row>
    <row r="266" spans="1:20">
      <c r="A266" s="43"/>
      <c r="B266" s="44"/>
      <c r="C266" s="44"/>
      <c r="D266" s="249"/>
      <c r="E266" s="44"/>
      <c r="F266" s="44"/>
      <c r="G266" s="43"/>
      <c r="H266" s="43"/>
      <c r="I266" s="43"/>
      <c r="J266" s="43"/>
      <c r="K266" s="43"/>
      <c r="L266" s="43"/>
      <c r="M266" s="43"/>
      <c r="N266" s="43"/>
      <c r="O266" s="43"/>
      <c r="P266" s="245"/>
      <c r="Q266" s="253"/>
      <c r="R266" s="253"/>
      <c r="S266" s="253"/>
      <c r="T266" s="43"/>
    </row>
    <row r="267" spans="1:20">
      <c r="A267" s="43"/>
      <c r="B267" s="44"/>
      <c r="C267" s="44"/>
      <c r="D267" s="249"/>
      <c r="E267" s="44"/>
      <c r="F267" s="44"/>
      <c r="G267" s="43"/>
      <c r="H267" s="43"/>
      <c r="I267" s="43"/>
      <c r="J267" s="43"/>
      <c r="K267" s="43"/>
      <c r="L267" s="43"/>
      <c r="M267" s="43"/>
      <c r="N267" s="43"/>
      <c r="O267" s="43"/>
      <c r="P267" s="245"/>
      <c r="Q267" s="253"/>
      <c r="R267" s="253"/>
      <c r="S267" s="253"/>
      <c r="T267" s="43"/>
    </row>
    <row r="268" spans="1:20">
      <c r="A268" s="43"/>
      <c r="B268" s="44"/>
      <c r="C268" s="44"/>
      <c r="D268" s="249"/>
      <c r="E268" s="44"/>
      <c r="F268" s="44"/>
      <c r="G268" s="43"/>
      <c r="H268" s="43"/>
      <c r="I268" s="43"/>
      <c r="J268" s="43"/>
      <c r="K268" s="43"/>
      <c r="L268" s="43"/>
      <c r="M268" s="43"/>
      <c r="N268" s="43"/>
      <c r="O268" s="43"/>
      <c r="P268" s="245"/>
      <c r="Q268" s="253"/>
      <c r="R268" s="253"/>
      <c r="S268" s="253"/>
      <c r="T268" s="43"/>
    </row>
    <row r="269" spans="1:20">
      <c r="A269" s="43"/>
      <c r="B269" s="44"/>
      <c r="C269" s="44"/>
      <c r="D269" s="249"/>
      <c r="E269" s="44"/>
      <c r="F269" s="44"/>
      <c r="G269" s="43"/>
      <c r="H269" s="43"/>
      <c r="I269" s="43"/>
      <c r="J269" s="43"/>
      <c r="K269" s="43"/>
      <c r="L269" s="43"/>
      <c r="M269" s="43"/>
      <c r="N269" s="43"/>
      <c r="O269" s="43"/>
      <c r="P269" s="245"/>
      <c r="Q269" s="253"/>
      <c r="R269" s="253"/>
      <c r="S269" s="253"/>
      <c r="T269" s="43"/>
    </row>
    <row r="270" spans="1:20">
      <c r="A270" s="43"/>
      <c r="B270" s="43"/>
      <c r="C270" s="43"/>
      <c r="D270" s="75"/>
      <c r="E270" s="43"/>
      <c r="F270" s="43"/>
      <c r="G270" s="43"/>
      <c r="H270" s="43"/>
      <c r="I270" s="43"/>
      <c r="J270" s="43"/>
      <c r="K270" s="43"/>
      <c r="L270" s="43"/>
      <c r="M270" s="43"/>
      <c r="N270" s="43"/>
      <c r="O270" s="43"/>
      <c r="P270" s="245"/>
      <c r="Q270" s="253"/>
      <c r="R270" s="253"/>
      <c r="S270" s="253"/>
      <c r="T270" s="43"/>
    </row>
    <row r="271" spans="1:20">
      <c r="A271" s="43"/>
      <c r="B271" s="69"/>
      <c r="C271" s="69"/>
      <c r="D271" s="75"/>
      <c r="E271" s="43"/>
      <c r="F271" s="43"/>
      <c r="G271" s="43"/>
      <c r="H271" s="43"/>
      <c r="I271" s="43"/>
      <c r="J271" s="43"/>
      <c r="K271" s="43"/>
      <c r="L271" s="43"/>
      <c r="M271" s="43"/>
      <c r="N271" s="43"/>
      <c r="O271" s="43"/>
      <c r="P271" s="245"/>
      <c r="Q271" s="253"/>
      <c r="R271" s="253"/>
      <c r="S271" s="253"/>
      <c r="T271" s="43"/>
    </row>
    <row r="272" spans="1:20">
      <c r="A272" s="43"/>
      <c r="B272" s="69"/>
      <c r="C272" s="69"/>
      <c r="D272" s="75"/>
      <c r="E272" s="43"/>
      <c r="F272" s="43"/>
      <c r="G272" s="43"/>
      <c r="H272" s="43"/>
      <c r="I272" s="43"/>
      <c r="J272" s="43"/>
      <c r="K272" s="43"/>
      <c r="L272" s="43"/>
      <c r="M272" s="43"/>
      <c r="N272" s="43"/>
      <c r="O272" s="43"/>
      <c r="P272" s="245"/>
      <c r="Q272" s="253"/>
      <c r="R272" s="253"/>
      <c r="S272" s="253"/>
      <c r="T272" s="43"/>
    </row>
    <row r="273" spans="1:20">
      <c r="A273" s="43"/>
      <c r="B273" s="69"/>
      <c r="C273" s="69"/>
      <c r="D273" s="75"/>
      <c r="E273" s="43"/>
      <c r="F273" s="43"/>
      <c r="G273" s="43"/>
      <c r="H273" s="43"/>
      <c r="I273" s="43"/>
      <c r="J273" s="43"/>
      <c r="K273" s="43"/>
      <c r="L273" s="43"/>
      <c r="M273" s="43"/>
      <c r="N273" s="43"/>
      <c r="O273" s="43"/>
      <c r="P273" s="245"/>
      <c r="Q273" s="253"/>
      <c r="R273" s="253"/>
      <c r="S273" s="253"/>
      <c r="T273" s="43"/>
    </row>
    <row r="274" spans="1:20">
      <c r="A274" s="43"/>
      <c r="B274" s="69"/>
      <c r="C274" s="69"/>
      <c r="D274" s="75"/>
      <c r="E274" s="44"/>
      <c r="F274" s="44"/>
      <c r="G274" s="43"/>
      <c r="H274" s="43"/>
      <c r="I274" s="43"/>
      <c r="J274" s="43"/>
      <c r="K274" s="43"/>
      <c r="L274" s="43"/>
      <c r="M274" s="43"/>
      <c r="N274" s="43"/>
      <c r="O274" s="43"/>
      <c r="P274" s="245"/>
      <c r="Q274" s="253"/>
      <c r="R274" s="253"/>
      <c r="S274" s="253"/>
      <c r="T274" s="43"/>
    </row>
    <row r="275" spans="1:20">
      <c r="A275" s="43"/>
      <c r="B275" s="69"/>
      <c r="C275" s="69"/>
      <c r="D275" s="75"/>
      <c r="E275" s="44"/>
      <c r="F275" s="44"/>
      <c r="G275" s="43"/>
      <c r="H275" s="43"/>
      <c r="I275" s="43"/>
      <c r="J275" s="43"/>
      <c r="K275" s="43"/>
      <c r="L275" s="43"/>
      <c r="M275" s="43"/>
      <c r="N275" s="43"/>
      <c r="O275" s="43"/>
      <c r="P275" s="245"/>
      <c r="Q275" s="253"/>
      <c r="R275" s="253"/>
      <c r="S275" s="253"/>
      <c r="T275" s="43"/>
    </row>
    <row r="276" spans="1:20">
      <c r="A276" s="43"/>
      <c r="B276" s="69"/>
      <c r="C276" s="69"/>
      <c r="D276" s="75"/>
      <c r="E276" s="271"/>
      <c r="F276" s="44"/>
      <c r="G276" s="43"/>
      <c r="H276" s="43"/>
      <c r="I276" s="43"/>
      <c r="J276" s="43"/>
      <c r="K276" s="43"/>
      <c r="L276" s="43"/>
      <c r="M276" s="43"/>
      <c r="N276" s="43"/>
      <c r="O276" s="43"/>
      <c r="P276" s="245"/>
      <c r="Q276" s="253"/>
      <c r="R276" s="253"/>
      <c r="S276" s="253"/>
      <c r="T276" s="43"/>
    </row>
    <row r="277" spans="1:20">
      <c r="A277" s="43"/>
      <c r="B277" s="69"/>
      <c r="C277" s="69"/>
      <c r="D277" s="75"/>
      <c r="E277" s="271"/>
      <c r="F277" s="44"/>
      <c r="G277" s="43"/>
      <c r="H277" s="43"/>
      <c r="I277" s="43"/>
      <c r="J277" s="43"/>
      <c r="K277" s="43"/>
      <c r="L277" s="43"/>
      <c r="M277" s="43"/>
      <c r="N277" s="43"/>
      <c r="O277" s="43"/>
      <c r="P277" s="245"/>
      <c r="Q277" s="253"/>
      <c r="R277" s="253"/>
      <c r="S277" s="253"/>
      <c r="T277" s="43"/>
    </row>
    <row r="278" spans="1:20">
      <c r="A278" s="43"/>
      <c r="B278" s="69"/>
      <c r="C278" s="69"/>
      <c r="D278" s="75"/>
      <c r="E278" s="271"/>
      <c r="F278" s="44"/>
      <c r="G278" s="43"/>
      <c r="H278" s="43"/>
      <c r="I278" s="43"/>
      <c r="J278" s="43"/>
      <c r="K278" s="43"/>
      <c r="L278" s="43"/>
      <c r="M278" s="43"/>
      <c r="N278" s="43"/>
      <c r="O278" s="43"/>
      <c r="P278" s="245"/>
      <c r="Q278" s="253"/>
      <c r="R278" s="253"/>
      <c r="S278" s="253"/>
      <c r="T278" s="43"/>
    </row>
    <row r="279" spans="1:20">
      <c r="A279" s="43"/>
      <c r="B279" s="102"/>
      <c r="C279" s="102"/>
      <c r="D279" s="75"/>
      <c r="E279" s="271"/>
      <c r="F279" s="44"/>
      <c r="G279" s="43"/>
      <c r="H279" s="43"/>
      <c r="I279" s="43"/>
      <c r="J279" s="43"/>
      <c r="K279" s="43"/>
      <c r="L279" s="43"/>
      <c r="M279" s="43"/>
      <c r="N279" s="43"/>
      <c r="O279" s="43"/>
      <c r="P279" s="245"/>
      <c r="Q279" s="253"/>
      <c r="R279" s="253"/>
      <c r="S279" s="253"/>
      <c r="T279" s="43"/>
    </row>
    <row r="280" spans="1:20">
      <c r="A280" s="43"/>
      <c r="B280" s="69"/>
      <c r="C280" s="69"/>
      <c r="D280" s="249"/>
      <c r="E280" s="271"/>
      <c r="F280" s="44"/>
      <c r="G280" s="43"/>
      <c r="H280" s="43"/>
      <c r="I280" s="43"/>
      <c r="J280" s="43"/>
      <c r="K280" s="43"/>
      <c r="L280" s="43"/>
      <c r="M280" s="43"/>
      <c r="N280" s="43"/>
      <c r="O280" s="43"/>
      <c r="P280" s="245"/>
      <c r="Q280" s="253"/>
      <c r="R280" s="253"/>
      <c r="S280" s="253"/>
      <c r="T280" s="43"/>
    </row>
    <row r="281" spans="1:20">
      <c r="A281" s="43"/>
      <c r="B281" s="69"/>
      <c r="C281" s="69"/>
      <c r="D281" s="341"/>
      <c r="E281" s="271"/>
      <c r="F281" s="44"/>
      <c r="G281" s="43"/>
      <c r="H281" s="43"/>
      <c r="I281" s="43"/>
      <c r="J281" s="43"/>
      <c r="K281" s="43"/>
      <c r="L281" s="43"/>
      <c r="M281" s="43"/>
      <c r="N281" s="43"/>
      <c r="O281" s="43"/>
      <c r="P281" s="245"/>
      <c r="Q281" s="253"/>
      <c r="R281" s="253"/>
      <c r="S281" s="253"/>
      <c r="T281" s="43"/>
    </row>
    <row r="282" spans="1:20">
      <c r="A282" s="43"/>
      <c r="B282" s="69"/>
      <c r="C282" s="69"/>
      <c r="D282" s="341"/>
      <c r="E282" s="271"/>
      <c r="F282" s="44"/>
      <c r="G282" s="43"/>
      <c r="H282" s="43"/>
      <c r="I282" s="43"/>
      <c r="J282" s="43"/>
      <c r="K282" s="43"/>
      <c r="L282" s="43"/>
      <c r="M282" s="43"/>
      <c r="N282" s="43"/>
      <c r="O282" s="43"/>
      <c r="P282" s="245"/>
      <c r="Q282" s="253"/>
      <c r="R282" s="253"/>
      <c r="S282" s="253"/>
      <c r="T282" s="43"/>
    </row>
    <row r="283" spans="1:20">
      <c r="A283" s="43"/>
      <c r="B283" s="69"/>
      <c r="C283" s="69"/>
      <c r="D283" s="249"/>
      <c r="E283" s="271"/>
      <c r="F283" s="44"/>
      <c r="G283" s="43"/>
      <c r="H283" s="43"/>
      <c r="I283" s="43"/>
      <c r="J283" s="43"/>
      <c r="K283" s="43"/>
      <c r="L283" s="43"/>
      <c r="M283" s="43"/>
      <c r="N283" s="43"/>
      <c r="O283" s="43"/>
      <c r="P283" s="245"/>
      <c r="Q283" s="253"/>
      <c r="R283" s="253"/>
      <c r="S283" s="253"/>
      <c r="T283" s="43"/>
    </row>
    <row r="284" spans="1:20">
      <c r="A284" s="43"/>
      <c r="B284" s="102"/>
      <c r="C284" s="102"/>
      <c r="D284" s="249"/>
      <c r="E284" s="271"/>
      <c r="F284" s="44"/>
      <c r="G284" s="43"/>
      <c r="H284" s="43"/>
      <c r="I284" s="43"/>
      <c r="J284" s="43"/>
      <c r="K284" s="43"/>
      <c r="L284" s="43"/>
      <c r="M284" s="43"/>
      <c r="N284" s="43"/>
      <c r="O284" s="43"/>
      <c r="P284" s="245"/>
      <c r="Q284" s="253"/>
      <c r="R284" s="253"/>
      <c r="S284" s="253"/>
      <c r="T284" s="43"/>
    </row>
    <row r="285" spans="1:20">
      <c r="A285" s="43"/>
      <c r="B285" s="44"/>
      <c r="C285" s="44"/>
      <c r="D285" s="249"/>
      <c r="E285" s="69"/>
      <c r="F285" s="69"/>
      <c r="G285" s="43"/>
      <c r="H285" s="43"/>
      <c r="I285" s="43"/>
      <c r="J285" s="43"/>
      <c r="K285" s="43"/>
      <c r="L285" s="43"/>
      <c r="M285" s="43"/>
      <c r="N285" s="43"/>
      <c r="O285" s="43"/>
      <c r="P285" s="245"/>
      <c r="Q285" s="253"/>
      <c r="R285" s="253"/>
      <c r="S285" s="253"/>
      <c r="T285" s="43"/>
    </row>
    <row r="286" spans="1:20">
      <c r="A286" s="43"/>
      <c r="B286" s="44"/>
      <c r="C286" s="44"/>
      <c r="D286" s="249"/>
      <c r="E286" s="69"/>
      <c r="F286" s="69"/>
      <c r="G286" s="43"/>
      <c r="H286" s="43"/>
      <c r="I286" s="43"/>
      <c r="J286" s="43"/>
      <c r="K286" s="43"/>
      <c r="L286" s="43"/>
      <c r="M286" s="43"/>
      <c r="N286" s="43"/>
      <c r="O286" s="43"/>
      <c r="P286" s="245"/>
      <c r="Q286" s="253"/>
      <c r="R286" s="253"/>
      <c r="S286" s="253"/>
      <c r="T286" s="43"/>
    </row>
    <row r="287" spans="1:20">
      <c r="A287" s="43"/>
      <c r="B287" s="102"/>
      <c r="C287" s="102"/>
      <c r="D287" s="249"/>
      <c r="E287" s="271"/>
      <c r="F287" s="44"/>
      <c r="G287" s="43"/>
      <c r="H287" s="43"/>
      <c r="I287" s="43"/>
      <c r="J287" s="43"/>
      <c r="K287" s="43"/>
      <c r="L287" s="43"/>
      <c r="M287" s="43"/>
      <c r="N287" s="43"/>
      <c r="O287" s="43"/>
      <c r="P287" s="245"/>
      <c r="Q287" s="253"/>
      <c r="R287" s="253"/>
      <c r="S287" s="253"/>
      <c r="T287" s="43"/>
    </row>
    <row r="288" spans="1:20">
      <c r="A288" s="43"/>
      <c r="B288" s="69"/>
      <c r="C288" s="69"/>
      <c r="D288" s="249"/>
      <c r="E288" s="44"/>
      <c r="F288" s="44"/>
      <c r="G288" s="43"/>
      <c r="H288" s="43"/>
      <c r="I288" s="43"/>
      <c r="J288" s="43"/>
      <c r="K288" s="43"/>
      <c r="L288" s="43"/>
      <c r="M288" s="43"/>
      <c r="N288" s="43"/>
      <c r="O288" s="43"/>
      <c r="P288" s="245"/>
      <c r="Q288" s="253"/>
      <c r="R288" s="253"/>
      <c r="S288" s="253"/>
      <c r="T288" s="43"/>
    </row>
    <row r="289" spans="1:20">
      <c r="A289" s="43"/>
      <c r="B289" s="102"/>
      <c r="C289" s="102"/>
      <c r="D289" s="341"/>
      <c r="E289" s="44"/>
      <c r="F289" s="44"/>
      <c r="G289" s="43"/>
      <c r="H289" s="43"/>
      <c r="I289" s="43"/>
      <c r="J289" s="43"/>
      <c r="K289" s="43"/>
      <c r="L289" s="43"/>
      <c r="M289" s="43"/>
      <c r="N289" s="43"/>
      <c r="O289" s="43"/>
      <c r="P289" s="245"/>
      <c r="Q289" s="253"/>
      <c r="R289" s="253"/>
      <c r="S289" s="253"/>
      <c r="T289" s="43"/>
    </row>
    <row r="290" spans="1:20">
      <c r="A290" s="43"/>
      <c r="B290" s="102"/>
      <c r="C290" s="102"/>
      <c r="D290" s="249"/>
      <c r="E290" s="44"/>
      <c r="F290" s="44"/>
      <c r="G290" s="43"/>
      <c r="H290" s="43"/>
      <c r="I290" s="43"/>
      <c r="J290" s="43"/>
      <c r="K290" s="43"/>
      <c r="L290" s="43"/>
      <c r="M290" s="43"/>
      <c r="N290" s="43"/>
      <c r="O290" s="43"/>
      <c r="P290" s="245"/>
      <c r="Q290" s="253"/>
      <c r="R290" s="253"/>
      <c r="S290" s="253"/>
      <c r="T290" s="43"/>
    </row>
    <row r="291" spans="1:20">
      <c r="A291" s="43"/>
      <c r="B291" s="69"/>
      <c r="C291" s="69"/>
      <c r="D291" s="249"/>
      <c r="E291" s="44"/>
      <c r="F291" s="44"/>
      <c r="G291" s="43"/>
      <c r="H291" s="43"/>
      <c r="I291" s="43"/>
      <c r="J291" s="43"/>
      <c r="K291" s="43"/>
      <c r="L291" s="43"/>
      <c r="M291" s="43"/>
      <c r="N291" s="43"/>
      <c r="O291" s="43"/>
      <c r="P291" s="245"/>
      <c r="Q291" s="253"/>
      <c r="R291" s="253"/>
      <c r="S291" s="253"/>
      <c r="T291" s="43"/>
    </row>
    <row r="292" spans="1:20">
      <c r="A292" s="43"/>
      <c r="B292" s="69"/>
      <c r="C292" s="69"/>
      <c r="D292" s="249"/>
      <c r="E292" s="44"/>
      <c r="F292" s="69"/>
      <c r="G292" s="43"/>
      <c r="H292" s="43"/>
      <c r="I292" s="43"/>
      <c r="J292" s="43"/>
      <c r="K292" s="43"/>
      <c r="L292" s="43"/>
      <c r="M292" s="43"/>
      <c r="N292" s="43"/>
      <c r="O292" s="43"/>
      <c r="P292" s="245"/>
      <c r="Q292" s="253"/>
      <c r="R292" s="253"/>
      <c r="S292" s="253"/>
      <c r="T292" s="43"/>
    </row>
    <row r="293" spans="1:20">
      <c r="A293" s="43"/>
      <c r="B293" s="69"/>
      <c r="C293" s="69"/>
      <c r="D293" s="249"/>
      <c r="E293" s="44"/>
      <c r="F293" s="69"/>
      <c r="G293" s="43"/>
      <c r="H293" s="43"/>
      <c r="I293" s="43"/>
      <c r="J293" s="43"/>
      <c r="K293" s="43"/>
      <c r="L293" s="43"/>
      <c r="M293" s="43"/>
      <c r="N293" s="43"/>
      <c r="O293" s="43"/>
      <c r="P293" s="245"/>
      <c r="Q293" s="253"/>
      <c r="R293" s="253"/>
      <c r="S293" s="253"/>
      <c r="T293" s="43"/>
    </row>
    <row r="294" spans="1:20">
      <c r="A294" s="43"/>
      <c r="B294" s="102"/>
      <c r="C294" s="102"/>
      <c r="D294" s="341"/>
      <c r="E294" s="44"/>
      <c r="F294" s="44"/>
      <c r="G294" s="43"/>
      <c r="H294" s="43"/>
      <c r="I294" s="43"/>
      <c r="J294" s="43"/>
      <c r="K294" s="43"/>
      <c r="L294" s="43"/>
      <c r="M294" s="43"/>
      <c r="N294" s="43"/>
      <c r="O294" s="43"/>
      <c r="P294" s="245"/>
      <c r="Q294" s="253"/>
      <c r="R294" s="253"/>
      <c r="S294" s="253"/>
      <c r="T294" s="43"/>
    </row>
    <row r="295" spans="1:20">
      <c r="A295" s="43"/>
      <c r="B295" s="102"/>
      <c r="C295" s="102"/>
      <c r="D295" s="249"/>
      <c r="E295" s="44"/>
      <c r="F295" s="69"/>
      <c r="G295" s="43"/>
      <c r="H295" s="43"/>
      <c r="I295" s="43"/>
      <c r="J295" s="43"/>
      <c r="K295" s="43"/>
      <c r="L295" s="43"/>
      <c r="M295" s="43"/>
      <c r="N295" s="43"/>
      <c r="O295" s="43"/>
      <c r="P295" s="245"/>
      <c r="Q295" s="253"/>
      <c r="R295" s="253"/>
      <c r="S295" s="253"/>
      <c r="T295" s="43"/>
    </row>
    <row r="296" spans="1:20">
      <c r="A296" s="43"/>
      <c r="B296" s="44"/>
      <c r="C296" s="44"/>
      <c r="D296" s="44"/>
      <c r="E296" s="43"/>
      <c r="F296" s="43"/>
      <c r="G296" s="43"/>
      <c r="H296" s="43"/>
      <c r="I296" s="43"/>
      <c r="J296" s="43"/>
      <c r="K296" s="43"/>
      <c r="L296" s="43"/>
      <c r="M296" s="43"/>
      <c r="N296" s="43"/>
      <c r="O296" s="43"/>
      <c r="P296" s="245"/>
      <c r="Q296" s="253"/>
      <c r="R296" s="253"/>
      <c r="S296" s="253"/>
      <c r="T296" s="43"/>
    </row>
    <row r="297" spans="1:20">
      <c r="A297" s="43"/>
      <c r="B297" s="44"/>
      <c r="C297" s="44"/>
      <c r="D297" s="75"/>
      <c r="E297" s="43"/>
      <c r="F297" s="43"/>
      <c r="G297" s="43"/>
      <c r="H297" s="43"/>
      <c r="I297" s="43"/>
      <c r="J297" s="43"/>
      <c r="K297" s="43"/>
      <c r="L297" s="43"/>
      <c r="M297" s="43"/>
      <c r="N297" s="43"/>
      <c r="O297" s="43"/>
      <c r="P297" s="245"/>
      <c r="Q297" s="253"/>
      <c r="R297" s="253"/>
      <c r="S297" s="253"/>
      <c r="T297" s="43"/>
    </row>
    <row r="298" spans="1:20">
      <c r="A298" s="43"/>
      <c r="B298" s="44"/>
      <c r="C298" s="44"/>
      <c r="D298" s="75"/>
      <c r="E298" s="43"/>
      <c r="F298" s="43"/>
      <c r="G298" s="43"/>
      <c r="H298" s="43"/>
      <c r="I298" s="43"/>
      <c r="J298" s="43"/>
      <c r="K298" s="43"/>
      <c r="L298" s="43"/>
      <c r="M298" s="43"/>
      <c r="N298" s="43"/>
      <c r="O298" s="43"/>
      <c r="P298" s="245"/>
      <c r="Q298" s="253"/>
      <c r="R298" s="253"/>
      <c r="S298" s="253"/>
      <c r="T298" s="43"/>
    </row>
    <row r="299" spans="1:20">
      <c r="A299" s="43"/>
      <c r="B299" s="44"/>
      <c r="C299" s="44"/>
      <c r="D299" s="75"/>
      <c r="E299" s="43"/>
      <c r="F299" s="43"/>
      <c r="G299" s="43"/>
      <c r="H299" s="43"/>
      <c r="I299" s="43"/>
      <c r="J299" s="43"/>
      <c r="K299" s="43"/>
      <c r="L299" s="43"/>
      <c r="M299" s="43"/>
      <c r="N299" s="43"/>
      <c r="O299" s="43"/>
      <c r="P299" s="245"/>
      <c r="Q299" s="253"/>
      <c r="R299" s="253"/>
      <c r="S299" s="253"/>
      <c r="T299" s="43"/>
    </row>
    <row r="300" spans="1:20">
      <c r="A300" s="43"/>
      <c r="B300" s="44"/>
      <c r="C300" s="44"/>
      <c r="D300" s="75"/>
      <c r="E300" s="43"/>
      <c r="F300" s="43"/>
      <c r="G300" s="43"/>
      <c r="H300" s="43"/>
      <c r="I300" s="43"/>
      <c r="J300" s="43"/>
      <c r="K300" s="43"/>
      <c r="L300" s="43"/>
      <c r="M300" s="43"/>
      <c r="N300" s="43"/>
      <c r="O300" s="43"/>
      <c r="P300" s="245"/>
      <c r="Q300" s="253"/>
      <c r="R300" s="253"/>
      <c r="S300" s="253"/>
      <c r="T300" s="43"/>
    </row>
    <row r="301" spans="1:20">
      <c r="A301" s="43"/>
      <c r="B301" s="44"/>
      <c r="C301" s="44"/>
      <c r="D301" s="75"/>
      <c r="E301" s="43"/>
      <c r="F301" s="43"/>
      <c r="G301" s="43"/>
      <c r="H301" s="43"/>
      <c r="I301" s="43"/>
      <c r="J301" s="43"/>
      <c r="K301" s="43"/>
      <c r="L301" s="43"/>
      <c r="M301" s="43"/>
      <c r="N301" s="43"/>
      <c r="O301" s="43"/>
      <c r="P301" s="245"/>
      <c r="Q301" s="253"/>
      <c r="R301" s="253"/>
      <c r="S301" s="253"/>
      <c r="T301" s="43"/>
    </row>
    <row r="302" spans="1:20">
      <c r="A302" s="43"/>
      <c r="B302" s="44"/>
      <c r="C302" s="44"/>
      <c r="D302" s="75"/>
      <c r="E302" s="43"/>
      <c r="F302" s="43"/>
      <c r="G302" s="43"/>
      <c r="H302" s="43"/>
      <c r="I302" s="43"/>
      <c r="J302" s="43"/>
      <c r="K302" s="43"/>
      <c r="L302" s="43"/>
      <c r="M302" s="43"/>
      <c r="N302" s="43"/>
      <c r="O302" s="43"/>
      <c r="P302" s="245"/>
      <c r="Q302" s="253"/>
      <c r="R302" s="253"/>
      <c r="S302" s="253"/>
      <c r="T302" s="43"/>
    </row>
    <row r="303" spans="1:20">
      <c r="A303" s="43"/>
      <c r="B303" s="44"/>
      <c r="C303" s="44"/>
      <c r="D303" s="75"/>
      <c r="E303" s="43"/>
      <c r="F303" s="43"/>
      <c r="G303" s="43"/>
      <c r="H303" s="43"/>
      <c r="I303" s="43"/>
      <c r="J303" s="43"/>
      <c r="K303" s="43"/>
      <c r="L303" s="43"/>
      <c r="M303" s="43"/>
      <c r="N303" s="43"/>
      <c r="O303" s="43"/>
      <c r="P303" s="245"/>
      <c r="Q303" s="253"/>
      <c r="R303" s="253"/>
      <c r="S303" s="253"/>
      <c r="T303" s="43"/>
    </row>
    <row r="304" spans="1:20">
      <c r="A304" s="43"/>
      <c r="B304" s="44"/>
      <c r="C304" s="44"/>
      <c r="D304" s="75"/>
      <c r="E304" s="43"/>
      <c r="F304" s="43"/>
      <c r="G304" s="43"/>
      <c r="H304" s="43"/>
      <c r="I304" s="43"/>
      <c r="J304" s="43"/>
      <c r="K304" s="43"/>
      <c r="L304" s="43"/>
      <c r="M304" s="43"/>
      <c r="N304" s="43"/>
      <c r="O304" s="43"/>
      <c r="P304" s="245"/>
      <c r="Q304" s="253"/>
      <c r="R304" s="253"/>
      <c r="S304" s="253"/>
      <c r="T304" s="43"/>
    </row>
    <row r="305" spans="1:20">
      <c r="A305" s="43"/>
      <c r="B305" s="44"/>
      <c r="C305" s="44"/>
      <c r="D305" s="75"/>
      <c r="E305" s="43"/>
      <c r="F305" s="43"/>
      <c r="G305" s="43"/>
      <c r="H305" s="43"/>
      <c r="I305" s="43"/>
      <c r="J305" s="43"/>
      <c r="K305" s="43"/>
      <c r="L305" s="43"/>
      <c r="M305" s="43"/>
      <c r="N305" s="43"/>
      <c r="O305" s="43"/>
      <c r="P305" s="245"/>
      <c r="Q305" s="253"/>
      <c r="R305" s="253"/>
      <c r="S305" s="253"/>
      <c r="T305" s="43"/>
    </row>
    <row r="306" spans="1:20">
      <c r="A306" s="43"/>
      <c r="B306" s="44"/>
      <c r="C306" s="44"/>
      <c r="D306" s="44"/>
      <c r="E306" s="43"/>
      <c r="F306" s="43"/>
      <c r="G306" s="43"/>
      <c r="H306" s="43"/>
      <c r="I306" s="43"/>
      <c r="J306" s="43"/>
      <c r="K306" s="43"/>
      <c r="L306" s="43"/>
      <c r="M306" s="43"/>
      <c r="N306" s="43"/>
      <c r="O306" s="43"/>
      <c r="P306" s="245"/>
      <c r="Q306" s="253"/>
      <c r="R306" s="253"/>
      <c r="S306" s="253"/>
      <c r="T306" s="43"/>
    </row>
    <row r="307" spans="1:20">
      <c r="A307" s="43"/>
      <c r="B307" s="44"/>
      <c r="C307" s="44"/>
      <c r="D307" s="44"/>
      <c r="E307" s="43"/>
      <c r="F307" s="43"/>
      <c r="G307" s="43"/>
      <c r="H307" s="43"/>
      <c r="I307" s="43"/>
      <c r="J307" s="43"/>
      <c r="K307" s="43"/>
      <c r="L307" s="43"/>
      <c r="M307" s="43"/>
      <c r="N307" s="43"/>
      <c r="O307" s="43"/>
      <c r="P307" s="245"/>
      <c r="Q307" s="253"/>
      <c r="R307" s="253"/>
      <c r="S307" s="253"/>
      <c r="T307" s="43"/>
    </row>
    <row r="308" spans="1:20">
      <c r="A308" s="43"/>
      <c r="B308" s="44"/>
      <c r="C308" s="44"/>
      <c r="D308" s="44"/>
      <c r="E308" s="43"/>
      <c r="F308" s="43"/>
      <c r="G308" s="43"/>
      <c r="H308" s="43"/>
      <c r="I308" s="43"/>
      <c r="J308" s="43"/>
      <c r="K308" s="43"/>
      <c r="L308" s="43"/>
      <c r="M308" s="43"/>
      <c r="N308" s="43"/>
      <c r="O308" s="43"/>
      <c r="P308" s="245"/>
      <c r="Q308" s="253"/>
      <c r="R308" s="253"/>
      <c r="S308" s="253"/>
      <c r="T308" s="43"/>
    </row>
    <row r="309" spans="1:20">
      <c r="A309" s="43"/>
      <c r="B309" s="44"/>
      <c r="C309" s="44"/>
      <c r="D309" s="75"/>
      <c r="E309" s="43"/>
      <c r="F309" s="43"/>
      <c r="G309" s="43"/>
      <c r="H309" s="43"/>
      <c r="I309" s="43"/>
      <c r="J309" s="43"/>
      <c r="K309" s="43"/>
      <c r="L309" s="43"/>
      <c r="M309" s="43"/>
      <c r="N309" s="43"/>
      <c r="O309" s="43"/>
      <c r="P309" s="245"/>
      <c r="Q309" s="253"/>
      <c r="R309" s="253"/>
      <c r="S309" s="253"/>
      <c r="T309" s="43"/>
    </row>
    <row r="310" spans="1:20">
      <c r="A310" s="43"/>
      <c r="B310" s="44"/>
      <c r="C310" s="44"/>
      <c r="D310" s="75"/>
      <c r="E310" s="43"/>
      <c r="F310" s="43"/>
      <c r="G310" s="43"/>
      <c r="H310" s="43"/>
      <c r="I310" s="43"/>
      <c r="J310" s="43"/>
      <c r="K310" s="43"/>
      <c r="L310" s="43"/>
      <c r="M310" s="43"/>
      <c r="N310" s="43"/>
      <c r="O310" s="43"/>
      <c r="P310" s="245"/>
      <c r="Q310" s="253"/>
      <c r="R310" s="253"/>
      <c r="S310" s="253"/>
      <c r="T310" s="43"/>
    </row>
    <row r="311" spans="1:20">
      <c r="A311" s="43"/>
      <c r="B311" s="44"/>
      <c r="C311" s="44"/>
      <c r="D311" s="75"/>
      <c r="E311" s="43"/>
      <c r="F311" s="43"/>
      <c r="G311" s="43"/>
      <c r="H311" s="43"/>
      <c r="I311" s="43"/>
      <c r="J311" s="43"/>
      <c r="K311" s="43"/>
      <c r="L311" s="43"/>
      <c r="M311" s="43"/>
      <c r="N311" s="43"/>
      <c r="O311" s="43"/>
      <c r="P311" s="245"/>
      <c r="Q311" s="253"/>
      <c r="R311" s="253"/>
      <c r="S311" s="253"/>
      <c r="T311" s="43"/>
    </row>
    <row r="312" spans="1:20">
      <c r="A312" s="43"/>
      <c r="B312" s="44"/>
      <c r="C312" s="44"/>
      <c r="D312" s="75"/>
      <c r="E312" s="43"/>
      <c r="F312" s="43"/>
      <c r="G312" s="43"/>
      <c r="H312" s="43"/>
      <c r="I312" s="43"/>
      <c r="J312" s="43"/>
      <c r="K312" s="43"/>
      <c r="L312" s="43"/>
      <c r="M312" s="43"/>
      <c r="N312" s="43"/>
      <c r="O312" s="43"/>
      <c r="P312" s="245"/>
      <c r="Q312" s="253"/>
      <c r="R312" s="253"/>
      <c r="S312" s="253"/>
      <c r="T312" s="43"/>
    </row>
    <row r="313" spans="1:20">
      <c r="A313" s="43"/>
      <c r="B313" s="44"/>
      <c r="C313" s="44"/>
      <c r="D313" s="75"/>
      <c r="E313" s="43"/>
      <c r="F313" s="43"/>
      <c r="G313" s="43"/>
      <c r="H313" s="43"/>
      <c r="I313" s="43"/>
      <c r="J313" s="43"/>
      <c r="K313" s="43"/>
      <c r="L313" s="43"/>
      <c r="M313" s="43"/>
      <c r="N313" s="43"/>
      <c r="O313" s="43"/>
      <c r="P313" s="245"/>
      <c r="Q313" s="253"/>
      <c r="R313" s="253"/>
      <c r="S313" s="253"/>
      <c r="T313" s="43"/>
    </row>
    <row r="314" spans="1:20">
      <c r="A314" s="43"/>
      <c r="B314" s="44"/>
      <c r="C314" s="44"/>
      <c r="D314" s="75"/>
      <c r="E314" s="43"/>
      <c r="F314" s="43"/>
      <c r="G314" s="43"/>
      <c r="H314" s="43"/>
      <c r="I314" s="43"/>
      <c r="J314" s="43"/>
      <c r="K314" s="43"/>
      <c r="L314" s="43"/>
      <c r="M314" s="43"/>
      <c r="N314" s="43"/>
      <c r="O314" s="43"/>
      <c r="P314" s="245"/>
      <c r="Q314" s="253"/>
      <c r="R314" s="253"/>
      <c r="S314" s="253"/>
      <c r="T314" s="43"/>
    </row>
    <row r="315" spans="1:20">
      <c r="A315" s="43"/>
      <c r="B315" s="44"/>
      <c r="C315" s="44"/>
      <c r="D315" s="75"/>
      <c r="E315" s="43"/>
      <c r="F315" s="43"/>
      <c r="G315" s="43"/>
      <c r="H315" s="43"/>
      <c r="I315" s="43"/>
      <c r="J315" s="43"/>
      <c r="K315" s="43"/>
      <c r="L315" s="43"/>
      <c r="M315" s="43"/>
      <c r="N315" s="43"/>
      <c r="O315" s="43"/>
      <c r="P315" s="245"/>
      <c r="Q315" s="253"/>
      <c r="R315" s="253"/>
      <c r="S315" s="253"/>
      <c r="T315" s="43"/>
    </row>
    <row r="316" spans="1:20">
      <c r="A316" s="43"/>
      <c r="B316" s="44"/>
      <c r="C316" s="44"/>
      <c r="D316" s="75"/>
      <c r="E316" s="43"/>
      <c r="F316" s="43"/>
      <c r="G316" s="43"/>
      <c r="H316" s="43"/>
      <c r="I316" s="43"/>
      <c r="J316" s="43"/>
      <c r="K316" s="43"/>
      <c r="L316" s="43"/>
      <c r="M316" s="43"/>
      <c r="N316" s="43"/>
      <c r="O316" s="43"/>
      <c r="P316" s="245"/>
      <c r="Q316" s="253"/>
      <c r="R316" s="253"/>
      <c r="S316" s="253"/>
      <c r="T316" s="43"/>
    </row>
    <row r="317" spans="1:20">
      <c r="A317" s="43"/>
      <c r="B317" s="44"/>
      <c r="C317" s="44"/>
      <c r="D317" s="75"/>
      <c r="E317" s="43"/>
      <c r="F317" s="43"/>
      <c r="G317" s="43"/>
      <c r="H317" s="43"/>
      <c r="I317" s="43"/>
      <c r="J317" s="43"/>
      <c r="K317" s="43"/>
      <c r="L317" s="43"/>
      <c r="M317" s="43"/>
      <c r="N317" s="43"/>
      <c r="O317" s="43"/>
      <c r="P317" s="245"/>
      <c r="Q317" s="253"/>
      <c r="R317" s="253"/>
      <c r="S317" s="253"/>
      <c r="T317" s="43"/>
    </row>
    <row r="318" spans="1:20">
      <c r="A318" s="43"/>
      <c r="B318" s="44"/>
      <c r="C318" s="44"/>
      <c r="D318" s="75"/>
      <c r="E318" s="43"/>
      <c r="F318" s="43"/>
      <c r="G318" s="43"/>
      <c r="H318" s="43"/>
      <c r="I318" s="43"/>
      <c r="J318" s="43"/>
      <c r="K318" s="43"/>
      <c r="L318" s="43"/>
      <c r="M318" s="43"/>
      <c r="N318" s="43"/>
      <c r="O318" s="43"/>
      <c r="P318" s="245"/>
      <c r="Q318" s="253"/>
      <c r="R318" s="253"/>
      <c r="S318" s="253"/>
      <c r="T318" s="43"/>
    </row>
    <row r="319" spans="1:20">
      <c r="A319" s="43"/>
      <c r="B319" s="44"/>
      <c r="C319" s="44"/>
      <c r="D319" s="75"/>
      <c r="E319" s="43"/>
      <c r="F319" s="43"/>
      <c r="G319" s="43"/>
      <c r="H319" s="43"/>
      <c r="I319" s="43"/>
      <c r="J319" s="43"/>
      <c r="K319" s="43"/>
      <c r="L319" s="43"/>
      <c r="M319" s="43"/>
      <c r="N319" s="43"/>
      <c r="O319" s="43"/>
      <c r="P319" s="245"/>
      <c r="Q319" s="253"/>
      <c r="R319" s="253"/>
      <c r="S319" s="253"/>
      <c r="T319" s="43"/>
    </row>
    <row r="320" spans="1:20">
      <c r="A320" s="43"/>
      <c r="B320" s="44"/>
      <c r="C320" s="44"/>
      <c r="D320" s="75"/>
      <c r="E320" s="43"/>
      <c r="F320" s="43"/>
      <c r="G320" s="43"/>
      <c r="H320" s="43"/>
      <c r="I320" s="43"/>
      <c r="J320" s="43"/>
      <c r="K320" s="43"/>
      <c r="L320" s="43"/>
      <c r="M320" s="43"/>
      <c r="N320" s="43"/>
      <c r="O320" s="43"/>
      <c r="P320" s="245"/>
      <c r="Q320" s="253"/>
      <c r="R320" s="253"/>
      <c r="S320" s="253"/>
      <c r="T320" s="43"/>
    </row>
    <row r="321" spans="1:20">
      <c r="A321" s="43"/>
      <c r="B321" s="44"/>
      <c r="C321" s="44"/>
      <c r="D321" s="75"/>
      <c r="E321" s="43"/>
      <c r="F321" s="43"/>
      <c r="G321" s="43"/>
      <c r="H321" s="43"/>
      <c r="I321" s="43"/>
      <c r="J321" s="43"/>
      <c r="K321" s="43"/>
      <c r="L321" s="43"/>
      <c r="M321" s="43"/>
      <c r="N321" s="43"/>
      <c r="O321" s="43"/>
      <c r="P321" s="245"/>
      <c r="Q321" s="253"/>
      <c r="R321" s="253"/>
      <c r="S321" s="253"/>
      <c r="T321" s="43"/>
    </row>
    <row r="322" spans="1:20">
      <c r="A322" s="43"/>
      <c r="B322" s="44"/>
      <c r="C322" s="44"/>
      <c r="D322" s="75"/>
      <c r="E322" s="43"/>
      <c r="F322" s="43"/>
      <c r="G322" s="43"/>
      <c r="H322" s="43"/>
      <c r="I322" s="43"/>
      <c r="J322" s="43"/>
      <c r="K322" s="43"/>
      <c r="L322" s="43"/>
      <c r="M322" s="43"/>
      <c r="N322" s="43"/>
      <c r="O322" s="43"/>
      <c r="P322" s="245"/>
      <c r="Q322" s="253"/>
      <c r="R322" s="253"/>
      <c r="S322" s="253"/>
      <c r="T322" s="43"/>
    </row>
    <row r="323" spans="1:20">
      <c r="A323" s="43"/>
      <c r="B323" s="44"/>
      <c r="C323" s="44"/>
      <c r="D323" s="44"/>
      <c r="E323" s="43"/>
      <c r="F323" s="43"/>
      <c r="G323" s="43"/>
      <c r="H323" s="43"/>
      <c r="I323" s="43"/>
      <c r="J323" s="43"/>
      <c r="K323" s="43"/>
      <c r="L323" s="43"/>
      <c r="M323" s="43"/>
      <c r="N323" s="43"/>
      <c r="O323" s="43"/>
      <c r="P323" s="245"/>
      <c r="Q323" s="253"/>
      <c r="R323" s="253"/>
      <c r="S323" s="253"/>
      <c r="T323" s="43"/>
    </row>
    <row r="324" spans="1:20">
      <c r="A324" s="43"/>
      <c r="B324" s="44"/>
      <c r="C324" s="44"/>
      <c r="D324" s="75"/>
      <c r="E324" s="43"/>
      <c r="F324" s="43"/>
      <c r="G324" s="43"/>
      <c r="H324" s="43"/>
      <c r="I324" s="43"/>
      <c r="J324" s="43"/>
      <c r="K324" s="43"/>
      <c r="L324" s="43"/>
      <c r="M324" s="43"/>
      <c r="N324" s="43"/>
      <c r="O324" s="43"/>
      <c r="P324" s="245"/>
      <c r="Q324" s="253"/>
      <c r="R324" s="253"/>
      <c r="S324" s="253"/>
      <c r="T324" s="43"/>
    </row>
    <row r="325" spans="1:20">
      <c r="A325" s="43"/>
      <c r="B325" s="44"/>
      <c r="C325" s="44"/>
      <c r="D325" s="75"/>
      <c r="E325" s="43"/>
      <c r="F325" s="43"/>
      <c r="G325" s="43"/>
      <c r="H325" s="43"/>
      <c r="I325" s="43"/>
      <c r="J325" s="43"/>
      <c r="K325" s="43"/>
      <c r="L325" s="43"/>
      <c r="M325" s="43"/>
      <c r="N325" s="43"/>
      <c r="O325" s="43"/>
      <c r="P325" s="245"/>
      <c r="Q325" s="253"/>
      <c r="R325" s="253"/>
      <c r="S325" s="253"/>
      <c r="T325" s="43"/>
    </row>
    <row r="326" spans="1:20">
      <c r="A326" s="43"/>
      <c r="B326" s="44"/>
      <c r="C326" s="44"/>
      <c r="D326" s="75"/>
      <c r="E326" s="43"/>
      <c r="F326" s="43"/>
      <c r="G326" s="43"/>
      <c r="H326" s="43"/>
      <c r="I326" s="43"/>
      <c r="J326" s="43"/>
      <c r="K326" s="43"/>
      <c r="L326" s="43"/>
      <c r="M326" s="43"/>
      <c r="N326" s="43"/>
      <c r="O326" s="43"/>
      <c r="P326" s="245"/>
      <c r="Q326" s="253"/>
      <c r="R326" s="253"/>
      <c r="S326" s="253"/>
      <c r="T326" s="43"/>
    </row>
    <row r="327" spans="1:20">
      <c r="A327" s="43"/>
      <c r="B327" s="44"/>
      <c r="C327" s="44"/>
      <c r="D327" s="75"/>
      <c r="E327" s="43"/>
      <c r="F327" s="43"/>
      <c r="G327" s="43"/>
      <c r="H327" s="43"/>
      <c r="I327" s="43"/>
      <c r="J327" s="43"/>
      <c r="K327" s="43"/>
      <c r="L327" s="43"/>
      <c r="M327" s="43"/>
      <c r="N327" s="43"/>
      <c r="O327" s="43"/>
      <c r="P327" s="245"/>
      <c r="Q327" s="253"/>
      <c r="R327" s="253"/>
      <c r="S327" s="253"/>
      <c r="T327" s="43"/>
    </row>
    <row r="328" spans="1:20">
      <c r="A328" s="43"/>
      <c r="B328" s="44"/>
      <c r="C328" s="44"/>
      <c r="D328" s="44"/>
      <c r="E328" s="43"/>
      <c r="F328" s="43"/>
      <c r="G328" s="43"/>
      <c r="H328" s="43"/>
      <c r="I328" s="43"/>
      <c r="J328" s="43"/>
      <c r="K328" s="43"/>
      <c r="L328" s="43"/>
      <c r="M328" s="43"/>
      <c r="N328" s="43"/>
      <c r="O328" s="43"/>
      <c r="P328" s="245"/>
      <c r="Q328" s="253"/>
      <c r="R328" s="253"/>
      <c r="S328" s="253"/>
      <c r="T328" s="43"/>
    </row>
    <row r="329" spans="1:20">
      <c r="A329" s="43"/>
      <c r="B329" s="44"/>
      <c r="C329" s="44"/>
      <c r="D329" s="75"/>
      <c r="E329" s="43"/>
      <c r="F329" s="43"/>
      <c r="G329" s="43"/>
      <c r="H329" s="43"/>
      <c r="I329" s="43"/>
      <c r="J329" s="43"/>
      <c r="K329" s="43"/>
      <c r="L329" s="43"/>
      <c r="M329" s="43"/>
      <c r="N329" s="43"/>
      <c r="O329" s="43"/>
      <c r="P329" s="245"/>
      <c r="Q329" s="253"/>
      <c r="R329" s="253"/>
      <c r="S329" s="253"/>
      <c r="T329" s="43"/>
    </row>
    <row r="330" spans="1:20">
      <c r="A330" s="43"/>
      <c r="B330" s="44"/>
      <c r="C330" s="44"/>
      <c r="D330" s="75"/>
      <c r="E330" s="43"/>
      <c r="F330" s="43"/>
      <c r="G330" s="43"/>
      <c r="H330" s="43"/>
      <c r="I330" s="43"/>
      <c r="J330" s="43"/>
      <c r="K330" s="43"/>
      <c r="L330" s="43"/>
      <c r="M330" s="43"/>
      <c r="N330" s="43"/>
      <c r="O330" s="43"/>
      <c r="P330" s="245"/>
      <c r="Q330" s="253"/>
      <c r="R330" s="253"/>
      <c r="S330" s="253"/>
      <c r="T330" s="43"/>
    </row>
    <row r="331" spans="1:20">
      <c r="A331" s="43"/>
      <c r="B331" s="44"/>
      <c r="C331" s="44"/>
      <c r="D331" s="75"/>
      <c r="E331" s="43"/>
      <c r="F331" s="43"/>
      <c r="G331" s="43"/>
      <c r="H331" s="43"/>
      <c r="I331" s="43"/>
      <c r="J331" s="43"/>
      <c r="K331" s="43"/>
      <c r="L331" s="43"/>
      <c r="M331" s="43"/>
      <c r="N331" s="43"/>
      <c r="O331" s="43"/>
      <c r="P331" s="245"/>
      <c r="Q331" s="253"/>
      <c r="R331" s="253"/>
      <c r="S331" s="253"/>
      <c r="T331" s="43"/>
    </row>
    <row r="332" spans="1:20">
      <c r="A332" s="43"/>
      <c r="B332" s="44"/>
      <c r="C332" s="44"/>
      <c r="D332" s="75"/>
      <c r="E332" s="43"/>
      <c r="F332" s="43"/>
      <c r="G332" s="43"/>
      <c r="H332" s="43"/>
      <c r="I332" s="43"/>
      <c r="J332" s="43"/>
      <c r="K332" s="43"/>
      <c r="L332" s="43"/>
      <c r="M332" s="43"/>
      <c r="N332" s="43"/>
      <c r="O332" s="43"/>
      <c r="P332" s="245"/>
      <c r="Q332" s="253"/>
      <c r="R332" s="253"/>
      <c r="S332" s="253"/>
      <c r="T332" s="43"/>
    </row>
    <row r="333" spans="1:20">
      <c r="A333" s="43"/>
      <c r="B333" s="44"/>
      <c r="C333" s="44"/>
      <c r="D333" s="75"/>
      <c r="E333" s="43"/>
      <c r="F333" s="43"/>
      <c r="G333" s="43"/>
      <c r="H333" s="43"/>
      <c r="I333" s="43"/>
      <c r="J333" s="43"/>
      <c r="K333" s="43"/>
      <c r="L333" s="43"/>
      <c r="M333" s="43"/>
      <c r="N333" s="43"/>
      <c r="O333" s="43"/>
      <c r="P333" s="245"/>
      <c r="Q333" s="253"/>
      <c r="R333" s="253"/>
      <c r="S333" s="253"/>
      <c r="T333" s="43"/>
    </row>
    <row r="334" spans="1:20">
      <c r="A334" s="43"/>
      <c r="B334" s="44"/>
      <c r="C334" s="44"/>
      <c r="D334" s="75"/>
      <c r="E334" s="43"/>
      <c r="F334" s="43"/>
      <c r="G334" s="43"/>
      <c r="H334" s="43"/>
      <c r="I334" s="43"/>
      <c r="J334" s="43"/>
      <c r="K334" s="43"/>
      <c r="L334" s="43"/>
      <c r="M334" s="43"/>
      <c r="N334" s="43"/>
      <c r="O334" s="43"/>
      <c r="P334" s="245"/>
      <c r="Q334" s="253"/>
      <c r="R334" s="253"/>
      <c r="S334" s="253"/>
      <c r="T334" s="43"/>
    </row>
    <row r="335" spans="1:20">
      <c r="A335" s="43"/>
      <c r="B335" s="69"/>
      <c r="C335" s="69"/>
      <c r="D335" s="75"/>
      <c r="E335" s="44"/>
      <c r="F335" s="44"/>
      <c r="G335" s="43"/>
      <c r="H335" s="43"/>
      <c r="I335" s="43"/>
      <c r="J335" s="43"/>
      <c r="K335" s="43"/>
      <c r="L335" s="43"/>
      <c r="M335" s="43"/>
      <c r="N335" s="43"/>
      <c r="O335" s="43"/>
      <c r="P335" s="245"/>
      <c r="Q335" s="253"/>
      <c r="R335" s="253"/>
      <c r="S335" s="253"/>
      <c r="T335" s="43"/>
    </row>
    <row r="336" spans="1:20">
      <c r="A336" s="43"/>
      <c r="B336" s="69"/>
      <c r="C336" s="69"/>
      <c r="D336" s="75"/>
      <c r="E336" s="44"/>
      <c r="F336" s="44"/>
      <c r="G336" s="43"/>
      <c r="H336" s="43"/>
      <c r="I336" s="43"/>
      <c r="J336" s="43"/>
      <c r="K336" s="43"/>
      <c r="L336" s="43"/>
      <c r="M336" s="43"/>
      <c r="N336" s="43"/>
      <c r="O336" s="43"/>
      <c r="P336" s="245"/>
      <c r="Q336" s="253"/>
      <c r="R336" s="253"/>
      <c r="S336" s="253"/>
      <c r="T336" s="43"/>
    </row>
    <row r="337" spans="1:20">
      <c r="A337" s="43"/>
      <c r="B337" s="44"/>
      <c r="C337" s="44"/>
      <c r="D337" s="75"/>
      <c r="E337" s="43"/>
      <c r="F337" s="43"/>
      <c r="G337" s="43"/>
      <c r="H337" s="43"/>
      <c r="I337" s="43"/>
      <c r="J337" s="43"/>
      <c r="K337" s="43"/>
      <c r="L337" s="43"/>
      <c r="M337" s="43"/>
      <c r="N337" s="43"/>
      <c r="O337" s="43"/>
      <c r="P337" s="245"/>
      <c r="Q337" s="253"/>
      <c r="R337" s="253"/>
      <c r="S337" s="253"/>
      <c r="T337" s="43"/>
    </row>
    <row r="338" spans="1:20">
      <c r="A338" s="43"/>
      <c r="B338" s="44"/>
      <c r="C338" s="44"/>
      <c r="D338" s="75"/>
      <c r="E338" s="43"/>
      <c r="F338" s="43"/>
      <c r="G338" s="43"/>
      <c r="H338" s="43"/>
      <c r="I338" s="43"/>
      <c r="J338" s="43"/>
      <c r="K338" s="43"/>
      <c r="L338" s="43"/>
      <c r="M338" s="43"/>
      <c r="N338" s="43"/>
      <c r="O338" s="43"/>
      <c r="P338" s="245"/>
      <c r="Q338" s="253"/>
      <c r="R338" s="253"/>
      <c r="S338" s="253"/>
      <c r="T338" s="43"/>
    </row>
    <row r="339" spans="1:20">
      <c r="A339" s="43"/>
      <c r="B339" s="44"/>
      <c r="C339" s="44"/>
      <c r="D339" s="249"/>
      <c r="E339" s="44"/>
      <c r="F339" s="44"/>
      <c r="G339" s="43"/>
      <c r="H339" s="43"/>
      <c r="I339" s="43"/>
      <c r="J339" s="43"/>
      <c r="K339" s="43"/>
      <c r="L339" s="43"/>
      <c r="M339" s="43"/>
      <c r="N339" s="43"/>
      <c r="O339" s="43"/>
      <c r="P339" s="245"/>
      <c r="Q339" s="253"/>
      <c r="R339" s="253"/>
      <c r="S339" s="253"/>
      <c r="T339" s="43"/>
    </row>
    <row r="340" spans="1:20">
      <c r="A340" s="43"/>
      <c r="B340" s="44"/>
      <c r="C340" s="44"/>
      <c r="D340" s="249"/>
      <c r="E340" s="44"/>
      <c r="F340" s="44"/>
      <c r="G340" s="43"/>
      <c r="H340" s="43"/>
      <c r="I340" s="43"/>
      <c r="J340" s="43"/>
      <c r="K340" s="43"/>
      <c r="L340" s="43"/>
      <c r="M340" s="43"/>
      <c r="N340" s="43"/>
      <c r="O340" s="43"/>
      <c r="P340" s="245"/>
      <c r="Q340" s="253"/>
      <c r="R340" s="253"/>
      <c r="S340" s="253"/>
      <c r="T340" s="43"/>
    </row>
    <row r="341" spans="1:20">
      <c r="A341" s="43"/>
      <c r="B341" s="44"/>
      <c r="C341" s="44"/>
      <c r="D341" s="249"/>
      <c r="E341" s="44"/>
      <c r="F341" s="44"/>
      <c r="G341" s="43"/>
      <c r="H341" s="43"/>
      <c r="I341" s="43"/>
      <c r="J341" s="43"/>
      <c r="K341" s="43"/>
      <c r="L341" s="43"/>
      <c r="M341" s="43"/>
      <c r="N341" s="43"/>
      <c r="O341" s="43"/>
      <c r="P341" s="245"/>
      <c r="Q341" s="253"/>
      <c r="R341" s="253"/>
      <c r="S341" s="253"/>
      <c r="T341" s="43"/>
    </row>
    <row r="342" spans="1:20">
      <c r="A342" s="43"/>
      <c r="B342" s="44"/>
      <c r="C342" s="44"/>
      <c r="D342" s="249"/>
      <c r="E342" s="44"/>
      <c r="F342" s="44"/>
      <c r="G342" s="43"/>
      <c r="H342" s="43"/>
      <c r="I342" s="43"/>
      <c r="J342" s="43"/>
      <c r="K342" s="43"/>
      <c r="L342" s="43"/>
      <c r="M342" s="43"/>
      <c r="N342" s="43"/>
      <c r="O342" s="43"/>
      <c r="P342" s="245"/>
      <c r="Q342" s="253"/>
      <c r="R342" s="253"/>
      <c r="S342" s="253"/>
      <c r="T342" s="43"/>
    </row>
    <row r="343" spans="1:20">
      <c r="A343" s="43"/>
      <c r="B343" s="44"/>
      <c r="C343" s="44"/>
      <c r="D343" s="249"/>
      <c r="E343" s="44"/>
      <c r="F343" s="44"/>
      <c r="G343" s="43"/>
      <c r="H343" s="43"/>
      <c r="I343" s="43"/>
      <c r="J343" s="43"/>
      <c r="K343" s="43"/>
      <c r="L343" s="43"/>
      <c r="M343" s="43"/>
      <c r="N343" s="43"/>
      <c r="O343" s="43"/>
      <c r="P343" s="245"/>
      <c r="Q343" s="253"/>
      <c r="R343" s="253"/>
      <c r="S343" s="253"/>
      <c r="T343" s="43"/>
    </row>
    <row r="344" spans="1:20">
      <c r="A344" s="43"/>
      <c r="B344" s="44"/>
      <c r="C344" s="44"/>
      <c r="D344" s="75"/>
      <c r="E344" s="43"/>
      <c r="F344" s="69"/>
      <c r="G344" s="43"/>
      <c r="H344" s="43"/>
      <c r="I344" s="43"/>
      <c r="J344" s="43"/>
      <c r="K344" s="43"/>
      <c r="L344" s="43"/>
      <c r="M344" s="43"/>
      <c r="N344" s="43"/>
      <c r="O344" s="43"/>
      <c r="P344" s="245"/>
      <c r="Q344" s="253"/>
      <c r="R344" s="253"/>
      <c r="S344" s="253"/>
      <c r="T344" s="43"/>
    </row>
    <row r="345" spans="1:20">
      <c r="A345" s="43"/>
      <c r="B345" s="44"/>
      <c r="C345" s="44"/>
      <c r="D345" s="75"/>
      <c r="E345" s="43"/>
      <c r="F345" s="69"/>
      <c r="G345" s="43"/>
      <c r="H345" s="43"/>
      <c r="I345" s="43"/>
      <c r="J345" s="43"/>
      <c r="K345" s="43"/>
      <c r="L345" s="43"/>
      <c r="M345" s="43"/>
      <c r="N345" s="43"/>
      <c r="O345" s="43"/>
      <c r="P345" s="245"/>
      <c r="Q345" s="253"/>
      <c r="R345" s="253"/>
      <c r="S345" s="253"/>
      <c r="T345" s="43"/>
    </row>
    <row r="346" spans="1:20">
      <c r="A346" s="43"/>
      <c r="B346" s="44"/>
      <c r="C346" s="44"/>
      <c r="D346" s="75"/>
      <c r="E346" s="43"/>
      <c r="F346" s="69"/>
      <c r="G346" s="43"/>
      <c r="H346" s="43"/>
      <c r="I346" s="43"/>
      <c r="J346" s="43"/>
      <c r="K346" s="43"/>
      <c r="L346" s="43"/>
      <c r="M346" s="43"/>
      <c r="N346" s="43"/>
      <c r="O346" s="43"/>
      <c r="P346" s="245"/>
      <c r="Q346" s="253"/>
      <c r="R346" s="253"/>
      <c r="S346" s="253"/>
      <c r="T346" s="43"/>
    </row>
    <row r="347" spans="1:20">
      <c r="A347" s="43"/>
      <c r="B347" s="44"/>
      <c r="C347" s="44"/>
      <c r="D347" s="75"/>
      <c r="E347" s="43"/>
      <c r="F347" s="69"/>
      <c r="G347" s="43"/>
      <c r="H347" s="43"/>
      <c r="I347" s="43"/>
      <c r="J347" s="43"/>
      <c r="K347" s="43"/>
      <c r="L347" s="43"/>
      <c r="M347" s="43"/>
      <c r="N347" s="43"/>
      <c r="O347" s="43"/>
      <c r="P347" s="245"/>
      <c r="Q347" s="253"/>
      <c r="R347" s="253"/>
      <c r="S347" s="253"/>
      <c r="T347" s="43"/>
    </row>
    <row r="348" spans="1:20">
      <c r="A348" s="43"/>
      <c r="B348" s="44"/>
      <c r="C348" s="44"/>
      <c r="D348" s="75"/>
      <c r="E348" s="43"/>
      <c r="F348" s="69"/>
      <c r="G348" s="43"/>
      <c r="H348" s="43"/>
      <c r="I348" s="43"/>
      <c r="J348" s="43"/>
      <c r="K348" s="43"/>
      <c r="L348" s="43"/>
      <c r="M348" s="43"/>
      <c r="N348" s="43"/>
      <c r="O348" s="43"/>
      <c r="P348" s="245"/>
      <c r="Q348" s="253"/>
      <c r="R348" s="253"/>
      <c r="S348" s="253"/>
      <c r="T348" s="43"/>
    </row>
    <row r="349" spans="1:20">
      <c r="A349" s="43"/>
      <c r="B349" s="44"/>
      <c r="C349" s="44"/>
      <c r="D349" s="249"/>
      <c r="E349" s="44"/>
      <c r="F349" s="44"/>
      <c r="G349" s="43"/>
      <c r="H349" s="43"/>
      <c r="I349" s="43"/>
      <c r="J349" s="43"/>
      <c r="K349" s="43"/>
      <c r="L349" s="43"/>
      <c r="M349" s="43"/>
      <c r="N349" s="43"/>
      <c r="O349" s="43"/>
      <c r="P349" s="245"/>
      <c r="Q349" s="253"/>
      <c r="R349" s="253"/>
      <c r="S349" s="253"/>
      <c r="T349" s="43"/>
    </row>
    <row r="350" spans="1:20">
      <c r="A350" s="43"/>
      <c r="B350" s="44"/>
      <c r="C350" s="44"/>
      <c r="D350" s="44"/>
      <c r="E350" s="44"/>
      <c r="F350" s="44"/>
      <c r="G350" s="43"/>
      <c r="H350" s="43"/>
      <c r="I350" s="43"/>
      <c r="J350" s="43"/>
      <c r="K350" s="43"/>
      <c r="L350" s="43"/>
      <c r="M350" s="43"/>
      <c r="N350" s="43"/>
      <c r="O350" s="43"/>
      <c r="P350" s="245"/>
      <c r="Q350" s="253"/>
      <c r="R350" s="253"/>
      <c r="S350" s="253"/>
      <c r="T350" s="43"/>
    </row>
    <row r="351" spans="1:20">
      <c r="A351" s="332"/>
      <c r="B351" s="333"/>
      <c r="C351" s="333"/>
      <c r="D351" s="334"/>
      <c r="E351" s="333"/>
      <c r="F351" s="334"/>
      <c r="G351" s="332"/>
      <c r="H351" s="332"/>
      <c r="I351" s="332"/>
      <c r="J351" s="332"/>
      <c r="K351" s="332"/>
      <c r="L351" s="332"/>
      <c r="M351" s="332"/>
      <c r="N351" s="332"/>
      <c r="O351" s="332"/>
      <c r="P351" s="332"/>
      <c r="Q351" s="332"/>
      <c r="R351" s="332"/>
      <c r="S351" s="293"/>
      <c r="T351" s="332"/>
    </row>
    <row r="352" spans="1:20">
      <c r="A352" s="43"/>
      <c r="B352" s="44"/>
      <c r="C352" s="44"/>
      <c r="D352" s="249"/>
      <c r="E352" s="44"/>
      <c r="F352" s="44"/>
      <c r="G352" s="43"/>
      <c r="H352" s="43"/>
      <c r="I352" s="43"/>
      <c r="J352" s="43"/>
      <c r="K352" s="43"/>
      <c r="L352" s="43"/>
      <c r="M352" s="43"/>
      <c r="N352" s="43"/>
      <c r="O352" s="43"/>
      <c r="P352" s="245"/>
      <c r="Q352" s="253"/>
      <c r="R352" s="253"/>
      <c r="S352" s="253"/>
      <c r="T352" s="43"/>
    </row>
    <row r="353" spans="1:20">
      <c r="A353" s="43"/>
      <c r="B353" s="44"/>
      <c r="C353" s="44"/>
      <c r="D353" s="249"/>
      <c r="E353" s="44"/>
      <c r="F353" s="44"/>
      <c r="G353" s="43"/>
      <c r="H353" s="43"/>
      <c r="I353" s="43"/>
      <c r="J353" s="43"/>
      <c r="K353" s="43"/>
      <c r="L353" s="43"/>
      <c r="M353" s="43"/>
      <c r="N353" s="43"/>
      <c r="O353" s="43"/>
      <c r="P353" s="245"/>
      <c r="Q353" s="253"/>
      <c r="R353" s="253"/>
      <c r="S353" s="253"/>
      <c r="T353" s="43"/>
    </row>
    <row r="354" spans="1:20">
      <c r="A354" s="43"/>
      <c r="B354" s="44"/>
      <c r="C354" s="44"/>
      <c r="D354" s="249"/>
      <c r="E354" s="44"/>
      <c r="F354" s="44"/>
      <c r="G354" s="43"/>
      <c r="H354" s="43"/>
      <c r="I354" s="43"/>
      <c r="J354" s="43"/>
      <c r="K354" s="43"/>
      <c r="L354" s="43"/>
      <c r="M354" s="43"/>
      <c r="N354" s="43"/>
      <c r="O354" s="43"/>
      <c r="P354" s="245"/>
      <c r="Q354" s="253"/>
      <c r="R354" s="253"/>
      <c r="S354" s="253"/>
      <c r="T354" s="43"/>
    </row>
    <row r="355" spans="1:20">
      <c r="A355" s="43"/>
      <c r="B355" s="44"/>
      <c r="C355" s="44"/>
      <c r="D355" s="249"/>
      <c r="E355" s="44"/>
      <c r="F355" s="44"/>
      <c r="G355" s="43"/>
      <c r="H355" s="43"/>
      <c r="I355" s="43"/>
      <c r="J355" s="43"/>
      <c r="K355" s="43"/>
      <c r="L355" s="43"/>
      <c r="M355" s="43"/>
      <c r="N355" s="43"/>
      <c r="O355" s="43"/>
      <c r="P355" s="245"/>
      <c r="Q355" s="253"/>
      <c r="R355" s="253"/>
      <c r="S355" s="253"/>
      <c r="T355" s="43"/>
    </row>
    <row r="356" spans="1:20">
      <c r="A356" s="43"/>
      <c r="B356" s="44"/>
      <c r="C356" s="44"/>
      <c r="D356" s="249"/>
      <c r="E356" s="44"/>
      <c r="F356" s="44"/>
      <c r="G356" s="43"/>
      <c r="H356" s="43"/>
      <c r="I356" s="43"/>
      <c r="J356" s="43"/>
      <c r="K356" s="43"/>
      <c r="L356" s="43"/>
      <c r="M356" s="43"/>
      <c r="N356" s="43"/>
      <c r="O356" s="43"/>
      <c r="P356" s="245"/>
      <c r="Q356" s="253"/>
      <c r="R356" s="253"/>
      <c r="S356" s="253"/>
      <c r="T356" s="43"/>
    </row>
    <row r="357" spans="1:20">
      <c r="A357" s="43"/>
      <c r="B357" s="44"/>
      <c r="C357" s="44"/>
      <c r="D357" s="249"/>
      <c r="E357" s="44"/>
      <c r="F357" s="44"/>
      <c r="G357" s="43"/>
      <c r="H357" s="43"/>
      <c r="I357" s="43"/>
      <c r="J357" s="43"/>
      <c r="K357" s="43"/>
      <c r="L357" s="43"/>
      <c r="M357" s="43"/>
      <c r="N357" s="43"/>
      <c r="O357" s="43"/>
      <c r="P357" s="245"/>
      <c r="Q357" s="253"/>
      <c r="R357" s="253"/>
      <c r="S357" s="253"/>
      <c r="T357" s="43"/>
    </row>
    <row r="358" spans="1:20">
      <c r="A358" s="43"/>
      <c r="B358" s="43"/>
      <c r="C358" s="43"/>
      <c r="D358" s="75"/>
      <c r="E358" s="43"/>
      <c r="F358" s="43"/>
      <c r="G358" s="43"/>
      <c r="H358" s="43"/>
      <c r="I358" s="43"/>
      <c r="J358" s="43"/>
      <c r="K358" s="43"/>
      <c r="L358" s="43"/>
      <c r="M358" s="43"/>
      <c r="N358" s="43"/>
      <c r="O358" s="43"/>
      <c r="P358" s="245"/>
      <c r="Q358" s="253"/>
      <c r="R358" s="253"/>
      <c r="S358" s="253"/>
      <c r="T358" s="43"/>
    </row>
    <row r="359" spans="1:20">
      <c r="A359" s="43"/>
      <c r="B359" s="69"/>
      <c r="C359" s="69"/>
      <c r="D359" s="75"/>
      <c r="E359" s="43"/>
      <c r="F359" s="43"/>
      <c r="G359" s="43"/>
      <c r="H359" s="43"/>
      <c r="I359" s="43"/>
      <c r="J359" s="43"/>
      <c r="K359" s="43"/>
      <c r="L359" s="43"/>
      <c r="M359" s="43"/>
      <c r="N359" s="43"/>
      <c r="O359" s="43"/>
      <c r="P359" s="245"/>
      <c r="Q359" s="253"/>
      <c r="R359" s="253"/>
      <c r="S359" s="253"/>
      <c r="T359" s="43"/>
    </row>
    <row r="360" spans="1:20">
      <c r="A360" s="43"/>
      <c r="B360" s="69"/>
      <c r="C360" s="69"/>
      <c r="D360" s="75"/>
      <c r="E360" s="43"/>
      <c r="F360" s="43"/>
      <c r="G360" s="43"/>
      <c r="H360" s="43"/>
      <c r="I360" s="43"/>
      <c r="J360" s="43"/>
      <c r="K360" s="43"/>
      <c r="L360" s="43"/>
      <c r="M360" s="43"/>
      <c r="N360" s="43"/>
      <c r="O360" s="43"/>
      <c r="P360" s="245"/>
      <c r="Q360" s="253"/>
      <c r="R360" s="253"/>
      <c r="S360" s="253"/>
      <c r="T360" s="43"/>
    </row>
    <row r="361" spans="1:20">
      <c r="A361" s="43"/>
      <c r="B361" s="69"/>
      <c r="C361" s="69"/>
      <c r="D361" s="75"/>
      <c r="E361" s="43"/>
      <c r="F361" s="43"/>
      <c r="G361" s="43"/>
      <c r="H361" s="43"/>
      <c r="I361" s="43"/>
      <c r="J361" s="43"/>
      <c r="K361" s="43"/>
      <c r="L361" s="43"/>
      <c r="M361" s="43"/>
      <c r="N361" s="43"/>
      <c r="O361" s="43"/>
      <c r="P361" s="245"/>
      <c r="Q361" s="253"/>
      <c r="R361" s="253"/>
      <c r="S361" s="253"/>
      <c r="T361" s="43"/>
    </row>
    <row r="362" spans="1:20">
      <c r="A362" s="43"/>
      <c r="B362" s="69"/>
      <c r="C362" s="69"/>
      <c r="D362" s="75"/>
      <c r="E362" s="44"/>
      <c r="F362" s="44"/>
      <c r="G362" s="43"/>
      <c r="H362" s="43"/>
      <c r="I362" s="43"/>
      <c r="J362" s="43"/>
      <c r="K362" s="43"/>
      <c r="L362" s="43"/>
      <c r="M362" s="43"/>
      <c r="N362" s="43"/>
      <c r="O362" s="43"/>
      <c r="P362" s="245"/>
      <c r="Q362" s="253"/>
      <c r="R362" s="253"/>
      <c r="S362" s="253"/>
      <c r="T362" s="43"/>
    </row>
    <row r="363" spans="1:20">
      <c r="A363" s="43"/>
      <c r="B363" s="69"/>
      <c r="C363" s="69"/>
      <c r="D363" s="75"/>
      <c r="E363" s="44"/>
      <c r="F363" s="44"/>
      <c r="G363" s="43"/>
      <c r="H363" s="43"/>
      <c r="I363" s="43"/>
      <c r="J363" s="43"/>
      <c r="K363" s="43"/>
      <c r="L363" s="43"/>
      <c r="M363" s="43"/>
      <c r="N363" s="43"/>
      <c r="O363" s="43"/>
      <c r="P363" s="245"/>
      <c r="Q363" s="253"/>
      <c r="R363" s="253"/>
      <c r="S363" s="253"/>
      <c r="T363" s="43"/>
    </row>
    <row r="364" spans="1:20">
      <c r="A364" s="43"/>
      <c r="B364" s="69"/>
      <c r="C364" s="69"/>
      <c r="D364" s="75"/>
      <c r="E364" s="271"/>
      <c r="F364" s="44"/>
      <c r="G364" s="43"/>
      <c r="H364" s="43"/>
      <c r="I364" s="43"/>
      <c r="J364" s="43"/>
      <c r="K364" s="43"/>
      <c r="L364" s="43"/>
      <c r="M364" s="43"/>
      <c r="N364" s="43"/>
      <c r="O364" s="43"/>
      <c r="P364" s="245"/>
      <c r="Q364" s="253"/>
      <c r="R364" s="253"/>
      <c r="S364" s="253"/>
      <c r="T364" s="43"/>
    </row>
    <row r="365" spans="1:20">
      <c r="A365" s="43"/>
      <c r="B365" s="69"/>
      <c r="C365" s="69"/>
      <c r="D365" s="75"/>
      <c r="E365" s="271"/>
      <c r="F365" s="44"/>
      <c r="G365" s="43"/>
      <c r="H365" s="43"/>
      <c r="I365" s="43"/>
      <c r="J365" s="43"/>
      <c r="K365" s="43"/>
      <c r="L365" s="43"/>
      <c r="M365" s="43"/>
      <c r="N365" s="43"/>
      <c r="O365" s="43"/>
      <c r="P365" s="245"/>
      <c r="Q365" s="253"/>
      <c r="R365" s="253"/>
      <c r="S365" s="253"/>
      <c r="T365" s="43"/>
    </row>
    <row r="366" spans="1:20">
      <c r="A366" s="43"/>
      <c r="B366" s="69"/>
      <c r="C366" s="69"/>
      <c r="D366" s="75"/>
      <c r="E366" s="271"/>
      <c r="F366" s="44"/>
      <c r="G366" s="43"/>
      <c r="H366" s="43"/>
      <c r="I366" s="43"/>
      <c r="J366" s="43"/>
      <c r="K366" s="43"/>
      <c r="L366" s="43"/>
      <c r="M366" s="43"/>
      <c r="N366" s="43"/>
      <c r="O366" s="43"/>
      <c r="P366" s="245"/>
      <c r="Q366" s="253"/>
      <c r="R366" s="253"/>
      <c r="S366" s="253"/>
      <c r="T366" s="43"/>
    </row>
    <row r="367" spans="1:20">
      <c r="A367" s="43"/>
      <c r="B367" s="102"/>
      <c r="C367" s="102"/>
      <c r="D367" s="75"/>
      <c r="E367" s="271"/>
      <c r="F367" s="44"/>
      <c r="G367" s="43"/>
      <c r="H367" s="43"/>
      <c r="I367" s="43"/>
      <c r="J367" s="43"/>
      <c r="K367" s="43"/>
      <c r="L367" s="43"/>
      <c r="M367" s="43"/>
      <c r="N367" s="43"/>
      <c r="O367" s="43"/>
      <c r="P367" s="245"/>
      <c r="Q367" s="253"/>
      <c r="R367" s="253"/>
      <c r="S367" s="253"/>
      <c r="T367" s="43"/>
    </row>
    <row r="368" spans="1:20">
      <c r="A368" s="43"/>
      <c r="B368" s="69"/>
      <c r="C368" s="69"/>
      <c r="D368" s="249"/>
      <c r="E368" s="271"/>
      <c r="F368" s="44"/>
      <c r="G368" s="43"/>
      <c r="H368" s="43"/>
      <c r="I368" s="43"/>
      <c r="J368" s="43"/>
      <c r="K368" s="43"/>
      <c r="L368" s="43"/>
      <c r="M368" s="43"/>
      <c r="N368" s="43"/>
      <c r="O368" s="43"/>
      <c r="P368" s="245"/>
      <c r="Q368" s="253"/>
      <c r="R368" s="253"/>
      <c r="S368" s="253"/>
      <c r="T368" s="43"/>
    </row>
    <row r="369" spans="1:20">
      <c r="A369" s="43"/>
      <c r="B369" s="69"/>
      <c r="C369" s="69"/>
      <c r="D369" s="341"/>
      <c r="E369" s="271"/>
      <c r="F369" s="44"/>
      <c r="G369" s="43"/>
      <c r="H369" s="43"/>
      <c r="I369" s="43"/>
      <c r="J369" s="43"/>
      <c r="K369" s="43"/>
      <c r="L369" s="43"/>
      <c r="M369" s="43"/>
      <c r="N369" s="43"/>
      <c r="O369" s="43"/>
      <c r="P369" s="245"/>
      <c r="Q369" s="253"/>
      <c r="R369" s="253"/>
      <c r="S369" s="253"/>
      <c r="T369" s="43"/>
    </row>
    <row r="370" spans="1:20">
      <c r="A370" s="43"/>
      <c r="B370" s="69"/>
      <c r="C370" s="69"/>
      <c r="D370" s="341"/>
      <c r="E370" s="271"/>
      <c r="F370" s="44"/>
      <c r="G370" s="43"/>
      <c r="H370" s="43"/>
      <c r="I370" s="43"/>
      <c r="J370" s="43"/>
      <c r="K370" s="43"/>
      <c r="L370" s="43"/>
      <c r="M370" s="43"/>
      <c r="N370" s="43"/>
      <c r="O370" s="43"/>
      <c r="P370" s="245"/>
      <c r="Q370" s="253"/>
      <c r="R370" s="253"/>
      <c r="S370" s="253"/>
      <c r="T370" s="43"/>
    </row>
    <row r="371" spans="1:20">
      <c r="A371" s="43"/>
      <c r="B371" s="69"/>
      <c r="C371" s="69"/>
      <c r="D371" s="249"/>
      <c r="E371" s="271"/>
      <c r="F371" s="44"/>
      <c r="G371" s="43"/>
      <c r="H371" s="43"/>
      <c r="I371" s="43"/>
      <c r="J371" s="43"/>
      <c r="K371" s="43"/>
      <c r="L371" s="43"/>
      <c r="M371" s="43"/>
      <c r="N371" s="43"/>
      <c r="O371" s="43"/>
      <c r="P371" s="245"/>
      <c r="Q371" s="253"/>
      <c r="R371" s="253"/>
      <c r="S371" s="253"/>
      <c r="T371" s="43"/>
    </row>
    <row r="372" spans="1:20">
      <c r="A372" s="43"/>
      <c r="B372" s="102"/>
      <c r="C372" s="102"/>
      <c r="D372" s="249"/>
      <c r="E372" s="271"/>
      <c r="F372" s="44"/>
      <c r="G372" s="43"/>
      <c r="H372" s="43"/>
      <c r="I372" s="43"/>
      <c r="J372" s="43"/>
      <c r="K372" s="43"/>
      <c r="L372" s="43"/>
      <c r="M372" s="43"/>
      <c r="N372" s="43"/>
      <c r="O372" s="43"/>
      <c r="P372" s="245"/>
      <c r="Q372" s="253"/>
      <c r="R372" s="253"/>
      <c r="S372" s="253"/>
      <c r="T372" s="43"/>
    </row>
    <row r="373" spans="1:20">
      <c r="A373" s="43"/>
      <c r="B373" s="44"/>
      <c r="C373" s="44"/>
      <c r="D373" s="249"/>
      <c r="E373" s="69"/>
      <c r="F373" s="69"/>
      <c r="G373" s="43"/>
      <c r="H373" s="43"/>
      <c r="I373" s="43"/>
      <c r="J373" s="43"/>
      <c r="K373" s="43"/>
      <c r="L373" s="43"/>
      <c r="M373" s="43"/>
      <c r="N373" s="43"/>
      <c r="O373" s="43"/>
      <c r="P373" s="245"/>
      <c r="Q373" s="253"/>
      <c r="R373" s="253"/>
      <c r="S373" s="253"/>
      <c r="T373" s="43"/>
    </row>
    <row r="374" spans="1:20">
      <c r="A374" s="43"/>
      <c r="B374" s="44"/>
      <c r="C374" s="44"/>
      <c r="D374" s="249"/>
      <c r="E374" s="69"/>
      <c r="F374" s="69"/>
      <c r="G374" s="43"/>
      <c r="H374" s="43"/>
      <c r="I374" s="43"/>
      <c r="J374" s="43"/>
      <c r="K374" s="43"/>
      <c r="L374" s="43"/>
      <c r="M374" s="43"/>
      <c r="N374" s="43"/>
      <c r="O374" s="43"/>
      <c r="P374" s="245"/>
      <c r="Q374" s="253"/>
      <c r="R374" s="253"/>
      <c r="S374" s="253"/>
      <c r="T374" s="43"/>
    </row>
    <row r="375" spans="1:20">
      <c r="A375" s="43"/>
      <c r="B375" s="102"/>
      <c r="C375" s="102"/>
      <c r="D375" s="249"/>
      <c r="E375" s="271"/>
      <c r="F375" s="44"/>
      <c r="G375" s="43"/>
      <c r="H375" s="43"/>
      <c r="I375" s="43"/>
      <c r="J375" s="43"/>
      <c r="K375" s="43"/>
      <c r="L375" s="43"/>
      <c r="M375" s="43"/>
      <c r="N375" s="43"/>
      <c r="O375" s="43"/>
      <c r="P375" s="245"/>
      <c r="Q375" s="253"/>
      <c r="R375" s="253"/>
      <c r="S375" s="253"/>
      <c r="T375" s="43"/>
    </row>
    <row r="376" spans="1:20">
      <c r="A376" s="43"/>
      <c r="B376" s="69"/>
      <c r="C376" s="69"/>
      <c r="D376" s="249"/>
      <c r="E376" s="44"/>
      <c r="F376" s="44"/>
      <c r="G376" s="43"/>
      <c r="H376" s="43"/>
      <c r="I376" s="43"/>
      <c r="J376" s="43"/>
      <c r="K376" s="43"/>
      <c r="L376" s="43"/>
      <c r="M376" s="43"/>
      <c r="N376" s="43"/>
      <c r="O376" s="43"/>
      <c r="P376" s="245"/>
      <c r="Q376" s="253"/>
      <c r="R376" s="253"/>
      <c r="S376" s="253"/>
      <c r="T376" s="43"/>
    </row>
    <row r="377" spans="1:20">
      <c r="A377" s="43"/>
      <c r="B377" s="102"/>
      <c r="C377" s="102"/>
      <c r="D377" s="341"/>
      <c r="E377" s="44"/>
      <c r="F377" s="44"/>
      <c r="G377" s="43"/>
      <c r="H377" s="43"/>
      <c r="I377" s="43"/>
      <c r="J377" s="43"/>
      <c r="K377" s="43"/>
      <c r="L377" s="43"/>
      <c r="M377" s="43"/>
      <c r="N377" s="43"/>
      <c r="O377" s="43"/>
      <c r="P377" s="245"/>
      <c r="Q377" s="253"/>
      <c r="R377" s="253"/>
      <c r="S377" s="253"/>
      <c r="T377" s="43"/>
    </row>
    <row r="378" spans="1:20">
      <c r="A378" s="43"/>
      <c r="B378" s="102"/>
      <c r="C378" s="102"/>
      <c r="D378" s="249"/>
      <c r="E378" s="44"/>
      <c r="F378" s="44"/>
      <c r="G378" s="43"/>
      <c r="H378" s="43"/>
      <c r="I378" s="43"/>
      <c r="J378" s="43"/>
      <c r="K378" s="43"/>
      <c r="L378" s="43"/>
      <c r="M378" s="43"/>
      <c r="N378" s="43"/>
      <c r="O378" s="43"/>
      <c r="P378" s="245"/>
      <c r="Q378" s="253"/>
      <c r="R378" s="253"/>
      <c r="S378" s="253"/>
      <c r="T378" s="43"/>
    </row>
    <row r="379" spans="1:20">
      <c r="A379" s="43"/>
      <c r="B379" s="69"/>
      <c r="C379" s="69"/>
      <c r="D379" s="249"/>
      <c r="E379" s="44"/>
      <c r="F379" s="44"/>
      <c r="G379" s="43"/>
      <c r="H379" s="43"/>
      <c r="I379" s="43"/>
      <c r="J379" s="43"/>
      <c r="K379" s="43"/>
      <c r="L379" s="43"/>
      <c r="M379" s="43"/>
      <c r="N379" s="43"/>
      <c r="O379" s="43"/>
      <c r="P379" s="245"/>
      <c r="Q379" s="253"/>
      <c r="R379" s="253"/>
      <c r="S379" s="253"/>
      <c r="T379" s="43"/>
    </row>
    <row r="380" spans="1:20">
      <c r="A380" s="43"/>
      <c r="B380" s="69"/>
      <c r="C380" s="69"/>
      <c r="D380" s="249"/>
      <c r="E380" s="44"/>
      <c r="F380" s="69"/>
      <c r="G380" s="43"/>
      <c r="H380" s="43"/>
      <c r="I380" s="43"/>
      <c r="J380" s="43"/>
      <c r="K380" s="43"/>
      <c r="L380" s="43"/>
      <c r="M380" s="43"/>
      <c r="N380" s="43"/>
      <c r="O380" s="43"/>
      <c r="P380" s="245"/>
      <c r="Q380" s="253"/>
      <c r="R380" s="253"/>
      <c r="S380" s="253"/>
      <c r="T380" s="43"/>
    </row>
    <row r="381" spans="1:20">
      <c r="A381" s="43"/>
      <c r="B381" s="69"/>
      <c r="C381" s="69"/>
      <c r="D381" s="249"/>
      <c r="E381" s="44"/>
      <c r="F381" s="69"/>
      <c r="G381" s="43"/>
      <c r="H381" s="43"/>
      <c r="I381" s="43"/>
      <c r="J381" s="43"/>
      <c r="K381" s="43"/>
      <c r="L381" s="43"/>
      <c r="M381" s="43"/>
      <c r="N381" s="43"/>
      <c r="O381" s="43"/>
      <c r="P381" s="245"/>
      <c r="Q381" s="253"/>
      <c r="R381" s="253"/>
      <c r="S381" s="253"/>
      <c r="T381" s="43"/>
    </row>
    <row r="382" spans="1:20">
      <c r="A382" s="43"/>
      <c r="B382" s="102"/>
      <c r="C382" s="102"/>
      <c r="D382" s="341"/>
      <c r="E382" s="44"/>
      <c r="F382" s="44"/>
      <c r="G382" s="43"/>
      <c r="H382" s="43"/>
      <c r="I382" s="43"/>
      <c r="J382" s="43"/>
      <c r="K382" s="43"/>
      <c r="L382" s="43"/>
      <c r="M382" s="43"/>
      <c r="N382" s="43"/>
      <c r="O382" s="43"/>
      <c r="P382" s="245"/>
      <c r="Q382" s="253"/>
      <c r="R382" s="253"/>
      <c r="S382" s="253"/>
      <c r="T382" s="43"/>
    </row>
    <row r="383" spans="1:20">
      <c r="A383" s="43"/>
      <c r="B383" s="102"/>
      <c r="C383" s="102"/>
      <c r="D383" s="249"/>
      <c r="E383" s="44"/>
      <c r="F383" s="69"/>
      <c r="G383" s="43"/>
      <c r="H383" s="43"/>
      <c r="I383" s="43"/>
      <c r="J383" s="43"/>
      <c r="K383" s="43"/>
      <c r="L383" s="43"/>
      <c r="M383" s="43"/>
      <c r="N383" s="43"/>
      <c r="O383" s="43"/>
      <c r="P383" s="245"/>
      <c r="Q383" s="253"/>
      <c r="R383" s="253"/>
      <c r="S383" s="253"/>
      <c r="T383" s="43"/>
    </row>
    <row r="384" spans="1:20">
      <c r="A384" s="43"/>
      <c r="B384" s="44"/>
      <c r="C384" s="44"/>
      <c r="D384" s="44"/>
      <c r="E384" s="43"/>
      <c r="F384" s="43"/>
      <c r="G384" s="43"/>
      <c r="H384" s="43"/>
      <c r="I384" s="43"/>
      <c r="J384" s="43"/>
      <c r="K384" s="43"/>
      <c r="L384" s="43"/>
      <c r="M384" s="43"/>
      <c r="N384" s="43"/>
      <c r="O384" s="43"/>
      <c r="P384" s="245"/>
      <c r="Q384" s="253"/>
      <c r="R384" s="253"/>
      <c r="S384" s="253"/>
      <c r="T384" s="43"/>
    </row>
    <row r="385" spans="1:20">
      <c r="A385" s="43"/>
      <c r="B385" s="44"/>
      <c r="C385" s="44"/>
      <c r="D385" s="75"/>
      <c r="E385" s="43"/>
      <c r="F385" s="43"/>
      <c r="G385" s="43"/>
      <c r="H385" s="43"/>
      <c r="I385" s="43"/>
      <c r="J385" s="43"/>
      <c r="K385" s="43"/>
      <c r="L385" s="43"/>
      <c r="M385" s="43"/>
      <c r="N385" s="43"/>
      <c r="O385" s="43"/>
      <c r="P385" s="245"/>
      <c r="Q385" s="253"/>
      <c r="R385" s="253"/>
      <c r="S385" s="253"/>
      <c r="T385" s="43"/>
    </row>
    <row r="386" spans="1:20">
      <c r="A386" s="43"/>
      <c r="B386" s="44"/>
      <c r="C386" s="44"/>
      <c r="D386" s="75"/>
      <c r="E386" s="43"/>
      <c r="F386" s="43"/>
      <c r="G386" s="43"/>
      <c r="H386" s="43"/>
      <c r="I386" s="43"/>
      <c r="J386" s="43"/>
      <c r="K386" s="43"/>
      <c r="L386" s="43"/>
      <c r="M386" s="43"/>
      <c r="N386" s="43"/>
      <c r="O386" s="43"/>
      <c r="P386" s="245"/>
      <c r="Q386" s="253"/>
      <c r="R386" s="253"/>
      <c r="S386" s="253"/>
      <c r="T386" s="43"/>
    </row>
    <row r="387" spans="1:20">
      <c r="A387" s="43"/>
      <c r="B387" s="44"/>
      <c r="C387" s="44"/>
      <c r="D387" s="75"/>
      <c r="E387" s="43"/>
      <c r="F387" s="43"/>
      <c r="G387" s="43"/>
      <c r="H387" s="43"/>
      <c r="I387" s="43"/>
      <c r="J387" s="43"/>
      <c r="K387" s="43"/>
      <c r="L387" s="43"/>
      <c r="M387" s="43"/>
      <c r="N387" s="43"/>
      <c r="O387" s="43"/>
      <c r="P387" s="245"/>
      <c r="Q387" s="253"/>
      <c r="R387" s="253"/>
      <c r="S387" s="253"/>
      <c r="T387" s="43"/>
    </row>
    <row r="388" spans="1:20">
      <c r="A388" s="43"/>
      <c r="B388" s="44"/>
      <c r="C388" s="44"/>
      <c r="D388" s="75"/>
      <c r="E388" s="43"/>
      <c r="F388" s="43"/>
      <c r="G388" s="43"/>
      <c r="H388" s="43"/>
      <c r="I388" s="43"/>
      <c r="J388" s="43"/>
      <c r="K388" s="43"/>
      <c r="L388" s="43"/>
      <c r="M388" s="43"/>
      <c r="N388" s="43"/>
      <c r="O388" s="43"/>
      <c r="P388" s="245"/>
      <c r="Q388" s="253"/>
      <c r="R388" s="253"/>
      <c r="S388" s="253"/>
      <c r="T388" s="43"/>
    </row>
    <row r="389" spans="1:20">
      <c r="A389" s="43"/>
      <c r="B389" s="44"/>
      <c r="C389" s="44"/>
      <c r="D389" s="75"/>
      <c r="E389" s="43"/>
      <c r="F389" s="43"/>
      <c r="G389" s="43"/>
      <c r="H389" s="43"/>
      <c r="I389" s="43"/>
      <c r="J389" s="43"/>
      <c r="K389" s="43"/>
      <c r="L389" s="43"/>
      <c r="M389" s="43"/>
      <c r="N389" s="43"/>
      <c r="O389" s="43"/>
      <c r="P389" s="245"/>
      <c r="Q389" s="253"/>
      <c r="R389" s="253"/>
      <c r="S389" s="253"/>
      <c r="T389" s="43"/>
    </row>
    <row r="390" spans="1:20">
      <c r="A390" s="43"/>
      <c r="B390" s="44"/>
      <c r="C390" s="44"/>
      <c r="D390" s="75"/>
      <c r="E390" s="43"/>
      <c r="F390" s="43"/>
      <c r="G390" s="43"/>
      <c r="H390" s="43"/>
      <c r="I390" s="43"/>
      <c r="J390" s="43"/>
      <c r="K390" s="43"/>
      <c r="L390" s="43"/>
      <c r="M390" s="43"/>
      <c r="N390" s="43"/>
      <c r="O390" s="43"/>
      <c r="P390" s="245"/>
      <c r="Q390" s="253"/>
      <c r="R390" s="253"/>
      <c r="S390" s="253"/>
      <c r="T390" s="43"/>
    </row>
    <row r="391" spans="1:20">
      <c r="A391" s="43"/>
      <c r="B391" s="44"/>
      <c r="C391" s="44"/>
      <c r="D391" s="75"/>
      <c r="E391" s="43"/>
      <c r="F391" s="43"/>
      <c r="G391" s="43"/>
      <c r="H391" s="43"/>
      <c r="I391" s="43"/>
      <c r="J391" s="43"/>
      <c r="K391" s="43"/>
      <c r="L391" s="43"/>
      <c r="M391" s="43"/>
      <c r="N391" s="43"/>
      <c r="O391" s="43"/>
      <c r="P391" s="245"/>
      <c r="Q391" s="253"/>
      <c r="R391" s="253"/>
      <c r="S391" s="253"/>
      <c r="T391" s="43"/>
    </row>
    <row r="392" spans="1:20">
      <c r="A392" s="43"/>
      <c r="B392" s="44"/>
      <c r="C392" s="44"/>
      <c r="D392" s="75"/>
      <c r="E392" s="43"/>
      <c r="F392" s="43"/>
      <c r="G392" s="43"/>
      <c r="H392" s="43"/>
      <c r="I392" s="43"/>
      <c r="J392" s="43"/>
      <c r="K392" s="43"/>
      <c r="L392" s="43"/>
      <c r="M392" s="43"/>
      <c r="N392" s="43"/>
      <c r="O392" s="43"/>
      <c r="P392" s="245"/>
      <c r="Q392" s="253"/>
      <c r="R392" s="253"/>
      <c r="S392" s="253"/>
      <c r="T392" s="43"/>
    </row>
    <row r="393" spans="1:20">
      <c r="A393" s="43"/>
      <c r="B393" s="44"/>
      <c r="C393" s="44"/>
      <c r="D393" s="75"/>
      <c r="E393" s="43"/>
      <c r="F393" s="43"/>
      <c r="G393" s="43"/>
      <c r="H393" s="43"/>
      <c r="I393" s="43"/>
      <c r="J393" s="43"/>
      <c r="K393" s="43"/>
      <c r="L393" s="43"/>
      <c r="M393" s="43"/>
      <c r="N393" s="43"/>
      <c r="O393" s="43"/>
      <c r="P393" s="245"/>
      <c r="Q393" s="253"/>
      <c r="R393" s="253"/>
      <c r="S393" s="253"/>
      <c r="T393" s="43"/>
    </row>
    <row r="394" spans="1:20">
      <c r="A394" s="43"/>
      <c r="B394" s="44"/>
      <c r="C394" s="44"/>
      <c r="D394" s="44"/>
      <c r="E394" s="43"/>
      <c r="F394" s="43"/>
      <c r="G394" s="43"/>
      <c r="H394" s="43"/>
      <c r="I394" s="43"/>
      <c r="J394" s="43"/>
      <c r="K394" s="43"/>
      <c r="L394" s="43"/>
      <c r="M394" s="43"/>
      <c r="N394" s="43"/>
      <c r="O394" s="43"/>
      <c r="P394" s="245"/>
      <c r="Q394" s="253"/>
      <c r="R394" s="253"/>
      <c r="S394" s="253"/>
      <c r="T394" s="43"/>
    </row>
    <row r="395" spans="1:20">
      <c r="A395" s="43"/>
      <c r="B395" s="44"/>
      <c r="C395" s="44"/>
      <c r="D395" s="44"/>
      <c r="E395" s="43"/>
      <c r="F395" s="43"/>
      <c r="G395" s="43"/>
      <c r="H395" s="43"/>
      <c r="I395" s="43"/>
      <c r="J395" s="43"/>
      <c r="K395" s="43"/>
      <c r="L395" s="43"/>
      <c r="M395" s="43"/>
      <c r="N395" s="43"/>
      <c r="O395" s="43"/>
      <c r="P395" s="245"/>
      <c r="Q395" s="253"/>
      <c r="R395" s="253"/>
      <c r="S395" s="253"/>
      <c r="T395" s="43"/>
    </row>
    <row r="396" spans="1:20">
      <c r="A396" s="43"/>
      <c r="B396" s="44"/>
      <c r="C396" s="44"/>
      <c r="D396" s="44"/>
      <c r="E396" s="43"/>
      <c r="F396" s="43"/>
      <c r="G396" s="43"/>
      <c r="H396" s="43"/>
      <c r="I396" s="43"/>
      <c r="J396" s="43"/>
      <c r="K396" s="43"/>
      <c r="L396" s="43"/>
      <c r="M396" s="43"/>
      <c r="N396" s="43"/>
      <c r="O396" s="43"/>
      <c r="P396" s="245"/>
      <c r="Q396" s="253"/>
      <c r="R396" s="253"/>
      <c r="S396" s="253"/>
      <c r="T396" s="43"/>
    </row>
    <row r="397" spans="1:20">
      <c r="A397" s="43"/>
      <c r="B397" s="44"/>
      <c r="C397" s="44"/>
      <c r="D397" s="75"/>
      <c r="E397" s="43"/>
      <c r="F397" s="43"/>
      <c r="G397" s="43"/>
      <c r="H397" s="43"/>
      <c r="I397" s="43"/>
      <c r="J397" s="43"/>
      <c r="K397" s="43"/>
      <c r="L397" s="43"/>
      <c r="M397" s="43"/>
      <c r="N397" s="43"/>
      <c r="O397" s="43"/>
      <c r="P397" s="245"/>
      <c r="Q397" s="253"/>
      <c r="R397" s="253"/>
      <c r="S397" s="253"/>
      <c r="T397" s="43"/>
    </row>
    <row r="398" spans="1:20">
      <c r="A398" s="43"/>
      <c r="B398" s="44"/>
      <c r="C398" s="44"/>
      <c r="D398" s="75"/>
      <c r="E398" s="43"/>
      <c r="F398" s="43"/>
      <c r="G398" s="43"/>
      <c r="H398" s="43"/>
      <c r="I398" s="43"/>
      <c r="J398" s="43"/>
      <c r="K398" s="43"/>
      <c r="L398" s="43"/>
      <c r="M398" s="43"/>
      <c r="N398" s="43"/>
      <c r="O398" s="43"/>
      <c r="P398" s="245"/>
      <c r="Q398" s="253"/>
      <c r="R398" s="253"/>
      <c r="S398" s="253"/>
      <c r="T398" s="43"/>
    </row>
    <row r="399" spans="1:20">
      <c r="A399" s="43"/>
      <c r="B399" s="44"/>
      <c r="C399" s="44"/>
      <c r="D399" s="75"/>
      <c r="E399" s="43"/>
      <c r="F399" s="43"/>
      <c r="G399" s="43"/>
      <c r="H399" s="43"/>
      <c r="I399" s="43"/>
      <c r="J399" s="43"/>
      <c r="K399" s="43"/>
      <c r="L399" s="43"/>
      <c r="M399" s="43"/>
      <c r="N399" s="43"/>
      <c r="O399" s="43"/>
      <c r="P399" s="245"/>
      <c r="Q399" s="253"/>
      <c r="R399" s="253"/>
      <c r="S399" s="253"/>
      <c r="T399" s="43"/>
    </row>
    <row r="400" spans="1:20">
      <c r="A400" s="43"/>
      <c r="B400" s="44"/>
      <c r="C400" s="44"/>
      <c r="D400" s="75"/>
      <c r="E400" s="43"/>
      <c r="F400" s="43"/>
      <c r="G400" s="43"/>
      <c r="H400" s="43"/>
      <c r="I400" s="43"/>
      <c r="J400" s="43"/>
      <c r="K400" s="43"/>
      <c r="L400" s="43"/>
      <c r="M400" s="43"/>
      <c r="N400" s="43"/>
      <c r="O400" s="43"/>
      <c r="P400" s="245"/>
      <c r="Q400" s="253"/>
      <c r="R400" s="253"/>
      <c r="S400" s="253"/>
      <c r="T400" s="43"/>
    </row>
    <row r="401" spans="1:20">
      <c r="A401" s="43"/>
      <c r="B401" s="44"/>
      <c r="C401" s="44"/>
      <c r="D401" s="75"/>
      <c r="E401" s="43"/>
      <c r="F401" s="43"/>
      <c r="G401" s="43"/>
      <c r="H401" s="43"/>
      <c r="I401" s="43"/>
      <c r="J401" s="43"/>
      <c r="K401" s="43"/>
      <c r="L401" s="43"/>
      <c r="M401" s="43"/>
      <c r="N401" s="43"/>
      <c r="O401" s="43"/>
      <c r="P401" s="245"/>
      <c r="Q401" s="253"/>
      <c r="R401" s="253"/>
      <c r="S401" s="253"/>
      <c r="T401" s="43"/>
    </row>
    <row r="402" spans="1:20">
      <c r="A402" s="43"/>
      <c r="B402" s="44"/>
      <c r="C402" s="44"/>
      <c r="D402" s="75"/>
      <c r="E402" s="43"/>
      <c r="F402" s="43"/>
      <c r="G402" s="43"/>
      <c r="H402" s="43"/>
      <c r="I402" s="43"/>
      <c r="J402" s="43"/>
      <c r="K402" s="43"/>
      <c r="L402" s="43"/>
      <c r="M402" s="43"/>
      <c r="N402" s="43"/>
      <c r="O402" s="43"/>
      <c r="P402" s="245"/>
      <c r="Q402" s="253"/>
      <c r="R402" s="253"/>
      <c r="S402" s="253"/>
      <c r="T402" s="43"/>
    </row>
    <row r="403" spans="1:20">
      <c r="A403" s="43"/>
      <c r="B403" s="44"/>
      <c r="C403" s="44"/>
      <c r="D403" s="75"/>
      <c r="E403" s="43"/>
      <c r="F403" s="43"/>
      <c r="G403" s="43"/>
      <c r="H403" s="43"/>
      <c r="I403" s="43"/>
      <c r="J403" s="43"/>
      <c r="K403" s="43"/>
      <c r="L403" s="43"/>
      <c r="M403" s="43"/>
      <c r="N403" s="43"/>
      <c r="O403" s="43"/>
      <c r="P403" s="245"/>
      <c r="Q403" s="253"/>
      <c r="R403" s="253"/>
      <c r="S403" s="253"/>
      <c r="T403" s="43"/>
    </row>
    <row r="404" spans="1:20">
      <c r="A404" s="43"/>
      <c r="B404" s="44"/>
      <c r="C404" s="44"/>
      <c r="D404" s="75"/>
      <c r="E404" s="43"/>
      <c r="F404" s="43"/>
      <c r="G404" s="43"/>
      <c r="H404" s="43"/>
      <c r="I404" s="43"/>
      <c r="J404" s="43"/>
      <c r="K404" s="43"/>
      <c r="L404" s="43"/>
      <c r="M404" s="43"/>
      <c r="N404" s="43"/>
      <c r="O404" s="43"/>
      <c r="P404" s="245"/>
      <c r="Q404" s="253"/>
      <c r="R404" s="253"/>
      <c r="S404" s="253"/>
      <c r="T404" s="43"/>
    </row>
    <row r="405" spans="1:20">
      <c r="A405" s="43"/>
      <c r="B405" s="44"/>
      <c r="C405" s="44"/>
      <c r="D405" s="75"/>
      <c r="E405" s="43"/>
      <c r="F405" s="43"/>
      <c r="G405" s="43"/>
      <c r="H405" s="43"/>
      <c r="I405" s="43"/>
      <c r="J405" s="43"/>
      <c r="K405" s="43"/>
      <c r="L405" s="43"/>
      <c r="M405" s="43"/>
      <c r="N405" s="43"/>
      <c r="O405" s="43"/>
      <c r="P405" s="245"/>
      <c r="Q405" s="253"/>
      <c r="R405" s="253"/>
      <c r="S405" s="253"/>
      <c r="T405" s="43"/>
    </row>
    <row r="406" spans="1:20">
      <c r="A406" s="43"/>
      <c r="B406" s="44"/>
      <c r="C406" s="44"/>
      <c r="D406" s="75"/>
      <c r="E406" s="43"/>
      <c r="F406" s="43"/>
      <c r="G406" s="43"/>
      <c r="H406" s="43"/>
      <c r="I406" s="43"/>
      <c r="J406" s="43"/>
      <c r="K406" s="43"/>
      <c r="L406" s="43"/>
      <c r="M406" s="43"/>
      <c r="N406" s="43"/>
      <c r="O406" s="43"/>
      <c r="P406" s="245"/>
      <c r="Q406" s="253"/>
      <c r="R406" s="253"/>
      <c r="S406" s="253"/>
      <c r="T406" s="43"/>
    </row>
    <row r="407" spans="1:20">
      <c r="A407" s="43"/>
      <c r="B407" s="44"/>
      <c r="C407" s="44"/>
      <c r="D407" s="75"/>
      <c r="E407" s="43"/>
      <c r="F407" s="43"/>
      <c r="G407" s="43"/>
      <c r="H407" s="43"/>
      <c r="I407" s="43"/>
      <c r="J407" s="43"/>
      <c r="K407" s="43"/>
      <c r="L407" s="43"/>
      <c r="M407" s="43"/>
      <c r="N407" s="43"/>
      <c r="O407" s="43"/>
      <c r="P407" s="245"/>
      <c r="Q407" s="253"/>
      <c r="R407" s="253"/>
      <c r="S407" s="253"/>
      <c r="T407" s="43"/>
    </row>
    <row r="408" spans="1:20">
      <c r="A408" s="43"/>
      <c r="B408" s="44"/>
      <c r="C408" s="44"/>
      <c r="D408" s="75"/>
      <c r="E408" s="43"/>
      <c r="F408" s="43"/>
      <c r="G408" s="43"/>
      <c r="H408" s="43"/>
      <c r="I408" s="43"/>
      <c r="J408" s="43"/>
      <c r="K408" s="43"/>
      <c r="L408" s="43"/>
      <c r="M408" s="43"/>
      <c r="N408" s="43"/>
      <c r="O408" s="43"/>
      <c r="P408" s="245"/>
      <c r="Q408" s="253"/>
      <c r="R408" s="253"/>
      <c r="S408" s="253"/>
      <c r="T408" s="43"/>
    </row>
    <row r="409" spans="1:20">
      <c r="A409" s="43"/>
      <c r="B409" s="44"/>
      <c r="C409" s="44"/>
      <c r="D409" s="75"/>
      <c r="E409" s="43"/>
      <c r="F409" s="43"/>
      <c r="G409" s="43"/>
      <c r="H409" s="43"/>
      <c r="I409" s="43"/>
      <c r="J409" s="43"/>
      <c r="K409" s="43"/>
      <c r="L409" s="43"/>
      <c r="M409" s="43"/>
      <c r="N409" s="43"/>
      <c r="O409" s="43"/>
      <c r="P409" s="245"/>
      <c r="Q409" s="253"/>
      <c r="R409" s="253"/>
      <c r="S409" s="253"/>
      <c r="T409" s="43"/>
    </row>
    <row r="410" spans="1:20">
      <c r="A410" s="43"/>
      <c r="B410" s="44"/>
      <c r="C410" s="44"/>
      <c r="D410" s="75"/>
      <c r="E410" s="43"/>
      <c r="F410" s="43"/>
      <c r="G410" s="43"/>
      <c r="H410" s="43"/>
      <c r="I410" s="43"/>
      <c r="J410" s="43"/>
      <c r="K410" s="43"/>
      <c r="L410" s="43"/>
      <c r="M410" s="43"/>
      <c r="N410" s="43"/>
      <c r="O410" s="43"/>
      <c r="P410" s="245"/>
      <c r="Q410" s="253"/>
      <c r="R410" s="253"/>
      <c r="S410" s="253"/>
      <c r="T410" s="43"/>
    </row>
    <row r="411" spans="1:20">
      <c r="A411" s="43"/>
      <c r="B411" s="44"/>
      <c r="C411" s="44"/>
      <c r="D411" s="44"/>
      <c r="E411" s="43"/>
      <c r="F411" s="43"/>
      <c r="G411" s="43"/>
      <c r="H411" s="43"/>
      <c r="I411" s="43"/>
      <c r="J411" s="43"/>
      <c r="K411" s="43"/>
      <c r="L411" s="43"/>
      <c r="M411" s="43"/>
      <c r="N411" s="43"/>
      <c r="O411" s="43"/>
      <c r="P411" s="245"/>
      <c r="Q411" s="253"/>
      <c r="R411" s="253"/>
      <c r="S411" s="253"/>
      <c r="T411" s="43"/>
    </row>
    <row r="412" spans="1:20">
      <c r="A412" s="43"/>
      <c r="B412" s="44"/>
      <c r="C412" s="44"/>
      <c r="D412" s="75"/>
      <c r="E412" s="43"/>
      <c r="F412" s="43"/>
      <c r="G412" s="43"/>
      <c r="H412" s="43"/>
      <c r="I412" s="43"/>
      <c r="J412" s="43"/>
      <c r="K412" s="43"/>
      <c r="L412" s="43"/>
      <c r="M412" s="43"/>
      <c r="N412" s="43"/>
      <c r="O412" s="43"/>
      <c r="P412" s="245"/>
      <c r="Q412" s="253"/>
      <c r="R412" s="253"/>
      <c r="S412" s="253"/>
      <c r="T412" s="43"/>
    </row>
    <row r="413" spans="1:20">
      <c r="A413" s="43"/>
      <c r="B413" s="44"/>
      <c r="C413" s="44"/>
      <c r="D413" s="75"/>
      <c r="E413" s="43"/>
      <c r="F413" s="43"/>
      <c r="G413" s="43"/>
      <c r="H413" s="43"/>
      <c r="I413" s="43"/>
      <c r="J413" s="43"/>
      <c r="K413" s="43"/>
      <c r="L413" s="43"/>
      <c r="M413" s="43"/>
      <c r="N413" s="43"/>
      <c r="O413" s="43"/>
      <c r="P413" s="245"/>
      <c r="Q413" s="253"/>
      <c r="R413" s="253"/>
      <c r="S413" s="253"/>
      <c r="T413" s="43"/>
    </row>
    <row r="414" spans="1:20">
      <c r="A414" s="43"/>
      <c r="B414" s="44"/>
      <c r="C414" s="44"/>
      <c r="D414" s="75"/>
      <c r="E414" s="43"/>
      <c r="F414" s="43"/>
      <c r="G414" s="43"/>
      <c r="H414" s="43"/>
      <c r="I414" s="43"/>
      <c r="J414" s="43"/>
      <c r="K414" s="43"/>
      <c r="L414" s="43"/>
      <c r="M414" s="43"/>
      <c r="N414" s="43"/>
      <c r="O414" s="43"/>
      <c r="P414" s="245"/>
      <c r="Q414" s="253"/>
      <c r="R414" s="253"/>
      <c r="S414" s="253"/>
      <c r="T414" s="43"/>
    </row>
    <row r="415" spans="1:20">
      <c r="A415" s="43"/>
      <c r="B415" s="44"/>
      <c r="C415" s="44"/>
      <c r="D415" s="75"/>
      <c r="E415" s="43"/>
      <c r="F415" s="43"/>
      <c r="G415" s="43"/>
      <c r="H415" s="43"/>
      <c r="I415" s="43"/>
      <c r="J415" s="43"/>
      <c r="K415" s="43"/>
      <c r="L415" s="43"/>
      <c r="M415" s="43"/>
      <c r="N415" s="43"/>
      <c r="O415" s="43"/>
      <c r="P415" s="245"/>
      <c r="Q415" s="253"/>
      <c r="R415" s="253"/>
      <c r="S415" s="253"/>
      <c r="T415" s="43"/>
    </row>
    <row r="416" spans="1:20">
      <c r="A416" s="43"/>
      <c r="B416" s="44"/>
      <c r="C416" s="44"/>
      <c r="D416" s="44"/>
      <c r="E416" s="43"/>
      <c r="F416" s="43"/>
      <c r="G416" s="43"/>
      <c r="H416" s="43"/>
      <c r="I416" s="43"/>
      <c r="J416" s="43"/>
      <c r="K416" s="43"/>
      <c r="L416" s="43"/>
      <c r="M416" s="43"/>
      <c r="N416" s="43"/>
      <c r="O416" s="43"/>
      <c r="P416" s="245"/>
      <c r="Q416" s="253"/>
      <c r="R416" s="253"/>
      <c r="S416" s="253"/>
      <c r="T416" s="43"/>
    </row>
    <row r="417" spans="1:20">
      <c r="A417" s="43"/>
      <c r="B417" s="44"/>
      <c r="C417" s="44"/>
      <c r="D417" s="75"/>
      <c r="E417" s="43"/>
      <c r="F417" s="43"/>
      <c r="G417" s="43"/>
      <c r="H417" s="43"/>
      <c r="I417" s="43"/>
      <c r="J417" s="43"/>
      <c r="K417" s="43"/>
      <c r="L417" s="43"/>
      <c r="M417" s="43"/>
      <c r="N417" s="43"/>
      <c r="O417" s="43"/>
      <c r="P417" s="245"/>
      <c r="Q417" s="253"/>
      <c r="R417" s="253"/>
      <c r="S417" s="253"/>
      <c r="T417" s="43"/>
    </row>
    <row r="418" spans="1:20">
      <c r="A418" s="43"/>
      <c r="B418" s="44"/>
      <c r="C418" s="44"/>
      <c r="D418" s="75"/>
      <c r="E418" s="43"/>
      <c r="F418" s="43"/>
      <c r="G418" s="43"/>
      <c r="H418" s="43"/>
      <c r="I418" s="43"/>
      <c r="J418" s="43"/>
      <c r="K418" s="43"/>
      <c r="L418" s="43"/>
      <c r="M418" s="43"/>
      <c r="N418" s="43"/>
      <c r="O418" s="43"/>
      <c r="P418" s="245"/>
      <c r="Q418" s="253"/>
      <c r="R418" s="253"/>
      <c r="S418" s="253"/>
      <c r="T418" s="43"/>
    </row>
    <row r="419" spans="1:20">
      <c r="A419" s="43"/>
      <c r="B419" s="44"/>
      <c r="C419" s="44"/>
      <c r="D419" s="75"/>
      <c r="E419" s="43"/>
      <c r="F419" s="43"/>
      <c r="G419" s="43"/>
      <c r="H419" s="43"/>
      <c r="I419" s="43"/>
      <c r="J419" s="43"/>
      <c r="K419" s="43"/>
      <c r="L419" s="43"/>
      <c r="M419" s="43"/>
      <c r="N419" s="43"/>
      <c r="O419" s="43"/>
      <c r="P419" s="245"/>
      <c r="Q419" s="253"/>
      <c r="R419" s="253"/>
      <c r="S419" s="253"/>
      <c r="T419" s="43"/>
    </row>
    <row r="420" spans="1:20">
      <c r="A420" s="43"/>
      <c r="B420" s="44"/>
      <c r="C420" s="44"/>
      <c r="D420" s="75"/>
      <c r="E420" s="43"/>
      <c r="F420" s="43"/>
      <c r="G420" s="43"/>
      <c r="H420" s="43"/>
      <c r="I420" s="43"/>
      <c r="J420" s="43"/>
      <c r="K420" s="43"/>
      <c r="L420" s="43"/>
      <c r="M420" s="43"/>
      <c r="N420" s="43"/>
      <c r="O420" s="43"/>
      <c r="P420" s="245"/>
      <c r="Q420" s="253"/>
      <c r="R420" s="253"/>
      <c r="S420" s="253"/>
      <c r="T420" s="43"/>
    </row>
    <row r="421" spans="1:20">
      <c r="A421" s="43"/>
      <c r="B421" s="44"/>
      <c r="C421" s="44"/>
      <c r="D421" s="75"/>
      <c r="E421" s="43"/>
      <c r="F421" s="43"/>
      <c r="G421" s="43"/>
      <c r="H421" s="43"/>
      <c r="I421" s="43"/>
      <c r="J421" s="43"/>
      <c r="K421" s="43"/>
      <c r="L421" s="43"/>
      <c r="M421" s="43"/>
      <c r="N421" s="43"/>
      <c r="O421" s="43"/>
      <c r="P421" s="245"/>
      <c r="Q421" s="253"/>
      <c r="R421" s="253"/>
      <c r="S421" s="253"/>
      <c r="T421" s="43"/>
    </row>
    <row r="422" spans="1:20">
      <c r="A422" s="43"/>
      <c r="B422" s="44"/>
      <c r="C422" s="44"/>
      <c r="D422" s="75"/>
      <c r="E422" s="43"/>
      <c r="F422" s="43"/>
      <c r="G422" s="43"/>
      <c r="H422" s="43"/>
      <c r="I422" s="43"/>
      <c r="J422" s="43"/>
      <c r="K422" s="43"/>
      <c r="L422" s="43"/>
      <c r="M422" s="43"/>
      <c r="N422" s="43"/>
      <c r="O422" s="43"/>
      <c r="P422" s="245"/>
      <c r="Q422" s="253"/>
      <c r="R422" s="253"/>
      <c r="S422" s="253"/>
      <c r="T422" s="43"/>
    </row>
    <row r="423" spans="1:20">
      <c r="A423" s="43"/>
      <c r="B423" s="69"/>
      <c r="C423" s="69"/>
      <c r="D423" s="75"/>
      <c r="E423" s="44"/>
      <c r="F423" s="44"/>
      <c r="G423" s="43"/>
      <c r="H423" s="43"/>
      <c r="I423" s="43"/>
      <c r="J423" s="43"/>
      <c r="K423" s="43"/>
      <c r="L423" s="43"/>
      <c r="M423" s="43"/>
      <c r="N423" s="43"/>
      <c r="O423" s="43"/>
      <c r="P423" s="245"/>
      <c r="Q423" s="253"/>
      <c r="R423" s="253"/>
      <c r="S423" s="253"/>
      <c r="T423" s="43"/>
    </row>
    <row r="424" spans="1:20">
      <c r="A424" s="43"/>
      <c r="B424" s="69"/>
      <c r="C424" s="69"/>
      <c r="D424" s="75"/>
      <c r="E424" s="44"/>
      <c r="F424" s="44"/>
      <c r="G424" s="43"/>
      <c r="H424" s="43"/>
      <c r="I424" s="43"/>
      <c r="J424" s="43"/>
      <c r="K424" s="43"/>
      <c r="L424" s="43"/>
      <c r="M424" s="43"/>
      <c r="N424" s="43"/>
      <c r="O424" s="43"/>
      <c r="P424" s="245"/>
      <c r="Q424" s="253"/>
      <c r="R424" s="253"/>
      <c r="S424" s="253"/>
      <c r="T424" s="43"/>
    </row>
    <row r="425" spans="1:20">
      <c r="A425" s="43"/>
      <c r="B425" s="44"/>
      <c r="C425" s="44"/>
      <c r="D425" s="75"/>
      <c r="E425" s="43"/>
      <c r="F425" s="43"/>
      <c r="G425" s="43"/>
      <c r="H425" s="43"/>
      <c r="I425" s="43"/>
      <c r="J425" s="43"/>
      <c r="K425" s="43"/>
      <c r="L425" s="43"/>
      <c r="M425" s="43"/>
      <c r="N425" s="43"/>
      <c r="O425" s="43"/>
      <c r="P425" s="245"/>
      <c r="Q425" s="253"/>
      <c r="R425" s="253"/>
      <c r="S425" s="253"/>
      <c r="T425" s="43"/>
    </row>
    <row r="426" spans="1:20">
      <c r="A426" s="43"/>
      <c r="B426" s="44"/>
      <c r="C426" s="44"/>
      <c r="D426" s="75"/>
      <c r="E426" s="43"/>
      <c r="F426" s="43"/>
      <c r="G426" s="43"/>
      <c r="H426" s="43"/>
      <c r="I426" s="43"/>
      <c r="J426" s="43"/>
      <c r="K426" s="43"/>
      <c r="L426" s="43"/>
      <c r="M426" s="43"/>
      <c r="N426" s="43"/>
      <c r="O426" s="43"/>
      <c r="P426" s="245"/>
      <c r="Q426" s="253"/>
      <c r="R426" s="253"/>
      <c r="S426" s="253"/>
      <c r="T426" s="43"/>
    </row>
    <row r="427" spans="1:20">
      <c r="A427" s="43"/>
      <c r="B427" s="44"/>
      <c r="C427" s="44"/>
      <c r="D427" s="249"/>
      <c r="E427" s="44"/>
      <c r="F427" s="44"/>
      <c r="G427" s="43"/>
      <c r="H427" s="43"/>
      <c r="I427" s="43"/>
      <c r="J427" s="43"/>
      <c r="K427" s="43"/>
      <c r="L427" s="43"/>
      <c r="M427" s="43"/>
      <c r="N427" s="43"/>
      <c r="O427" s="43"/>
      <c r="P427" s="245"/>
      <c r="Q427" s="253"/>
      <c r="R427" s="253"/>
      <c r="S427" s="253"/>
      <c r="T427" s="43"/>
    </row>
    <row r="428" spans="1:20">
      <c r="A428" s="43"/>
      <c r="B428" s="44"/>
      <c r="C428" s="44"/>
      <c r="D428" s="249"/>
      <c r="E428" s="44"/>
      <c r="F428" s="44"/>
      <c r="G428" s="43"/>
      <c r="H428" s="43"/>
      <c r="I428" s="43"/>
      <c r="J428" s="43"/>
      <c r="K428" s="43"/>
      <c r="L428" s="43"/>
      <c r="M428" s="43"/>
      <c r="N428" s="43"/>
      <c r="O428" s="43"/>
      <c r="P428" s="245"/>
      <c r="Q428" s="253"/>
      <c r="R428" s="253"/>
      <c r="S428" s="253"/>
      <c r="T428" s="43"/>
    </row>
    <row r="429" spans="1:20">
      <c r="A429" s="43"/>
      <c r="B429" s="44"/>
      <c r="C429" s="44"/>
      <c r="D429" s="249"/>
      <c r="E429" s="44"/>
      <c r="F429" s="44"/>
      <c r="G429" s="43"/>
      <c r="H429" s="43"/>
      <c r="I429" s="43"/>
      <c r="J429" s="43"/>
      <c r="K429" s="43"/>
      <c r="L429" s="43"/>
      <c r="M429" s="43"/>
      <c r="N429" s="43"/>
      <c r="O429" s="43"/>
      <c r="P429" s="245"/>
      <c r="Q429" s="253"/>
      <c r="R429" s="253"/>
      <c r="S429" s="253"/>
      <c r="T429" s="43"/>
    </row>
    <row r="430" spans="1:20">
      <c r="A430" s="43"/>
      <c r="B430" s="44"/>
      <c r="C430" s="44"/>
      <c r="D430" s="249"/>
      <c r="E430" s="44"/>
      <c r="F430" s="44"/>
      <c r="G430" s="43"/>
      <c r="H430" s="43"/>
      <c r="I430" s="43"/>
      <c r="J430" s="43"/>
      <c r="K430" s="43"/>
      <c r="L430" s="43"/>
      <c r="M430" s="43"/>
      <c r="N430" s="43"/>
      <c r="O430" s="43"/>
      <c r="P430" s="245"/>
      <c r="Q430" s="253"/>
      <c r="R430" s="253"/>
      <c r="S430" s="253"/>
      <c r="T430" s="43"/>
    </row>
    <row r="431" spans="1:20">
      <c r="A431" s="43"/>
      <c r="B431" s="44"/>
      <c r="C431" s="44"/>
      <c r="D431" s="249"/>
      <c r="E431" s="44"/>
      <c r="F431" s="44"/>
      <c r="G431" s="43"/>
      <c r="H431" s="43"/>
      <c r="I431" s="43"/>
      <c r="J431" s="43"/>
      <c r="K431" s="43"/>
      <c r="L431" s="43"/>
      <c r="M431" s="43"/>
      <c r="N431" s="43"/>
      <c r="O431" s="43"/>
      <c r="P431" s="245"/>
      <c r="Q431" s="253"/>
      <c r="R431" s="253"/>
      <c r="S431" s="253"/>
      <c r="T431" s="43"/>
    </row>
    <row r="432" spans="1:20">
      <c r="A432" s="43"/>
      <c r="B432" s="44"/>
      <c r="C432" s="44"/>
      <c r="D432" s="75"/>
      <c r="E432" s="43"/>
      <c r="F432" s="69"/>
      <c r="G432" s="43"/>
      <c r="H432" s="43"/>
      <c r="I432" s="43"/>
      <c r="J432" s="43"/>
      <c r="K432" s="43"/>
      <c r="L432" s="43"/>
      <c r="M432" s="43"/>
      <c r="N432" s="43"/>
      <c r="O432" s="43"/>
      <c r="P432" s="245"/>
      <c r="Q432" s="253"/>
      <c r="R432" s="253"/>
      <c r="S432" s="253"/>
      <c r="T432" s="43"/>
    </row>
    <row r="433" spans="1:20">
      <c r="A433" s="43"/>
      <c r="B433" s="44"/>
      <c r="C433" s="44"/>
      <c r="D433" s="75"/>
      <c r="E433" s="43"/>
      <c r="F433" s="69"/>
      <c r="G433" s="43"/>
      <c r="H433" s="43"/>
      <c r="I433" s="43"/>
      <c r="J433" s="43"/>
      <c r="K433" s="43"/>
      <c r="L433" s="43"/>
      <c r="M433" s="43"/>
      <c r="N433" s="43"/>
      <c r="O433" s="43"/>
      <c r="P433" s="245"/>
      <c r="Q433" s="253"/>
      <c r="R433" s="253"/>
      <c r="S433" s="253"/>
      <c r="T433" s="43"/>
    </row>
    <row r="434" spans="1:20">
      <c r="A434" s="43"/>
      <c r="B434" s="44"/>
      <c r="C434" s="44"/>
      <c r="D434" s="75"/>
      <c r="E434" s="43"/>
      <c r="F434" s="69"/>
      <c r="G434" s="43"/>
      <c r="H434" s="43"/>
      <c r="I434" s="43"/>
      <c r="J434" s="43"/>
      <c r="K434" s="43"/>
      <c r="L434" s="43"/>
      <c r="M434" s="43"/>
      <c r="N434" s="43"/>
      <c r="O434" s="43"/>
      <c r="P434" s="245"/>
      <c r="Q434" s="253"/>
      <c r="R434" s="253"/>
      <c r="S434" s="253"/>
      <c r="T434" s="43"/>
    </row>
    <row r="435" spans="1:20">
      <c r="A435" s="43"/>
      <c r="B435" s="44"/>
      <c r="C435" s="44"/>
      <c r="D435" s="75"/>
      <c r="E435" s="43"/>
      <c r="F435" s="69"/>
      <c r="G435" s="43"/>
      <c r="H435" s="43"/>
      <c r="I435" s="43"/>
      <c r="J435" s="43"/>
      <c r="K435" s="43"/>
      <c r="L435" s="43"/>
      <c r="M435" s="43"/>
      <c r="N435" s="43"/>
      <c r="O435" s="43"/>
      <c r="P435" s="245"/>
      <c r="Q435" s="253"/>
      <c r="R435" s="253"/>
      <c r="S435" s="253"/>
      <c r="T435" s="43"/>
    </row>
    <row r="436" spans="1:20">
      <c r="A436" s="43"/>
      <c r="B436" s="44"/>
      <c r="C436" s="44"/>
      <c r="D436" s="75"/>
      <c r="E436" s="43"/>
      <c r="F436" s="69"/>
      <c r="G436" s="43"/>
      <c r="H436" s="43"/>
      <c r="I436" s="43"/>
      <c r="J436" s="43"/>
      <c r="K436" s="43"/>
      <c r="L436" s="43"/>
      <c r="M436" s="43"/>
      <c r="N436" s="43"/>
      <c r="O436" s="43"/>
      <c r="P436" s="245"/>
      <c r="Q436" s="253"/>
      <c r="R436" s="253"/>
      <c r="S436" s="253"/>
      <c r="T436" s="43"/>
    </row>
    <row r="437" spans="1:20">
      <c r="A437" s="43"/>
      <c r="B437" s="44"/>
      <c r="C437" s="44"/>
      <c r="D437" s="249"/>
      <c r="E437" s="44"/>
      <c r="F437" s="44"/>
      <c r="G437" s="43"/>
      <c r="H437" s="43"/>
      <c r="I437" s="43"/>
      <c r="J437" s="43"/>
      <c r="K437" s="43"/>
      <c r="L437" s="43"/>
      <c r="M437" s="43"/>
      <c r="N437" s="43"/>
      <c r="O437" s="43"/>
      <c r="P437" s="245"/>
      <c r="Q437" s="253"/>
      <c r="R437" s="253"/>
      <c r="S437" s="253"/>
      <c r="T437" s="43"/>
    </row>
    <row r="438" spans="1:20">
      <c r="A438" s="43"/>
      <c r="B438" s="44"/>
      <c r="C438" s="44"/>
      <c r="D438" s="44"/>
      <c r="E438" s="44"/>
      <c r="F438" s="44"/>
      <c r="G438" s="43"/>
      <c r="H438" s="43"/>
      <c r="I438" s="43"/>
      <c r="J438" s="43"/>
      <c r="K438" s="43"/>
      <c r="L438" s="43"/>
      <c r="M438" s="43"/>
      <c r="N438" s="43"/>
      <c r="O438" s="43"/>
      <c r="P438" s="245"/>
      <c r="Q438" s="253"/>
      <c r="R438" s="253"/>
      <c r="S438" s="253"/>
      <c r="T438" s="43"/>
    </row>
    <row r="439" spans="1:20">
      <c r="A439" s="332"/>
      <c r="B439" s="333"/>
      <c r="C439" s="333"/>
      <c r="D439" s="334"/>
      <c r="E439" s="333"/>
      <c r="F439" s="334"/>
      <c r="G439" s="332"/>
      <c r="H439" s="332"/>
      <c r="I439" s="332"/>
      <c r="J439" s="332"/>
      <c r="K439" s="332"/>
      <c r="L439" s="332"/>
      <c r="M439" s="332"/>
      <c r="N439" s="332"/>
      <c r="O439" s="332"/>
      <c r="P439" s="332"/>
      <c r="Q439" s="332"/>
      <c r="R439" s="332"/>
      <c r="S439" s="293"/>
      <c r="T439" s="332"/>
    </row>
    <row r="440" spans="1:20">
      <c r="A440" s="43"/>
      <c r="B440" s="44"/>
      <c r="C440" s="44"/>
      <c r="D440" s="249"/>
      <c r="E440" s="44"/>
      <c r="F440" s="44"/>
      <c r="G440" s="43"/>
      <c r="H440" s="43"/>
      <c r="I440" s="43"/>
      <c r="J440" s="43"/>
      <c r="K440" s="43"/>
      <c r="L440" s="43"/>
      <c r="M440" s="43"/>
      <c r="N440" s="43"/>
      <c r="O440" s="43"/>
      <c r="P440" s="245"/>
      <c r="Q440" s="253"/>
      <c r="R440" s="253"/>
      <c r="S440" s="253"/>
      <c r="T440" s="43"/>
    </row>
    <row r="441" spans="1:20">
      <c r="A441" s="43"/>
      <c r="B441" s="44"/>
      <c r="C441" s="44"/>
      <c r="D441" s="249"/>
      <c r="E441" s="44"/>
      <c r="F441" s="44"/>
      <c r="G441" s="43"/>
      <c r="H441" s="43"/>
      <c r="I441" s="43"/>
      <c r="J441" s="43"/>
      <c r="K441" s="43"/>
      <c r="L441" s="43"/>
      <c r="M441" s="43"/>
      <c r="N441" s="43"/>
      <c r="O441" s="43"/>
      <c r="P441" s="245"/>
      <c r="Q441" s="253"/>
      <c r="R441" s="253"/>
      <c r="S441" s="253"/>
      <c r="T441" s="43"/>
    </row>
    <row r="442" spans="1:20">
      <c r="A442" s="43"/>
      <c r="B442" s="44"/>
      <c r="C442" s="44"/>
      <c r="D442" s="249"/>
      <c r="E442" s="44"/>
      <c r="F442" s="44"/>
      <c r="G442" s="43"/>
      <c r="H442" s="43"/>
      <c r="I442" s="43"/>
      <c r="J442" s="43"/>
      <c r="K442" s="43"/>
      <c r="L442" s="43"/>
      <c r="M442" s="43"/>
      <c r="N442" s="43"/>
      <c r="O442" s="43"/>
      <c r="P442" s="245"/>
      <c r="Q442" s="253"/>
      <c r="R442" s="253"/>
      <c r="S442" s="253"/>
      <c r="T442" s="43"/>
    </row>
    <row r="443" spans="1:20">
      <c r="A443" s="43"/>
      <c r="B443" s="44"/>
      <c r="C443" s="44"/>
      <c r="D443" s="249"/>
      <c r="E443" s="44"/>
      <c r="F443" s="44"/>
      <c r="G443" s="43"/>
      <c r="H443" s="43"/>
      <c r="I443" s="43"/>
      <c r="J443" s="43"/>
      <c r="K443" s="43"/>
      <c r="L443" s="43"/>
      <c r="M443" s="43"/>
      <c r="N443" s="43"/>
      <c r="O443" s="43"/>
      <c r="P443" s="245"/>
      <c r="Q443" s="253"/>
      <c r="R443" s="253"/>
      <c r="S443" s="253"/>
      <c r="T443" s="43"/>
    </row>
    <row r="444" spans="1:20">
      <c r="A444" s="43"/>
      <c r="B444" s="44"/>
      <c r="C444" s="44"/>
      <c r="D444" s="249"/>
      <c r="E444" s="44"/>
      <c r="F444" s="44"/>
      <c r="G444" s="43"/>
      <c r="H444" s="43"/>
      <c r="I444" s="43"/>
      <c r="J444" s="43"/>
      <c r="K444" s="43"/>
      <c r="L444" s="43"/>
      <c r="M444" s="43"/>
      <c r="N444" s="43"/>
      <c r="O444" s="43"/>
      <c r="P444" s="245"/>
      <c r="Q444" s="253"/>
      <c r="R444" s="253"/>
      <c r="S444" s="253"/>
      <c r="T444" s="43"/>
    </row>
    <row r="445" spans="1:20">
      <c r="A445" s="43"/>
      <c r="B445" s="44"/>
      <c r="C445" s="44"/>
      <c r="D445" s="249"/>
      <c r="E445" s="44"/>
      <c r="F445" s="44"/>
      <c r="G445" s="43"/>
      <c r="H445" s="43"/>
      <c r="I445" s="43"/>
      <c r="J445" s="43"/>
      <c r="K445" s="43"/>
      <c r="L445" s="43"/>
      <c r="M445" s="43"/>
      <c r="N445" s="43"/>
      <c r="O445" s="43"/>
      <c r="P445" s="245"/>
      <c r="Q445" s="253"/>
      <c r="R445" s="253"/>
      <c r="S445" s="253"/>
      <c r="T445" s="43"/>
    </row>
    <row r="446" spans="1:20">
      <c r="A446" s="43"/>
      <c r="B446" s="43"/>
      <c r="C446" s="43"/>
      <c r="D446" s="75"/>
      <c r="E446" s="43"/>
      <c r="F446" s="43"/>
      <c r="G446" s="43"/>
      <c r="H446" s="43"/>
      <c r="I446" s="43"/>
      <c r="J446" s="43"/>
      <c r="K446" s="43"/>
      <c r="L446" s="43"/>
      <c r="M446" s="43"/>
      <c r="N446" s="43"/>
      <c r="O446" s="43"/>
      <c r="P446" s="245"/>
      <c r="Q446" s="253"/>
      <c r="R446" s="253"/>
      <c r="S446" s="253"/>
      <c r="T446" s="43"/>
    </row>
    <row r="447" spans="1:20">
      <c r="A447" s="43"/>
      <c r="B447" s="69"/>
      <c r="C447" s="69"/>
      <c r="D447" s="75"/>
      <c r="E447" s="43"/>
      <c r="F447" s="43"/>
      <c r="G447" s="43"/>
      <c r="H447" s="43"/>
      <c r="I447" s="43"/>
      <c r="J447" s="43"/>
      <c r="K447" s="43"/>
      <c r="L447" s="43"/>
      <c r="M447" s="43"/>
      <c r="N447" s="43"/>
      <c r="O447" s="43"/>
      <c r="P447" s="245"/>
      <c r="Q447" s="253"/>
      <c r="R447" s="253"/>
      <c r="S447" s="253"/>
      <c r="T447" s="43"/>
    </row>
    <row r="448" spans="1:20">
      <c r="A448" s="43"/>
      <c r="B448" s="69"/>
      <c r="C448" s="69"/>
      <c r="D448" s="75"/>
      <c r="E448" s="43"/>
      <c r="F448" s="43"/>
      <c r="G448" s="43"/>
      <c r="H448" s="43"/>
      <c r="I448" s="43"/>
      <c r="J448" s="43"/>
      <c r="K448" s="43"/>
      <c r="L448" s="43"/>
      <c r="M448" s="43"/>
      <c r="N448" s="43"/>
      <c r="O448" s="43"/>
      <c r="P448" s="245"/>
      <c r="Q448" s="253"/>
      <c r="R448" s="253"/>
      <c r="S448" s="253"/>
      <c r="T448" s="43"/>
    </row>
    <row r="449" spans="1:20">
      <c r="A449" s="43"/>
      <c r="B449" s="69"/>
      <c r="C449" s="69"/>
      <c r="D449" s="75"/>
      <c r="E449" s="43"/>
      <c r="F449" s="43"/>
      <c r="G449" s="43"/>
      <c r="H449" s="43"/>
      <c r="I449" s="43"/>
      <c r="J449" s="43"/>
      <c r="K449" s="43"/>
      <c r="L449" s="43"/>
      <c r="M449" s="43"/>
      <c r="N449" s="43"/>
      <c r="O449" s="43"/>
      <c r="P449" s="245"/>
      <c r="Q449" s="253"/>
      <c r="R449" s="253"/>
      <c r="S449" s="253"/>
      <c r="T449" s="43"/>
    </row>
    <row r="450" spans="1:20">
      <c r="A450" s="43"/>
      <c r="B450" s="69"/>
      <c r="C450" s="69"/>
      <c r="D450" s="75"/>
      <c r="E450" s="44"/>
      <c r="F450" s="44"/>
      <c r="G450" s="43"/>
      <c r="H450" s="43"/>
      <c r="I450" s="43"/>
      <c r="J450" s="43"/>
      <c r="K450" s="43"/>
      <c r="L450" s="43"/>
      <c r="M450" s="43"/>
      <c r="N450" s="43"/>
      <c r="O450" s="43"/>
      <c r="P450" s="245"/>
      <c r="Q450" s="253"/>
      <c r="R450" s="253"/>
      <c r="S450" s="253"/>
      <c r="T450" s="43"/>
    </row>
    <row r="451" spans="1:20">
      <c r="A451" s="43"/>
      <c r="B451" s="69"/>
      <c r="C451" s="69"/>
      <c r="D451" s="75"/>
      <c r="E451" s="44"/>
      <c r="F451" s="44"/>
      <c r="G451" s="43"/>
      <c r="H451" s="43"/>
      <c r="I451" s="43"/>
      <c r="J451" s="43"/>
      <c r="K451" s="43"/>
      <c r="L451" s="43"/>
      <c r="M451" s="43"/>
      <c r="N451" s="43"/>
      <c r="O451" s="43"/>
      <c r="P451" s="245"/>
      <c r="Q451" s="253"/>
      <c r="R451" s="253"/>
      <c r="S451" s="253"/>
      <c r="T451" s="43"/>
    </row>
    <row r="452" spans="1:20">
      <c r="A452" s="43"/>
      <c r="B452" s="69"/>
      <c r="C452" s="69"/>
      <c r="D452" s="75"/>
      <c r="E452" s="271"/>
      <c r="F452" s="44"/>
      <c r="G452" s="43"/>
      <c r="H452" s="43"/>
      <c r="I452" s="43"/>
      <c r="J452" s="43"/>
      <c r="K452" s="43"/>
      <c r="L452" s="43"/>
      <c r="M452" s="43"/>
      <c r="N452" s="43"/>
      <c r="O452" s="43"/>
      <c r="P452" s="245"/>
      <c r="Q452" s="253"/>
      <c r="R452" s="253"/>
      <c r="S452" s="253"/>
      <c r="T452" s="43"/>
    </row>
    <row r="453" spans="1:20">
      <c r="A453" s="43"/>
      <c r="B453" s="69"/>
      <c r="C453" s="69"/>
      <c r="D453" s="75"/>
      <c r="E453" s="271"/>
      <c r="F453" s="44"/>
      <c r="G453" s="43"/>
      <c r="H453" s="43"/>
      <c r="I453" s="43"/>
      <c r="J453" s="43"/>
      <c r="K453" s="43"/>
      <c r="L453" s="43"/>
      <c r="M453" s="43"/>
      <c r="N453" s="43"/>
      <c r="O453" s="43"/>
      <c r="P453" s="245"/>
      <c r="Q453" s="253"/>
      <c r="R453" s="253"/>
      <c r="S453" s="253"/>
      <c r="T453" s="43"/>
    </row>
    <row r="454" spans="1:20">
      <c r="A454" s="43"/>
      <c r="B454" s="69"/>
      <c r="C454" s="69"/>
      <c r="D454" s="75"/>
      <c r="E454" s="271"/>
      <c r="F454" s="44"/>
      <c r="G454" s="43"/>
      <c r="H454" s="43"/>
      <c r="I454" s="43"/>
      <c r="J454" s="43"/>
      <c r="K454" s="43"/>
      <c r="L454" s="43"/>
      <c r="M454" s="43"/>
      <c r="N454" s="43"/>
      <c r="O454" s="43"/>
      <c r="P454" s="245"/>
      <c r="Q454" s="253"/>
      <c r="R454" s="253"/>
      <c r="S454" s="253"/>
      <c r="T454" s="43"/>
    </row>
    <row r="455" spans="1:20">
      <c r="A455" s="43"/>
      <c r="B455" s="102"/>
      <c r="C455" s="102"/>
      <c r="D455" s="75"/>
      <c r="E455" s="271"/>
      <c r="F455" s="44"/>
      <c r="G455" s="43"/>
      <c r="H455" s="43"/>
      <c r="I455" s="43"/>
      <c r="J455" s="43"/>
      <c r="K455" s="43"/>
      <c r="L455" s="43"/>
      <c r="M455" s="43"/>
      <c r="N455" s="43"/>
      <c r="O455" s="43"/>
      <c r="P455" s="245"/>
      <c r="Q455" s="253"/>
      <c r="R455" s="253"/>
      <c r="S455" s="253"/>
      <c r="T455" s="43"/>
    </row>
    <row r="456" spans="1:20">
      <c r="A456" s="43"/>
      <c r="B456" s="69"/>
      <c r="C456" s="69"/>
      <c r="D456" s="249"/>
      <c r="E456" s="271"/>
      <c r="F456" s="44"/>
      <c r="G456" s="43"/>
      <c r="H456" s="43"/>
      <c r="I456" s="43"/>
      <c r="J456" s="43"/>
      <c r="K456" s="43"/>
      <c r="L456" s="43"/>
      <c r="M456" s="43"/>
      <c r="N456" s="43"/>
      <c r="O456" s="43"/>
      <c r="P456" s="245"/>
      <c r="Q456" s="253"/>
      <c r="R456" s="253"/>
      <c r="S456" s="253"/>
      <c r="T456" s="43"/>
    </row>
    <row r="457" spans="1:20">
      <c r="A457" s="43"/>
      <c r="B457" s="69"/>
      <c r="C457" s="69"/>
      <c r="D457" s="341"/>
      <c r="E457" s="271"/>
      <c r="F457" s="44"/>
      <c r="G457" s="43"/>
      <c r="H457" s="43"/>
      <c r="I457" s="43"/>
      <c r="J457" s="43"/>
      <c r="K457" s="43"/>
      <c r="L457" s="43"/>
      <c r="M457" s="43"/>
      <c r="N457" s="43"/>
      <c r="O457" s="43"/>
      <c r="P457" s="245"/>
      <c r="Q457" s="253"/>
      <c r="R457" s="253"/>
      <c r="S457" s="253"/>
      <c r="T457" s="43"/>
    </row>
    <row r="458" spans="1:20">
      <c r="A458" s="43"/>
      <c r="B458" s="69"/>
      <c r="C458" s="69"/>
      <c r="D458" s="341"/>
      <c r="E458" s="271"/>
      <c r="F458" s="44"/>
      <c r="G458" s="43"/>
      <c r="H458" s="43"/>
      <c r="I458" s="43"/>
      <c r="J458" s="43"/>
      <c r="K458" s="43"/>
      <c r="L458" s="43"/>
      <c r="M458" s="43"/>
      <c r="N458" s="43"/>
      <c r="O458" s="43"/>
      <c r="P458" s="245"/>
      <c r="Q458" s="253"/>
      <c r="R458" s="253"/>
      <c r="S458" s="253"/>
      <c r="T458" s="43"/>
    </row>
    <row r="459" spans="1:20">
      <c r="A459" s="43"/>
      <c r="B459" s="69"/>
      <c r="C459" s="69"/>
      <c r="D459" s="249"/>
      <c r="E459" s="271"/>
      <c r="F459" s="44"/>
      <c r="G459" s="43"/>
      <c r="H459" s="43"/>
      <c r="I459" s="43"/>
      <c r="J459" s="43"/>
      <c r="K459" s="43"/>
      <c r="L459" s="43"/>
      <c r="M459" s="43"/>
      <c r="N459" s="43"/>
      <c r="O459" s="43"/>
      <c r="P459" s="245"/>
      <c r="Q459" s="253"/>
      <c r="R459" s="253"/>
      <c r="S459" s="253"/>
      <c r="T459" s="43"/>
    </row>
    <row r="460" spans="1:20">
      <c r="A460" s="43"/>
      <c r="B460" s="102"/>
      <c r="C460" s="102"/>
      <c r="D460" s="249"/>
      <c r="E460" s="271"/>
      <c r="F460" s="44"/>
      <c r="G460" s="43"/>
      <c r="H460" s="43"/>
      <c r="I460" s="43"/>
      <c r="J460" s="43"/>
      <c r="K460" s="43"/>
      <c r="L460" s="43"/>
      <c r="M460" s="43"/>
      <c r="N460" s="43"/>
      <c r="O460" s="43"/>
      <c r="P460" s="245"/>
      <c r="Q460" s="253"/>
      <c r="R460" s="253"/>
      <c r="S460" s="253"/>
      <c r="T460" s="43"/>
    </row>
    <row r="461" spans="1:20">
      <c r="A461" s="43"/>
      <c r="B461" s="44"/>
      <c r="C461" s="44"/>
      <c r="D461" s="249"/>
      <c r="E461" s="69"/>
      <c r="F461" s="69"/>
      <c r="G461" s="43"/>
      <c r="H461" s="43"/>
      <c r="I461" s="43"/>
      <c r="J461" s="43"/>
      <c r="K461" s="43"/>
      <c r="L461" s="43"/>
      <c r="M461" s="43"/>
      <c r="N461" s="43"/>
      <c r="O461" s="43"/>
      <c r="P461" s="245"/>
      <c r="Q461" s="253"/>
      <c r="R461" s="253"/>
      <c r="S461" s="253"/>
      <c r="T461" s="43"/>
    </row>
    <row r="462" spans="1:20">
      <c r="A462" s="43"/>
      <c r="B462" s="44"/>
      <c r="C462" s="44"/>
      <c r="D462" s="249"/>
      <c r="E462" s="69"/>
      <c r="F462" s="69"/>
      <c r="G462" s="43"/>
      <c r="H462" s="43"/>
      <c r="I462" s="43"/>
      <c r="J462" s="43"/>
      <c r="K462" s="43"/>
      <c r="L462" s="43"/>
      <c r="M462" s="43"/>
      <c r="N462" s="43"/>
      <c r="O462" s="43"/>
      <c r="P462" s="245"/>
      <c r="Q462" s="253"/>
      <c r="R462" s="253"/>
      <c r="S462" s="253"/>
      <c r="T462" s="43"/>
    </row>
    <row r="463" spans="1:20">
      <c r="A463" s="43"/>
      <c r="B463" s="102"/>
      <c r="C463" s="102"/>
      <c r="D463" s="249"/>
      <c r="E463" s="271"/>
      <c r="F463" s="44"/>
      <c r="G463" s="43"/>
      <c r="H463" s="43"/>
      <c r="I463" s="43"/>
      <c r="J463" s="43"/>
      <c r="K463" s="43"/>
      <c r="L463" s="43"/>
      <c r="M463" s="43"/>
      <c r="N463" s="43"/>
      <c r="O463" s="43"/>
      <c r="P463" s="245"/>
      <c r="Q463" s="253"/>
      <c r="R463" s="253"/>
      <c r="S463" s="253"/>
      <c r="T463" s="43"/>
    </row>
    <row r="464" spans="1:20">
      <c r="A464" s="43"/>
      <c r="B464" s="69"/>
      <c r="C464" s="69"/>
      <c r="D464" s="249"/>
      <c r="E464" s="44"/>
      <c r="F464" s="44"/>
      <c r="G464" s="43"/>
      <c r="H464" s="43"/>
      <c r="I464" s="43"/>
      <c r="J464" s="43"/>
      <c r="K464" s="43"/>
      <c r="L464" s="43"/>
      <c r="M464" s="43"/>
      <c r="N464" s="43"/>
      <c r="O464" s="43"/>
      <c r="P464" s="245"/>
      <c r="Q464" s="253"/>
      <c r="R464" s="253"/>
      <c r="S464" s="253"/>
      <c r="T464" s="43"/>
    </row>
    <row r="465" spans="1:20">
      <c r="A465" s="43"/>
      <c r="B465" s="102"/>
      <c r="C465" s="102"/>
      <c r="D465" s="341"/>
      <c r="E465" s="44"/>
      <c r="F465" s="44"/>
      <c r="G465" s="43"/>
      <c r="H465" s="43"/>
      <c r="I465" s="43"/>
      <c r="J465" s="43"/>
      <c r="K465" s="43"/>
      <c r="L465" s="43"/>
      <c r="M465" s="43"/>
      <c r="N465" s="43"/>
      <c r="O465" s="43"/>
      <c r="P465" s="245"/>
      <c r="Q465" s="253"/>
      <c r="R465" s="253"/>
      <c r="S465" s="253"/>
      <c r="T465" s="43"/>
    </row>
    <row r="466" spans="1:20">
      <c r="A466" s="43"/>
      <c r="B466" s="102"/>
      <c r="C466" s="102"/>
      <c r="D466" s="249"/>
      <c r="E466" s="44"/>
      <c r="F466" s="44"/>
      <c r="G466" s="43"/>
      <c r="H466" s="43"/>
      <c r="I466" s="43"/>
      <c r="J466" s="43"/>
      <c r="K466" s="43"/>
      <c r="L466" s="43"/>
      <c r="M466" s="43"/>
      <c r="N466" s="43"/>
      <c r="O466" s="43"/>
      <c r="P466" s="245"/>
      <c r="Q466" s="253"/>
      <c r="R466" s="253"/>
      <c r="S466" s="253"/>
      <c r="T466" s="43"/>
    </row>
    <row r="467" spans="1:20">
      <c r="A467" s="43"/>
      <c r="B467" s="69"/>
      <c r="C467" s="69"/>
      <c r="D467" s="249"/>
      <c r="E467" s="44"/>
      <c r="F467" s="44"/>
      <c r="G467" s="43"/>
      <c r="H467" s="43"/>
      <c r="I467" s="43"/>
      <c r="J467" s="43"/>
      <c r="K467" s="43"/>
      <c r="L467" s="43"/>
      <c r="M467" s="43"/>
      <c r="N467" s="43"/>
      <c r="O467" s="43"/>
      <c r="P467" s="245"/>
      <c r="Q467" s="253"/>
      <c r="R467" s="253"/>
      <c r="S467" s="253"/>
      <c r="T467" s="43"/>
    </row>
    <row r="468" spans="1:20">
      <c r="A468" s="43"/>
      <c r="B468" s="69"/>
      <c r="C468" s="69"/>
      <c r="D468" s="249"/>
      <c r="E468" s="44"/>
      <c r="F468" s="69"/>
      <c r="G468" s="43"/>
      <c r="H468" s="43"/>
      <c r="I468" s="43"/>
      <c r="J468" s="43"/>
      <c r="K468" s="43"/>
      <c r="L468" s="43"/>
      <c r="M468" s="43"/>
      <c r="N468" s="43"/>
      <c r="O468" s="43"/>
      <c r="P468" s="245"/>
      <c r="Q468" s="253"/>
      <c r="R468" s="253"/>
      <c r="S468" s="253"/>
      <c r="T468" s="43"/>
    </row>
    <row r="469" spans="1:20">
      <c r="A469" s="43"/>
      <c r="B469" s="69"/>
      <c r="C469" s="69"/>
      <c r="D469" s="249"/>
      <c r="E469" s="44"/>
      <c r="F469" s="69"/>
      <c r="G469" s="43"/>
      <c r="H469" s="43"/>
      <c r="I469" s="43"/>
      <c r="J469" s="43"/>
      <c r="K469" s="43"/>
      <c r="L469" s="43"/>
      <c r="M469" s="43"/>
      <c r="N469" s="43"/>
      <c r="O469" s="43"/>
      <c r="P469" s="245"/>
      <c r="Q469" s="253"/>
      <c r="R469" s="253"/>
      <c r="S469" s="253"/>
      <c r="T469" s="43"/>
    </row>
    <row r="470" spans="1:20">
      <c r="A470" s="43"/>
      <c r="B470" s="102"/>
      <c r="C470" s="102"/>
      <c r="D470" s="341"/>
      <c r="E470" s="44"/>
      <c r="F470" s="44"/>
      <c r="G470" s="43"/>
      <c r="H470" s="43"/>
      <c r="I470" s="43"/>
      <c r="J470" s="43"/>
      <c r="K470" s="43"/>
      <c r="L470" s="43"/>
      <c r="M470" s="43"/>
      <c r="N470" s="43"/>
      <c r="O470" s="43"/>
      <c r="P470" s="245"/>
      <c r="Q470" s="253"/>
      <c r="R470" s="253"/>
      <c r="S470" s="253"/>
      <c r="T470" s="43"/>
    </row>
    <row r="471" spans="1:20">
      <c r="A471" s="43"/>
      <c r="B471" s="102"/>
      <c r="C471" s="102"/>
      <c r="D471" s="249"/>
      <c r="E471" s="44"/>
      <c r="F471" s="69"/>
      <c r="G471" s="43"/>
      <c r="H471" s="43"/>
      <c r="I471" s="43"/>
      <c r="J471" s="43"/>
      <c r="K471" s="43"/>
      <c r="L471" s="43"/>
      <c r="M471" s="43"/>
      <c r="N471" s="43"/>
      <c r="O471" s="43"/>
      <c r="P471" s="245"/>
      <c r="Q471" s="253"/>
      <c r="R471" s="253"/>
      <c r="S471" s="253"/>
      <c r="T471" s="43"/>
    </row>
    <row r="472" spans="1:20">
      <c r="A472" s="43"/>
      <c r="B472" s="44"/>
      <c r="C472" s="44"/>
      <c r="D472" s="44"/>
      <c r="E472" s="43"/>
      <c r="F472" s="43"/>
      <c r="G472" s="43"/>
      <c r="H472" s="43"/>
      <c r="I472" s="43"/>
      <c r="J472" s="43"/>
      <c r="K472" s="43"/>
      <c r="L472" s="43"/>
      <c r="M472" s="43"/>
      <c r="N472" s="43"/>
      <c r="O472" s="43"/>
      <c r="P472" s="245"/>
      <c r="Q472" s="253"/>
      <c r="R472" s="253"/>
      <c r="S472" s="253"/>
      <c r="T472" s="43"/>
    </row>
    <row r="473" spans="1:20">
      <c r="A473" s="43"/>
      <c r="B473" s="44"/>
      <c r="C473" s="44"/>
      <c r="D473" s="75"/>
      <c r="E473" s="43"/>
      <c r="F473" s="43"/>
      <c r="G473" s="43"/>
      <c r="H473" s="43"/>
      <c r="I473" s="43"/>
      <c r="J473" s="43"/>
      <c r="K473" s="43"/>
      <c r="L473" s="43"/>
      <c r="M473" s="43"/>
      <c r="N473" s="43"/>
      <c r="O473" s="43"/>
      <c r="P473" s="245"/>
      <c r="Q473" s="253"/>
      <c r="R473" s="253"/>
      <c r="S473" s="253"/>
      <c r="T473" s="43"/>
    </row>
    <row r="474" spans="1:20">
      <c r="A474" s="43"/>
      <c r="B474" s="44"/>
      <c r="C474" s="44"/>
      <c r="D474" s="75"/>
      <c r="E474" s="43"/>
      <c r="F474" s="43"/>
      <c r="G474" s="43"/>
      <c r="H474" s="43"/>
      <c r="I474" s="43"/>
      <c r="J474" s="43"/>
      <c r="K474" s="43"/>
      <c r="L474" s="43"/>
      <c r="M474" s="43"/>
      <c r="N474" s="43"/>
      <c r="O474" s="43"/>
      <c r="P474" s="245"/>
      <c r="Q474" s="253"/>
      <c r="R474" s="253"/>
      <c r="S474" s="253"/>
      <c r="T474" s="43"/>
    </row>
    <row r="475" spans="1:20">
      <c r="A475" s="43"/>
      <c r="B475" s="44"/>
      <c r="C475" s="44"/>
      <c r="D475" s="75"/>
      <c r="E475" s="43"/>
      <c r="F475" s="43"/>
      <c r="G475" s="43"/>
      <c r="H475" s="43"/>
      <c r="I475" s="43"/>
      <c r="J475" s="43"/>
      <c r="K475" s="43"/>
      <c r="L475" s="43"/>
      <c r="M475" s="43"/>
      <c r="N475" s="43"/>
      <c r="O475" s="43"/>
      <c r="P475" s="245"/>
      <c r="Q475" s="253"/>
      <c r="R475" s="253"/>
      <c r="S475" s="253"/>
      <c r="T475" s="43"/>
    </row>
    <row r="476" spans="1:20">
      <c r="A476" s="43"/>
      <c r="B476" s="44"/>
      <c r="C476" s="44"/>
      <c r="D476" s="75"/>
      <c r="E476" s="43"/>
      <c r="F476" s="43"/>
      <c r="G476" s="43"/>
      <c r="H476" s="43"/>
      <c r="I476" s="43"/>
      <c r="J476" s="43"/>
      <c r="K476" s="43"/>
      <c r="L476" s="43"/>
      <c r="M476" s="43"/>
      <c r="N476" s="43"/>
      <c r="O476" s="43"/>
      <c r="P476" s="245"/>
      <c r="Q476" s="253"/>
      <c r="R476" s="253"/>
      <c r="S476" s="253"/>
      <c r="T476" s="43"/>
    </row>
    <row r="477" spans="1:20">
      <c r="A477" s="43"/>
      <c r="B477" s="44"/>
      <c r="C477" s="44"/>
      <c r="D477" s="75"/>
      <c r="E477" s="43"/>
      <c r="F477" s="43"/>
      <c r="G477" s="43"/>
      <c r="H477" s="43"/>
      <c r="I477" s="43"/>
      <c r="J477" s="43"/>
      <c r="K477" s="43"/>
      <c r="L477" s="43"/>
      <c r="M477" s="43"/>
      <c r="N477" s="43"/>
      <c r="O477" s="43"/>
      <c r="P477" s="245"/>
      <c r="Q477" s="253"/>
      <c r="R477" s="253"/>
      <c r="S477" s="253"/>
      <c r="T477" s="43"/>
    </row>
    <row r="478" spans="1:20">
      <c r="A478" s="43"/>
      <c r="B478" s="44"/>
      <c r="C478" s="44"/>
      <c r="D478" s="75"/>
      <c r="E478" s="43"/>
      <c r="F478" s="43"/>
      <c r="G478" s="43"/>
      <c r="H478" s="43"/>
      <c r="I478" s="43"/>
      <c r="J478" s="43"/>
      <c r="K478" s="43"/>
      <c r="L478" s="43"/>
      <c r="M478" s="43"/>
      <c r="N478" s="43"/>
      <c r="O478" s="43"/>
      <c r="P478" s="245"/>
      <c r="Q478" s="253"/>
      <c r="R478" s="253"/>
      <c r="S478" s="253"/>
      <c r="T478" s="43"/>
    </row>
    <row r="479" spans="1:20">
      <c r="A479" s="43"/>
      <c r="B479" s="44"/>
      <c r="C479" s="44"/>
      <c r="D479" s="75"/>
      <c r="E479" s="43"/>
      <c r="F479" s="43"/>
      <c r="G479" s="43"/>
      <c r="H479" s="43"/>
      <c r="I479" s="43"/>
      <c r="J479" s="43"/>
      <c r="K479" s="43"/>
      <c r="L479" s="43"/>
      <c r="M479" s="43"/>
      <c r="N479" s="43"/>
      <c r="O479" s="43"/>
      <c r="P479" s="245"/>
      <c r="Q479" s="253"/>
      <c r="R479" s="253"/>
      <c r="S479" s="253"/>
      <c r="T479" s="43"/>
    </row>
    <row r="480" spans="1:20">
      <c r="A480" s="43"/>
      <c r="B480" s="44"/>
      <c r="C480" s="44"/>
      <c r="D480" s="75"/>
      <c r="E480" s="43"/>
      <c r="F480" s="43"/>
      <c r="G480" s="43"/>
      <c r="H480" s="43"/>
      <c r="I480" s="43"/>
      <c r="J480" s="43"/>
      <c r="K480" s="43"/>
      <c r="L480" s="43"/>
      <c r="M480" s="43"/>
      <c r="N480" s="43"/>
      <c r="O480" s="43"/>
      <c r="P480" s="245"/>
      <c r="Q480" s="253"/>
      <c r="R480" s="253"/>
      <c r="S480" s="253"/>
      <c r="T480" s="43"/>
    </row>
    <row r="481" spans="1:20">
      <c r="A481" s="43"/>
      <c r="B481" s="44"/>
      <c r="C481" s="44"/>
      <c r="D481" s="75"/>
      <c r="E481" s="43"/>
      <c r="F481" s="43"/>
      <c r="G481" s="43"/>
      <c r="H481" s="43"/>
      <c r="I481" s="43"/>
      <c r="J481" s="43"/>
      <c r="K481" s="43"/>
      <c r="L481" s="43"/>
      <c r="M481" s="43"/>
      <c r="N481" s="43"/>
      <c r="O481" s="43"/>
      <c r="P481" s="245"/>
      <c r="Q481" s="253"/>
      <c r="R481" s="253"/>
      <c r="S481" s="253"/>
      <c r="T481" s="43"/>
    </row>
    <row r="482" spans="1:20">
      <c r="A482" s="43"/>
      <c r="B482" s="44"/>
      <c r="C482" s="44"/>
      <c r="D482" s="44"/>
      <c r="E482" s="43"/>
      <c r="F482" s="43"/>
      <c r="G482" s="43"/>
      <c r="H482" s="43"/>
      <c r="I482" s="43"/>
      <c r="J482" s="43"/>
      <c r="K482" s="43"/>
      <c r="L482" s="43"/>
      <c r="M482" s="43"/>
      <c r="N482" s="43"/>
      <c r="O482" s="43"/>
      <c r="P482" s="245"/>
      <c r="Q482" s="253"/>
      <c r="R482" s="253"/>
      <c r="S482" s="253"/>
      <c r="T482" s="43"/>
    </row>
    <row r="483" spans="1:20">
      <c r="A483" s="43"/>
      <c r="B483" s="44"/>
      <c r="C483" s="44"/>
      <c r="D483" s="44"/>
      <c r="E483" s="43"/>
      <c r="F483" s="43"/>
      <c r="G483" s="43"/>
      <c r="H483" s="43"/>
      <c r="I483" s="43"/>
      <c r="J483" s="43"/>
      <c r="K483" s="43"/>
      <c r="L483" s="43"/>
      <c r="M483" s="43"/>
      <c r="N483" s="43"/>
      <c r="O483" s="43"/>
      <c r="P483" s="245"/>
      <c r="Q483" s="253"/>
      <c r="R483" s="253"/>
      <c r="S483" s="253"/>
      <c r="T483" s="43"/>
    </row>
    <row r="484" spans="1:20">
      <c r="A484" s="43"/>
      <c r="B484" s="44"/>
      <c r="C484" s="44"/>
      <c r="D484" s="44"/>
      <c r="E484" s="43"/>
      <c r="F484" s="43"/>
      <c r="G484" s="43"/>
      <c r="H484" s="43"/>
      <c r="I484" s="43"/>
      <c r="J484" s="43"/>
      <c r="K484" s="43"/>
      <c r="L484" s="43"/>
      <c r="M484" s="43"/>
      <c r="N484" s="43"/>
      <c r="O484" s="43"/>
      <c r="P484" s="245"/>
      <c r="Q484" s="253"/>
      <c r="R484" s="253"/>
      <c r="S484" s="253"/>
      <c r="T484" s="43"/>
    </row>
    <row r="485" spans="1:20">
      <c r="A485" s="43"/>
      <c r="B485" s="44"/>
      <c r="C485" s="44"/>
      <c r="D485" s="75"/>
      <c r="E485" s="43"/>
      <c r="F485" s="43"/>
      <c r="G485" s="43"/>
      <c r="H485" s="43"/>
      <c r="I485" s="43"/>
      <c r="J485" s="43"/>
      <c r="K485" s="43"/>
      <c r="L485" s="43"/>
      <c r="M485" s="43"/>
      <c r="N485" s="43"/>
      <c r="O485" s="43"/>
      <c r="P485" s="245"/>
      <c r="Q485" s="253"/>
      <c r="R485" s="253"/>
      <c r="S485" s="253"/>
      <c r="T485" s="43"/>
    </row>
    <row r="486" spans="1:20">
      <c r="A486" s="43"/>
      <c r="B486" s="44"/>
      <c r="C486" s="44"/>
      <c r="D486" s="75"/>
      <c r="E486" s="43"/>
      <c r="F486" s="43"/>
      <c r="G486" s="43"/>
      <c r="H486" s="43"/>
      <c r="I486" s="43"/>
      <c r="J486" s="43"/>
      <c r="K486" s="43"/>
      <c r="L486" s="43"/>
      <c r="M486" s="43"/>
      <c r="N486" s="43"/>
      <c r="O486" s="43"/>
      <c r="P486" s="245"/>
      <c r="Q486" s="253"/>
      <c r="R486" s="253"/>
      <c r="S486" s="253"/>
      <c r="T486" s="43"/>
    </row>
    <row r="487" spans="1:20">
      <c r="A487" s="43"/>
      <c r="B487" s="44"/>
      <c r="C487" s="44"/>
      <c r="D487" s="75"/>
      <c r="E487" s="43"/>
      <c r="F487" s="43"/>
      <c r="G487" s="43"/>
      <c r="H487" s="43"/>
      <c r="I487" s="43"/>
      <c r="J487" s="43"/>
      <c r="K487" s="43"/>
      <c r="L487" s="43"/>
      <c r="M487" s="43"/>
      <c r="N487" s="43"/>
      <c r="O487" s="43"/>
      <c r="P487" s="245"/>
      <c r="Q487" s="253"/>
      <c r="R487" s="253"/>
      <c r="S487" s="253"/>
      <c r="T487" s="43"/>
    </row>
    <row r="488" spans="1:20">
      <c r="A488" s="43"/>
      <c r="B488" s="44"/>
      <c r="C488" s="44"/>
      <c r="D488" s="75"/>
      <c r="E488" s="43"/>
      <c r="F488" s="43"/>
      <c r="G488" s="43"/>
      <c r="H488" s="43"/>
      <c r="I488" s="43"/>
      <c r="J488" s="43"/>
      <c r="K488" s="43"/>
      <c r="L488" s="43"/>
      <c r="M488" s="43"/>
      <c r="N488" s="43"/>
      <c r="O488" s="43"/>
      <c r="P488" s="245"/>
      <c r="Q488" s="253"/>
      <c r="R488" s="253"/>
      <c r="S488" s="253"/>
      <c r="T488" s="43"/>
    </row>
    <row r="489" spans="1:20">
      <c r="A489" s="43"/>
      <c r="B489" s="44"/>
      <c r="C489" s="44"/>
      <c r="D489" s="75"/>
      <c r="E489" s="43"/>
      <c r="F489" s="43"/>
      <c r="G489" s="43"/>
      <c r="H489" s="43"/>
      <c r="I489" s="43"/>
      <c r="J489" s="43"/>
      <c r="K489" s="43"/>
      <c r="L489" s="43"/>
      <c r="M489" s="43"/>
      <c r="N489" s="43"/>
      <c r="O489" s="43"/>
      <c r="P489" s="245"/>
      <c r="Q489" s="253"/>
      <c r="R489" s="253"/>
      <c r="S489" s="253"/>
      <c r="T489" s="43"/>
    </row>
    <row r="490" spans="1:20">
      <c r="A490" s="43"/>
      <c r="B490" s="44"/>
      <c r="C490" s="44"/>
      <c r="D490" s="75"/>
      <c r="E490" s="43"/>
      <c r="F490" s="43"/>
      <c r="G490" s="43"/>
      <c r="H490" s="43"/>
      <c r="I490" s="43"/>
      <c r="J490" s="43"/>
      <c r="K490" s="43"/>
      <c r="L490" s="43"/>
      <c r="M490" s="43"/>
      <c r="N490" s="43"/>
      <c r="O490" s="43"/>
      <c r="P490" s="245"/>
      <c r="Q490" s="253"/>
      <c r="R490" s="253"/>
      <c r="S490" s="253"/>
      <c r="T490" s="43"/>
    </row>
    <row r="491" spans="1:20">
      <c r="A491" s="43"/>
      <c r="B491" s="44"/>
      <c r="C491" s="44"/>
      <c r="D491" s="75"/>
      <c r="E491" s="43"/>
      <c r="F491" s="43"/>
      <c r="G491" s="43"/>
      <c r="H491" s="43"/>
      <c r="I491" s="43"/>
      <c r="J491" s="43"/>
      <c r="K491" s="43"/>
      <c r="L491" s="43"/>
      <c r="M491" s="43"/>
      <c r="N491" s="43"/>
      <c r="O491" s="43"/>
      <c r="P491" s="245"/>
      <c r="Q491" s="253"/>
      <c r="R491" s="253"/>
      <c r="S491" s="253"/>
      <c r="T491" s="43"/>
    </row>
    <row r="492" spans="1:20">
      <c r="A492" s="43"/>
      <c r="B492" s="44"/>
      <c r="C492" s="44"/>
      <c r="D492" s="75"/>
      <c r="E492" s="43"/>
      <c r="F492" s="43"/>
      <c r="G492" s="43"/>
      <c r="H492" s="43"/>
      <c r="I492" s="43"/>
      <c r="J492" s="43"/>
      <c r="K492" s="43"/>
      <c r="L492" s="43"/>
      <c r="M492" s="43"/>
      <c r="N492" s="43"/>
      <c r="O492" s="43"/>
      <c r="P492" s="245"/>
      <c r="Q492" s="253"/>
      <c r="R492" s="253"/>
      <c r="S492" s="253"/>
      <c r="T492" s="43"/>
    </row>
    <row r="493" spans="1:20">
      <c r="A493" s="43"/>
      <c r="B493" s="44"/>
      <c r="C493" s="44"/>
      <c r="D493" s="75"/>
      <c r="E493" s="43"/>
      <c r="F493" s="43"/>
      <c r="G493" s="43"/>
      <c r="H493" s="43"/>
      <c r="I493" s="43"/>
      <c r="J493" s="43"/>
      <c r="K493" s="43"/>
      <c r="L493" s="43"/>
      <c r="M493" s="43"/>
      <c r="N493" s="43"/>
      <c r="O493" s="43"/>
      <c r="P493" s="245"/>
      <c r="Q493" s="253"/>
      <c r="R493" s="253"/>
      <c r="S493" s="253"/>
      <c r="T493" s="43"/>
    </row>
    <row r="494" spans="1:20">
      <c r="A494" s="43"/>
      <c r="B494" s="44"/>
      <c r="C494" s="44"/>
      <c r="D494" s="75"/>
      <c r="E494" s="43"/>
      <c r="F494" s="43"/>
      <c r="G494" s="43"/>
      <c r="H494" s="43"/>
      <c r="I494" s="43"/>
      <c r="J494" s="43"/>
      <c r="K494" s="43"/>
      <c r="L494" s="43"/>
      <c r="M494" s="43"/>
      <c r="N494" s="43"/>
      <c r="O494" s="43"/>
      <c r="P494" s="245"/>
      <c r="Q494" s="253"/>
      <c r="R494" s="253"/>
      <c r="S494" s="253"/>
      <c r="T494" s="43"/>
    </row>
    <row r="495" spans="1:20">
      <c r="A495" s="43"/>
      <c r="B495" s="44"/>
      <c r="C495" s="44"/>
      <c r="D495" s="75"/>
      <c r="E495" s="43"/>
      <c r="F495" s="43"/>
      <c r="G495" s="43"/>
      <c r="H495" s="43"/>
      <c r="I495" s="43"/>
      <c r="J495" s="43"/>
      <c r="K495" s="43"/>
      <c r="L495" s="43"/>
      <c r="M495" s="43"/>
      <c r="N495" s="43"/>
      <c r="O495" s="43"/>
      <c r="P495" s="245"/>
      <c r="Q495" s="253"/>
      <c r="R495" s="253"/>
      <c r="S495" s="253"/>
      <c r="T495" s="43"/>
    </row>
    <row r="496" spans="1:20">
      <c r="A496" s="43"/>
      <c r="B496" s="44"/>
      <c r="C496" s="44"/>
      <c r="D496" s="75"/>
      <c r="E496" s="43"/>
      <c r="F496" s="43"/>
      <c r="G496" s="43"/>
      <c r="H496" s="43"/>
      <c r="I496" s="43"/>
      <c r="J496" s="43"/>
      <c r="K496" s="43"/>
      <c r="L496" s="43"/>
      <c r="M496" s="43"/>
      <c r="N496" s="43"/>
      <c r="O496" s="43"/>
      <c r="P496" s="245"/>
      <c r="Q496" s="253"/>
      <c r="R496" s="253"/>
      <c r="S496" s="253"/>
      <c r="T496" s="43"/>
    </row>
    <row r="497" spans="1:20">
      <c r="A497" s="43"/>
      <c r="B497" s="44"/>
      <c r="C497" s="44"/>
      <c r="D497" s="75"/>
      <c r="E497" s="43"/>
      <c r="F497" s="43"/>
      <c r="G497" s="43"/>
      <c r="H497" s="43"/>
      <c r="I497" s="43"/>
      <c r="J497" s="43"/>
      <c r="K497" s="43"/>
      <c r="L497" s="43"/>
      <c r="M497" s="43"/>
      <c r="N497" s="43"/>
      <c r="O497" s="43"/>
      <c r="P497" s="245"/>
      <c r="Q497" s="253"/>
      <c r="R497" s="253"/>
      <c r="S497" s="253"/>
      <c r="T497" s="43"/>
    </row>
    <row r="498" spans="1:20">
      <c r="A498" s="43"/>
      <c r="B498" s="44"/>
      <c r="C498" s="44"/>
      <c r="D498" s="75"/>
      <c r="E498" s="43"/>
      <c r="F498" s="43"/>
      <c r="G498" s="43"/>
      <c r="H498" s="43"/>
      <c r="I498" s="43"/>
      <c r="J498" s="43"/>
      <c r="K498" s="43"/>
      <c r="L498" s="43"/>
      <c r="M498" s="43"/>
      <c r="N498" s="43"/>
      <c r="O498" s="43"/>
      <c r="P498" s="245"/>
      <c r="Q498" s="253"/>
      <c r="R498" s="253"/>
      <c r="S498" s="253"/>
      <c r="T498" s="43"/>
    </row>
    <row r="499" spans="1:20">
      <c r="A499" s="43"/>
      <c r="B499" s="44"/>
      <c r="C499" s="44"/>
      <c r="D499" s="44"/>
      <c r="E499" s="43"/>
      <c r="F499" s="43"/>
      <c r="G499" s="43"/>
      <c r="H499" s="43"/>
      <c r="I499" s="43"/>
      <c r="J499" s="43"/>
      <c r="K499" s="43"/>
      <c r="L499" s="43"/>
      <c r="M499" s="43"/>
      <c r="N499" s="43"/>
      <c r="O499" s="43"/>
      <c r="P499" s="245"/>
      <c r="Q499" s="253"/>
      <c r="R499" s="253"/>
      <c r="S499" s="253"/>
      <c r="T499" s="43"/>
    </row>
    <row r="500" spans="1:20">
      <c r="A500" s="43"/>
      <c r="B500" s="44"/>
      <c r="C500" s="44"/>
      <c r="D500" s="75"/>
      <c r="E500" s="43"/>
      <c r="F500" s="43"/>
      <c r="G500" s="43"/>
      <c r="H500" s="43"/>
      <c r="I500" s="43"/>
      <c r="J500" s="43"/>
      <c r="K500" s="43"/>
      <c r="L500" s="43"/>
      <c r="M500" s="43"/>
      <c r="N500" s="43"/>
      <c r="O500" s="43"/>
      <c r="P500" s="245"/>
      <c r="Q500" s="253"/>
      <c r="R500" s="253"/>
      <c r="S500" s="253"/>
      <c r="T500" s="43"/>
    </row>
    <row r="501" spans="1:20">
      <c r="A501" s="43"/>
      <c r="B501" s="44"/>
      <c r="C501" s="44"/>
      <c r="D501" s="75"/>
      <c r="E501" s="43"/>
      <c r="F501" s="43"/>
      <c r="G501" s="43"/>
      <c r="H501" s="43"/>
      <c r="I501" s="43"/>
      <c r="J501" s="43"/>
      <c r="K501" s="43"/>
      <c r="L501" s="43"/>
      <c r="M501" s="43"/>
      <c r="N501" s="43"/>
      <c r="O501" s="43"/>
      <c r="P501" s="245"/>
      <c r="Q501" s="253"/>
      <c r="R501" s="253"/>
      <c r="S501" s="253"/>
      <c r="T501" s="43"/>
    </row>
    <row r="502" spans="1:20">
      <c r="A502" s="43"/>
      <c r="B502" s="44"/>
      <c r="C502" s="44"/>
      <c r="D502" s="75"/>
      <c r="E502" s="43"/>
      <c r="F502" s="43"/>
      <c r="G502" s="43"/>
      <c r="H502" s="43"/>
      <c r="I502" s="43"/>
      <c r="J502" s="43"/>
      <c r="K502" s="43"/>
      <c r="L502" s="43"/>
      <c r="M502" s="43"/>
      <c r="N502" s="43"/>
      <c r="O502" s="43"/>
      <c r="P502" s="245"/>
      <c r="Q502" s="253"/>
      <c r="R502" s="253"/>
      <c r="S502" s="253"/>
      <c r="T502" s="43"/>
    </row>
    <row r="503" spans="1:20">
      <c r="A503" s="43"/>
      <c r="B503" s="44"/>
      <c r="C503" s="44"/>
      <c r="D503" s="75"/>
      <c r="E503" s="43"/>
      <c r="F503" s="43"/>
      <c r="G503" s="43"/>
      <c r="H503" s="43"/>
      <c r="I503" s="43"/>
      <c r="J503" s="43"/>
      <c r="K503" s="43"/>
      <c r="L503" s="43"/>
      <c r="M503" s="43"/>
      <c r="N503" s="43"/>
      <c r="O503" s="43"/>
      <c r="P503" s="245"/>
      <c r="Q503" s="253"/>
      <c r="R503" s="253"/>
      <c r="S503" s="253"/>
      <c r="T503" s="43"/>
    </row>
    <row r="504" spans="1:20">
      <c r="A504" s="43"/>
      <c r="B504" s="44"/>
      <c r="C504" s="44"/>
      <c r="D504" s="44"/>
      <c r="E504" s="43"/>
      <c r="F504" s="43"/>
      <c r="G504" s="43"/>
      <c r="H504" s="43"/>
      <c r="I504" s="43"/>
      <c r="J504" s="43"/>
      <c r="K504" s="43"/>
      <c r="L504" s="43"/>
      <c r="M504" s="43"/>
      <c r="N504" s="43"/>
      <c r="O504" s="43"/>
      <c r="P504" s="245"/>
      <c r="Q504" s="253"/>
      <c r="R504" s="253"/>
      <c r="S504" s="253"/>
      <c r="T504" s="43"/>
    </row>
    <row r="505" spans="1:20">
      <c r="A505" s="43"/>
      <c r="B505" s="44"/>
      <c r="C505" s="44"/>
      <c r="D505" s="75"/>
      <c r="E505" s="43"/>
      <c r="F505" s="43"/>
      <c r="G505" s="43"/>
      <c r="H505" s="43"/>
      <c r="I505" s="43"/>
      <c r="J505" s="43"/>
      <c r="K505" s="43"/>
      <c r="L505" s="43"/>
      <c r="M505" s="43"/>
      <c r="N505" s="43"/>
      <c r="O505" s="43"/>
      <c r="P505" s="245"/>
      <c r="Q505" s="253"/>
      <c r="R505" s="253"/>
      <c r="S505" s="253"/>
      <c r="T505" s="43"/>
    </row>
    <row r="506" spans="1:20">
      <c r="A506" s="43"/>
      <c r="B506" s="44"/>
      <c r="C506" s="44"/>
      <c r="D506" s="75"/>
      <c r="E506" s="43"/>
      <c r="F506" s="43"/>
      <c r="G506" s="43"/>
      <c r="H506" s="43"/>
      <c r="I506" s="43"/>
      <c r="J506" s="43"/>
      <c r="K506" s="43"/>
      <c r="L506" s="43"/>
      <c r="M506" s="43"/>
      <c r="N506" s="43"/>
      <c r="O506" s="43"/>
      <c r="P506" s="245"/>
      <c r="Q506" s="253"/>
      <c r="R506" s="253"/>
      <c r="S506" s="253"/>
      <c r="T506" s="43"/>
    </row>
    <row r="507" spans="1:20">
      <c r="A507" s="43"/>
      <c r="B507" s="44"/>
      <c r="C507" s="44"/>
      <c r="D507" s="75"/>
      <c r="E507" s="43"/>
      <c r="F507" s="43"/>
      <c r="G507" s="43"/>
      <c r="H507" s="43"/>
      <c r="I507" s="43"/>
      <c r="J507" s="43"/>
      <c r="K507" s="43"/>
      <c r="L507" s="43"/>
      <c r="M507" s="43"/>
      <c r="N507" s="43"/>
      <c r="O507" s="43"/>
      <c r="P507" s="245"/>
      <c r="Q507" s="253"/>
      <c r="R507" s="253"/>
      <c r="S507" s="253"/>
      <c r="T507" s="43"/>
    </row>
    <row r="508" spans="1:20">
      <c r="A508" s="43"/>
      <c r="B508" s="44"/>
      <c r="C508" s="44"/>
      <c r="D508" s="75"/>
      <c r="E508" s="43"/>
      <c r="F508" s="43"/>
      <c r="G508" s="43"/>
      <c r="H508" s="43"/>
      <c r="I508" s="43"/>
      <c r="J508" s="43"/>
      <c r="K508" s="43"/>
      <c r="L508" s="43"/>
      <c r="M508" s="43"/>
      <c r="N508" s="43"/>
      <c r="O508" s="43"/>
      <c r="P508" s="245"/>
      <c r="Q508" s="253"/>
      <c r="R508" s="253"/>
      <c r="S508" s="253"/>
      <c r="T508" s="43"/>
    </row>
    <row r="509" spans="1:20">
      <c r="A509" s="43"/>
      <c r="B509" s="44"/>
      <c r="C509" s="44"/>
      <c r="D509" s="75"/>
      <c r="E509" s="43"/>
      <c r="F509" s="43"/>
      <c r="G509" s="43"/>
      <c r="H509" s="43"/>
      <c r="I509" s="43"/>
      <c r="J509" s="43"/>
      <c r="K509" s="43"/>
      <c r="L509" s="43"/>
      <c r="M509" s="43"/>
      <c r="N509" s="43"/>
      <c r="O509" s="43"/>
      <c r="P509" s="245"/>
      <c r="Q509" s="253"/>
      <c r="R509" s="253"/>
      <c r="S509" s="253"/>
      <c r="T509" s="43"/>
    </row>
    <row r="510" spans="1:20">
      <c r="A510" s="43"/>
      <c r="B510" s="44"/>
      <c r="C510" s="44"/>
      <c r="D510" s="75"/>
      <c r="E510" s="43"/>
      <c r="F510" s="43"/>
      <c r="G510" s="43"/>
      <c r="H510" s="43"/>
      <c r="I510" s="43"/>
      <c r="J510" s="43"/>
      <c r="K510" s="43"/>
      <c r="L510" s="43"/>
      <c r="M510" s="43"/>
      <c r="N510" s="43"/>
      <c r="O510" s="43"/>
      <c r="P510" s="245"/>
      <c r="Q510" s="253"/>
      <c r="R510" s="253"/>
      <c r="S510" s="253"/>
      <c r="T510" s="43"/>
    </row>
    <row r="511" spans="1:20">
      <c r="A511" s="43"/>
      <c r="B511" s="69"/>
      <c r="C511" s="69"/>
      <c r="D511" s="75"/>
      <c r="E511" s="44"/>
      <c r="F511" s="44"/>
      <c r="G511" s="43"/>
      <c r="H511" s="43"/>
      <c r="I511" s="43"/>
      <c r="J511" s="43"/>
      <c r="K511" s="43"/>
      <c r="L511" s="43"/>
      <c r="M511" s="43"/>
      <c r="N511" s="43"/>
      <c r="O511" s="43"/>
      <c r="P511" s="245"/>
      <c r="Q511" s="253"/>
      <c r="R511" s="253"/>
      <c r="S511" s="253"/>
      <c r="T511" s="43"/>
    </row>
    <row r="512" spans="1:20">
      <c r="A512" s="43"/>
      <c r="B512" s="69"/>
      <c r="C512" s="69"/>
      <c r="D512" s="75"/>
      <c r="E512" s="44"/>
      <c r="F512" s="44"/>
      <c r="G512" s="43"/>
      <c r="H512" s="43"/>
      <c r="I512" s="43"/>
      <c r="J512" s="43"/>
      <c r="K512" s="43"/>
      <c r="L512" s="43"/>
      <c r="M512" s="43"/>
      <c r="N512" s="43"/>
      <c r="O512" s="43"/>
      <c r="P512" s="245"/>
      <c r="Q512" s="253"/>
      <c r="R512" s="253"/>
      <c r="S512" s="253"/>
      <c r="T512" s="43"/>
    </row>
    <row r="513" spans="1:20">
      <c r="A513" s="43"/>
      <c r="B513" s="44"/>
      <c r="C513" s="44"/>
      <c r="D513" s="75"/>
      <c r="E513" s="43"/>
      <c r="F513" s="43"/>
      <c r="G513" s="43"/>
      <c r="H513" s="43"/>
      <c r="I513" s="43"/>
      <c r="J513" s="43"/>
      <c r="K513" s="43"/>
      <c r="L513" s="43"/>
      <c r="M513" s="43"/>
      <c r="N513" s="43"/>
      <c r="O513" s="43"/>
      <c r="P513" s="245"/>
      <c r="Q513" s="253"/>
      <c r="R513" s="253"/>
      <c r="S513" s="253"/>
      <c r="T513" s="43"/>
    </row>
    <row r="514" spans="1:20">
      <c r="A514" s="43"/>
      <c r="B514" s="44"/>
      <c r="C514" s="44"/>
      <c r="D514" s="75"/>
      <c r="E514" s="43"/>
      <c r="F514" s="43"/>
      <c r="G514" s="43"/>
      <c r="H514" s="43"/>
      <c r="I514" s="43"/>
      <c r="J514" s="43"/>
      <c r="K514" s="43"/>
      <c r="L514" s="43"/>
      <c r="M514" s="43"/>
      <c r="N514" s="43"/>
      <c r="O514" s="43"/>
      <c r="P514" s="245"/>
      <c r="Q514" s="253"/>
      <c r="R514" s="253"/>
      <c r="S514" s="253"/>
      <c r="T514" s="43"/>
    </row>
    <row r="515" spans="1:20">
      <c r="A515" s="43"/>
      <c r="B515" s="44"/>
      <c r="C515" s="44"/>
      <c r="D515" s="249"/>
      <c r="E515" s="44"/>
      <c r="F515" s="44"/>
      <c r="G515" s="43"/>
      <c r="H515" s="43"/>
      <c r="I515" s="43"/>
      <c r="J515" s="43"/>
      <c r="K515" s="43"/>
      <c r="L515" s="43"/>
      <c r="M515" s="43"/>
      <c r="N515" s="43"/>
      <c r="O515" s="43"/>
      <c r="P515" s="245"/>
      <c r="Q515" s="253"/>
      <c r="R515" s="253"/>
      <c r="S515" s="253"/>
      <c r="T515" s="43"/>
    </row>
    <row r="516" spans="1:20">
      <c r="A516" s="43"/>
      <c r="B516" s="44"/>
      <c r="C516" s="44"/>
      <c r="D516" s="249"/>
      <c r="E516" s="44"/>
      <c r="F516" s="44"/>
      <c r="G516" s="43"/>
      <c r="H516" s="43"/>
      <c r="I516" s="43"/>
      <c r="J516" s="43"/>
      <c r="K516" s="43"/>
      <c r="L516" s="43"/>
      <c r="M516" s="43"/>
      <c r="N516" s="43"/>
      <c r="O516" s="43"/>
      <c r="P516" s="245"/>
      <c r="Q516" s="253"/>
      <c r="R516" s="253"/>
      <c r="S516" s="253"/>
      <c r="T516" s="43"/>
    </row>
    <row r="517" spans="1:20">
      <c r="A517" s="43"/>
      <c r="B517" s="44"/>
      <c r="C517" s="44"/>
      <c r="D517" s="249"/>
      <c r="E517" s="44"/>
      <c r="F517" s="44"/>
      <c r="G517" s="43"/>
      <c r="H517" s="43"/>
      <c r="I517" s="43"/>
      <c r="J517" s="43"/>
      <c r="K517" s="43"/>
      <c r="L517" s="43"/>
      <c r="M517" s="43"/>
      <c r="N517" s="43"/>
      <c r="O517" s="43"/>
      <c r="P517" s="245"/>
      <c r="Q517" s="253"/>
      <c r="R517" s="253"/>
      <c r="S517" s="253"/>
      <c r="T517" s="43"/>
    </row>
    <row r="518" spans="1:20">
      <c r="A518" s="43"/>
      <c r="B518" s="44"/>
      <c r="C518" s="44"/>
      <c r="D518" s="249"/>
      <c r="E518" s="44"/>
      <c r="F518" s="44"/>
      <c r="G518" s="43"/>
      <c r="H518" s="43"/>
      <c r="I518" s="43"/>
      <c r="J518" s="43"/>
      <c r="K518" s="43"/>
      <c r="L518" s="43"/>
      <c r="M518" s="43"/>
      <c r="N518" s="43"/>
      <c r="O518" s="43"/>
      <c r="P518" s="245"/>
      <c r="Q518" s="253"/>
      <c r="R518" s="253"/>
      <c r="S518" s="253"/>
      <c r="T518" s="43"/>
    </row>
    <row r="519" spans="1:20">
      <c r="A519" s="43"/>
      <c r="B519" s="44"/>
      <c r="C519" s="44"/>
      <c r="D519" s="249"/>
      <c r="E519" s="44"/>
      <c r="F519" s="44"/>
      <c r="G519" s="43"/>
      <c r="H519" s="43"/>
      <c r="I519" s="43"/>
      <c r="J519" s="43"/>
      <c r="K519" s="43"/>
      <c r="L519" s="43"/>
      <c r="M519" s="43"/>
      <c r="N519" s="43"/>
      <c r="O519" s="43"/>
      <c r="P519" s="245"/>
      <c r="Q519" s="253"/>
      <c r="R519" s="253"/>
      <c r="S519" s="253"/>
      <c r="T519" s="43"/>
    </row>
    <row r="520" spans="1:20">
      <c r="A520" s="43"/>
      <c r="B520" s="44"/>
      <c r="C520" s="44"/>
      <c r="D520" s="75"/>
      <c r="E520" s="43"/>
      <c r="F520" s="69"/>
      <c r="G520" s="43"/>
      <c r="H520" s="43"/>
      <c r="I520" s="43"/>
      <c r="J520" s="43"/>
      <c r="K520" s="43"/>
      <c r="L520" s="43"/>
      <c r="M520" s="43"/>
      <c r="N520" s="43"/>
      <c r="O520" s="43"/>
      <c r="P520" s="245"/>
      <c r="Q520" s="253"/>
      <c r="R520" s="253"/>
      <c r="S520" s="253"/>
      <c r="T520" s="43"/>
    </row>
    <row r="521" spans="1:20">
      <c r="A521" s="43"/>
      <c r="B521" s="44"/>
      <c r="C521" s="44"/>
      <c r="D521" s="75"/>
      <c r="E521" s="43"/>
      <c r="F521" s="69"/>
      <c r="G521" s="43"/>
      <c r="H521" s="43"/>
      <c r="I521" s="43"/>
      <c r="J521" s="43"/>
      <c r="K521" s="43"/>
      <c r="L521" s="43"/>
      <c r="M521" s="43"/>
      <c r="N521" s="43"/>
      <c r="O521" s="43"/>
      <c r="P521" s="245"/>
      <c r="Q521" s="253"/>
      <c r="R521" s="253"/>
      <c r="S521" s="253"/>
      <c r="T521" s="43"/>
    </row>
    <row r="522" spans="1:20">
      <c r="A522" s="43"/>
      <c r="B522" s="44"/>
      <c r="C522" s="44"/>
      <c r="D522" s="75"/>
      <c r="E522" s="43"/>
      <c r="F522" s="69"/>
      <c r="G522" s="43"/>
      <c r="H522" s="43"/>
      <c r="I522" s="43"/>
      <c r="J522" s="43"/>
      <c r="K522" s="43"/>
      <c r="L522" s="43"/>
      <c r="M522" s="43"/>
      <c r="N522" s="43"/>
      <c r="O522" s="43"/>
      <c r="P522" s="245"/>
      <c r="Q522" s="253"/>
      <c r="R522" s="253"/>
      <c r="S522" s="253"/>
      <c r="T522" s="43"/>
    </row>
    <row r="523" spans="1:20">
      <c r="A523" s="43"/>
      <c r="B523" s="44"/>
      <c r="C523" s="44"/>
      <c r="D523" s="75"/>
      <c r="E523" s="43"/>
      <c r="F523" s="69"/>
      <c r="G523" s="43"/>
      <c r="H523" s="43"/>
      <c r="I523" s="43"/>
      <c r="J523" s="43"/>
      <c r="K523" s="43"/>
      <c r="L523" s="43"/>
      <c r="M523" s="43"/>
      <c r="N523" s="43"/>
      <c r="O523" s="43"/>
      <c r="P523" s="245"/>
      <c r="Q523" s="253"/>
      <c r="R523" s="253"/>
      <c r="S523" s="253"/>
      <c r="T523" s="43"/>
    </row>
    <row r="524" spans="1:20">
      <c r="A524" s="43"/>
      <c r="B524" s="44"/>
      <c r="C524" s="44"/>
      <c r="D524" s="75"/>
      <c r="E524" s="43"/>
      <c r="F524" s="69"/>
      <c r="G524" s="43"/>
      <c r="H524" s="43"/>
      <c r="I524" s="43"/>
      <c r="J524" s="43"/>
      <c r="K524" s="43"/>
      <c r="L524" s="43"/>
      <c r="M524" s="43"/>
      <c r="N524" s="43"/>
      <c r="O524" s="43"/>
      <c r="P524" s="245"/>
      <c r="Q524" s="253"/>
      <c r="R524" s="253"/>
      <c r="S524" s="253"/>
      <c r="T524" s="43"/>
    </row>
    <row r="525" spans="1:20">
      <c r="A525" s="43"/>
      <c r="B525" s="44"/>
      <c r="C525" s="44"/>
      <c r="D525" s="249"/>
      <c r="E525" s="44"/>
      <c r="F525" s="44"/>
      <c r="G525" s="43"/>
      <c r="H525" s="43"/>
      <c r="I525" s="43"/>
      <c r="J525" s="43"/>
      <c r="K525" s="43"/>
      <c r="L525" s="43"/>
      <c r="M525" s="43"/>
      <c r="N525" s="43"/>
      <c r="O525" s="43"/>
      <c r="P525" s="245"/>
      <c r="Q525" s="253"/>
      <c r="R525" s="253"/>
      <c r="S525" s="253"/>
      <c r="T525" s="43"/>
    </row>
    <row r="526" spans="1:20">
      <c r="A526" s="43"/>
      <c r="B526" s="44"/>
      <c r="C526" s="44"/>
      <c r="D526" s="44"/>
      <c r="E526" s="44"/>
      <c r="F526" s="44"/>
      <c r="G526" s="43"/>
      <c r="H526" s="43"/>
      <c r="I526" s="43"/>
      <c r="J526" s="43"/>
      <c r="K526" s="43"/>
      <c r="L526" s="43"/>
      <c r="M526" s="43"/>
      <c r="N526" s="43"/>
      <c r="O526" s="43"/>
      <c r="P526" s="245"/>
      <c r="Q526" s="253"/>
      <c r="R526" s="253"/>
      <c r="S526" s="253"/>
      <c r="T526" s="43"/>
    </row>
    <row r="527" spans="1:20">
      <c r="A527" s="332"/>
      <c r="B527" s="333"/>
      <c r="C527" s="333"/>
      <c r="D527" s="334"/>
      <c r="E527" s="333"/>
      <c r="F527" s="334"/>
      <c r="G527" s="332"/>
      <c r="H527" s="332"/>
      <c r="I527" s="332"/>
      <c r="J527" s="332"/>
      <c r="K527" s="332"/>
      <c r="L527" s="332"/>
      <c r="M527" s="332"/>
      <c r="N527" s="332"/>
      <c r="O527" s="332"/>
      <c r="P527" s="332"/>
      <c r="Q527" s="332"/>
      <c r="R527" s="332"/>
      <c r="S527" s="293"/>
      <c r="T527" s="332"/>
    </row>
    <row r="528" spans="1:20">
      <c r="A528" s="43"/>
      <c r="B528" s="44"/>
      <c r="C528" s="44"/>
      <c r="D528" s="249"/>
      <c r="E528" s="44"/>
      <c r="F528" s="44"/>
      <c r="G528" s="43"/>
      <c r="H528" s="43"/>
      <c r="I528" s="43"/>
      <c r="J528" s="43"/>
      <c r="K528" s="43"/>
      <c r="L528" s="43"/>
      <c r="M528" s="43"/>
      <c r="N528" s="43"/>
      <c r="O528" s="43"/>
      <c r="P528" s="245"/>
      <c r="Q528" s="253"/>
      <c r="R528" s="253"/>
      <c r="S528" s="253"/>
      <c r="T528" s="43"/>
    </row>
    <row r="529" spans="1:20">
      <c r="A529" s="43"/>
      <c r="B529" s="44"/>
      <c r="C529" s="44"/>
      <c r="D529" s="249"/>
      <c r="E529" s="44"/>
      <c r="F529" s="44"/>
      <c r="G529" s="43"/>
      <c r="H529" s="43"/>
      <c r="I529" s="43"/>
      <c r="J529" s="43"/>
      <c r="K529" s="43"/>
      <c r="L529" s="43"/>
      <c r="M529" s="43"/>
      <c r="N529" s="43"/>
      <c r="O529" s="43"/>
      <c r="P529" s="245"/>
      <c r="Q529" s="253"/>
      <c r="R529" s="253"/>
      <c r="S529" s="253"/>
      <c r="T529" s="43"/>
    </row>
    <row r="530" spans="1:20">
      <c r="A530" s="43"/>
      <c r="B530" s="44"/>
      <c r="C530" s="44"/>
      <c r="D530" s="249"/>
      <c r="E530" s="44"/>
      <c r="F530" s="44"/>
      <c r="G530" s="43"/>
      <c r="H530" s="43"/>
      <c r="I530" s="43"/>
      <c r="J530" s="43"/>
      <c r="K530" s="43"/>
      <c r="L530" s="43"/>
      <c r="M530" s="43"/>
      <c r="N530" s="43"/>
      <c r="O530" s="43"/>
      <c r="P530" s="245"/>
      <c r="Q530" s="253"/>
      <c r="R530" s="253"/>
      <c r="S530" s="253"/>
      <c r="T530" s="43"/>
    </row>
    <row r="531" spans="1:20">
      <c r="A531" s="43"/>
      <c r="B531" s="44"/>
      <c r="C531" s="44"/>
      <c r="D531" s="249"/>
      <c r="E531" s="44"/>
      <c r="F531" s="44"/>
      <c r="G531" s="43"/>
      <c r="H531" s="43"/>
      <c r="I531" s="43"/>
      <c r="J531" s="43"/>
      <c r="K531" s="43"/>
      <c r="L531" s="43"/>
      <c r="M531" s="43"/>
      <c r="N531" s="43"/>
      <c r="O531" s="43"/>
      <c r="P531" s="245"/>
      <c r="Q531" s="253"/>
      <c r="R531" s="253"/>
      <c r="S531" s="253"/>
      <c r="T531" s="43"/>
    </row>
    <row r="532" spans="1:20">
      <c r="A532" s="43"/>
      <c r="B532" s="44"/>
      <c r="C532" s="44"/>
      <c r="D532" s="249"/>
      <c r="E532" s="44"/>
      <c r="F532" s="44"/>
      <c r="G532" s="43"/>
      <c r="H532" s="43"/>
      <c r="I532" s="43"/>
      <c r="J532" s="43"/>
      <c r="K532" s="43"/>
      <c r="L532" s="43"/>
      <c r="M532" s="43"/>
      <c r="N532" s="43"/>
      <c r="O532" s="43"/>
      <c r="P532" s="245"/>
      <c r="Q532" s="253"/>
      <c r="R532" s="253"/>
      <c r="S532" s="253"/>
      <c r="T532" s="43"/>
    </row>
    <row r="533" spans="1:20">
      <c r="A533" s="43"/>
      <c r="B533" s="44"/>
      <c r="C533" s="44"/>
      <c r="D533" s="249"/>
      <c r="E533" s="44"/>
      <c r="F533" s="44"/>
      <c r="G533" s="43"/>
      <c r="H533" s="43"/>
      <c r="I533" s="43"/>
      <c r="J533" s="43"/>
      <c r="K533" s="43"/>
      <c r="L533" s="43"/>
      <c r="M533" s="43"/>
      <c r="N533" s="43"/>
      <c r="O533" s="43"/>
      <c r="P533" s="245"/>
      <c r="Q533" s="253"/>
      <c r="R533" s="253"/>
      <c r="S533" s="253"/>
      <c r="T533" s="43"/>
    </row>
    <row r="534" spans="1:20">
      <c r="A534" s="43"/>
      <c r="B534" s="43"/>
      <c r="C534" s="43"/>
      <c r="D534" s="75"/>
      <c r="E534" s="43"/>
      <c r="F534" s="43"/>
      <c r="G534" s="43"/>
      <c r="H534" s="43"/>
      <c r="I534" s="43"/>
      <c r="J534" s="43"/>
      <c r="K534" s="43"/>
      <c r="L534" s="43"/>
      <c r="M534" s="43"/>
      <c r="N534" s="43"/>
      <c r="O534" s="43"/>
      <c r="P534" s="245"/>
      <c r="Q534" s="253"/>
      <c r="R534" s="253"/>
      <c r="S534" s="253"/>
      <c r="T534" s="43"/>
    </row>
    <row r="535" spans="1:20">
      <c r="A535" s="43"/>
      <c r="B535" s="69"/>
      <c r="C535" s="69"/>
      <c r="D535" s="75"/>
      <c r="E535" s="43"/>
      <c r="F535" s="43"/>
      <c r="G535" s="43"/>
      <c r="H535" s="43"/>
      <c r="I535" s="43"/>
      <c r="J535" s="43"/>
      <c r="K535" s="43"/>
      <c r="L535" s="43"/>
      <c r="M535" s="43"/>
      <c r="N535" s="43"/>
      <c r="O535" s="43"/>
      <c r="P535" s="245"/>
      <c r="Q535" s="253"/>
      <c r="R535" s="253"/>
      <c r="S535" s="253"/>
      <c r="T535" s="43"/>
    </row>
    <row r="536" spans="1:20">
      <c r="A536" s="43"/>
      <c r="B536" s="69"/>
      <c r="C536" s="69"/>
      <c r="D536" s="75"/>
      <c r="E536" s="43"/>
      <c r="F536" s="43"/>
      <c r="G536" s="43"/>
      <c r="H536" s="43"/>
      <c r="I536" s="43"/>
      <c r="J536" s="43"/>
      <c r="K536" s="43"/>
      <c r="L536" s="43"/>
      <c r="M536" s="43"/>
      <c r="N536" s="43"/>
      <c r="O536" s="43"/>
      <c r="P536" s="245"/>
      <c r="Q536" s="253"/>
      <c r="R536" s="253"/>
      <c r="S536" s="253"/>
      <c r="T536" s="43"/>
    </row>
    <row r="537" spans="1:20">
      <c r="A537" s="43"/>
      <c r="B537" s="69"/>
      <c r="C537" s="69"/>
      <c r="D537" s="75"/>
      <c r="E537" s="43"/>
      <c r="F537" s="43"/>
      <c r="G537" s="43"/>
      <c r="H537" s="43"/>
      <c r="I537" s="43"/>
      <c r="J537" s="43"/>
      <c r="K537" s="43"/>
      <c r="L537" s="43"/>
      <c r="M537" s="43"/>
      <c r="N537" s="43"/>
      <c r="O537" s="43"/>
      <c r="P537" s="245"/>
      <c r="Q537" s="253"/>
      <c r="R537" s="253"/>
      <c r="S537" s="253"/>
      <c r="T537" s="43"/>
    </row>
    <row r="538" spans="1:20">
      <c r="A538" s="43"/>
      <c r="B538" s="69"/>
      <c r="C538" s="69"/>
      <c r="D538" s="75"/>
      <c r="E538" s="44"/>
      <c r="F538" s="44"/>
      <c r="G538" s="43"/>
      <c r="H538" s="43"/>
      <c r="I538" s="43"/>
      <c r="J538" s="43"/>
      <c r="K538" s="43"/>
      <c r="L538" s="43"/>
      <c r="M538" s="43"/>
      <c r="N538" s="43"/>
      <c r="O538" s="43"/>
      <c r="P538" s="245"/>
      <c r="Q538" s="253"/>
      <c r="R538" s="253"/>
      <c r="S538" s="253"/>
      <c r="T538" s="43"/>
    </row>
    <row r="539" spans="1:20">
      <c r="A539" s="43"/>
      <c r="B539" s="69"/>
      <c r="C539" s="69"/>
      <c r="D539" s="75"/>
      <c r="E539" s="44"/>
      <c r="F539" s="44"/>
      <c r="G539" s="43"/>
      <c r="H539" s="43"/>
      <c r="I539" s="43"/>
      <c r="J539" s="43"/>
      <c r="K539" s="43"/>
      <c r="L539" s="43"/>
      <c r="M539" s="43"/>
      <c r="N539" s="43"/>
      <c r="O539" s="43"/>
      <c r="P539" s="245"/>
      <c r="Q539" s="253"/>
      <c r="R539" s="253"/>
      <c r="S539" s="253"/>
      <c r="T539" s="43"/>
    </row>
    <row r="540" spans="1:20">
      <c r="A540" s="43"/>
      <c r="B540" s="69"/>
      <c r="C540" s="69"/>
      <c r="D540" s="75"/>
      <c r="E540" s="271"/>
      <c r="F540" s="44"/>
      <c r="G540" s="43"/>
      <c r="H540" s="43"/>
      <c r="I540" s="43"/>
      <c r="J540" s="43"/>
      <c r="K540" s="43"/>
      <c r="L540" s="43"/>
      <c r="M540" s="43"/>
      <c r="N540" s="43"/>
      <c r="O540" s="43"/>
      <c r="P540" s="245"/>
      <c r="Q540" s="253"/>
      <c r="R540" s="253"/>
      <c r="S540" s="253"/>
      <c r="T540" s="43"/>
    </row>
    <row r="541" spans="1:20">
      <c r="A541" s="43"/>
      <c r="B541" s="69"/>
      <c r="C541" s="69"/>
      <c r="D541" s="75"/>
      <c r="E541" s="271"/>
      <c r="F541" s="44"/>
      <c r="G541" s="43"/>
      <c r="H541" s="43"/>
      <c r="I541" s="43"/>
      <c r="J541" s="43"/>
      <c r="K541" s="43"/>
      <c r="L541" s="43"/>
      <c r="M541" s="43"/>
      <c r="N541" s="43"/>
      <c r="O541" s="43"/>
      <c r="P541" s="245"/>
      <c r="Q541" s="253"/>
      <c r="R541" s="253"/>
      <c r="S541" s="253"/>
      <c r="T541" s="43"/>
    </row>
    <row r="542" spans="1:20">
      <c r="A542" s="43"/>
      <c r="B542" s="69"/>
      <c r="C542" s="69"/>
      <c r="D542" s="75"/>
      <c r="E542" s="271"/>
      <c r="F542" s="44"/>
      <c r="G542" s="43"/>
      <c r="H542" s="43"/>
      <c r="I542" s="43"/>
      <c r="J542" s="43"/>
      <c r="K542" s="43"/>
      <c r="L542" s="43"/>
      <c r="M542" s="43"/>
      <c r="N542" s="43"/>
      <c r="O542" s="43"/>
      <c r="P542" s="245"/>
      <c r="Q542" s="253"/>
      <c r="R542" s="253"/>
      <c r="S542" s="253"/>
      <c r="T542" s="43"/>
    </row>
    <row r="543" spans="1:20">
      <c r="A543" s="43"/>
      <c r="B543" s="102"/>
      <c r="C543" s="102"/>
      <c r="D543" s="75"/>
      <c r="E543" s="271"/>
      <c r="F543" s="44"/>
      <c r="G543" s="43"/>
      <c r="H543" s="43"/>
      <c r="I543" s="43"/>
      <c r="J543" s="43"/>
      <c r="K543" s="43"/>
      <c r="L543" s="43"/>
      <c r="M543" s="43"/>
      <c r="N543" s="43"/>
      <c r="O543" s="43"/>
      <c r="P543" s="245"/>
      <c r="Q543" s="253"/>
      <c r="R543" s="253"/>
      <c r="S543" s="253"/>
      <c r="T543" s="43"/>
    </row>
    <row r="544" spans="1:20">
      <c r="A544" s="43"/>
      <c r="B544" s="69"/>
      <c r="C544" s="69"/>
      <c r="D544" s="249"/>
      <c r="E544" s="271"/>
      <c r="F544" s="44"/>
      <c r="G544" s="43"/>
      <c r="H544" s="43"/>
      <c r="I544" s="43"/>
      <c r="J544" s="43"/>
      <c r="K544" s="43"/>
      <c r="L544" s="43"/>
      <c r="M544" s="43"/>
      <c r="N544" s="43"/>
      <c r="O544" s="43"/>
      <c r="P544" s="245"/>
      <c r="Q544" s="253"/>
      <c r="R544" s="253"/>
      <c r="S544" s="253"/>
      <c r="T544" s="43"/>
    </row>
    <row r="545" spans="1:20">
      <c r="A545" s="43"/>
      <c r="B545" s="69"/>
      <c r="C545" s="69"/>
      <c r="D545" s="341"/>
      <c r="E545" s="271"/>
      <c r="F545" s="44"/>
      <c r="G545" s="43"/>
      <c r="H545" s="43"/>
      <c r="I545" s="43"/>
      <c r="J545" s="43"/>
      <c r="K545" s="43"/>
      <c r="L545" s="43"/>
      <c r="M545" s="43"/>
      <c r="N545" s="43"/>
      <c r="O545" s="43"/>
      <c r="P545" s="245"/>
      <c r="Q545" s="253"/>
      <c r="R545" s="253"/>
      <c r="S545" s="253"/>
      <c r="T545" s="43"/>
    </row>
    <row r="546" spans="1:20">
      <c r="A546" s="43"/>
      <c r="B546" s="69"/>
      <c r="C546" s="69"/>
      <c r="D546" s="341"/>
      <c r="E546" s="271"/>
      <c r="F546" s="44"/>
      <c r="G546" s="43"/>
      <c r="H546" s="43"/>
      <c r="I546" s="43"/>
      <c r="J546" s="43"/>
      <c r="K546" s="43"/>
      <c r="L546" s="43"/>
      <c r="M546" s="43"/>
      <c r="N546" s="43"/>
      <c r="O546" s="43"/>
      <c r="P546" s="245"/>
      <c r="Q546" s="253"/>
      <c r="R546" s="253"/>
      <c r="S546" s="253"/>
      <c r="T546" s="43"/>
    </row>
    <row r="547" spans="1:20">
      <c r="A547" s="43"/>
      <c r="B547" s="69"/>
      <c r="C547" s="69"/>
      <c r="D547" s="249"/>
      <c r="E547" s="271"/>
      <c r="F547" s="44"/>
      <c r="G547" s="43"/>
      <c r="H547" s="43"/>
      <c r="I547" s="43"/>
      <c r="J547" s="43"/>
      <c r="K547" s="43"/>
      <c r="L547" s="43"/>
      <c r="M547" s="43"/>
      <c r="N547" s="43"/>
      <c r="O547" s="43"/>
      <c r="P547" s="245"/>
      <c r="Q547" s="253"/>
      <c r="R547" s="253"/>
      <c r="S547" s="253"/>
      <c r="T547" s="43"/>
    </row>
    <row r="548" spans="1:20">
      <c r="A548" s="43"/>
      <c r="B548" s="102"/>
      <c r="C548" s="102"/>
      <c r="D548" s="249"/>
      <c r="E548" s="271"/>
      <c r="F548" s="44"/>
      <c r="G548" s="43"/>
      <c r="H548" s="43"/>
      <c r="I548" s="43"/>
      <c r="J548" s="43"/>
      <c r="K548" s="43"/>
      <c r="L548" s="43"/>
      <c r="M548" s="43"/>
      <c r="N548" s="43"/>
      <c r="O548" s="43"/>
      <c r="P548" s="245"/>
      <c r="Q548" s="253"/>
      <c r="R548" s="253"/>
      <c r="S548" s="253"/>
      <c r="T548" s="43"/>
    </row>
    <row r="549" spans="1:20">
      <c r="A549" s="43"/>
      <c r="B549" s="44"/>
      <c r="C549" s="44"/>
      <c r="D549" s="249"/>
      <c r="E549" s="69"/>
      <c r="F549" s="69"/>
      <c r="G549" s="43"/>
      <c r="H549" s="43"/>
      <c r="I549" s="43"/>
      <c r="J549" s="43"/>
      <c r="K549" s="43"/>
      <c r="L549" s="43"/>
      <c r="M549" s="43"/>
      <c r="N549" s="43"/>
      <c r="O549" s="43"/>
      <c r="P549" s="245"/>
      <c r="Q549" s="253"/>
      <c r="R549" s="253"/>
      <c r="S549" s="253"/>
      <c r="T549" s="43"/>
    </row>
    <row r="550" spans="1:20">
      <c r="A550" s="43"/>
      <c r="B550" s="44"/>
      <c r="C550" s="44"/>
      <c r="D550" s="249"/>
      <c r="E550" s="69"/>
      <c r="F550" s="69"/>
      <c r="G550" s="43"/>
      <c r="H550" s="43"/>
      <c r="I550" s="43"/>
      <c r="J550" s="43"/>
      <c r="K550" s="43"/>
      <c r="L550" s="43"/>
      <c r="M550" s="43"/>
      <c r="N550" s="43"/>
      <c r="O550" s="43"/>
      <c r="P550" s="245"/>
      <c r="Q550" s="253"/>
      <c r="R550" s="253"/>
      <c r="S550" s="253"/>
      <c r="T550" s="43"/>
    </row>
    <row r="551" spans="1:20">
      <c r="A551" s="43"/>
      <c r="B551" s="102"/>
      <c r="C551" s="102"/>
      <c r="D551" s="249"/>
      <c r="E551" s="271"/>
      <c r="F551" s="44"/>
      <c r="G551" s="43"/>
      <c r="H551" s="43"/>
      <c r="I551" s="43"/>
      <c r="J551" s="43"/>
      <c r="K551" s="43"/>
      <c r="L551" s="43"/>
      <c r="M551" s="43"/>
      <c r="N551" s="43"/>
      <c r="O551" s="43"/>
      <c r="P551" s="245"/>
      <c r="Q551" s="253"/>
      <c r="R551" s="253"/>
      <c r="S551" s="253"/>
      <c r="T551" s="43"/>
    </row>
    <row r="552" spans="1:20">
      <c r="A552" s="43"/>
      <c r="B552" s="69"/>
      <c r="C552" s="69"/>
      <c r="D552" s="249"/>
      <c r="E552" s="44"/>
      <c r="F552" s="44"/>
      <c r="G552" s="43"/>
      <c r="H552" s="43"/>
      <c r="I552" s="43"/>
      <c r="J552" s="43"/>
      <c r="K552" s="43"/>
      <c r="L552" s="43"/>
      <c r="M552" s="43"/>
      <c r="N552" s="43"/>
      <c r="O552" s="43"/>
      <c r="P552" s="245"/>
      <c r="Q552" s="253"/>
      <c r="R552" s="253"/>
      <c r="S552" s="253"/>
      <c r="T552" s="43"/>
    </row>
    <row r="553" spans="1:20">
      <c r="A553" s="43"/>
      <c r="B553" s="102"/>
      <c r="C553" s="102"/>
      <c r="D553" s="341"/>
      <c r="E553" s="44"/>
      <c r="F553" s="44"/>
      <c r="G553" s="43"/>
      <c r="H553" s="43"/>
      <c r="I553" s="43"/>
      <c r="J553" s="43"/>
      <c r="K553" s="43"/>
      <c r="L553" s="43"/>
      <c r="M553" s="43"/>
      <c r="N553" s="43"/>
      <c r="O553" s="43"/>
      <c r="P553" s="245"/>
      <c r="Q553" s="253"/>
      <c r="R553" s="253"/>
      <c r="S553" s="253"/>
      <c r="T553" s="43"/>
    </row>
    <row r="554" spans="1:20">
      <c r="A554" s="43"/>
      <c r="B554" s="102"/>
      <c r="C554" s="102"/>
      <c r="D554" s="249"/>
      <c r="E554" s="44"/>
      <c r="F554" s="44"/>
      <c r="G554" s="43"/>
      <c r="H554" s="43"/>
      <c r="I554" s="43"/>
      <c r="J554" s="43"/>
      <c r="K554" s="43"/>
      <c r="L554" s="43"/>
      <c r="M554" s="43"/>
      <c r="N554" s="43"/>
      <c r="O554" s="43"/>
      <c r="P554" s="245"/>
      <c r="Q554" s="253"/>
      <c r="R554" s="253"/>
      <c r="S554" s="253"/>
      <c r="T554" s="43"/>
    </row>
    <row r="555" spans="1:20">
      <c r="A555" s="43"/>
      <c r="B555" s="69"/>
      <c r="C555" s="69"/>
      <c r="D555" s="249"/>
      <c r="E555" s="44"/>
      <c r="F555" s="44"/>
      <c r="G555" s="43"/>
      <c r="H555" s="43"/>
      <c r="I555" s="43"/>
      <c r="J555" s="43"/>
      <c r="K555" s="43"/>
      <c r="L555" s="43"/>
      <c r="M555" s="43"/>
      <c r="N555" s="43"/>
      <c r="O555" s="43"/>
      <c r="P555" s="245"/>
      <c r="Q555" s="253"/>
      <c r="R555" s="253"/>
      <c r="S555" s="253"/>
      <c r="T555" s="43"/>
    </row>
    <row r="556" spans="1:20">
      <c r="A556" s="43"/>
      <c r="B556" s="69"/>
      <c r="C556" s="69"/>
      <c r="D556" s="249"/>
      <c r="E556" s="44"/>
      <c r="F556" s="69"/>
      <c r="G556" s="43"/>
      <c r="H556" s="43"/>
      <c r="I556" s="43"/>
      <c r="J556" s="43"/>
      <c r="K556" s="43"/>
      <c r="L556" s="43"/>
      <c r="M556" s="43"/>
      <c r="N556" s="43"/>
      <c r="O556" s="43"/>
      <c r="P556" s="245"/>
      <c r="Q556" s="253"/>
      <c r="R556" s="253"/>
      <c r="S556" s="253"/>
      <c r="T556" s="43"/>
    </row>
    <row r="557" spans="1:20">
      <c r="A557" s="43"/>
      <c r="B557" s="69"/>
      <c r="C557" s="69"/>
      <c r="D557" s="249"/>
      <c r="E557" s="44"/>
      <c r="F557" s="69"/>
      <c r="G557" s="43"/>
      <c r="H557" s="43"/>
      <c r="I557" s="43"/>
      <c r="J557" s="43"/>
      <c r="K557" s="43"/>
      <c r="L557" s="43"/>
      <c r="M557" s="43"/>
      <c r="N557" s="43"/>
      <c r="O557" s="43"/>
      <c r="P557" s="245"/>
      <c r="Q557" s="253"/>
      <c r="R557" s="253"/>
      <c r="S557" s="253"/>
      <c r="T557" s="43"/>
    </row>
    <row r="558" spans="1:20">
      <c r="A558" s="43"/>
      <c r="B558" s="102"/>
      <c r="C558" s="102"/>
      <c r="D558" s="341"/>
      <c r="E558" s="44"/>
      <c r="F558" s="44"/>
      <c r="G558" s="43"/>
      <c r="H558" s="43"/>
      <c r="I558" s="43"/>
      <c r="J558" s="43"/>
      <c r="K558" s="43"/>
      <c r="L558" s="43"/>
      <c r="M558" s="43"/>
      <c r="N558" s="43"/>
      <c r="O558" s="43"/>
      <c r="P558" s="245"/>
      <c r="Q558" s="253"/>
      <c r="R558" s="253"/>
      <c r="S558" s="253"/>
      <c r="T558" s="43"/>
    </row>
    <row r="559" spans="1:20">
      <c r="A559" s="43"/>
      <c r="B559" s="102"/>
      <c r="C559" s="102"/>
      <c r="D559" s="249"/>
      <c r="E559" s="44"/>
      <c r="F559" s="69"/>
      <c r="G559" s="43"/>
      <c r="H559" s="43"/>
      <c r="I559" s="43"/>
      <c r="J559" s="43"/>
      <c r="K559" s="43"/>
      <c r="L559" s="43"/>
      <c r="M559" s="43"/>
      <c r="N559" s="43"/>
      <c r="O559" s="43"/>
      <c r="P559" s="245"/>
      <c r="Q559" s="253"/>
      <c r="R559" s="253"/>
      <c r="S559" s="253"/>
      <c r="T559" s="43"/>
    </row>
    <row r="560" spans="1:20">
      <c r="A560" s="43"/>
      <c r="B560" s="44"/>
      <c r="C560" s="44"/>
      <c r="D560" s="44"/>
      <c r="E560" s="43"/>
      <c r="F560" s="43"/>
      <c r="G560" s="43"/>
      <c r="H560" s="43"/>
      <c r="I560" s="43"/>
      <c r="J560" s="43"/>
      <c r="K560" s="43"/>
      <c r="L560" s="43"/>
      <c r="M560" s="43"/>
      <c r="N560" s="43"/>
      <c r="O560" s="43"/>
      <c r="P560" s="245"/>
      <c r="Q560" s="253"/>
      <c r="R560" s="253"/>
      <c r="S560" s="253"/>
      <c r="T560" s="43"/>
    </row>
    <row r="561" spans="1:20">
      <c r="A561" s="43"/>
      <c r="B561" s="44"/>
      <c r="C561" s="44"/>
      <c r="D561" s="75"/>
      <c r="E561" s="43"/>
      <c r="F561" s="43"/>
      <c r="G561" s="43"/>
      <c r="H561" s="43"/>
      <c r="I561" s="43"/>
      <c r="J561" s="43"/>
      <c r="K561" s="43"/>
      <c r="L561" s="43"/>
      <c r="M561" s="43"/>
      <c r="N561" s="43"/>
      <c r="O561" s="43"/>
      <c r="P561" s="245"/>
      <c r="Q561" s="253"/>
      <c r="R561" s="253"/>
      <c r="S561" s="253"/>
      <c r="T561" s="43"/>
    </row>
    <row r="562" spans="1:20">
      <c r="A562" s="43"/>
      <c r="B562" s="44"/>
      <c r="C562" s="44"/>
      <c r="D562" s="75"/>
      <c r="E562" s="43"/>
      <c r="F562" s="43"/>
      <c r="G562" s="43"/>
      <c r="H562" s="43"/>
      <c r="I562" s="43"/>
      <c r="J562" s="43"/>
      <c r="K562" s="43"/>
      <c r="L562" s="43"/>
      <c r="M562" s="43"/>
      <c r="N562" s="43"/>
      <c r="O562" s="43"/>
      <c r="P562" s="245"/>
      <c r="Q562" s="253"/>
      <c r="R562" s="253"/>
      <c r="S562" s="253"/>
      <c r="T562" s="43"/>
    </row>
    <row r="563" spans="1:20">
      <c r="A563" s="43"/>
      <c r="B563" s="44"/>
      <c r="C563" s="44"/>
      <c r="D563" s="75"/>
      <c r="E563" s="43"/>
      <c r="F563" s="43"/>
      <c r="G563" s="43"/>
      <c r="H563" s="43"/>
      <c r="I563" s="43"/>
      <c r="J563" s="43"/>
      <c r="K563" s="43"/>
      <c r="L563" s="43"/>
      <c r="M563" s="43"/>
      <c r="N563" s="43"/>
      <c r="O563" s="43"/>
      <c r="P563" s="245"/>
      <c r="Q563" s="253"/>
      <c r="R563" s="253"/>
      <c r="S563" s="253"/>
      <c r="T563" s="43"/>
    </row>
    <row r="564" spans="1:20">
      <c r="A564" s="43"/>
      <c r="B564" s="44"/>
      <c r="C564" s="44"/>
      <c r="D564" s="75"/>
      <c r="E564" s="43"/>
      <c r="F564" s="43"/>
      <c r="G564" s="43"/>
      <c r="H564" s="43"/>
      <c r="I564" s="43"/>
      <c r="J564" s="43"/>
      <c r="K564" s="43"/>
      <c r="L564" s="43"/>
      <c r="M564" s="43"/>
      <c r="N564" s="43"/>
      <c r="O564" s="43"/>
      <c r="P564" s="245"/>
      <c r="Q564" s="253"/>
      <c r="R564" s="253"/>
      <c r="S564" s="253"/>
      <c r="T564" s="43"/>
    </row>
    <row r="565" spans="1:20">
      <c r="A565" s="43"/>
      <c r="B565" s="44"/>
      <c r="C565" s="44"/>
      <c r="D565" s="75"/>
      <c r="E565" s="43"/>
      <c r="F565" s="43"/>
      <c r="G565" s="43"/>
      <c r="H565" s="43"/>
      <c r="I565" s="43"/>
      <c r="J565" s="43"/>
      <c r="K565" s="43"/>
      <c r="L565" s="43"/>
      <c r="M565" s="43"/>
      <c r="N565" s="43"/>
      <c r="O565" s="43"/>
      <c r="P565" s="245"/>
      <c r="Q565" s="253"/>
      <c r="R565" s="253"/>
      <c r="S565" s="253"/>
      <c r="T565" s="43"/>
    </row>
    <row r="566" spans="1:20">
      <c r="A566" s="43"/>
      <c r="B566" s="44"/>
      <c r="C566" s="44"/>
      <c r="D566" s="75"/>
      <c r="E566" s="43"/>
      <c r="F566" s="43"/>
      <c r="G566" s="43"/>
      <c r="H566" s="43"/>
      <c r="I566" s="43"/>
      <c r="J566" s="43"/>
      <c r="K566" s="43"/>
      <c r="L566" s="43"/>
      <c r="M566" s="43"/>
      <c r="N566" s="43"/>
      <c r="O566" s="43"/>
      <c r="P566" s="245"/>
      <c r="Q566" s="253"/>
      <c r="R566" s="253"/>
      <c r="S566" s="253"/>
      <c r="T566" s="43"/>
    </row>
    <row r="567" spans="1:20">
      <c r="A567" s="43"/>
      <c r="B567" s="44"/>
      <c r="C567" s="44"/>
      <c r="D567" s="75"/>
      <c r="E567" s="43"/>
      <c r="F567" s="43"/>
      <c r="G567" s="43"/>
      <c r="H567" s="43"/>
      <c r="I567" s="43"/>
      <c r="J567" s="43"/>
      <c r="K567" s="43"/>
      <c r="L567" s="43"/>
      <c r="M567" s="43"/>
      <c r="N567" s="43"/>
      <c r="O567" s="43"/>
      <c r="P567" s="245"/>
      <c r="Q567" s="253"/>
      <c r="R567" s="253"/>
      <c r="S567" s="253"/>
      <c r="T567" s="43"/>
    </row>
    <row r="568" spans="1:20">
      <c r="A568" s="43"/>
      <c r="B568" s="44"/>
      <c r="C568" s="44"/>
      <c r="D568" s="75"/>
      <c r="E568" s="43"/>
      <c r="F568" s="43"/>
      <c r="G568" s="43"/>
      <c r="H568" s="43"/>
      <c r="I568" s="43"/>
      <c r="J568" s="43"/>
      <c r="K568" s="43"/>
      <c r="L568" s="43"/>
      <c r="M568" s="43"/>
      <c r="N568" s="43"/>
      <c r="O568" s="43"/>
      <c r="P568" s="245"/>
      <c r="Q568" s="253"/>
      <c r="R568" s="253"/>
      <c r="S568" s="253"/>
      <c r="T568" s="43"/>
    </row>
    <row r="569" spans="1:20">
      <c r="A569" s="43"/>
      <c r="B569" s="44"/>
      <c r="C569" s="44"/>
      <c r="D569" s="75"/>
      <c r="E569" s="43"/>
      <c r="F569" s="43"/>
      <c r="G569" s="43"/>
      <c r="H569" s="43"/>
      <c r="I569" s="43"/>
      <c r="J569" s="43"/>
      <c r="K569" s="43"/>
      <c r="L569" s="43"/>
      <c r="M569" s="43"/>
      <c r="N569" s="43"/>
      <c r="O569" s="43"/>
      <c r="P569" s="245"/>
      <c r="Q569" s="253"/>
      <c r="R569" s="253"/>
      <c r="S569" s="253"/>
      <c r="T569" s="43"/>
    </row>
    <row r="570" spans="1:20">
      <c r="A570" s="43"/>
      <c r="B570" s="44"/>
      <c r="C570" s="44"/>
      <c r="D570" s="44"/>
      <c r="E570" s="43"/>
      <c r="F570" s="43"/>
      <c r="G570" s="43"/>
      <c r="H570" s="43"/>
      <c r="I570" s="43"/>
      <c r="J570" s="43"/>
      <c r="K570" s="43"/>
      <c r="L570" s="43"/>
      <c r="M570" s="43"/>
      <c r="N570" s="43"/>
      <c r="O570" s="43"/>
      <c r="P570" s="245"/>
      <c r="Q570" s="253"/>
      <c r="R570" s="253"/>
      <c r="S570" s="253"/>
      <c r="T570" s="43"/>
    </row>
    <row r="571" spans="1:20">
      <c r="A571" s="43"/>
      <c r="B571" s="44"/>
      <c r="C571" s="44"/>
      <c r="D571" s="44"/>
      <c r="E571" s="43"/>
      <c r="F571" s="43"/>
      <c r="G571" s="43"/>
      <c r="H571" s="43"/>
      <c r="I571" s="43"/>
      <c r="J571" s="43"/>
      <c r="K571" s="43"/>
      <c r="L571" s="43"/>
      <c r="M571" s="43"/>
      <c r="N571" s="43"/>
      <c r="O571" s="43"/>
      <c r="P571" s="245"/>
      <c r="Q571" s="253"/>
      <c r="R571" s="253"/>
      <c r="S571" s="253"/>
      <c r="T571" s="43"/>
    </row>
    <row r="572" spans="1:20">
      <c r="A572" s="43"/>
      <c r="B572" s="44"/>
      <c r="C572" s="44"/>
      <c r="D572" s="44"/>
      <c r="E572" s="43"/>
      <c r="F572" s="43"/>
      <c r="G572" s="43"/>
      <c r="H572" s="43"/>
      <c r="I572" s="43"/>
      <c r="J572" s="43"/>
      <c r="K572" s="43"/>
      <c r="L572" s="43"/>
      <c r="M572" s="43"/>
      <c r="N572" s="43"/>
      <c r="O572" s="43"/>
      <c r="P572" s="245"/>
      <c r="Q572" s="253"/>
      <c r="R572" s="253"/>
      <c r="S572" s="253"/>
      <c r="T572" s="43"/>
    </row>
    <row r="573" spans="1:20">
      <c r="A573" s="43"/>
      <c r="B573" s="44"/>
      <c r="C573" s="44"/>
      <c r="D573" s="75"/>
      <c r="E573" s="43"/>
      <c r="F573" s="43"/>
      <c r="G573" s="43"/>
      <c r="H573" s="43"/>
      <c r="I573" s="43"/>
      <c r="J573" s="43"/>
      <c r="K573" s="43"/>
      <c r="L573" s="43"/>
      <c r="M573" s="43"/>
      <c r="N573" s="43"/>
      <c r="O573" s="43"/>
      <c r="P573" s="245"/>
      <c r="Q573" s="253"/>
      <c r="R573" s="253"/>
      <c r="S573" s="253"/>
      <c r="T573" s="43"/>
    </row>
    <row r="574" spans="1:20">
      <c r="A574" s="43"/>
      <c r="B574" s="44"/>
      <c r="C574" s="44"/>
      <c r="D574" s="75"/>
      <c r="E574" s="43"/>
      <c r="F574" s="43"/>
      <c r="G574" s="43"/>
      <c r="H574" s="43"/>
      <c r="I574" s="43"/>
      <c r="J574" s="43"/>
      <c r="K574" s="43"/>
      <c r="L574" s="43"/>
      <c r="M574" s="43"/>
      <c r="N574" s="43"/>
      <c r="O574" s="43"/>
      <c r="P574" s="245"/>
      <c r="Q574" s="253"/>
      <c r="R574" s="253"/>
      <c r="S574" s="253"/>
      <c r="T574" s="43"/>
    </row>
    <row r="575" spans="1:20">
      <c r="A575" s="43"/>
      <c r="B575" s="44"/>
      <c r="C575" s="44"/>
      <c r="D575" s="75"/>
      <c r="E575" s="43"/>
      <c r="F575" s="43"/>
      <c r="G575" s="43"/>
      <c r="H575" s="43"/>
      <c r="I575" s="43"/>
      <c r="J575" s="43"/>
      <c r="K575" s="43"/>
      <c r="L575" s="43"/>
      <c r="M575" s="43"/>
      <c r="N575" s="43"/>
      <c r="O575" s="43"/>
      <c r="P575" s="245"/>
      <c r="Q575" s="253"/>
      <c r="R575" s="253"/>
      <c r="S575" s="253"/>
      <c r="T575" s="43"/>
    </row>
    <row r="576" spans="1:20">
      <c r="A576" s="43"/>
      <c r="B576" s="44"/>
      <c r="C576" s="44"/>
      <c r="D576" s="75"/>
      <c r="E576" s="43"/>
      <c r="F576" s="43"/>
      <c r="G576" s="43"/>
      <c r="H576" s="43"/>
      <c r="I576" s="43"/>
      <c r="J576" s="43"/>
      <c r="K576" s="43"/>
      <c r="L576" s="43"/>
      <c r="M576" s="43"/>
      <c r="N576" s="43"/>
      <c r="O576" s="43"/>
      <c r="P576" s="245"/>
      <c r="Q576" s="253"/>
      <c r="R576" s="253"/>
      <c r="S576" s="253"/>
      <c r="T576" s="43"/>
    </row>
    <row r="577" spans="1:20">
      <c r="A577" s="43"/>
      <c r="B577" s="44"/>
      <c r="C577" s="44"/>
      <c r="D577" s="75"/>
      <c r="E577" s="43"/>
      <c r="F577" s="43"/>
      <c r="G577" s="43"/>
      <c r="H577" s="43"/>
      <c r="I577" s="43"/>
      <c r="J577" s="43"/>
      <c r="K577" s="43"/>
      <c r="L577" s="43"/>
      <c r="M577" s="43"/>
      <c r="N577" s="43"/>
      <c r="O577" s="43"/>
      <c r="P577" s="245"/>
      <c r="Q577" s="253"/>
      <c r="R577" s="253"/>
      <c r="S577" s="253"/>
      <c r="T577" s="43"/>
    </row>
    <row r="578" spans="1:20">
      <c r="A578" s="43"/>
      <c r="B578" s="44"/>
      <c r="C578" s="44"/>
      <c r="D578" s="75"/>
      <c r="E578" s="43"/>
      <c r="F578" s="43"/>
      <c r="G578" s="43"/>
      <c r="H578" s="43"/>
      <c r="I578" s="43"/>
      <c r="J578" s="43"/>
      <c r="K578" s="43"/>
      <c r="L578" s="43"/>
      <c r="M578" s="43"/>
      <c r="N578" s="43"/>
      <c r="O578" s="43"/>
      <c r="P578" s="245"/>
      <c r="Q578" s="253"/>
      <c r="R578" s="253"/>
      <c r="S578" s="253"/>
      <c r="T578" s="43"/>
    </row>
    <row r="579" spans="1:20">
      <c r="A579" s="43"/>
      <c r="B579" s="44"/>
      <c r="C579" s="44"/>
      <c r="D579" s="75"/>
      <c r="E579" s="43"/>
      <c r="F579" s="43"/>
      <c r="G579" s="43"/>
      <c r="H579" s="43"/>
      <c r="I579" s="43"/>
      <c r="J579" s="43"/>
      <c r="K579" s="43"/>
      <c r="L579" s="43"/>
      <c r="M579" s="43"/>
      <c r="N579" s="43"/>
      <c r="O579" s="43"/>
      <c r="P579" s="245"/>
      <c r="Q579" s="253"/>
      <c r="R579" s="253"/>
      <c r="S579" s="253"/>
      <c r="T579" s="43"/>
    </row>
    <row r="580" spans="1:20">
      <c r="A580" s="43"/>
      <c r="B580" s="44"/>
      <c r="C580" s="44"/>
      <c r="D580" s="75"/>
      <c r="E580" s="43"/>
      <c r="F580" s="43"/>
      <c r="G580" s="43"/>
      <c r="H580" s="43"/>
      <c r="I580" s="43"/>
      <c r="J580" s="43"/>
      <c r="K580" s="43"/>
      <c r="L580" s="43"/>
      <c r="M580" s="43"/>
      <c r="N580" s="43"/>
      <c r="O580" s="43"/>
      <c r="P580" s="245"/>
      <c r="Q580" s="253"/>
      <c r="R580" s="253"/>
      <c r="S580" s="253"/>
      <c r="T580" s="43"/>
    </row>
    <row r="581" spans="1:20">
      <c r="A581" s="43"/>
      <c r="B581" s="44"/>
      <c r="C581" s="44"/>
      <c r="D581" s="75"/>
      <c r="E581" s="43"/>
      <c r="F581" s="43"/>
      <c r="G581" s="43"/>
      <c r="H581" s="43"/>
      <c r="I581" s="43"/>
      <c r="J581" s="43"/>
      <c r="K581" s="43"/>
      <c r="L581" s="43"/>
      <c r="M581" s="43"/>
      <c r="N581" s="43"/>
      <c r="O581" s="43"/>
      <c r="P581" s="245"/>
      <c r="Q581" s="253"/>
      <c r="R581" s="253"/>
      <c r="S581" s="253"/>
      <c r="T581" s="43"/>
    </row>
    <row r="582" spans="1:20">
      <c r="A582" s="43"/>
      <c r="B582" s="44"/>
      <c r="C582" s="44"/>
      <c r="D582" s="75"/>
      <c r="E582" s="43"/>
      <c r="F582" s="43"/>
      <c r="G582" s="43"/>
      <c r="H582" s="43"/>
      <c r="I582" s="43"/>
      <c r="J582" s="43"/>
      <c r="K582" s="43"/>
      <c r="L582" s="43"/>
      <c r="M582" s="43"/>
      <c r="N582" s="43"/>
      <c r="O582" s="43"/>
      <c r="P582" s="245"/>
      <c r="Q582" s="253"/>
      <c r="R582" s="253"/>
      <c r="S582" s="253"/>
      <c r="T582" s="43"/>
    </row>
    <row r="583" spans="1:20">
      <c r="A583" s="43"/>
      <c r="B583" s="44"/>
      <c r="C583" s="44"/>
      <c r="D583" s="75"/>
      <c r="E583" s="43"/>
      <c r="F583" s="43"/>
      <c r="G583" s="43"/>
      <c r="H583" s="43"/>
      <c r="I583" s="43"/>
      <c r="J583" s="43"/>
      <c r="K583" s="43"/>
      <c r="L583" s="43"/>
      <c r="M583" s="43"/>
      <c r="N583" s="43"/>
      <c r="O583" s="43"/>
      <c r="P583" s="245"/>
      <c r="Q583" s="253"/>
      <c r="R583" s="253"/>
      <c r="S583" s="253"/>
      <c r="T583" s="43"/>
    </row>
    <row r="584" spans="1:20">
      <c r="A584" s="43"/>
      <c r="B584" s="44"/>
      <c r="C584" s="44"/>
      <c r="D584" s="75"/>
      <c r="E584" s="43"/>
      <c r="F584" s="43"/>
      <c r="G584" s="43"/>
      <c r="H584" s="43"/>
      <c r="I584" s="43"/>
      <c r="J584" s="43"/>
      <c r="K584" s="43"/>
      <c r="L584" s="43"/>
      <c r="M584" s="43"/>
      <c r="N584" s="43"/>
      <c r="O584" s="43"/>
      <c r="P584" s="245"/>
      <c r="Q584" s="253"/>
      <c r="R584" s="253"/>
      <c r="S584" s="253"/>
      <c r="T584" s="43"/>
    </row>
    <row r="585" spans="1:20">
      <c r="A585" s="43"/>
      <c r="B585" s="44"/>
      <c r="C585" s="44"/>
      <c r="D585" s="75"/>
      <c r="E585" s="43"/>
      <c r="F585" s="43"/>
      <c r="G585" s="43"/>
      <c r="H585" s="43"/>
      <c r="I585" s="43"/>
      <c r="J585" s="43"/>
      <c r="K585" s="43"/>
      <c r="L585" s="43"/>
      <c r="M585" s="43"/>
      <c r="N585" s="43"/>
      <c r="O585" s="43"/>
      <c r="P585" s="245"/>
      <c r="Q585" s="253"/>
      <c r="R585" s="253"/>
      <c r="S585" s="253"/>
      <c r="T585" s="43"/>
    </row>
    <row r="586" spans="1:20">
      <c r="A586" s="43"/>
      <c r="B586" s="44"/>
      <c r="C586" s="44"/>
      <c r="D586" s="75"/>
      <c r="E586" s="43"/>
      <c r="F586" s="43"/>
      <c r="G586" s="43"/>
      <c r="H586" s="43"/>
      <c r="I586" s="43"/>
      <c r="J586" s="43"/>
      <c r="K586" s="43"/>
      <c r="L586" s="43"/>
      <c r="M586" s="43"/>
      <c r="N586" s="43"/>
      <c r="O586" s="43"/>
      <c r="P586" s="245"/>
      <c r="Q586" s="253"/>
      <c r="R586" s="253"/>
      <c r="S586" s="253"/>
      <c r="T586" s="43"/>
    </row>
    <row r="587" spans="1:20">
      <c r="A587" s="43"/>
      <c r="B587" s="44"/>
      <c r="C587" s="44"/>
      <c r="D587" s="44"/>
      <c r="E587" s="43"/>
      <c r="F587" s="43"/>
      <c r="G587" s="43"/>
      <c r="H587" s="43"/>
      <c r="I587" s="43"/>
      <c r="J587" s="43"/>
      <c r="K587" s="43"/>
      <c r="L587" s="43"/>
      <c r="M587" s="43"/>
      <c r="N587" s="43"/>
      <c r="O587" s="43"/>
      <c r="P587" s="245"/>
      <c r="Q587" s="253"/>
      <c r="R587" s="253"/>
      <c r="S587" s="253"/>
      <c r="T587" s="43"/>
    </row>
    <row r="588" spans="1:20">
      <c r="A588" s="43"/>
      <c r="B588" s="44"/>
      <c r="C588" s="44"/>
      <c r="D588" s="75"/>
      <c r="E588" s="43"/>
      <c r="F588" s="43"/>
      <c r="G588" s="43"/>
      <c r="H588" s="43"/>
      <c r="I588" s="43"/>
      <c r="J588" s="43"/>
      <c r="K588" s="43"/>
      <c r="L588" s="43"/>
      <c r="M588" s="43"/>
      <c r="N588" s="43"/>
      <c r="O588" s="43"/>
      <c r="P588" s="245"/>
      <c r="Q588" s="253"/>
      <c r="R588" s="253"/>
      <c r="S588" s="253"/>
      <c r="T588" s="43"/>
    </row>
    <row r="589" spans="1:20">
      <c r="A589" s="43"/>
      <c r="B589" s="44"/>
      <c r="C589" s="44"/>
      <c r="D589" s="75"/>
      <c r="E589" s="43"/>
      <c r="F589" s="43"/>
      <c r="G589" s="43"/>
      <c r="H589" s="43"/>
      <c r="I589" s="43"/>
      <c r="J589" s="43"/>
      <c r="K589" s="43"/>
      <c r="L589" s="43"/>
      <c r="M589" s="43"/>
      <c r="N589" s="43"/>
      <c r="O589" s="43"/>
      <c r="P589" s="245"/>
      <c r="Q589" s="253"/>
      <c r="R589" s="253"/>
      <c r="S589" s="253"/>
      <c r="T589" s="43"/>
    </row>
    <row r="590" spans="1:20">
      <c r="A590" s="43"/>
      <c r="B590" s="44"/>
      <c r="C590" s="44"/>
      <c r="D590" s="75"/>
      <c r="E590" s="43"/>
      <c r="F590" s="43"/>
      <c r="G590" s="43"/>
      <c r="H590" s="43"/>
      <c r="I590" s="43"/>
      <c r="J590" s="43"/>
      <c r="K590" s="43"/>
      <c r="L590" s="43"/>
      <c r="M590" s="43"/>
      <c r="N590" s="43"/>
      <c r="O590" s="43"/>
      <c r="P590" s="245"/>
      <c r="Q590" s="253"/>
      <c r="R590" s="253"/>
      <c r="S590" s="253"/>
      <c r="T590" s="43"/>
    </row>
    <row r="591" spans="1:20">
      <c r="A591" s="43"/>
      <c r="B591" s="44"/>
      <c r="C591" s="44"/>
      <c r="D591" s="75"/>
      <c r="E591" s="43"/>
      <c r="F591" s="43"/>
      <c r="G591" s="43"/>
      <c r="H591" s="43"/>
      <c r="I591" s="43"/>
      <c r="J591" s="43"/>
      <c r="K591" s="43"/>
      <c r="L591" s="43"/>
      <c r="M591" s="43"/>
      <c r="N591" s="43"/>
      <c r="O591" s="43"/>
      <c r="P591" s="245"/>
      <c r="Q591" s="253"/>
      <c r="R591" s="253"/>
      <c r="S591" s="253"/>
      <c r="T591" s="43"/>
    </row>
    <row r="592" spans="1:20">
      <c r="A592" s="43"/>
      <c r="B592" s="44"/>
      <c r="C592" s="44"/>
      <c r="D592" s="44"/>
      <c r="E592" s="43"/>
      <c r="F592" s="43"/>
      <c r="G592" s="43"/>
      <c r="H592" s="43"/>
      <c r="I592" s="43"/>
      <c r="J592" s="43"/>
      <c r="K592" s="43"/>
      <c r="L592" s="43"/>
      <c r="M592" s="43"/>
      <c r="N592" s="43"/>
      <c r="O592" s="43"/>
      <c r="P592" s="245"/>
      <c r="Q592" s="253"/>
      <c r="R592" s="253"/>
      <c r="S592" s="253"/>
      <c r="T592" s="43"/>
    </row>
    <row r="593" spans="1:20">
      <c r="A593" s="43"/>
      <c r="B593" s="44"/>
      <c r="C593" s="44"/>
      <c r="D593" s="75"/>
      <c r="E593" s="43"/>
      <c r="F593" s="43"/>
      <c r="G593" s="43"/>
      <c r="H593" s="43"/>
      <c r="I593" s="43"/>
      <c r="J593" s="43"/>
      <c r="K593" s="43"/>
      <c r="L593" s="43"/>
      <c r="M593" s="43"/>
      <c r="N593" s="43"/>
      <c r="O593" s="43"/>
      <c r="P593" s="245"/>
      <c r="Q593" s="253"/>
      <c r="R593" s="253"/>
      <c r="S593" s="253"/>
      <c r="T593" s="43"/>
    </row>
    <row r="594" spans="1:20">
      <c r="A594" s="43"/>
      <c r="B594" s="44"/>
      <c r="C594" s="44"/>
      <c r="D594" s="75"/>
      <c r="E594" s="43"/>
      <c r="F594" s="43"/>
      <c r="G594" s="43"/>
      <c r="H594" s="43"/>
      <c r="I594" s="43"/>
      <c r="J594" s="43"/>
      <c r="K594" s="43"/>
      <c r="L594" s="43"/>
      <c r="M594" s="43"/>
      <c r="N594" s="43"/>
      <c r="O594" s="43"/>
      <c r="P594" s="245"/>
      <c r="Q594" s="253"/>
      <c r="R594" s="253"/>
      <c r="S594" s="253"/>
      <c r="T594" s="43"/>
    </row>
    <row r="595" spans="1:20">
      <c r="A595" s="43"/>
      <c r="B595" s="44"/>
      <c r="C595" s="44"/>
      <c r="D595" s="75"/>
      <c r="E595" s="43"/>
      <c r="F595" s="43"/>
      <c r="G595" s="43"/>
      <c r="H595" s="43"/>
      <c r="I595" s="43"/>
      <c r="J595" s="43"/>
      <c r="K595" s="43"/>
      <c r="L595" s="43"/>
      <c r="M595" s="43"/>
      <c r="N595" s="43"/>
      <c r="O595" s="43"/>
      <c r="P595" s="245"/>
      <c r="Q595" s="253"/>
      <c r="R595" s="253"/>
      <c r="S595" s="253"/>
      <c r="T595" s="43"/>
    </row>
    <row r="596" spans="1:20">
      <c r="A596" s="43"/>
      <c r="B596" s="44"/>
      <c r="C596" s="44"/>
      <c r="D596" s="75"/>
      <c r="E596" s="43"/>
      <c r="F596" s="43"/>
      <c r="G596" s="43"/>
      <c r="H596" s="43"/>
      <c r="I596" s="43"/>
      <c r="J596" s="43"/>
      <c r="K596" s="43"/>
      <c r="L596" s="43"/>
      <c r="M596" s="43"/>
      <c r="N596" s="43"/>
      <c r="O596" s="43"/>
      <c r="P596" s="245"/>
      <c r="Q596" s="253"/>
      <c r="R596" s="253"/>
      <c r="S596" s="253"/>
      <c r="T596" s="43"/>
    </row>
    <row r="597" spans="1:20">
      <c r="A597" s="43"/>
      <c r="B597" s="44"/>
      <c r="C597" s="44"/>
      <c r="D597" s="75"/>
      <c r="E597" s="43"/>
      <c r="F597" s="43"/>
      <c r="G597" s="43"/>
      <c r="H597" s="43"/>
      <c r="I597" s="43"/>
      <c r="J597" s="43"/>
      <c r="K597" s="43"/>
      <c r="L597" s="43"/>
      <c r="M597" s="43"/>
      <c r="N597" s="43"/>
      <c r="O597" s="43"/>
      <c r="P597" s="245"/>
      <c r="Q597" s="253"/>
      <c r="R597" s="253"/>
      <c r="S597" s="253"/>
      <c r="T597" s="43"/>
    </row>
    <row r="598" spans="1:20">
      <c r="A598" s="43"/>
      <c r="B598" s="44"/>
      <c r="C598" s="44"/>
      <c r="D598" s="75"/>
      <c r="E598" s="43"/>
      <c r="F598" s="43"/>
      <c r="G598" s="43"/>
      <c r="H598" s="43"/>
      <c r="I598" s="43"/>
      <c r="J598" s="43"/>
      <c r="K598" s="43"/>
      <c r="L598" s="43"/>
      <c r="M598" s="43"/>
      <c r="N598" s="43"/>
      <c r="O598" s="43"/>
      <c r="P598" s="245"/>
      <c r="Q598" s="253"/>
      <c r="R598" s="253"/>
      <c r="S598" s="253"/>
      <c r="T598" s="43"/>
    </row>
    <row r="599" spans="1:20">
      <c r="A599" s="43"/>
      <c r="B599" s="69"/>
      <c r="C599" s="69"/>
      <c r="D599" s="75"/>
      <c r="E599" s="44"/>
      <c r="F599" s="44"/>
      <c r="G599" s="43"/>
      <c r="H599" s="43"/>
      <c r="I599" s="43"/>
      <c r="J599" s="43"/>
      <c r="K599" s="43"/>
      <c r="L599" s="43"/>
      <c r="M599" s="43"/>
      <c r="N599" s="43"/>
      <c r="O599" s="43"/>
      <c r="P599" s="245"/>
      <c r="Q599" s="253"/>
      <c r="R599" s="253"/>
      <c r="S599" s="253"/>
      <c r="T599" s="43"/>
    </row>
    <row r="600" spans="1:20">
      <c r="A600" s="43"/>
      <c r="B600" s="69"/>
      <c r="C600" s="69"/>
      <c r="D600" s="75"/>
      <c r="E600" s="44"/>
      <c r="F600" s="44"/>
      <c r="G600" s="43"/>
      <c r="H600" s="43"/>
      <c r="I600" s="43"/>
      <c r="J600" s="43"/>
      <c r="K600" s="43"/>
      <c r="L600" s="43"/>
      <c r="M600" s="43"/>
      <c r="N600" s="43"/>
      <c r="O600" s="43"/>
      <c r="P600" s="245"/>
      <c r="Q600" s="253"/>
      <c r="R600" s="253"/>
      <c r="S600" s="253"/>
      <c r="T600" s="43"/>
    </row>
    <row r="601" spans="1:20">
      <c r="A601" s="43"/>
      <c r="B601" s="44"/>
      <c r="C601" s="44"/>
      <c r="D601" s="75"/>
      <c r="E601" s="43"/>
      <c r="F601" s="43"/>
      <c r="G601" s="43"/>
      <c r="H601" s="43"/>
      <c r="I601" s="43"/>
      <c r="J601" s="43"/>
      <c r="K601" s="43"/>
      <c r="L601" s="43"/>
      <c r="M601" s="43"/>
      <c r="N601" s="43"/>
      <c r="O601" s="43"/>
      <c r="P601" s="245"/>
      <c r="Q601" s="253"/>
      <c r="R601" s="253"/>
      <c r="S601" s="253"/>
      <c r="T601" s="43"/>
    </row>
    <row r="602" spans="1:20">
      <c r="A602" s="43"/>
      <c r="B602" s="44"/>
      <c r="C602" s="44"/>
      <c r="D602" s="75"/>
      <c r="E602" s="43"/>
      <c r="F602" s="43"/>
      <c r="G602" s="43"/>
      <c r="H602" s="43"/>
      <c r="I602" s="43"/>
      <c r="J602" s="43"/>
      <c r="K602" s="43"/>
      <c r="L602" s="43"/>
      <c r="M602" s="43"/>
      <c r="N602" s="43"/>
      <c r="O602" s="43"/>
      <c r="P602" s="245"/>
      <c r="Q602" s="253"/>
      <c r="R602" s="253"/>
      <c r="S602" s="253"/>
      <c r="T602" s="43"/>
    </row>
    <row r="603" spans="1:20">
      <c r="A603" s="43"/>
      <c r="B603" s="44"/>
      <c r="C603" s="44"/>
      <c r="D603" s="249"/>
      <c r="E603" s="44"/>
      <c r="F603" s="44"/>
      <c r="G603" s="43"/>
      <c r="H603" s="43"/>
      <c r="I603" s="43"/>
      <c r="J603" s="43"/>
      <c r="K603" s="43"/>
      <c r="L603" s="43"/>
      <c r="M603" s="43"/>
      <c r="N603" s="43"/>
      <c r="O603" s="43"/>
      <c r="P603" s="245"/>
      <c r="Q603" s="253"/>
      <c r="R603" s="253"/>
      <c r="S603" s="253"/>
      <c r="T603" s="43"/>
    </row>
    <row r="604" spans="1:20">
      <c r="A604" s="43"/>
      <c r="B604" s="44"/>
      <c r="C604" s="44"/>
      <c r="D604" s="249"/>
      <c r="E604" s="44"/>
      <c r="F604" s="44"/>
      <c r="G604" s="43"/>
      <c r="H604" s="43"/>
      <c r="I604" s="43"/>
      <c r="J604" s="43"/>
      <c r="K604" s="43"/>
      <c r="L604" s="43"/>
      <c r="M604" s="43"/>
      <c r="N604" s="43"/>
      <c r="O604" s="43"/>
      <c r="P604" s="245"/>
      <c r="Q604" s="253"/>
      <c r="R604" s="253"/>
      <c r="S604" s="253"/>
      <c r="T604" s="43"/>
    </row>
    <row r="605" spans="1:20">
      <c r="A605" s="43"/>
      <c r="B605" s="44"/>
      <c r="C605" s="44"/>
      <c r="D605" s="249"/>
      <c r="E605" s="44"/>
      <c r="F605" s="44"/>
      <c r="G605" s="43"/>
      <c r="H605" s="43"/>
      <c r="I605" s="43"/>
      <c r="J605" s="43"/>
      <c r="K605" s="43"/>
      <c r="L605" s="43"/>
      <c r="M605" s="43"/>
      <c r="N605" s="43"/>
      <c r="O605" s="43"/>
      <c r="P605" s="245"/>
      <c r="Q605" s="253"/>
      <c r="R605" s="253"/>
      <c r="S605" s="253"/>
      <c r="T605" s="43"/>
    </row>
    <row r="606" spans="1:20">
      <c r="A606" s="43"/>
      <c r="B606" s="44"/>
      <c r="C606" s="44"/>
      <c r="D606" s="249"/>
      <c r="E606" s="44"/>
      <c r="F606" s="44"/>
      <c r="G606" s="43"/>
      <c r="H606" s="43"/>
      <c r="I606" s="43"/>
      <c r="J606" s="43"/>
      <c r="K606" s="43"/>
      <c r="L606" s="43"/>
      <c r="M606" s="43"/>
      <c r="N606" s="43"/>
      <c r="O606" s="43"/>
      <c r="P606" s="245"/>
      <c r="Q606" s="253"/>
      <c r="R606" s="253"/>
      <c r="S606" s="253"/>
      <c r="T606" s="43"/>
    </row>
    <row r="607" spans="1:20">
      <c r="A607" s="43"/>
      <c r="B607" s="44"/>
      <c r="C607" s="44"/>
      <c r="D607" s="249"/>
      <c r="E607" s="44"/>
      <c r="F607" s="44"/>
      <c r="G607" s="43"/>
      <c r="H607" s="43"/>
      <c r="I607" s="43"/>
      <c r="J607" s="43"/>
      <c r="K607" s="43"/>
      <c r="L607" s="43"/>
      <c r="M607" s="43"/>
      <c r="N607" s="43"/>
      <c r="O607" s="43"/>
      <c r="P607" s="245"/>
      <c r="Q607" s="253"/>
      <c r="R607" s="253"/>
      <c r="S607" s="253"/>
      <c r="T607" s="43"/>
    </row>
    <row r="608" spans="1:20">
      <c r="A608" s="43"/>
      <c r="B608" s="44"/>
      <c r="C608" s="44"/>
      <c r="D608" s="75"/>
      <c r="E608" s="43"/>
      <c r="F608" s="69"/>
      <c r="G608" s="43"/>
      <c r="H608" s="43"/>
      <c r="I608" s="43"/>
      <c r="J608" s="43"/>
      <c r="K608" s="43"/>
      <c r="L608" s="43"/>
      <c r="M608" s="43"/>
      <c r="N608" s="43"/>
      <c r="O608" s="43"/>
      <c r="P608" s="245"/>
      <c r="Q608" s="253"/>
      <c r="R608" s="253"/>
      <c r="S608" s="253"/>
      <c r="T608" s="43"/>
    </row>
    <row r="609" spans="1:20">
      <c r="A609" s="43"/>
      <c r="B609" s="44"/>
      <c r="C609" s="44"/>
      <c r="D609" s="75"/>
      <c r="E609" s="43"/>
      <c r="F609" s="69"/>
      <c r="G609" s="43"/>
      <c r="H609" s="43"/>
      <c r="I609" s="43"/>
      <c r="J609" s="43"/>
      <c r="K609" s="43"/>
      <c r="L609" s="43"/>
      <c r="M609" s="43"/>
      <c r="N609" s="43"/>
      <c r="O609" s="43"/>
      <c r="P609" s="245"/>
      <c r="Q609" s="253"/>
      <c r="R609" s="253"/>
      <c r="S609" s="253"/>
      <c r="T609" s="43"/>
    </row>
    <row r="610" spans="1:20">
      <c r="A610" s="43"/>
      <c r="B610" s="44"/>
      <c r="C610" s="44"/>
      <c r="D610" s="75"/>
      <c r="E610" s="43"/>
      <c r="F610" s="69"/>
      <c r="G610" s="43"/>
      <c r="H610" s="43"/>
      <c r="I610" s="43"/>
      <c r="J610" s="43"/>
      <c r="K610" s="43"/>
      <c r="L610" s="43"/>
      <c r="M610" s="43"/>
      <c r="N610" s="43"/>
      <c r="O610" s="43"/>
      <c r="P610" s="245"/>
      <c r="Q610" s="253"/>
      <c r="R610" s="253"/>
      <c r="S610" s="253"/>
      <c r="T610" s="43"/>
    </row>
    <row r="611" spans="1:20">
      <c r="A611" s="43"/>
      <c r="B611" s="44"/>
      <c r="C611" s="44"/>
      <c r="D611" s="75"/>
      <c r="E611" s="43"/>
      <c r="F611" s="69"/>
      <c r="G611" s="43"/>
      <c r="H611" s="43"/>
      <c r="I611" s="43"/>
      <c r="J611" s="43"/>
      <c r="K611" s="43"/>
      <c r="L611" s="43"/>
      <c r="M611" s="43"/>
      <c r="N611" s="43"/>
      <c r="O611" s="43"/>
      <c r="P611" s="245"/>
      <c r="Q611" s="253"/>
      <c r="R611" s="253"/>
      <c r="S611" s="253"/>
      <c r="T611" s="43"/>
    </row>
    <row r="612" spans="1:20">
      <c r="A612" s="43"/>
      <c r="B612" s="44"/>
      <c r="C612" s="44"/>
      <c r="D612" s="75"/>
      <c r="E612" s="43"/>
      <c r="F612" s="69"/>
      <c r="G612" s="43"/>
      <c r="H612" s="43"/>
      <c r="I612" s="43"/>
      <c r="J612" s="43"/>
      <c r="K612" s="43"/>
      <c r="L612" s="43"/>
      <c r="M612" s="43"/>
      <c r="N612" s="43"/>
      <c r="O612" s="43"/>
      <c r="P612" s="245"/>
      <c r="Q612" s="253"/>
      <c r="R612" s="253"/>
      <c r="S612" s="253"/>
      <c r="T612" s="43"/>
    </row>
    <row r="613" spans="1:20">
      <c r="A613" s="43"/>
      <c r="B613" s="44"/>
      <c r="C613" s="44"/>
      <c r="D613" s="249"/>
      <c r="E613" s="44"/>
      <c r="F613" s="44"/>
      <c r="G613" s="43"/>
      <c r="H613" s="43"/>
      <c r="I613" s="43"/>
      <c r="J613" s="43"/>
      <c r="K613" s="43"/>
      <c r="L613" s="43"/>
      <c r="M613" s="43"/>
      <c r="N613" s="43"/>
      <c r="O613" s="43"/>
      <c r="P613" s="245"/>
      <c r="Q613" s="253"/>
      <c r="R613" s="253"/>
      <c r="S613" s="253"/>
      <c r="T613" s="43"/>
    </row>
    <row r="614" spans="1:20">
      <c r="A614" s="43"/>
      <c r="B614" s="44"/>
      <c r="C614" s="44"/>
      <c r="D614" s="44"/>
      <c r="E614" s="44"/>
      <c r="F614" s="44"/>
      <c r="G614" s="43"/>
      <c r="H614" s="43"/>
      <c r="I614" s="43"/>
      <c r="J614" s="43"/>
      <c r="K614" s="43"/>
      <c r="L614" s="43"/>
      <c r="M614" s="43"/>
      <c r="N614" s="43"/>
      <c r="O614" s="43"/>
      <c r="P614" s="245"/>
      <c r="Q614" s="253"/>
      <c r="R614" s="253"/>
      <c r="S614" s="253"/>
      <c r="T614" s="43"/>
    </row>
    <row r="615" spans="1:20">
      <c r="A615" s="332"/>
      <c r="B615" s="333"/>
      <c r="C615" s="333"/>
      <c r="D615" s="334"/>
      <c r="E615" s="333"/>
      <c r="F615" s="334"/>
      <c r="G615" s="332"/>
      <c r="H615" s="332"/>
      <c r="I615" s="332"/>
      <c r="J615" s="332"/>
      <c r="K615" s="332"/>
      <c r="L615" s="332"/>
      <c r="M615" s="332"/>
      <c r="N615" s="332"/>
      <c r="O615" s="332"/>
      <c r="P615" s="332"/>
      <c r="Q615" s="332"/>
      <c r="R615" s="332"/>
      <c r="S615" s="293"/>
      <c r="T615" s="332"/>
    </row>
    <row r="616" spans="1:20">
      <c r="A616" s="43"/>
      <c r="B616" s="44"/>
      <c r="C616" s="44"/>
      <c r="D616" s="249"/>
      <c r="E616" s="44"/>
      <c r="F616" s="44"/>
      <c r="G616" s="43"/>
      <c r="H616" s="43"/>
      <c r="I616" s="43"/>
      <c r="J616" s="43"/>
      <c r="K616" s="43"/>
      <c r="L616" s="43"/>
      <c r="M616" s="43"/>
      <c r="N616" s="43"/>
      <c r="O616" s="43"/>
      <c r="P616" s="245"/>
      <c r="Q616" s="253"/>
      <c r="R616" s="253"/>
      <c r="S616" s="253"/>
      <c r="T616" s="43"/>
    </row>
    <row r="617" spans="1:20">
      <c r="A617" s="43"/>
      <c r="B617" s="44"/>
      <c r="C617" s="44"/>
      <c r="D617" s="249"/>
      <c r="E617" s="44"/>
      <c r="F617" s="44"/>
      <c r="G617" s="43"/>
      <c r="H617" s="43"/>
      <c r="I617" s="43"/>
      <c r="J617" s="43"/>
      <c r="K617" s="43"/>
      <c r="L617" s="43"/>
      <c r="M617" s="43"/>
      <c r="N617" s="43"/>
      <c r="O617" s="43"/>
      <c r="P617" s="245"/>
      <c r="Q617" s="253"/>
      <c r="R617" s="253"/>
      <c r="S617" s="253"/>
      <c r="T617" s="43"/>
    </row>
    <row r="618" spans="1:20">
      <c r="A618" s="43"/>
      <c r="B618" s="44"/>
      <c r="C618" s="44"/>
      <c r="D618" s="249"/>
      <c r="E618" s="44"/>
      <c r="F618" s="44"/>
      <c r="G618" s="43"/>
      <c r="H618" s="43"/>
      <c r="I618" s="43"/>
      <c r="J618" s="43"/>
      <c r="K618" s="43"/>
      <c r="L618" s="43"/>
      <c r="M618" s="43"/>
      <c r="N618" s="43"/>
      <c r="O618" s="43"/>
      <c r="P618" s="245"/>
      <c r="Q618" s="253"/>
      <c r="R618" s="253"/>
      <c r="S618" s="253"/>
      <c r="T618" s="43"/>
    </row>
    <row r="619" spans="1:20">
      <c r="A619" s="43"/>
      <c r="B619" s="44"/>
      <c r="C619" s="44"/>
      <c r="D619" s="249"/>
      <c r="E619" s="44"/>
      <c r="F619" s="44"/>
      <c r="G619" s="43"/>
      <c r="H619" s="43"/>
      <c r="I619" s="43"/>
      <c r="J619" s="43"/>
      <c r="K619" s="43"/>
      <c r="L619" s="43"/>
      <c r="M619" s="43"/>
      <c r="N619" s="43"/>
      <c r="O619" s="43"/>
      <c r="P619" s="245"/>
      <c r="Q619" s="253"/>
      <c r="R619" s="253"/>
      <c r="S619" s="253"/>
      <c r="T619" s="43"/>
    </row>
    <row r="620" spans="1:20">
      <c r="A620" s="43"/>
      <c r="B620" s="44"/>
      <c r="C620" s="44"/>
      <c r="D620" s="249"/>
      <c r="E620" s="44"/>
      <c r="F620" s="44"/>
      <c r="G620" s="43"/>
      <c r="H620" s="43"/>
      <c r="I620" s="43"/>
      <c r="J620" s="43"/>
      <c r="K620" s="43"/>
      <c r="L620" s="43"/>
      <c r="M620" s="43"/>
      <c r="N620" s="43"/>
      <c r="O620" s="43"/>
      <c r="P620" s="245"/>
      <c r="Q620" s="253"/>
      <c r="R620" s="253"/>
      <c r="S620" s="253"/>
      <c r="T620" s="43"/>
    </row>
    <row r="621" spans="1:20">
      <c r="A621" s="43"/>
      <c r="B621" s="44"/>
      <c r="C621" s="44"/>
      <c r="D621" s="249"/>
      <c r="E621" s="44"/>
      <c r="F621" s="44"/>
      <c r="G621" s="43"/>
      <c r="H621" s="43"/>
      <c r="I621" s="43"/>
      <c r="J621" s="43"/>
      <c r="K621" s="43"/>
      <c r="L621" s="43"/>
      <c r="M621" s="43"/>
      <c r="N621" s="43"/>
      <c r="O621" s="43"/>
      <c r="P621" s="245"/>
      <c r="Q621" s="253"/>
      <c r="R621" s="253"/>
      <c r="S621" s="253"/>
      <c r="T621" s="43"/>
    </row>
    <row r="622" spans="1:20">
      <c r="A622" s="43"/>
      <c r="B622" s="43"/>
      <c r="C622" s="43"/>
      <c r="D622" s="75"/>
      <c r="E622" s="43"/>
      <c r="F622" s="43"/>
      <c r="G622" s="43"/>
      <c r="H622" s="43"/>
      <c r="I622" s="43"/>
      <c r="J622" s="43"/>
      <c r="K622" s="43"/>
      <c r="L622" s="43"/>
      <c r="M622" s="43"/>
      <c r="N622" s="43"/>
      <c r="O622" s="43"/>
      <c r="P622" s="245"/>
      <c r="Q622" s="253"/>
      <c r="R622" s="253"/>
      <c r="S622" s="253"/>
      <c r="T622" s="43"/>
    </row>
    <row r="623" spans="1:20">
      <c r="A623" s="43"/>
      <c r="B623" s="69"/>
      <c r="C623" s="69"/>
      <c r="D623" s="75"/>
      <c r="E623" s="43"/>
      <c r="F623" s="43"/>
      <c r="G623" s="43"/>
      <c r="H623" s="43"/>
      <c r="I623" s="43"/>
      <c r="J623" s="43"/>
      <c r="K623" s="43"/>
      <c r="L623" s="43"/>
      <c r="M623" s="43"/>
      <c r="N623" s="43"/>
      <c r="O623" s="43"/>
      <c r="P623" s="245"/>
      <c r="Q623" s="253"/>
      <c r="R623" s="253"/>
      <c r="S623" s="253"/>
      <c r="T623" s="43"/>
    </row>
    <row r="624" spans="1:20">
      <c r="A624" s="43"/>
      <c r="B624" s="69"/>
      <c r="C624" s="69"/>
      <c r="D624" s="75"/>
      <c r="E624" s="43"/>
      <c r="F624" s="43"/>
      <c r="G624" s="43"/>
      <c r="H624" s="43"/>
      <c r="I624" s="43"/>
      <c r="J624" s="43"/>
      <c r="K624" s="43"/>
      <c r="L624" s="43"/>
      <c r="M624" s="43"/>
      <c r="N624" s="43"/>
      <c r="O624" s="43"/>
      <c r="P624" s="245"/>
      <c r="Q624" s="253"/>
      <c r="R624" s="253"/>
      <c r="S624" s="253"/>
      <c r="T624" s="43"/>
    </row>
    <row r="625" spans="1:20">
      <c r="A625" s="43"/>
      <c r="B625" s="69"/>
      <c r="C625" s="69"/>
      <c r="D625" s="75"/>
      <c r="E625" s="43"/>
      <c r="F625" s="43"/>
      <c r="G625" s="43"/>
      <c r="H625" s="43"/>
      <c r="I625" s="43"/>
      <c r="J625" s="43"/>
      <c r="K625" s="43"/>
      <c r="L625" s="43"/>
      <c r="M625" s="43"/>
      <c r="N625" s="43"/>
      <c r="O625" s="43"/>
      <c r="P625" s="245"/>
      <c r="Q625" s="253"/>
      <c r="R625" s="253"/>
      <c r="S625" s="253"/>
      <c r="T625" s="43"/>
    </row>
    <row r="626" spans="1:20">
      <c r="A626" s="43"/>
      <c r="B626" s="69"/>
      <c r="C626" s="69"/>
      <c r="D626" s="75"/>
      <c r="E626" s="44"/>
      <c r="F626" s="44"/>
      <c r="G626" s="43"/>
      <c r="H626" s="43"/>
      <c r="I626" s="43"/>
      <c r="J626" s="43"/>
      <c r="K626" s="43"/>
      <c r="L626" s="43"/>
      <c r="M626" s="43"/>
      <c r="N626" s="43"/>
      <c r="O626" s="43"/>
      <c r="P626" s="245"/>
      <c r="Q626" s="253"/>
      <c r="R626" s="253"/>
      <c r="S626" s="253"/>
      <c r="T626" s="43"/>
    </row>
    <row r="627" spans="1:20">
      <c r="A627" s="43"/>
      <c r="B627" s="69"/>
      <c r="C627" s="69"/>
      <c r="D627" s="75"/>
      <c r="E627" s="44"/>
      <c r="F627" s="44"/>
      <c r="G627" s="43"/>
      <c r="H627" s="43"/>
      <c r="I627" s="43"/>
      <c r="J627" s="43"/>
      <c r="K627" s="43"/>
      <c r="L627" s="43"/>
      <c r="M627" s="43"/>
      <c r="N627" s="43"/>
      <c r="O627" s="43"/>
      <c r="P627" s="245"/>
      <c r="Q627" s="253"/>
      <c r="R627" s="253"/>
      <c r="S627" s="253"/>
      <c r="T627" s="43"/>
    </row>
    <row r="628" spans="1:20">
      <c r="A628" s="43"/>
      <c r="B628" s="69"/>
      <c r="C628" s="69"/>
      <c r="D628" s="75"/>
      <c r="E628" s="271"/>
      <c r="F628" s="44"/>
      <c r="G628" s="43"/>
      <c r="H628" s="43"/>
      <c r="I628" s="43"/>
      <c r="J628" s="43"/>
      <c r="K628" s="43"/>
      <c r="L628" s="43"/>
      <c r="M628" s="43"/>
      <c r="N628" s="43"/>
      <c r="O628" s="43"/>
      <c r="P628" s="245"/>
      <c r="Q628" s="253"/>
      <c r="R628" s="253"/>
      <c r="S628" s="253"/>
      <c r="T628" s="43"/>
    </row>
    <row r="629" spans="1:20">
      <c r="A629" s="43"/>
      <c r="B629" s="69"/>
      <c r="C629" s="69"/>
      <c r="D629" s="75"/>
      <c r="E629" s="271"/>
      <c r="F629" s="44"/>
      <c r="G629" s="43"/>
      <c r="H629" s="43"/>
      <c r="I629" s="43"/>
      <c r="J629" s="43"/>
      <c r="K629" s="43"/>
      <c r="L629" s="43"/>
      <c r="M629" s="43"/>
      <c r="N629" s="43"/>
      <c r="O629" s="43"/>
      <c r="P629" s="245"/>
      <c r="Q629" s="253"/>
      <c r="R629" s="253"/>
      <c r="S629" s="253"/>
      <c r="T629" s="43"/>
    </row>
    <row r="630" spans="1:20">
      <c r="A630" s="43"/>
      <c r="B630" s="69"/>
      <c r="C630" s="69"/>
      <c r="D630" s="75"/>
      <c r="E630" s="271"/>
      <c r="F630" s="44"/>
      <c r="G630" s="43"/>
      <c r="H630" s="43"/>
      <c r="I630" s="43"/>
      <c r="J630" s="43"/>
      <c r="K630" s="43"/>
      <c r="L630" s="43"/>
      <c r="M630" s="43"/>
      <c r="N630" s="43"/>
      <c r="O630" s="43"/>
      <c r="P630" s="245"/>
      <c r="Q630" s="253"/>
      <c r="R630" s="253"/>
      <c r="S630" s="253"/>
      <c r="T630" s="43"/>
    </row>
    <row r="631" spans="1:20">
      <c r="A631" s="43"/>
      <c r="B631" s="102"/>
      <c r="C631" s="102"/>
      <c r="D631" s="75"/>
      <c r="E631" s="271"/>
      <c r="F631" s="44"/>
      <c r="G631" s="43"/>
      <c r="H631" s="43"/>
      <c r="I631" s="43"/>
      <c r="J631" s="43"/>
      <c r="K631" s="43"/>
      <c r="L631" s="43"/>
      <c r="M631" s="43"/>
      <c r="N631" s="43"/>
      <c r="O631" s="43"/>
      <c r="P631" s="245"/>
      <c r="Q631" s="253"/>
      <c r="R631" s="253"/>
      <c r="S631" s="253"/>
      <c r="T631" s="43"/>
    </row>
    <row r="632" spans="1:20">
      <c r="A632" s="43"/>
      <c r="B632" s="69"/>
      <c r="C632" s="69"/>
      <c r="D632" s="249"/>
      <c r="E632" s="271"/>
      <c r="F632" s="44"/>
      <c r="G632" s="43"/>
      <c r="H632" s="43"/>
      <c r="I632" s="43"/>
      <c r="J632" s="43"/>
      <c r="K632" s="43"/>
      <c r="L632" s="43"/>
      <c r="M632" s="43"/>
      <c r="N632" s="43"/>
      <c r="O632" s="43"/>
      <c r="P632" s="245"/>
      <c r="Q632" s="253"/>
      <c r="R632" s="253"/>
      <c r="S632" s="253"/>
      <c r="T632" s="43"/>
    </row>
    <row r="633" spans="1:20">
      <c r="A633" s="43"/>
      <c r="B633" s="69"/>
      <c r="C633" s="69"/>
      <c r="D633" s="341"/>
      <c r="E633" s="271"/>
      <c r="F633" s="44"/>
      <c r="G633" s="43"/>
      <c r="H633" s="43"/>
      <c r="I633" s="43"/>
      <c r="J633" s="43"/>
      <c r="K633" s="43"/>
      <c r="L633" s="43"/>
      <c r="M633" s="43"/>
      <c r="N633" s="43"/>
      <c r="O633" s="43"/>
      <c r="P633" s="245"/>
      <c r="Q633" s="253"/>
      <c r="R633" s="253"/>
      <c r="S633" s="253"/>
      <c r="T633" s="43"/>
    </row>
    <row r="634" spans="1:20">
      <c r="A634" s="43"/>
      <c r="B634" s="69"/>
      <c r="C634" s="69"/>
      <c r="D634" s="341"/>
      <c r="E634" s="271"/>
      <c r="F634" s="44"/>
      <c r="G634" s="43"/>
      <c r="H634" s="43"/>
      <c r="I634" s="43"/>
      <c r="J634" s="43"/>
      <c r="K634" s="43"/>
      <c r="L634" s="43"/>
      <c r="M634" s="43"/>
      <c r="N634" s="43"/>
      <c r="O634" s="43"/>
      <c r="P634" s="245"/>
      <c r="Q634" s="253"/>
      <c r="R634" s="253"/>
      <c r="S634" s="253"/>
      <c r="T634" s="43"/>
    </row>
    <row r="635" spans="1:20">
      <c r="A635" s="43"/>
      <c r="B635" s="69"/>
      <c r="C635" s="69"/>
      <c r="D635" s="249"/>
      <c r="E635" s="271"/>
      <c r="F635" s="44"/>
      <c r="G635" s="43"/>
      <c r="H635" s="43"/>
      <c r="I635" s="43"/>
      <c r="J635" s="43"/>
      <c r="K635" s="43"/>
      <c r="L635" s="43"/>
      <c r="M635" s="43"/>
      <c r="N635" s="43"/>
      <c r="O635" s="43"/>
      <c r="P635" s="245"/>
      <c r="Q635" s="253"/>
      <c r="R635" s="253"/>
      <c r="S635" s="253"/>
      <c r="T635" s="43"/>
    </row>
    <row r="636" spans="1:20">
      <c r="A636" s="43"/>
      <c r="B636" s="102"/>
      <c r="C636" s="102"/>
      <c r="D636" s="249"/>
      <c r="E636" s="271"/>
      <c r="F636" s="44"/>
      <c r="G636" s="43"/>
      <c r="H636" s="43"/>
      <c r="I636" s="43"/>
      <c r="J636" s="43"/>
      <c r="K636" s="43"/>
      <c r="L636" s="43"/>
      <c r="M636" s="43"/>
      <c r="N636" s="43"/>
      <c r="O636" s="43"/>
      <c r="P636" s="245"/>
      <c r="Q636" s="253"/>
      <c r="R636" s="253"/>
      <c r="S636" s="253"/>
      <c r="T636" s="43"/>
    </row>
    <row r="637" spans="1:20">
      <c r="A637" s="43"/>
      <c r="B637" s="44"/>
      <c r="C637" s="44"/>
      <c r="D637" s="249"/>
      <c r="E637" s="69"/>
      <c r="F637" s="69"/>
      <c r="G637" s="43"/>
      <c r="H637" s="43"/>
      <c r="I637" s="43"/>
      <c r="J637" s="43"/>
      <c r="K637" s="43"/>
      <c r="L637" s="43"/>
      <c r="M637" s="43"/>
      <c r="N637" s="43"/>
      <c r="O637" s="43"/>
      <c r="P637" s="245"/>
      <c r="Q637" s="253"/>
      <c r="R637" s="253"/>
      <c r="S637" s="253"/>
      <c r="T637" s="43"/>
    </row>
    <row r="638" spans="1:20">
      <c r="A638" s="43"/>
      <c r="B638" s="44"/>
      <c r="C638" s="44"/>
      <c r="D638" s="249"/>
      <c r="E638" s="69"/>
      <c r="F638" s="69"/>
      <c r="G638" s="43"/>
      <c r="H638" s="43"/>
      <c r="I638" s="43"/>
      <c r="J638" s="43"/>
      <c r="K638" s="43"/>
      <c r="L638" s="43"/>
      <c r="M638" s="43"/>
      <c r="N638" s="43"/>
      <c r="O638" s="43"/>
      <c r="P638" s="245"/>
      <c r="Q638" s="253"/>
      <c r="R638" s="253"/>
      <c r="S638" s="253"/>
      <c r="T638" s="43"/>
    </row>
    <row r="639" spans="1:20">
      <c r="A639" s="43"/>
      <c r="B639" s="102"/>
      <c r="C639" s="102"/>
      <c r="D639" s="249"/>
      <c r="E639" s="271"/>
      <c r="F639" s="44"/>
      <c r="G639" s="43"/>
      <c r="H639" s="43"/>
      <c r="I639" s="43"/>
      <c r="J639" s="43"/>
      <c r="K639" s="43"/>
      <c r="L639" s="43"/>
      <c r="M639" s="43"/>
      <c r="N639" s="43"/>
      <c r="O639" s="43"/>
      <c r="P639" s="245"/>
      <c r="Q639" s="253"/>
      <c r="R639" s="253"/>
      <c r="S639" s="253"/>
      <c r="T639" s="43"/>
    </row>
    <row r="640" spans="1:20">
      <c r="A640" s="43"/>
      <c r="B640" s="69"/>
      <c r="C640" s="69"/>
      <c r="D640" s="249"/>
      <c r="E640" s="44"/>
      <c r="F640" s="44"/>
      <c r="G640" s="43"/>
      <c r="H640" s="43"/>
      <c r="I640" s="43"/>
      <c r="J640" s="43"/>
      <c r="K640" s="43"/>
      <c r="L640" s="43"/>
      <c r="M640" s="43"/>
      <c r="N640" s="43"/>
      <c r="O640" s="43"/>
      <c r="P640" s="245"/>
      <c r="Q640" s="253"/>
      <c r="R640" s="253"/>
      <c r="S640" s="253"/>
      <c r="T640" s="43"/>
    </row>
    <row r="641" spans="1:20">
      <c r="A641" s="43"/>
      <c r="B641" s="102"/>
      <c r="C641" s="102"/>
      <c r="D641" s="341"/>
      <c r="E641" s="44"/>
      <c r="F641" s="44"/>
      <c r="G641" s="43"/>
      <c r="H641" s="43"/>
      <c r="I641" s="43"/>
      <c r="J641" s="43"/>
      <c r="K641" s="43"/>
      <c r="L641" s="43"/>
      <c r="M641" s="43"/>
      <c r="N641" s="43"/>
      <c r="O641" s="43"/>
      <c r="P641" s="245"/>
      <c r="Q641" s="253"/>
      <c r="R641" s="253"/>
      <c r="S641" s="253"/>
      <c r="T641" s="43"/>
    </row>
    <row r="642" spans="1:20">
      <c r="A642" s="43"/>
      <c r="B642" s="102"/>
      <c r="C642" s="102"/>
      <c r="D642" s="249"/>
      <c r="E642" s="44"/>
      <c r="F642" s="44"/>
      <c r="G642" s="43"/>
      <c r="H642" s="43"/>
      <c r="I642" s="43"/>
      <c r="J642" s="43"/>
      <c r="K642" s="43"/>
      <c r="L642" s="43"/>
      <c r="M642" s="43"/>
      <c r="N642" s="43"/>
      <c r="O642" s="43"/>
      <c r="P642" s="245"/>
      <c r="Q642" s="253"/>
      <c r="R642" s="253"/>
      <c r="S642" s="253"/>
      <c r="T642" s="43"/>
    </row>
    <row r="643" spans="1:20">
      <c r="A643" s="43"/>
      <c r="B643" s="69"/>
      <c r="C643" s="69"/>
      <c r="D643" s="249"/>
      <c r="E643" s="44"/>
      <c r="F643" s="44"/>
      <c r="G643" s="43"/>
      <c r="H643" s="43"/>
      <c r="I643" s="43"/>
      <c r="J643" s="43"/>
      <c r="K643" s="43"/>
      <c r="L643" s="43"/>
      <c r="M643" s="43"/>
      <c r="N643" s="43"/>
      <c r="O643" s="43"/>
      <c r="P643" s="245"/>
      <c r="Q643" s="253"/>
      <c r="R643" s="253"/>
      <c r="S643" s="253"/>
      <c r="T643" s="43"/>
    </row>
    <row r="644" spans="1:20">
      <c r="A644" s="43"/>
      <c r="B644" s="69"/>
      <c r="C644" s="69"/>
      <c r="D644" s="249"/>
      <c r="E644" s="44"/>
      <c r="F644" s="69"/>
      <c r="G644" s="43"/>
      <c r="H644" s="43"/>
      <c r="I644" s="43"/>
      <c r="J644" s="43"/>
      <c r="K644" s="43"/>
      <c r="L644" s="43"/>
      <c r="M644" s="43"/>
      <c r="N644" s="43"/>
      <c r="O644" s="43"/>
      <c r="P644" s="245"/>
      <c r="Q644" s="253"/>
      <c r="R644" s="253"/>
      <c r="S644" s="253"/>
      <c r="T644" s="43"/>
    </row>
    <row r="645" spans="1:20">
      <c r="A645" s="43"/>
      <c r="B645" s="69"/>
      <c r="C645" s="69"/>
      <c r="D645" s="249"/>
      <c r="E645" s="44"/>
      <c r="F645" s="69"/>
      <c r="G645" s="43"/>
      <c r="H645" s="43"/>
      <c r="I645" s="43"/>
      <c r="J645" s="43"/>
      <c r="K645" s="43"/>
      <c r="L645" s="43"/>
      <c r="M645" s="43"/>
      <c r="N645" s="43"/>
      <c r="O645" s="43"/>
      <c r="P645" s="245"/>
      <c r="Q645" s="253"/>
      <c r="R645" s="253"/>
      <c r="S645" s="253"/>
      <c r="T645" s="43"/>
    </row>
    <row r="646" spans="1:20">
      <c r="A646" s="43"/>
      <c r="B646" s="102"/>
      <c r="C646" s="102"/>
      <c r="D646" s="341"/>
      <c r="E646" s="44"/>
      <c r="F646" s="44"/>
      <c r="G646" s="43"/>
      <c r="H646" s="43"/>
      <c r="I646" s="43"/>
      <c r="J646" s="43"/>
      <c r="K646" s="43"/>
      <c r="L646" s="43"/>
      <c r="M646" s="43"/>
      <c r="N646" s="43"/>
      <c r="O646" s="43"/>
      <c r="P646" s="245"/>
      <c r="Q646" s="253"/>
      <c r="R646" s="253"/>
      <c r="S646" s="253"/>
      <c r="T646" s="43"/>
    </row>
    <row r="647" spans="1:20">
      <c r="A647" s="43"/>
      <c r="B647" s="102"/>
      <c r="C647" s="102"/>
      <c r="D647" s="249"/>
      <c r="E647" s="44"/>
      <c r="F647" s="69"/>
      <c r="G647" s="43"/>
      <c r="H647" s="43"/>
      <c r="I647" s="43"/>
      <c r="J647" s="43"/>
      <c r="K647" s="43"/>
      <c r="L647" s="43"/>
      <c r="M647" s="43"/>
      <c r="N647" s="43"/>
      <c r="O647" s="43"/>
      <c r="P647" s="245"/>
      <c r="Q647" s="253"/>
      <c r="R647" s="253"/>
      <c r="S647" s="253"/>
      <c r="T647" s="43"/>
    </row>
    <row r="648" spans="1:20">
      <c r="A648" s="43"/>
      <c r="B648" s="44"/>
      <c r="C648" s="44"/>
      <c r="D648" s="44"/>
      <c r="E648" s="43"/>
      <c r="F648" s="43"/>
      <c r="G648" s="43"/>
      <c r="H648" s="43"/>
      <c r="I648" s="43"/>
      <c r="J648" s="43"/>
      <c r="K648" s="43"/>
      <c r="L648" s="43"/>
      <c r="M648" s="43"/>
      <c r="N648" s="43"/>
      <c r="O648" s="43"/>
      <c r="P648" s="245"/>
      <c r="Q648" s="253"/>
      <c r="R648" s="253"/>
      <c r="S648" s="253"/>
      <c r="T648" s="43"/>
    </row>
    <row r="649" spans="1:20">
      <c r="A649" s="43"/>
      <c r="B649" s="44"/>
      <c r="C649" s="44"/>
      <c r="D649" s="75"/>
      <c r="E649" s="43"/>
      <c r="F649" s="43"/>
      <c r="G649" s="43"/>
      <c r="H649" s="43"/>
      <c r="I649" s="43"/>
      <c r="J649" s="43"/>
      <c r="K649" s="43"/>
      <c r="L649" s="43"/>
      <c r="M649" s="43"/>
      <c r="N649" s="43"/>
      <c r="O649" s="43"/>
      <c r="P649" s="245"/>
      <c r="Q649" s="253"/>
      <c r="R649" s="253"/>
      <c r="S649" s="253"/>
      <c r="T649" s="43"/>
    </row>
    <row r="650" spans="1:20">
      <c r="A650" s="43"/>
      <c r="B650" s="44"/>
      <c r="C650" s="44"/>
      <c r="D650" s="75"/>
      <c r="E650" s="43"/>
      <c r="F650" s="43"/>
      <c r="G650" s="43"/>
      <c r="H650" s="43"/>
      <c r="I650" s="43"/>
      <c r="J650" s="43"/>
      <c r="K650" s="43"/>
      <c r="L650" s="43"/>
      <c r="M650" s="43"/>
      <c r="N650" s="43"/>
      <c r="O650" s="43"/>
      <c r="P650" s="245"/>
      <c r="Q650" s="253"/>
      <c r="R650" s="253"/>
      <c r="S650" s="253"/>
      <c r="T650" s="43"/>
    </row>
    <row r="651" spans="1:20">
      <c r="A651" s="43"/>
      <c r="B651" s="44"/>
      <c r="C651" s="44"/>
      <c r="D651" s="75"/>
      <c r="E651" s="43"/>
      <c r="F651" s="43"/>
      <c r="G651" s="43"/>
      <c r="H651" s="43"/>
      <c r="I651" s="43"/>
      <c r="J651" s="43"/>
      <c r="K651" s="43"/>
      <c r="L651" s="43"/>
      <c r="M651" s="43"/>
      <c r="N651" s="43"/>
      <c r="O651" s="43"/>
      <c r="P651" s="245"/>
      <c r="Q651" s="253"/>
      <c r="R651" s="253"/>
      <c r="S651" s="253"/>
      <c r="T651" s="43"/>
    </row>
    <row r="652" spans="1:20">
      <c r="A652" s="43"/>
      <c r="B652" s="44"/>
      <c r="C652" s="44"/>
      <c r="D652" s="75"/>
      <c r="E652" s="43"/>
      <c r="F652" s="43"/>
      <c r="G652" s="43"/>
      <c r="H652" s="43"/>
      <c r="I652" s="43"/>
      <c r="J652" s="43"/>
      <c r="K652" s="43"/>
      <c r="L652" s="43"/>
      <c r="M652" s="43"/>
      <c r="N652" s="43"/>
      <c r="O652" s="43"/>
      <c r="P652" s="245"/>
      <c r="Q652" s="253"/>
      <c r="R652" s="253"/>
      <c r="S652" s="253"/>
      <c r="T652" s="43"/>
    </row>
    <row r="653" spans="1:20">
      <c r="A653" s="43"/>
      <c r="B653" s="44"/>
      <c r="C653" s="44"/>
      <c r="D653" s="75"/>
      <c r="E653" s="43"/>
      <c r="F653" s="43"/>
      <c r="G653" s="43"/>
      <c r="H653" s="43"/>
      <c r="I653" s="43"/>
      <c r="J653" s="43"/>
      <c r="K653" s="43"/>
      <c r="L653" s="43"/>
      <c r="M653" s="43"/>
      <c r="N653" s="43"/>
      <c r="O653" s="43"/>
      <c r="P653" s="245"/>
      <c r="Q653" s="253"/>
      <c r="R653" s="253"/>
      <c r="S653" s="253"/>
      <c r="T653" s="43"/>
    </row>
    <row r="654" spans="1:20">
      <c r="A654" s="43"/>
      <c r="B654" s="44"/>
      <c r="C654" s="44"/>
      <c r="D654" s="75"/>
      <c r="E654" s="43"/>
      <c r="F654" s="43"/>
      <c r="G654" s="43"/>
      <c r="H654" s="43"/>
      <c r="I654" s="43"/>
      <c r="J654" s="43"/>
      <c r="K654" s="43"/>
      <c r="L654" s="43"/>
      <c r="M654" s="43"/>
      <c r="N654" s="43"/>
      <c r="O654" s="43"/>
      <c r="P654" s="245"/>
      <c r="Q654" s="253"/>
      <c r="R654" s="253"/>
      <c r="S654" s="253"/>
      <c r="T654" s="43"/>
    </row>
    <row r="655" spans="1:20">
      <c r="A655" s="43"/>
      <c r="B655" s="44"/>
      <c r="C655" s="44"/>
      <c r="D655" s="75"/>
      <c r="E655" s="43"/>
      <c r="F655" s="43"/>
      <c r="G655" s="43"/>
      <c r="H655" s="43"/>
      <c r="I655" s="43"/>
      <c r="J655" s="43"/>
      <c r="K655" s="43"/>
      <c r="L655" s="43"/>
      <c r="M655" s="43"/>
      <c r="N655" s="43"/>
      <c r="O655" s="43"/>
      <c r="P655" s="245"/>
      <c r="Q655" s="253"/>
      <c r="R655" s="253"/>
      <c r="S655" s="253"/>
      <c r="T655" s="43"/>
    </row>
    <row r="656" spans="1:20">
      <c r="A656" s="43"/>
      <c r="B656" s="44"/>
      <c r="C656" s="44"/>
      <c r="D656" s="75"/>
      <c r="E656" s="43"/>
      <c r="F656" s="43"/>
      <c r="G656" s="43"/>
      <c r="H656" s="43"/>
      <c r="I656" s="43"/>
      <c r="J656" s="43"/>
      <c r="K656" s="43"/>
      <c r="L656" s="43"/>
      <c r="M656" s="43"/>
      <c r="N656" s="43"/>
      <c r="O656" s="43"/>
      <c r="P656" s="245"/>
      <c r="Q656" s="253"/>
      <c r="R656" s="253"/>
      <c r="S656" s="253"/>
      <c r="T656" s="43"/>
    </row>
    <row r="657" spans="1:20">
      <c r="A657" s="43"/>
      <c r="B657" s="44"/>
      <c r="C657" s="44"/>
      <c r="D657" s="75"/>
      <c r="E657" s="43"/>
      <c r="F657" s="43"/>
      <c r="G657" s="43"/>
      <c r="H657" s="43"/>
      <c r="I657" s="43"/>
      <c r="J657" s="43"/>
      <c r="K657" s="43"/>
      <c r="L657" s="43"/>
      <c r="M657" s="43"/>
      <c r="N657" s="43"/>
      <c r="O657" s="43"/>
      <c r="P657" s="245"/>
      <c r="Q657" s="253"/>
      <c r="R657" s="253"/>
      <c r="S657" s="253"/>
      <c r="T657" s="43"/>
    </row>
    <row r="658" spans="1:20">
      <c r="A658" s="43"/>
      <c r="B658" s="44"/>
      <c r="C658" s="44"/>
      <c r="D658" s="44"/>
      <c r="E658" s="43"/>
      <c r="F658" s="43"/>
      <c r="G658" s="43"/>
      <c r="H658" s="43"/>
      <c r="I658" s="43"/>
      <c r="J658" s="43"/>
      <c r="K658" s="43"/>
      <c r="L658" s="43"/>
      <c r="M658" s="43"/>
      <c r="N658" s="43"/>
      <c r="O658" s="43"/>
      <c r="P658" s="245"/>
      <c r="Q658" s="253"/>
      <c r="R658" s="253"/>
      <c r="S658" s="253"/>
      <c r="T658" s="43"/>
    </row>
    <row r="659" spans="1:20">
      <c r="A659" s="43"/>
      <c r="B659" s="44"/>
      <c r="C659" s="44"/>
      <c r="D659" s="44"/>
      <c r="E659" s="43"/>
      <c r="F659" s="43"/>
      <c r="G659" s="43"/>
      <c r="H659" s="43"/>
      <c r="I659" s="43"/>
      <c r="J659" s="43"/>
      <c r="K659" s="43"/>
      <c r="L659" s="43"/>
      <c r="M659" s="43"/>
      <c r="N659" s="43"/>
      <c r="O659" s="43"/>
      <c r="P659" s="245"/>
      <c r="Q659" s="253"/>
      <c r="R659" s="253"/>
      <c r="S659" s="253"/>
      <c r="T659" s="43"/>
    </row>
    <row r="660" spans="1:20">
      <c r="A660" s="43"/>
      <c r="B660" s="44"/>
      <c r="C660" s="44"/>
      <c r="D660" s="44"/>
      <c r="E660" s="43"/>
      <c r="F660" s="43"/>
      <c r="G660" s="43"/>
      <c r="H660" s="43"/>
      <c r="I660" s="43"/>
      <c r="J660" s="43"/>
      <c r="K660" s="43"/>
      <c r="L660" s="43"/>
      <c r="M660" s="43"/>
      <c r="N660" s="43"/>
      <c r="O660" s="43"/>
      <c r="P660" s="245"/>
      <c r="Q660" s="253"/>
      <c r="R660" s="253"/>
      <c r="S660" s="253"/>
      <c r="T660" s="43"/>
    </row>
    <row r="661" spans="1:20">
      <c r="A661" s="43"/>
      <c r="B661" s="44"/>
      <c r="C661" s="44"/>
      <c r="D661" s="75"/>
      <c r="E661" s="43"/>
      <c r="F661" s="43"/>
      <c r="G661" s="43"/>
      <c r="H661" s="43"/>
      <c r="I661" s="43"/>
      <c r="J661" s="43"/>
      <c r="K661" s="43"/>
      <c r="L661" s="43"/>
      <c r="M661" s="43"/>
      <c r="N661" s="43"/>
      <c r="O661" s="43"/>
      <c r="P661" s="245"/>
      <c r="Q661" s="253"/>
      <c r="R661" s="253"/>
      <c r="S661" s="253"/>
      <c r="T661" s="43"/>
    </row>
    <row r="662" spans="1:20">
      <c r="A662" s="43"/>
      <c r="B662" s="44"/>
      <c r="C662" s="44"/>
      <c r="D662" s="75"/>
      <c r="E662" s="43"/>
      <c r="F662" s="43"/>
      <c r="G662" s="43"/>
      <c r="H662" s="43"/>
      <c r="I662" s="43"/>
      <c r="J662" s="43"/>
      <c r="K662" s="43"/>
      <c r="L662" s="43"/>
      <c r="M662" s="43"/>
      <c r="N662" s="43"/>
      <c r="O662" s="43"/>
      <c r="P662" s="245"/>
      <c r="Q662" s="253"/>
      <c r="R662" s="253"/>
      <c r="S662" s="253"/>
      <c r="T662" s="43"/>
    </row>
    <row r="663" spans="1:20">
      <c r="A663" s="43"/>
      <c r="B663" s="44"/>
      <c r="C663" s="44"/>
      <c r="D663" s="75"/>
      <c r="E663" s="43"/>
      <c r="F663" s="43"/>
      <c r="G663" s="43"/>
      <c r="H663" s="43"/>
      <c r="I663" s="43"/>
      <c r="J663" s="43"/>
      <c r="K663" s="43"/>
      <c r="L663" s="43"/>
      <c r="M663" s="43"/>
      <c r="N663" s="43"/>
      <c r="O663" s="43"/>
      <c r="P663" s="245"/>
      <c r="Q663" s="253"/>
      <c r="R663" s="253"/>
      <c r="S663" s="253"/>
      <c r="T663" s="43"/>
    </row>
    <row r="664" spans="1:20">
      <c r="A664" s="43"/>
      <c r="B664" s="44"/>
      <c r="C664" s="44"/>
      <c r="D664" s="75"/>
      <c r="E664" s="43"/>
      <c r="F664" s="43"/>
      <c r="G664" s="43"/>
      <c r="H664" s="43"/>
      <c r="I664" s="43"/>
      <c r="J664" s="43"/>
      <c r="K664" s="43"/>
      <c r="L664" s="43"/>
      <c r="M664" s="43"/>
      <c r="N664" s="43"/>
      <c r="O664" s="43"/>
      <c r="P664" s="245"/>
      <c r="Q664" s="253"/>
      <c r="R664" s="253"/>
      <c r="S664" s="253"/>
      <c r="T664" s="43"/>
    </row>
    <row r="665" spans="1:20">
      <c r="A665" s="43"/>
      <c r="B665" s="44"/>
      <c r="C665" s="44"/>
      <c r="D665" s="75"/>
      <c r="E665" s="43"/>
      <c r="F665" s="43"/>
      <c r="G665" s="43"/>
      <c r="H665" s="43"/>
      <c r="I665" s="43"/>
      <c r="J665" s="43"/>
      <c r="K665" s="43"/>
      <c r="L665" s="43"/>
      <c r="M665" s="43"/>
      <c r="N665" s="43"/>
      <c r="O665" s="43"/>
      <c r="P665" s="245"/>
      <c r="Q665" s="253"/>
      <c r="R665" s="253"/>
      <c r="S665" s="253"/>
      <c r="T665" s="43"/>
    </row>
    <row r="666" spans="1:20">
      <c r="A666" s="43"/>
      <c r="B666" s="44"/>
      <c r="C666" s="44"/>
      <c r="D666" s="75"/>
      <c r="E666" s="43"/>
      <c r="F666" s="43"/>
      <c r="G666" s="43"/>
      <c r="H666" s="43"/>
      <c r="I666" s="43"/>
      <c r="J666" s="43"/>
      <c r="K666" s="43"/>
      <c r="L666" s="43"/>
      <c r="M666" s="43"/>
      <c r="N666" s="43"/>
      <c r="O666" s="43"/>
      <c r="P666" s="245"/>
      <c r="Q666" s="253"/>
      <c r="R666" s="253"/>
      <c r="S666" s="253"/>
      <c r="T666" s="43"/>
    </row>
    <row r="667" spans="1:20">
      <c r="A667" s="43"/>
      <c r="B667" s="44"/>
      <c r="C667" s="44"/>
      <c r="D667" s="75"/>
      <c r="E667" s="43"/>
      <c r="F667" s="43"/>
      <c r="G667" s="43"/>
      <c r="H667" s="43"/>
      <c r="I667" s="43"/>
      <c r="J667" s="43"/>
      <c r="K667" s="43"/>
      <c r="L667" s="43"/>
      <c r="M667" s="43"/>
      <c r="N667" s="43"/>
      <c r="O667" s="43"/>
      <c r="P667" s="245"/>
      <c r="Q667" s="253"/>
      <c r="R667" s="253"/>
      <c r="S667" s="253"/>
      <c r="T667" s="43"/>
    </row>
    <row r="668" spans="1:20">
      <c r="A668" s="43"/>
      <c r="B668" s="44"/>
      <c r="C668" s="44"/>
      <c r="D668" s="75"/>
      <c r="E668" s="43"/>
      <c r="F668" s="43"/>
      <c r="G668" s="43"/>
      <c r="H668" s="43"/>
      <c r="I668" s="43"/>
      <c r="J668" s="43"/>
      <c r="K668" s="43"/>
      <c r="L668" s="43"/>
      <c r="M668" s="43"/>
      <c r="N668" s="43"/>
      <c r="O668" s="43"/>
      <c r="P668" s="245"/>
      <c r="Q668" s="253"/>
      <c r="R668" s="253"/>
      <c r="S668" s="253"/>
      <c r="T668" s="43"/>
    </row>
    <row r="669" spans="1:20">
      <c r="A669" s="43"/>
      <c r="B669" s="44"/>
      <c r="C669" s="44"/>
      <c r="D669" s="75"/>
      <c r="E669" s="43"/>
      <c r="F669" s="43"/>
      <c r="G669" s="43"/>
      <c r="H669" s="43"/>
      <c r="I669" s="43"/>
      <c r="J669" s="43"/>
      <c r="K669" s="43"/>
      <c r="L669" s="43"/>
      <c r="M669" s="43"/>
      <c r="N669" s="43"/>
      <c r="O669" s="43"/>
      <c r="P669" s="245"/>
      <c r="Q669" s="253"/>
      <c r="R669" s="253"/>
      <c r="S669" s="253"/>
      <c r="T669" s="43"/>
    </row>
    <row r="670" spans="1:20">
      <c r="A670" s="43"/>
      <c r="B670" s="44"/>
      <c r="C670" s="44"/>
      <c r="D670" s="75"/>
      <c r="E670" s="43"/>
      <c r="F670" s="43"/>
      <c r="G670" s="43"/>
      <c r="H670" s="43"/>
      <c r="I670" s="43"/>
      <c r="J670" s="43"/>
      <c r="K670" s="43"/>
      <c r="L670" s="43"/>
      <c r="M670" s="43"/>
      <c r="N670" s="43"/>
      <c r="O670" s="43"/>
      <c r="P670" s="245"/>
      <c r="Q670" s="253"/>
      <c r="R670" s="253"/>
      <c r="S670" s="253"/>
      <c r="T670" s="43"/>
    </row>
    <row r="671" spans="1:20">
      <c r="A671" s="43"/>
      <c r="B671" s="44"/>
      <c r="C671" s="44"/>
      <c r="D671" s="75"/>
      <c r="E671" s="43"/>
      <c r="F671" s="43"/>
      <c r="G671" s="43"/>
      <c r="H671" s="43"/>
      <c r="I671" s="43"/>
      <c r="J671" s="43"/>
      <c r="K671" s="43"/>
      <c r="L671" s="43"/>
      <c r="M671" s="43"/>
      <c r="N671" s="43"/>
      <c r="O671" s="43"/>
      <c r="P671" s="245"/>
      <c r="Q671" s="253"/>
      <c r="R671" s="253"/>
      <c r="S671" s="253"/>
      <c r="T671" s="43"/>
    </row>
    <row r="672" spans="1:20">
      <c r="A672" s="43"/>
      <c r="B672" s="44"/>
      <c r="C672" s="44"/>
      <c r="D672" s="75"/>
      <c r="E672" s="43"/>
      <c r="F672" s="43"/>
      <c r="G672" s="43"/>
      <c r="H672" s="43"/>
      <c r="I672" s="43"/>
      <c r="J672" s="43"/>
      <c r="K672" s="43"/>
      <c r="L672" s="43"/>
      <c r="M672" s="43"/>
      <c r="N672" s="43"/>
      <c r="O672" s="43"/>
      <c r="P672" s="245"/>
      <c r="Q672" s="253"/>
      <c r="R672" s="253"/>
      <c r="S672" s="253"/>
      <c r="T672" s="43"/>
    </row>
    <row r="673" spans="1:20">
      <c r="A673" s="43"/>
      <c r="B673" s="44"/>
      <c r="C673" s="44"/>
      <c r="D673" s="75"/>
      <c r="E673" s="43"/>
      <c r="F673" s="43"/>
      <c r="G673" s="43"/>
      <c r="H673" s="43"/>
      <c r="I673" s="43"/>
      <c r="J673" s="43"/>
      <c r="K673" s="43"/>
      <c r="L673" s="43"/>
      <c r="M673" s="43"/>
      <c r="N673" s="43"/>
      <c r="O673" s="43"/>
      <c r="P673" s="245"/>
      <c r="Q673" s="253"/>
      <c r="R673" s="253"/>
      <c r="S673" s="253"/>
      <c r="T673" s="43"/>
    </row>
    <row r="674" spans="1:20">
      <c r="A674" s="43"/>
      <c r="B674" s="44"/>
      <c r="C674" s="44"/>
      <c r="D674" s="75"/>
      <c r="E674" s="43"/>
      <c r="F674" s="43"/>
      <c r="G674" s="43"/>
      <c r="H674" s="43"/>
      <c r="I674" s="43"/>
      <c r="J674" s="43"/>
      <c r="K674" s="43"/>
      <c r="L674" s="43"/>
      <c r="M674" s="43"/>
      <c r="N674" s="43"/>
      <c r="O674" s="43"/>
      <c r="P674" s="245"/>
      <c r="Q674" s="253"/>
      <c r="R674" s="253"/>
      <c r="S674" s="253"/>
      <c r="T674" s="43"/>
    </row>
    <row r="675" spans="1:20">
      <c r="A675" s="43"/>
      <c r="B675" s="44"/>
      <c r="C675" s="44"/>
      <c r="D675" s="44"/>
      <c r="E675" s="43"/>
      <c r="F675" s="43"/>
      <c r="G675" s="43"/>
      <c r="H675" s="43"/>
      <c r="I675" s="43"/>
      <c r="J675" s="43"/>
      <c r="K675" s="43"/>
      <c r="L675" s="43"/>
      <c r="M675" s="43"/>
      <c r="N675" s="43"/>
      <c r="O675" s="43"/>
      <c r="P675" s="245"/>
      <c r="Q675" s="253"/>
      <c r="R675" s="253"/>
      <c r="S675" s="253"/>
      <c r="T675" s="43"/>
    </row>
    <row r="676" spans="1:20">
      <c r="A676" s="43"/>
      <c r="B676" s="44"/>
      <c r="C676" s="44"/>
      <c r="D676" s="75"/>
      <c r="E676" s="43"/>
      <c r="F676" s="43"/>
      <c r="G676" s="43"/>
      <c r="H676" s="43"/>
      <c r="I676" s="43"/>
      <c r="J676" s="43"/>
      <c r="K676" s="43"/>
      <c r="L676" s="43"/>
      <c r="M676" s="43"/>
      <c r="N676" s="43"/>
      <c r="O676" s="43"/>
      <c r="P676" s="245"/>
      <c r="Q676" s="253"/>
      <c r="R676" s="253"/>
      <c r="S676" s="253"/>
      <c r="T676" s="43"/>
    </row>
    <row r="677" spans="1:20">
      <c r="A677" s="43"/>
      <c r="B677" s="44"/>
      <c r="C677" s="44"/>
      <c r="D677" s="75"/>
      <c r="E677" s="43"/>
      <c r="F677" s="43"/>
      <c r="G677" s="43"/>
      <c r="H677" s="43"/>
      <c r="I677" s="43"/>
      <c r="J677" s="43"/>
      <c r="K677" s="43"/>
      <c r="L677" s="43"/>
      <c r="M677" s="43"/>
      <c r="N677" s="43"/>
      <c r="O677" s="43"/>
      <c r="P677" s="245"/>
      <c r="Q677" s="253"/>
      <c r="R677" s="253"/>
      <c r="S677" s="253"/>
      <c r="T677" s="43"/>
    </row>
    <row r="678" spans="1:20">
      <c r="A678" s="43"/>
      <c r="B678" s="44"/>
      <c r="C678" s="44"/>
      <c r="D678" s="75"/>
      <c r="E678" s="43"/>
      <c r="F678" s="43"/>
      <c r="G678" s="43"/>
      <c r="H678" s="43"/>
      <c r="I678" s="43"/>
      <c r="J678" s="43"/>
      <c r="K678" s="43"/>
      <c r="L678" s="43"/>
      <c r="M678" s="43"/>
      <c r="N678" s="43"/>
      <c r="O678" s="43"/>
      <c r="P678" s="245"/>
      <c r="Q678" s="253"/>
      <c r="R678" s="253"/>
      <c r="S678" s="253"/>
      <c r="T678" s="43"/>
    </row>
    <row r="679" spans="1:20">
      <c r="A679" s="43"/>
      <c r="B679" s="44"/>
      <c r="C679" s="44"/>
      <c r="D679" s="75"/>
      <c r="E679" s="43"/>
      <c r="F679" s="43"/>
      <c r="G679" s="43"/>
      <c r="H679" s="43"/>
      <c r="I679" s="43"/>
      <c r="J679" s="43"/>
      <c r="K679" s="43"/>
      <c r="L679" s="43"/>
      <c r="M679" s="43"/>
      <c r="N679" s="43"/>
      <c r="O679" s="43"/>
      <c r="P679" s="245"/>
      <c r="Q679" s="253"/>
      <c r="R679" s="253"/>
      <c r="S679" s="253"/>
      <c r="T679" s="43"/>
    </row>
    <row r="680" spans="1:20">
      <c r="A680" s="43"/>
      <c r="B680" s="44"/>
      <c r="C680" s="44"/>
      <c r="D680" s="44"/>
      <c r="E680" s="43"/>
      <c r="F680" s="43"/>
      <c r="G680" s="43"/>
      <c r="H680" s="43"/>
      <c r="I680" s="43"/>
      <c r="J680" s="43"/>
      <c r="K680" s="43"/>
      <c r="L680" s="43"/>
      <c r="M680" s="43"/>
      <c r="N680" s="43"/>
      <c r="O680" s="43"/>
      <c r="P680" s="245"/>
      <c r="Q680" s="253"/>
      <c r="R680" s="253"/>
      <c r="S680" s="253"/>
      <c r="T680" s="43"/>
    </row>
    <row r="681" spans="1:20">
      <c r="A681" s="43"/>
      <c r="B681" s="44"/>
      <c r="C681" s="44"/>
      <c r="D681" s="75"/>
      <c r="E681" s="43"/>
      <c r="F681" s="43"/>
      <c r="G681" s="43"/>
      <c r="H681" s="43"/>
      <c r="I681" s="43"/>
      <c r="J681" s="43"/>
      <c r="K681" s="43"/>
      <c r="L681" s="43"/>
      <c r="M681" s="43"/>
      <c r="N681" s="43"/>
      <c r="O681" s="43"/>
      <c r="P681" s="245"/>
      <c r="Q681" s="253"/>
      <c r="R681" s="253"/>
      <c r="S681" s="253"/>
      <c r="T681" s="43"/>
    </row>
    <row r="682" spans="1:20">
      <c r="A682" s="43"/>
      <c r="B682" s="44"/>
      <c r="C682" s="44"/>
      <c r="D682" s="75"/>
      <c r="E682" s="43"/>
      <c r="F682" s="43"/>
      <c r="G682" s="43"/>
      <c r="H682" s="43"/>
      <c r="I682" s="43"/>
      <c r="J682" s="43"/>
      <c r="K682" s="43"/>
      <c r="L682" s="43"/>
      <c r="M682" s="43"/>
      <c r="N682" s="43"/>
      <c r="O682" s="43"/>
      <c r="P682" s="245"/>
      <c r="Q682" s="253"/>
      <c r="R682" s="253"/>
      <c r="S682" s="253"/>
      <c r="T682" s="43"/>
    </row>
    <row r="683" spans="1:20">
      <c r="A683" s="43"/>
      <c r="B683" s="44"/>
      <c r="C683" s="44"/>
      <c r="D683" s="75"/>
      <c r="E683" s="43"/>
      <c r="F683" s="43"/>
      <c r="G683" s="43"/>
      <c r="H683" s="43"/>
      <c r="I683" s="43"/>
      <c r="J683" s="43"/>
      <c r="K683" s="43"/>
      <c r="L683" s="43"/>
      <c r="M683" s="43"/>
      <c r="N683" s="43"/>
      <c r="O683" s="43"/>
      <c r="P683" s="245"/>
      <c r="Q683" s="253"/>
      <c r="R683" s="253"/>
      <c r="S683" s="253"/>
      <c r="T683" s="43"/>
    </row>
    <row r="684" spans="1:20">
      <c r="A684" s="43"/>
      <c r="B684" s="44"/>
      <c r="C684" s="44"/>
      <c r="D684" s="75"/>
      <c r="E684" s="43"/>
      <c r="F684" s="43"/>
      <c r="G684" s="43"/>
      <c r="H684" s="43"/>
      <c r="I684" s="43"/>
      <c r="J684" s="43"/>
      <c r="K684" s="43"/>
      <c r="L684" s="43"/>
      <c r="M684" s="43"/>
      <c r="N684" s="43"/>
      <c r="O684" s="43"/>
      <c r="P684" s="245"/>
      <c r="Q684" s="253"/>
      <c r="R684" s="253"/>
      <c r="S684" s="253"/>
      <c r="T684" s="43"/>
    </row>
    <row r="685" spans="1:20">
      <c r="A685" s="43"/>
      <c r="B685" s="44"/>
      <c r="C685" s="44"/>
      <c r="D685" s="75"/>
      <c r="E685" s="43"/>
      <c r="F685" s="43"/>
      <c r="G685" s="43"/>
      <c r="H685" s="43"/>
      <c r="I685" s="43"/>
      <c r="J685" s="43"/>
      <c r="K685" s="43"/>
      <c r="L685" s="43"/>
      <c r="M685" s="43"/>
      <c r="N685" s="43"/>
      <c r="O685" s="43"/>
      <c r="P685" s="245"/>
      <c r="Q685" s="253"/>
      <c r="R685" s="253"/>
      <c r="S685" s="253"/>
      <c r="T685" s="43"/>
    </row>
    <row r="686" spans="1:20">
      <c r="A686" s="43"/>
      <c r="B686" s="44"/>
      <c r="C686" s="44"/>
      <c r="D686" s="75"/>
      <c r="E686" s="43"/>
      <c r="F686" s="43"/>
      <c r="G686" s="43"/>
      <c r="H686" s="43"/>
      <c r="I686" s="43"/>
      <c r="J686" s="43"/>
      <c r="K686" s="43"/>
      <c r="L686" s="43"/>
      <c r="M686" s="43"/>
      <c r="N686" s="43"/>
      <c r="O686" s="43"/>
      <c r="P686" s="245"/>
      <c r="Q686" s="253"/>
      <c r="R686" s="253"/>
      <c r="S686" s="253"/>
      <c r="T686" s="43"/>
    </row>
    <row r="687" spans="1:20">
      <c r="A687" s="43"/>
      <c r="B687" s="69"/>
      <c r="C687" s="69"/>
      <c r="D687" s="75"/>
      <c r="E687" s="44"/>
      <c r="F687" s="44"/>
      <c r="G687" s="43"/>
      <c r="H687" s="43"/>
      <c r="I687" s="43"/>
      <c r="J687" s="43"/>
      <c r="K687" s="43"/>
      <c r="L687" s="43"/>
      <c r="M687" s="43"/>
      <c r="N687" s="43"/>
      <c r="O687" s="43"/>
      <c r="P687" s="245"/>
      <c r="Q687" s="253"/>
      <c r="R687" s="253"/>
      <c r="S687" s="253"/>
      <c r="T687" s="43"/>
    </row>
    <row r="688" spans="1:20">
      <c r="A688" s="43"/>
      <c r="B688" s="69"/>
      <c r="C688" s="69"/>
      <c r="D688" s="75"/>
      <c r="E688" s="44"/>
      <c r="F688" s="44"/>
      <c r="G688" s="43"/>
      <c r="H688" s="43"/>
      <c r="I688" s="43"/>
      <c r="J688" s="43"/>
      <c r="K688" s="43"/>
      <c r="L688" s="43"/>
      <c r="M688" s="43"/>
      <c r="N688" s="43"/>
      <c r="O688" s="43"/>
      <c r="P688" s="245"/>
      <c r="Q688" s="253"/>
      <c r="R688" s="253"/>
      <c r="S688" s="253"/>
      <c r="T688" s="43"/>
    </row>
    <row r="689" spans="1:20">
      <c r="A689" s="43"/>
      <c r="B689" s="44"/>
      <c r="C689" s="44"/>
      <c r="D689" s="75"/>
      <c r="E689" s="43"/>
      <c r="F689" s="43"/>
      <c r="G689" s="43"/>
      <c r="H689" s="43"/>
      <c r="I689" s="43"/>
      <c r="J689" s="43"/>
      <c r="K689" s="43"/>
      <c r="L689" s="43"/>
      <c r="M689" s="43"/>
      <c r="N689" s="43"/>
      <c r="O689" s="43"/>
      <c r="P689" s="245"/>
      <c r="Q689" s="253"/>
      <c r="R689" s="253"/>
      <c r="S689" s="253"/>
      <c r="T689" s="43"/>
    </row>
    <row r="690" spans="1:20">
      <c r="A690" s="43"/>
      <c r="B690" s="44"/>
      <c r="C690" s="44"/>
      <c r="D690" s="75"/>
      <c r="E690" s="43"/>
      <c r="F690" s="43"/>
      <c r="G690" s="43"/>
      <c r="H690" s="43"/>
      <c r="I690" s="43"/>
      <c r="J690" s="43"/>
      <c r="K690" s="43"/>
      <c r="L690" s="43"/>
      <c r="M690" s="43"/>
      <c r="N690" s="43"/>
      <c r="O690" s="43"/>
      <c r="P690" s="245"/>
      <c r="Q690" s="253"/>
      <c r="R690" s="253"/>
      <c r="S690" s="253"/>
      <c r="T690" s="43"/>
    </row>
    <row r="691" spans="1:20">
      <c r="A691" s="43"/>
      <c r="B691" s="44"/>
      <c r="C691" s="44"/>
      <c r="D691" s="249"/>
      <c r="E691" s="44"/>
      <c r="F691" s="44"/>
      <c r="G691" s="43"/>
      <c r="H691" s="43"/>
      <c r="I691" s="43"/>
      <c r="J691" s="43"/>
      <c r="K691" s="43"/>
      <c r="L691" s="43"/>
      <c r="M691" s="43"/>
      <c r="N691" s="43"/>
      <c r="O691" s="43"/>
      <c r="P691" s="245"/>
      <c r="Q691" s="253"/>
      <c r="R691" s="253"/>
      <c r="S691" s="253"/>
      <c r="T691" s="43"/>
    </row>
    <row r="692" spans="1:20">
      <c r="A692" s="43"/>
      <c r="B692" s="44"/>
      <c r="C692" s="44"/>
      <c r="D692" s="249"/>
      <c r="E692" s="44"/>
      <c r="F692" s="44"/>
      <c r="G692" s="43"/>
      <c r="H692" s="43"/>
      <c r="I692" s="43"/>
      <c r="J692" s="43"/>
      <c r="K692" s="43"/>
      <c r="L692" s="43"/>
      <c r="M692" s="43"/>
      <c r="N692" s="43"/>
      <c r="O692" s="43"/>
      <c r="P692" s="245"/>
      <c r="Q692" s="253"/>
      <c r="R692" s="253"/>
      <c r="S692" s="253"/>
      <c r="T692" s="43"/>
    </row>
    <row r="693" spans="1:20">
      <c r="A693" s="43"/>
      <c r="B693" s="44"/>
      <c r="C693" s="44"/>
      <c r="D693" s="249"/>
      <c r="E693" s="44"/>
      <c r="F693" s="44"/>
      <c r="G693" s="43"/>
      <c r="H693" s="43"/>
      <c r="I693" s="43"/>
      <c r="J693" s="43"/>
      <c r="K693" s="43"/>
      <c r="L693" s="43"/>
      <c r="M693" s="43"/>
      <c r="N693" s="43"/>
      <c r="O693" s="43"/>
      <c r="P693" s="245"/>
      <c r="Q693" s="253"/>
      <c r="R693" s="253"/>
      <c r="S693" s="253"/>
      <c r="T693" s="43"/>
    </row>
    <row r="694" spans="1:20">
      <c r="A694" s="43"/>
      <c r="B694" s="44"/>
      <c r="C694" s="44"/>
      <c r="D694" s="249"/>
      <c r="E694" s="44"/>
      <c r="F694" s="44"/>
      <c r="G694" s="43"/>
      <c r="H694" s="43"/>
      <c r="I694" s="43"/>
      <c r="J694" s="43"/>
      <c r="K694" s="43"/>
      <c r="L694" s="43"/>
      <c r="M694" s="43"/>
      <c r="N694" s="43"/>
      <c r="O694" s="43"/>
      <c r="P694" s="245"/>
      <c r="Q694" s="253"/>
      <c r="R694" s="253"/>
      <c r="S694" s="253"/>
      <c r="T694" s="43"/>
    </row>
    <row r="695" spans="1:20">
      <c r="A695" s="43"/>
      <c r="B695" s="44"/>
      <c r="C695" s="44"/>
      <c r="D695" s="249"/>
      <c r="E695" s="44"/>
      <c r="F695" s="44"/>
      <c r="G695" s="43"/>
      <c r="H695" s="43"/>
      <c r="I695" s="43"/>
      <c r="J695" s="43"/>
      <c r="K695" s="43"/>
      <c r="L695" s="43"/>
      <c r="M695" s="43"/>
      <c r="N695" s="43"/>
      <c r="O695" s="43"/>
      <c r="P695" s="245"/>
      <c r="Q695" s="253"/>
      <c r="R695" s="253"/>
      <c r="S695" s="253"/>
      <c r="T695" s="43"/>
    </row>
    <row r="696" spans="1:20">
      <c r="A696" s="43"/>
      <c r="B696" s="44"/>
      <c r="C696" s="44"/>
      <c r="D696" s="75"/>
      <c r="E696" s="43"/>
      <c r="F696" s="69"/>
      <c r="G696" s="43"/>
      <c r="H696" s="43"/>
      <c r="I696" s="43"/>
      <c r="J696" s="43"/>
      <c r="K696" s="43"/>
      <c r="L696" s="43"/>
      <c r="M696" s="43"/>
      <c r="N696" s="43"/>
      <c r="O696" s="43"/>
      <c r="P696" s="245"/>
      <c r="Q696" s="253"/>
      <c r="R696" s="253"/>
      <c r="S696" s="253"/>
      <c r="T696" s="43"/>
    </row>
    <row r="697" spans="1:20">
      <c r="A697" s="43"/>
      <c r="B697" s="44"/>
      <c r="C697" s="44"/>
      <c r="D697" s="75"/>
      <c r="E697" s="43"/>
      <c r="F697" s="69"/>
      <c r="G697" s="43"/>
      <c r="H697" s="43"/>
      <c r="I697" s="43"/>
      <c r="J697" s="43"/>
      <c r="K697" s="43"/>
      <c r="L697" s="43"/>
      <c r="M697" s="43"/>
      <c r="N697" s="43"/>
      <c r="O697" s="43"/>
      <c r="P697" s="245"/>
      <c r="Q697" s="253"/>
      <c r="R697" s="253"/>
      <c r="S697" s="253"/>
      <c r="T697" s="43"/>
    </row>
    <row r="698" spans="1:20">
      <c r="A698" s="43"/>
      <c r="B698" s="44"/>
      <c r="C698" s="44"/>
      <c r="D698" s="75"/>
      <c r="E698" s="43"/>
      <c r="F698" s="69"/>
      <c r="G698" s="43"/>
      <c r="H698" s="43"/>
      <c r="I698" s="43"/>
      <c r="J698" s="43"/>
      <c r="K698" s="43"/>
      <c r="L698" s="43"/>
      <c r="M698" s="43"/>
      <c r="N698" s="43"/>
      <c r="O698" s="43"/>
      <c r="P698" s="245"/>
      <c r="Q698" s="253"/>
      <c r="R698" s="253"/>
      <c r="S698" s="253"/>
      <c r="T698" s="43"/>
    </row>
    <row r="699" spans="1:20">
      <c r="A699" s="43"/>
      <c r="B699" s="44"/>
      <c r="C699" s="44"/>
      <c r="D699" s="75"/>
      <c r="E699" s="43"/>
      <c r="F699" s="69"/>
      <c r="G699" s="43"/>
      <c r="H699" s="43"/>
      <c r="I699" s="43"/>
      <c r="J699" s="43"/>
      <c r="K699" s="43"/>
      <c r="L699" s="43"/>
      <c r="M699" s="43"/>
      <c r="N699" s="43"/>
      <c r="O699" s="43"/>
      <c r="P699" s="245"/>
      <c r="Q699" s="253"/>
      <c r="R699" s="253"/>
      <c r="S699" s="253"/>
      <c r="T699" s="43"/>
    </row>
    <row r="700" spans="1:20">
      <c r="A700" s="43"/>
      <c r="B700" s="44"/>
      <c r="C700" s="44"/>
      <c r="D700" s="75"/>
      <c r="E700" s="43"/>
      <c r="F700" s="69"/>
      <c r="G700" s="43"/>
      <c r="H700" s="43"/>
      <c r="I700" s="43"/>
      <c r="J700" s="43"/>
      <c r="K700" s="43"/>
      <c r="L700" s="43"/>
      <c r="M700" s="43"/>
      <c r="N700" s="43"/>
      <c r="O700" s="43"/>
      <c r="P700" s="245"/>
      <c r="Q700" s="253"/>
      <c r="R700" s="253"/>
      <c r="S700" s="253"/>
      <c r="T700" s="43"/>
    </row>
    <row r="701" spans="1:20">
      <c r="A701" s="43"/>
      <c r="B701" s="44"/>
      <c r="C701" s="44"/>
      <c r="D701" s="249"/>
      <c r="E701" s="44"/>
      <c r="F701" s="44"/>
      <c r="G701" s="43"/>
      <c r="H701" s="43"/>
      <c r="I701" s="43"/>
      <c r="J701" s="43"/>
      <c r="K701" s="43"/>
      <c r="L701" s="43"/>
      <c r="M701" s="43"/>
      <c r="N701" s="43"/>
      <c r="O701" s="43"/>
      <c r="P701" s="245"/>
      <c r="Q701" s="253"/>
      <c r="R701" s="253"/>
      <c r="S701" s="253"/>
      <c r="T701" s="43"/>
    </row>
    <row r="702" spans="1:20">
      <c r="A702" s="43"/>
      <c r="B702" s="44"/>
      <c r="C702" s="44"/>
      <c r="D702" s="44"/>
      <c r="E702" s="44"/>
      <c r="F702" s="44"/>
      <c r="G702" s="43"/>
      <c r="H702" s="43"/>
      <c r="I702" s="43"/>
      <c r="J702" s="43"/>
      <c r="K702" s="43"/>
      <c r="L702" s="43"/>
      <c r="M702" s="43"/>
      <c r="N702" s="43"/>
      <c r="O702" s="43"/>
      <c r="P702" s="245"/>
      <c r="Q702" s="253"/>
      <c r="R702" s="253"/>
      <c r="S702" s="253"/>
      <c r="T702" s="43"/>
    </row>
    <row r="703" spans="1:20">
      <c r="A703" s="332"/>
      <c r="B703" s="333"/>
      <c r="C703" s="333"/>
      <c r="D703" s="334"/>
      <c r="E703" s="333"/>
      <c r="F703" s="334"/>
      <c r="G703" s="332"/>
      <c r="H703" s="332"/>
      <c r="I703" s="332"/>
      <c r="J703" s="332"/>
      <c r="K703" s="332"/>
      <c r="L703" s="332"/>
      <c r="M703" s="332"/>
      <c r="N703" s="332"/>
      <c r="O703" s="332"/>
      <c r="P703" s="332"/>
      <c r="Q703" s="332"/>
      <c r="R703" s="332"/>
      <c r="S703" s="293"/>
      <c r="T703" s="332"/>
    </row>
    <row r="704" spans="1:20">
      <c r="A704" s="43"/>
      <c r="B704" s="44"/>
      <c r="C704" s="44"/>
      <c r="D704" s="249"/>
      <c r="E704" s="44"/>
      <c r="F704" s="44"/>
      <c r="G704" s="43"/>
      <c r="H704" s="43"/>
      <c r="I704" s="43"/>
      <c r="J704" s="43"/>
      <c r="K704" s="43"/>
      <c r="L704" s="43"/>
      <c r="M704" s="43"/>
      <c r="N704" s="43"/>
      <c r="O704" s="43"/>
      <c r="P704" s="245"/>
      <c r="Q704" s="253"/>
      <c r="R704" s="253"/>
      <c r="S704" s="253"/>
      <c r="T704" s="43"/>
    </row>
    <row r="705" spans="1:20">
      <c r="A705" s="43"/>
      <c r="B705" s="44"/>
      <c r="C705" s="44"/>
      <c r="D705" s="249"/>
      <c r="E705" s="44"/>
      <c r="F705" s="44"/>
      <c r="G705" s="43"/>
      <c r="H705" s="43"/>
      <c r="I705" s="43"/>
      <c r="J705" s="43"/>
      <c r="K705" s="43"/>
      <c r="L705" s="43"/>
      <c r="M705" s="43"/>
      <c r="N705" s="43"/>
      <c r="O705" s="43"/>
      <c r="P705" s="245"/>
      <c r="Q705" s="253"/>
      <c r="R705" s="253"/>
      <c r="S705" s="253"/>
      <c r="T705" s="43"/>
    </row>
    <row r="706" spans="1:20">
      <c r="A706" s="43"/>
      <c r="B706" s="44"/>
      <c r="C706" s="44"/>
      <c r="D706" s="249"/>
      <c r="E706" s="44"/>
      <c r="F706" s="44"/>
      <c r="G706" s="43"/>
      <c r="H706" s="43"/>
      <c r="I706" s="43"/>
      <c r="J706" s="43"/>
      <c r="K706" s="43"/>
      <c r="L706" s="43"/>
      <c r="M706" s="43"/>
      <c r="N706" s="43"/>
      <c r="O706" s="43"/>
      <c r="P706" s="245"/>
      <c r="Q706" s="253"/>
      <c r="R706" s="253"/>
      <c r="S706" s="253"/>
      <c r="T706" s="43"/>
    </row>
    <row r="707" spans="1:20">
      <c r="A707" s="43"/>
      <c r="B707" s="44"/>
      <c r="C707" s="44"/>
      <c r="D707" s="249"/>
      <c r="E707" s="44"/>
      <c r="F707" s="44"/>
      <c r="G707" s="43"/>
      <c r="H707" s="43"/>
      <c r="I707" s="43"/>
      <c r="J707" s="43"/>
      <c r="K707" s="43"/>
      <c r="L707" s="43"/>
      <c r="M707" s="43"/>
      <c r="N707" s="43"/>
      <c r="O707" s="43"/>
      <c r="P707" s="245"/>
      <c r="Q707" s="253"/>
      <c r="R707" s="253"/>
      <c r="S707" s="253"/>
      <c r="T707" s="43"/>
    </row>
    <row r="708" spans="1:20">
      <c r="A708" s="43"/>
      <c r="B708" s="44"/>
      <c r="C708" s="44"/>
      <c r="D708" s="249"/>
      <c r="E708" s="44"/>
      <c r="F708" s="44"/>
      <c r="G708" s="43"/>
      <c r="H708" s="43"/>
      <c r="I708" s="43"/>
      <c r="J708" s="43"/>
      <c r="K708" s="43"/>
      <c r="L708" s="43"/>
      <c r="M708" s="43"/>
      <c r="N708" s="43"/>
      <c r="O708" s="43"/>
      <c r="P708" s="245"/>
      <c r="Q708" s="253"/>
      <c r="R708" s="253"/>
      <c r="S708" s="253"/>
      <c r="T708" s="43"/>
    </row>
    <row r="709" spans="1:20">
      <c r="A709" s="43"/>
      <c r="B709" s="44"/>
      <c r="C709" s="44"/>
      <c r="D709" s="249"/>
      <c r="E709" s="44"/>
      <c r="F709" s="44"/>
      <c r="G709" s="43"/>
      <c r="H709" s="43"/>
      <c r="I709" s="43"/>
      <c r="J709" s="43"/>
      <c r="K709" s="43"/>
      <c r="L709" s="43"/>
      <c r="M709" s="43"/>
      <c r="N709" s="43"/>
      <c r="O709" s="43"/>
      <c r="P709" s="245"/>
      <c r="Q709" s="253"/>
      <c r="R709" s="253"/>
      <c r="S709" s="253"/>
      <c r="T709" s="43"/>
    </row>
    <row r="710" spans="1:20">
      <c r="A710" s="43"/>
      <c r="B710" s="43"/>
      <c r="C710" s="43"/>
      <c r="D710" s="75"/>
      <c r="E710" s="43"/>
      <c r="F710" s="43"/>
      <c r="G710" s="43"/>
      <c r="H710" s="43"/>
      <c r="I710" s="43"/>
      <c r="J710" s="43"/>
      <c r="K710" s="43"/>
      <c r="L710" s="43"/>
      <c r="M710" s="43"/>
      <c r="N710" s="43"/>
      <c r="O710" s="43"/>
      <c r="P710" s="245"/>
      <c r="Q710" s="253"/>
      <c r="R710" s="253"/>
      <c r="S710" s="253"/>
      <c r="T710" s="43"/>
    </row>
    <row r="711" spans="1:20">
      <c r="A711" s="43"/>
      <c r="B711" s="69"/>
      <c r="C711" s="69"/>
      <c r="D711" s="75"/>
      <c r="E711" s="43"/>
      <c r="F711" s="43"/>
      <c r="G711" s="43"/>
      <c r="H711" s="43"/>
      <c r="I711" s="43"/>
      <c r="J711" s="43"/>
      <c r="K711" s="43"/>
      <c r="L711" s="43"/>
      <c r="M711" s="43"/>
      <c r="N711" s="43"/>
      <c r="O711" s="43"/>
      <c r="P711" s="245"/>
      <c r="Q711" s="253"/>
      <c r="R711" s="253"/>
      <c r="S711" s="253"/>
      <c r="T711" s="43"/>
    </row>
    <row r="712" spans="1:20">
      <c r="A712" s="43"/>
      <c r="B712" s="69"/>
      <c r="C712" s="69"/>
      <c r="D712" s="75"/>
      <c r="E712" s="43"/>
      <c r="F712" s="43"/>
      <c r="G712" s="43"/>
      <c r="H712" s="43"/>
      <c r="I712" s="43"/>
      <c r="J712" s="43"/>
      <c r="K712" s="43"/>
      <c r="L712" s="43"/>
      <c r="M712" s="43"/>
      <c r="N712" s="43"/>
      <c r="O712" s="43"/>
      <c r="P712" s="245"/>
      <c r="Q712" s="253"/>
      <c r="R712" s="253"/>
      <c r="S712" s="253"/>
      <c r="T712" s="43"/>
    </row>
    <row r="713" spans="1:20">
      <c r="A713" s="43"/>
      <c r="B713" s="69"/>
      <c r="C713" s="69"/>
      <c r="D713" s="75"/>
      <c r="E713" s="43"/>
      <c r="F713" s="43"/>
      <c r="G713" s="43"/>
      <c r="H713" s="43"/>
      <c r="I713" s="43"/>
      <c r="J713" s="43"/>
      <c r="K713" s="43"/>
      <c r="L713" s="43"/>
      <c r="M713" s="43"/>
      <c r="N713" s="43"/>
      <c r="O713" s="43"/>
      <c r="P713" s="245"/>
      <c r="Q713" s="253"/>
      <c r="R713" s="253"/>
      <c r="S713" s="253"/>
      <c r="T713" s="43"/>
    </row>
    <row r="714" spans="1:20">
      <c r="A714" s="43"/>
      <c r="B714" s="69"/>
      <c r="C714" s="69"/>
      <c r="D714" s="75"/>
      <c r="E714" s="44"/>
      <c r="F714" s="44"/>
      <c r="G714" s="43"/>
      <c r="H714" s="43"/>
      <c r="I714" s="43"/>
      <c r="J714" s="43"/>
      <c r="K714" s="43"/>
      <c r="L714" s="43"/>
      <c r="M714" s="43"/>
      <c r="N714" s="43"/>
      <c r="O714" s="43"/>
      <c r="P714" s="245"/>
      <c r="Q714" s="253"/>
      <c r="R714" s="253"/>
      <c r="S714" s="253"/>
      <c r="T714" s="43"/>
    </row>
    <row r="715" spans="1:20">
      <c r="A715" s="43"/>
      <c r="B715" s="69"/>
      <c r="C715" s="69"/>
      <c r="D715" s="75"/>
      <c r="E715" s="44"/>
      <c r="F715" s="44"/>
      <c r="G715" s="43"/>
      <c r="H715" s="43"/>
      <c r="I715" s="43"/>
      <c r="J715" s="43"/>
      <c r="K715" s="43"/>
      <c r="L715" s="43"/>
      <c r="M715" s="43"/>
      <c r="N715" s="43"/>
      <c r="O715" s="43"/>
      <c r="P715" s="245"/>
      <c r="Q715" s="253"/>
      <c r="R715" s="253"/>
      <c r="S715" s="253"/>
      <c r="T715" s="43"/>
    </row>
    <row r="716" spans="1:20">
      <c r="A716" s="43"/>
      <c r="B716" s="69"/>
      <c r="C716" s="69"/>
      <c r="D716" s="75"/>
      <c r="E716" s="271"/>
      <c r="F716" s="44"/>
      <c r="G716" s="43"/>
      <c r="H716" s="43"/>
      <c r="I716" s="43"/>
      <c r="J716" s="43"/>
      <c r="K716" s="43"/>
      <c r="L716" s="43"/>
      <c r="M716" s="43"/>
      <c r="N716" s="43"/>
      <c r="O716" s="43"/>
      <c r="P716" s="245"/>
      <c r="Q716" s="253"/>
      <c r="R716" s="253"/>
      <c r="S716" s="253"/>
      <c r="T716" s="43"/>
    </row>
    <row r="717" spans="1:20">
      <c r="A717" s="43"/>
      <c r="B717" s="69"/>
      <c r="C717" s="69"/>
      <c r="D717" s="75"/>
      <c r="E717" s="271"/>
      <c r="F717" s="44"/>
      <c r="G717" s="43"/>
      <c r="H717" s="43"/>
      <c r="I717" s="43"/>
      <c r="J717" s="43"/>
      <c r="K717" s="43"/>
      <c r="L717" s="43"/>
      <c r="M717" s="43"/>
      <c r="N717" s="43"/>
      <c r="O717" s="43"/>
      <c r="P717" s="245"/>
      <c r="Q717" s="253"/>
      <c r="R717" s="253"/>
      <c r="S717" s="253"/>
      <c r="T717" s="43"/>
    </row>
    <row r="718" spans="1:20">
      <c r="A718" s="43"/>
      <c r="B718" s="69"/>
      <c r="C718" s="69"/>
      <c r="D718" s="75"/>
      <c r="E718" s="271"/>
      <c r="F718" s="44"/>
      <c r="G718" s="43"/>
      <c r="H718" s="43"/>
      <c r="I718" s="43"/>
      <c r="J718" s="43"/>
      <c r="K718" s="43"/>
      <c r="L718" s="43"/>
      <c r="M718" s="43"/>
      <c r="N718" s="43"/>
      <c r="O718" s="43"/>
      <c r="P718" s="245"/>
      <c r="Q718" s="253"/>
      <c r="R718" s="253"/>
      <c r="S718" s="253"/>
      <c r="T718" s="43"/>
    </row>
    <row r="719" spans="1:20">
      <c r="A719" s="43"/>
      <c r="B719" s="102"/>
      <c r="C719" s="102"/>
      <c r="D719" s="75"/>
      <c r="E719" s="271"/>
      <c r="F719" s="44"/>
      <c r="G719" s="43"/>
      <c r="H719" s="43"/>
      <c r="I719" s="43"/>
      <c r="J719" s="43"/>
      <c r="K719" s="43"/>
      <c r="L719" s="43"/>
      <c r="M719" s="43"/>
      <c r="N719" s="43"/>
      <c r="O719" s="43"/>
      <c r="P719" s="245"/>
      <c r="Q719" s="253"/>
      <c r="R719" s="253"/>
      <c r="S719" s="253"/>
      <c r="T719" s="43"/>
    </row>
    <row r="720" spans="1:20">
      <c r="A720" s="43"/>
      <c r="B720" s="69"/>
      <c r="C720" s="69"/>
      <c r="D720" s="249"/>
      <c r="E720" s="271"/>
      <c r="F720" s="44"/>
      <c r="G720" s="43"/>
      <c r="H720" s="43"/>
      <c r="I720" s="43"/>
      <c r="J720" s="43"/>
      <c r="K720" s="43"/>
      <c r="L720" s="43"/>
      <c r="M720" s="43"/>
      <c r="N720" s="43"/>
      <c r="O720" s="43"/>
      <c r="P720" s="245"/>
      <c r="Q720" s="253"/>
      <c r="R720" s="253"/>
      <c r="S720" s="253"/>
      <c r="T720" s="43"/>
    </row>
    <row r="721" spans="1:20">
      <c r="A721" s="43"/>
      <c r="B721" s="69"/>
      <c r="C721" s="69"/>
      <c r="D721" s="341"/>
      <c r="E721" s="271"/>
      <c r="F721" s="44"/>
      <c r="G721" s="43"/>
      <c r="H721" s="43"/>
      <c r="I721" s="43"/>
      <c r="J721" s="43"/>
      <c r="K721" s="43"/>
      <c r="L721" s="43"/>
      <c r="M721" s="43"/>
      <c r="N721" s="43"/>
      <c r="O721" s="43"/>
      <c r="P721" s="245"/>
      <c r="Q721" s="253"/>
      <c r="R721" s="253"/>
      <c r="S721" s="253"/>
      <c r="T721" s="43"/>
    </row>
    <row r="722" spans="1:20">
      <c r="A722" s="43"/>
      <c r="B722" s="69"/>
      <c r="C722" s="69"/>
      <c r="D722" s="341"/>
      <c r="E722" s="271"/>
      <c r="F722" s="44"/>
      <c r="G722" s="43"/>
      <c r="H722" s="43"/>
      <c r="I722" s="43"/>
      <c r="J722" s="43"/>
      <c r="K722" s="43"/>
      <c r="L722" s="43"/>
      <c r="M722" s="43"/>
      <c r="N722" s="43"/>
      <c r="O722" s="43"/>
      <c r="P722" s="245"/>
      <c r="Q722" s="253"/>
      <c r="R722" s="253"/>
      <c r="S722" s="253"/>
      <c r="T722" s="43"/>
    </row>
    <row r="723" spans="1:20">
      <c r="A723" s="43"/>
      <c r="B723" s="69"/>
      <c r="C723" s="69"/>
      <c r="D723" s="249"/>
      <c r="E723" s="271"/>
      <c r="F723" s="44"/>
      <c r="G723" s="43"/>
      <c r="H723" s="43"/>
      <c r="I723" s="43"/>
      <c r="J723" s="43"/>
      <c r="K723" s="43"/>
      <c r="L723" s="43"/>
      <c r="M723" s="43"/>
      <c r="N723" s="43"/>
      <c r="O723" s="43"/>
      <c r="P723" s="245"/>
      <c r="Q723" s="253"/>
      <c r="R723" s="253"/>
      <c r="S723" s="253"/>
      <c r="T723" s="43"/>
    </row>
    <row r="724" spans="1:20">
      <c r="A724" s="43"/>
      <c r="B724" s="102"/>
      <c r="C724" s="102"/>
      <c r="D724" s="249"/>
      <c r="E724" s="271"/>
      <c r="F724" s="44"/>
      <c r="G724" s="43"/>
      <c r="H724" s="43"/>
      <c r="I724" s="43"/>
      <c r="J724" s="43"/>
      <c r="K724" s="43"/>
      <c r="L724" s="43"/>
      <c r="M724" s="43"/>
      <c r="N724" s="43"/>
      <c r="O724" s="43"/>
      <c r="P724" s="245"/>
      <c r="Q724" s="253"/>
      <c r="R724" s="253"/>
      <c r="S724" s="253"/>
      <c r="T724" s="43"/>
    </row>
    <row r="725" spans="1:20">
      <c r="A725" s="43"/>
      <c r="B725" s="44"/>
      <c r="C725" s="44"/>
      <c r="D725" s="249"/>
      <c r="E725" s="69"/>
      <c r="F725" s="69"/>
      <c r="G725" s="43"/>
      <c r="H725" s="43"/>
      <c r="I725" s="43"/>
      <c r="J725" s="43"/>
      <c r="K725" s="43"/>
      <c r="L725" s="43"/>
      <c r="M725" s="43"/>
      <c r="N725" s="43"/>
      <c r="O725" s="43"/>
      <c r="P725" s="245"/>
      <c r="Q725" s="253"/>
      <c r="R725" s="253"/>
      <c r="S725" s="253"/>
      <c r="T725" s="43"/>
    </row>
    <row r="726" spans="1:20">
      <c r="A726" s="43"/>
      <c r="B726" s="44"/>
      <c r="C726" s="44"/>
      <c r="D726" s="249"/>
      <c r="E726" s="69"/>
      <c r="F726" s="69"/>
      <c r="G726" s="43"/>
      <c r="H726" s="43"/>
      <c r="I726" s="43"/>
      <c r="J726" s="43"/>
      <c r="K726" s="43"/>
      <c r="L726" s="43"/>
      <c r="M726" s="43"/>
      <c r="N726" s="43"/>
      <c r="O726" s="43"/>
      <c r="P726" s="245"/>
      <c r="Q726" s="253"/>
      <c r="R726" s="253"/>
      <c r="S726" s="253"/>
      <c r="T726" s="43"/>
    </row>
    <row r="727" spans="1:20">
      <c r="A727" s="43"/>
      <c r="B727" s="102"/>
      <c r="C727" s="102"/>
      <c r="D727" s="249"/>
      <c r="E727" s="271"/>
      <c r="F727" s="44"/>
      <c r="G727" s="43"/>
      <c r="H727" s="43"/>
      <c r="I727" s="43"/>
      <c r="J727" s="43"/>
      <c r="K727" s="43"/>
      <c r="L727" s="43"/>
      <c r="M727" s="43"/>
      <c r="N727" s="43"/>
      <c r="O727" s="43"/>
      <c r="P727" s="245"/>
      <c r="Q727" s="253"/>
      <c r="R727" s="253"/>
      <c r="S727" s="253"/>
      <c r="T727" s="43"/>
    </row>
    <row r="728" spans="1:20">
      <c r="A728" s="43"/>
      <c r="B728" s="69"/>
      <c r="C728" s="69"/>
      <c r="D728" s="249"/>
      <c r="E728" s="44"/>
      <c r="F728" s="44"/>
      <c r="G728" s="43"/>
      <c r="H728" s="43"/>
      <c r="I728" s="43"/>
      <c r="J728" s="43"/>
      <c r="K728" s="43"/>
      <c r="L728" s="43"/>
      <c r="M728" s="43"/>
      <c r="N728" s="43"/>
      <c r="O728" s="43"/>
      <c r="P728" s="245"/>
      <c r="Q728" s="253"/>
      <c r="R728" s="253"/>
      <c r="S728" s="253"/>
      <c r="T728" s="43"/>
    </row>
    <row r="729" spans="1:20">
      <c r="A729" s="43"/>
      <c r="B729" s="102"/>
      <c r="C729" s="102"/>
      <c r="D729" s="341"/>
      <c r="E729" s="44"/>
      <c r="F729" s="44"/>
      <c r="G729" s="43"/>
      <c r="H729" s="43"/>
      <c r="I729" s="43"/>
      <c r="J729" s="43"/>
      <c r="K729" s="43"/>
      <c r="L729" s="43"/>
      <c r="M729" s="43"/>
      <c r="N729" s="43"/>
      <c r="O729" s="43"/>
      <c r="P729" s="245"/>
      <c r="Q729" s="253"/>
      <c r="R729" s="253"/>
      <c r="S729" s="253"/>
      <c r="T729" s="43"/>
    </row>
    <row r="730" spans="1:20">
      <c r="A730" s="43"/>
      <c r="B730" s="102"/>
      <c r="C730" s="102"/>
      <c r="D730" s="249"/>
      <c r="E730" s="44"/>
      <c r="F730" s="44"/>
      <c r="G730" s="43"/>
      <c r="H730" s="43"/>
      <c r="I730" s="43"/>
      <c r="J730" s="43"/>
      <c r="K730" s="43"/>
      <c r="L730" s="43"/>
      <c r="M730" s="43"/>
      <c r="N730" s="43"/>
      <c r="O730" s="43"/>
      <c r="P730" s="245"/>
      <c r="Q730" s="253"/>
      <c r="R730" s="253"/>
      <c r="S730" s="253"/>
      <c r="T730" s="43"/>
    </row>
    <row r="731" spans="1:20">
      <c r="A731" s="43"/>
      <c r="B731" s="69"/>
      <c r="C731" s="69"/>
      <c r="D731" s="249"/>
      <c r="E731" s="44"/>
      <c r="F731" s="44"/>
      <c r="G731" s="43"/>
      <c r="H731" s="43"/>
      <c r="I731" s="43"/>
      <c r="J731" s="43"/>
      <c r="K731" s="43"/>
      <c r="L731" s="43"/>
      <c r="M731" s="43"/>
      <c r="N731" s="43"/>
      <c r="O731" s="43"/>
      <c r="P731" s="245"/>
      <c r="Q731" s="253"/>
      <c r="R731" s="253"/>
      <c r="S731" s="253"/>
      <c r="T731" s="43"/>
    </row>
    <row r="732" spans="1:20">
      <c r="A732" s="43"/>
      <c r="B732" s="69"/>
      <c r="C732" s="69"/>
      <c r="D732" s="249"/>
      <c r="E732" s="44"/>
      <c r="F732" s="69"/>
      <c r="G732" s="43"/>
      <c r="H732" s="43"/>
      <c r="I732" s="43"/>
      <c r="J732" s="43"/>
      <c r="K732" s="43"/>
      <c r="L732" s="43"/>
      <c r="M732" s="43"/>
      <c r="N732" s="43"/>
      <c r="O732" s="43"/>
      <c r="P732" s="245"/>
      <c r="Q732" s="253"/>
      <c r="R732" s="253"/>
      <c r="S732" s="253"/>
      <c r="T732" s="43"/>
    </row>
    <row r="733" spans="1:20">
      <c r="A733" s="43"/>
      <c r="B733" s="69"/>
      <c r="C733" s="69"/>
      <c r="D733" s="249"/>
      <c r="E733" s="44"/>
      <c r="F733" s="69"/>
      <c r="G733" s="43"/>
      <c r="H733" s="43"/>
      <c r="I733" s="43"/>
      <c r="J733" s="43"/>
      <c r="K733" s="43"/>
      <c r="L733" s="43"/>
      <c r="M733" s="43"/>
      <c r="N733" s="43"/>
      <c r="O733" s="43"/>
      <c r="P733" s="245"/>
      <c r="Q733" s="253"/>
      <c r="R733" s="253"/>
      <c r="S733" s="253"/>
      <c r="T733" s="43"/>
    </row>
    <row r="734" spans="1:20">
      <c r="A734" s="43"/>
      <c r="B734" s="102"/>
      <c r="C734" s="102"/>
      <c r="D734" s="341"/>
      <c r="E734" s="44"/>
      <c r="F734" s="44"/>
      <c r="G734" s="43"/>
      <c r="H734" s="43"/>
      <c r="I734" s="43"/>
      <c r="J734" s="43"/>
      <c r="K734" s="43"/>
      <c r="L734" s="43"/>
      <c r="M734" s="43"/>
      <c r="N734" s="43"/>
      <c r="O734" s="43"/>
      <c r="P734" s="245"/>
      <c r="Q734" s="253"/>
      <c r="R734" s="253"/>
      <c r="S734" s="253"/>
      <c r="T734" s="43"/>
    </row>
    <row r="735" spans="1:20">
      <c r="A735" s="43"/>
      <c r="B735" s="102"/>
      <c r="C735" s="102"/>
      <c r="D735" s="249"/>
      <c r="E735" s="44"/>
      <c r="F735" s="69"/>
      <c r="G735" s="43"/>
      <c r="H735" s="43"/>
      <c r="I735" s="43"/>
      <c r="J735" s="43"/>
      <c r="K735" s="43"/>
      <c r="L735" s="43"/>
      <c r="M735" s="43"/>
      <c r="N735" s="43"/>
      <c r="O735" s="43"/>
      <c r="P735" s="245"/>
      <c r="Q735" s="253"/>
      <c r="R735" s="253"/>
      <c r="S735" s="253"/>
      <c r="T735" s="43"/>
    </row>
    <row r="736" spans="1:20">
      <c r="A736" s="43"/>
      <c r="B736" s="44"/>
      <c r="C736" s="44"/>
      <c r="D736" s="44"/>
      <c r="E736" s="43"/>
      <c r="F736" s="43"/>
      <c r="G736" s="43"/>
      <c r="H736" s="43"/>
      <c r="I736" s="43"/>
      <c r="J736" s="43"/>
      <c r="K736" s="43"/>
      <c r="L736" s="43"/>
      <c r="M736" s="43"/>
      <c r="N736" s="43"/>
      <c r="O736" s="43"/>
      <c r="P736" s="245"/>
      <c r="Q736" s="253"/>
      <c r="R736" s="253"/>
      <c r="S736" s="253"/>
      <c r="T736" s="43"/>
    </row>
    <row r="737" spans="1:20">
      <c r="A737" s="43"/>
      <c r="B737" s="44"/>
      <c r="C737" s="44"/>
      <c r="D737" s="75"/>
      <c r="E737" s="43"/>
      <c r="F737" s="43"/>
      <c r="G737" s="43"/>
      <c r="H737" s="43"/>
      <c r="I737" s="43"/>
      <c r="J737" s="43"/>
      <c r="K737" s="43"/>
      <c r="L737" s="43"/>
      <c r="M737" s="43"/>
      <c r="N737" s="43"/>
      <c r="O737" s="43"/>
      <c r="P737" s="245"/>
      <c r="Q737" s="253"/>
      <c r="R737" s="253"/>
      <c r="S737" s="253"/>
      <c r="T737" s="43"/>
    </row>
    <row r="738" spans="1:20">
      <c r="A738" s="43"/>
      <c r="B738" s="44"/>
      <c r="C738" s="44"/>
      <c r="D738" s="75"/>
      <c r="E738" s="43"/>
      <c r="F738" s="43"/>
      <c r="G738" s="43"/>
      <c r="H738" s="43"/>
      <c r="I738" s="43"/>
      <c r="J738" s="43"/>
      <c r="K738" s="43"/>
      <c r="L738" s="43"/>
      <c r="M738" s="43"/>
      <c r="N738" s="43"/>
      <c r="O738" s="43"/>
      <c r="P738" s="245"/>
      <c r="Q738" s="253"/>
      <c r="R738" s="253"/>
      <c r="S738" s="253"/>
      <c r="T738" s="43"/>
    </row>
    <row r="739" spans="1:20">
      <c r="A739" s="43"/>
      <c r="B739" s="44"/>
      <c r="C739" s="44"/>
      <c r="D739" s="75"/>
      <c r="E739" s="43"/>
      <c r="F739" s="43"/>
      <c r="G739" s="43"/>
      <c r="H739" s="43"/>
      <c r="I739" s="43"/>
      <c r="J739" s="43"/>
      <c r="K739" s="43"/>
      <c r="L739" s="43"/>
      <c r="M739" s="43"/>
      <c r="N739" s="43"/>
      <c r="O739" s="43"/>
      <c r="P739" s="245"/>
      <c r="Q739" s="253"/>
      <c r="R739" s="253"/>
      <c r="S739" s="253"/>
      <c r="T739" s="43"/>
    </row>
    <row r="740" spans="1:20">
      <c r="A740" s="43"/>
      <c r="B740" s="44"/>
      <c r="C740" s="44"/>
      <c r="D740" s="75"/>
      <c r="E740" s="43"/>
      <c r="F740" s="43"/>
      <c r="G740" s="43"/>
      <c r="H740" s="43"/>
      <c r="I740" s="43"/>
      <c r="J740" s="43"/>
      <c r="K740" s="43"/>
      <c r="L740" s="43"/>
      <c r="M740" s="43"/>
      <c r="N740" s="43"/>
      <c r="O740" s="43"/>
      <c r="P740" s="245"/>
      <c r="Q740" s="253"/>
      <c r="R740" s="253"/>
      <c r="S740" s="253"/>
      <c r="T740" s="43"/>
    </row>
    <row r="741" spans="1:20">
      <c r="A741" s="43"/>
      <c r="B741" s="44"/>
      <c r="C741" s="44"/>
      <c r="D741" s="75"/>
      <c r="E741" s="43"/>
      <c r="F741" s="43"/>
      <c r="G741" s="43"/>
      <c r="H741" s="43"/>
      <c r="I741" s="43"/>
      <c r="J741" s="43"/>
      <c r="K741" s="43"/>
      <c r="L741" s="43"/>
      <c r="M741" s="43"/>
      <c r="N741" s="43"/>
      <c r="O741" s="43"/>
      <c r="P741" s="245"/>
      <c r="Q741" s="253"/>
      <c r="R741" s="253"/>
      <c r="S741" s="253"/>
      <c r="T741" s="43"/>
    </row>
    <row r="742" spans="1:20">
      <c r="A742" s="43"/>
      <c r="B742" s="44"/>
      <c r="C742" s="44"/>
      <c r="D742" s="75"/>
      <c r="E742" s="43"/>
      <c r="F742" s="43"/>
      <c r="G742" s="43"/>
      <c r="H742" s="43"/>
      <c r="I742" s="43"/>
      <c r="J742" s="43"/>
      <c r="K742" s="43"/>
      <c r="L742" s="43"/>
      <c r="M742" s="43"/>
      <c r="N742" s="43"/>
      <c r="O742" s="43"/>
      <c r="P742" s="245"/>
      <c r="Q742" s="253"/>
      <c r="R742" s="253"/>
      <c r="S742" s="253"/>
      <c r="T742" s="43"/>
    </row>
    <row r="743" spans="1:20">
      <c r="A743" s="43"/>
      <c r="B743" s="44"/>
      <c r="C743" s="44"/>
      <c r="D743" s="75"/>
      <c r="E743" s="43"/>
      <c r="F743" s="43"/>
      <c r="G743" s="43"/>
      <c r="H743" s="43"/>
      <c r="I743" s="43"/>
      <c r="J743" s="43"/>
      <c r="K743" s="43"/>
      <c r="L743" s="43"/>
      <c r="M743" s="43"/>
      <c r="N743" s="43"/>
      <c r="O743" s="43"/>
      <c r="P743" s="245"/>
      <c r="Q743" s="253"/>
      <c r="R743" s="253"/>
      <c r="S743" s="253"/>
      <c r="T743" s="43"/>
    </row>
    <row r="744" spans="1:20">
      <c r="A744" s="43"/>
      <c r="B744" s="44"/>
      <c r="C744" s="44"/>
      <c r="D744" s="75"/>
      <c r="E744" s="43"/>
      <c r="F744" s="43"/>
      <c r="G744" s="43"/>
      <c r="H744" s="43"/>
      <c r="I744" s="43"/>
      <c r="J744" s="43"/>
      <c r="K744" s="43"/>
      <c r="L744" s="43"/>
      <c r="M744" s="43"/>
      <c r="N744" s="43"/>
      <c r="O744" s="43"/>
      <c r="P744" s="245"/>
      <c r="Q744" s="253"/>
      <c r="R744" s="253"/>
      <c r="S744" s="253"/>
      <c r="T744" s="43"/>
    </row>
    <row r="745" spans="1:20">
      <c r="A745" s="43"/>
      <c r="B745" s="44"/>
      <c r="C745" s="44"/>
      <c r="D745" s="75"/>
      <c r="E745" s="43"/>
      <c r="F745" s="43"/>
      <c r="G745" s="43"/>
      <c r="H745" s="43"/>
      <c r="I745" s="43"/>
      <c r="J745" s="43"/>
      <c r="K745" s="43"/>
      <c r="L745" s="43"/>
      <c r="M745" s="43"/>
      <c r="N745" s="43"/>
      <c r="O745" s="43"/>
      <c r="P745" s="245"/>
      <c r="Q745" s="253"/>
      <c r="R745" s="253"/>
      <c r="S745" s="253"/>
      <c r="T745" s="43"/>
    </row>
    <row r="746" spans="1:20">
      <c r="A746" s="43"/>
      <c r="B746" s="44"/>
      <c r="C746" s="44"/>
      <c r="D746" s="44"/>
      <c r="E746" s="43"/>
      <c r="F746" s="43"/>
      <c r="G746" s="43"/>
      <c r="H746" s="43"/>
      <c r="I746" s="43"/>
      <c r="J746" s="43"/>
      <c r="K746" s="43"/>
      <c r="L746" s="43"/>
      <c r="M746" s="43"/>
      <c r="N746" s="43"/>
      <c r="O746" s="43"/>
      <c r="P746" s="245"/>
      <c r="Q746" s="253"/>
      <c r="R746" s="253"/>
      <c r="S746" s="253"/>
      <c r="T746" s="43"/>
    </row>
    <row r="747" spans="1:20">
      <c r="A747" s="43"/>
      <c r="B747" s="44"/>
      <c r="C747" s="44"/>
      <c r="D747" s="44"/>
      <c r="E747" s="43"/>
      <c r="F747" s="43"/>
      <c r="G747" s="43"/>
      <c r="H747" s="43"/>
      <c r="I747" s="43"/>
      <c r="J747" s="43"/>
      <c r="K747" s="43"/>
      <c r="L747" s="43"/>
      <c r="M747" s="43"/>
      <c r="N747" s="43"/>
      <c r="O747" s="43"/>
      <c r="P747" s="245"/>
      <c r="Q747" s="253"/>
      <c r="R747" s="253"/>
      <c r="S747" s="253"/>
      <c r="T747" s="43"/>
    </row>
    <row r="748" spans="1:20">
      <c r="A748" s="43"/>
      <c r="B748" s="44"/>
      <c r="C748" s="44"/>
      <c r="D748" s="44"/>
      <c r="E748" s="43"/>
      <c r="F748" s="43"/>
      <c r="G748" s="43"/>
      <c r="H748" s="43"/>
      <c r="I748" s="43"/>
      <c r="J748" s="43"/>
      <c r="K748" s="43"/>
      <c r="L748" s="43"/>
      <c r="M748" s="43"/>
      <c r="N748" s="43"/>
      <c r="O748" s="43"/>
      <c r="P748" s="245"/>
      <c r="Q748" s="253"/>
      <c r="R748" s="253"/>
      <c r="S748" s="253"/>
      <c r="T748" s="43"/>
    </row>
    <row r="749" spans="1:20">
      <c r="A749" s="43"/>
      <c r="B749" s="44"/>
      <c r="C749" s="44"/>
      <c r="D749" s="75"/>
      <c r="E749" s="43"/>
      <c r="F749" s="43"/>
      <c r="G749" s="43"/>
      <c r="H749" s="43"/>
      <c r="I749" s="43"/>
      <c r="J749" s="43"/>
      <c r="K749" s="43"/>
      <c r="L749" s="43"/>
      <c r="M749" s="43"/>
      <c r="N749" s="43"/>
      <c r="O749" s="43"/>
      <c r="P749" s="245"/>
      <c r="Q749" s="253"/>
      <c r="R749" s="253"/>
      <c r="S749" s="253"/>
      <c r="T749" s="43"/>
    </row>
    <row r="750" spans="1:20">
      <c r="A750" s="43"/>
      <c r="B750" s="44"/>
      <c r="C750" s="44"/>
      <c r="D750" s="75"/>
      <c r="E750" s="43"/>
      <c r="F750" s="43"/>
      <c r="G750" s="43"/>
      <c r="H750" s="43"/>
      <c r="I750" s="43"/>
      <c r="J750" s="43"/>
      <c r="K750" s="43"/>
      <c r="L750" s="43"/>
      <c r="M750" s="43"/>
      <c r="N750" s="43"/>
      <c r="O750" s="43"/>
      <c r="P750" s="245"/>
      <c r="Q750" s="253"/>
      <c r="R750" s="253"/>
      <c r="S750" s="253"/>
      <c r="T750" s="43"/>
    </row>
    <row r="751" spans="1:20">
      <c r="A751" s="43"/>
      <c r="B751" s="44"/>
      <c r="C751" s="44"/>
      <c r="D751" s="75"/>
      <c r="E751" s="43"/>
      <c r="F751" s="43"/>
      <c r="G751" s="43"/>
      <c r="H751" s="43"/>
      <c r="I751" s="43"/>
      <c r="J751" s="43"/>
      <c r="K751" s="43"/>
      <c r="L751" s="43"/>
      <c r="M751" s="43"/>
      <c r="N751" s="43"/>
      <c r="O751" s="43"/>
      <c r="P751" s="245"/>
      <c r="Q751" s="253"/>
      <c r="R751" s="253"/>
      <c r="S751" s="253"/>
      <c r="T751" s="43"/>
    </row>
    <row r="752" spans="1:20">
      <c r="A752" s="43"/>
      <c r="B752" s="44"/>
      <c r="C752" s="44"/>
      <c r="D752" s="75"/>
      <c r="E752" s="43"/>
      <c r="F752" s="43"/>
      <c r="G752" s="43"/>
      <c r="H752" s="43"/>
      <c r="I752" s="43"/>
      <c r="J752" s="43"/>
      <c r="K752" s="43"/>
      <c r="L752" s="43"/>
      <c r="M752" s="43"/>
      <c r="N752" s="43"/>
      <c r="O752" s="43"/>
      <c r="P752" s="245"/>
      <c r="Q752" s="253"/>
      <c r="R752" s="253"/>
      <c r="S752" s="253"/>
      <c r="T752" s="43"/>
    </row>
    <row r="753" spans="1:20">
      <c r="A753" s="43"/>
      <c r="B753" s="44"/>
      <c r="C753" s="44"/>
      <c r="D753" s="75"/>
      <c r="E753" s="43"/>
      <c r="F753" s="43"/>
      <c r="G753" s="43"/>
      <c r="H753" s="43"/>
      <c r="I753" s="43"/>
      <c r="J753" s="43"/>
      <c r="K753" s="43"/>
      <c r="L753" s="43"/>
      <c r="M753" s="43"/>
      <c r="N753" s="43"/>
      <c r="O753" s="43"/>
      <c r="P753" s="245"/>
      <c r="Q753" s="253"/>
      <c r="R753" s="253"/>
      <c r="S753" s="253"/>
      <c r="T753" s="43"/>
    </row>
    <row r="754" spans="1:20">
      <c r="A754" s="43"/>
      <c r="B754" s="44"/>
      <c r="C754" s="44"/>
      <c r="D754" s="75"/>
      <c r="E754" s="43"/>
      <c r="F754" s="43"/>
      <c r="G754" s="43"/>
      <c r="H754" s="43"/>
      <c r="I754" s="43"/>
      <c r="J754" s="43"/>
      <c r="K754" s="43"/>
      <c r="L754" s="43"/>
      <c r="M754" s="43"/>
      <c r="N754" s="43"/>
      <c r="O754" s="43"/>
      <c r="P754" s="245"/>
      <c r="Q754" s="253"/>
      <c r="R754" s="253"/>
      <c r="S754" s="253"/>
      <c r="T754" s="43"/>
    </row>
    <row r="755" spans="1:20">
      <c r="A755" s="43"/>
      <c r="B755" s="44"/>
      <c r="C755" s="44"/>
      <c r="D755" s="75"/>
      <c r="E755" s="43"/>
      <c r="F755" s="43"/>
      <c r="G755" s="43"/>
      <c r="H755" s="43"/>
      <c r="I755" s="43"/>
      <c r="J755" s="43"/>
      <c r="K755" s="43"/>
      <c r="L755" s="43"/>
      <c r="M755" s="43"/>
      <c r="N755" s="43"/>
      <c r="O755" s="43"/>
      <c r="P755" s="245"/>
      <c r="Q755" s="253"/>
      <c r="R755" s="253"/>
      <c r="S755" s="253"/>
      <c r="T755" s="43"/>
    </row>
    <row r="756" spans="1:20">
      <c r="A756" s="43"/>
      <c r="B756" s="44"/>
      <c r="C756" s="44"/>
      <c r="D756" s="75"/>
      <c r="E756" s="43"/>
      <c r="F756" s="43"/>
      <c r="G756" s="43"/>
      <c r="H756" s="43"/>
      <c r="I756" s="43"/>
      <c r="J756" s="43"/>
      <c r="K756" s="43"/>
      <c r="L756" s="43"/>
      <c r="M756" s="43"/>
      <c r="N756" s="43"/>
      <c r="O756" s="43"/>
      <c r="P756" s="245"/>
      <c r="Q756" s="253"/>
      <c r="R756" s="253"/>
      <c r="S756" s="253"/>
      <c r="T756" s="43"/>
    </row>
    <row r="757" spans="1:20">
      <c r="A757" s="43"/>
      <c r="B757" s="44"/>
      <c r="C757" s="44"/>
      <c r="D757" s="75"/>
      <c r="E757" s="43"/>
      <c r="F757" s="43"/>
      <c r="G757" s="43"/>
      <c r="H757" s="43"/>
      <c r="I757" s="43"/>
      <c r="J757" s="43"/>
      <c r="K757" s="43"/>
      <c r="L757" s="43"/>
      <c r="M757" s="43"/>
      <c r="N757" s="43"/>
      <c r="O757" s="43"/>
      <c r="P757" s="245"/>
      <c r="Q757" s="253"/>
      <c r="R757" s="253"/>
      <c r="S757" s="253"/>
      <c r="T757" s="43"/>
    </row>
    <row r="758" spans="1:20">
      <c r="A758" s="43"/>
      <c r="B758" s="44"/>
      <c r="C758" s="44"/>
      <c r="D758" s="75"/>
      <c r="E758" s="43"/>
      <c r="F758" s="43"/>
      <c r="G758" s="43"/>
      <c r="H758" s="43"/>
      <c r="I758" s="43"/>
      <c r="J758" s="43"/>
      <c r="K758" s="43"/>
      <c r="L758" s="43"/>
      <c r="M758" s="43"/>
      <c r="N758" s="43"/>
      <c r="O758" s="43"/>
      <c r="P758" s="245"/>
      <c r="Q758" s="253"/>
      <c r="R758" s="253"/>
      <c r="S758" s="253"/>
      <c r="T758" s="43"/>
    </row>
    <row r="759" spans="1:20">
      <c r="A759" s="43"/>
      <c r="B759" s="44"/>
      <c r="C759" s="44"/>
      <c r="D759" s="75"/>
      <c r="E759" s="43"/>
      <c r="F759" s="43"/>
      <c r="G759" s="43"/>
      <c r="H759" s="43"/>
      <c r="I759" s="43"/>
      <c r="J759" s="43"/>
      <c r="K759" s="43"/>
      <c r="L759" s="43"/>
      <c r="M759" s="43"/>
      <c r="N759" s="43"/>
      <c r="O759" s="43"/>
      <c r="P759" s="245"/>
      <c r="Q759" s="253"/>
      <c r="R759" s="253"/>
      <c r="S759" s="253"/>
      <c r="T759" s="43"/>
    </row>
    <row r="760" spans="1:20">
      <c r="A760" s="43"/>
      <c r="B760" s="44"/>
      <c r="C760" s="44"/>
      <c r="D760" s="75"/>
      <c r="E760" s="43"/>
      <c r="F760" s="43"/>
      <c r="G760" s="43"/>
      <c r="H760" s="43"/>
      <c r="I760" s="43"/>
      <c r="J760" s="43"/>
      <c r="K760" s="43"/>
      <c r="L760" s="43"/>
      <c r="M760" s="43"/>
      <c r="N760" s="43"/>
      <c r="O760" s="43"/>
      <c r="P760" s="245"/>
      <c r="Q760" s="253"/>
      <c r="R760" s="253"/>
      <c r="S760" s="253"/>
      <c r="T760" s="43"/>
    </row>
    <row r="761" spans="1:20">
      <c r="A761" s="43"/>
      <c r="B761" s="44"/>
      <c r="C761" s="44"/>
      <c r="D761" s="75"/>
      <c r="E761" s="43"/>
      <c r="F761" s="43"/>
      <c r="G761" s="43"/>
      <c r="H761" s="43"/>
      <c r="I761" s="43"/>
      <c r="J761" s="43"/>
      <c r="K761" s="43"/>
      <c r="L761" s="43"/>
      <c r="M761" s="43"/>
      <c r="N761" s="43"/>
      <c r="O761" s="43"/>
      <c r="P761" s="245"/>
      <c r="Q761" s="253"/>
      <c r="R761" s="253"/>
      <c r="S761" s="253"/>
      <c r="T761" s="43"/>
    </row>
    <row r="762" spans="1:20">
      <c r="A762" s="43"/>
      <c r="B762" s="44"/>
      <c r="C762" s="44"/>
      <c r="D762" s="75"/>
      <c r="E762" s="43"/>
      <c r="F762" s="43"/>
      <c r="G762" s="43"/>
      <c r="H762" s="43"/>
      <c r="I762" s="43"/>
      <c r="J762" s="43"/>
      <c r="K762" s="43"/>
      <c r="L762" s="43"/>
      <c r="M762" s="43"/>
      <c r="N762" s="43"/>
      <c r="O762" s="43"/>
      <c r="P762" s="245"/>
      <c r="Q762" s="253"/>
      <c r="R762" s="253"/>
      <c r="S762" s="253"/>
      <c r="T762" s="43"/>
    </row>
    <row r="763" spans="1:20">
      <c r="A763" s="43"/>
      <c r="B763" s="44"/>
      <c r="C763" s="44"/>
      <c r="D763" s="44"/>
      <c r="E763" s="43"/>
      <c r="F763" s="43"/>
      <c r="G763" s="43"/>
      <c r="H763" s="43"/>
      <c r="I763" s="43"/>
      <c r="J763" s="43"/>
      <c r="K763" s="43"/>
      <c r="L763" s="43"/>
      <c r="M763" s="43"/>
      <c r="N763" s="43"/>
      <c r="O763" s="43"/>
      <c r="P763" s="245"/>
      <c r="Q763" s="253"/>
      <c r="R763" s="253"/>
      <c r="S763" s="253"/>
      <c r="T763" s="43"/>
    </row>
    <row r="764" spans="1:20">
      <c r="A764" s="43"/>
      <c r="B764" s="44"/>
      <c r="C764" s="44"/>
      <c r="D764" s="75"/>
      <c r="E764" s="43"/>
      <c r="F764" s="43"/>
      <c r="G764" s="43"/>
      <c r="H764" s="43"/>
      <c r="I764" s="43"/>
      <c r="J764" s="43"/>
      <c r="K764" s="43"/>
      <c r="L764" s="43"/>
      <c r="M764" s="43"/>
      <c r="N764" s="43"/>
      <c r="O764" s="43"/>
      <c r="P764" s="245"/>
      <c r="Q764" s="253"/>
      <c r="R764" s="253"/>
      <c r="S764" s="253"/>
      <c r="T764" s="43"/>
    </row>
    <row r="765" spans="1:20">
      <c r="A765" s="43"/>
      <c r="B765" s="44"/>
      <c r="C765" s="44"/>
      <c r="D765" s="75"/>
      <c r="E765" s="43"/>
      <c r="F765" s="43"/>
      <c r="G765" s="43"/>
      <c r="H765" s="43"/>
      <c r="I765" s="43"/>
      <c r="J765" s="43"/>
      <c r="K765" s="43"/>
      <c r="L765" s="43"/>
      <c r="M765" s="43"/>
      <c r="N765" s="43"/>
      <c r="O765" s="43"/>
      <c r="P765" s="245"/>
      <c r="Q765" s="253"/>
      <c r="R765" s="253"/>
      <c r="S765" s="253"/>
      <c r="T765" s="43"/>
    </row>
    <row r="766" spans="1:20">
      <c r="A766" s="43"/>
      <c r="B766" s="44"/>
      <c r="C766" s="44"/>
      <c r="D766" s="75"/>
      <c r="E766" s="43"/>
      <c r="F766" s="43"/>
      <c r="G766" s="43"/>
      <c r="H766" s="43"/>
      <c r="I766" s="43"/>
      <c r="J766" s="43"/>
      <c r="K766" s="43"/>
      <c r="L766" s="43"/>
      <c r="M766" s="43"/>
      <c r="N766" s="43"/>
      <c r="O766" s="43"/>
      <c r="P766" s="245"/>
      <c r="Q766" s="253"/>
      <c r="R766" s="253"/>
      <c r="S766" s="253"/>
      <c r="T766" s="43"/>
    </row>
    <row r="767" spans="1:20">
      <c r="A767" s="43"/>
      <c r="B767" s="44"/>
      <c r="C767" s="44"/>
      <c r="D767" s="75"/>
      <c r="E767" s="43"/>
      <c r="F767" s="43"/>
      <c r="G767" s="43"/>
      <c r="H767" s="43"/>
      <c r="I767" s="43"/>
      <c r="J767" s="43"/>
      <c r="K767" s="43"/>
      <c r="L767" s="43"/>
      <c r="M767" s="43"/>
      <c r="N767" s="43"/>
      <c r="O767" s="43"/>
      <c r="P767" s="245"/>
      <c r="Q767" s="253"/>
      <c r="R767" s="253"/>
      <c r="S767" s="253"/>
      <c r="T767" s="43"/>
    </row>
    <row r="768" spans="1:20">
      <c r="A768" s="43"/>
      <c r="B768" s="44"/>
      <c r="C768" s="44"/>
      <c r="D768" s="44"/>
      <c r="E768" s="43"/>
      <c r="F768" s="43"/>
      <c r="G768" s="43"/>
      <c r="H768" s="43"/>
      <c r="I768" s="43"/>
      <c r="J768" s="43"/>
      <c r="K768" s="43"/>
      <c r="L768" s="43"/>
      <c r="M768" s="43"/>
      <c r="N768" s="43"/>
      <c r="O768" s="43"/>
      <c r="P768" s="245"/>
      <c r="Q768" s="253"/>
      <c r="R768" s="253"/>
      <c r="S768" s="253"/>
      <c r="T768" s="43"/>
    </row>
    <row r="769" spans="1:20">
      <c r="A769" s="43"/>
      <c r="B769" s="44"/>
      <c r="C769" s="44"/>
      <c r="D769" s="75"/>
      <c r="E769" s="43"/>
      <c r="F769" s="43"/>
      <c r="G769" s="43"/>
      <c r="H769" s="43"/>
      <c r="I769" s="43"/>
      <c r="J769" s="43"/>
      <c r="K769" s="43"/>
      <c r="L769" s="43"/>
      <c r="M769" s="43"/>
      <c r="N769" s="43"/>
      <c r="O769" s="43"/>
      <c r="P769" s="245"/>
      <c r="Q769" s="253"/>
      <c r="R769" s="253"/>
      <c r="S769" s="253"/>
      <c r="T769" s="43"/>
    </row>
    <row r="770" spans="1:20">
      <c r="A770" s="43"/>
      <c r="B770" s="44"/>
      <c r="C770" s="44"/>
      <c r="D770" s="75"/>
      <c r="E770" s="43"/>
      <c r="F770" s="43"/>
      <c r="G770" s="43"/>
      <c r="H770" s="43"/>
      <c r="I770" s="43"/>
      <c r="J770" s="43"/>
      <c r="K770" s="43"/>
      <c r="L770" s="43"/>
      <c r="M770" s="43"/>
      <c r="N770" s="43"/>
      <c r="O770" s="43"/>
      <c r="P770" s="245"/>
      <c r="Q770" s="253"/>
      <c r="R770" s="253"/>
      <c r="S770" s="253"/>
      <c r="T770" s="43"/>
    </row>
    <row r="771" spans="1:20">
      <c r="A771" s="43"/>
      <c r="B771" s="44"/>
      <c r="C771" s="44"/>
      <c r="D771" s="75"/>
      <c r="E771" s="43"/>
      <c r="F771" s="43"/>
      <c r="G771" s="43"/>
      <c r="H771" s="43"/>
      <c r="I771" s="43"/>
      <c r="J771" s="43"/>
      <c r="K771" s="43"/>
      <c r="L771" s="43"/>
      <c r="M771" s="43"/>
      <c r="N771" s="43"/>
      <c r="O771" s="43"/>
      <c r="P771" s="245"/>
      <c r="Q771" s="253"/>
      <c r="R771" s="253"/>
      <c r="S771" s="253"/>
      <c r="T771" s="43"/>
    </row>
    <row r="772" spans="1:20">
      <c r="A772" s="43"/>
      <c r="B772" s="44"/>
      <c r="C772" s="44"/>
      <c r="D772" s="75"/>
      <c r="E772" s="43"/>
      <c r="F772" s="43"/>
      <c r="G772" s="43"/>
      <c r="H772" s="43"/>
      <c r="I772" s="43"/>
      <c r="J772" s="43"/>
      <c r="K772" s="43"/>
      <c r="L772" s="43"/>
      <c r="M772" s="43"/>
      <c r="N772" s="43"/>
      <c r="O772" s="43"/>
      <c r="P772" s="245"/>
      <c r="Q772" s="253"/>
      <c r="R772" s="253"/>
      <c r="S772" s="253"/>
      <c r="T772" s="43"/>
    </row>
    <row r="773" spans="1:20">
      <c r="A773" s="43"/>
      <c r="B773" s="44"/>
      <c r="C773" s="44"/>
      <c r="D773" s="75"/>
      <c r="E773" s="43"/>
      <c r="F773" s="43"/>
      <c r="G773" s="43"/>
      <c r="H773" s="43"/>
      <c r="I773" s="43"/>
      <c r="J773" s="43"/>
      <c r="K773" s="43"/>
      <c r="L773" s="43"/>
      <c r="M773" s="43"/>
      <c r="N773" s="43"/>
      <c r="O773" s="43"/>
      <c r="P773" s="245"/>
      <c r="Q773" s="253"/>
      <c r="R773" s="253"/>
      <c r="S773" s="253"/>
      <c r="T773" s="43"/>
    </row>
    <row r="774" spans="1:20">
      <c r="A774" s="43"/>
      <c r="B774" s="44"/>
      <c r="C774" s="44"/>
      <c r="D774" s="75"/>
      <c r="E774" s="43"/>
      <c r="F774" s="43"/>
      <c r="G774" s="43"/>
      <c r="H774" s="43"/>
      <c r="I774" s="43"/>
      <c r="J774" s="43"/>
      <c r="K774" s="43"/>
      <c r="L774" s="43"/>
      <c r="M774" s="43"/>
      <c r="N774" s="43"/>
      <c r="O774" s="43"/>
      <c r="P774" s="245"/>
      <c r="Q774" s="253"/>
      <c r="R774" s="253"/>
      <c r="S774" s="253"/>
      <c r="T774" s="43"/>
    </row>
    <row r="775" spans="1:20">
      <c r="A775" s="43"/>
      <c r="B775" s="69"/>
      <c r="C775" s="69"/>
      <c r="D775" s="75"/>
      <c r="E775" s="44"/>
      <c r="F775" s="44"/>
      <c r="G775" s="43"/>
      <c r="H775" s="43"/>
      <c r="I775" s="43"/>
      <c r="J775" s="43"/>
      <c r="K775" s="43"/>
      <c r="L775" s="43"/>
      <c r="M775" s="43"/>
      <c r="N775" s="43"/>
      <c r="O775" s="43"/>
      <c r="P775" s="245"/>
      <c r="Q775" s="253"/>
      <c r="R775" s="253"/>
      <c r="S775" s="253"/>
      <c r="T775" s="43"/>
    </row>
    <row r="776" spans="1:20">
      <c r="A776" s="43"/>
      <c r="B776" s="69"/>
      <c r="C776" s="69"/>
      <c r="D776" s="75"/>
      <c r="E776" s="44"/>
      <c r="F776" s="44"/>
      <c r="G776" s="43"/>
      <c r="H776" s="43"/>
      <c r="I776" s="43"/>
      <c r="J776" s="43"/>
      <c r="K776" s="43"/>
      <c r="L776" s="43"/>
      <c r="M776" s="43"/>
      <c r="N776" s="43"/>
      <c r="O776" s="43"/>
      <c r="P776" s="245"/>
      <c r="Q776" s="253"/>
      <c r="R776" s="253"/>
      <c r="S776" s="253"/>
      <c r="T776" s="43"/>
    </row>
    <row r="777" spans="1:20">
      <c r="A777" s="43"/>
      <c r="B777" s="44"/>
      <c r="C777" s="44"/>
      <c r="D777" s="75"/>
      <c r="E777" s="43"/>
      <c r="F777" s="43"/>
      <c r="G777" s="43"/>
      <c r="H777" s="43"/>
      <c r="I777" s="43"/>
      <c r="J777" s="43"/>
      <c r="K777" s="43"/>
      <c r="L777" s="43"/>
      <c r="M777" s="43"/>
      <c r="N777" s="43"/>
      <c r="O777" s="43"/>
      <c r="P777" s="245"/>
      <c r="Q777" s="253"/>
      <c r="R777" s="253"/>
      <c r="S777" s="253"/>
      <c r="T777" s="43"/>
    </row>
    <row r="778" spans="1:20">
      <c r="A778" s="43"/>
      <c r="B778" s="44"/>
      <c r="C778" s="44"/>
      <c r="D778" s="75"/>
      <c r="E778" s="43"/>
      <c r="F778" s="43"/>
      <c r="G778" s="43"/>
      <c r="H778" s="43"/>
      <c r="I778" s="43"/>
      <c r="J778" s="43"/>
      <c r="K778" s="43"/>
      <c r="L778" s="43"/>
      <c r="M778" s="43"/>
      <c r="N778" s="43"/>
      <c r="O778" s="43"/>
      <c r="P778" s="245"/>
      <c r="Q778" s="253"/>
      <c r="R778" s="253"/>
      <c r="S778" s="253"/>
      <c r="T778" s="43"/>
    </row>
    <row r="779" spans="1:20">
      <c r="A779" s="43"/>
      <c r="B779" s="44"/>
      <c r="C779" s="44"/>
      <c r="D779" s="249"/>
      <c r="E779" s="44"/>
      <c r="F779" s="44"/>
      <c r="G779" s="43"/>
      <c r="H779" s="43"/>
      <c r="I779" s="43"/>
      <c r="J779" s="43"/>
      <c r="K779" s="43"/>
      <c r="L779" s="43"/>
      <c r="M779" s="43"/>
      <c r="N779" s="43"/>
      <c r="O779" s="43"/>
      <c r="P779" s="245"/>
      <c r="Q779" s="253"/>
      <c r="R779" s="253"/>
      <c r="S779" s="253"/>
      <c r="T779" s="43"/>
    </row>
    <row r="780" spans="1:20">
      <c r="A780" s="43"/>
      <c r="B780" s="44"/>
      <c r="C780" s="44"/>
      <c r="D780" s="249"/>
      <c r="E780" s="44"/>
      <c r="F780" s="44"/>
      <c r="G780" s="43"/>
      <c r="H780" s="43"/>
      <c r="I780" s="43"/>
      <c r="J780" s="43"/>
      <c r="K780" s="43"/>
      <c r="L780" s="43"/>
      <c r="M780" s="43"/>
      <c r="N780" s="43"/>
      <c r="O780" s="43"/>
      <c r="P780" s="245"/>
      <c r="Q780" s="253"/>
      <c r="R780" s="253"/>
      <c r="S780" s="253"/>
      <c r="T780" s="43"/>
    </row>
    <row r="781" spans="1:20">
      <c r="A781" s="43"/>
      <c r="B781" s="44"/>
      <c r="C781" s="44"/>
      <c r="D781" s="249"/>
      <c r="E781" s="44"/>
      <c r="F781" s="44"/>
      <c r="G781" s="43"/>
      <c r="H781" s="43"/>
      <c r="I781" s="43"/>
      <c r="J781" s="43"/>
      <c r="K781" s="43"/>
      <c r="L781" s="43"/>
      <c r="M781" s="43"/>
      <c r="N781" s="43"/>
      <c r="O781" s="43"/>
      <c r="P781" s="245"/>
      <c r="Q781" s="253"/>
      <c r="R781" s="253"/>
      <c r="S781" s="253"/>
      <c r="T781" s="43"/>
    </row>
    <row r="782" spans="1:20">
      <c r="A782" s="43"/>
      <c r="B782" s="44"/>
      <c r="C782" s="44"/>
      <c r="D782" s="249"/>
      <c r="E782" s="44"/>
      <c r="F782" s="44"/>
      <c r="G782" s="43"/>
      <c r="H782" s="43"/>
      <c r="I782" s="43"/>
      <c r="J782" s="43"/>
      <c r="K782" s="43"/>
      <c r="L782" s="43"/>
      <c r="M782" s="43"/>
      <c r="N782" s="43"/>
      <c r="O782" s="43"/>
      <c r="P782" s="245"/>
      <c r="Q782" s="253"/>
      <c r="R782" s="253"/>
      <c r="S782" s="253"/>
      <c r="T782" s="43"/>
    </row>
    <row r="783" spans="1:20">
      <c r="A783" s="43"/>
      <c r="B783" s="44"/>
      <c r="C783" s="44"/>
      <c r="D783" s="249"/>
      <c r="E783" s="44"/>
      <c r="F783" s="44"/>
      <c r="G783" s="43"/>
      <c r="H783" s="43"/>
      <c r="I783" s="43"/>
      <c r="J783" s="43"/>
      <c r="K783" s="43"/>
      <c r="L783" s="43"/>
      <c r="M783" s="43"/>
      <c r="N783" s="43"/>
      <c r="O783" s="43"/>
      <c r="P783" s="245"/>
      <c r="Q783" s="253"/>
      <c r="R783" s="253"/>
      <c r="S783" s="253"/>
      <c r="T783" s="43"/>
    </row>
    <row r="784" spans="1:20">
      <c r="A784" s="43"/>
      <c r="B784" s="44"/>
      <c r="C784" s="44"/>
      <c r="D784" s="75"/>
      <c r="E784" s="43"/>
      <c r="F784" s="69"/>
      <c r="G784" s="43"/>
      <c r="H784" s="43"/>
      <c r="I784" s="43"/>
      <c r="J784" s="43"/>
      <c r="K784" s="43"/>
      <c r="L784" s="43"/>
      <c r="M784" s="43"/>
      <c r="N784" s="43"/>
      <c r="O784" s="43"/>
      <c r="P784" s="245"/>
      <c r="Q784" s="253"/>
      <c r="R784" s="253"/>
      <c r="S784" s="253"/>
      <c r="T784" s="43"/>
    </row>
    <row r="785" spans="1:20">
      <c r="A785" s="43"/>
      <c r="B785" s="44"/>
      <c r="C785" s="44"/>
      <c r="D785" s="75"/>
      <c r="E785" s="43"/>
      <c r="F785" s="69"/>
      <c r="G785" s="43"/>
      <c r="H785" s="43"/>
      <c r="I785" s="43"/>
      <c r="J785" s="43"/>
      <c r="K785" s="43"/>
      <c r="L785" s="43"/>
      <c r="M785" s="43"/>
      <c r="N785" s="43"/>
      <c r="O785" s="43"/>
      <c r="P785" s="245"/>
      <c r="Q785" s="253"/>
      <c r="R785" s="253"/>
      <c r="S785" s="253"/>
      <c r="T785" s="43"/>
    </row>
    <row r="786" spans="1:20">
      <c r="A786" s="43"/>
      <c r="B786" s="44"/>
      <c r="C786" s="44"/>
      <c r="D786" s="75"/>
      <c r="E786" s="43"/>
      <c r="F786" s="69"/>
      <c r="G786" s="43"/>
      <c r="H786" s="43"/>
      <c r="I786" s="43"/>
      <c r="J786" s="43"/>
      <c r="K786" s="43"/>
      <c r="L786" s="43"/>
      <c r="M786" s="43"/>
      <c r="N786" s="43"/>
      <c r="O786" s="43"/>
      <c r="P786" s="245"/>
      <c r="Q786" s="253"/>
      <c r="R786" s="253"/>
      <c r="S786" s="253"/>
      <c r="T786" s="43"/>
    </row>
    <row r="787" spans="1:20">
      <c r="A787" s="43"/>
      <c r="B787" s="44"/>
      <c r="C787" s="44"/>
      <c r="D787" s="75"/>
      <c r="E787" s="43"/>
      <c r="F787" s="69"/>
      <c r="G787" s="43"/>
      <c r="H787" s="43"/>
      <c r="I787" s="43"/>
      <c r="J787" s="43"/>
      <c r="K787" s="43"/>
      <c r="L787" s="43"/>
      <c r="M787" s="43"/>
      <c r="N787" s="43"/>
      <c r="O787" s="43"/>
      <c r="P787" s="245"/>
      <c r="Q787" s="253"/>
      <c r="R787" s="253"/>
      <c r="S787" s="253"/>
      <c r="T787" s="43"/>
    </row>
    <row r="788" spans="1:20">
      <c r="A788" s="43"/>
      <c r="B788" s="44"/>
      <c r="C788" s="44"/>
      <c r="D788" s="75"/>
      <c r="E788" s="43"/>
      <c r="F788" s="69"/>
      <c r="G788" s="43"/>
      <c r="H788" s="43"/>
      <c r="I788" s="43"/>
      <c r="J788" s="43"/>
      <c r="K788" s="43"/>
      <c r="L788" s="43"/>
      <c r="M788" s="43"/>
      <c r="N788" s="43"/>
      <c r="O788" s="43"/>
      <c r="P788" s="245"/>
      <c r="Q788" s="253"/>
      <c r="R788" s="253"/>
      <c r="S788" s="253"/>
      <c r="T788" s="43"/>
    </row>
    <row r="789" spans="1:20">
      <c r="A789" s="43"/>
      <c r="B789" s="44"/>
      <c r="C789" s="44"/>
      <c r="D789" s="249"/>
      <c r="E789" s="44"/>
      <c r="F789" s="44"/>
      <c r="G789" s="43"/>
      <c r="H789" s="43"/>
      <c r="I789" s="43"/>
      <c r="J789" s="43"/>
      <c r="K789" s="43"/>
      <c r="L789" s="43"/>
      <c r="M789" s="43"/>
      <c r="N789" s="43"/>
      <c r="O789" s="43"/>
      <c r="P789" s="245"/>
      <c r="Q789" s="253"/>
      <c r="R789" s="253"/>
      <c r="S789" s="253"/>
      <c r="T789" s="43"/>
    </row>
    <row r="790" spans="1:20">
      <c r="A790" s="43"/>
      <c r="B790" s="44"/>
      <c r="C790" s="44"/>
      <c r="D790" s="44"/>
      <c r="E790" s="44"/>
      <c r="F790" s="44"/>
      <c r="G790" s="43"/>
      <c r="H790" s="43"/>
      <c r="I790" s="43"/>
      <c r="J790" s="43"/>
      <c r="K790" s="43"/>
      <c r="L790" s="43"/>
      <c r="M790" s="43"/>
      <c r="N790" s="43"/>
      <c r="O790" s="43"/>
      <c r="P790" s="245"/>
      <c r="Q790" s="253"/>
      <c r="R790" s="253"/>
      <c r="S790" s="253"/>
      <c r="T790" s="43"/>
    </row>
    <row r="791" spans="1:20">
      <c r="A791" s="332"/>
      <c r="B791" s="333"/>
      <c r="C791" s="333"/>
      <c r="D791" s="334"/>
      <c r="E791" s="333"/>
      <c r="F791" s="334"/>
      <c r="G791" s="332"/>
      <c r="H791" s="332"/>
      <c r="I791" s="332"/>
      <c r="J791" s="332"/>
      <c r="K791" s="332"/>
      <c r="L791" s="332"/>
      <c r="M791" s="332"/>
      <c r="N791" s="332"/>
      <c r="O791" s="332"/>
      <c r="P791" s="332"/>
      <c r="Q791" s="332"/>
      <c r="R791" s="332"/>
      <c r="S791" s="293"/>
      <c r="T791" s="332"/>
    </row>
    <row r="792" spans="1:20">
      <c r="A792" s="43"/>
      <c r="B792" s="44"/>
      <c r="C792" s="44"/>
      <c r="D792" s="249"/>
      <c r="E792" s="44"/>
      <c r="F792" s="44"/>
      <c r="G792" s="43"/>
      <c r="H792" s="43"/>
      <c r="I792" s="43"/>
      <c r="J792" s="43"/>
      <c r="K792" s="43"/>
      <c r="L792" s="43"/>
      <c r="M792" s="43"/>
      <c r="N792" s="43"/>
      <c r="O792" s="43"/>
      <c r="P792" s="245"/>
      <c r="Q792" s="253"/>
      <c r="R792" s="253"/>
      <c r="S792" s="253"/>
      <c r="T792" s="43"/>
    </row>
    <row r="793" spans="1:20">
      <c r="A793" s="43"/>
      <c r="B793" s="44"/>
      <c r="C793" s="44"/>
      <c r="D793" s="249"/>
      <c r="E793" s="44"/>
      <c r="F793" s="44"/>
      <c r="G793" s="43"/>
      <c r="H793" s="43"/>
      <c r="I793" s="43"/>
      <c r="J793" s="43"/>
      <c r="K793" s="43"/>
      <c r="L793" s="43"/>
      <c r="M793" s="43"/>
      <c r="N793" s="43"/>
      <c r="O793" s="43"/>
      <c r="P793" s="245"/>
      <c r="Q793" s="253"/>
      <c r="R793" s="253"/>
      <c r="S793" s="253"/>
      <c r="T793" s="43"/>
    </row>
    <row r="794" spans="1:20">
      <c r="A794" s="43"/>
      <c r="B794" s="44"/>
      <c r="C794" s="44"/>
      <c r="D794" s="249"/>
      <c r="E794" s="44"/>
      <c r="F794" s="44"/>
      <c r="G794" s="43"/>
      <c r="H794" s="43"/>
      <c r="I794" s="43"/>
      <c r="J794" s="43"/>
      <c r="K794" s="43"/>
      <c r="L794" s="43"/>
      <c r="M794" s="43"/>
      <c r="N794" s="43"/>
      <c r="O794" s="43"/>
      <c r="P794" s="245"/>
      <c r="Q794" s="253"/>
      <c r="R794" s="253"/>
      <c r="S794" s="253"/>
      <c r="T794" s="43"/>
    </row>
    <row r="795" spans="1:20">
      <c r="A795" s="43"/>
      <c r="B795" s="44"/>
      <c r="C795" s="44"/>
      <c r="D795" s="249"/>
      <c r="E795" s="44"/>
      <c r="F795" s="44"/>
      <c r="G795" s="43"/>
      <c r="H795" s="43"/>
      <c r="I795" s="43"/>
      <c r="J795" s="43"/>
      <c r="K795" s="43"/>
      <c r="L795" s="43"/>
      <c r="M795" s="43"/>
      <c r="N795" s="43"/>
      <c r="O795" s="43"/>
      <c r="P795" s="245"/>
      <c r="Q795" s="253"/>
      <c r="R795" s="253"/>
      <c r="S795" s="253"/>
      <c r="T795" s="43"/>
    </row>
    <row r="796" spans="1:20">
      <c r="A796" s="43"/>
      <c r="B796" s="44"/>
      <c r="C796" s="44"/>
      <c r="D796" s="249"/>
      <c r="E796" s="44"/>
      <c r="F796" s="44"/>
      <c r="G796" s="43"/>
      <c r="H796" s="43"/>
      <c r="I796" s="43"/>
      <c r="J796" s="43"/>
      <c r="K796" s="43"/>
      <c r="L796" s="43"/>
      <c r="M796" s="43"/>
      <c r="N796" s="43"/>
      <c r="O796" s="43"/>
      <c r="P796" s="245"/>
      <c r="Q796" s="253"/>
      <c r="R796" s="253"/>
      <c r="S796" s="253"/>
      <c r="T796" s="43"/>
    </row>
    <row r="797" spans="1:20">
      <c r="A797" s="43"/>
      <c r="B797" s="44"/>
      <c r="C797" s="44"/>
      <c r="D797" s="249"/>
      <c r="E797" s="44"/>
      <c r="F797" s="44"/>
      <c r="G797" s="43"/>
      <c r="H797" s="43"/>
      <c r="I797" s="43"/>
      <c r="J797" s="43"/>
      <c r="K797" s="43"/>
      <c r="L797" s="43"/>
      <c r="M797" s="43"/>
      <c r="N797" s="43"/>
      <c r="O797" s="43"/>
      <c r="P797" s="245"/>
      <c r="Q797" s="253"/>
      <c r="R797" s="253"/>
      <c r="S797" s="253"/>
      <c r="T797" s="43"/>
    </row>
    <row r="798" spans="1:20">
      <c r="A798" s="43"/>
      <c r="B798" s="43"/>
      <c r="C798" s="43"/>
      <c r="D798" s="75"/>
      <c r="E798" s="43"/>
      <c r="F798" s="43"/>
      <c r="G798" s="43"/>
      <c r="H798" s="43"/>
      <c r="I798" s="43"/>
      <c r="J798" s="43"/>
      <c r="K798" s="43"/>
      <c r="L798" s="43"/>
      <c r="M798" s="43"/>
      <c r="N798" s="43"/>
      <c r="O798" s="43"/>
      <c r="P798" s="245"/>
      <c r="Q798" s="253"/>
      <c r="R798" s="253"/>
      <c r="S798" s="253"/>
      <c r="T798" s="43"/>
    </row>
    <row r="799" spans="1:20">
      <c r="A799" s="43"/>
      <c r="B799" s="69"/>
      <c r="C799" s="69"/>
      <c r="D799" s="75"/>
      <c r="E799" s="43"/>
      <c r="F799" s="43"/>
      <c r="G799" s="43"/>
      <c r="H799" s="43"/>
      <c r="I799" s="43"/>
      <c r="J799" s="43"/>
      <c r="K799" s="43"/>
      <c r="L799" s="43"/>
      <c r="M799" s="43"/>
      <c r="N799" s="43"/>
      <c r="O799" s="43"/>
      <c r="P799" s="245"/>
      <c r="Q799" s="253"/>
      <c r="R799" s="253"/>
      <c r="S799" s="253"/>
      <c r="T799" s="43"/>
    </row>
    <row r="800" spans="1:20">
      <c r="A800" s="43"/>
      <c r="B800" s="69"/>
      <c r="C800" s="69"/>
      <c r="D800" s="75"/>
      <c r="E800" s="43"/>
      <c r="F800" s="43"/>
      <c r="G800" s="43"/>
      <c r="H800" s="43"/>
      <c r="I800" s="43"/>
      <c r="J800" s="43"/>
      <c r="K800" s="43"/>
      <c r="L800" s="43"/>
      <c r="M800" s="43"/>
      <c r="N800" s="43"/>
      <c r="O800" s="43"/>
      <c r="P800" s="245"/>
      <c r="Q800" s="253"/>
      <c r="R800" s="253"/>
      <c r="S800" s="253"/>
      <c r="T800" s="43"/>
    </row>
    <row r="801" spans="1:20">
      <c r="A801" s="43"/>
      <c r="B801" s="69"/>
      <c r="C801" s="69"/>
      <c r="D801" s="75"/>
      <c r="E801" s="43"/>
      <c r="F801" s="43"/>
      <c r="G801" s="43"/>
      <c r="H801" s="43"/>
      <c r="I801" s="43"/>
      <c r="J801" s="43"/>
      <c r="K801" s="43"/>
      <c r="L801" s="43"/>
      <c r="M801" s="43"/>
      <c r="N801" s="43"/>
      <c r="O801" s="43"/>
      <c r="P801" s="245"/>
      <c r="Q801" s="253"/>
      <c r="R801" s="253"/>
      <c r="S801" s="253"/>
      <c r="T801" s="43"/>
    </row>
    <row r="802" spans="1:20">
      <c r="A802" s="43"/>
      <c r="B802" s="69"/>
      <c r="C802" s="69"/>
      <c r="D802" s="75"/>
      <c r="E802" s="44"/>
      <c r="F802" s="44"/>
      <c r="G802" s="43"/>
      <c r="H802" s="43"/>
      <c r="I802" s="43"/>
      <c r="J802" s="43"/>
      <c r="K802" s="43"/>
      <c r="L802" s="43"/>
      <c r="M802" s="43"/>
      <c r="N802" s="43"/>
      <c r="O802" s="43"/>
      <c r="P802" s="245"/>
      <c r="Q802" s="253"/>
      <c r="R802" s="253"/>
      <c r="S802" s="253"/>
      <c r="T802" s="43"/>
    </row>
    <row r="803" spans="1:20">
      <c r="A803" s="43"/>
      <c r="B803" s="69"/>
      <c r="C803" s="69"/>
      <c r="D803" s="75"/>
      <c r="E803" s="44"/>
      <c r="F803" s="44"/>
      <c r="G803" s="43"/>
      <c r="H803" s="43"/>
      <c r="I803" s="43"/>
      <c r="J803" s="43"/>
      <c r="K803" s="43"/>
      <c r="L803" s="43"/>
      <c r="M803" s="43"/>
      <c r="N803" s="43"/>
      <c r="O803" s="43"/>
      <c r="P803" s="245"/>
      <c r="Q803" s="253"/>
      <c r="R803" s="253"/>
      <c r="S803" s="253"/>
      <c r="T803" s="43"/>
    </row>
    <row r="804" spans="1:20">
      <c r="A804" s="43"/>
      <c r="B804" s="69"/>
      <c r="C804" s="69"/>
      <c r="D804" s="75"/>
      <c r="E804" s="271"/>
      <c r="F804" s="44"/>
      <c r="G804" s="43"/>
      <c r="H804" s="43"/>
      <c r="I804" s="43"/>
      <c r="J804" s="43"/>
      <c r="K804" s="43"/>
      <c r="L804" s="43"/>
      <c r="M804" s="43"/>
      <c r="N804" s="43"/>
      <c r="O804" s="43"/>
      <c r="P804" s="245"/>
      <c r="Q804" s="253"/>
      <c r="R804" s="253"/>
      <c r="S804" s="253"/>
      <c r="T804" s="43"/>
    </row>
    <row r="805" spans="1:20">
      <c r="A805" s="43"/>
      <c r="B805" s="69"/>
      <c r="C805" s="69"/>
      <c r="D805" s="75"/>
      <c r="E805" s="271"/>
      <c r="F805" s="44"/>
      <c r="G805" s="43"/>
      <c r="H805" s="43"/>
      <c r="I805" s="43"/>
      <c r="J805" s="43"/>
      <c r="K805" s="43"/>
      <c r="L805" s="43"/>
      <c r="M805" s="43"/>
      <c r="N805" s="43"/>
      <c r="O805" s="43"/>
      <c r="P805" s="245"/>
      <c r="Q805" s="253"/>
      <c r="R805" s="253"/>
      <c r="S805" s="253"/>
      <c r="T805" s="43"/>
    </row>
    <row r="806" spans="1:20">
      <c r="A806" s="43"/>
      <c r="B806" s="69"/>
      <c r="C806" s="69"/>
      <c r="D806" s="75"/>
      <c r="E806" s="271"/>
      <c r="F806" s="44"/>
      <c r="G806" s="43"/>
      <c r="H806" s="43"/>
      <c r="I806" s="43"/>
      <c r="J806" s="43"/>
      <c r="K806" s="43"/>
      <c r="L806" s="43"/>
      <c r="M806" s="43"/>
      <c r="N806" s="43"/>
      <c r="O806" s="43"/>
      <c r="P806" s="245"/>
      <c r="Q806" s="253"/>
      <c r="R806" s="253"/>
      <c r="S806" s="253"/>
      <c r="T806" s="43"/>
    </row>
    <row r="807" spans="1:20">
      <c r="A807" s="43"/>
      <c r="B807" s="102"/>
      <c r="C807" s="102"/>
      <c r="D807" s="75"/>
      <c r="E807" s="271"/>
      <c r="F807" s="44"/>
      <c r="G807" s="43"/>
      <c r="H807" s="43"/>
      <c r="I807" s="43"/>
      <c r="J807" s="43"/>
      <c r="K807" s="43"/>
      <c r="L807" s="43"/>
      <c r="M807" s="43"/>
      <c r="N807" s="43"/>
      <c r="O807" s="43"/>
      <c r="P807" s="245"/>
      <c r="Q807" s="253"/>
      <c r="R807" s="253"/>
      <c r="S807" s="253"/>
      <c r="T807" s="43"/>
    </row>
    <row r="808" spans="1:20">
      <c r="A808" s="43"/>
      <c r="B808" s="69"/>
      <c r="C808" s="69"/>
      <c r="D808" s="249"/>
      <c r="E808" s="271"/>
      <c r="F808" s="44"/>
      <c r="G808" s="43"/>
      <c r="H808" s="43"/>
      <c r="I808" s="43"/>
      <c r="J808" s="43"/>
      <c r="K808" s="43"/>
      <c r="L808" s="43"/>
      <c r="M808" s="43"/>
      <c r="N808" s="43"/>
      <c r="O808" s="43"/>
      <c r="P808" s="245"/>
      <c r="Q808" s="253"/>
      <c r="R808" s="253"/>
      <c r="S808" s="253"/>
      <c r="T808" s="43"/>
    </row>
    <row r="809" spans="1:20">
      <c r="A809" s="43"/>
      <c r="B809" s="69"/>
      <c r="C809" s="69"/>
      <c r="D809" s="341"/>
      <c r="E809" s="271"/>
      <c r="F809" s="44"/>
      <c r="G809" s="43"/>
      <c r="H809" s="43"/>
      <c r="I809" s="43"/>
      <c r="J809" s="43"/>
      <c r="K809" s="43"/>
      <c r="L809" s="43"/>
      <c r="M809" s="43"/>
      <c r="N809" s="43"/>
      <c r="O809" s="43"/>
      <c r="P809" s="245"/>
      <c r="Q809" s="253"/>
      <c r="R809" s="253"/>
      <c r="S809" s="253"/>
      <c r="T809" s="43"/>
    </row>
    <row r="810" spans="1:20">
      <c r="A810" s="43"/>
      <c r="B810" s="69"/>
      <c r="C810" s="69"/>
      <c r="D810" s="341"/>
      <c r="E810" s="271"/>
      <c r="F810" s="44"/>
      <c r="G810" s="43"/>
      <c r="H810" s="43"/>
      <c r="I810" s="43"/>
      <c r="J810" s="43"/>
      <c r="K810" s="43"/>
      <c r="L810" s="43"/>
      <c r="M810" s="43"/>
      <c r="N810" s="43"/>
      <c r="O810" s="43"/>
      <c r="P810" s="245"/>
      <c r="Q810" s="253"/>
      <c r="R810" s="253"/>
      <c r="S810" s="253"/>
      <c r="T810" s="43"/>
    </row>
    <row r="811" spans="1:20">
      <c r="A811" s="43"/>
      <c r="B811" s="69"/>
      <c r="C811" s="69"/>
      <c r="D811" s="249"/>
      <c r="E811" s="271"/>
      <c r="F811" s="44"/>
      <c r="G811" s="43"/>
      <c r="H811" s="43"/>
      <c r="I811" s="43"/>
      <c r="J811" s="43"/>
      <c r="K811" s="43"/>
      <c r="L811" s="43"/>
      <c r="M811" s="43"/>
      <c r="N811" s="43"/>
      <c r="O811" s="43"/>
      <c r="P811" s="245"/>
      <c r="Q811" s="253"/>
      <c r="R811" s="253"/>
      <c r="S811" s="253"/>
      <c r="T811" s="43"/>
    </row>
    <row r="812" spans="1:20">
      <c r="A812" s="43"/>
      <c r="B812" s="102"/>
      <c r="C812" s="102"/>
      <c r="D812" s="249"/>
      <c r="E812" s="271"/>
      <c r="F812" s="44"/>
      <c r="G812" s="43"/>
      <c r="H812" s="43"/>
      <c r="I812" s="43"/>
      <c r="J812" s="43"/>
      <c r="K812" s="43"/>
      <c r="L812" s="43"/>
      <c r="M812" s="43"/>
      <c r="N812" s="43"/>
      <c r="O812" s="43"/>
      <c r="P812" s="245"/>
      <c r="Q812" s="253"/>
      <c r="R812" s="253"/>
      <c r="S812" s="253"/>
      <c r="T812" s="43"/>
    </row>
    <row r="813" spans="1:20">
      <c r="A813" s="43"/>
      <c r="B813" s="44"/>
      <c r="C813" s="44"/>
      <c r="D813" s="249"/>
      <c r="E813" s="69"/>
      <c r="F813" s="69"/>
      <c r="G813" s="43"/>
      <c r="H813" s="43"/>
      <c r="I813" s="43"/>
      <c r="J813" s="43"/>
      <c r="K813" s="43"/>
      <c r="L813" s="43"/>
      <c r="M813" s="43"/>
      <c r="N813" s="43"/>
      <c r="O813" s="43"/>
      <c r="P813" s="245"/>
      <c r="Q813" s="253"/>
      <c r="R813" s="253"/>
      <c r="S813" s="253"/>
      <c r="T813" s="43"/>
    </row>
    <row r="814" spans="1:20">
      <c r="A814" s="43"/>
      <c r="B814" s="44"/>
      <c r="C814" s="44"/>
      <c r="D814" s="249"/>
      <c r="E814" s="69"/>
      <c r="F814" s="69"/>
      <c r="G814" s="43"/>
      <c r="H814" s="43"/>
      <c r="I814" s="43"/>
      <c r="J814" s="43"/>
      <c r="K814" s="43"/>
      <c r="L814" s="43"/>
      <c r="M814" s="43"/>
      <c r="N814" s="43"/>
      <c r="O814" s="43"/>
      <c r="P814" s="245"/>
      <c r="Q814" s="253"/>
      <c r="R814" s="253"/>
      <c r="S814" s="253"/>
      <c r="T814" s="43"/>
    </row>
    <row r="815" spans="1:20">
      <c r="A815" s="43"/>
      <c r="B815" s="102"/>
      <c r="C815" s="102"/>
      <c r="D815" s="249"/>
      <c r="E815" s="271"/>
      <c r="F815" s="44"/>
      <c r="G815" s="43"/>
      <c r="H815" s="43"/>
      <c r="I815" s="43"/>
      <c r="J815" s="43"/>
      <c r="K815" s="43"/>
      <c r="L815" s="43"/>
      <c r="M815" s="43"/>
      <c r="N815" s="43"/>
      <c r="O815" s="43"/>
      <c r="P815" s="245"/>
      <c r="Q815" s="253"/>
      <c r="R815" s="253"/>
      <c r="S815" s="253"/>
      <c r="T815" s="43"/>
    </row>
    <row r="816" spans="1:20">
      <c r="A816" s="43"/>
      <c r="B816" s="69"/>
      <c r="C816" s="69"/>
      <c r="D816" s="249"/>
      <c r="E816" s="44"/>
      <c r="F816" s="44"/>
      <c r="G816" s="43"/>
      <c r="H816" s="43"/>
      <c r="I816" s="43"/>
      <c r="J816" s="43"/>
      <c r="K816" s="43"/>
      <c r="L816" s="43"/>
      <c r="M816" s="43"/>
      <c r="N816" s="43"/>
      <c r="O816" s="43"/>
      <c r="P816" s="245"/>
      <c r="Q816" s="253"/>
      <c r="R816" s="253"/>
      <c r="S816" s="253"/>
      <c r="T816" s="43"/>
    </row>
    <row r="817" spans="1:20">
      <c r="A817" s="43"/>
      <c r="B817" s="102"/>
      <c r="C817" s="102"/>
      <c r="D817" s="341"/>
      <c r="E817" s="44"/>
      <c r="F817" s="44"/>
      <c r="G817" s="43"/>
      <c r="H817" s="43"/>
      <c r="I817" s="43"/>
      <c r="J817" s="43"/>
      <c r="K817" s="43"/>
      <c r="L817" s="43"/>
      <c r="M817" s="43"/>
      <c r="N817" s="43"/>
      <c r="O817" s="43"/>
      <c r="P817" s="245"/>
      <c r="Q817" s="253"/>
      <c r="R817" s="253"/>
      <c r="S817" s="253"/>
      <c r="T817" s="43"/>
    </row>
    <row r="818" spans="1:20">
      <c r="A818" s="43"/>
      <c r="B818" s="102"/>
      <c r="C818" s="102"/>
      <c r="D818" s="249"/>
      <c r="E818" s="44"/>
      <c r="F818" s="44"/>
      <c r="G818" s="43"/>
      <c r="H818" s="43"/>
      <c r="I818" s="43"/>
      <c r="J818" s="43"/>
      <c r="K818" s="43"/>
      <c r="L818" s="43"/>
      <c r="M818" s="43"/>
      <c r="N818" s="43"/>
      <c r="O818" s="43"/>
      <c r="P818" s="245"/>
      <c r="Q818" s="253"/>
      <c r="R818" s="253"/>
      <c r="S818" s="253"/>
      <c r="T818" s="43"/>
    </row>
    <row r="819" spans="1:20">
      <c r="A819" s="43"/>
      <c r="B819" s="69"/>
      <c r="C819" s="69"/>
      <c r="D819" s="249"/>
      <c r="E819" s="44"/>
      <c r="F819" s="44"/>
      <c r="G819" s="43"/>
      <c r="H819" s="43"/>
      <c r="I819" s="43"/>
      <c r="J819" s="43"/>
      <c r="K819" s="43"/>
      <c r="L819" s="43"/>
      <c r="M819" s="43"/>
      <c r="N819" s="43"/>
      <c r="O819" s="43"/>
      <c r="P819" s="245"/>
      <c r="Q819" s="253"/>
      <c r="R819" s="253"/>
      <c r="S819" s="253"/>
      <c r="T819" s="43"/>
    </row>
    <row r="820" spans="1:20">
      <c r="A820" s="43"/>
      <c r="B820" s="69"/>
      <c r="C820" s="69"/>
      <c r="D820" s="249"/>
      <c r="E820" s="44"/>
      <c r="F820" s="69"/>
      <c r="G820" s="43"/>
      <c r="H820" s="43"/>
      <c r="I820" s="43"/>
      <c r="J820" s="43"/>
      <c r="K820" s="43"/>
      <c r="L820" s="43"/>
      <c r="M820" s="43"/>
      <c r="N820" s="43"/>
      <c r="O820" s="43"/>
      <c r="P820" s="245"/>
      <c r="Q820" s="253"/>
      <c r="R820" s="253"/>
      <c r="S820" s="253"/>
      <c r="T820" s="43"/>
    </row>
    <row r="821" spans="1:20">
      <c r="A821" s="43"/>
      <c r="B821" s="69"/>
      <c r="C821" s="69"/>
      <c r="D821" s="249"/>
      <c r="E821" s="44"/>
      <c r="F821" s="69"/>
      <c r="G821" s="43"/>
      <c r="H821" s="43"/>
      <c r="I821" s="43"/>
      <c r="J821" s="43"/>
      <c r="K821" s="43"/>
      <c r="L821" s="43"/>
      <c r="M821" s="43"/>
      <c r="N821" s="43"/>
      <c r="O821" s="43"/>
      <c r="P821" s="245"/>
      <c r="Q821" s="253"/>
      <c r="R821" s="253"/>
      <c r="S821" s="253"/>
      <c r="T821" s="43"/>
    </row>
    <row r="822" spans="1:20">
      <c r="A822" s="43"/>
      <c r="B822" s="102"/>
      <c r="C822" s="102"/>
      <c r="D822" s="341"/>
      <c r="E822" s="44"/>
      <c r="F822" s="44"/>
      <c r="G822" s="43"/>
      <c r="H822" s="43"/>
      <c r="I822" s="43"/>
      <c r="J822" s="43"/>
      <c r="K822" s="43"/>
      <c r="L822" s="43"/>
      <c r="M822" s="43"/>
      <c r="N822" s="43"/>
      <c r="O822" s="43"/>
      <c r="P822" s="245"/>
      <c r="Q822" s="253"/>
      <c r="R822" s="253"/>
      <c r="S822" s="253"/>
      <c r="T822" s="43"/>
    </row>
    <row r="823" spans="1:20">
      <c r="A823" s="43"/>
      <c r="B823" s="102"/>
      <c r="C823" s="102"/>
      <c r="D823" s="249"/>
      <c r="E823" s="44"/>
      <c r="F823" s="69"/>
      <c r="G823" s="43"/>
      <c r="H823" s="43"/>
      <c r="I823" s="43"/>
      <c r="J823" s="43"/>
      <c r="K823" s="43"/>
      <c r="L823" s="43"/>
      <c r="M823" s="43"/>
      <c r="N823" s="43"/>
      <c r="O823" s="43"/>
      <c r="P823" s="245"/>
      <c r="Q823" s="253"/>
      <c r="R823" s="253"/>
      <c r="S823" s="253"/>
      <c r="T823" s="43"/>
    </row>
    <row r="824" spans="1:20">
      <c r="A824" s="43"/>
      <c r="B824" s="44"/>
      <c r="C824" s="44"/>
      <c r="D824" s="44"/>
      <c r="E824" s="43"/>
      <c r="F824" s="43"/>
      <c r="G824" s="43"/>
      <c r="H824" s="43"/>
      <c r="I824" s="43"/>
      <c r="J824" s="43"/>
      <c r="K824" s="43"/>
      <c r="L824" s="43"/>
      <c r="M824" s="43"/>
      <c r="N824" s="43"/>
      <c r="O824" s="43"/>
      <c r="P824" s="245"/>
      <c r="Q824" s="253"/>
      <c r="R824" s="253"/>
      <c r="S824" s="253"/>
      <c r="T824" s="43"/>
    </row>
    <row r="825" spans="1:20">
      <c r="A825" s="43"/>
      <c r="B825" s="44"/>
      <c r="C825" s="44"/>
      <c r="D825" s="75"/>
      <c r="E825" s="43"/>
      <c r="F825" s="43"/>
      <c r="G825" s="43"/>
      <c r="H825" s="43"/>
      <c r="I825" s="43"/>
      <c r="J825" s="43"/>
      <c r="K825" s="43"/>
      <c r="L825" s="43"/>
      <c r="M825" s="43"/>
      <c r="N825" s="43"/>
      <c r="O825" s="43"/>
      <c r="P825" s="245"/>
      <c r="Q825" s="253"/>
      <c r="R825" s="253"/>
      <c r="S825" s="253"/>
      <c r="T825" s="43"/>
    </row>
    <row r="826" spans="1:20">
      <c r="A826" s="43"/>
      <c r="B826" s="44"/>
      <c r="C826" s="44"/>
      <c r="D826" s="75"/>
      <c r="E826" s="43"/>
      <c r="F826" s="43"/>
      <c r="G826" s="43"/>
      <c r="H826" s="43"/>
      <c r="I826" s="43"/>
      <c r="J826" s="43"/>
      <c r="K826" s="43"/>
      <c r="L826" s="43"/>
      <c r="M826" s="43"/>
      <c r="N826" s="43"/>
      <c r="O826" s="43"/>
      <c r="P826" s="245"/>
      <c r="Q826" s="253"/>
      <c r="R826" s="253"/>
      <c r="S826" s="253"/>
      <c r="T826" s="43"/>
    </row>
    <row r="827" spans="1:20">
      <c r="A827" s="43"/>
      <c r="B827" s="44"/>
      <c r="C827" s="44"/>
      <c r="D827" s="75"/>
      <c r="E827" s="43"/>
      <c r="F827" s="43"/>
      <c r="G827" s="43"/>
      <c r="H827" s="43"/>
      <c r="I827" s="43"/>
      <c r="J827" s="43"/>
      <c r="K827" s="43"/>
      <c r="L827" s="43"/>
      <c r="M827" s="43"/>
      <c r="N827" s="43"/>
      <c r="O827" s="43"/>
      <c r="P827" s="245"/>
      <c r="Q827" s="253"/>
      <c r="R827" s="253"/>
      <c r="S827" s="253"/>
      <c r="T827" s="43"/>
    </row>
    <row r="828" spans="1:20">
      <c r="A828" s="43"/>
      <c r="B828" s="44"/>
      <c r="C828" s="44"/>
      <c r="D828" s="75"/>
      <c r="E828" s="43"/>
      <c r="F828" s="43"/>
      <c r="G828" s="43"/>
      <c r="H828" s="43"/>
      <c r="I828" s="43"/>
      <c r="J828" s="43"/>
      <c r="K828" s="43"/>
      <c r="L828" s="43"/>
      <c r="M828" s="43"/>
      <c r="N828" s="43"/>
      <c r="O828" s="43"/>
      <c r="P828" s="245"/>
      <c r="Q828" s="253"/>
      <c r="R828" s="253"/>
      <c r="S828" s="253"/>
      <c r="T828" s="43"/>
    </row>
    <row r="829" spans="1:20">
      <c r="A829" s="43"/>
      <c r="B829" s="44"/>
      <c r="C829" s="44"/>
      <c r="D829" s="75"/>
      <c r="E829" s="43"/>
      <c r="F829" s="43"/>
      <c r="G829" s="43"/>
      <c r="H829" s="43"/>
      <c r="I829" s="43"/>
      <c r="J829" s="43"/>
      <c r="K829" s="43"/>
      <c r="L829" s="43"/>
      <c r="M829" s="43"/>
      <c r="N829" s="43"/>
      <c r="O829" s="43"/>
      <c r="P829" s="245"/>
      <c r="Q829" s="253"/>
      <c r="R829" s="253"/>
      <c r="S829" s="253"/>
      <c r="T829" s="43"/>
    </row>
    <row r="830" spans="1:20">
      <c r="A830" s="43"/>
      <c r="B830" s="44"/>
      <c r="C830" s="44"/>
      <c r="D830" s="75"/>
      <c r="E830" s="43"/>
      <c r="F830" s="43"/>
      <c r="G830" s="43"/>
      <c r="H830" s="43"/>
      <c r="I830" s="43"/>
      <c r="J830" s="43"/>
      <c r="K830" s="43"/>
      <c r="L830" s="43"/>
      <c r="M830" s="43"/>
      <c r="N830" s="43"/>
      <c r="O830" s="43"/>
      <c r="P830" s="245"/>
      <c r="Q830" s="253"/>
      <c r="R830" s="253"/>
      <c r="S830" s="253"/>
      <c r="T830" s="43"/>
    </row>
    <row r="831" spans="1:20">
      <c r="A831" s="43"/>
      <c r="B831" s="44"/>
      <c r="C831" s="44"/>
      <c r="D831" s="75"/>
      <c r="E831" s="43"/>
      <c r="F831" s="43"/>
      <c r="G831" s="43"/>
      <c r="H831" s="43"/>
      <c r="I831" s="43"/>
      <c r="J831" s="43"/>
      <c r="K831" s="43"/>
      <c r="L831" s="43"/>
      <c r="M831" s="43"/>
      <c r="N831" s="43"/>
      <c r="O831" s="43"/>
      <c r="P831" s="245"/>
      <c r="Q831" s="253"/>
      <c r="R831" s="253"/>
      <c r="S831" s="253"/>
      <c r="T831" s="43"/>
    </row>
    <row r="832" spans="1:20">
      <c r="A832" s="43"/>
      <c r="B832" s="44"/>
      <c r="C832" s="44"/>
      <c r="D832" s="75"/>
      <c r="E832" s="43"/>
      <c r="F832" s="43"/>
      <c r="G832" s="43"/>
      <c r="H832" s="43"/>
      <c r="I832" s="43"/>
      <c r="J832" s="43"/>
      <c r="K832" s="43"/>
      <c r="L832" s="43"/>
      <c r="M832" s="43"/>
      <c r="N832" s="43"/>
      <c r="O832" s="43"/>
      <c r="P832" s="245"/>
      <c r="Q832" s="253"/>
      <c r="R832" s="253"/>
      <c r="S832" s="253"/>
      <c r="T832" s="43"/>
    </row>
    <row r="833" spans="1:20">
      <c r="A833" s="43"/>
      <c r="B833" s="44"/>
      <c r="C833" s="44"/>
      <c r="D833" s="75"/>
      <c r="E833" s="43"/>
      <c r="F833" s="43"/>
      <c r="G833" s="43"/>
      <c r="H833" s="43"/>
      <c r="I833" s="43"/>
      <c r="J833" s="43"/>
      <c r="K833" s="43"/>
      <c r="L833" s="43"/>
      <c r="M833" s="43"/>
      <c r="N833" s="43"/>
      <c r="O833" s="43"/>
      <c r="P833" s="245"/>
      <c r="Q833" s="253"/>
      <c r="R833" s="253"/>
      <c r="S833" s="253"/>
      <c r="T833" s="43"/>
    </row>
    <row r="834" spans="1:20">
      <c r="A834" s="43"/>
      <c r="B834" s="44"/>
      <c r="C834" s="44"/>
      <c r="D834" s="44"/>
      <c r="E834" s="43"/>
      <c r="F834" s="43"/>
      <c r="G834" s="43"/>
      <c r="H834" s="43"/>
      <c r="I834" s="43"/>
      <c r="J834" s="43"/>
      <c r="K834" s="43"/>
      <c r="L834" s="43"/>
      <c r="M834" s="43"/>
      <c r="N834" s="43"/>
      <c r="O834" s="43"/>
      <c r="P834" s="245"/>
      <c r="Q834" s="253"/>
      <c r="R834" s="253"/>
      <c r="S834" s="253"/>
      <c r="T834" s="43"/>
    </row>
    <row r="835" spans="1:20">
      <c r="A835" s="43"/>
      <c r="B835" s="44"/>
      <c r="C835" s="44"/>
      <c r="D835" s="44"/>
      <c r="E835" s="43"/>
      <c r="F835" s="43"/>
      <c r="G835" s="43"/>
      <c r="H835" s="43"/>
      <c r="I835" s="43"/>
      <c r="J835" s="43"/>
      <c r="K835" s="43"/>
      <c r="L835" s="43"/>
      <c r="M835" s="43"/>
      <c r="N835" s="43"/>
      <c r="O835" s="43"/>
      <c r="P835" s="245"/>
      <c r="Q835" s="253"/>
      <c r="R835" s="253"/>
      <c r="S835" s="253"/>
      <c r="T835" s="43"/>
    </row>
    <row r="836" spans="1:20">
      <c r="A836" s="43"/>
      <c r="B836" s="44"/>
      <c r="C836" s="44"/>
      <c r="D836" s="44"/>
      <c r="E836" s="43"/>
      <c r="F836" s="43"/>
      <c r="G836" s="43"/>
      <c r="H836" s="43"/>
      <c r="I836" s="43"/>
      <c r="J836" s="43"/>
      <c r="K836" s="43"/>
      <c r="L836" s="43"/>
      <c r="M836" s="43"/>
      <c r="N836" s="43"/>
      <c r="O836" s="43"/>
      <c r="P836" s="245"/>
      <c r="Q836" s="253"/>
      <c r="R836" s="253"/>
      <c r="S836" s="253"/>
      <c r="T836" s="43"/>
    </row>
    <row r="837" spans="1:20">
      <c r="A837" s="43"/>
      <c r="B837" s="44"/>
      <c r="C837" s="44"/>
      <c r="D837" s="75"/>
      <c r="E837" s="43"/>
      <c r="F837" s="43"/>
      <c r="G837" s="43"/>
      <c r="H837" s="43"/>
      <c r="I837" s="43"/>
      <c r="J837" s="43"/>
      <c r="K837" s="43"/>
      <c r="L837" s="43"/>
      <c r="M837" s="43"/>
      <c r="N837" s="43"/>
      <c r="O837" s="43"/>
      <c r="P837" s="245"/>
      <c r="Q837" s="253"/>
      <c r="R837" s="253"/>
      <c r="S837" s="253"/>
      <c r="T837" s="43"/>
    </row>
    <row r="838" spans="1:20">
      <c r="A838" s="43"/>
      <c r="B838" s="44"/>
      <c r="C838" s="44"/>
      <c r="D838" s="75"/>
      <c r="E838" s="43"/>
      <c r="F838" s="43"/>
      <c r="G838" s="43"/>
      <c r="H838" s="43"/>
      <c r="I838" s="43"/>
      <c r="J838" s="43"/>
      <c r="K838" s="43"/>
      <c r="L838" s="43"/>
      <c r="M838" s="43"/>
      <c r="N838" s="43"/>
      <c r="O838" s="43"/>
      <c r="P838" s="245"/>
      <c r="Q838" s="253"/>
      <c r="R838" s="253"/>
      <c r="S838" s="253"/>
      <c r="T838" s="43"/>
    </row>
    <row r="839" spans="1:20">
      <c r="A839" s="43"/>
      <c r="B839" s="44"/>
      <c r="C839" s="44"/>
      <c r="D839" s="75"/>
      <c r="E839" s="43"/>
      <c r="F839" s="43"/>
      <c r="G839" s="43"/>
      <c r="H839" s="43"/>
      <c r="I839" s="43"/>
      <c r="J839" s="43"/>
      <c r="K839" s="43"/>
      <c r="L839" s="43"/>
      <c r="M839" s="43"/>
      <c r="N839" s="43"/>
      <c r="O839" s="43"/>
      <c r="P839" s="245"/>
      <c r="Q839" s="253"/>
      <c r="R839" s="253"/>
      <c r="S839" s="253"/>
      <c r="T839" s="43"/>
    </row>
    <row r="840" spans="1:20">
      <c r="A840" s="43"/>
      <c r="B840" s="44"/>
      <c r="C840" s="44"/>
      <c r="D840" s="75"/>
      <c r="E840" s="43"/>
      <c r="F840" s="43"/>
      <c r="G840" s="43"/>
      <c r="H840" s="43"/>
      <c r="I840" s="43"/>
      <c r="J840" s="43"/>
      <c r="K840" s="43"/>
      <c r="L840" s="43"/>
      <c r="M840" s="43"/>
      <c r="N840" s="43"/>
      <c r="O840" s="43"/>
      <c r="P840" s="245"/>
      <c r="Q840" s="253"/>
      <c r="R840" s="253"/>
      <c r="S840" s="253"/>
      <c r="T840" s="43"/>
    </row>
    <row r="841" spans="1:20">
      <c r="A841" s="43"/>
      <c r="B841" s="44"/>
      <c r="C841" s="44"/>
      <c r="D841" s="75"/>
      <c r="E841" s="43"/>
      <c r="F841" s="43"/>
      <c r="G841" s="43"/>
      <c r="H841" s="43"/>
      <c r="I841" s="43"/>
      <c r="J841" s="43"/>
      <c r="K841" s="43"/>
      <c r="L841" s="43"/>
      <c r="M841" s="43"/>
      <c r="N841" s="43"/>
      <c r="O841" s="43"/>
      <c r="P841" s="245"/>
      <c r="Q841" s="253"/>
      <c r="R841" s="253"/>
      <c r="S841" s="253"/>
      <c r="T841" s="43"/>
    </row>
    <row r="842" spans="1:20">
      <c r="A842" s="43"/>
      <c r="B842" s="44"/>
      <c r="C842" s="44"/>
      <c r="D842" s="75"/>
      <c r="E842" s="43"/>
      <c r="F842" s="43"/>
      <c r="G842" s="43"/>
      <c r="H842" s="43"/>
      <c r="I842" s="43"/>
      <c r="J842" s="43"/>
      <c r="K842" s="43"/>
      <c r="L842" s="43"/>
      <c r="M842" s="43"/>
      <c r="N842" s="43"/>
      <c r="O842" s="43"/>
      <c r="P842" s="245"/>
      <c r="Q842" s="253"/>
      <c r="R842" s="253"/>
      <c r="S842" s="253"/>
      <c r="T842" s="43"/>
    </row>
    <row r="843" spans="1:20">
      <c r="A843" s="43"/>
      <c r="B843" s="44"/>
      <c r="C843" s="44"/>
      <c r="D843" s="75"/>
      <c r="E843" s="43"/>
      <c r="F843" s="43"/>
      <c r="G843" s="43"/>
      <c r="H843" s="43"/>
      <c r="I843" s="43"/>
      <c r="J843" s="43"/>
      <c r="K843" s="43"/>
      <c r="L843" s="43"/>
      <c r="M843" s="43"/>
      <c r="N843" s="43"/>
      <c r="O843" s="43"/>
      <c r="P843" s="245"/>
      <c r="Q843" s="253"/>
      <c r="R843" s="253"/>
      <c r="S843" s="253"/>
      <c r="T843" s="43"/>
    </row>
    <row r="844" spans="1:20">
      <c r="A844" s="43"/>
      <c r="B844" s="44"/>
      <c r="C844" s="44"/>
      <c r="D844" s="75"/>
      <c r="E844" s="43"/>
      <c r="F844" s="43"/>
      <c r="G844" s="43"/>
      <c r="H844" s="43"/>
      <c r="I844" s="43"/>
      <c r="J844" s="43"/>
      <c r="K844" s="43"/>
      <c r="L844" s="43"/>
      <c r="M844" s="43"/>
      <c r="N844" s="43"/>
      <c r="O844" s="43"/>
      <c r="P844" s="245"/>
      <c r="Q844" s="253"/>
      <c r="R844" s="253"/>
      <c r="S844" s="253"/>
      <c r="T844" s="43"/>
    </row>
    <row r="845" spans="1:20">
      <c r="A845" s="43"/>
      <c r="B845" s="44"/>
      <c r="C845" s="44"/>
      <c r="D845" s="75"/>
      <c r="E845" s="43"/>
      <c r="F845" s="43"/>
      <c r="G845" s="43"/>
      <c r="H845" s="43"/>
      <c r="I845" s="43"/>
      <c r="J845" s="43"/>
      <c r="K845" s="43"/>
      <c r="L845" s="43"/>
      <c r="M845" s="43"/>
      <c r="N845" s="43"/>
      <c r="O845" s="43"/>
      <c r="P845" s="245"/>
      <c r="Q845" s="253"/>
      <c r="R845" s="253"/>
      <c r="S845" s="253"/>
      <c r="T845" s="43"/>
    </row>
    <row r="846" spans="1:20">
      <c r="A846" s="43"/>
      <c r="B846" s="44"/>
      <c r="C846" s="44"/>
      <c r="D846" s="75"/>
      <c r="E846" s="43"/>
      <c r="F846" s="43"/>
      <c r="G846" s="43"/>
      <c r="H846" s="43"/>
      <c r="I846" s="43"/>
      <c r="J846" s="43"/>
      <c r="K846" s="43"/>
      <c r="L846" s="43"/>
      <c r="M846" s="43"/>
      <c r="N846" s="43"/>
      <c r="O846" s="43"/>
      <c r="P846" s="245"/>
      <c r="Q846" s="253"/>
      <c r="R846" s="253"/>
      <c r="S846" s="253"/>
      <c r="T846" s="43"/>
    </row>
    <row r="847" spans="1:20">
      <c r="A847" s="43"/>
      <c r="B847" s="44"/>
      <c r="C847" s="44"/>
      <c r="D847" s="75"/>
      <c r="E847" s="43"/>
      <c r="F847" s="43"/>
      <c r="G847" s="43"/>
      <c r="H847" s="43"/>
      <c r="I847" s="43"/>
      <c r="J847" s="43"/>
      <c r="K847" s="43"/>
      <c r="L847" s="43"/>
      <c r="M847" s="43"/>
      <c r="N847" s="43"/>
      <c r="O847" s="43"/>
      <c r="P847" s="245"/>
      <c r="Q847" s="253"/>
      <c r="R847" s="253"/>
      <c r="S847" s="253"/>
      <c r="T847" s="43"/>
    </row>
    <row r="848" spans="1:20">
      <c r="A848" s="43"/>
      <c r="B848" s="44"/>
      <c r="C848" s="44"/>
      <c r="D848" s="75"/>
      <c r="E848" s="43"/>
      <c r="F848" s="43"/>
      <c r="G848" s="43"/>
      <c r="H848" s="43"/>
      <c r="I848" s="43"/>
      <c r="J848" s="43"/>
      <c r="K848" s="43"/>
      <c r="L848" s="43"/>
      <c r="M848" s="43"/>
      <c r="N848" s="43"/>
      <c r="O848" s="43"/>
      <c r="P848" s="245"/>
      <c r="Q848" s="253"/>
      <c r="R848" s="253"/>
      <c r="S848" s="253"/>
      <c r="T848" s="43"/>
    </row>
    <row r="849" spans="1:20">
      <c r="A849" s="43"/>
      <c r="B849" s="44"/>
      <c r="C849" s="44"/>
      <c r="D849" s="75"/>
      <c r="E849" s="43"/>
      <c r="F849" s="43"/>
      <c r="G849" s="43"/>
      <c r="H849" s="43"/>
      <c r="I849" s="43"/>
      <c r="J849" s="43"/>
      <c r="K849" s="43"/>
      <c r="L849" s="43"/>
      <c r="M849" s="43"/>
      <c r="N849" s="43"/>
      <c r="O849" s="43"/>
      <c r="P849" s="245"/>
      <c r="Q849" s="253"/>
      <c r="R849" s="253"/>
      <c r="S849" s="253"/>
      <c r="T849" s="43"/>
    </row>
    <row r="850" spans="1:20">
      <c r="A850" s="43"/>
      <c r="B850" s="44"/>
      <c r="C850" s="44"/>
      <c r="D850" s="75"/>
      <c r="E850" s="43"/>
      <c r="F850" s="43"/>
      <c r="G850" s="43"/>
      <c r="H850" s="43"/>
      <c r="I850" s="43"/>
      <c r="J850" s="43"/>
      <c r="K850" s="43"/>
      <c r="L850" s="43"/>
      <c r="M850" s="43"/>
      <c r="N850" s="43"/>
      <c r="O850" s="43"/>
      <c r="P850" s="245"/>
      <c r="Q850" s="253"/>
      <c r="R850" s="253"/>
      <c r="S850" s="253"/>
      <c r="T850" s="43"/>
    </row>
    <row r="851" spans="1:20">
      <c r="A851" s="43"/>
      <c r="B851" s="44"/>
      <c r="C851" s="44"/>
      <c r="D851" s="44"/>
      <c r="E851" s="43"/>
      <c r="F851" s="43"/>
      <c r="G851" s="43"/>
      <c r="H851" s="43"/>
      <c r="I851" s="43"/>
      <c r="J851" s="43"/>
      <c r="K851" s="43"/>
      <c r="L851" s="43"/>
      <c r="M851" s="43"/>
      <c r="N851" s="43"/>
      <c r="O851" s="43"/>
      <c r="P851" s="245"/>
      <c r="Q851" s="253"/>
      <c r="R851" s="253"/>
      <c r="S851" s="253"/>
      <c r="T851" s="43"/>
    </row>
    <row r="852" spans="1:20">
      <c r="A852" s="43"/>
      <c r="B852" s="44"/>
      <c r="C852" s="44"/>
      <c r="D852" s="75"/>
      <c r="E852" s="43"/>
      <c r="F852" s="43"/>
      <c r="G852" s="43"/>
      <c r="H852" s="43"/>
      <c r="I852" s="43"/>
      <c r="J852" s="43"/>
      <c r="K852" s="43"/>
      <c r="L852" s="43"/>
      <c r="M852" s="43"/>
      <c r="N852" s="43"/>
      <c r="O852" s="43"/>
      <c r="P852" s="245"/>
      <c r="Q852" s="253"/>
      <c r="R852" s="253"/>
      <c r="S852" s="253"/>
      <c r="T852" s="43"/>
    </row>
    <row r="853" spans="1:20">
      <c r="A853" s="43"/>
      <c r="B853" s="44"/>
      <c r="C853" s="44"/>
      <c r="D853" s="75"/>
      <c r="E853" s="43"/>
      <c r="F853" s="43"/>
      <c r="G853" s="43"/>
      <c r="H853" s="43"/>
      <c r="I853" s="43"/>
      <c r="J853" s="43"/>
      <c r="K853" s="43"/>
      <c r="L853" s="43"/>
      <c r="M853" s="43"/>
      <c r="N853" s="43"/>
      <c r="O853" s="43"/>
      <c r="P853" s="245"/>
      <c r="Q853" s="253"/>
      <c r="R853" s="253"/>
      <c r="S853" s="253"/>
      <c r="T853" s="43"/>
    </row>
    <row r="854" spans="1:20">
      <c r="A854" s="43"/>
      <c r="B854" s="44"/>
      <c r="C854" s="44"/>
      <c r="D854" s="75"/>
      <c r="E854" s="43"/>
      <c r="F854" s="43"/>
      <c r="G854" s="43"/>
      <c r="H854" s="43"/>
      <c r="I854" s="43"/>
      <c r="J854" s="43"/>
      <c r="K854" s="43"/>
      <c r="L854" s="43"/>
      <c r="M854" s="43"/>
      <c r="N854" s="43"/>
      <c r="O854" s="43"/>
      <c r="P854" s="245"/>
      <c r="Q854" s="253"/>
      <c r="R854" s="253"/>
      <c r="S854" s="253"/>
      <c r="T854" s="43"/>
    </row>
    <row r="855" spans="1:20">
      <c r="A855" s="43"/>
      <c r="B855" s="44"/>
      <c r="C855" s="44"/>
      <c r="D855" s="75"/>
      <c r="E855" s="43"/>
      <c r="F855" s="43"/>
      <c r="G855" s="43"/>
      <c r="H855" s="43"/>
      <c r="I855" s="43"/>
      <c r="J855" s="43"/>
      <c r="K855" s="43"/>
      <c r="L855" s="43"/>
      <c r="M855" s="43"/>
      <c r="N855" s="43"/>
      <c r="O855" s="43"/>
      <c r="P855" s="245"/>
      <c r="Q855" s="253"/>
      <c r="R855" s="253"/>
      <c r="S855" s="253"/>
      <c r="T855" s="43"/>
    </row>
    <row r="856" spans="1:20">
      <c r="A856" s="43"/>
      <c r="B856" s="44"/>
      <c r="C856" s="44"/>
      <c r="D856" s="44"/>
      <c r="E856" s="43"/>
      <c r="F856" s="43"/>
      <c r="G856" s="43"/>
      <c r="H856" s="43"/>
      <c r="I856" s="43"/>
      <c r="J856" s="43"/>
      <c r="K856" s="43"/>
      <c r="L856" s="43"/>
      <c r="M856" s="43"/>
      <c r="N856" s="43"/>
      <c r="O856" s="43"/>
      <c r="P856" s="245"/>
      <c r="Q856" s="253"/>
      <c r="R856" s="253"/>
      <c r="S856" s="253"/>
      <c r="T856" s="43"/>
    </row>
    <row r="857" spans="1:20">
      <c r="A857" s="43"/>
      <c r="B857" s="44"/>
      <c r="C857" s="44"/>
      <c r="D857" s="75"/>
      <c r="E857" s="43"/>
      <c r="F857" s="43"/>
      <c r="G857" s="43"/>
      <c r="H857" s="43"/>
      <c r="I857" s="43"/>
      <c r="J857" s="43"/>
      <c r="K857" s="43"/>
      <c r="L857" s="43"/>
      <c r="M857" s="43"/>
      <c r="N857" s="43"/>
      <c r="O857" s="43"/>
      <c r="P857" s="245"/>
      <c r="Q857" s="253"/>
      <c r="R857" s="253"/>
      <c r="S857" s="253"/>
      <c r="T857" s="43"/>
    </row>
    <row r="858" spans="1:20">
      <c r="A858" s="43"/>
      <c r="B858" s="44"/>
      <c r="C858" s="44"/>
      <c r="D858" s="75"/>
      <c r="E858" s="43"/>
      <c r="F858" s="43"/>
      <c r="G858" s="43"/>
      <c r="H858" s="43"/>
      <c r="I858" s="43"/>
      <c r="J858" s="43"/>
      <c r="K858" s="43"/>
      <c r="L858" s="43"/>
      <c r="M858" s="43"/>
      <c r="N858" s="43"/>
      <c r="O858" s="43"/>
      <c r="P858" s="245"/>
      <c r="Q858" s="253"/>
      <c r="R858" s="253"/>
      <c r="S858" s="253"/>
      <c r="T858" s="43"/>
    </row>
    <row r="859" spans="1:20">
      <c r="A859" s="43"/>
      <c r="B859" s="44"/>
      <c r="C859" s="44"/>
      <c r="D859" s="75"/>
      <c r="E859" s="43"/>
      <c r="F859" s="43"/>
      <c r="G859" s="43"/>
      <c r="H859" s="43"/>
      <c r="I859" s="43"/>
      <c r="J859" s="43"/>
      <c r="K859" s="43"/>
      <c r="L859" s="43"/>
      <c r="M859" s="43"/>
      <c r="N859" s="43"/>
      <c r="O859" s="43"/>
      <c r="P859" s="245"/>
      <c r="Q859" s="253"/>
      <c r="R859" s="253"/>
      <c r="S859" s="253"/>
      <c r="T859" s="43"/>
    </row>
    <row r="860" spans="1:20">
      <c r="A860" s="43"/>
      <c r="B860" s="44"/>
      <c r="C860" s="44"/>
      <c r="D860" s="75"/>
      <c r="E860" s="43"/>
      <c r="F860" s="43"/>
      <c r="G860" s="43"/>
      <c r="H860" s="43"/>
      <c r="I860" s="43"/>
      <c r="J860" s="43"/>
      <c r="K860" s="43"/>
      <c r="L860" s="43"/>
      <c r="M860" s="43"/>
      <c r="N860" s="43"/>
      <c r="O860" s="43"/>
      <c r="P860" s="245"/>
      <c r="Q860" s="253"/>
      <c r="R860" s="253"/>
      <c r="S860" s="253"/>
      <c r="T860" s="43"/>
    </row>
    <row r="861" spans="1:20">
      <c r="A861" s="43"/>
      <c r="B861" s="44"/>
      <c r="C861" s="44"/>
      <c r="D861" s="75"/>
      <c r="E861" s="43"/>
      <c r="F861" s="43"/>
      <c r="G861" s="43"/>
      <c r="H861" s="43"/>
      <c r="I861" s="43"/>
      <c r="J861" s="43"/>
      <c r="K861" s="43"/>
      <c r="L861" s="43"/>
      <c r="M861" s="43"/>
      <c r="N861" s="43"/>
      <c r="O861" s="43"/>
      <c r="P861" s="245"/>
      <c r="Q861" s="253"/>
      <c r="R861" s="253"/>
      <c r="S861" s="253"/>
      <c r="T861" s="43"/>
    </row>
    <row r="862" spans="1:20">
      <c r="A862" s="43"/>
      <c r="B862" s="44"/>
      <c r="C862" s="44"/>
      <c r="D862" s="75"/>
      <c r="E862" s="43"/>
      <c r="F862" s="43"/>
      <c r="G862" s="43"/>
      <c r="H862" s="43"/>
      <c r="I862" s="43"/>
      <c r="J862" s="43"/>
      <c r="K862" s="43"/>
      <c r="L862" s="43"/>
      <c r="M862" s="43"/>
      <c r="N862" s="43"/>
      <c r="O862" s="43"/>
      <c r="P862" s="245"/>
      <c r="Q862" s="253"/>
      <c r="R862" s="253"/>
      <c r="S862" s="253"/>
      <c r="T862" s="43"/>
    </row>
    <row r="863" spans="1:20">
      <c r="A863" s="43"/>
      <c r="B863" s="69"/>
      <c r="C863" s="69"/>
      <c r="D863" s="75"/>
      <c r="E863" s="44"/>
      <c r="F863" s="44"/>
      <c r="G863" s="43"/>
      <c r="H863" s="43"/>
      <c r="I863" s="43"/>
      <c r="J863" s="43"/>
      <c r="K863" s="43"/>
      <c r="L863" s="43"/>
      <c r="M863" s="43"/>
      <c r="N863" s="43"/>
      <c r="O863" s="43"/>
      <c r="P863" s="245"/>
      <c r="Q863" s="253"/>
      <c r="R863" s="253"/>
      <c r="S863" s="253"/>
      <c r="T863" s="43"/>
    </row>
    <row r="864" spans="1:20">
      <c r="A864" s="43"/>
      <c r="B864" s="69"/>
      <c r="C864" s="69"/>
      <c r="D864" s="75"/>
      <c r="E864" s="44"/>
      <c r="F864" s="44"/>
      <c r="G864" s="43"/>
      <c r="H864" s="43"/>
      <c r="I864" s="43"/>
      <c r="J864" s="43"/>
      <c r="K864" s="43"/>
      <c r="L864" s="43"/>
      <c r="M864" s="43"/>
      <c r="N864" s="43"/>
      <c r="O864" s="43"/>
      <c r="P864" s="245"/>
      <c r="Q864" s="253"/>
      <c r="R864" s="253"/>
      <c r="S864" s="253"/>
      <c r="T864" s="43"/>
    </row>
    <row r="865" spans="1:20">
      <c r="A865" s="43"/>
      <c r="B865" s="44"/>
      <c r="C865" s="44"/>
      <c r="D865" s="75"/>
      <c r="E865" s="43"/>
      <c r="F865" s="43"/>
      <c r="G865" s="43"/>
      <c r="H865" s="43"/>
      <c r="I865" s="43"/>
      <c r="J865" s="43"/>
      <c r="K865" s="43"/>
      <c r="L865" s="43"/>
      <c r="M865" s="43"/>
      <c r="N865" s="43"/>
      <c r="O865" s="43"/>
      <c r="P865" s="245"/>
      <c r="Q865" s="253"/>
      <c r="R865" s="253"/>
      <c r="S865" s="253"/>
      <c r="T865" s="43"/>
    </row>
    <row r="866" spans="1:20">
      <c r="A866" s="43"/>
      <c r="B866" s="44"/>
      <c r="C866" s="44"/>
      <c r="D866" s="75"/>
      <c r="E866" s="43"/>
      <c r="F866" s="43"/>
      <c r="G866" s="43"/>
      <c r="H866" s="43"/>
      <c r="I866" s="43"/>
      <c r="J866" s="43"/>
      <c r="K866" s="43"/>
      <c r="L866" s="43"/>
      <c r="M866" s="43"/>
      <c r="N866" s="43"/>
      <c r="O866" s="43"/>
      <c r="P866" s="245"/>
      <c r="Q866" s="253"/>
      <c r="R866" s="253"/>
      <c r="S866" s="253"/>
      <c r="T866" s="43"/>
    </row>
    <row r="867" spans="1:20">
      <c r="A867" s="43"/>
      <c r="B867" s="44"/>
      <c r="C867" s="44"/>
      <c r="D867" s="249"/>
      <c r="E867" s="44"/>
      <c r="F867" s="44"/>
      <c r="G867" s="43"/>
      <c r="H867" s="43"/>
      <c r="I867" s="43"/>
      <c r="J867" s="43"/>
      <c r="K867" s="43"/>
      <c r="L867" s="43"/>
      <c r="M867" s="43"/>
      <c r="N867" s="43"/>
      <c r="O867" s="43"/>
      <c r="P867" s="245"/>
      <c r="Q867" s="253"/>
      <c r="R867" s="253"/>
      <c r="S867" s="253"/>
      <c r="T867" s="43"/>
    </row>
    <row r="868" spans="1:20">
      <c r="A868" s="43"/>
      <c r="B868" s="44"/>
      <c r="C868" s="44"/>
      <c r="D868" s="249"/>
      <c r="E868" s="44"/>
      <c r="F868" s="44"/>
      <c r="G868" s="43"/>
      <c r="H868" s="43"/>
      <c r="I868" s="43"/>
      <c r="J868" s="43"/>
      <c r="K868" s="43"/>
      <c r="L868" s="43"/>
      <c r="M868" s="43"/>
      <c r="N868" s="43"/>
      <c r="O868" s="43"/>
      <c r="P868" s="245"/>
      <c r="Q868" s="253"/>
      <c r="R868" s="253"/>
      <c r="S868" s="253"/>
      <c r="T868" s="43"/>
    </row>
    <row r="869" spans="1:20">
      <c r="A869" s="43"/>
      <c r="B869" s="44"/>
      <c r="C869" s="44"/>
      <c r="D869" s="249"/>
      <c r="E869" s="44"/>
      <c r="F869" s="44"/>
      <c r="G869" s="43"/>
      <c r="H869" s="43"/>
      <c r="I869" s="43"/>
      <c r="J869" s="43"/>
      <c r="K869" s="43"/>
      <c r="L869" s="43"/>
      <c r="M869" s="43"/>
      <c r="N869" s="43"/>
      <c r="O869" s="43"/>
      <c r="P869" s="245"/>
      <c r="Q869" s="253"/>
      <c r="R869" s="253"/>
      <c r="S869" s="253"/>
      <c r="T869" s="43"/>
    </row>
    <row r="870" spans="1:20">
      <c r="A870" s="43"/>
      <c r="B870" s="44"/>
      <c r="C870" s="44"/>
      <c r="D870" s="249"/>
      <c r="E870" s="44"/>
      <c r="F870" s="44"/>
      <c r="G870" s="43"/>
      <c r="H870" s="43"/>
      <c r="I870" s="43"/>
      <c r="J870" s="43"/>
      <c r="K870" s="43"/>
      <c r="L870" s="43"/>
      <c r="M870" s="43"/>
      <c r="N870" s="43"/>
      <c r="O870" s="43"/>
      <c r="P870" s="245"/>
      <c r="Q870" s="253"/>
      <c r="R870" s="253"/>
      <c r="S870" s="253"/>
      <c r="T870" s="43"/>
    </row>
    <row r="871" spans="1:20">
      <c r="A871" s="43"/>
      <c r="B871" s="44"/>
      <c r="C871" s="44"/>
      <c r="D871" s="249"/>
      <c r="E871" s="44"/>
      <c r="F871" s="44"/>
      <c r="G871" s="43"/>
      <c r="H871" s="43"/>
      <c r="I871" s="43"/>
      <c r="J871" s="43"/>
      <c r="K871" s="43"/>
      <c r="L871" s="43"/>
      <c r="M871" s="43"/>
      <c r="N871" s="43"/>
      <c r="O871" s="43"/>
      <c r="P871" s="245"/>
      <c r="Q871" s="253"/>
      <c r="R871" s="253"/>
      <c r="S871" s="253"/>
      <c r="T871" s="43"/>
    </row>
    <row r="872" spans="1:20">
      <c r="A872" s="43"/>
      <c r="B872" s="44"/>
      <c r="C872" s="44"/>
      <c r="D872" s="75"/>
      <c r="E872" s="43"/>
      <c r="F872" s="69"/>
      <c r="G872" s="43"/>
      <c r="H872" s="43"/>
      <c r="I872" s="43"/>
      <c r="J872" s="43"/>
      <c r="K872" s="43"/>
      <c r="L872" s="43"/>
      <c r="M872" s="43"/>
      <c r="N872" s="43"/>
      <c r="O872" s="43"/>
      <c r="P872" s="245"/>
      <c r="Q872" s="253"/>
      <c r="R872" s="253"/>
      <c r="S872" s="253"/>
      <c r="T872" s="43"/>
    </row>
    <row r="873" spans="1:20">
      <c r="A873" s="43"/>
      <c r="B873" s="44"/>
      <c r="C873" s="44"/>
      <c r="D873" s="75"/>
      <c r="E873" s="43"/>
      <c r="F873" s="69"/>
      <c r="G873" s="43"/>
      <c r="H873" s="43"/>
      <c r="I873" s="43"/>
      <c r="J873" s="43"/>
      <c r="K873" s="43"/>
      <c r="L873" s="43"/>
      <c r="M873" s="43"/>
      <c r="N873" s="43"/>
      <c r="O873" s="43"/>
      <c r="P873" s="245"/>
      <c r="Q873" s="253"/>
      <c r="R873" s="253"/>
      <c r="S873" s="253"/>
      <c r="T873" s="43"/>
    </row>
    <row r="874" spans="1:20">
      <c r="A874" s="43"/>
      <c r="B874" s="44"/>
      <c r="C874" s="44"/>
      <c r="D874" s="75"/>
      <c r="E874" s="43"/>
      <c r="F874" s="69"/>
      <c r="G874" s="43"/>
      <c r="H874" s="43"/>
      <c r="I874" s="43"/>
      <c r="J874" s="43"/>
      <c r="K874" s="43"/>
      <c r="L874" s="43"/>
      <c r="M874" s="43"/>
      <c r="N874" s="43"/>
      <c r="O874" s="43"/>
      <c r="P874" s="245"/>
      <c r="Q874" s="253"/>
      <c r="R874" s="253"/>
      <c r="S874" s="253"/>
      <c r="T874" s="43"/>
    </row>
    <row r="875" spans="1:20">
      <c r="A875" s="43"/>
      <c r="B875" s="44"/>
      <c r="C875" s="44"/>
      <c r="D875" s="75"/>
      <c r="E875" s="43"/>
      <c r="F875" s="69"/>
      <c r="G875" s="43"/>
      <c r="H875" s="43"/>
      <c r="I875" s="43"/>
      <c r="J875" s="43"/>
      <c r="K875" s="43"/>
      <c r="L875" s="43"/>
      <c r="M875" s="43"/>
      <c r="N875" s="43"/>
      <c r="O875" s="43"/>
      <c r="P875" s="245"/>
      <c r="Q875" s="253"/>
      <c r="R875" s="253"/>
      <c r="S875" s="253"/>
      <c r="T875" s="43"/>
    </row>
    <row r="876" spans="1:20">
      <c r="A876" s="43"/>
      <c r="B876" s="44"/>
      <c r="C876" s="44"/>
      <c r="D876" s="75"/>
      <c r="E876" s="43"/>
      <c r="F876" s="69"/>
      <c r="G876" s="43"/>
      <c r="H876" s="43"/>
      <c r="I876" s="43"/>
      <c r="J876" s="43"/>
      <c r="K876" s="43"/>
      <c r="L876" s="43"/>
      <c r="M876" s="43"/>
      <c r="N876" s="43"/>
      <c r="O876" s="43"/>
      <c r="P876" s="245"/>
      <c r="Q876" s="253"/>
      <c r="R876" s="253"/>
      <c r="S876" s="253"/>
      <c r="T876" s="43"/>
    </row>
    <row r="877" spans="1:20">
      <c r="A877" s="43"/>
      <c r="B877" s="44"/>
      <c r="C877" s="44"/>
      <c r="D877" s="249"/>
      <c r="E877" s="44"/>
      <c r="F877" s="44"/>
      <c r="G877" s="43"/>
      <c r="H877" s="43"/>
      <c r="I877" s="43"/>
      <c r="J877" s="43"/>
      <c r="K877" s="43"/>
      <c r="L877" s="43"/>
      <c r="M877" s="43"/>
      <c r="N877" s="43"/>
      <c r="O877" s="43"/>
      <c r="P877" s="245"/>
      <c r="Q877" s="253"/>
      <c r="R877" s="253"/>
      <c r="S877" s="253"/>
      <c r="T877" s="43"/>
    </row>
    <row r="878" spans="1:20">
      <c r="A878" s="43"/>
      <c r="B878" s="44"/>
      <c r="C878" s="44"/>
      <c r="D878" s="44"/>
      <c r="E878" s="44"/>
      <c r="F878" s="44"/>
      <c r="G878" s="43"/>
      <c r="H878" s="43"/>
      <c r="I878" s="43"/>
      <c r="J878" s="43"/>
      <c r="K878" s="43"/>
      <c r="L878" s="43"/>
      <c r="M878" s="43"/>
      <c r="N878" s="43"/>
      <c r="O878" s="43"/>
      <c r="P878" s="245"/>
      <c r="Q878" s="253"/>
      <c r="R878" s="253"/>
      <c r="S878" s="253"/>
      <c r="T878" s="43"/>
    </row>
    <row r="879" spans="1:20">
      <c r="A879" s="332"/>
      <c r="B879" s="333"/>
      <c r="C879" s="333"/>
      <c r="D879" s="334"/>
      <c r="E879" s="333"/>
      <c r="F879" s="334"/>
      <c r="G879" s="332"/>
      <c r="H879" s="332"/>
      <c r="I879" s="332"/>
      <c r="J879" s="332"/>
      <c r="K879" s="332"/>
      <c r="L879" s="332"/>
      <c r="M879" s="332"/>
      <c r="N879" s="332"/>
      <c r="O879" s="332"/>
      <c r="P879" s="332"/>
      <c r="Q879" s="332"/>
      <c r="R879" s="332"/>
      <c r="S879" s="293"/>
      <c r="T879" s="332"/>
    </row>
    <row r="880" spans="1:20">
      <c r="A880" s="43"/>
      <c r="B880" s="44"/>
      <c r="C880" s="44"/>
      <c r="D880" s="249"/>
      <c r="E880" s="44"/>
      <c r="F880" s="44"/>
      <c r="G880" s="43"/>
      <c r="H880" s="43"/>
      <c r="I880" s="43"/>
      <c r="J880" s="43"/>
      <c r="K880" s="43"/>
      <c r="L880" s="43"/>
      <c r="M880" s="43"/>
      <c r="N880" s="43"/>
      <c r="O880" s="43"/>
      <c r="P880" s="245"/>
      <c r="Q880" s="253"/>
      <c r="R880" s="253"/>
      <c r="S880" s="253"/>
      <c r="T880" s="43"/>
    </row>
    <row r="881" spans="1:20">
      <c r="A881" s="43"/>
      <c r="B881" s="44"/>
      <c r="C881" s="44"/>
      <c r="D881" s="249"/>
      <c r="E881" s="44"/>
      <c r="F881" s="44"/>
      <c r="G881" s="43"/>
      <c r="H881" s="43"/>
      <c r="I881" s="43"/>
      <c r="J881" s="43"/>
      <c r="K881" s="43"/>
      <c r="L881" s="43"/>
      <c r="M881" s="43"/>
      <c r="N881" s="43"/>
      <c r="O881" s="43"/>
      <c r="P881" s="245"/>
      <c r="Q881" s="253"/>
      <c r="R881" s="253"/>
      <c r="S881" s="253"/>
      <c r="T881" s="43"/>
    </row>
    <row r="882" spans="1:20">
      <c r="A882" s="43"/>
      <c r="B882" s="44"/>
      <c r="C882" s="44"/>
      <c r="D882" s="249"/>
      <c r="E882" s="44"/>
      <c r="F882" s="44"/>
      <c r="G882" s="43"/>
      <c r="H882" s="43"/>
      <c r="I882" s="43"/>
      <c r="J882" s="43"/>
      <c r="K882" s="43"/>
      <c r="L882" s="43"/>
      <c r="M882" s="43"/>
      <c r="N882" s="43"/>
      <c r="O882" s="43"/>
      <c r="P882" s="245"/>
      <c r="Q882" s="253"/>
      <c r="R882" s="253"/>
      <c r="S882" s="253"/>
      <c r="T882" s="43"/>
    </row>
    <row r="883" spans="1:20">
      <c r="A883" s="43"/>
      <c r="B883" s="44"/>
      <c r="C883" s="44"/>
      <c r="D883" s="249"/>
      <c r="E883" s="44"/>
      <c r="F883" s="44"/>
      <c r="G883" s="43"/>
      <c r="H883" s="43"/>
      <c r="I883" s="43"/>
      <c r="J883" s="43"/>
      <c r="K883" s="43"/>
      <c r="L883" s="43"/>
      <c r="M883" s="43"/>
      <c r="N883" s="43"/>
      <c r="O883" s="43"/>
      <c r="P883" s="245"/>
      <c r="Q883" s="253"/>
      <c r="R883" s="253"/>
      <c r="S883" s="253"/>
      <c r="T883" s="43"/>
    </row>
    <row r="884" spans="1:20">
      <c r="A884" s="43"/>
      <c r="B884" s="44"/>
      <c r="C884" s="44"/>
      <c r="D884" s="249"/>
      <c r="E884" s="44"/>
      <c r="F884" s="44"/>
      <c r="G884" s="43"/>
      <c r="H884" s="43"/>
      <c r="I884" s="43"/>
      <c r="J884" s="43"/>
      <c r="K884" s="43"/>
      <c r="L884" s="43"/>
      <c r="M884" s="43"/>
      <c r="N884" s="43"/>
      <c r="O884" s="43"/>
      <c r="P884" s="245"/>
      <c r="Q884" s="253"/>
      <c r="R884" s="253"/>
      <c r="S884" s="253"/>
      <c r="T884" s="43"/>
    </row>
    <row r="885" spans="1:20">
      <c r="A885" s="43"/>
      <c r="B885" s="44"/>
      <c r="C885" s="44"/>
      <c r="D885" s="249"/>
      <c r="E885" s="44"/>
      <c r="F885" s="44"/>
      <c r="G885" s="43"/>
      <c r="H885" s="43"/>
      <c r="I885" s="43"/>
      <c r="J885" s="43"/>
      <c r="K885" s="43"/>
      <c r="L885" s="43"/>
      <c r="M885" s="43"/>
      <c r="N885" s="43"/>
      <c r="O885" s="43"/>
      <c r="P885" s="245"/>
      <c r="Q885" s="253"/>
      <c r="R885" s="253"/>
      <c r="S885" s="253"/>
      <c r="T885" s="43"/>
    </row>
    <row r="886" spans="1:20">
      <c r="A886" s="43"/>
      <c r="B886" s="43"/>
      <c r="C886" s="43"/>
      <c r="D886" s="75"/>
      <c r="E886" s="43"/>
      <c r="F886" s="43"/>
      <c r="G886" s="43"/>
      <c r="H886" s="43"/>
      <c r="I886" s="43"/>
      <c r="J886" s="43"/>
      <c r="K886" s="43"/>
      <c r="L886" s="43"/>
      <c r="M886" s="43"/>
      <c r="N886" s="43"/>
      <c r="O886" s="43"/>
      <c r="P886" s="245"/>
      <c r="Q886" s="253"/>
      <c r="R886" s="253"/>
      <c r="S886" s="253"/>
      <c r="T886" s="43"/>
    </row>
    <row r="887" spans="1:20">
      <c r="A887" s="43"/>
      <c r="B887" s="69"/>
      <c r="C887" s="69"/>
      <c r="D887" s="75"/>
      <c r="E887" s="43"/>
      <c r="F887" s="43"/>
      <c r="G887" s="43"/>
      <c r="H887" s="43"/>
      <c r="I887" s="43"/>
      <c r="J887" s="43"/>
      <c r="K887" s="43"/>
      <c r="L887" s="43"/>
      <c r="M887" s="43"/>
      <c r="N887" s="43"/>
      <c r="O887" s="43"/>
      <c r="P887" s="245"/>
      <c r="Q887" s="253"/>
      <c r="R887" s="253"/>
      <c r="S887" s="253"/>
      <c r="T887" s="43"/>
    </row>
    <row r="888" spans="1:20">
      <c r="A888" s="43"/>
      <c r="B888" s="69"/>
      <c r="C888" s="69"/>
      <c r="D888" s="75"/>
      <c r="E888" s="43"/>
      <c r="F888" s="43"/>
      <c r="G888" s="43"/>
      <c r="H888" s="43"/>
      <c r="I888" s="43"/>
      <c r="J888" s="43"/>
      <c r="K888" s="43"/>
      <c r="L888" s="43"/>
      <c r="M888" s="43"/>
      <c r="N888" s="43"/>
      <c r="O888" s="43"/>
      <c r="P888" s="245"/>
      <c r="Q888" s="253"/>
      <c r="R888" s="253"/>
      <c r="S888" s="253"/>
      <c r="T888" s="43"/>
    </row>
    <row r="889" spans="1:20">
      <c r="A889" s="43"/>
      <c r="B889" s="69"/>
      <c r="C889" s="69"/>
      <c r="D889" s="75"/>
      <c r="E889" s="43"/>
      <c r="F889" s="43"/>
      <c r="G889" s="43"/>
      <c r="H889" s="43"/>
      <c r="I889" s="43"/>
      <c r="J889" s="43"/>
      <c r="K889" s="43"/>
      <c r="L889" s="43"/>
      <c r="M889" s="43"/>
      <c r="N889" s="43"/>
      <c r="O889" s="43"/>
      <c r="P889" s="245"/>
      <c r="Q889" s="253"/>
      <c r="R889" s="253"/>
      <c r="S889" s="253"/>
      <c r="T889" s="43"/>
    </row>
    <row r="890" spans="1:20">
      <c r="A890" s="43"/>
      <c r="B890" s="69"/>
      <c r="C890" s="69"/>
      <c r="D890" s="75"/>
      <c r="E890" s="44"/>
      <c r="F890" s="44"/>
      <c r="G890" s="43"/>
      <c r="H890" s="43"/>
      <c r="I890" s="43"/>
      <c r="J890" s="43"/>
      <c r="K890" s="43"/>
      <c r="L890" s="43"/>
      <c r="M890" s="43"/>
      <c r="N890" s="43"/>
      <c r="O890" s="43"/>
      <c r="P890" s="245"/>
      <c r="Q890" s="253"/>
      <c r="R890" s="253"/>
      <c r="S890" s="253"/>
      <c r="T890" s="43"/>
    </row>
    <row r="891" spans="1:20">
      <c r="A891" s="43"/>
      <c r="B891" s="69"/>
      <c r="C891" s="69"/>
      <c r="D891" s="75"/>
      <c r="E891" s="44"/>
      <c r="F891" s="44"/>
      <c r="G891" s="43"/>
      <c r="H891" s="43"/>
      <c r="I891" s="43"/>
      <c r="J891" s="43"/>
      <c r="K891" s="43"/>
      <c r="L891" s="43"/>
      <c r="M891" s="43"/>
      <c r="N891" s="43"/>
      <c r="O891" s="43"/>
      <c r="P891" s="245"/>
      <c r="Q891" s="253"/>
      <c r="R891" s="253"/>
      <c r="S891" s="253"/>
      <c r="T891" s="43"/>
    </row>
    <row r="892" spans="1:20">
      <c r="A892" s="43"/>
      <c r="B892" s="69"/>
      <c r="C892" s="69"/>
      <c r="D892" s="75"/>
      <c r="E892" s="271"/>
      <c r="F892" s="44"/>
      <c r="G892" s="43"/>
      <c r="H892" s="43"/>
      <c r="I892" s="43"/>
      <c r="J892" s="43"/>
      <c r="K892" s="43"/>
      <c r="L892" s="43"/>
      <c r="M892" s="43"/>
      <c r="N892" s="43"/>
      <c r="O892" s="43"/>
      <c r="P892" s="245"/>
      <c r="Q892" s="253"/>
      <c r="R892" s="253"/>
      <c r="S892" s="253"/>
      <c r="T892" s="43"/>
    </row>
    <row r="893" spans="1:20">
      <c r="A893" s="43"/>
      <c r="B893" s="69"/>
      <c r="C893" s="69"/>
      <c r="D893" s="75"/>
      <c r="E893" s="271"/>
      <c r="F893" s="44"/>
      <c r="G893" s="43"/>
      <c r="H893" s="43"/>
      <c r="I893" s="43"/>
      <c r="J893" s="43"/>
      <c r="K893" s="43"/>
      <c r="L893" s="43"/>
      <c r="M893" s="43"/>
      <c r="N893" s="43"/>
      <c r="O893" s="43"/>
      <c r="P893" s="245"/>
      <c r="Q893" s="253"/>
      <c r="R893" s="253"/>
      <c r="S893" s="253"/>
      <c r="T893" s="43"/>
    </row>
    <row r="894" spans="1:20">
      <c r="A894" s="43"/>
      <c r="B894" s="69"/>
      <c r="C894" s="69"/>
      <c r="D894" s="75"/>
      <c r="E894" s="271"/>
      <c r="F894" s="44"/>
      <c r="G894" s="43"/>
      <c r="H894" s="43"/>
      <c r="I894" s="43"/>
      <c r="J894" s="43"/>
      <c r="K894" s="43"/>
      <c r="L894" s="43"/>
      <c r="M894" s="43"/>
      <c r="N894" s="43"/>
      <c r="O894" s="43"/>
      <c r="P894" s="245"/>
      <c r="Q894" s="253"/>
      <c r="R894" s="253"/>
      <c r="S894" s="253"/>
      <c r="T894" s="43"/>
    </row>
    <row r="895" spans="1:20">
      <c r="A895" s="43"/>
      <c r="B895" s="102"/>
      <c r="C895" s="102"/>
      <c r="D895" s="75"/>
      <c r="E895" s="271"/>
      <c r="F895" s="44"/>
      <c r="G895" s="43"/>
      <c r="H895" s="43"/>
      <c r="I895" s="43"/>
      <c r="J895" s="43"/>
      <c r="K895" s="43"/>
      <c r="L895" s="43"/>
      <c r="M895" s="43"/>
      <c r="N895" s="43"/>
      <c r="O895" s="43"/>
      <c r="P895" s="245"/>
      <c r="Q895" s="253"/>
      <c r="R895" s="253"/>
      <c r="S895" s="253"/>
      <c r="T895" s="43"/>
    </row>
    <row r="896" spans="1:20">
      <c r="A896" s="43"/>
      <c r="B896" s="69"/>
      <c r="C896" s="69"/>
      <c r="D896" s="249"/>
      <c r="E896" s="271"/>
      <c r="F896" s="44"/>
      <c r="G896" s="43"/>
      <c r="H896" s="43"/>
      <c r="I896" s="43"/>
      <c r="J896" s="43"/>
      <c r="K896" s="43"/>
      <c r="L896" s="43"/>
      <c r="M896" s="43"/>
      <c r="N896" s="43"/>
      <c r="O896" s="43"/>
      <c r="P896" s="245"/>
      <c r="Q896" s="253"/>
      <c r="R896" s="253"/>
      <c r="S896" s="253"/>
      <c r="T896" s="43"/>
    </row>
    <row r="897" spans="1:20">
      <c r="A897" s="43"/>
      <c r="B897" s="69"/>
      <c r="C897" s="69"/>
      <c r="D897" s="341"/>
      <c r="E897" s="271"/>
      <c r="F897" s="44"/>
      <c r="G897" s="43"/>
      <c r="H897" s="43"/>
      <c r="I897" s="43"/>
      <c r="J897" s="43"/>
      <c r="K897" s="43"/>
      <c r="L897" s="43"/>
      <c r="M897" s="43"/>
      <c r="N897" s="43"/>
      <c r="O897" s="43"/>
      <c r="P897" s="245"/>
      <c r="Q897" s="253"/>
      <c r="R897" s="253"/>
      <c r="S897" s="253"/>
      <c r="T897" s="43"/>
    </row>
    <row r="898" spans="1:20">
      <c r="A898" s="43"/>
      <c r="B898" s="69"/>
      <c r="C898" s="69"/>
      <c r="D898" s="341"/>
      <c r="E898" s="271"/>
      <c r="F898" s="44"/>
      <c r="G898" s="43"/>
      <c r="H898" s="43"/>
      <c r="I898" s="43"/>
      <c r="J898" s="43"/>
      <c r="K898" s="43"/>
      <c r="L898" s="43"/>
      <c r="M898" s="43"/>
      <c r="N898" s="43"/>
      <c r="O898" s="43"/>
      <c r="P898" s="245"/>
      <c r="Q898" s="253"/>
      <c r="R898" s="253"/>
      <c r="S898" s="253"/>
      <c r="T898" s="43"/>
    </row>
    <row r="899" spans="1:20">
      <c r="A899" s="43"/>
      <c r="B899" s="69"/>
      <c r="C899" s="69"/>
      <c r="D899" s="249"/>
      <c r="E899" s="271"/>
      <c r="F899" s="44"/>
      <c r="G899" s="43"/>
      <c r="H899" s="43"/>
      <c r="I899" s="43"/>
      <c r="J899" s="43"/>
      <c r="K899" s="43"/>
      <c r="L899" s="43"/>
      <c r="M899" s="43"/>
      <c r="N899" s="43"/>
      <c r="O899" s="43"/>
      <c r="P899" s="245"/>
      <c r="Q899" s="253"/>
      <c r="R899" s="253"/>
      <c r="S899" s="253"/>
      <c r="T899" s="43"/>
    </row>
    <row r="900" spans="1:20">
      <c r="A900" s="43"/>
      <c r="B900" s="102"/>
      <c r="C900" s="102"/>
      <c r="D900" s="249"/>
      <c r="E900" s="271"/>
      <c r="F900" s="44"/>
      <c r="G900" s="43"/>
      <c r="H900" s="43"/>
      <c r="I900" s="43"/>
      <c r="J900" s="43"/>
      <c r="K900" s="43"/>
      <c r="L900" s="43"/>
      <c r="M900" s="43"/>
      <c r="N900" s="43"/>
      <c r="O900" s="43"/>
      <c r="P900" s="245"/>
      <c r="Q900" s="253"/>
      <c r="R900" s="253"/>
      <c r="S900" s="253"/>
      <c r="T900" s="43"/>
    </row>
    <row r="901" spans="1:20">
      <c r="A901" s="43"/>
      <c r="B901" s="44"/>
      <c r="C901" s="44"/>
      <c r="D901" s="249"/>
      <c r="E901" s="69"/>
      <c r="F901" s="69"/>
      <c r="G901" s="43"/>
      <c r="H901" s="43"/>
      <c r="I901" s="43"/>
      <c r="J901" s="43"/>
      <c r="K901" s="43"/>
      <c r="L901" s="43"/>
      <c r="M901" s="43"/>
      <c r="N901" s="43"/>
      <c r="O901" s="43"/>
      <c r="P901" s="245"/>
      <c r="Q901" s="253"/>
      <c r="R901" s="253"/>
      <c r="S901" s="253"/>
      <c r="T901" s="43"/>
    </row>
    <row r="902" spans="1:20">
      <c r="A902" s="43"/>
      <c r="B902" s="44"/>
      <c r="C902" s="44"/>
      <c r="D902" s="249"/>
      <c r="E902" s="69"/>
      <c r="F902" s="69"/>
      <c r="G902" s="43"/>
      <c r="H902" s="43"/>
      <c r="I902" s="43"/>
      <c r="J902" s="43"/>
      <c r="K902" s="43"/>
      <c r="L902" s="43"/>
      <c r="M902" s="43"/>
      <c r="N902" s="43"/>
      <c r="O902" s="43"/>
      <c r="P902" s="245"/>
      <c r="Q902" s="253"/>
      <c r="R902" s="253"/>
      <c r="S902" s="253"/>
      <c r="T902" s="43"/>
    </row>
    <row r="903" spans="1:20">
      <c r="A903" s="43"/>
      <c r="B903" s="102"/>
      <c r="C903" s="102"/>
      <c r="D903" s="249"/>
      <c r="E903" s="271"/>
      <c r="F903" s="44"/>
      <c r="G903" s="43"/>
      <c r="H903" s="43"/>
      <c r="I903" s="43"/>
      <c r="J903" s="43"/>
      <c r="K903" s="43"/>
      <c r="L903" s="43"/>
      <c r="M903" s="43"/>
      <c r="N903" s="43"/>
      <c r="O903" s="43"/>
      <c r="P903" s="245"/>
      <c r="Q903" s="253"/>
      <c r="R903" s="253"/>
      <c r="S903" s="253"/>
      <c r="T903" s="43"/>
    </row>
    <row r="904" spans="1:20">
      <c r="A904" s="43"/>
      <c r="B904" s="69"/>
      <c r="C904" s="69"/>
      <c r="D904" s="249"/>
      <c r="E904" s="44"/>
      <c r="F904" s="44"/>
      <c r="G904" s="43"/>
      <c r="H904" s="43"/>
      <c r="I904" s="43"/>
      <c r="J904" s="43"/>
      <c r="K904" s="43"/>
      <c r="L904" s="43"/>
      <c r="M904" s="43"/>
      <c r="N904" s="43"/>
      <c r="O904" s="43"/>
      <c r="P904" s="245"/>
      <c r="Q904" s="253"/>
      <c r="R904" s="253"/>
      <c r="S904" s="253"/>
      <c r="T904" s="43"/>
    </row>
    <row r="905" spans="1:20">
      <c r="A905" s="43"/>
      <c r="B905" s="102"/>
      <c r="C905" s="102"/>
      <c r="D905" s="341"/>
      <c r="E905" s="44"/>
      <c r="F905" s="44"/>
      <c r="G905" s="43"/>
      <c r="H905" s="43"/>
      <c r="I905" s="43"/>
      <c r="J905" s="43"/>
      <c r="K905" s="43"/>
      <c r="L905" s="43"/>
      <c r="M905" s="43"/>
      <c r="N905" s="43"/>
      <c r="O905" s="43"/>
      <c r="P905" s="245"/>
      <c r="Q905" s="253"/>
      <c r="R905" s="253"/>
      <c r="S905" s="253"/>
      <c r="T905" s="43"/>
    </row>
    <row r="906" spans="1:20">
      <c r="A906" s="43"/>
      <c r="B906" s="102"/>
      <c r="C906" s="102"/>
      <c r="D906" s="249"/>
      <c r="E906" s="44"/>
      <c r="F906" s="44"/>
      <c r="G906" s="43"/>
      <c r="H906" s="43"/>
      <c r="I906" s="43"/>
      <c r="J906" s="43"/>
      <c r="K906" s="43"/>
      <c r="L906" s="43"/>
      <c r="M906" s="43"/>
      <c r="N906" s="43"/>
      <c r="O906" s="43"/>
      <c r="P906" s="245"/>
      <c r="Q906" s="253"/>
      <c r="R906" s="253"/>
      <c r="S906" s="253"/>
      <c r="T906" s="43"/>
    </row>
    <row r="907" spans="1:20">
      <c r="A907" s="43"/>
      <c r="B907" s="69"/>
      <c r="C907" s="69"/>
      <c r="D907" s="249"/>
      <c r="E907" s="44"/>
      <c r="F907" s="44"/>
      <c r="G907" s="43"/>
      <c r="H907" s="43"/>
      <c r="I907" s="43"/>
      <c r="J907" s="43"/>
      <c r="K907" s="43"/>
      <c r="L907" s="43"/>
      <c r="M907" s="43"/>
      <c r="N907" s="43"/>
      <c r="O907" s="43"/>
      <c r="P907" s="245"/>
      <c r="Q907" s="253"/>
      <c r="R907" s="253"/>
      <c r="S907" s="253"/>
      <c r="T907" s="43"/>
    </row>
    <row r="908" spans="1:20">
      <c r="A908" s="43"/>
      <c r="B908" s="69"/>
      <c r="C908" s="69"/>
      <c r="D908" s="249"/>
      <c r="E908" s="44"/>
      <c r="F908" s="69"/>
      <c r="G908" s="43"/>
      <c r="H908" s="43"/>
      <c r="I908" s="43"/>
      <c r="J908" s="43"/>
      <c r="K908" s="43"/>
      <c r="L908" s="43"/>
      <c r="M908" s="43"/>
      <c r="N908" s="43"/>
      <c r="O908" s="43"/>
      <c r="P908" s="245"/>
      <c r="Q908" s="253"/>
      <c r="R908" s="253"/>
      <c r="S908" s="253"/>
      <c r="T908" s="43"/>
    </row>
    <row r="909" spans="1:20">
      <c r="A909" s="43"/>
      <c r="B909" s="69"/>
      <c r="C909" s="69"/>
      <c r="D909" s="249"/>
      <c r="E909" s="44"/>
      <c r="F909" s="69"/>
      <c r="G909" s="43"/>
      <c r="H909" s="43"/>
      <c r="I909" s="43"/>
      <c r="J909" s="43"/>
      <c r="K909" s="43"/>
      <c r="L909" s="43"/>
      <c r="M909" s="43"/>
      <c r="N909" s="43"/>
      <c r="O909" s="43"/>
      <c r="P909" s="245"/>
      <c r="Q909" s="253"/>
      <c r="R909" s="253"/>
      <c r="S909" s="253"/>
      <c r="T909" s="43"/>
    </row>
    <row r="910" spans="1:20">
      <c r="A910" s="43"/>
      <c r="B910" s="102"/>
      <c r="C910" s="102"/>
      <c r="D910" s="341"/>
      <c r="E910" s="44"/>
      <c r="F910" s="44"/>
      <c r="G910" s="43"/>
      <c r="H910" s="43"/>
      <c r="I910" s="43"/>
      <c r="J910" s="43"/>
      <c r="K910" s="43"/>
      <c r="L910" s="43"/>
      <c r="M910" s="43"/>
      <c r="N910" s="43"/>
      <c r="O910" s="43"/>
      <c r="P910" s="245"/>
      <c r="Q910" s="253"/>
      <c r="R910" s="253"/>
      <c r="S910" s="253"/>
      <c r="T910" s="43"/>
    </row>
    <row r="911" spans="1:20">
      <c r="A911" s="43"/>
      <c r="B911" s="102"/>
      <c r="C911" s="102"/>
      <c r="D911" s="249"/>
      <c r="E911" s="44"/>
      <c r="F911" s="69"/>
      <c r="G911" s="43"/>
      <c r="H911" s="43"/>
      <c r="I911" s="43"/>
      <c r="J911" s="43"/>
      <c r="K911" s="43"/>
      <c r="L911" s="43"/>
      <c r="M911" s="43"/>
      <c r="N911" s="43"/>
      <c r="O911" s="43"/>
      <c r="P911" s="245"/>
      <c r="Q911" s="253"/>
      <c r="R911" s="253"/>
      <c r="S911" s="253"/>
      <c r="T911" s="43"/>
    </row>
    <row r="912" spans="1:20">
      <c r="A912" s="43"/>
      <c r="B912" s="44"/>
      <c r="C912" s="44"/>
      <c r="D912" s="44"/>
      <c r="E912" s="43"/>
      <c r="F912" s="43"/>
      <c r="G912" s="43"/>
      <c r="H912" s="43"/>
      <c r="I912" s="43"/>
      <c r="J912" s="43"/>
      <c r="K912" s="43"/>
      <c r="L912" s="43"/>
      <c r="M912" s="43"/>
      <c r="N912" s="43"/>
      <c r="O912" s="43"/>
      <c r="P912" s="245"/>
      <c r="Q912" s="253"/>
      <c r="R912" s="253"/>
      <c r="S912" s="253"/>
      <c r="T912" s="43"/>
    </row>
    <row r="913" spans="1:20">
      <c r="A913" s="43"/>
      <c r="B913" s="44"/>
      <c r="C913" s="44"/>
      <c r="D913" s="75"/>
      <c r="E913" s="43"/>
      <c r="F913" s="43"/>
      <c r="G913" s="43"/>
      <c r="H913" s="43"/>
      <c r="I913" s="43"/>
      <c r="J913" s="43"/>
      <c r="K913" s="43"/>
      <c r="L913" s="43"/>
      <c r="M913" s="43"/>
      <c r="N913" s="43"/>
      <c r="O913" s="43"/>
      <c r="P913" s="245"/>
      <c r="Q913" s="253"/>
      <c r="R913" s="253"/>
      <c r="S913" s="253"/>
      <c r="T913" s="43"/>
    </row>
    <row r="914" spans="1:20">
      <c r="A914" s="43"/>
      <c r="B914" s="44"/>
      <c r="C914" s="44"/>
      <c r="D914" s="75"/>
      <c r="E914" s="43"/>
      <c r="F914" s="43"/>
      <c r="G914" s="43"/>
      <c r="H914" s="43"/>
      <c r="I914" s="43"/>
      <c r="J914" s="43"/>
      <c r="K914" s="43"/>
      <c r="L914" s="43"/>
      <c r="M914" s="43"/>
      <c r="N914" s="43"/>
      <c r="O914" s="43"/>
      <c r="P914" s="245"/>
      <c r="Q914" s="253"/>
      <c r="R914" s="253"/>
      <c r="S914" s="253"/>
      <c r="T914" s="43"/>
    </row>
    <row r="915" spans="1:20">
      <c r="A915" s="43"/>
      <c r="B915" s="44"/>
      <c r="C915" s="44"/>
      <c r="D915" s="75"/>
      <c r="E915" s="43"/>
      <c r="F915" s="43"/>
      <c r="G915" s="43"/>
      <c r="H915" s="43"/>
      <c r="I915" s="43"/>
      <c r="J915" s="43"/>
      <c r="K915" s="43"/>
      <c r="L915" s="43"/>
      <c r="M915" s="43"/>
      <c r="N915" s="43"/>
      <c r="O915" s="43"/>
      <c r="P915" s="245"/>
      <c r="Q915" s="253"/>
      <c r="R915" s="253"/>
      <c r="S915" s="253"/>
      <c r="T915" s="43"/>
    </row>
    <row r="916" spans="1:20">
      <c r="A916" s="43"/>
      <c r="B916" s="44"/>
      <c r="C916" s="44"/>
      <c r="D916" s="75"/>
      <c r="E916" s="43"/>
      <c r="F916" s="43"/>
      <c r="G916" s="43"/>
      <c r="H916" s="43"/>
      <c r="I916" s="43"/>
      <c r="J916" s="43"/>
      <c r="K916" s="43"/>
      <c r="L916" s="43"/>
      <c r="M916" s="43"/>
      <c r="N916" s="43"/>
      <c r="O916" s="43"/>
      <c r="P916" s="245"/>
      <c r="Q916" s="253"/>
      <c r="R916" s="253"/>
      <c r="S916" s="253"/>
      <c r="T916" s="43"/>
    </row>
    <row r="917" spans="1:20">
      <c r="A917" s="43"/>
      <c r="B917" s="44"/>
      <c r="C917" s="44"/>
      <c r="D917" s="75"/>
      <c r="E917" s="43"/>
      <c r="F917" s="43"/>
      <c r="G917" s="43"/>
      <c r="H917" s="43"/>
      <c r="I917" s="43"/>
      <c r="J917" s="43"/>
      <c r="K917" s="43"/>
      <c r="L917" s="43"/>
      <c r="M917" s="43"/>
      <c r="N917" s="43"/>
      <c r="O917" s="43"/>
      <c r="P917" s="245"/>
      <c r="Q917" s="253"/>
      <c r="R917" s="253"/>
      <c r="S917" s="253"/>
      <c r="T917" s="43"/>
    </row>
    <row r="918" spans="1:20">
      <c r="A918" s="43"/>
      <c r="B918" s="44"/>
      <c r="C918" s="44"/>
      <c r="D918" s="75"/>
      <c r="E918" s="43"/>
      <c r="F918" s="43"/>
      <c r="G918" s="43"/>
      <c r="H918" s="43"/>
      <c r="I918" s="43"/>
      <c r="J918" s="43"/>
      <c r="K918" s="43"/>
      <c r="L918" s="43"/>
      <c r="M918" s="43"/>
      <c r="N918" s="43"/>
      <c r="O918" s="43"/>
      <c r="P918" s="245"/>
      <c r="Q918" s="253"/>
      <c r="R918" s="253"/>
      <c r="S918" s="253"/>
      <c r="T918" s="43"/>
    </row>
    <row r="919" spans="1:20">
      <c r="A919" s="43"/>
      <c r="B919" s="44"/>
      <c r="C919" s="44"/>
      <c r="D919" s="75"/>
      <c r="E919" s="43"/>
      <c r="F919" s="43"/>
      <c r="G919" s="43"/>
      <c r="H919" s="43"/>
      <c r="I919" s="43"/>
      <c r="J919" s="43"/>
      <c r="K919" s="43"/>
      <c r="L919" s="43"/>
      <c r="M919" s="43"/>
      <c r="N919" s="43"/>
      <c r="O919" s="43"/>
      <c r="P919" s="245"/>
      <c r="Q919" s="253"/>
      <c r="R919" s="253"/>
      <c r="S919" s="253"/>
      <c r="T919" s="43"/>
    </row>
    <row r="920" spans="1:20">
      <c r="A920" s="43"/>
      <c r="B920" s="44"/>
      <c r="C920" s="44"/>
      <c r="D920" s="75"/>
      <c r="E920" s="43"/>
      <c r="F920" s="43"/>
      <c r="G920" s="43"/>
      <c r="H920" s="43"/>
      <c r="I920" s="43"/>
      <c r="J920" s="43"/>
      <c r="K920" s="43"/>
      <c r="L920" s="43"/>
      <c r="M920" s="43"/>
      <c r="N920" s="43"/>
      <c r="O920" s="43"/>
      <c r="P920" s="245"/>
      <c r="Q920" s="253"/>
      <c r="R920" s="253"/>
      <c r="S920" s="253"/>
      <c r="T920" s="43"/>
    </row>
    <row r="921" spans="1:20">
      <c r="A921" s="43"/>
      <c r="B921" s="44"/>
      <c r="C921" s="44"/>
      <c r="D921" s="75"/>
      <c r="E921" s="43"/>
      <c r="F921" s="43"/>
      <c r="G921" s="43"/>
      <c r="H921" s="43"/>
      <c r="I921" s="43"/>
      <c r="J921" s="43"/>
      <c r="K921" s="43"/>
      <c r="L921" s="43"/>
      <c r="M921" s="43"/>
      <c r="N921" s="43"/>
      <c r="O921" s="43"/>
      <c r="P921" s="245"/>
      <c r="Q921" s="253"/>
      <c r="R921" s="253"/>
      <c r="S921" s="253"/>
      <c r="T921" s="43"/>
    </row>
    <row r="922" spans="1:20">
      <c r="A922" s="43"/>
      <c r="B922" s="44"/>
      <c r="C922" s="44"/>
      <c r="D922" s="44"/>
      <c r="E922" s="43"/>
      <c r="F922" s="43"/>
      <c r="G922" s="43"/>
      <c r="H922" s="43"/>
      <c r="I922" s="43"/>
      <c r="J922" s="43"/>
      <c r="K922" s="43"/>
      <c r="L922" s="43"/>
      <c r="M922" s="43"/>
      <c r="N922" s="43"/>
      <c r="O922" s="43"/>
      <c r="P922" s="245"/>
      <c r="Q922" s="253"/>
      <c r="R922" s="253"/>
      <c r="S922" s="253"/>
      <c r="T922" s="43"/>
    </row>
    <row r="923" spans="1:20">
      <c r="A923" s="43"/>
      <c r="B923" s="44"/>
      <c r="C923" s="44"/>
      <c r="D923" s="44"/>
      <c r="E923" s="43"/>
      <c r="F923" s="43"/>
      <c r="G923" s="43"/>
      <c r="H923" s="43"/>
      <c r="I923" s="43"/>
      <c r="J923" s="43"/>
      <c r="K923" s="43"/>
      <c r="L923" s="43"/>
      <c r="M923" s="43"/>
      <c r="N923" s="43"/>
      <c r="O923" s="43"/>
      <c r="P923" s="245"/>
      <c r="Q923" s="253"/>
      <c r="R923" s="253"/>
      <c r="S923" s="253"/>
      <c r="T923" s="43"/>
    </row>
    <row r="924" spans="1:20">
      <c r="A924" s="43"/>
      <c r="B924" s="44"/>
      <c r="C924" s="44"/>
      <c r="D924" s="44"/>
      <c r="E924" s="43"/>
      <c r="F924" s="43"/>
      <c r="G924" s="43"/>
      <c r="H924" s="43"/>
      <c r="I924" s="43"/>
      <c r="J924" s="43"/>
      <c r="K924" s="43"/>
      <c r="L924" s="43"/>
      <c r="M924" s="43"/>
      <c r="N924" s="43"/>
      <c r="O924" s="43"/>
      <c r="P924" s="245"/>
      <c r="Q924" s="253"/>
      <c r="R924" s="253"/>
      <c r="S924" s="253"/>
      <c r="T924" s="43"/>
    </row>
    <row r="925" spans="1:20">
      <c r="A925" s="43"/>
      <c r="B925" s="44"/>
      <c r="C925" s="44"/>
      <c r="D925" s="75"/>
      <c r="E925" s="43"/>
      <c r="F925" s="43"/>
      <c r="G925" s="43"/>
      <c r="H925" s="43"/>
      <c r="I925" s="43"/>
      <c r="J925" s="43"/>
      <c r="K925" s="43"/>
      <c r="L925" s="43"/>
      <c r="M925" s="43"/>
      <c r="N925" s="43"/>
      <c r="O925" s="43"/>
      <c r="P925" s="245"/>
      <c r="Q925" s="253"/>
      <c r="R925" s="253"/>
      <c r="S925" s="253"/>
      <c r="T925" s="43"/>
    </row>
    <row r="926" spans="1:20">
      <c r="A926" s="43"/>
      <c r="B926" s="44"/>
      <c r="C926" s="44"/>
      <c r="D926" s="75"/>
      <c r="E926" s="43"/>
      <c r="F926" s="43"/>
      <c r="G926" s="43"/>
      <c r="H926" s="43"/>
      <c r="I926" s="43"/>
      <c r="J926" s="43"/>
      <c r="K926" s="43"/>
      <c r="L926" s="43"/>
      <c r="M926" s="43"/>
      <c r="N926" s="43"/>
      <c r="O926" s="43"/>
      <c r="P926" s="245"/>
      <c r="Q926" s="253"/>
      <c r="R926" s="253"/>
      <c r="S926" s="253"/>
      <c r="T926" s="43"/>
    </row>
    <row r="927" spans="1:20">
      <c r="A927" s="43"/>
      <c r="B927" s="44"/>
      <c r="C927" s="44"/>
      <c r="D927" s="75"/>
      <c r="E927" s="43"/>
      <c r="F927" s="43"/>
      <c r="G927" s="43"/>
      <c r="H927" s="43"/>
      <c r="I927" s="43"/>
      <c r="J927" s="43"/>
      <c r="K927" s="43"/>
      <c r="L927" s="43"/>
      <c r="M927" s="43"/>
      <c r="N927" s="43"/>
      <c r="O927" s="43"/>
      <c r="P927" s="245"/>
      <c r="Q927" s="253"/>
      <c r="R927" s="253"/>
      <c r="S927" s="253"/>
      <c r="T927" s="43"/>
    </row>
    <row r="928" spans="1:20">
      <c r="A928" s="43"/>
      <c r="B928" s="44"/>
      <c r="C928" s="44"/>
      <c r="D928" s="75"/>
      <c r="E928" s="43"/>
      <c r="F928" s="43"/>
      <c r="G928" s="43"/>
      <c r="H928" s="43"/>
      <c r="I928" s="43"/>
      <c r="J928" s="43"/>
      <c r="K928" s="43"/>
      <c r="L928" s="43"/>
      <c r="M928" s="43"/>
      <c r="N928" s="43"/>
      <c r="O928" s="43"/>
      <c r="P928" s="245"/>
      <c r="Q928" s="253"/>
      <c r="R928" s="253"/>
      <c r="S928" s="253"/>
      <c r="T928" s="43"/>
    </row>
    <row r="929" spans="1:20">
      <c r="A929" s="43"/>
      <c r="B929" s="44"/>
      <c r="C929" s="44"/>
      <c r="D929" s="75"/>
      <c r="E929" s="43"/>
      <c r="F929" s="43"/>
      <c r="G929" s="43"/>
      <c r="H929" s="43"/>
      <c r="I929" s="43"/>
      <c r="J929" s="43"/>
      <c r="K929" s="43"/>
      <c r="L929" s="43"/>
      <c r="M929" s="43"/>
      <c r="N929" s="43"/>
      <c r="O929" s="43"/>
      <c r="P929" s="245"/>
      <c r="Q929" s="253"/>
      <c r="R929" s="253"/>
      <c r="S929" s="253"/>
      <c r="T929" s="43"/>
    </row>
    <row r="930" spans="1:20">
      <c r="A930" s="43"/>
      <c r="B930" s="44"/>
      <c r="C930" s="44"/>
      <c r="D930" s="75"/>
      <c r="E930" s="43"/>
      <c r="F930" s="43"/>
      <c r="G930" s="43"/>
      <c r="H930" s="43"/>
      <c r="I930" s="43"/>
      <c r="J930" s="43"/>
      <c r="K930" s="43"/>
      <c r="L930" s="43"/>
      <c r="M930" s="43"/>
      <c r="N930" s="43"/>
      <c r="O930" s="43"/>
      <c r="P930" s="245"/>
      <c r="Q930" s="253"/>
      <c r="R930" s="253"/>
      <c r="S930" s="253"/>
      <c r="T930" s="43"/>
    </row>
    <row r="931" spans="1:20">
      <c r="A931" s="43"/>
      <c r="B931" s="44"/>
      <c r="C931" s="44"/>
      <c r="D931" s="75"/>
      <c r="E931" s="43"/>
      <c r="F931" s="43"/>
      <c r="G931" s="43"/>
      <c r="H931" s="43"/>
      <c r="I931" s="43"/>
      <c r="J931" s="43"/>
      <c r="K931" s="43"/>
      <c r="L931" s="43"/>
      <c r="M931" s="43"/>
      <c r="N931" s="43"/>
      <c r="O931" s="43"/>
      <c r="P931" s="245"/>
      <c r="Q931" s="253"/>
      <c r="R931" s="253"/>
      <c r="S931" s="253"/>
      <c r="T931" s="43"/>
    </row>
    <row r="932" spans="1:20">
      <c r="A932" s="43"/>
      <c r="B932" s="44"/>
      <c r="C932" s="44"/>
      <c r="D932" s="75"/>
      <c r="E932" s="43"/>
      <c r="F932" s="43"/>
      <c r="G932" s="43"/>
      <c r="H932" s="43"/>
      <c r="I932" s="43"/>
      <c r="J932" s="43"/>
      <c r="K932" s="43"/>
      <c r="L932" s="43"/>
      <c r="M932" s="43"/>
      <c r="N932" s="43"/>
      <c r="O932" s="43"/>
      <c r="P932" s="245"/>
      <c r="Q932" s="253"/>
      <c r="R932" s="253"/>
      <c r="S932" s="253"/>
      <c r="T932" s="43"/>
    </row>
    <row r="933" spans="1:20">
      <c r="A933" s="43"/>
      <c r="B933" s="44"/>
      <c r="C933" s="44"/>
      <c r="D933" s="75"/>
      <c r="E933" s="43"/>
      <c r="F933" s="43"/>
      <c r="G933" s="43"/>
      <c r="H933" s="43"/>
      <c r="I933" s="43"/>
      <c r="J933" s="43"/>
      <c r="K933" s="43"/>
      <c r="L933" s="43"/>
      <c r="M933" s="43"/>
      <c r="N933" s="43"/>
      <c r="O933" s="43"/>
      <c r="P933" s="245"/>
      <c r="Q933" s="253"/>
      <c r="R933" s="253"/>
      <c r="S933" s="253"/>
      <c r="T933" s="43"/>
    </row>
    <row r="934" spans="1:20">
      <c r="A934" s="43"/>
      <c r="B934" s="44"/>
      <c r="C934" s="44"/>
      <c r="D934" s="75"/>
      <c r="E934" s="43"/>
      <c r="F934" s="43"/>
      <c r="G934" s="43"/>
      <c r="H934" s="43"/>
      <c r="I934" s="43"/>
      <c r="J934" s="43"/>
      <c r="K934" s="43"/>
      <c r="L934" s="43"/>
      <c r="M934" s="43"/>
      <c r="N934" s="43"/>
      <c r="O934" s="43"/>
      <c r="P934" s="245"/>
      <c r="Q934" s="253"/>
      <c r="R934" s="253"/>
      <c r="S934" s="253"/>
      <c r="T934" s="43"/>
    </row>
    <row r="935" spans="1:20">
      <c r="A935" s="43"/>
      <c r="B935" s="44"/>
      <c r="C935" s="44"/>
      <c r="D935" s="75"/>
      <c r="E935" s="43"/>
      <c r="F935" s="43"/>
      <c r="G935" s="43"/>
      <c r="H935" s="43"/>
      <c r="I935" s="43"/>
      <c r="J935" s="43"/>
      <c r="K935" s="43"/>
      <c r="L935" s="43"/>
      <c r="M935" s="43"/>
      <c r="N935" s="43"/>
      <c r="O935" s="43"/>
      <c r="P935" s="245"/>
      <c r="Q935" s="253"/>
      <c r="R935" s="253"/>
      <c r="S935" s="253"/>
      <c r="T935" s="43"/>
    </row>
    <row r="936" spans="1:20">
      <c r="A936" s="43"/>
      <c r="B936" s="44"/>
      <c r="C936" s="44"/>
      <c r="D936" s="75"/>
      <c r="E936" s="43"/>
      <c r="F936" s="43"/>
      <c r="G936" s="43"/>
      <c r="H936" s="43"/>
      <c r="I936" s="43"/>
      <c r="J936" s="43"/>
      <c r="K936" s="43"/>
      <c r="L936" s="43"/>
      <c r="M936" s="43"/>
      <c r="N936" s="43"/>
      <c r="O936" s="43"/>
      <c r="P936" s="245"/>
      <c r="Q936" s="253"/>
      <c r="R936" s="253"/>
      <c r="S936" s="253"/>
      <c r="T936" s="43"/>
    </row>
    <row r="937" spans="1:20">
      <c r="A937" s="43"/>
      <c r="B937" s="44"/>
      <c r="C937" s="44"/>
      <c r="D937" s="75"/>
      <c r="E937" s="43"/>
      <c r="F937" s="43"/>
      <c r="G937" s="43"/>
      <c r="H937" s="43"/>
      <c r="I937" s="43"/>
      <c r="J937" s="43"/>
      <c r="K937" s="43"/>
      <c r="L937" s="43"/>
      <c r="M937" s="43"/>
      <c r="N937" s="43"/>
      <c r="O937" s="43"/>
      <c r="P937" s="245"/>
      <c r="Q937" s="253"/>
      <c r="R937" s="253"/>
      <c r="S937" s="253"/>
      <c r="T937" s="43"/>
    </row>
    <row r="938" spans="1:20">
      <c r="A938" s="43"/>
      <c r="B938" s="44"/>
      <c r="C938" s="44"/>
      <c r="D938" s="75"/>
      <c r="E938" s="43"/>
      <c r="F938" s="43"/>
      <c r="G938" s="43"/>
      <c r="H938" s="43"/>
      <c r="I938" s="43"/>
      <c r="J938" s="43"/>
      <c r="K938" s="43"/>
      <c r="L938" s="43"/>
      <c r="M938" s="43"/>
      <c r="N938" s="43"/>
      <c r="O938" s="43"/>
      <c r="P938" s="245"/>
      <c r="Q938" s="253"/>
      <c r="R938" s="253"/>
      <c r="S938" s="253"/>
      <c r="T938" s="43"/>
    </row>
    <row r="939" spans="1:20">
      <c r="A939" s="43"/>
      <c r="B939" s="44"/>
      <c r="C939" s="44"/>
      <c r="D939" s="44"/>
      <c r="E939" s="43"/>
      <c r="F939" s="43"/>
      <c r="G939" s="43"/>
      <c r="H939" s="43"/>
      <c r="I939" s="43"/>
      <c r="J939" s="43"/>
      <c r="K939" s="43"/>
      <c r="L939" s="43"/>
      <c r="M939" s="43"/>
      <c r="N939" s="43"/>
      <c r="O939" s="43"/>
      <c r="P939" s="245"/>
      <c r="Q939" s="253"/>
      <c r="R939" s="253"/>
      <c r="S939" s="253"/>
      <c r="T939" s="43"/>
    </row>
    <row r="940" spans="1:20">
      <c r="A940" s="43"/>
      <c r="B940" s="44"/>
      <c r="C940" s="44"/>
      <c r="D940" s="75"/>
      <c r="E940" s="43"/>
      <c r="F940" s="43"/>
      <c r="G940" s="43"/>
      <c r="H940" s="43"/>
      <c r="I940" s="43"/>
      <c r="J940" s="43"/>
      <c r="K940" s="43"/>
      <c r="L940" s="43"/>
      <c r="M940" s="43"/>
      <c r="N940" s="43"/>
      <c r="O940" s="43"/>
      <c r="P940" s="245"/>
      <c r="Q940" s="253"/>
      <c r="R940" s="253"/>
      <c r="S940" s="253"/>
      <c r="T940" s="43"/>
    </row>
    <row r="941" spans="1:20">
      <c r="A941" s="43"/>
      <c r="B941" s="44"/>
      <c r="C941" s="44"/>
      <c r="D941" s="75"/>
      <c r="E941" s="43"/>
      <c r="F941" s="43"/>
      <c r="G941" s="43"/>
      <c r="H941" s="43"/>
      <c r="I941" s="43"/>
      <c r="J941" s="43"/>
      <c r="K941" s="43"/>
      <c r="L941" s="43"/>
      <c r="M941" s="43"/>
      <c r="N941" s="43"/>
      <c r="O941" s="43"/>
      <c r="P941" s="245"/>
      <c r="Q941" s="253"/>
      <c r="R941" s="253"/>
      <c r="S941" s="253"/>
      <c r="T941" s="43"/>
    </row>
    <row r="942" spans="1:20">
      <c r="A942" s="43"/>
      <c r="B942" s="44"/>
      <c r="C942" s="44"/>
      <c r="D942" s="75"/>
      <c r="E942" s="43"/>
      <c r="F942" s="43"/>
      <c r="G942" s="43"/>
      <c r="H942" s="43"/>
      <c r="I942" s="43"/>
      <c r="J942" s="43"/>
      <c r="K942" s="43"/>
      <c r="L942" s="43"/>
      <c r="M942" s="43"/>
      <c r="N942" s="43"/>
      <c r="O942" s="43"/>
      <c r="P942" s="245"/>
      <c r="Q942" s="253"/>
      <c r="R942" s="253"/>
      <c r="S942" s="253"/>
      <c r="T942" s="43"/>
    </row>
    <row r="943" spans="1:20">
      <c r="A943" s="43"/>
      <c r="B943" s="44"/>
      <c r="C943" s="44"/>
      <c r="D943" s="75"/>
      <c r="E943" s="43"/>
      <c r="F943" s="43"/>
      <c r="G943" s="43"/>
      <c r="H943" s="43"/>
      <c r="I943" s="43"/>
      <c r="J943" s="43"/>
      <c r="K943" s="43"/>
      <c r="L943" s="43"/>
      <c r="M943" s="43"/>
      <c r="N943" s="43"/>
      <c r="O943" s="43"/>
      <c r="P943" s="245"/>
      <c r="Q943" s="253"/>
      <c r="R943" s="253"/>
      <c r="S943" s="253"/>
      <c r="T943" s="43"/>
    </row>
    <row r="944" spans="1:20">
      <c r="A944" s="43"/>
      <c r="B944" s="44"/>
      <c r="C944" s="44"/>
      <c r="D944" s="44"/>
      <c r="E944" s="43"/>
      <c r="F944" s="43"/>
      <c r="G944" s="43"/>
      <c r="H944" s="43"/>
      <c r="I944" s="43"/>
      <c r="J944" s="43"/>
      <c r="K944" s="43"/>
      <c r="L944" s="43"/>
      <c r="M944" s="43"/>
      <c r="N944" s="43"/>
      <c r="O944" s="43"/>
      <c r="P944" s="245"/>
      <c r="Q944" s="253"/>
      <c r="R944" s="253"/>
      <c r="S944" s="253"/>
      <c r="T944" s="43"/>
    </row>
    <row r="945" spans="1:20">
      <c r="A945" s="43"/>
      <c r="B945" s="44"/>
      <c r="C945" s="44"/>
      <c r="D945" s="75"/>
      <c r="E945" s="43"/>
      <c r="F945" s="43"/>
      <c r="G945" s="43"/>
      <c r="H945" s="43"/>
      <c r="I945" s="43"/>
      <c r="J945" s="43"/>
      <c r="K945" s="43"/>
      <c r="L945" s="43"/>
      <c r="M945" s="43"/>
      <c r="N945" s="43"/>
      <c r="O945" s="43"/>
      <c r="P945" s="245"/>
      <c r="Q945" s="253"/>
      <c r="R945" s="253"/>
      <c r="S945" s="253"/>
      <c r="T945" s="43"/>
    </row>
    <row r="946" spans="1:20">
      <c r="A946" s="43"/>
      <c r="B946" s="44"/>
      <c r="C946" s="44"/>
      <c r="D946" s="75"/>
      <c r="E946" s="43"/>
      <c r="F946" s="43"/>
      <c r="G946" s="43"/>
      <c r="H946" s="43"/>
      <c r="I946" s="43"/>
      <c r="J946" s="43"/>
      <c r="K946" s="43"/>
      <c r="L946" s="43"/>
      <c r="M946" s="43"/>
      <c r="N946" s="43"/>
      <c r="O946" s="43"/>
      <c r="P946" s="245"/>
      <c r="Q946" s="253"/>
      <c r="R946" s="253"/>
      <c r="S946" s="253"/>
      <c r="T946" s="43"/>
    </row>
    <row r="947" spans="1:20">
      <c r="A947" s="43"/>
      <c r="B947" s="44"/>
      <c r="C947" s="44"/>
      <c r="D947" s="75"/>
      <c r="E947" s="43"/>
      <c r="F947" s="43"/>
      <c r="G947" s="43"/>
      <c r="H947" s="43"/>
      <c r="I947" s="43"/>
      <c r="J947" s="43"/>
      <c r="K947" s="43"/>
      <c r="L947" s="43"/>
      <c r="M947" s="43"/>
      <c r="N947" s="43"/>
      <c r="O947" s="43"/>
      <c r="P947" s="245"/>
      <c r="Q947" s="253"/>
      <c r="R947" s="253"/>
      <c r="S947" s="253"/>
      <c r="T947" s="43"/>
    </row>
    <row r="948" spans="1:20">
      <c r="A948" s="43"/>
      <c r="B948" s="44"/>
      <c r="C948" s="44"/>
      <c r="D948" s="75"/>
      <c r="E948" s="43"/>
      <c r="F948" s="43"/>
      <c r="G948" s="43"/>
      <c r="H948" s="43"/>
      <c r="I948" s="43"/>
      <c r="J948" s="43"/>
      <c r="K948" s="43"/>
      <c r="L948" s="43"/>
      <c r="M948" s="43"/>
      <c r="N948" s="43"/>
      <c r="O948" s="43"/>
      <c r="P948" s="245"/>
      <c r="Q948" s="253"/>
      <c r="R948" s="253"/>
      <c r="S948" s="253"/>
      <c r="T948" s="43"/>
    </row>
    <row r="949" spans="1:20">
      <c r="A949" s="43"/>
      <c r="B949" s="44"/>
      <c r="C949" s="44"/>
      <c r="D949" s="75"/>
      <c r="E949" s="43"/>
      <c r="F949" s="43"/>
      <c r="G949" s="43"/>
      <c r="H949" s="43"/>
      <c r="I949" s="43"/>
      <c r="J949" s="43"/>
      <c r="K949" s="43"/>
      <c r="L949" s="43"/>
      <c r="M949" s="43"/>
      <c r="N949" s="43"/>
      <c r="O949" s="43"/>
      <c r="P949" s="245"/>
      <c r="Q949" s="253"/>
      <c r="R949" s="253"/>
      <c r="S949" s="253"/>
      <c r="T949" s="43"/>
    </row>
    <row r="950" spans="1:20">
      <c r="A950" s="43"/>
      <c r="B950" s="44"/>
      <c r="C950" s="44"/>
      <c r="D950" s="75"/>
      <c r="E950" s="43"/>
      <c r="F950" s="43"/>
      <c r="G950" s="43"/>
      <c r="H950" s="43"/>
      <c r="I950" s="43"/>
      <c r="J950" s="43"/>
      <c r="K950" s="43"/>
      <c r="L950" s="43"/>
      <c r="M950" s="43"/>
      <c r="N950" s="43"/>
      <c r="O950" s="43"/>
      <c r="P950" s="245"/>
      <c r="Q950" s="253"/>
      <c r="R950" s="253"/>
      <c r="S950" s="253"/>
      <c r="T950" s="43"/>
    </row>
    <row r="951" spans="1:20">
      <c r="A951" s="43"/>
      <c r="B951" s="69"/>
      <c r="C951" s="69"/>
      <c r="D951" s="75"/>
      <c r="E951" s="44"/>
      <c r="F951" s="44"/>
      <c r="G951" s="43"/>
      <c r="H951" s="43"/>
      <c r="I951" s="43"/>
      <c r="J951" s="43"/>
      <c r="K951" s="43"/>
      <c r="L951" s="43"/>
      <c r="M951" s="43"/>
      <c r="N951" s="43"/>
      <c r="O951" s="43"/>
      <c r="P951" s="245"/>
      <c r="Q951" s="253"/>
      <c r="R951" s="253"/>
      <c r="S951" s="253"/>
      <c r="T951" s="43"/>
    </row>
    <row r="952" spans="1:20">
      <c r="A952" s="43"/>
      <c r="B952" s="69"/>
      <c r="C952" s="69"/>
      <c r="D952" s="75"/>
      <c r="E952" s="44"/>
      <c r="F952" s="44"/>
      <c r="G952" s="43"/>
      <c r="H952" s="43"/>
      <c r="I952" s="43"/>
      <c r="J952" s="43"/>
      <c r="K952" s="43"/>
      <c r="L952" s="43"/>
      <c r="M952" s="43"/>
      <c r="N952" s="43"/>
      <c r="O952" s="43"/>
      <c r="P952" s="245"/>
      <c r="Q952" s="253"/>
      <c r="R952" s="253"/>
      <c r="S952" s="253"/>
      <c r="T952" s="43"/>
    </row>
    <row r="953" spans="1:20">
      <c r="A953" s="43"/>
      <c r="B953" s="44"/>
      <c r="C953" s="44"/>
      <c r="D953" s="75"/>
      <c r="E953" s="43"/>
      <c r="F953" s="43"/>
      <c r="G953" s="43"/>
      <c r="H953" s="43"/>
      <c r="I953" s="43"/>
      <c r="J953" s="43"/>
      <c r="K953" s="43"/>
      <c r="L953" s="43"/>
      <c r="M953" s="43"/>
      <c r="N953" s="43"/>
      <c r="O953" s="43"/>
      <c r="P953" s="245"/>
      <c r="Q953" s="253"/>
      <c r="R953" s="253"/>
      <c r="S953" s="253"/>
      <c r="T953" s="43"/>
    </row>
    <row r="954" spans="1:20">
      <c r="A954" s="43"/>
      <c r="B954" s="44"/>
      <c r="C954" s="44"/>
      <c r="D954" s="75"/>
      <c r="E954" s="43"/>
      <c r="F954" s="43"/>
      <c r="G954" s="43"/>
      <c r="H954" s="43"/>
      <c r="I954" s="43"/>
      <c r="J954" s="43"/>
      <c r="K954" s="43"/>
      <c r="L954" s="43"/>
      <c r="M954" s="43"/>
      <c r="N954" s="43"/>
      <c r="O954" s="43"/>
      <c r="P954" s="245"/>
      <c r="Q954" s="253"/>
      <c r="R954" s="253"/>
      <c r="S954" s="253"/>
      <c r="T954" s="43"/>
    </row>
    <row r="955" spans="1:20">
      <c r="A955" s="43"/>
      <c r="B955" s="44"/>
      <c r="C955" s="44"/>
      <c r="D955" s="249"/>
      <c r="E955" s="44"/>
      <c r="F955" s="44"/>
      <c r="G955" s="43"/>
      <c r="H955" s="43"/>
      <c r="I955" s="43"/>
      <c r="J955" s="43"/>
      <c r="K955" s="43"/>
      <c r="L955" s="43"/>
      <c r="M955" s="43"/>
      <c r="N955" s="43"/>
      <c r="O955" s="43"/>
      <c r="P955" s="245"/>
      <c r="Q955" s="253"/>
      <c r="R955" s="253"/>
      <c r="S955" s="253"/>
      <c r="T955" s="43"/>
    </row>
    <row r="956" spans="1:20">
      <c r="A956" s="43"/>
      <c r="B956" s="44"/>
      <c r="C956" s="44"/>
      <c r="D956" s="249"/>
      <c r="E956" s="44"/>
      <c r="F956" s="44"/>
      <c r="G956" s="43"/>
      <c r="H956" s="43"/>
      <c r="I956" s="43"/>
      <c r="J956" s="43"/>
      <c r="K956" s="43"/>
      <c r="L956" s="43"/>
      <c r="M956" s="43"/>
      <c r="N956" s="43"/>
      <c r="O956" s="43"/>
      <c r="P956" s="245"/>
      <c r="Q956" s="253"/>
      <c r="R956" s="253"/>
      <c r="S956" s="253"/>
      <c r="T956" s="43"/>
    </row>
    <row r="957" spans="1:20">
      <c r="A957" s="43"/>
      <c r="B957" s="44"/>
      <c r="C957" s="44"/>
      <c r="D957" s="249"/>
      <c r="E957" s="44"/>
      <c r="F957" s="44"/>
      <c r="G957" s="43"/>
      <c r="H957" s="43"/>
      <c r="I957" s="43"/>
      <c r="J957" s="43"/>
      <c r="K957" s="43"/>
      <c r="L957" s="43"/>
      <c r="M957" s="43"/>
      <c r="N957" s="43"/>
      <c r="O957" s="43"/>
      <c r="P957" s="245"/>
      <c r="Q957" s="253"/>
      <c r="R957" s="253"/>
      <c r="S957" s="253"/>
      <c r="T957" s="43"/>
    </row>
    <row r="958" spans="1:20">
      <c r="A958" s="43"/>
      <c r="B958" s="44"/>
      <c r="C958" s="44"/>
      <c r="D958" s="249"/>
      <c r="E958" s="44"/>
      <c r="F958" s="44"/>
      <c r="G958" s="43"/>
      <c r="H958" s="43"/>
      <c r="I958" s="43"/>
      <c r="J958" s="43"/>
      <c r="K958" s="43"/>
      <c r="L958" s="43"/>
      <c r="M958" s="43"/>
      <c r="N958" s="43"/>
      <c r="O958" s="43"/>
      <c r="P958" s="245"/>
      <c r="Q958" s="253"/>
      <c r="R958" s="253"/>
      <c r="S958" s="253"/>
      <c r="T958" s="43"/>
    </row>
    <row r="959" spans="1:20">
      <c r="A959" s="43"/>
      <c r="B959" s="44"/>
      <c r="C959" s="44"/>
      <c r="D959" s="249"/>
      <c r="E959" s="44"/>
      <c r="F959" s="44"/>
      <c r="G959" s="43"/>
      <c r="H959" s="43"/>
      <c r="I959" s="43"/>
      <c r="J959" s="43"/>
      <c r="K959" s="43"/>
      <c r="L959" s="43"/>
      <c r="M959" s="43"/>
      <c r="N959" s="43"/>
      <c r="O959" s="43"/>
      <c r="P959" s="245"/>
      <c r="Q959" s="253"/>
      <c r="R959" s="253"/>
      <c r="S959" s="253"/>
      <c r="T959" s="43"/>
    </row>
    <row r="960" spans="1:20">
      <c r="A960" s="43"/>
      <c r="B960" s="44"/>
      <c r="C960" s="44"/>
      <c r="D960" s="75"/>
      <c r="E960" s="43"/>
      <c r="F960" s="69"/>
      <c r="G960" s="43"/>
      <c r="H960" s="43"/>
      <c r="I960" s="43"/>
      <c r="J960" s="43"/>
      <c r="K960" s="43"/>
      <c r="L960" s="43"/>
      <c r="M960" s="43"/>
      <c r="N960" s="43"/>
      <c r="O960" s="43"/>
      <c r="P960" s="245"/>
      <c r="Q960" s="253"/>
      <c r="R960" s="253"/>
      <c r="S960" s="253"/>
      <c r="T960" s="43"/>
    </row>
    <row r="961" spans="1:20">
      <c r="A961" s="43"/>
      <c r="B961" s="44"/>
      <c r="C961" s="44"/>
      <c r="D961" s="75"/>
      <c r="E961" s="43"/>
      <c r="F961" s="69"/>
      <c r="G961" s="43"/>
      <c r="H961" s="43"/>
      <c r="I961" s="43"/>
      <c r="J961" s="43"/>
      <c r="K961" s="43"/>
      <c r="L961" s="43"/>
      <c r="M961" s="43"/>
      <c r="N961" s="43"/>
      <c r="O961" s="43"/>
      <c r="P961" s="245"/>
      <c r="Q961" s="253"/>
      <c r="R961" s="253"/>
      <c r="S961" s="253"/>
      <c r="T961" s="43"/>
    </row>
    <row r="962" spans="1:20">
      <c r="A962" s="43"/>
      <c r="B962" s="44"/>
      <c r="C962" s="44"/>
      <c r="D962" s="75"/>
      <c r="E962" s="43"/>
      <c r="F962" s="69"/>
      <c r="G962" s="43"/>
      <c r="H962" s="43"/>
      <c r="I962" s="43"/>
      <c r="J962" s="43"/>
      <c r="K962" s="43"/>
      <c r="L962" s="43"/>
      <c r="M962" s="43"/>
      <c r="N962" s="43"/>
      <c r="O962" s="43"/>
      <c r="P962" s="245"/>
      <c r="Q962" s="253"/>
      <c r="R962" s="253"/>
      <c r="S962" s="253"/>
      <c r="T962" s="43"/>
    </row>
    <row r="963" spans="1:20">
      <c r="A963" s="43"/>
      <c r="B963" s="44"/>
      <c r="C963" s="44"/>
      <c r="D963" s="75"/>
      <c r="E963" s="43"/>
      <c r="F963" s="69"/>
      <c r="G963" s="43"/>
      <c r="H963" s="43"/>
      <c r="I963" s="43"/>
      <c r="J963" s="43"/>
      <c r="K963" s="43"/>
      <c r="L963" s="43"/>
      <c r="M963" s="43"/>
      <c r="N963" s="43"/>
      <c r="O963" s="43"/>
      <c r="P963" s="245"/>
      <c r="Q963" s="253"/>
      <c r="R963" s="253"/>
      <c r="S963" s="253"/>
      <c r="T963" s="43"/>
    </row>
    <row r="964" spans="1:20">
      <c r="A964" s="43"/>
      <c r="B964" s="44"/>
      <c r="C964" s="44"/>
      <c r="D964" s="75"/>
      <c r="E964" s="43"/>
      <c r="F964" s="69"/>
      <c r="G964" s="43"/>
      <c r="H964" s="43"/>
      <c r="I964" s="43"/>
      <c r="J964" s="43"/>
      <c r="K964" s="43"/>
      <c r="L964" s="43"/>
      <c r="M964" s="43"/>
      <c r="N964" s="43"/>
      <c r="O964" s="43"/>
      <c r="P964" s="245"/>
      <c r="Q964" s="253"/>
      <c r="R964" s="253"/>
      <c r="S964" s="253"/>
      <c r="T964" s="43"/>
    </row>
    <row r="965" spans="1:20">
      <c r="A965" s="43"/>
      <c r="B965" s="44"/>
      <c r="C965" s="44"/>
      <c r="D965" s="249"/>
      <c r="E965" s="44"/>
      <c r="F965" s="44"/>
      <c r="G965" s="43"/>
      <c r="H965" s="43"/>
      <c r="I965" s="43"/>
      <c r="J965" s="43"/>
      <c r="K965" s="43"/>
      <c r="L965" s="43"/>
      <c r="M965" s="43"/>
      <c r="N965" s="43"/>
      <c r="O965" s="43"/>
      <c r="P965" s="245"/>
      <c r="Q965" s="253"/>
      <c r="R965" s="253"/>
      <c r="S965" s="253"/>
      <c r="T965" s="43"/>
    </row>
    <row r="966" spans="1:20">
      <c r="A966" s="43"/>
      <c r="B966" s="44"/>
      <c r="C966" s="44"/>
      <c r="D966" s="44"/>
      <c r="E966" s="44"/>
      <c r="F966" s="44"/>
      <c r="G966" s="43"/>
      <c r="H966" s="43"/>
      <c r="I966" s="43"/>
      <c r="J966" s="43"/>
      <c r="K966" s="43"/>
      <c r="L966" s="43"/>
      <c r="M966" s="43"/>
      <c r="N966" s="43"/>
      <c r="O966" s="43"/>
      <c r="P966" s="245"/>
      <c r="Q966" s="253"/>
      <c r="R966" s="253"/>
      <c r="S966" s="253"/>
      <c r="T966" s="43"/>
    </row>
  </sheetData>
  <autoFilter ref="A1:T90"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180"/>
  <sheetViews>
    <sheetView workbookViewId="0"/>
  </sheetViews>
  <sheetFormatPr defaultColWidth="14.44140625" defaultRowHeight="15" customHeight="1"/>
  <sheetData>
    <row r="1" spans="1:6">
      <c r="A1" s="13" t="s">
        <v>160</v>
      </c>
      <c r="B1" s="14" t="s">
        <v>1</v>
      </c>
      <c r="C1" s="14" t="s">
        <v>4</v>
      </c>
      <c r="D1" s="46" t="s">
        <v>161</v>
      </c>
      <c r="E1" s="46" t="s">
        <v>162</v>
      </c>
      <c r="F1" s="46" t="s">
        <v>163</v>
      </c>
    </row>
    <row r="2" spans="1:6">
      <c r="A2" s="26"/>
      <c r="B2" s="27" t="s">
        <v>22</v>
      </c>
      <c r="C2" s="28" t="s">
        <v>24</v>
      </c>
      <c r="D2" s="29" t="s">
        <v>25</v>
      </c>
      <c r="E2" s="29" t="s">
        <v>204</v>
      </c>
      <c r="F2" s="29"/>
    </row>
    <row r="3" spans="1:6">
      <c r="A3" s="26"/>
      <c r="B3" s="27" t="s">
        <v>29</v>
      </c>
      <c r="C3" s="28" t="s">
        <v>30</v>
      </c>
      <c r="D3" s="29" t="s">
        <v>31</v>
      </c>
      <c r="E3" s="29" t="s">
        <v>204</v>
      </c>
      <c r="F3" s="29"/>
    </row>
    <row r="4" spans="1:6">
      <c r="A4" s="26"/>
      <c r="B4" s="27" t="s">
        <v>35</v>
      </c>
      <c r="C4" s="28" t="s">
        <v>36</v>
      </c>
      <c r="D4" s="29" t="s">
        <v>37</v>
      </c>
      <c r="E4" s="29" t="s">
        <v>204</v>
      </c>
      <c r="F4" s="29"/>
    </row>
    <row r="5" spans="1:6">
      <c r="A5" s="26"/>
      <c r="B5" s="27" t="s">
        <v>40</v>
      </c>
      <c r="C5" s="28" t="s">
        <v>41</v>
      </c>
      <c r="D5" s="29" t="s">
        <v>42</v>
      </c>
      <c r="E5" s="29" t="s">
        <v>204</v>
      </c>
      <c r="F5" s="29"/>
    </row>
    <row r="6" spans="1:6">
      <c r="A6" s="26"/>
      <c r="B6" s="27" t="s">
        <v>45</v>
      </c>
      <c r="C6" s="28" t="s">
        <v>46</v>
      </c>
      <c r="D6" s="29" t="s">
        <v>47</v>
      </c>
      <c r="E6" s="29" t="s">
        <v>204</v>
      </c>
      <c r="F6" s="29"/>
    </row>
    <row r="7" spans="1:6">
      <c r="A7" s="26"/>
      <c r="B7" s="27" t="s">
        <v>51</v>
      </c>
      <c r="C7" s="28" t="s">
        <v>52</v>
      </c>
      <c r="D7" s="29" t="s">
        <v>53</v>
      </c>
      <c r="E7" s="29" t="s">
        <v>204</v>
      </c>
      <c r="F7" s="29"/>
    </row>
    <row r="8" spans="1:6">
      <c r="A8" s="26"/>
      <c r="B8" s="27" t="s">
        <v>57</v>
      </c>
      <c r="C8" s="28" t="s">
        <v>58</v>
      </c>
      <c r="D8" s="29" t="s">
        <v>59</v>
      </c>
      <c r="E8" s="29" t="s">
        <v>204</v>
      </c>
      <c r="F8" s="29"/>
    </row>
    <row r="9" spans="1:6">
      <c r="A9" s="26"/>
      <c r="B9" s="27" t="s">
        <v>62</v>
      </c>
      <c r="C9" s="28" t="s">
        <v>63</v>
      </c>
      <c r="D9" s="29" t="s">
        <v>213</v>
      </c>
      <c r="E9" s="29" t="s">
        <v>204</v>
      </c>
      <c r="F9" s="29"/>
    </row>
    <row r="10" spans="1:6">
      <c r="A10" s="44"/>
      <c r="B10" s="45" t="s">
        <v>67</v>
      </c>
      <c r="C10" s="46" t="s">
        <v>68</v>
      </c>
      <c r="D10" s="47" t="s">
        <v>69</v>
      </c>
      <c r="E10" s="47" t="s">
        <v>204</v>
      </c>
      <c r="F10" s="47"/>
    </row>
    <row r="11" spans="1:6">
      <c r="A11" s="44"/>
      <c r="B11" s="45" t="s">
        <v>72</v>
      </c>
      <c r="C11" s="46" t="s">
        <v>73</v>
      </c>
      <c r="D11" s="47" t="s">
        <v>74</v>
      </c>
      <c r="E11" s="47" t="s">
        <v>204</v>
      </c>
      <c r="F11" s="47"/>
    </row>
    <row r="12" spans="1:6">
      <c r="A12" s="26"/>
      <c r="B12" s="27" t="s">
        <v>77</v>
      </c>
      <c r="C12" s="28" t="s">
        <v>78</v>
      </c>
      <c r="D12" s="29" t="s">
        <v>79</v>
      </c>
      <c r="E12" s="29" t="s">
        <v>204</v>
      </c>
      <c r="F12" s="29"/>
    </row>
    <row r="13" spans="1:6">
      <c r="A13" s="26"/>
      <c r="B13" s="27" t="s">
        <v>82</v>
      </c>
      <c r="C13" s="28" t="s">
        <v>83</v>
      </c>
      <c r="D13" s="29" t="s">
        <v>84</v>
      </c>
      <c r="E13" s="29" t="s">
        <v>204</v>
      </c>
      <c r="F13" s="29"/>
    </row>
    <row r="14" spans="1:6">
      <c r="A14" s="26"/>
      <c r="B14" s="27" t="s">
        <v>87</v>
      </c>
      <c r="C14" s="28" t="s">
        <v>88</v>
      </c>
      <c r="D14" s="27" t="s">
        <v>89</v>
      </c>
      <c r="E14" s="29" t="s">
        <v>204</v>
      </c>
      <c r="F14" s="27"/>
    </row>
    <row r="15" spans="1:6">
      <c r="A15" s="26"/>
      <c r="B15" s="27" t="s">
        <v>99</v>
      </c>
      <c r="C15" s="28" t="s">
        <v>100</v>
      </c>
      <c r="D15" s="27" t="s">
        <v>101</v>
      </c>
      <c r="E15" s="29" t="s">
        <v>204</v>
      </c>
      <c r="F15" s="27"/>
    </row>
    <row r="16" spans="1:6">
      <c r="A16" s="26"/>
      <c r="B16" s="27" t="s">
        <v>110</v>
      </c>
      <c r="C16" s="28" t="s">
        <v>111</v>
      </c>
      <c r="D16" s="27" t="s">
        <v>112</v>
      </c>
      <c r="E16" s="29" t="s">
        <v>204</v>
      </c>
      <c r="F16" s="27"/>
    </row>
    <row r="17" spans="1:6">
      <c r="A17" s="26"/>
      <c r="B17" s="27" t="s">
        <v>121</v>
      </c>
      <c r="C17" s="28" t="s">
        <v>122</v>
      </c>
      <c r="D17" s="27" t="s">
        <v>123</v>
      </c>
      <c r="E17" s="29" t="s">
        <v>204</v>
      </c>
      <c r="F17" s="27"/>
    </row>
    <row r="18" spans="1:6">
      <c r="A18" s="26"/>
      <c r="B18" s="27" t="s">
        <v>126</v>
      </c>
      <c r="C18" s="28" t="s">
        <v>127</v>
      </c>
      <c r="D18" s="27" t="s">
        <v>128</v>
      </c>
      <c r="E18" s="29" t="s">
        <v>204</v>
      </c>
      <c r="F18" s="27"/>
    </row>
    <row r="19" spans="1:6">
      <c r="A19" s="26"/>
      <c r="B19" s="27" t="s">
        <v>131</v>
      </c>
      <c r="C19" s="28" t="s">
        <v>132</v>
      </c>
      <c r="D19" s="27" t="s">
        <v>133</v>
      </c>
      <c r="E19" s="29" t="s">
        <v>204</v>
      </c>
      <c r="F19" s="27"/>
    </row>
    <row r="20" spans="1:6">
      <c r="A20" s="26"/>
      <c r="B20" s="27" t="s">
        <v>136</v>
      </c>
      <c r="C20" s="28" t="s">
        <v>137</v>
      </c>
      <c r="D20" s="27" t="s">
        <v>138</v>
      </c>
      <c r="E20" s="29" t="s">
        <v>204</v>
      </c>
      <c r="F20" s="27"/>
    </row>
    <row r="21" spans="1:6">
      <c r="A21" s="26"/>
      <c r="B21" s="27" t="s">
        <v>141</v>
      </c>
      <c r="C21" s="28" t="s">
        <v>142</v>
      </c>
      <c r="D21" s="27" t="s">
        <v>143</v>
      </c>
      <c r="E21" s="29" t="s">
        <v>204</v>
      </c>
      <c r="F21" s="27"/>
    </row>
    <row r="22" spans="1:6">
      <c r="A22" s="26"/>
      <c r="B22" s="27" t="s">
        <v>146</v>
      </c>
      <c r="C22" s="28" t="s">
        <v>147</v>
      </c>
      <c r="D22" s="27" t="s">
        <v>148</v>
      </c>
      <c r="E22" s="29" t="s">
        <v>204</v>
      </c>
      <c r="F22" s="27"/>
    </row>
    <row r="23" spans="1:6">
      <c r="A23" s="26"/>
      <c r="B23" s="27" t="s">
        <v>151</v>
      </c>
      <c r="C23" s="28" t="s">
        <v>152</v>
      </c>
      <c r="D23" s="27" t="s">
        <v>153</v>
      </c>
      <c r="E23" s="29" t="s">
        <v>204</v>
      </c>
      <c r="F23" s="27"/>
    </row>
    <row r="24" spans="1:6">
      <c r="A24" s="26"/>
      <c r="B24" s="27" t="s">
        <v>156</v>
      </c>
      <c r="C24" s="28" t="e">
        <v>#N/A</v>
      </c>
      <c r="D24" s="27" t="s">
        <v>157</v>
      </c>
      <c r="E24" s="29" t="s">
        <v>204</v>
      </c>
      <c r="F24" s="27"/>
    </row>
    <row r="25" spans="1:6">
      <c r="A25" s="44"/>
      <c r="B25" s="45" t="s">
        <v>231</v>
      </c>
      <c r="C25" s="46" t="s">
        <v>232</v>
      </c>
      <c r="D25" s="45" t="s">
        <v>233</v>
      </c>
      <c r="E25" s="47" t="s">
        <v>234</v>
      </c>
      <c r="F25" s="61" t="s">
        <v>235</v>
      </c>
    </row>
    <row r="26" spans="1:6">
      <c r="A26" s="44"/>
      <c r="B26" s="45" t="s">
        <v>240</v>
      </c>
      <c r="C26" s="46" t="s">
        <v>241</v>
      </c>
      <c r="D26" s="45" t="s">
        <v>242</v>
      </c>
      <c r="E26" s="47" t="s">
        <v>234</v>
      </c>
      <c r="F26" s="61" t="s">
        <v>235</v>
      </c>
    </row>
    <row r="27" spans="1:6">
      <c r="A27" s="44"/>
      <c r="B27" s="45" t="s">
        <v>246</v>
      </c>
      <c r="C27" s="46" t="s">
        <v>247</v>
      </c>
      <c r="D27" s="45" t="s">
        <v>248</v>
      </c>
      <c r="E27" s="47" t="s">
        <v>234</v>
      </c>
      <c r="F27" s="61" t="s">
        <v>249</v>
      </c>
    </row>
    <row r="28" spans="1:6">
      <c r="A28" s="44"/>
      <c r="B28" s="45" t="s">
        <v>253</v>
      </c>
      <c r="C28" s="46" t="s">
        <v>254</v>
      </c>
      <c r="D28" s="45" t="s">
        <v>255</v>
      </c>
      <c r="E28" s="47" t="s">
        <v>256</v>
      </c>
      <c r="F28" s="61" t="s">
        <v>257</v>
      </c>
    </row>
    <row r="29" spans="1:6">
      <c r="A29" s="44"/>
      <c r="B29" s="45" t="s">
        <v>262</v>
      </c>
      <c r="C29" s="46" t="s">
        <v>263</v>
      </c>
      <c r="D29" s="45" t="s">
        <v>264</v>
      </c>
      <c r="E29" s="47" t="s">
        <v>256</v>
      </c>
      <c r="F29" s="61" t="s">
        <v>257</v>
      </c>
    </row>
    <row r="30" spans="1:6">
      <c r="A30" s="44"/>
      <c r="B30" s="45" t="s">
        <v>267</v>
      </c>
      <c r="C30" s="46" t="s">
        <v>268</v>
      </c>
      <c r="D30" s="45" t="s">
        <v>269</v>
      </c>
      <c r="E30" s="47" t="s">
        <v>256</v>
      </c>
      <c r="F30" s="61" t="s">
        <v>257</v>
      </c>
    </row>
    <row r="31" spans="1:6">
      <c r="A31" s="26"/>
      <c r="B31" s="27" t="s">
        <v>272</v>
      </c>
      <c r="C31" s="28" t="s">
        <v>273</v>
      </c>
      <c r="D31" s="27" t="s">
        <v>274</v>
      </c>
      <c r="E31" s="29" t="s">
        <v>256</v>
      </c>
      <c r="F31" s="342" t="s">
        <v>257</v>
      </c>
    </row>
    <row r="32" spans="1:6">
      <c r="A32" s="44"/>
      <c r="B32" s="45" t="s">
        <v>276</v>
      </c>
      <c r="C32" s="46" t="s">
        <v>277</v>
      </c>
      <c r="D32" s="45" t="s">
        <v>278</v>
      </c>
      <c r="E32" s="47" t="s">
        <v>256</v>
      </c>
      <c r="F32" s="61" t="s">
        <v>257</v>
      </c>
    </row>
    <row r="33" spans="1:6">
      <c r="A33" s="26"/>
      <c r="B33" s="27" t="s">
        <v>280</v>
      </c>
      <c r="C33" s="28" t="s">
        <v>281</v>
      </c>
      <c r="D33" s="27" t="s">
        <v>282</v>
      </c>
      <c r="E33" s="29" t="s">
        <v>256</v>
      </c>
      <c r="F33" s="342" t="s">
        <v>257</v>
      </c>
    </row>
    <row r="34" spans="1:6">
      <c r="A34" s="26"/>
      <c r="B34" s="27" t="s">
        <v>285</v>
      </c>
      <c r="C34" s="28" t="s">
        <v>286</v>
      </c>
      <c r="D34" s="27" t="s">
        <v>287</v>
      </c>
      <c r="E34" s="29" t="s">
        <v>256</v>
      </c>
      <c r="F34" s="342" t="s">
        <v>257</v>
      </c>
    </row>
    <row r="35" spans="1:6">
      <c r="A35" s="26"/>
      <c r="B35" s="27" t="s">
        <v>289</v>
      </c>
      <c r="C35" s="28" t="s">
        <v>290</v>
      </c>
      <c r="D35" s="27" t="s">
        <v>291</v>
      </c>
      <c r="E35" s="29" t="s">
        <v>256</v>
      </c>
      <c r="F35" s="342" t="s">
        <v>257</v>
      </c>
    </row>
    <row r="36" spans="1:6">
      <c r="A36" s="26"/>
      <c r="B36" s="27" t="s">
        <v>293</v>
      </c>
      <c r="C36" s="28" t="s">
        <v>294</v>
      </c>
      <c r="D36" s="27" t="s">
        <v>295</v>
      </c>
      <c r="E36" s="29" t="s">
        <v>256</v>
      </c>
      <c r="F36" s="342" t="s">
        <v>257</v>
      </c>
    </row>
    <row r="37" spans="1:6">
      <c r="A37" s="44"/>
      <c r="B37" s="45" t="s">
        <v>297</v>
      </c>
      <c r="C37" s="46" t="s">
        <v>298</v>
      </c>
      <c r="D37" s="45" t="s">
        <v>299</v>
      </c>
      <c r="E37" s="47" t="s">
        <v>256</v>
      </c>
      <c r="F37" s="61" t="s">
        <v>257</v>
      </c>
    </row>
    <row r="38" spans="1:6">
      <c r="A38" s="343"/>
      <c r="B38" s="29" t="s">
        <v>301</v>
      </c>
      <c r="C38" s="344" t="s">
        <v>302</v>
      </c>
      <c r="D38" s="344" t="s">
        <v>303</v>
      </c>
      <c r="E38" s="29" t="s">
        <v>304</v>
      </c>
      <c r="F38" s="342" t="s">
        <v>304</v>
      </c>
    </row>
    <row r="39" spans="1:6">
      <c r="A39" s="343"/>
      <c r="B39" s="344" t="s">
        <v>307</v>
      </c>
      <c r="C39" s="28" t="s">
        <v>308</v>
      </c>
      <c r="D39" s="344" t="s">
        <v>309</v>
      </c>
      <c r="E39" s="29" t="s">
        <v>304</v>
      </c>
      <c r="F39" s="342" t="s">
        <v>304</v>
      </c>
    </row>
    <row r="40" spans="1:6">
      <c r="A40" s="43"/>
      <c r="B40" s="71" t="s">
        <v>311</v>
      </c>
      <c r="C40" s="75" t="s">
        <v>312</v>
      </c>
      <c r="D40" s="71" t="s">
        <v>313</v>
      </c>
      <c r="E40" s="47" t="s">
        <v>314</v>
      </c>
      <c r="F40" s="61" t="s">
        <v>315</v>
      </c>
    </row>
    <row r="41" spans="1:6">
      <c r="A41" s="78"/>
      <c r="B41" s="79" t="s">
        <v>320</v>
      </c>
      <c r="C41" s="80"/>
      <c r="D41" s="79" t="s">
        <v>321</v>
      </c>
      <c r="E41" s="79" t="s">
        <v>235</v>
      </c>
      <c r="F41" s="79"/>
    </row>
    <row r="42" spans="1:6">
      <c r="A42" s="43"/>
      <c r="B42" s="71" t="s">
        <v>324</v>
      </c>
      <c r="C42" s="96" t="s">
        <v>325</v>
      </c>
      <c r="D42" s="71" t="s">
        <v>326</v>
      </c>
      <c r="E42" s="47" t="s">
        <v>234</v>
      </c>
      <c r="F42" s="61" t="s">
        <v>235</v>
      </c>
    </row>
    <row r="43" spans="1:6">
      <c r="A43" s="343"/>
      <c r="B43" s="344" t="s">
        <v>329</v>
      </c>
      <c r="C43" s="345" t="s">
        <v>330</v>
      </c>
      <c r="D43" s="346" t="s">
        <v>331</v>
      </c>
      <c r="E43" s="29" t="s">
        <v>314</v>
      </c>
      <c r="F43" s="342" t="s">
        <v>315</v>
      </c>
    </row>
    <row r="44" spans="1:6">
      <c r="A44" s="343"/>
      <c r="B44" s="344" t="s">
        <v>335</v>
      </c>
      <c r="C44" s="345" t="s">
        <v>336</v>
      </c>
      <c r="D44" s="346" t="s">
        <v>337</v>
      </c>
      <c r="E44" s="29" t="s">
        <v>314</v>
      </c>
      <c r="F44" s="342" t="s">
        <v>315</v>
      </c>
    </row>
    <row r="45" spans="1:6">
      <c r="A45" s="69"/>
      <c r="B45" s="70" t="s">
        <v>340</v>
      </c>
      <c r="C45" s="96" t="s">
        <v>341</v>
      </c>
      <c r="D45" s="71" t="s">
        <v>342</v>
      </c>
      <c r="E45" s="47" t="s">
        <v>314</v>
      </c>
      <c r="F45" s="61" t="s">
        <v>315</v>
      </c>
    </row>
    <row r="46" spans="1:6">
      <c r="A46" s="26"/>
      <c r="B46" s="27" t="s">
        <v>344</v>
      </c>
      <c r="C46" s="345" t="s">
        <v>345</v>
      </c>
      <c r="D46" s="27" t="s">
        <v>346</v>
      </c>
      <c r="E46" s="29" t="s">
        <v>314</v>
      </c>
      <c r="F46" s="342" t="s">
        <v>315</v>
      </c>
    </row>
    <row r="47" spans="1:6">
      <c r="A47" s="44"/>
      <c r="B47" s="73" t="s">
        <v>348</v>
      </c>
      <c r="C47" s="96" t="s">
        <v>349</v>
      </c>
      <c r="D47" s="45" t="s">
        <v>350</v>
      </c>
      <c r="E47" s="47" t="s">
        <v>314</v>
      </c>
      <c r="F47" s="61" t="s">
        <v>315</v>
      </c>
    </row>
    <row r="48" spans="1:6">
      <c r="A48" s="44"/>
      <c r="B48" s="73" t="s">
        <v>352</v>
      </c>
      <c r="C48" s="96" t="s">
        <v>353</v>
      </c>
      <c r="D48" s="45" t="s">
        <v>354</v>
      </c>
      <c r="E48" s="47" t="s">
        <v>314</v>
      </c>
      <c r="F48" s="61" t="s">
        <v>315</v>
      </c>
    </row>
    <row r="49" spans="1:6">
      <c r="A49" s="44"/>
      <c r="B49" s="73" t="s">
        <v>356</v>
      </c>
      <c r="C49" s="96" t="s">
        <v>357</v>
      </c>
      <c r="D49" s="45" t="s">
        <v>358</v>
      </c>
      <c r="E49" s="47" t="s">
        <v>314</v>
      </c>
      <c r="F49" s="61" t="s">
        <v>315</v>
      </c>
    </row>
    <row r="50" spans="1:6">
      <c r="A50" s="44"/>
      <c r="B50" s="73" t="s">
        <v>360</v>
      </c>
      <c r="C50" s="96" t="s">
        <v>361</v>
      </c>
      <c r="D50" s="45" t="s">
        <v>362</v>
      </c>
      <c r="E50" s="47" t="s">
        <v>314</v>
      </c>
      <c r="F50" s="61" t="s">
        <v>315</v>
      </c>
    </row>
    <row r="51" spans="1:6">
      <c r="A51" s="44"/>
      <c r="B51" s="73" t="s">
        <v>364</v>
      </c>
      <c r="C51" s="96" t="s">
        <v>365</v>
      </c>
      <c r="D51" s="45" t="s">
        <v>366</v>
      </c>
      <c r="E51" s="47" t="s">
        <v>314</v>
      </c>
      <c r="F51" s="61" t="s">
        <v>315</v>
      </c>
    </row>
    <row r="52" spans="1:6">
      <c r="A52" s="44"/>
      <c r="B52" s="73" t="s">
        <v>368</v>
      </c>
      <c r="C52" s="96" t="s">
        <v>369</v>
      </c>
      <c r="D52" s="45" t="s">
        <v>370</v>
      </c>
      <c r="E52" s="47" t="s">
        <v>314</v>
      </c>
      <c r="F52" s="61" t="s">
        <v>315</v>
      </c>
    </row>
    <row r="53" spans="1:6">
      <c r="A53" s="44"/>
      <c r="B53" s="73" t="s">
        <v>372</v>
      </c>
      <c r="C53" s="96" t="s">
        <v>373</v>
      </c>
      <c r="D53" s="45" t="s">
        <v>374</v>
      </c>
      <c r="E53" s="47" t="s">
        <v>314</v>
      </c>
      <c r="F53" s="61" t="s">
        <v>315</v>
      </c>
    </row>
    <row r="54" spans="1:6">
      <c r="A54" s="44"/>
      <c r="B54" s="73" t="s">
        <v>376</v>
      </c>
      <c r="C54" s="96" t="s">
        <v>377</v>
      </c>
      <c r="D54" s="45" t="s">
        <v>378</v>
      </c>
      <c r="E54" s="47" t="s">
        <v>314</v>
      </c>
      <c r="F54" s="61" t="s">
        <v>315</v>
      </c>
    </row>
    <row r="55" spans="1:6">
      <c r="A55" s="44"/>
      <c r="B55" s="73" t="s">
        <v>380</v>
      </c>
      <c r="C55" s="96" t="s">
        <v>381</v>
      </c>
      <c r="D55" s="45" t="s">
        <v>382</v>
      </c>
      <c r="E55" s="47" t="s">
        <v>314</v>
      </c>
      <c r="F55" s="61" t="s">
        <v>315</v>
      </c>
    </row>
    <row r="56" spans="1:6">
      <c r="A56" s="44"/>
      <c r="B56" s="73" t="s">
        <v>384</v>
      </c>
      <c r="C56" s="96" t="s">
        <v>385</v>
      </c>
      <c r="D56" s="45" t="s">
        <v>386</v>
      </c>
      <c r="E56" s="47" t="s">
        <v>314</v>
      </c>
      <c r="F56" s="61" t="s">
        <v>315</v>
      </c>
    </row>
    <row r="57" spans="1:6">
      <c r="A57" s="44"/>
      <c r="B57" s="73" t="s">
        <v>388</v>
      </c>
      <c r="C57" s="96" t="s">
        <v>389</v>
      </c>
      <c r="D57" s="45" t="s">
        <v>390</v>
      </c>
      <c r="E57" s="47" t="s">
        <v>314</v>
      </c>
      <c r="F57" s="61" t="s">
        <v>315</v>
      </c>
    </row>
    <row r="58" spans="1:6">
      <c r="A58" s="44"/>
      <c r="B58" s="73" t="s">
        <v>392</v>
      </c>
      <c r="C58" s="96" t="s">
        <v>393</v>
      </c>
      <c r="D58" s="47" t="s">
        <v>394</v>
      </c>
      <c r="E58" s="47" t="s">
        <v>314</v>
      </c>
      <c r="F58" s="61" t="s">
        <v>315</v>
      </c>
    </row>
    <row r="59" spans="1:6">
      <c r="A59" s="44"/>
      <c r="B59" s="73" t="s">
        <v>397</v>
      </c>
      <c r="C59" s="96" t="s">
        <v>398</v>
      </c>
      <c r="D59" s="70" t="s">
        <v>399</v>
      </c>
      <c r="E59" s="47" t="s">
        <v>314</v>
      </c>
      <c r="F59" s="61" t="s">
        <v>315</v>
      </c>
    </row>
    <row r="60" spans="1:6">
      <c r="A60" s="44"/>
      <c r="B60" s="73" t="s">
        <v>402</v>
      </c>
      <c r="C60" s="45" t="s">
        <v>403</v>
      </c>
      <c r="D60" s="45" t="s">
        <v>404</v>
      </c>
      <c r="E60" s="47" t="s">
        <v>314</v>
      </c>
      <c r="F60" s="61" t="s">
        <v>315</v>
      </c>
    </row>
    <row r="61" spans="1:6">
      <c r="A61" s="44"/>
      <c r="B61" s="73" t="s">
        <v>406</v>
      </c>
      <c r="C61" s="73" t="s">
        <v>407</v>
      </c>
      <c r="D61" s="73" t="s">
        <v>408</v>
      </c>
      <c r="E61" s="47" t="s">
        <v>314</v>
      </c>
      <c r="F61" s="61" t="s">
        <v>315</v>
      </c>
    </row>
    <row r="62" spans="1:6">
      <c r="A62" s="44"/>
      <c r="B62" s="73" t="s">
        <v>411</v>
      </c>
      <c r="C62" s="73" t="s">
        <v>412</v>
      </c>
      <c r="D62" s="73" t="s">
        <v>413</v>
      </c>
      <c r="E62" s="47" t="s">
        <v>314</v>
      </c>
      <c r="F62" s="61" t="s">
        <v>315</v>
      </c>
    </row>
    <row r="63" spans="1:6">
      <c r="A63" s="69"/>
      <c r="B63" s="70" t="s">
        <v>384</v>
      </c>
      <c r="C63" s="45" t="s">
        <v>415</v>
      </c>
      <c r="D63" s="73" t="s">
        <v>386</v>
      </c>
      <c r="E63" s="47" t="s">
        <v>314</v>
      </c>
      <c r="F63" s="61" t="s">
        <v>315</v>
      </c>
    </row>
    <row r="64" spans="1:6">
      <c r="A64" s="69"/>
      <c r="B64" s="70" t="s">
        <v>418</v>
      </c>
      <c r="C64" s="96" t="s">
        <v>419</v>
      </c>
      <c r="D64" s="45" t="s">
        <v>420</v>
      </c>
      <c r="E64" s="47" t="s">
        <v>234</v>
      </c>
      <c r="F64" s="61" t="s">
        <v>249</v>
      </c>
    </row>
    <row r="65" spans="1:6">
      <c r="A65" s="69"/>
      <c r="B65" s="70" t="s">
        <v>424</v>
      </c>
      <c r="C65" s="96" t="s">
        <v>425</v>
      </c>
      <c r="D65" s="45" t="s">
        <v>426</v>
      </c>
      <c r="E65" s="47" t="s">
        <v>234</v>
      </c>
      <c r="F65" s="61" t="s">
        <v>249</v>
      </c>
    </row>
    <row r="66" spans="1:6">
      <c r="A66" s="69"/>
      <c r="B66" s="70" t="s">
        <v>429</v>
      </c>
      <c r="C66" s="96" t="s">
        <v>430</v>
      </c>
      <c r="D66" s="45" t="s">
        <v>431</v>
      </c>
      <c r="E66" s="47" t="s">
        <v>234</v>
      </c>
      <c r="F66" s="61" t="s">
        <v>249</v>
      </c>
    </row>
    <row r="67" spans="1:6">
      <c r="A67" s="69"/>
      <c r="B67" s="70" t="s">
        <v>434</v>
      </c>
      <c r="C67" s="96" t="s">
        <v>435</v>
      </c>
      <c r="D67" s="100" t="s">
        <v>436</v>
      </c>
      <c r="E67" s="47" t="s">
        <v>314</v>
      </c>
      <c r="F67" s="61" t="s">
        <v>437</v>
      </c>
    </row>
    <row r="68" spans="1:6">
      <c r="A68" s="69"/>
      <c r="B68" s="70" t="s">
        <v>441</v>
      </c>
      <c r="C68" s="96" t="s">
        <v>442</v>
      </c>
      <c r="D68" s="100" t="s">
        <v>443</v>
      </c>
      <c r="E68" s="47" t="s">
        <v>314</v>
      </c>
      <c r="F68" s="61" t="s">
        <v>444</v>
      </c>
    </row>
    <row r="69" spans="1:6">
      <c r="A69" s="69"/>
      <c r="B69" s="47" t="s">
        <v>448</v>
      </c>
      <c r="C69" s="96" t="s">
        <v>449</v>
      </c>
      <c r="D69" s="100" t="s">
        <v>450</v>
      </c>
      <c r="E69" s="47" t="s">
        <v>314</v>
      </c>
      <c r="F69" s="61" t="s">
        <v>444</v>
      </c>
    </row>
    <row r="70" spans="1:6">
      <c r="A70" s="102"/>
      <c r="B70" s="103" t="s">
        <v>454</v>
      </c>
      <c r="C70" s="96" t="s">
        <v>455</v>
      </c>
      <c r="D70" s="100" t="s">
        <v>456</v>
      </c>
      <c r="E70" s="47" t="s">
        <v>234</v>
      </c>
      <c r="F70" s="61" t="s">
        <v>235</v>
      </c>
    </row>
    <row r="71" spans="1:6">
      <c r="A71" s="69"/>
      <c r="B71" s="47" t="s">
        <v>458</v>
      </c>
      <c r="C71" s="46"/>
      <c r="D71" s="100" t="s">
        <v>459</v>
      </c>
      <c r="E71" s="47" t="s">
        <v>234</v>
      </c>
      <c r="F71" s="61" t="s">
        <v>235</v>
      </c>
    </row>
    <row r="72" spans="1:6">
      <c r="A72" s="69"/>
      <c r="B72" s="47" t="s">
        <v>462</v>
      </c>
      <c r="C72" s="104" t="s">
        <v>463</v>
      </c>
      <c r="D72" s="100" t="s">
        <v>464</v>
      </c>
      <c r="E72" s="47" t="s">
        <v>314</v>
      </c>
      <c r="F72" s="61" t="s">
        <v>465</v>
      </c>
    </row>
    <row r="73" spans="1:6">
      <c r="A73" s="69"/>
      <c r="B73" s="47" t="s">
        <v>468</v>
      </c>
      <c r="C73" s="104" t="s">
        <v>469</v>
      </c>
      <c r="D73" s="100" t="s">
        <v>470</v>
      </c>
      <c r="E73" s="47" t="s">
        <v>314</v>
      </c>
      <c r="F73" s="61" t="s">
        <v>465</v>
      </c>
    </row>
    <row r="74" spans="1:6">
      <c r="A74" s="102"/>
      <c r="B74" s="103" t="s">
        <v>471</v>
      </c>
      <c r="C74" s="46" t="s">
        <v>472</v>
      </c>
      <c r="D74" s="100" t="s">
        <v>473</v>
      </c>
      <c r="E74" s="47" t="s">
        <v>314</v>
      </c>
      <c r="F74" s="61" t="s">
        <v>465</v>
      </c>
    </row>
    <row r="75" spans="1:6">
      <c r="A75" s="69"/>
      <c r="B75" s="47" t="s">
        <v>475</v>
      </c>
      <c r="C75" s="46" t="s">
        <v>476</v>
      </c>
      <c r="D75" s="100" t="s">
        <v>477</v>
      </c>
      <c r="E75" s="47" t="s">
        <v>234</v>
      </c>
      <c r="F75" s="61" t="s">
        <v>235</v>
      </c>
    </row>
    <row r="76" spans="1:6">
      <c r="A76" s="69"/>
      <c r="B76" s="47" t="s">
        <v>480</v>
      </c>
      <c r="C76" s="46"/>
      <c r="D76" s="100" t="s">
        <v>481</v>
      </c>
      <c r="E76" s="45" t="s">
        <v>465</v>
      </c>
      <c r="F76" s="45"/>
    </row>
    <row r="77" spans="1:6">
      <c r="A77" s="102"/>
      <c r="B77" s="103"/>
      <c r="C77" s="46"/>
      <c r="D77" s="100" t="s">
        <v>483</v>
      </c>
      <c r="E77" s="45" t="s">
        <v>465</v>
      </c>
      <c r="F77" s="45"/>
    </row>
    <row r="78" spans="1:6">
      <c r="A78" s="44"/>
      <c r="B78" s="45" t="s">
        <v>485</v>
      </c>
      <c r="C78" s="46"/>
      <c r="D78" s="107" t="s">
        <v>486</v>
      </c>
      <c r="E78" s="47" t="s">
        <v>234</v>
      </c>
      <c r="F78" s="61" t="s">
        <v>235</v>
      </c>
    </row>
    <row r="79" spans="1:6">
      <c r="A79" s="44"/>
      <c r="B79" s="73" t="s">
        <v>488</v>
      </c>
      <c r="C79" s="46"/>
      <c r="D79" s="107" t="s">
        <v>489</v>
      </c>
      <c r="E79" s="47" t="s">
        <v>234</v>
      </c>
      <c r="F79" s="61" t="s">
        <v>235</v>
      </c>
    </row>
    <row r="80" spans="1:6">
      <c r="A80" s="102"/>
      <c r="B80" s="103" t="s">
        <v>491</v>
      </c>
      <c r="C80" s="46" t="s">
        <v>492</v>
      </c>
      <c r="D80" s="100" t="s">
        <v>493</v>
      </c>
      <c r="E80" s="47" t="s">
        <v>234</v>
      </c>
      <c r="F80" s="61" t="s">
        <v>249</v>
      </c>
    </row>
    <row r="81" spans="1:6">
      <c r="A81" s="347"/>
      <c r="B81" s="348" t="s">
        <v>496</v>
      </c>
      <c r="C81" s="349" t="s">
        <v>497</v>
      </c>
      <c r="D81" s="100" t="s">
        <v>498</v>
      </c>
      <c r="E81" s="350" t="s">
        <v>234</v>
      </c>
      <c r="F81" s="351" t="s">
        <v>249</v>
      </c>
    </row>
    <row r="82" spans="1:6">
      <c r="A82" s="69"/>
      <c r="B82" s="47" t="s">
        <v>500</v>
      </c>
      <c r="C82" s="46" t="s">
        <v>501</v>
      </c>
      <c r="D82" s="45" t="s">
        <v>459</v>
      </c>
      <c r="E82" s="47" t="s">
        <v>234</v>
      </c>
      <c r="F82" s="61" t="s">
        <v>235</v>
      </c>
    </row>
    <row r="83" spans="1:6">
      <c r="A83" s="102"/>
      <c r="B83" s="103" t="s">
        <v>504</v>
      </c>
      <c r="C83" s="104" t="s">
        <v>505</v>
      </c>
      <c r="D83" s="45" t="s">
        <v>506</v>
      </c>
      <c r="E83" s="47" t="s">
        <v>234</v>
      </c>
      <c r="F83" s="61" t="s">
        <v>235</v>
      </c>
    </row>
    <row r="84" spans="1:6">
      <c r="A84" s="69"/>
      <c r="B84" s="47" t="s">
        <v>1133</v>
      </c>
      <c r="C84" s="104"/>
      <c r="D84" s="45" t="s">
        <v>1134</v>
      </c>
      <c r="E84" s="47" t="s">
        <v>234</v>
      </c>
      <c r="F84" s="61" t="s">
        <v>235</v>
      </c>
    </row>
    <row r="85" spans="1:6">
      <c r="A85" s="69"/>
      <c r="B85" s="47" t="s">
        <v>1135</v>
      </c>
      <c r="C85" s="104"/>
      <c r="D85" s="45" t="s">
        <v>1136</v>
      </c>
      <c r="E85" s="47" t="s">
        <v>234</v>
      </c>
      <c r="F85" s="61" t="s">
        <v>235</v>
      </c>
    </row>
    <row r="86" spans="1:6">
      <c r="A86" s="69"/>
      <c r="B86" s="47" t="s">
        <v>508</v>
      </c>
      <c r="C86" s="104" t="s">
        <v>509</v>
      </c>
      <c r="D86" s="45" t="s">
        <v>481</v>
      </c>
      <c r="E86" s="47" t="s">
        <v>314</v>
      </c>
      <c r="F86" s="61" t="s">
        <v>465</v>
      </c>
    </row>
    <row r="87" spans="1:6">
      <c r="A87" s="102"/>
      <c r="B87" s="103" t="s">
        <v>512</v>
      </c>
      <c r="C87" s="46" t="s">
        <v>513</v>
      </c>
      <c r="D87" s="45" t="s">
        <v>514</v>
      </c>
      <c r="E87" s="47" t="s">
        <v>314</v>
      </c>
      <c r="F87" s="61" t="s">
        <v>465</v>
      </c>
    </row>
    <row r="88" spans="1:6">
      <c r="A88" s="69"/>
      <c r="B88" s="47" t="s">
        <v>517</v>
      </c>
      <c r="C88" s="46" t="s">
        <v>518</v>
      </c>
      <c r="D88" s="45" t="s">
        <v>514</v>
      </c>
      <c r="E88" s="47" t="s">
        <v>314</v>
      </c>
      <c r="F88" s="61" t="s">
        <v>465</v>
      </c>
    </row>
    <row r="89" spans="1:6">
      <c r="A89" s="69"/>
      <c r="B89" s="47" t="s">
        <v>520</v>
      </c>
      <c r="C89" s="46" t="s">
        <v>521</v>
      </c>
      <c r="D89" s="45" t="s">
        <v>522</v>
      </c>
      <c r="E89" s="47" t="s">
        <v>314</v>
      </c>
      <c r="F89" s="61" t="s">
        <v>465</v>
      </c>
    </row>
    <row r="90" spans="1:6">
      <c r="A90" s="69"/>
      <c r="B90" s="47" t="s">
        <v>525</v>
      </c>
      <c r="C90" s="46" t="s">
        <v>526</v>
      </c>
      <c r="D90" s="45" t="s">
        <v>527</v>
      </c>
      <c r="E90" s="47" t="s">
        <v>314</v>
      </c>
      <c r="F90" s="61" t="s">
        <v>315</v>
      </c>
    </row>
    <row r="91" spans="1:6">
      <c r="A91" s="69"/>
      <c r="B91" s="47" t="s">
        <v>529</v>
      </c>
      <c r="C91" s="46" t="s">
        <v>530</v>
      </c>
      <c r="D91" s="45" t="s">
        <v>531</v>
      </c>
      <c r="E91" s="47" t="s">
        <v>314</v>
      </c>
      <c r="F91" s="61" t="s">
        <v>315</v>
      </c>
    </row>
    <row r="92" spans="1:6">
      <c r="A92" s="69"/>
      <c r="B92" s="47" t="s">
        <v>533</v>
      </c>
      <c r="C92" s="46" t="s">
        <v>534</v>
      </c>
      <c r="D92" s="45" t="s">
        <v>535</v>
      </c>
      <c r="E92" s="47" t="s">
        <v>234</v>
      </c>
      <c r="F92" s="61" t="s">
        <v>235</v>
      </c>
    </row>
    <row r="93" spans="1:6">
      <c r="A93" s="102"/>
      <c r="B93" s="103" t="s">
        <v>538</v>
      </c>
      <c r="C93" s="104" t="s">
        <v>539</v>
      </c>
      <c r="D93" s="45" t="s">
        <v>483</v>
      </c>
      <c r="E93" s="47" t="s">
        <v>314</v>
      </c>
      <c r="F93" s="61" t="s">
        <v>465</v>
      </c>
    </row>
    <row r="94" spans="1:6">
      <c r="A94" s="102"/>
      <c r="B94" s="103" t="s">
        <v>541</v>
      </c>
      <c r="C94" s="46"/>
      <c r="D94" s="45" t="s">
        <v>483</v>
      </c>
      <c r="E94" s="71" t="s">
        <v>465</v>
      </c>
      <c r="F94" s="45"/>
    </row>
    <row r="95" spans="1:6">
      <c r="A95" s="102"/>
      <c r="B95" s="103" t="s">
        <v>543</v>
      </c>
      <c r="C95" s="46" t="s">
        <v>544</v>
      </c>
      <c r="D95" s="45" t="s">
        <v>545</v>
      </c>
      <c r="E95" s="47" t="s">
        <v>314</v>
      </c>
      <c r="F95" s="61" t="s">
        <v>465</v>
      </c>
    </row>
    <row r="96" spans="1:6">
      <c r="A96" s="69"/>
      <c r="B96" s="47" t="s">
        <v>548</v>
      </c>
      <c r="C96" s="46" t="s">
        <v>549</v>
      </c>
      <c r="D96" s="45" t="s">
        <v>550</v>
      </c>
      <c r="E96" s="47" t="s">
        <v>314</v>
      </c>
      <c r="F96" s="61" t="s">
        <v>465</v>
      </c>
    </row>
    <row r="97" spans="1:6">
      <c r="A97" s="69"/>
      <c r="B97" s="47" t="s">
        <v>552</v>
      </c>
      <c r="C97" s="46" t="s">
        <v>553</v>
      </c>
      <c r="D97" s="45" t="s">
        <v>554</v>
      </c>
      <c r="E97" s="47" t="s">
        <v>314</v>
      </c>
      <c r="F97" s="61" t="s">
        <v>437</v>
      </c>
    </row>
    <row r="98" spans="1:6">
      <c r="A98" s="44"/>
      <c r="B98" s="45" t="s">
        <v>557</v>
      </c>
      <c r="C98" s="45" t="s">
        <v>558</v>
      </c>
      <c r="D98" s="71" t="s">
        <v>559</v>
      </c>
      <c r="E98" s="47" t="s">
        <v>304</v>
      </c>
      <c r="F98" s="61" t="s">
        <v>304</v>
      </c>
    </row>
    <row r="99" spans="1:6">
      <c r="A99" s="44"/>
      <c r="B99" s="73" t="s">
        <v>1137</v>
      </c>
      <c r="C99" s="96"/>
      <c r="D99" s="71" t="s">
        <v>1138</v>
      </c>
      <c r="E99" s="47" t="s">
        <v>304</v>
      </c>
      <c r="F99" s="61" t="s">
        <v>304</v>
      </c>
    </row>
    <row r="100" spans="1:6">
      <c r="A100" s="44"/>
      <c r="B100" s="73" t="s">
        <v>1139</v>
      </c>
      <c r="C100" s="96"/>
      <c r="D100" s="71" t="s">
        <v>1140</v>
      </c>
      <c r="E100" s="47" t="s">
        <v>304</v>
      </c>
      <c r="F100" s="61" t="s">
        <v>304</v>
      </c>
    </row>
    <row r="101" spans="1:6">
      <c r="A101" s="44"/>
      <c r="B101" s="73" t="s">
        <v>562</v>
      </c>
      <c r="C101" s="96" t="s">
        <v>563</v>
      </c>
      <c r="D101" s="71" t="s">
        <v>564</v>
      </c>
      <c r="E101" s="47" t="s">
        <v>314</v>
      </c>
      <c r="F101" s="61" t="s">
        <v>315</v>
      </c>
    </row>
    <row r="102" spans="1:6">
      <c r="A102" s="44"/>
      <c r="B102" s="73" t="s">
        <v>566</v>
      </c>
      <c r="C102" s="96"/>
      <c r="D102" s="71" t="s">
        <v>394</v>
      </c>
      <c r="E102" s="47" t="s">
        <v>314</v>
      </c>
      <c r="F102" s="61" t="s">
        <v>315</v>
      </c>
    </row>
    <row r="103" spans="1:6">
      <c r="A103" s="44"/>
      <c r="B103" s="73" t="s">
        <v>568</v>
      </c>
      <c r="C103" s="45" t="s">
        <v>569</v>
      </c>
      <c r="D103" s="71" t="s">
        <v>399</v>
      </c>
      <c r="E103" s="47" t="s">
        <v>314</v>
      </c>
      <c r="F103" s="61" t="s">
        <v>315</v>
      </c>
    </row>
    <row r="104" spans="1:6">
      <c r="A104" s="44"/>
      <c r="B104" s="73" t="s">
        <v>570</v>
      </c>
      <c r="C104" s="96" t="s">
        <v>571</v>
      </c>
      <c r="D104" s="71" t="s">
        <v>572</v>
      </c>
      <c r="E104" s="47" t="s">
        <v>314</v>
      </c>
      <c r="F104" s="61" t="s">
        <v>437</v>
      </c>
    </row>
    <row r="105" spans="1:6">
      <c r="A105" s="44"/>
      <c r="B105" s="45" t="s">
        <v>575</v>
      </c>
      <c r="C105" s="96" t="s">
        <v>576</v>
      </c>
      <c r="D105" s="71" t="s">
        <v>577</v>
      </c>
      <c r="E105" s="47" t="s">
        <v>314</v>
      </c>
      <c r="F105" s="61" t="s">
        <v>465</v>
      </c>
    </row>
    <row r="106" spans="1:6">
      <c r="A106" s="44"/>
      <c r="B106" s="45" t="s">
        <v>580</v>
      </c>
      <c r="C106" s="96" t="s">
        <v>581</v>
      </c>
      <c r="D106" s="71" t="s">
        <v>582</v>
      </c>
      <c r="E106" s="47" t="s">
        <v>314</v>
      </c>
      <c r="F106" s="61" t="s">
        <v>465</v>
      </c>
    </row>
    <row r="107" spans="1:6">
      <c r="A107" s="44"/>
      <c r="B107" s="45" t="s">
        <v>584</v>
      </c>
      <c r="C107" s="96" t="s">
        <v>585</v>
      </c>
      <c r="D107" s="71" t="s">
        <v>586</v>
      </c>
      <c r="E107" s="47" t="s">
        <v>234</v>
      </c>
      <c r="F107" s="61" t="s">
        <v>249</v>
      </c>
    </row>
    <row r="108" spans="1:6">
      <c r="A108" s="44"/>
      <c r="B108" s="45" t="s">
        <v>589</v>
      </c>
      <c r="C108" s="96" t="s">
        <v>590</v>
      </c>
      <c r="D108" s="71" t="s">
        <v>591</v>
      </c>
      <c r="E108" s="47" t="s">
        <v>314</v>
      </c>
      <c r="F108" s="61" t="s">
        <v>437</v>
      </c>
    </row>
    <row r="109" spans="1:6">
      <c r="A109" s="44"/>
      <c r="B109" s="45" t="s">
        <v>594</v>
      </c>
      <c r="C109" s="96" t="s">
        <v>595</v>
      </c>
      <c r="D109" s="71" t="s">
        <v>596</v>
      </c>
      <c r="E109" s="47" t="s">
        <v>314</v>
      </c>
      <c r="F109" s="61" t="s">
        <v>437</v>
      </c>
    </row>
    <row r="110" spans="1:6">
      <c r="A110" s="44"/>
      <c r="B110" s="45" t="s">
        <v>599</v>
      </c>
      <c r="C110" s="96" t="s">
        <v>600</v>
      </c>
      <c r="D110" s="71" t="s">
        <v>601</v>
      </c>
      <c r="E110" s="47" t="s">
        <v>234</v>
      </c>
      <c r="F110" s="61" t="s">
        <v>249</v>
      </c>
    </row>
    <row r="111" spans="1:6">
      <c r="A111" s="44"/>
      <c r="B111" s="45" t="s">
        <v>603</v>
      </c>
      <c r="C111" s="96" t="s">
        <v>604</v>
      </c>
      <c r="D111" s="71" t="s">
        <v>605</v>
      </c>
      <c r="E111" s="47" t="s">
        <v>234</v>
      </c>
      <c r="F111" s="61" t="s">
        <v>249</v>
      </c>
    </row>
    <row r="112" spans="1:6">
      <c r="A112" s="44"/>
      <c r="B112" s="45" t="s">
        <v>1141</v>
      </c>
      <c r="C112" s="45"/>
      <c r="D112" s="71" t="s">
        <v>1142</v>
      </c>
      <c r="E112" s="47" t="s">
        <v>234</v>
      </c>
      <c r="F112" s="61" t="s">
        <v>249</v>
      </c>
    </row>
    <row r="113" spans="1:6">
      <c r="A113" s="44"/>
      <c r="B113" s="45" t="s">
        <v>608</v>
      </c>
      <c r="C113" s="45" t="s">
        <v>609</v>
      </c>
      <c r="D113" s="71" t="s">
        <v>610</v>
      </c>
      <c r="E113" s="47" t="s">
        <v>234</v>
      </c>
      <c r="F113" s="61" t="s">
        <v>249</v>
      </c>
    </row>
    <row r="114" spans="1:6">
      <c r="A114" s="44"/>
      <c r="B114" s="45" t="s">
        <v>615</v>
      </c>
      <c r="C114" s="45" t="s">
        <v>616</v>
      </c>
      <c r="D114" s="71" t="s">
        <v>617</v>
      </c>
      <c r="E114" s="47" t="s">
        <v>314</v>
      </c>
      <c r="F114" s="61" t="s">
        <v>618</v>
      </c>
    </row>
    <row r="115" spans="1:6">
      <c r="A115" s="44"/>
      <c r="B115" s="45" t="s">
        <v>621</v>
      </c>
      <c r="C115" s="45" t="s">
        <v>622</v>
      </c>
      <c r="D115" s="71" t="s">
        <v>623</v>
      </c>
      <c r="E115" s="47" t="s">
        <v>314</v>
      </c>
      <c r="F115" s="61" t="s">
        <v>618</v>
      </c>
    </row>
    <row r="116" spans="1:6">
      <c r="A116" s="44"/>
      <c r="B116" s="45" t="s">
        <v>625</v>
      </c>
      <c r="C116" s="96" t="s">
        <v>626</v>
      </c>
      <c r="D116" s="71" t="s">
        <v>627</v>
      </c>
      <c r="E116" s="47" t="s">
        <v>628</v>
      </c>
      <c r="F116" s="61" t="s">
        <v>629</v>
      </c>
    </row>
    <row r="117" spans="1:6">
      <c r="A117" s="44"/>
      <c r="B117" s="45" t="s">
        <v>632</v>
      </c>
      <c r="C117" s="96" t="s">
        <v>633</v>
      </c>
      <c r="D117" s="71" t="s">
        <v>634</v>
      </c>
      <c r="E117" s="47" t="s">
        <v>314</v>
      </c>
      <c r="F117" s="61" t="s">
        <v>444</v>
      </c>
    </row>
    <row r="118" spans="1:6">
      <c r="A118" s="44"/>
      <c r="B118" s="45" t="s">
        <v>947</v>
      </c>
      <c r="C118" s="96" t="s">
        <v>938</v>
      </c>
      <c r="D118" s="71" t="s">
        <v>639</v>
      </c>
      <c r="E118" s="71" t="s">
        <v>249</v>
      </c>
      <c r="F118" s="71"/>
    </row>
    <row r="119" spans="1:6">
      <c r="A119" s="44"/>
      <c r="B119" s="45" t="s">
        <v>642</v>
      </c>
      <c r="C119" s="96" t="s">
        <v>643</v>
      </c>
      <c r="D119" s="71" t="s">
        <v>644</v>
      </c>
      <c r="E119" s="47" t="s">
        <v>314</v>
      </c>
      <c r="F119" s="61" t="s">
        <v>437</v>
      </c>
    </row>
    <row r="120" spans="1:6">
      <c r="A120" s="44"/>
      <c r="B120" s="45" t="s">
        <v>646</v>
      </c>
      <c r="C120" s="96" t="s">
        <v>647</v>
      </c>
      <c r="D120" s="71" t="s">
        <v>648</v>
      </c>
      <c r="E120" s="47" t="s">
        <v>628</v>
      </c>
      <c r="F120" s="61" t="s">
        <v>629</v>
      </c>
    </row>
    <row r="121" spans="1:6">
      <c r="A121" s="44"/>
      <c r="B121" s="45" t="s">
        <v>651</v>
      </c>
      <c r="C121" s="96" t="s">
        <v>652</v>
      </c>
      <c r="D121" s="71" t="s">
        <v>653</v>
      </c>
      <c r="E121" s="47" t="s">
        <v>628</v>
      </c>
      <c r="F121" s="61" t="s">
        <v>629</v>
      </c>
    </row>
    <row r="122" spans="1:6">
      <c r="A122" s="44"/>
      <c r="B122" s="45" t="s">
        <v>655</v>
      </c>
      <c r="C122" s="96" t="s">
        <v>656</v>
      </c>
      <c r="D122" s="71" t="s">
        <v>657</v>
      </c>
      <c r="E122" s="47" t="s">
        <v>628</v>
      </c>
      <c r="F122" s="61" t="s">
        <v>629</v>
      </c>
    </row>
    <row r="123" spans="1:6">
      <c r="A123" s="44"/>
      <c r="B123" s="45" t="s">
        <v>659</v>
      </c>
      <c r="C123" s="96" t="s">
        <v>660</v>
      </c>
      <c r="D123" s="71" t="s">
        <v>661</v>
      </c>
      <c r="E123" s="47" t="s">
        <v>234</v>
      </c>
      <c r="F123" s="61" t="s">
        <v>249</v>
      </c>
    </row>
    <row r="124" spans="1:6">
      <c r="A124" s="44"/>
      <c r="B124" s="45" t="s">
        <v>663</v>
      </c>
      <c r="C124" s="96" t="s">
        <v>664</v>
      </c>
      <c r="D124" s="71" t="s">
        <v>665</v>
      </c>
      <c r="E124" s="47" t="s">
        <v>314</v>
      </c>
      <c r="F124" s="61" t="s">
        <v>444</v>
      </c>
    </row>
    <row r="125" spans="1:6">
      <c r="A125" s="44"/>
      <c r="B125" s="45" t="s">
        <v>668</v>
      </c>
      <c r="C125" s="96" t="s">
        <v>669</v>
      </c>
      <c r="D125" s="71" t="s">
        <v>670</v>
      </c>
      <c r="E125" s="71" t="s">
        <v>671</v>
      </c>
      <c r="F125" s="71"/>
    </row>
    <row r="126" spans="1:6">
      <c r="A126" s="44"/>
      <c r="B126" s="45" t="s">
        <v>675</v>
      </c>
      <c r="C126" s="96" t="s">
        <v>676</v>
      </c>
      <c r="D126" s="71" t="s">
        <v>677</v>
      </c>
      <c r="E126" s="71" t="s">
        <v>314</v>
      </c>
      <c r="F126" s="71"/>
    </row>
    <row r="127" spans="1:6">
      <c r="A127" s="44"/>
      <c r="B127" s="45" t="s">
        <v>679</v>
      </c>
      <c r="C127" s="96" t="s">
        <v>680</v>
      </c>
      <c r="D127" s="71" t="s">
        <v>681</v>
      </c>
      <c r="E127" s="71" t="s">
        <v>314</v>
      </c>
      <c r="F127" s="71"/>
    </row>
    <row r="128" spans="1:6">
      <c r="A128" s="44"/>
      <c r="B128" s="45" t="s">
        <v>683</v>
      </c>
      <c r="C128" s="96" t="s">
        <v>684</v>
      </c>
      <c r="D128" s="71" t="s">
        <v>685</v>
      </c>
      <c r="E128" s="47" t="s">
        <v>234</v>
      </c>
      <c r="F128" s="61" t="s">
        <v>671</v>
      </c>
    </row>
    <row r="129" spans="1:6">
      <c r="A129" s="44"/>
      <c r="B129" s="45" t="s">
        <v>688</v>
      </c>
      <c r="C129" s="96" t="s">
        <v>689</v>
      </c>
      <c r="D129" s="71" t="s">
        <v>690</v>
      </c>
      <c r="E129" s="47" t="s">
        <v>234</v>
      </c>
      <c r="F129" s="61" t="s">
        <v>671</v>
      </c>
    </row>
    <row r="130" spans="1:6">
      <c r="A130" s="112"/>
      <c r="B130" s="81" t="s">
        <v>692</v>
      </c>
      <c r="C130" s="80"/>
      <c r="D130" s="79" t="s">
        <v>693</v>
      </c>
      <c r="E130" s="79" t="s">
        <v>314</v>
      </c>
      <c r="F130" s="79"/>
    </row>
    <row r="131" spans="1:6">
      <c r="A131" s="44"/>
      <c r="B131" s="45" t="s">
        <v>695</v>
      </c>
      <c r="C131" s="45" t="s">
        <v>696</v>
      </c>
      <c r="D131" s="71" t="s">
        <v>697</v>
      </c>
      <c r="E131" s="47" t="s">
        <v>314</v>
      </c>
      <c r="F131" s="61" t="s">
        <v>465</v>
      </c>
    </row>
    <row r="132" spans="1:6">
      <c r="A132" s="44"/>
      <c r="B132" s="45" t="s">
        <v>700</v>
      </c>
      <c r="C132" s="96" t="s">
        <v>701</v>
      </c>
      <c r="D132" s="71" t="s">
        <v>702</v>
      </c>
      <c r="E132" s="47" t="s">
        <v>314</v>
      </c>
      <c r="F132" s="61" t="s">
        <v>465</v>
      </c>
    </row>
    <row r="133" spans="1:6">
      <c r="A133" s="44"/>
      <c r="B133" s="45" t="s">
        <v>704</v>
      </c>
      <c r="C133" s="96" t="s">
        <v>705</v>
      </c>
      <c r="D133" s="71" t="s">
        <v>706</v>
      </c>
      <c r="E133" s="47" t="s">
        <v>234</v>
      </c>
      <c r="F133" s="61" t="s">
        <v>249</v>
      </c>
    </row>
    <row r="134" spans="1:6">
      <c r="A134" s="112"/>
      <c r="B134" s="81" t="s">
        <v>709</v>
      </c>
      <c r="C134" s="80"/>
      <c r="D134" s="79" t="s">
        <v>710</v>
      </c>
      <c r="E134" s="79" t="s">
        <v>249</v>
      </c>
      <c r="F134" s="79"/>
    </row>
    <row r="135" spans="1:6">
      <c r="A135" s="44"/>
      <c r="B135" s="45" t="s">
        <v>712</v>
      </c>
      <c r="C135" s="96" t="s">
        <v>1129</v>
      </c>
      <c r="D135" s="71" t="s">
        <v>714</v>
      </c>
      <c r="E135" s="47" t="s">
        <v>234</v>
      </c>
      <c r="F135" s="61" t="s">
        <v>249</v>
      </c>
    </row>
    <row r="136" spans="1:6">
      <c r="A136" s="44"/>
      <c r="B136" s="45" t="s">
        <v>717</v>
      </c>
      <c r="C136" s="96" t="s">
        <v>718</v>
      </c>
      <c r="D136" s="71" t="s">
        <v>719</v>
      </c>
      <c r="E136" s="47" t="s">
        <v>234</v>
      </c>
      <c r="F136" s="61" t="s">
        <v>249</v>
      </c>
    </row>
    <row r="137" spans="1:6">
      <c r="A137" s="44"/>
      <c r="B137" s="45" t="s">
        <v>720</v>
      </c>
      <c r="C137" s="96" t="s">
        <v>721</v>
      </c>
      <c r="D137" s="71" t="s">
        <v>722</v>
      </c>
      <c r="E137" s="71" t="s">
        <v>314</v>
      </c>
      <c r="F137" s="71"/>
    </row>
    <row r="138" spans="1:6">
      <c r="A138" s="44"/>
      <c r="B138" s="45" t="s">
        <v>724</v>
      </c>
      <c r="C138" s="45" t="s">
        <v>725</v>
      </c>
      <c r="D138" s="71" t="s">
        <v>726</v>
      </c>
      <c r="E138" s="71" t="s">
        <v>314</v>
      </c>
      <c r="F138" s="71"/>
    </row>
    <row r="139" spans="1:6">
      <c r="A139" s="44"/>
      <c r="B139" s="45" t="s">
        <v>728</v>
      </c>
      <c r="C139" s="96" t="s">
        <v>729</v>
      </c>
      <c r="D139" s="71" t="s">
        <v>730</v>
      </c>
      <c r="E139" s="47" t="s">
        <v>314</v>
      </c>
      <c r="F139" s="61" t="s">
        <v>465</v>
      </c>
    </row>
    <row r="140" spans="1:6">
      <c r="A140" s="44"/>
      <c r="B140" s="45" t="s">
        <v>732</v>
      </c>
      <c r="C140" s="45" t="s">
        <v>733</v>
      </c>
      <c r="D140" s="71" t="s">
        <v>734</v>
      </c>
      <c r="E140" s="47" t="s">
        <v>314</v>
      </c>
      <c r="F140" s="61" t="s">
        <v>437</v>
      </c>
    </row>
    <row r="141" spans="1:6">
      <c r="A141" s="44"/>
      <c r="B141" s="45" t="s">
        <v>736</v>
      </c>
      <c r="C141" s="96" t="s">
        <v>737</v>
      </c>
      <c r="D141" s="71" t="s">
        <v>738</v>
      </c>
      <c r="E141" s="47" t="s">
        <v>314</v>
      </c>
      <c r="F141" s="61" t="s">
        <v>465</v>
      </c>
    </row>
    <row r="142" spans="1:6">
      <c r="A142" s="44"/>
      <c r="B142" s="45" t="s">
        <v>740</v>
      </c>
      <c r="C142" s="96" t="s">
        <v>741</v>
      </c>
      <c r="D142" s="71" t="s">
        <v>742</v>
      </c>
      <c r="E142" s="71" t="s">
        <v>249</v>
      </c>
      <c r="F142" s="71"/>
    </row>
    <row r="143" spans="1:6">
      <c r="A143" s="44"/>
      <c r="B143" s="45" t="s">
        <v>1143</v>
      </c>
      <c r="C143" s="96"/>
      <c r="D143" s="71" t="s">
        <v>1144</v>
      </c>
      <c r="E143" s="71" t="s">
        <v>249</v>
      </c>
      <c r="F143" s="71"/>
    </row>
    <row r="144" spans="1:6">
      <c r="A144" s="44"/>
      <c r="B144" s="45" t="s">
        <v>744</v>
      </c>
      <c r="C144" s="96" t="s">
        <v>1145</v>
      </c>
      <c r="D144" s="71" t="s">
        <v>746</v>
      </c>
      <c r="E144" s="47" t="s">
        <v>314</v>
      </c>
      <c r="F144" s="61" t="s">
        <v>618</v>
      </c>
    </row>
    <row r="145" spans="1:6">
      <c r="A145" s="44"/>
      <c r="B145" s="45" t="s">
        <v>749</v>
      </c>
      <c r="C145" s="96" t="s">
        <v>750</v>
      </c>
      <c r="D145" s="71" t="s">
        <v>751</v>
      </c>
      <c r="E145" s="47" t="s">
        <v>314</v>
      </c>
      <c r="F145" s="61" t="s">
        <v>618</v>
      </c>
    </row>
    <row r="146" spans="1:6">
      <c r="A146" s="44"/>
      <c r="B146" s="45" t="s">
        <v>753</v>
      </c>
      <c r="C146" s="96" t="s">
        <v>754</v>
      </c>
      <c r="D146" s="71" t="s">
        <v>138</v>
      </c>
      <c r="E146" s="71" t="s">
        <v>800</v>
      </c>
      <c r="F146" s="71"/>
    </row>
    <row r="147" spans="1:6">
      <c r="A147" s="44"/>
      <c r="B147" s="45" t="s">
        <v>756</v>
      </c>
      <c r="C147" s="96" t="s">
        <v>757</v>
      </c>
      <c r="D147" s="71" t="s">
        <v>758</v>
      </c>
      <c r="E147" s="71" t="s">
        <v>800</v>
      </c>
      <c r="F147" s="71"/>
    </row>
    <row r="148" spans="1:6">
      <c r="A148" s="44"/>
      <c r="B148" s="45" t="s">
        <v>760</v>
      </c>
      <c r="C148" s="96" t="s">
        <v>761</v>
      </c>
      <c r="D148" s="71" t="s">
        <v>762</v>
      </c>
      <c r="E148" s="71" t="s">
        <v>800</v>
      </c>
      <c r="F148" s="71"/>
    </row>
    <row r="149" spans="1:6">
      <c r="A149" s="44"/>
      <c r="B149" s="45" t="s">
        <v>764</v>
      </c>
      <c r="C149" s="96" t="s">
        <v>765</v>
      </c>
      <c r="D149" s="71" t="s">
        <v>766</v>
      </c>
      <c r="E149" s="47" t="s">
        <v>314</v>
      </c>
      <c r="F149" s="61" t="s">
        <v>618</v>
      </c>
    </row>
    <row r="150" spans="1:6">
      <c r="A150" s="44"/>
      <c r="B150" s="45" t="s">
        <v>954</v>
      </c>
      <c r="C150" s="75" t="s">
        <v>769</v>
      </c>
      <c r="D150" s="71" t="s">
        <v>770</v>
      </c>
      <c r="E150" s="47" t="s">
        <v>314</v>
      </c>
      <c r="F150" s="61" t="s">
        <v>618</v>
      </c>
    </row>
    <row r="151" spans="1:6">
      <c r="A151" s="44"/>
      <c r="B151" s="45" t="s">
        <v>772</v>
      </c>
      <c r="C151" s="96" t="s">
        <v>773</v>
      </c>
      <c r="D151" s="71" t="s">
        <v>133</v>
      </c>
      <c r="E151" s="47" t="s">
        <v>314</v>
      </c>
      <c r="F151" s="61" t="s">
        <v>618</v>
      </c>
    </row>
    <row r="152" spans="1:6">
      <c r="A152" s="44"/>
      <c r="B152" s="45" t="s">
        <v>775</v>
      </c>
      <c r="C152" s="96" t="s">
        <v>776</v>
      </c>
      <c r="D152" s="71" t="s">
        <v>777</v>
      </c>
      <c r="E152" s="47" t="s">
        <v>314</v>
      </c>
      <c r="F152" s="61" t="s">
        <v>618</v>
      </c>
    </row>
    <row r="153" spans="1:6">
      <c r="A153" s="44"/>
      <c r="B153" s="45" t="s">
        <v>779</v>
      </c>
      <c r="C153" s="96" t="s">
        <v>780</v>
      </c>
      <c r="D153" s="71" t="s">
        <v>781</v>
      </c>
      <c r="E153" s="47" t="s">
        <v>234</v>
      </c>
      <c r="F153" s="61" t="s">
        <v>249</v>
      </c>
    </row>
    <row r="154" spans="1:6">
      <c r="A154" s="69"/>
      <c r="B154" s="70" t="s">
        <v>783</v>
      </c>
      <c r="C154" s="96" t="s">
        <v>784</v>
      </c>
      <c r="D154" s="45" t="s">
        <v>785</v>
      </c>
      <c r="E154" s="45" t="s">
        <v>786</v>
      </c>
      <c r="F154" s="45"/>
    </row>
    <row r="155" spans="1:6">
      <c r="A155" s="69"/>
      <c r="B155" s="70" t="s">
        <v>788</v>
      </c>
      <c r="C155" s="96" t="s">
        <v>789</v>
      </c>
      <c r="D155" s="45" t="s">
        <v>790</v>
      </c>
      <c r="E155" s="45" t="s">
        <v>671</v>
      </c>
      <c r="F155" s="45"/>
    </row>
    <row r="156" spans="1:6">
      <c r="A156" s="69"/>
      <c r="B156" s="70" t="s">
        <v>792</v>
      </c>
      <c r="C156" s="96" t="s">
        <v>793</v>
      </c>
      <c r="D156" s="71" t="s">
        <v>794</v>
      </c>
      <c r="E156" s="71" t="s">
        <v>795</v>
      </c>
      <c r="F156" s="71"/>
    </row>
    <row r="157" spans="1:6">
      <c r="A157" s="44"/>
      <c r="B157" s="45" t="s">
        <v>797</v>
      </c>
      <c r="C157" s="96" t="s">
        <v>798</v>
      </c>
      <c r="D157" s="71" t="s">
        <v>799</v>
      </c>
      <c r="E157" s="71" t="s">
        <v>800</v>
      </c>
      <c r="F157" s="71"/>
    </row>
    <row r="158" spans="1:6">
      <c r="A158" s="44"/>
      <c r="B158" s="45" t="s">
        <v>802</v>
      </c>
      <c r="C158" s="96" t="s">
        <v>803</v>
      </c>
      <c r="D158" s="71" t="s">
        <v>804</v>
      </c>
      <c r="E158" s="71" t="s">
        <v>800</v>
      </c>
      <c r="F158" s="71"/>
    </row>
    <row r="159" spans="1:6">
      <c r="A159" s="44"/>
      <c r="B159" s="45" t="s">
        <v>806</v>
      </c>
      <c r="C159" s="96" t="s">
        <v>807</v>
      </c>
      <c r="D159" s="71" t="s">
        <v>808</v>
      </c>
      <c r="E159" s="71" t="s">
        <v>800</v>
      </c>
      <c r="F159" s="71"/>
    </row>
    <row r="160" spans="1:6">
      <c r="A160" s="44"/>
      <c r="B160" s="45" t="s">
        <v>810</v>
      </c>
      <c r="C160" s="46" t="s">
        <v>811</v>
      </c>
      <c r="D160" s="45" t="s">
        <v>812</v>
      </c>
      <c r="E160" s="45" t="s">
        <v>813</v>
      </c>
      <c r="F160" s="45"/>
    </row>
    <row r="161" spans="1:6">
      <c r="A161" s="44"/>
      <c r="B161" s="45" t="s">
        <v>815</v>
      </c>
      <c r="C161" s="46" t="s">
        <v>816</v>
      </c>
      <c r="D161" s="45" t="s">
        <v>817</v>
      </c>
      <c r="E161" s="45" t="s">
        <v>813</v>
      </c>
      <c r="F161" s="45"/>
    </row>
    <row r="162" spans="1:6">
      <c r="A162" s="44"/>
      <c r="B162" s="45" t="s">
        <v>819</v>
      </c>
      <c r="C162" s="46" t="s">
        <v>820</v>
      </c>
      <c r="D162" s="45" t="s">
        <v>821</v>
      </c>
      <c r="E162" s="45" t="s">
        <v>234</v>
      </c>
      <c r="F162" s="45"/>
    </row>
    <row r="163" spans="1:6">
      <c r="A163" s="44"/>
      <c r="B163" s="45" t="s">
        <v>823</v>
      </c>
      <c r="C163" s="46" t="s">
        <v>824</v>
      </c>
      <c r="D163" s="45" t="s">
        <v>825</v>
      </c>
      <c r="E163" s="45" t="s">
        <v>234</v>
      </c>
      <c r="F163" s="45"/>
    </row>
    <row r="164" spans="1:6">
      <c r="A164" s="44"/>
      <c r="B164" s="45" t="s">
        <v>827</v>
      </c>
      <c r="C164" s="46" t="s">
        <v>828</v>
      </c>
      <c r="D164" s="45" t="s">
        <v>829</v>
      </c>
      <c r="E164" s="45" t="s">
        <v>234</v>
      </c>
      <c r="F164" s="45"/>
    </row>
    <row r="165" spans="1:6">
      <c r="A165" s="44"/>
      <c r="B165" s="45" t="s">
        <v>831</v>
      </c>
      <c r="C165" s="46" t="s">
        <v>832</v>
      </c>
      <c r="D165" s="45" t="s">
        <v>833</v>
      </c>
      <c r="E165" s="45" t="s">
        <v>234</v>
      </c>
      <c r="F165" s="45"/>
    </row>
    <row r="166" spans="1:6">
      <c r="A166" s="44"/>
      <c r="B166" s="45" t="s">
        <v>835</v>
      </c>
      <c r="C166" s="96" t="s">
        <v>836</v>
      </c>
      <c r="D166" s="71" t="s">
        <v>837</v>
      </c>
      <c r="E166" s="71" t="s">
        <v>800</v>
      </c>
      <c r="F166" s="71"/>
    </row>
    <row r="167" spans="1:6">
      <c r="A167" s="44"/>
      <c r="B167" s="45" t="s">
        <v>839</v>
      </c>
      <c r="C167" s="96" t="s">
        <v>840</v>
      </c>
      <c r="D167" s="71" t="s">
        <v>841</v>
      </c>
      <c r="E167" s="71" t="s">
        <v>800</v>
      </c>
      <c r="F167" s="71"/>
    </row>
    <row r="168" spans="1:6">
      <c r="A168" s="44"/>
      <c r="B168" s="45" t="s">
        <v>843</v>
      </c>
      <c r="C168" s="96" t="s">
        <v>844</v>
      </c>
      <c r="D168" s="71" t="s">
        <v>845</v>
      </c>
      <c r="E168" s="71" t="s">
        <v>800</v>
      </c>
      <c r="F168" s="71"/>
    </row>
    <row r="169" spans="1:6">
      <c r="A169" s="44"/>
      <c r="B169" s="45" t="s">
        <v>847</v>
      </c>
      <c r="C169" s="96" t="s">
        <v>848</v>
      </c>
      <c r="D169" s="71" t="s">
        <v>849</v>
      </c>
      <c r="E169" s="71" t="s">
        <v>800</v>
      </c>
      <c r="F169" s="71"/>
    </row>
    <row r="170" spans="1:6">
      <c r="A170" s="44"/>
      <c r="B170" s="45" t="s">
        <v>851</v>
      </c>
      <c r="C170" s="96" t="s">
        <v>852</v>
      </c>
      <c r="D170" s="71" t="s">
        <v>853</v>
      </c>
      <c r="E170" s="71" t="s">
        <v>800</v>
      </c>
      <c r="F170" s="71"/>
    </row>
    <row r="171" spans="1:6">
      <c r="A171" s="44"/>
      <c r="B171" s="45" t="s">
        <v>855</v>
      </c>
      <c r="C171" s="96" t="s">
        <v>856</v>
      </c>
      <c r="D171" s="71" t="s">
        <v>857</v>
      </c>
      <c r="E171" s="71" t="s">
        <v>800</v>
      </c>
      <c r="F171" s="71"/>
    </row>
    <row r="172" spans="1:6">
      <c r="A172" s="44"/>
      <c r="B172" s="45" t="s">
        <v>859</v>
      </c>
      <c r="C172" s="46" t="s">
        <v>860</v>
      </c>
      <c r="D172" s="45" t="s">
        <v>861</v>
      </c>
      <c r="E172" s="45" t="s">
        <v>234</v>
      </c>
      <c r="F172" s="45"/>
    </row>
    <row r="173" spans="1:6">
      <c r="A173" s="44"/>
      <c r="B173" s="45" t="s">
        <v>863</v>
      </c>
      <c r="C173" s="45" t="s">
        <v>864</v>
      </c>
      <c r="D173" s="45" t="s">
        <v>865</v>
      </c>
      <c r="E173" s="45" t="s">
        <v>314</v>
      </c>
      <c r="F173" s="45"/>
    </row>
    <row r="174" spans="1:6">
      <c r="A174" s="140"/>
      <c r="B174" s="141" t="s">
        <v>867</v>
      </c>
      <c r="C174" s="141"/>
      <c r="D174" s="141" t="s">
        <v>868</v>
      </c>
      <c r="E174" s="142" t="s">
        <v>234</v>
      </c>
      <c r="F174" s="143" t="s">
        <v>249</v>
      </c>
    </row>
    <row r="175" spans="1:6">
      <c r="A175" s="69"/>
      <c r="B175" s="70" t="s">
        <v>870</v>
      </c>
      <c r="C175" s="96" t="s">
        <v>871</v>
      </c>
      <c r="D175" s="71" t="s">
        <v>872</v>
      </c>
      <c r="E175" s="71" t="s">
        <v>795</v>
      </c>
      <c r="F175" s="71"/>
    </row>
    <row r="176" spans="1:6">
      <c r="A176" s="69"/>
      <c r="B176" s="70" t="s">
        <v>874</v>
      </c>
      <c r="C176" s="96" t="s">
        <v>875</v>
      </c>
      <c r="D176" s="71" t="s">
        <v>876</v>
      </c>
      <c r="E176" s="142" t="s">
        <v>234</v>
      </c>
      <c r="F176" s="71" t="s">
        <v>671</v>
      </c>
    </row>
    <row r="177" spans="1:6">
      <c r="A177" s="2"/>
      <c r="B177" s="156" t="s">
        <v>879</v>
      </c>
      <c r="C177" s="157"/>
      <c r="D177" s="158" t="s">
        <v>881</v>
      </c>
      <c r="E177" s="142" t="s">
        <v>234</v>
      </c>
      <c r="F177" s="71" t="s">
        <v>671</v>
      </c>
    </row>
    <row r="178" spans="1:6">
      <c r="A178" s="2"/>
      <c r="B178" s="156" t="s">
        <v>884</v>
      </c>
      <c r="C178" s="157"/>
      <c r="D178" s="158" t="s">
        <v>886</v>
      </c>
      <c r="E178" s="142" t="s">
        <v>234</v>
      </c>
      <c r="F178" s="71" t="s">
        <v>671</v>
      </c>
    </row>
    <row r="179" spans="1:6">
      <c r="A179" s="2"/>
      <c r="B179" s="156" t="s">
        <v>889</v>
      </c>
      <c r="C179" s="157"/>
      <c r="D179" s="158" t="s">
        <v>891</v>
      </c>
      <c r="E179" s="142" t="s">
        <v>234</v>
      </c>
      <c r="F179" s="71" t="s">
        <v>671</v>
      </c>
    </row>
    <row r="180" spans="1:6">
      <c r="A180" s="2"/>
      <c r="B180" s="156" t="s">
        <v>895</v>
      </c>
      <c r="C180" s="157"/>
      <c r="D180" s="158" t="s">
        <v>897</v>
      </c>
      <c r="E180" s="47" t="s">
        <v>234</v>
      </c>
      <c r="F180" s="61" t="s">
        <v>235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outlinePr summaryBelow="0" summaryRight="0"/>
  </sheetPr>
  <dimension ref="A1:AA932"/>
  <sheetViews>
    <sheetView workbookViewId="0">
      <selection activeCell="N51" sqref="A1:AA932"/>
    </sheetView>
  </sheetViews>
  <sheetFormatPr defaultColWidth="14.44140625" defaultRowHeight="15" customHeight="1"/>
  <cols>
    <col min="1" max="1" width="9.44140625" customWidth="1"/>
    <col min="2" max="2" width="9.6640625" customWidth="1"/>
    <col min="3" max="3" width="13.44140625" customWidth="1"/>
    <col min="4" max="4" width="10.88671875" customWidth="1"/>
    <col min="5" max="6" width="20.88671875" customWidth="1"/>
    <col min="7" max="8" width="9.109375" customWidth="1"/>
    <col min="9" max="9" width="15.88671875" customWidth="1"/>
    <col min="10" max="10" width="13" customWidth="1"/>
    <col min="11" max="11" width="6.6640625" customWidth="1"/>
    <col min="12" max="12" width="10.6640625" customWidth="1"/>
    <col min="13" max="13" width="12.44140625" customWidth="1"/>
    <col min="14" max="14" width="7.33203125" customWidth="1"/>
    <col min="15" max="15" width="13.88671875" customWidth="1"/>
    <col min="16" max="16" width="15.88671875" customWidth="1"/>
    <col min="17" max="17" width="8.5546875" customWidth="1"/>
    <col min="20" max="20" width="10.33203125" customWidth="1"/>
    <col min="21" max="21" width="14.88671875" customWidth="1"/>
  </cols>
  <sheetData>
    <row r="1" spans="1:27" ht="14.4">
      <c r="A1" s="281" t="s">
        <v>160</v>
      </c>
      <c r="B1" s="281" t="s">
        <v>1</v>
      </c>
      <c r="C1" s="282" t="s">
        <v>4</v>
      </c>
      <c r="D1" s="282" t="s">
        <v>161</v>
      </c>
      <c r="E1" s="281" t="s">
        <v>162</v>
      </c>
      <c r="F1" s="281" t="s">
        <v>163</v>
      </c>
      <c r="G1" s="352" t="s">
        <v>15</v>
      </c>
      <c r="H1" s="353" t="s">
        <v>174</v>
      </c>
      <c r="I1" s="283" t="s">
        <v>1100</v>
      </c>
      <c r="J1" s="283" t="s">
        <v>959</v>
      </c>
      <c r="K1" s="283" t="s">
        <v>960</v>
      </c>
      <c r="L1" s="283" t="s">
        <v>447</v>
      </c>
      <c r="M1" s="280" t="s">
        <v>931</v>
      </c>
      <c r="N1" s="354" t="s">
        <v>11</v>
      </c>
      <c r="O1" s="280" t="s">
        <v>1146</v>
      </c>
      <c r="P1" s="355" t="s">
        <v>1147</v>
      </c>
      <c r="Q1" s="283" t="s">
        <v>962</v>
      </c>
      <c r="R1" s="117"/>
      <c r="S1" s="117"/>
      <c r="T1" s="356" t="s">
        <v>1148</v>
      </c>
      <c r="U1" s="356" t="s">
        <v>1149</v>
      </c>
      <c r="V1" s="117"/>
      <c r="W1" s="117"/>
      <c r="X1" s="117"/>
      <c r="Y1" s="117"/>
      <c r="Z1" s="117"/>
      <c r="AA1" s="117"/>
    </row>
    <row r="2" spans="1:27" ht="14.4" hidden="1">
      <c r="A2" s="69"/>
      <c r="B2" s="69" t="s">
        <v>231</v>
      </c>
      <c r="C2" s="187" t="s">
        <v>232</v>
      </c>
      <c r="D2" s="69" t="s">
        <v>233</v>
      </c>
      <c r="E2" s="69" t="s">
        <v>234</v>
      </c>
      <c r="F2" s="69" t="s">
        <v>235</v>
      </c>
      <c r="G2" s="226">
        <f>VLOOKUP(B2,'Margin Calculation'!F:Y,20,0)</f>
        <v>1311.1911936000001</v>
      </c>
      <c r="H2" s="226">
        <f>VLOOKUP(B2,'Margin Calculation'!F:Z,21,0)</f>
        <v>1547.205608448</v>
      </c>
      <c r="I2" s="357" t="e">
        <f>Q2*1%</f>
        <v>#N/A</v>
      </c>
      <c r="J2" s="357" t="e">
        <f t="shared" ref="J2:J112" si="0">Q2*10%</f>
        <v>#N/A</v>
      </c>
      <c r="K2" s="357" t="e">
        <f t="shared" ref="K2:K112" si="1">Q2*5%</f>
        <v>#N/A</v>
      </c>
      <c r="L2" s="357" t="e">
        <f t="shared" ref="L2:L112" si="2">Q2*3%</f>
        <v>#N/A</v>
      </c>
      <c r="M2" s="357" t="e">
        <f t="shared" ref="M2:M112" si="3">G2+I2+J2+K2+L2</f>
        <v>#N/A</v>
      </c>
      <c r="N2" s="357" t="e">
        <f t="shared" ref="N2:N112" si="4">Q2-(Q2/1.18)</f>
        <v>#N/A</v>
      </c>
      <c r="O2" s="357" t="e">
        <f t="shared" ref="O2:O112" si="5">Q2-M2-N2</f>
        <v>#N/A</v>
      </c>
      <c r="P2" s="357" t="e">
        <f t="shared" ref="P2:P112" si="6">O2/Q2</f>
        <v>#N/A</v>
      </c>
      <c r="Q2" s="357" t="e">
        <f t="shared" ref="Q2:Q112" si="7">VLOOKUP(B2,T:U,2,0)</f>
        <v>#N/A</v>
      </c>
      <c r="R2" s="357"/>
      <c r="S2" s="357"/>
      <c r="T2" s="157" t="s">
        <v>651</v>
      </c>
      <c r="U2" s="358">
        <v>1760</v>
      </c>
      <c r="V2" s="357"/>
      <c r="W2" s="357"/>
      <c r="X2" s="357"/>
      <c r="Y2" s="357"/>
      <c r="Z2" s="357"/>
      <c r="AA2" s="357"/>
    </row>
    <row r="3" spans="1:27" ht="14.4">
      <c r="A3" s="69" t="s">
        <v>934</v>
      </c>
      <c r="B3" s="69" t="s">
        <v>240</v>
      </c>
      <c r="C3" s="187" t="s">
        <v>241</v>
      </c>
      <c r="D3" s="69" t="s">
        <v>242</v>
      </c>
      <c r="E3" s="69" t="s">
        <v>234</v>
      </c>
      <c r="F3" s="69" t="s">
        <v>235</v>
      </c>
      <c r="G3" s="226">
        <f>VLOOKUP(B3,'Margin Calculation'!F:Y,20,0)</f>
        <v>1066.3371935999999</v>
      </c>
      <c r="H3" s="226">
        <f>VLOOKUP(B3,'Margin Calculation'!F:Z,21,0)</f>
        <v>1258.2778884479999</v>
      </c>
      <c r="I3" s="235">
        <f t="shared" ref="I3:I4" si="8">Q3*2%</f>
        <v>35.200000000000003</v>
      </c>
      <c r="J3" s="235">
        <f t="shared" si="0"/>
        <v>176</v>
      </c>
      <c r="K3" s="235">
        <f t="shared" si="1"/>
        <v>88</v>
      </c>
      <c r="L3" s="235">
        <f t="shared" si="2"/>
        <v>52.8</v>
      </c>
      <c r="M3" s="287">
        <f t="shared" si="3"/>
        <v>1418.3371935999999</v>
      </c>
      <c r="N3" s="130">
        <f t="shared" si="4"/>
        <v>268.47457627118638</v>
      </c>
      <c r="O3" s="235">
        <f t="shared" si="5"/>
        <v>73.188230128813757</v>
      </c>
      <c r="P3" s="288">
        <f t="shared" si="6"/>
        <v>4.1584221664098725E-2</v>
      </c>
      <c r="Q3" s="235">
        <f t="shared" si="7"/>
        <v>1760</v>
      </c>
      <c r="R3" s="117"/>
      <c r="S3" s="117"/>
      <c r="T3" s="359" t="s">
        <v>599</v>
      </c>
      <c r="U3" s="359">
        <v>1760</v>
      </c>
      <c r="V3" s="117"/>
      <c r="W3" s="117"/>
      <c r="X3" s="117"/>
      <c r="Y3" s="117"/>
      <c r="Z3" s="117"/>
      <c r="AA3" s="117"/>
    </row>
    <row r="4" spans="1:27" ht="14.4">
      <c r="A4" s="69" t="s">
        <v>934</v>
      </c>
      <c r="B4" s="69" t="s">
        <v>246</v>
      </c>
      <c r="C4" s="187" t="s">
        <v>247</v>
      </c>
      <c r="D4" s="69" t="s">
        <v>248</v>
      </c>
      <c r="E4" s="69" t="s">
        <v>234</v>
      </c>
      <c r="F4" s="69" t="s">
        <v>249</v>
      </c>
      <c r="G4" s="226">
        <f>VLOOKUP(B4,'Margin Calculation'!F:Y,20,0)</f>
        <v>1521.9733235294116</v>
      </c>
      <c r="H4" s="226">
        <f>VLOOKUP(B4,'Margin Calculation'!F:Z,21,0)</f>
        <v>1795.9285217647055</v>
      </c>
      <c r="I4" s="235">
        <f t="shared" si="8"/>
        <v>56</v>
      </c>
      <c r="J4" s="235">
        <f t="shared" si="0"/>
        <v>280</v>
      </c>
      <c r="K4" s="235">
        <f t="shared" si="1"/>
        <v>140</v>
      </c>
      <c r="L4" s="235">
        <f t="shared" si="2"/>
        <v>84</v>
      </c>
      <c r="M4" s="287">
        <f t="shared" si="3"/>
        <v>2081.9733235294116</v>
      </c>
      <c r="N4" s="130">
        <f t="shared" si="4"/>
        <v>427.11864406779659</v>
      </c>
      <c r="O4" s="235">
        <f t="shared" si="5"/>
        <v>290.90803240279183</v>
      </c>
      <c r="P4" s="288">
        <f t="shared" si="6"/>
        <v>0.10389572585813994</v>
      </c>
      <c r="Q4" s="235">
        <f t="shared" si="7"/>
        <v>2800</v>
      </c>
      <c r="R4" s="117"/>
      <c r="S4" s="117"/>
      <c r="T4" s="359" t="s">
        <v>525</v>
      </c>
      <c r="U4" s="359">
        <v>640</v>
      </c>
      <c r="V4" s="117"/>
      <c r="W4" s="117"/>
      <c r="X4" s="117"/>
      <c r="Y4" s="117"/>
      <c r="Z4" s="117"/>
      <c r="AA4" s="117"/>
    </row>
    <row r="5" spans="1:27" ht="14.4" hidden="1">
      <c r="A5" s="69"/>
      <c r="B5" s="69" t="s">
        <v>253</v>
      </c>
      <c r="C5" s="187" t="s">
        <v>254</v>
      </c>
      <c r="D5" s="69" t="s">
        <v>255</v>
      </c>
      <c r="E5" s="69" t="s">
        <v>256</v>
      </c>
      <c r="F5" s="69" t="s">
        <v>257</v>
      </c>
      <c r="G5" s="226">
        <f>VLOOKUP(B5,'Margin Calculation'!F:Y,20,0)</f>
        <v>355.33344600000004</v>
      </c>
      <c r="H5" s="226">
        <f>VLOOKUP(B5,'Margin Calculation'!F:Z,21,0)</f>
        <v>397.97345952000006</v>
      </c>
      <c r="I5" s="357" t="e">
        <f t="shared" ref="I5:I13" si="9">Q5*1%</f>
        <v>#N/A</v>
      </c>
      <c r="J5" s="357" t="e">
        <f t="shared" si="0"/>
        <v>#N/A</v>
      </c>
      <c r="K5" s="357" t="e">
        <f t="shared" si="1"/>
        <v>#N/A</v>
      </c>
      <c r="L5" s="357" t="e">
        <f t="shared" si="2"/>
        <v>#N/A</v>
      </c>
      <c r="M5" s="357" t="e">
        <f t="shared" si="3"/>
        <v>#N/A</v>
      </c>
      <c r="N5" s="357" t="e">
        <f t="shared" si="4"/>
        <v>#N/A</v>
      </c>
      <c r="O5" s="357" t="e">
        <f t="shared" si="5"/>
        <v>#N/A</v>
      </c>
      <c r="P5" s="357" t="e">
        <f t="shared" si="6"/>
        <v>#N/A</v>
      </c>
      <c r="Q5" s="357" t="e">
        <f t="shared" si="7"/>
        <v>#N/A</v>
      </c>
      <c r="R5" s="357"/>
      <c r="S5" s="357"/>
      <c r="T5" s="157" t="s">
        <v>424</v>
      </c>
      <c r="U5" s="358">
        <v>2400</v>
      </c>
      <c r="V5" s="357"/>
      <c r="W5" s="357"/>
      <c r="X5" s="357"/>
      <c r="Y5" s="357"/>
      <c r="Z5" s="357"/>
      <c r="AA5" s="357"/>
    </row>
    <row r="6" spans="1:27" ht="14.4" hidden="1">
      <c r="A6" s="69"/>
      <c r="B6" s="69" t="s">
        <v>262</v>
      </c>
      <c r="C6" s="187" t="s">
        <v>263</v>
      </c>
      <c r="D6" s="69" t="s">
        <v>264</v>
      </c>
      <c r="E6" s="69" t="s">
        <v>256</v>
      </c>
      <c r="F6" s="69" t="s">
        <v>257</v>
      </c>
      <c r="G6" s="226">
        <f>VLOOKUP(B6,'Margin Calculation'!F:Y,20,0)</f>
        <v>355.33344600000004</v>
      </c>
      <c r="H6" s="226">
        <f>VLOOKUP(B6,'Margin Calculation'!F:Z,21,0)</f>
        <v>397.97345952000006</v>
      </c>
      <c r="I6" s="357" t="e">
        <f t="shared" si="9"/>
        <v>#N/A</v>
      </c>
      <c r="J6" s="357" t="e">
        <f t="shared" si="0"/>
        <v>#N/A</v>
      </c>
      <c r="K6" s="357" t="e">
        <f t="shared" si="1"/>
        <v>#N/A</v>
      </c>
      <c r="L6" s="357" t="e">
        <f t="shared" si="2"/>
        <v>#N/A</v>
      </c>
      <c r="M6" s="357" t="e">
        <f t="shared" si="3"/>
        <v>#N/A</v>
      </c>
      <c r="N6" s="357" t="e">
        <f t="shared" si="4"/>
        <v>#N/A</v>
      </c>
      <c r="O6" s="357" t="e">
        <f t="shared" si="5"/>
        <v>#N/A</v>
      </c>
      <c r="P6" s="357" t="e">
        <f t="shared" si="6"/>
        <v>#N/A</v>
      </c>
      <c r="Q6" s="357" t="e">
        <f t="shared" si="7"/>
        <v>#N/A</v>
      </c>
      <c r="R6" s="357"/>
      <c r="S6" s="357"/>
      <c r="T6" s="157" t="s">
        <v>246</v>
      </c>
      <c r="U6" s="358">
        <v>2800</v>
      </c>
      <c r="V6" s="357"/>
      <c r="W6" s="357"/>
      <c r="X6" s="357"/>
      <c r="Y6" s="357"/>
      <c r="Z6" s="357"/>
      <c r="AA6" s="357"/>
    </row>
    <row r="7" spans="1:27" ht="14.4" hidden="1">
      <c r="A7" s="69"/>
      <c r="B7" s="69" t="s">
        <v>267</v>
      </c>
      <c r="C7" s="187" t="s">
        <v>268</v>
      </c>
      <c r="D7" s="69" t="s">
        <v>269</v>
      </c>
      <c r="E7" s="69" t="s">
        <v>256</v>
      </c>
      <c r="F7" s="69" t="s">
        <v>257</v>
      </c>
      <c r="G7" s="226">
        <f>VLOOKUP(B7,'Margin Calculation'!F:Y,20,0)</f>
        <v>355.33344600000004</v>
      </c>
      <c r="H7" s="226">
        <f>VLOOKUP(B7,'Margin Calculation'!F:Z,21,0)</f>
        <v>397.97345952000006</v>
      </c>
      <c r="I7" s="357" t="e">
        <f t="shared" si="9"/>
        <v>#N/A</v>
      </c>
      <c r="J7" s="357" t="e">
        <f t="shared" si="0"/>
        <v>#N/A</v>
      </c>
      <c r="K7" s="357" t="e">
        <f t="shared" si="1"/>
        <v>#N/A</v>
      </c>
      <c r="L7" s="357" t="e">
        <f t="shared" si="2"/>
        <v>#N/A</v>
      </c>
      <c r="M7" s="357" t="e">
        <f t="shared" si="3"/>
        <v>#N/A</v>
      </c>
      <c r="N7" s="357" t="e">
        <f t="shared" si="4"/>
        <v>#N/A</v>
      </c>
      <c r="O7" s="357" t="e">
        <f t="shared" si="5"/>
        <v>#N/A</v>
      </c>
      <c r="P7" s="357" t="e">
        <f t="shared" si="6"/>
        <v>#N/A</v>
      </c>
      <c r="Q7" s="357" t="e">
        <f t="shared" si="7"/>
        <v>#N/A</v>
      </c>
      <c r="R7" s="357"/>
      <c r="S7" s="357"/>
      <c r="T7" s="157" t="s">
        <v>240</v>
      </c>
      <c r="U7" s="358">
        <v>1760</v>
      </c>
      <c r="V7" s="357"/>
      <c r="W7" s="357"/>
      <c r="X7" s="357"/>
      <c r="Y7" s="357"/>
      <c r="Z7" s="357"/>
      <c r="AA7" s="357"/>
    </row>
    <row r="8" spans="1:27" ht="14.4" hidden="1">
      <c r="A8" s="117"/>
      <c r="B8" s="117" t="s">
        <v>311</v>
      </c>
      <c r="C8" s="102" t="s">
        <v>312</v>
      </c>
      <c r="D8" s="117" t="s">
        <v>313</v>
      </c>
      <c r="E8" s="69" t="s">
        <v>314</v>
      </c>
      <c r="F8" s="69" t="s">
        <v>315</v>
      </c>
      <c r="G8" s="226">
        <f>VLOOKUP(B8,'Margin Calculation'!F:Y,20,0)</f>
        <v>911.25499500000001</v>
      </c>
      <c r="H8" s="226">
        <f>VLOOKUP(B8,'Margin Calculation'!F:Z,21,0)</f>
        <v>1075.2808940999998</v>
      </c>
      <c r="I8" s="357" t="e">
        <f t="shared" si="9"/>
        <v>#N/A</v>
      </c>
      <c r="J8" s="357" t="e">
        <f t="shared" si="0"/>
        <v>#N/A</v>
      </c>
      <c r="K8" s="357" t="e">
        <f t="shared" si="1"/>
        <v>#N/A</v>
      </c>
      <c r="L8" s="357" t="e">
        <f t="shared" si="2"/>
        <v>#N/A</v>
      </c>
      <c r="M8" s="357" t="e">
        <f t="shared" si="3"/>
        <v>#N/A</v>
      </c>
      <c r="N8" s="357" t="e">
        <f t="shared" si="4"/>
        <v>#N/A</v>
      </c>
      <c r="O8" s="357" t="e">
        <f t="shared" si="5"/>
        <v>#N/A</v>
      </c>
      <c r="P8" s="357" t="e">
        <f t="shared" si="6"/>
        <v>#N/A</v>
      </c>
      <c r="Q8" s="357" t="e">
        <f t="shared" si="7"/>
        <v>#N/A</v>
      </c>
      <c r="R8" s="357"/>
      <c r="S8" s="357"/>
      <c r="T8" s="157" t="s">
        <v>500</v>
      </c>
      <c r="U8" s="358">
        <v>800</v>
      </c>
      <c r="V8" s="357"/>
      <c r="W8" s="357"/>
      <c r="X8" s="357"/>
      <c r="Y8" s="357"/>
      <c r="Z8" s="357"/>
      <c r="AA8" s="357"/>
    </row>
    <row r="9" spans="1:27" ht="14.4" hidden="1">
      <c r="A9" s="117"/>
      <c r="B9" s="117" t="s">
        <v>324</v>
      </c>
      <c r="C9" s="102" t="s">
        <v>325</v>
      </c>
      <c r="D9" s="117" t="s">
        <v>326</v>
      </c>
      <c r="E9" s="69" t="s">
        <v>234</v>
      </c>
      <c r="F9" s="69" t="s">
        <v>235</v>
      </c>
      <c r="G9" s="226">
        <f>VLOOKUP(B9,'Margin Calculation'!F:Y,20,0)</f>
        <v>1278.2511936000001</v>
      </c>
      <c r="H9" s="226">
        <f>VLOOKUP(B9,'Margin Calculation'!F:Z,21,0)</f>
        <v>1508.3364084479999</v>
      </c>
      <c r="I9" s="357" t="e">
        <f t="shared" si="9"/>
        <v>#N/A</v>
      </c>
      <c r="J9" s="357" t="e">
        <f t="shared" si="0"/>
        <v>#N/A</v>
      </c>
      <c r="K9" s="357" t="e">
        <f t="shared" si="1"/>
        <v>#N/A</v>
      </c>
      <c r="L9" s="357" t="e">
        <f t="shared" si="2"/>
        <v>#N/A</v>
      </c>
      <c r="M9" s="357" t="e">
        <f t="shared" si="3"/>
        <v>#N/A</v>
      </c>
      <c r="N9" s="357" t="e">
        <f t="shared" si="4"/>
        <v>#N/A</v>
      </c>
      <c r="O9" s="357" t="e">
        <f t="shared" si="5"/>
        <v>#N/A</v>
      </c>
      <c r="P9" s="357" t="e">
        <f t="shared" si="6"/>
        <v>#N/A</v>
      </c>
      <c r="Q9" s="357" t="e">
        <f t="shared" si="7"/>
        <v>#N/A</v>
      </c>
      <c r="R9" s="357"/>
      <c r="S9" s="357"/>
      <c r="T9" s="157" t="s">
        <v>584</v>
      </c>
      <c r="U9" s="358">
        <v>2800</v>
      </c>
      <c r="V9" s="357"/>
      <c r="W9" s="357"/>
      <c r="X9" s="357"/>
      <c r="Y9" s="357"/>
      <c r="Z9" s="357"/>
      <c r="AA9" s="357"/>
    </row>
    <row r="10" spans="1:27" ht="14.4" hidden="1">
      <c r="A10" s="69"/>
      <c r="B10" s="69" t="s">
        <v>402</v>
      </c>
      <c r="C10" s="69" t="s">
        <v>403</v>
      </c>
      <c r="D10" s="69" t="s">
        <v>404</v>
      </c>
      <c r="E10" s="69" t="s">
        <v>314</v>
      </c>
      <c r="F10" s="69" t="s">
        <v>315</v>
      </c>
      <c r="G10" s="226">
        <f>VLOOKUP(B10,'Margin Calculation'!F:Y,20,0)</f>
        <v>165.75408000000002</v>
      </c>
      <c r="H10" s="226">
        <f>VLOOKUP(B10,'Margin Calculation'!F:Z,21,0)</f>
        <v>195.58981439999999</v>
      </c>
      <c r="I10" s="357" t="e">
        <f t="shared" si="9"/>
        <v>#N/A</v>
      </c>
      <c r="J10" s="357" t="e">
        <f t="shared" si="0"/>
        <v>#N/A</v>
      </c>
      <c r="K10" s="357" t="e">
        <f t="shared" si="1"/>
        <v>#N/A</v>
      </c>
      <c r="L10" s="357" t="e">
        <f t="shared" si="2"/>
        <v>#N/A</v>
      </c>
      <c r="M10" s="357" t="e">
        <f t="shared" si="3"/>
        <v>#N/A</v>
      </c>
      <c r="N10" s="357" t="e">
        <f t="shared" si="4"/>
        <v>#N/A</v>
      </c>
      <c r="O10" s="357" t="e">
        <f t="shared" si="5"/>
        <v>#N/A</v>
      </c>
      <c r="P10" s="357" t="e">
        <f t="shared" si="6"/>
        <v>#N/A</v>
      </c>
      <c r="Q10" s="357" t="e">
        <f t="shared" si="7"/>
        <v>#N/A</v>
      </c>
      <c r="R10" s="357"/>
      <c r="S10" s="357"/>
      <c r="T10" s="157" t="s">
        <v>704</v>
      </c>
      <c r="U10" s="358">
        <v>4800</v>
      </c>
      <c r="V10" s="357"/>
      <c r="W10" s="357"/>
      <c r="X10" s="357"/>
      <c r="Y10" s="357"/>
      <c r="Z10" s="357"/>
      <c r="AA10" s="357"/>
    </row>
    <row r="11" spans="1:27" ht="14.4" hidden="1">
      <c r="A11" s="69"/>
      <c r="B11" s="69" t="s">
        <v>406</v>
      </c>
      <c r="C11" s="69" t="s">
        <v>407</v>
      </c>
      <c r="D11" s="69" t="s">
        <v>408</v>
      </c>
      <c r="E11" s="69" t="s">
        <v>314</v>
      </c>
      <c r="F11" s="69" t="s">
        <v>315</v>
      </c>
      <c r="G11" s="226">
        <f>VLOOKUP(B11,'Margin Calculation'!F:Y,20,0)</f>
        <v>251.99100000000001</v>
      </c>
      <c r="H11" s="226">
        <f>VLOOKUP(B11,'Margin Calculation'!F:Z,21,0)</f>
        <v>297.34938</v>
      </c>
      <c r="I11" s="357" t="e">
        <f t="shared" si="9"/>
        <v>#N/A</v>
      </c>
      <c r="J11" s="357" t="e">
        <f t="shared" si="0"/>
        <v>#N/A</v>
      </c>
      <c r="K11" s="357" t="e">
        <f t="shared" si="1"/>
        <v>#N/A</v>
      </c>
      <c r="L11" s="357" t="e">
        <f t="shared" si="2"/>
        <v>#N/A</v>
      </c>
      <c r="M11" s="357" t="e">
        <f t="shared" si="3"/>
        <v>#N/A</v>
      </c>
      <c r="N11" s="357" t="e">
        <f t="shared" si="4"/>
        <v>#N/A</v>
      </c>
      <c r="O11" s="357" t="e">
        <f t="shared" si="5"/>
        <v>#N/A</v>
      </c>
      <c r="P11" s="357" t="e">
        <f t="shared" si="6"/>
        <v>#N/A</v>
      </c>
      <c r="Q11" s="357" t="e">
        <f t="shared" si="7"/>
        <v>#N/A</v>
      </c>
      <c r="R11" s="357"/>
      <c r="S11" s="357"/>
      <c r="T11" s="157" t="s">
        <v>688</v>
      </c>
      <c r="U11" s="358">
        <v>1440</v>
      </c>
      <c r="V11" s="357"/>
      <c r="W11" s="357"/>
      <c r="X11" s="357"/>
      <c r="Y11" s="357"/>
      <c r="Z11" s="357"/>
      <c r="AA11" s="357"/>
    </row>
    <row r="12" spans="1:27" ht="14.4" hidden="1">
      <c r="A12" s="69"/>
      <c r="B12" s="69" t="s">
        <v>411</v>
      </c>
      <c r="C12" s="69" t="s">
        <v>412</v>
      </c>
      <c r="D12" s="69" t="s">
        <v>413</v>
      </c>
      <c r="E12" s="69" t="s">
        <v>314</v>
      </c>
      <c r="F12" s="69" t="s">
        <v>315</v>
      </c>
      <c r="G12" s="226">
        <f>VLOOKUP(B12,'Margin Calculation'!F:Y,20,0)</f>
        <v>251.99100000000001</v>
      </c>
      <c r="H12" s="226">
        <f>VLOOKUP(B12,'Margin Calculation'!F:Z,21,0)</f>
        <v>297.34938</v>
      </c>
      <c r="I12" s="357" t="e">
        <f t="shared" si="9"/>
        <v>#N/A</v>
      </c>
      <c r="J12" s="357" t="e">
        <f t="shared" si="0"/>
        <v>#N/A</v>
      </c>
      <c r="K12" s="357" t="e">
        <f t="shared" si="1"/>
        <v>#N/A</v>
      </c>
      <c r="L12" s="357" t="e">
        <f t="shared" si="2"/>
        <v>#N/A</v>
      </c>
      <c r="M12" s="357" t="e">
        <f t="shared" si="3"/>
        <v>#N/A</v>
      </c>
      <c r="N12" s="357" t="e">
        <f t="shared" si="4"/>
        <v>#N/A</v>
      </c>
      <c r="O12" s="357" t="e">
        <f t="shared" si="5"/>
        <v>#N/A</v>
      </c>
      <c r="P12" s="357" t="e">
        <f t="shared" si="6"/>
        <v>#N/A</v>
      </c>
      <c r="Q12" s="357" t="e">
        <f t="shared" si="7"/>
        <v>#N/A</v>
      </c>
      <c r="R12" s="357"/>
      <c r="S12" s="357"/>
      <c r="T12" s="157" t="s">
        <v>454</v>
      </c>
      <c r="U12" s="358">
        <v>1600</v>
      </c>
      <c r="V12" s="357"/>
      <c r="W12" s="357"/>
      <c r="X12" s="357"/>
      <c r="Y12" s="357"/>
      <c r="Z12" s="357"/>
      <c r="AA12" s="357"/>
    </row>
    <row r="13" spans="1:27" ht="14.4" hidden="1">
      <c r="A13" s="69"/>
      <c r="B13" s="69" t="s">
        <v>418</v>
      </c>
      <c r="C13" s="102" t="s">
        <v>419</v>
      </c>
      <c r="D13" s="69" t="s">
        <v>420</v>
      </c>
      <c r="E13" s="69" t="s">
        <v>234</v>
      </c>
      <c r="F13" s="69" t="s">
        <v>249</v>
      </c>
      <c r="G13" s="226">
        <f>VLOOKUP(B13,'Margin Calculation'!F:Y,20,0)</f>
        <v>1159.1586</v>
      </c>
      <c r="H13" s="226">
        <f>VLOOKUP(B13,'Margin Calculation'!F:Z,21,0)</f>
        <v>1367.8071479999999</v>
      </c>
      <c r="I13" s="357" t="e">
        <f t="shared" si="9"/>
        <v>#N/A</v>
      </c>
      <c r="J13" s="357" t="e">
        <f t="shared" si="0"/>
        <v>#N/A</v>
      </c>
      <c r="K13" s="357" t="e">
        <f t="shared" si="1"/>
        <v>#N/A</v>
      </c>
      <c r="L13" s="357" t="e">
        <f t="shared" si="2"/>
        <v>#N/A</v>
      </c>
      <c r="M13" s="357" t="e">
        <f t="shared" si="3"/>
        <v>#N/A</v>
      </c>
      <c r="N13" s="357" t="e">
        <f t="shared" si="4"/>
        <v>#N/A</v>
      </c>
      <c r="O13" s="357" t="e">
        <f t="shared" si="5"/>
        <v>#N/A</v>
      </c>
      <c r="P13" s="357" t="e">
        <f t="shared" si="6"/>
        <v>#N/A</v>
      </c>
      <c r="Q13" s="357" t="e">
        <f t="shared" si="7"/>
        <v>#N/A</v>
      </c>
      <c r="R13" s="357"/>
      <c r="S13" s="357"/>
      <c r="T13" s="157" t="s">
        <v>625</v>
      </c>
      <c r="U13" s="358">
        <v>1920</v>
      </c>
      <c r="V13" s="357"/>
      <c r="W13" s="357"/>
      <c r="X13" s="357"/>
      <c r="Y13" s="357"/>
      <c r="Z13" s="357"/>
      <c r="AA13" s="357"/>
    </row>
    <row r="14" spans="1:27" ht="14.4">
      <c r="A14" s="69" t="s">
        <v>934</v>
      </c>
      <c r="B14" s="69" t="s">
        <v>424</v>
      </c>
      <c r="C14" s="102" t="s">
        <v>425</v>
      </c>
      <c r="D14" s="69" t="s">
        <v>426</v>
      </c>
      <c r="E14" s="69" t="s">
        <v>234</v>
      </c>
      <c r="F14" s="69" t="s">
        <v>249</v>
      </c>
      <c r="G14" s="226">
        <f>VLOOKUP(B14,'Margin Calculation'!F:Y,20,0)</f>
        <v>957.84120000000019</v>
      </c>
      <c r="H14" s="226">
        <f>VLOOKUP(B14,'Margin Calculation'!F:Z,21,0)</f>
        <v>1130.2526160000002</v>
      </c>
      <c r="I14" s="235">
        <f>Q14*2%</f>
        <v>48</v>
      </c>
      <c r="J14" s="235">
        <f t="shared" si="0"/>
        <v>240</v>
      </c>
      <c r="K14" s="235">
        <f t="shared" si="1"/>
        <v>120</v>
      </c>
      <c r="L14" s="235">
        <f t="shared" si="2"/>
        <v>72</v>
      </c>
      <c r="M14" s="287">
        <f t="shared" si="3"/>
        <v>1437.8412000000003</v>
      </c>
      <c r="N14" s="130">
        <f t="shared" si="4"/>
        <v>366.10169491525403</v>
      </c>
      <c r="O14" s="235">
        <f t="shared" si="5"/>
        <v>596.05710508474567</v>
      </c>
      <c r="P14" s="288">
        <f t="shared" si="6"/>
        <v>0.24835712711864402</v>
      </c>
      <c r="Q14" s="235">
        <f t="shared" si="7"/>
        <v>2400</v>
      </c>
      <c r="R14" s="117"/>
      <c r="S14" s="117"/>
      <c r="T14" s="359" t="s">
        <v>740</v>
      </c>
      <c r="U14" s="359">
        <v>1600</v>
      </c>
      <c r="V14" s="117"/>
      <c r="W14" s="117"/>
      <c r="X14" s="117"/>
      <c r="Y14" s="117"/>
      <c r="Z14" s="117"/>
      <c r="AA14" s="117"/>
    </row>
    <row r="15" spans="1:27" ht="14.4" hidden="1">
      <c r="A15" s="69"/>
      <c r="B15" s="69" t="s">
        <v>434</v>
      </c>
      <c r="C15" s="102" t="s">
        <v>435</v>
      </c>
      <c r="D15" s="69" t="s">
        <v>436</v>
      </c>
      <c r="E15" s="69" t="s">
        <v>314</v>
      </c>
      <c r="F15" s="69" t="s">
        <v>437</v>
      </c>
      <c r="G15" s="226">
        <f>VLOOKUP(B15,'Margin Calculation'!F:Y,20,0)</f>
        <v>456.50304000000006</v>
      </c>
      <c r="H15" s="226">
        <f>VLOOKUP(B15,'Margin Calculation'!F:Z,21,0)</f>
        <v>538.67358720000004</v>
      </c>
      <c r="I15" s="357" t="e">
        <f t="shared" ref="I15:I17" si="10">Q15*1%</f>
        <v>#N/A</v>
      </c>
      <c r="J15" s="357" t="e">
        <f t="shared" si="0"/>
        <v>#N/A</v>
      </c>
      <c r="K15" s="357" t="e">
        <f t="shared" si="1"/>
        <v>#N/A</v>
      </c>
      <c r="L15" s="357" t="e">
        <f t="shared" si="2"/>
        <v>#N/A</v>
      </c>
      <c r="M15" s="357" t="e">
        <f t="shared" si="3"/>
        <v>#N/A</v>
      </c>
      <c r="N15" s="357" t="e">
        <f t="shared" si="4"/>
        <v>#N/A</v>
      </c>
      <c r="O15" s="357" t="e">
        <f t="shared" si="5"/>
        <v>#N/A</v>
      </c>
      <c r="P15" s="357" t="e">
        <f t="shared" si="6"/>
        <v>#N/A</v>
      </c>
      <c r="Q15" s="357" t="e">
        <f t="shared" si="7"/>
        <v>#N/A</v>
      </c>
      <c r="R15" s="357"/>
      <c r="S15" s="357"/>
      <c r="T15" s="157" t="s">
        <v>810</v>
      </c>
      <c r="U15" s="358">
        <v>960</v>
      </c>
      <c r="V15" s="357"/>
      <c r="W15" s="357"/>
      <c r="X15" s="357"/>
      <c r="Y15" s="357"/>
      <c r="Z15" s="357"/>
      <c r="AA15" s="357"/>
    </row>
    <row r="16" spans="1:27" ht="14.4" hidden="1">
      <c r="A16" s="69"/>
      <c r="B16" s="69" t="s">
        <v>441</v>
      </c>
      <c r="C16" s="102" t="s">
        <v>442</v>
      </c>
      <c r="D16" s="69" t="s">
        <v>443</v>
      </c>
      <c r="E16" s="69" t="s">
        <v>314</v>
      </c>
      <c r="F16" s="69" t="s">
        <v>444</v>
      </c>
      <c r="G16" s="226">
        <f>VLOOKUP(B16,'Margin Calculation'!F:Y,20,0)</f>
        <v>443.50416000000001</v>
      </c>
      <c r="H16" s="226">
        <f>VLOOKUP(B16,'Margin Calculation'!F:Z,21,0)</f>
        <v>523.33490879999999</v>
      </c>
      <c r="I16" s="357" t="e">
        <f t="shared" si="10"/>
        <v>#N/A</v>
      </c>
      <c r="J16" s="357" t="e">
        <f t="shared" si="0"/>
        <v>#N/A</v>
      </c>
      <c r="K16" s="357" t="e">
        <f t="shared" si="1"/>
        <v>#N/A</v>
      </c>
      <c r="L16" s="357" t="e">
        <f t="shared" si="2"/>
        <v>#N/A</v>
      </c>
      <c r="M16" s="357" t="e">
        <f t="shared" si="3"/>
        <v>#N/A</v>
      </c>
      <c r="N16" s="357" t="e">
        <f t="shared" si="4"/>
        <v>#N/A</v>
      </c>
      <c r="O16" s="357" t="e">
        <f t="shared" si="5"/>
        <v>#N/A</v>
      </c>
      <c r="P16" s="357" t="e">
        <f t="shared" si="6"/>
        <v>#N/A</v>
      </c>
      <c r="Q16" s="357" t="e">
        <f t="shared" si="7"/>
        <v>#N/A</v>
      </c>
      <c r="R16" s="357"/>
      <c r="S16" s="357"/>
      <c r="T16" s="157" t="s">
        <v>783</v>
      </c>
      <c r="U16" s="358">
        <v>2400</v>
      </c>
      <c r="V16" s="357"/>
      <c r="W16" s="357"/>
      <c r="X16" s="357"/>
      <c r="Y16" s="357"/>
      <c r="Z16" s="357"/>
      <c r="AA16" s="357"/>
    </row>
    <row r="17" spans="1:27" ht="14.4" hidden="1">
      <c r="A17" s="69"/>
      <c r="B17" s="69" t="s">
        <v>448</v>
      </c>
      <c r="C17" s="102" t="s">
        <v>449</v>
      </c>
      <c r="D17" s="69" t="s">
        <v>450</v>
      </c>
      <c r="E17" s="69" t="s">
        <v>314</v>
      </c>
      <c r="F17" s="69" t="s">
        <v>444</v>
      </c>
      <c r="G17" s="226">
        <f>VLOOKUP(B17,'Margin Calculation'!F:Y,20,0)</f>
        <v>520.78140000000008</v>
      </c>
      <c r="H17" s="226">
        <f>VLOOKUP(B17,'Margin Calculation'!F:Z,21,0)</f>
        <v>614.52205200000003</v>
      </c>
      <c r="I17" s="357" t="e">
        <f t="shared" si="10"/>
        <v>#N/A</v>
      </c>
      <c r="J17" s="357" t="e">
        <f t="shared" si="0"/>
        <v>#N/A</v>
      </c>
      <c r="K17" s="357" t="e">
        <f t="shared" si="1"/>
        <v>#N/A</v>
      </c>
      <c r="L17" s="357" t="e">
        <f t="shared" si="2"/>
        <v>#N/A</v>
      </c>
      <c r="M17" s="357" t="e">
        <f t="shared" si="3"/>
        <v>#N/A</v>
      </c>
      <c r="N17" s="357" t="e">
        <f t="shared" si="4"/>
        <v>#N/A</v>
      </c>
      <c r="O17" s="357" t="e">
        <f t="shared" si="5"/>
        <v>#N/A</v>
      </c>
      <c r="P17" s="357" t="e">
        <f t="shared" si="6"/>
        <v>#N/A</v>
      </c>
      <c r="Q17" s="357" t="e">
        <f t="shared" si="7"/>
        <v>#N/A</v>
      </c>
      <c r="R17" s="357"/>
      <c r="S17" s="357"/>
      <c r="T17" s="157" t="s">
        <v>788</v>
      </c>
      <c r="U17" s="358">
        <v>5120</v>
      </c>
      <c r="V17" s="357"/>
      <c r="W17" s="357"/>
      <c r="X17" s="357"/>
      <c r="Y17" s="357"/>
      <c r="Z17" s="357"/>
      <c r="AA17" s="357"/>
    </row>
    <row r="18" spans="1:27" ht="14.4">
      <c r="A18" s="69" t="s">
        <v>934</v>
      </c>
      <c r="B18" s="102" t="s">
        <v>454</v>
      </c>
      <c r="C18" s="102" t="s">
        <v>455</v>
      </c>
      <c r="D18" s="69" t="s">
        <v>456</v>
      </c>
      <c r="E18" s="69" t="s">
        <v>234</v>
      </c>
      <c r="F18" s="69" t="s">
        <v>235</v>
      </c>
      <c r="G18" s="226">
        <f>VLOOKUP(B18,'Margin Calculation'!F:Y,20,0)</f>
        <v>839.97</v>
      </c>
      <c r="H18" s="226">
        <f>VLOOKUP(B18,'Margin Calculation'!F:Z,21,0)</f>
        <v>991.16459999999995</v>
      </c>
      <c r="I18" s="235">
        <f>Q18*2%</f>
        <v>32</v>
      </c>
      <c r="J18" s="235">
        <f t="shared" si="0"/>
        <v>160</v>
      </c>
      <c r="K18" s="235">
        <f t="shared" si="1"/>
        <v>80</v>
      </c>
      <c r="L18" s="235">
        <f t="shared" si="2"/>
        <v>48</v>
      </c>
      <c r="M18" s="287">
        <f t="shared" si="3"/>
        <v>1159.97</v>
      </c>
      <c r="N18" s="130">
        <f t="shared" si="4"/>
        <v>244.06779661016935</v>
      </c>
      <c r="O18" s="235">
        <f t="shared" si="5"/>
        <v>195.96220338983062</v>
      </c>
      <c r="P18" s="288">
        <f t="shared" si="6"/>
        <v>0.12247637711864413</v>
      </c>
      <c r="Q18" s="235">
        <f t="shared" si="7"/>
        <v>1600</v>
      </c>
      <c r="R18" s="117"/>
      <c r="S18" s="117"/>
      <c r="T18" s="359" t="s">
        <v>815</v>
      </c>
      <c r="U18" s="359">
        <v>960</v>
      </c>
      <c r="V18" s="117"/>
      <c r="W18" s="117"/>
      <c r="X18" s="117"/>
      <c r="Y18" s="117"/>
      <c r="Z18" s="117"/>
      <c r="AA18" s="117"/>
    </row>
    <row r="19" spans="1:27" ht="14.4" hidden="1">
      <c r="A19" s="69"/>
      <c r="B19" s="69" t="s">
        <v>458</v>
      </c>
      <c r="C19" s="187"/>
      <c r="D19" s="69" t="s">
        <v>459</v>
      </c>
      <c r="E19" s="69" t="s">
        <v>234</v>
      </c>
      <c r="F19" s="69" t="s">
        <v>235</v>
      </c>
      <c r="G19" s="226">
        <f>VLOOKUP(B19,'Margin Calculation'!F:Y,20,0)</f>
        <v>414.3852</v>
      </c>
      <c r="H19" s="226">
        <f>VLOOKUP(B19,'Margin Calculation'!F:Z,21,0)</f>
        <v>488.97453599999994</v>
      </c>
      <c r="I19" s="357" t="e">
        <f t="shared" ref="I19:I25" si="11">Q19*1%</f>
        <v>#N/A</v>
      </c>
      <c r="J19" s="357" t="e">
        <f t="shared" si="0"/>
        <v>#N/A</v>
      </c>
      <c r="K19" s="357" t="e">
        <f t="shared" si="1"/>
        <v>#N/A</v>
      </c>
      <c r="L19" s="357" t="e">
        <f t="shared" si="2"/>
        <v>#N/A</v>
      </c>
      <c r="M19" s="357" t="e">
        <f t="shared" si="3"/>
        <v>#N/A</v>
      </c>
      <c r="N19" s="357" t="e">
        <f t="shared" si="4"/>
        <v>#N/A</v>
      </c>
      <c r="O19" s="357" t="e">
        <f t="shared" si="5"/>
        <v>#N/A</v>
      </c>
      <c r="P19" s="357" t="e">
        <f t="shared" si="6"/>
        <v>#N/A</v>
      </c>
      <c r="Q19" s="357" t="e">
        <f t="shared" si="7"/>
        <v>#N/A</v>
      </c>
      <c r="R19" s="357"/>
      <c r="S19" s="357"/>
      <c r="T19" s="157" t="s">
        <v>1150</v>
      </c>
      <c r="U19" s="358">
        <v>1600</v>
      </c>
      <c r="V19" s="357"/>
      <c r="W19" s="357"/>
      <c r="X19" s="357"/>
      <c r="Y19" s="357"/>
      <c r="Z19" s="357"/>
      <c r="AA19" s="357"/>
    </row>
    <row r="20" spans="1:27" ht="14.4" hidden="1">
      <c r="A20" s="69"/>
      <c r="B20" s="69" t="s">
        <v>462</v>
      </c>
      <c r="C20" s="211" t="s">
        <v>463</v>
      </c>
      <c r="D20" s="69" t="s">
        <v>464</v>
      </c>
      <c r="E20" s="69" t="s">
        <v>314</v>
      </c>
      <c r="F20" s="69" t="s">
        <v>465</v>
      </c>
      <c r="G20" s="226">
        <f>VLOOKUP(B20,'Margin Calculation'!F:Y,20,0)</f>
        <v>615.97800000000007</v>
      </c>
      <c r="H20" s="226">
        <f>VLOOKUP(B20,'Margin Calculation'!F:Z,21,0)</f>
        <v>726.85404000000005</v>
      </c>
      <c r="I20" s="357" t="e">
        <f t="shared" si="11"/>
        <v>#N/A</v>
      </c>
      <c r="J20" s="357" t="e">
        <f t="shared" si="0"/>
        <v>#N/A</v>
      </c>
      <c r="K20" s="357" t="e">
        <f t="shared" si="1"/>
        <v>#N/A</v>
      </c>
      <c r="L20" s="357" t="e">
        <f t="shared" si="2"/>
        <v>#N/A</v>
      </c>
      <c r="M20" s="357" t="e">
        <f t="shared" si="3"/>
        <v>#N/A</v>
      </c>
      <c r="N20" s="357" t="e">
        <f t="shared" si="4"/>
        <v>#N/A</v>
      </c>
      <c r="O20" s="357" t="e">
        <f t="shared" si="5"/>
        <v>#N/A</v>
      </c>
      <c r="P20" s="357" t="e">
        <f t="shared" si="6"/>
        <v>#N/A</v>
      </c>
      <c r="Q20" s="357" t="e">
        <f t="shared" si="7"/>
        <v>#N/A</v>
      </c>
      <c r="R20" s="357"/>
      <c r="S20" s="357"/>
      <c r="T20" s="157" t="s">
        <v>859</v>
      </c>
      <c r="U20" s="358">
        <v>3200</v>
      </c>
      <c r="V20" s="357"/>
      <c r="W20" s="357"/>
      <c r="X20" s="357"/>
      <c r="Y20" s="357"/>
      <c r="Z20" s="357"/>
      <c r="AA20" s="357"/>
    </row>
    <row r="21" spans="1:27" ht="14.4" hidden="1">
      <c r="A21" s="69"/>
      <c r="B21" s="69" t="s">
        <v>468</v>
      </c>
      <c r="C21" s="211" t="s">
        <v>469</v>
      </c>
      <c r="D21" s="69" t="s">
        <v>470</v>
      </c>
      <c r="E21" s="69" t="s">
        <v>314</v>
      </c>
      <c r="F21" s="69" t="s">
        <v>465</v>
      </c>
      <c r="G21" s="226">
        <f>VLOOKUP(B21,'Margin Calculation'!F:Y,20,0)</f>
        <v>559.9799999999999</v>
      </c>
      <c r="H21" s="226">
        <f>VLOOKUP(B21,'Margin Calculation'!F:Z,21,0)</f>
        <v>660.77639999999985</v>
      </c>
      <c r="I21" s="357" t="e">
        <f t="shared" si="11"/>
        <v>#N/A</v>
      </c>
      <c r="J21" s="357" t="e">
        <f t="shared" si="0"/>
        <v>#N/A</v>
      </c>
      <c r="K21" s="357" t="e">
        <f t="shared" si="1"/>
        <v>#N/A</v>
      </c>
      <c r="L21" s="357" t="e">
        <f t="shared" si="2"/>
        <v>#N/A</v>
      </c>
      <c r="M21" s="357" t="e">
        <f t="shared" si="3"/>
        <v>#N/A</v>
      </c>
      <c r="N21" s="357" t="e">
        <f t="shared" si="4"/>
        <v>#N/A</v>
      </c>
      <c r="O21" s="357" t="e">
        <f t="shared" si="5"/>
        <v>#N/A</v>
      </c>
      <c r="P21" s="357" t="e">
        <f t="shared" si="6"/>
        <v>#N/A</v>
      </c>
      <c r="Q21" s="357" t="e">
        <f t="shared" si="7"/>
        <v>#N/A</v>
      </c>
      <c r="R21" s="357"/>
      <c r="S21" s="357"/>
      <c r="T21" s="157" t="s">
        <v>512</v>
      </c>
      <c r="U21" s="358">
        <v>800</v>
      </c>
      <c r="V21" s="357"/>
      <c r="W21" s="357"/>
      <c r="X21" s="357"/>
      <c r="Y21" s="357"/>
      <c r="Z21" s="357"/>
      <c r="AA21" s="357"/>
    </row>
    <row r="22" spans="1:27" ht="14.4" hidden="1">
      <c r="A22" s="69"/>
      <c r="B22" s="69" t="s">
        <v>485</v>
      </c>
      <c r="C22" s="187"/>
      <c r="D22" s="69" t="s">
        <v>486</v>
      </c>
      <c r="E22" s="69" t="s">
        <v>234</v>
      </c>
      <c r="F22" s="69" t="s">
        <v>235</v>
      </c>
      <c r="G22" s="226">
        <f>VLOOKUP(B22,'Margin Calculation'!F:Y,20,0)</f>
        <v>321.42851999999999</v>
      </c>
      <c r="H22" s="226">
        <f>VLOOKUP(B22,'Margin Calculation'!F:Z,21,0)</f>
        <v>379.28565359999999</v>
      </c>
      <c r="I22" s="357" t="e">
        <f t="shared" si="11"/>
        <v>#N/A</v>
      </c>
      <c r="J22" s="357" t="e">
        <f t="shared" si="0"/>
        <v>#N/A</v>
      </c>
      <c r="K22" s="357" t="e">
        <f t="shared" si="1"/>
        <v>#N/A</v>
      </c>
      <c r="L22" s="357" t="e">
        <f t="shared" si="2"/>
        <v>#N/A</v>
      </c>
      <c r="M22" s="357" t="e">
        <f t="shared" si="3"/>
        <v>#N/A</v>
      </c>
      <c r="N22" s="357" t="e">
        <f t="shared" si="4"/>
        <v>#N/A</v>
      </c>
      <c r="O22" s="357" t="e">
        <f t="shared" si="5"/>
        <v>#N/A</v>
      </c>
      <c r="P22" s="357" t="e">
        <f t="shared" si="6"/>
        <v>#N/A</v>
      </c>
      <c r="Q22" s="357" t="e">
        <f t="shared" si="7"/>
        <v>#N/A</v>
      </c>
      <c r="R22" s="357"/>
      <c r="S22" s="357"/>
      <c r="T22" s="157" t="s">
        <v>589</v>
      </c>
      <c r="U22" s="358">
        <v>1760</v>
      </c>
      <c r="V22" s="357"/>
      <c r="W22" s="357"/>
      <c r="X22" s="357"/>
      <c r="Y22" s="357"/>
      <c r="Z22" s="357"/>
      <c r="AA22" s="357"/>
    </row>
    <row r="23" spans="1:27" ht="14.4" hidden="1">
      <c r="A23" s="69"/>
      <c r="B23" s="69" t="s">
        <v>488</v>
      </c>
      <c r="C23" s="187"/>
      <c r="D23" s="69" t="s">
        <v>489</v>
      </c>
      <c r="E23" s="69" t="s">
        <v>234</v>
      </c>
      <c r="F23" s="69" t="s">
        <v>235</v>
      </c>
      <c r="G23" s="226">
        <f>VLOOKUP(B23,'Margin Calculation'!F:Y,20,0)</f>
        <v>331.50816000000003</v>
      </c>
      <c r="H23" s="226">
        <f>VLOOKUP(B23,'Margin Calculation'!F:Z,21,0)</f>
        <v>391.17962879999999</v>
      </c>
      <c r="I23" s="357" t="e">
        <f t="shared" si="11"/>
        <v>#N/A</v>
      </c>
      <c r="J23" s="357" t="e">
        <f t="shared" si="0"/>
        <v>#N/A</v>
      </c>
      <c r="K23" s="357" t="e">
        <f t="shared" si="1"/>
        <v>#N/A</v>
      </c>
      <c r="L23" s="357" t="e">
        <f t="shared" si="2"/>
        <v>#N/A</v>
      </c>
      <c r="M23" s="357" t="e">
        <f t="shared" si="3"/>
        <v>#N/A</v>
      </c>
      <c r="N23" s="357" t="e">
        <f t="shared" si="4"/>
        <v>#N/A</v>
      </c>
      <c r="O23" s="357" t="e">
        <f t="shared" si="5"/>
        <v>#N/A</v>
      </c>
      <c r="P23" s="357" t="e">
        <f t="shared" si="6"/>
        <v>#N/A</v>
      </c>
      <c r="Q23" s="357" t="e">
        <f t="shared" si="7"/>
        <v>#N/A</v>
      </c>
      <c r="R23" s="357"/>
      <c r="S23" s="357"/>
      <c r="T23" s="157" t="s">
        <v>621</v>
      </c>
      <c r="U23" s="358">
        <v>1200</v>
      </c>
      <c r="V23" s="357"/>
      <c r="W23" s="357"/>
      <c r="X23" s="357"/>
      <c r="Y23" s="357"/>
      <c r="Z23" s="357"/>
      <c r="AA23" s="357"/>
    </row>
    <row r="24" spans="1:27" ht="14.4" hidden="1">
      <c r="A24" s="102"/>
      <c r="B24" s="102" t="s">
        <v>491</v>
      </c>
      <c r="C24" s="187" t="s">
        <v>492</v>
      </c>
      <c r="D24" s="69" t="s">
        <v>493</v>
      </c>
      <c r="E24" s="69" t="s">
        <v>234</v>
      </c>
      <c r="F24" s="69" t="s">
        <v>249</v>
      </c>
      <c r="G24" s="226">
        <f>VLOOKUP(B24,'Margin Calculation'!F:Y,20,0)</f>
        <v>1959.93</v>
      </c>
      <c r="H24" s="226">
        <f>VLOOKUP(B24,'Margin Calculation'!F:Z,21,0)</f>
        <v>2312.7174</v>
      </c>
      <c r="I24" s="357" t="e">
        <f t="shared" si="11"/>
        <v>#N/A</v>
      </c>
      <c r="J24" s="357" t="e">
        <f t="shared" si="0"/>
        <v>#N/A</v>
      </c>
      <c r="K24" s="357" t="e">
        <f t="shared" si="1"/>
        <v>#N/A</v>
      </c>
      <c r="L24" s="357" t="e">
        <f t="shared" si="2"/>
        <v>#N/A</v>
      </c>
      <c r="M24" s="357" t="e">
        <f t="shared" si="3"/>
        <v>#N/A</v>
      </c>
      <c r="N24" s="357" t="e">
        <f t="shared" si="4"/>
        <v>#N/A</v>
      </c>
      <c r="O24" s="357" t="e">
        <f t="shared" si="5"/>
        <v>#N/A</v>
      </c>
      <c r="P24" s="357" t="e">
        <f t="shared" si="6"/>
        <v>#N/A</v>
      </c>
      <c r="Q24" s="357" t="e">
        <f t="shared" si="7"/>
        <v>#N/A</v>
      </c>
      <c r="R24" s="357"/>
      <c r="S24" s="357"/>
      <c r="T24" s="157" t="s">
        <v>744</v>
      </c>
      <c r="U24" s="358">
        <v>2080</v>
      </c>
      <c r="V24" s="357"/>
      <c r="W24" s="357"/>
      <c r="X24" s="357"/>
      <c r="Y24" s="357"/>
      <c r="Z24" s="357"/>
      <c r="AA24" s="357"/>
    </row>
    <row r="25" spans="1:27" ht="14.4" hidden="1">
      <c r="A25" s="347"/>
      <c r="B25" s="347" t="s">
        <v>496</v>
      </c>
      <c r="C25" s="360" t="s">
        <v>497</v>
      </c>
      <c r="D25" s="69" t="s">
        <v>498</v>
      </c>
      <c r="E25" s="361" t="s">
        <v>234</v>
      </c>
      <c r="F25" s="361" t="s">
        <v>249</v>
      </c>
      <c r="G25" s="226">
        <f>VLOOKUP(B25,'Margin Calculation'!F:Y,20,0)</f>
        <v>3303.8820000000001</v>
      </c>
      <c r="H25" s="226">
        <f>VLOOKUP(B25,'Margin Calculation'!F:Z,21,0)</f>
        <v>3898.5807599999998</v>
      </c>
      <c r="I25" s="357" t="e">
        <f t="shared" si="11"/>
        <v>#N/A</v>
      </c>
      <c r="J25" s="357" t="e">
        <f t="shared" si="0"/>
        <v>#N/A</v>
      </c>
      <c r="K25" s="357" t="e">
        <f t="shared" si="1"/>
        <v>#N/A</v>
      </c>
      <c r="L25" s="357" t="e">
        <f t="shared" si="2"/>
        <v>#N/A</v>
      </c>
      <c r="M25" s="357" t="e">
        <f t="shared" si="3"/>
        <v>#N/A</v>
      </c>
      <c r="N25" s="357" t="e">
        <f t="shared" si="4"/>
        <v>#N/A</v>
      </c>
      <c r="O25" s="357" t="e">
        <f t="shared" si="5"/>
        <v>#N/A</v>
      </c>
      <c r="P25" s="357" t="e">
        <f t="shared" si="6"/>
        <v>#N/A</v>
      </c>
      <c r="Q25" s="357" t="e">
        <f t="shared" si="7"/>
        <v>#N/A</v>
      </c>
      <c r="R25" s="357"/>
      <c r="S25" s="357"/>
      <c r="T25" s="357"/>
      <c r="U25" s="357"/>
      <c r="V25" s="357"/>
      <c r="W25" s="357"/>
      <c r="X25" s="357"/>
      <c r="Y25" s="357"/>
      <c r="Z25" s="357"/>
      <c r="AA25" s="357"/>
    </row>
    <row r="26" spans="1:27" ht="14.4">
      <c r="A26" s="69" t="s">
        <v>934</v>
      </c>
      <c r="B26" s="69" t="s">
        <v>500</v>
      </c>
      <c r="C26" s="187" t="s">
        <v>501</v>
      </c>
      <c r="D26" s="69" t="s">
        <v>459</v>
      </c>
      <c r="E26" s="69" t="s">
        <v>234</v>
      </c>
      <c r="F26" s="69" t="s">
        <v>235</v>
      </c>
      <c r="G26" s="226">
        <f>VLOOKUP(B26,'Margin Calculation'!F:Y,20,0)</f>
        <v>380.78639999999996</v>
      </c>
      <c r="H26" s="226">
        <f>VLOOKUP(B26,'Margin Calculation'!F:Z,21,0)</f>
        <v>449.32795199999993</v>
      </c>
      <c r="I26" s="235">
        <f>Q26*2%</f>
        <v>16</v>
      </c>
      <c r="J26" s="235">
        <f t="shared" si="0"/>
        <v>80</v>
      </c>
      <c r="K26" s="235">
        <f t="shared" si="1"/>
        <v>40</v>
      </c>
      <c r="L26" s="235">
        <f t="shared" si="2"/>
        <v>24</v>
      </c>
      <c r="M26" s="287">
        <f t="shared" si="3"/>
        <v>540.78639999999996</v>
      </c>
      <c r="N26" s="130">
        <f t="shared" si="4"/>
        <v>122.03389830508468</v>
      </c>
      <c r="O26" s="235">
        <f t="shared" si="5"/>
        <v>137.17970169491537</v>
      </c>
      <c r="P26" s="288">
        <f t="shared" si="6"/>
        <v>0.1714746271186442</v>
      </c>
      <c r="Q26" s="235">
        <f t="shared" si="7"/>
        <v>800</v>
      </c>
      <c r="R26" s="117"/>
      <c r="S26" s="117"/>
      <c r="T26" s="117"/>
      <c r="U26" s="117"/>
      <c r="V26" s="117"/>
      <c r="W26" s="117"/>
      <c r="X26" s="117"/>
      <c r="Y26" s="117"/>
      <c r="Z26" s="117"/>
      <c r="AA26" s="117"/>
    </row>
    <row r="27" spans="1:27" ht="14.4" hidden="1">
      <c r="A27" s="102"/>
      <c r="B27" s="102" t="s">
        <v>504</v>
      </c>
      <c r="C27" s="211" t="s">
        <v>505</v>
      </c>
      <c r="D27" s="69" t="s">
        <v>506</v>
      </c>
      <c r="E27" s="69" t="s">
        <v>234</v>
      </c>
      <c r="F27" s="69" t="s">
        <v>235</v>
      </c>
      <c r="G27" s="226">
        <f>VLOOKUP(B27,'Margin Calculation'!F:Y,20,0)</f>
        <v>761.57279999999992</v>
      </c>
      <c r="H27" s="226">
        <f>VLOOKUP(B27,'Margin Calculation'!F:Z,21,0)</f>
        <v>898.65590399999985</v>
      </c>
      <c r="I27" s="357" t="e">
        <f t="shared" ref="I27:I28" si="12">Q27*1%</f>
        <v>#N/A</v>
      </c>
      <c r="J27" s="357" t="e">
        <f t="shared" si="0"/>
        <v>#N/A</v>
      </c>
      <c r="K27" s="357" t="e">
        <f t="shared" si="1"/>
        <v>#N/A</v>
      </c>
      <c r="L27" s="357" t="e">
        <f t="shared" si="2"/>
        <v>#N/A</v>
      </c>
      <c r="M27" s="357" t="e">
        <f t="shared" si="3"/>
        <v>#N/A</v>
      </c>
      <c r="N27" s="357" t="e">
        <f t="shared" si="4"/>
        <v>#N/A</v>
      </c>
      <c r="O27" s="357" t="e">
        <f t="shared" si="5"/>
        <v>#N/A</v>
      </c>
      <c r="P27" s="357" t="e">
        <f t="shared" si="6"/>
        <v>#N/A</v>
      </c>
      <c r="Q27" s="357" t="e">
        <f t="shared" si="7"/>
        <v>#N/A</v>
      </c>
      <c r="R27" s="357"/>
      <c r="S27" s="357"/>
      <c r="T27" s="357"/>
      <c r="U27" s="357"/>
      <c r="V27" s="357"/>
      <c r="W27" s="357"/>
      <c r="X27" s="357"/>
      <c r="Y27" s="357"/>
      <c r="Z27" s="357"/>
      <c r="AA27" s="357"/>
    </row>
    <row r="28" spans="1:27" ht="14.4" hidden="1">
      <c r="A28" s="69"/>
      <c r="B28" s="69" t="s">
        <v>508</v>
      </c>
      <c r="C28" s="211" t="s">
        <v>509</v>
      </c>
      <c r="D28" s="69" t="s">
        <v>481</v>
      </c>
      <c r="E28" s="69" t="s">
        <v>314</v>
      </c>
      <c r="F28" s="69" t="s">
        <v>465</v>
      </c>
      <c r="G28" s="226">
        <f>VLOOKUP(B28,'Margin Calculation'!F:Y,20,0)</f>
        <v>655.17660000000001</v>
      </c>
      <c r="H28" s="226">
        <f>VLOOKUP(B28,'Margin Calculation'!F:Z,21,0)</f>
        <v>773.10838799999999</v>
      </c>
      <c r="I28" s="357" t="e">
        <f t="shared" si="12"/>
        <v>#N/A</v>
      </c>
      <c r="J28" s="357" t="e">
        <f t="shared" si="0"/>
        <v>#N/A</v>
      </c>
      <c r="K28" s="357" t="e">
        <f t="shared" si="1"/>
        <v>#N/A</v>
      </c>
      <c r="L28" s="357" t="e">
        <f t="shared" si="2"/>
        <v>#N/A</v>
      </c>
      <c r="M28" s="357" t="e">
        <f t="shared" si="3"/>
        <v>#N/A</v>
      </c>
      <c r="N28" s="357" t="e">
        <f t="shared" si="4"/>
        <v>#N/A</v>
      </c>
      <c r="O28" s="357" t="e">
        <f t="shared" si="5"/>
        <v>#N/A</v>
      </c>
      <c r="P28" s="357" t="e">
        <f t="shared" si="6"/>
        <v>#N/A</v>
      </c>
      <c r="Q28" s="357" t="e">
        <f t="shared" si="7"/>
        <v>#N/A</v>
      </c>
      <c r="R28" s="357"/>
      <c r="S28" s="357"/>
      <c r="T28" s="357"/>
      <c r="U28" s="357"/>
      <c r="V28" s="357"/>
      <c r="W28" s="357"/>
      <c r="X28" s="357"/>
      <c r="Y28" s="357"/>
      <c r="Z28" s="357"/>
      <c r="AA28" s="357"/>
    </row>
    <row r="29" spans="1:27" ht="14.4">
      <c r="A29" s="69" t="s">
        <v>934</v>
      </c>
      <c r="B29" s="102" t="s">
        <v>512</v>
      </c>
      <c r="C29" s="187" t="s">
        <v>513</v>
      </c>
      <c r="D29" s="69" t="s">
        <v>514</v>
      </c>
      <c r="E29" s="69" t="s">
        <v>314</v>
      </c>
      <c r="F29" s="69" t="s">
        <v>465</v>
      </c>
      <c r="G29" s="226">
        <f>VLOOKUP(B29,'Margin Calculation'!F:Y,20,0)</f>
        <v>458.541</v>
      </c>
      <c r="H29" s="226">
        <f>VLOOKUP(B29,'Margin Calculation'!F:Z,21,0)</f>
        <v>513.56592000000001</v>
      </c>
      <c r="I29" s="235">
        <f>Q29*2%</f>
        <v>16</v>
      </c>
      <c r="J29" s="235">
        <f t="shared" si="0"/>
        <v>80</v>
      </c>
      <c r="K29" s="235">
        <f t="shared" si="1"/>
        <v>40</v>
      </c>
      <c r="L29" s="235">
        <f t="shared" si="2"/>
        <v>24</v>
      </c>
      <c r="M29" s="287">
        <f t="shared" si="3"/>
        <v>618.54099999999994</v>
      </c>
      <c r="N29" s="130">
        <f t="shared" si="4"/>
        <v>122.03389830508468</v>
      </c>
      <c r="O29" s="235">
        <f t="shared" si="5"/>
        <v>59.425101694915384</v>
      </c>
      <c r="P29" s="288">
        <f t="shared" si="6"/>
        <v>7.4281377118644229E-2</v>
      </c>
      <c r="Q29" s="235">
        <f t="shared" si="7"/>
        <v>800</v>
      </c>
      <c r="R29" s="117"/>
      <c r="S29" s="117"/>
      <c r="T29" s="117"/>
      <c r="U29" s="117"/>
      <c r="V29" s="117"/>
      <c r="W29" s="117"/>
      <c r="X29" s="117"/>
      <c r="Y29" s="117"/>
      <c r="Z29" s="117"/>
      <c r="AA29" s="117"/>
    </row>
    <row r="30" spans="1:27" ht="14.4" hidden="1">
      <c r="A30" s="69"/>
      <c r="B30" s="69" t="s">
        <v>517</v>
      </c>
      <c r="C30" s="187" t="s">
        <v>518</v>
      </c>
      <c r="D30" s="69" t="s">
        <v>514</v>
      </c>
      <c r="E30" s="69" t="s">
        <v>314</v>
      </c>
      <c r="F30" s="69" t="s">
        <v>465</v>
      </c>
      <c r="G30" s="226">
        <f>VLOOKUP(B30,'Margin Calculation'!F:Y,20,0)</f>
        <v>504.39510000000001</v>
      </c>
      <c r="H30" s="226">
        <f>VLOOKUP(B30,'Margin Calculation'!F:Z,21,0)</f>
        <v>564.9225120000001</v>
      </c>
      <c r="I30" s="357" t="e">
        <f t="shared" ref="I30:I31" si="13">Q30*1%</f>
        <v>#N/A</v>
      </c>
      <c r="J30" s="357" t="e">
        <f t="shared" si="0"/>
        <v>#N/A</v>
      </c>
      <c r="K30" s="357" t="e">
        <f t="shared" si="1"/>
        <v>#N/A</v>
      </c>
      <c r="L30" s="357" t="e">
        <f t="shared" si="2"/>
        <v>#N/A</v>
      </c>
      <c r="M30" s="357" t="e">
        <f t="shared" si="3"/>
        <v>#N/A</v>
      </c>
      <c r="N30" s="357" t="e">
        <f t="shared" si="4"/>
        <v>#N/A</v>
      </c>
      <c r="O30" s="357" t="e">
        <f t="shared" si="5"/>
        <v>#N/A</v>
      </c>
      <c r="P30" s="357" t="e">
        <f t="shared" si="6"/>
        <v>#N/A</v>
      </c>
      <c r="Q30" s="357" t="e">
        <f t="shared" si="7"/>
        <v>#N/A</v>
      </c>
      <c r="R30" s="357"/>
      <c r="S30" s="357"/>
      <c r="T30" s="357"/>
      <c r="U30" s="357"/>
      <c r="V30" s="357"/>
      <c r="W30" s="357"/>
      <c r="X30" s="357"/>
      <c r="Y30" s="357"/>
      <c r="Z30" s="357"/>
      <c r="AA30" s="357"/>
    </row>
    <row r="31" spans="1:27" ht="14.4" hidden="1">
      <c r="A31" s="69"/>
      <c r="B31" s="69" t="s">
        <v>520</v>
      </c>
      <c r="C31" s="187" t="s">
        <v>521</v>
      </c>
      <c r="D31" s="69" t="s">
        <v>522</v>
      </c>
      <c r="E31" s="69" t="s">
        <v>314</v>
      </c>
      <c r="F31" s="69" t="s">
        <v>465</v>
      </c>
      <c r="G31" s="226">
        <f>VLOOKUP(B31,'Margin Calculation'!F:Y,20,0)</f>
        <v>611.38800000000003</v>
      </c>
      <c r="H31" s="226">
        <f>VLOOKUP(B31,'Margin Calculation'!F:Z,21,0)</f>
        <v>684.75456000000008</v>
      </c>
      <c r="I31" s="357" t="e">
        <f t="shared" si="13"/>
        <v>#N/A</v>
      </c>
      <c r="J31" s="357" t="e">
        <f t="shared" si="0"/>
        <v>#N/A</v>
      </c>
      <c r="K31" s="357" t="e">
        <f t="shared" si="1"/>
        <v>#N/A</v>
      </c>
      <c r="L31" s="357" t="e">
        <f t="shared" si="2"/>
        <v>#N/A</v>
      </c>
      <c r="M31" s="357" t="e">
        <f t="shared" si="3"/>
        <v>#N/A</v>
      </c>
      <c r="N31" s="357" t="e">
        <f t="shared" si="4"/>
        <v>#N/A</v>
      </c>
      <c r="O31" s="357" t="e">
        <f t="shared" si="5"/>
        <v>#N/A</v>
      </c>
      <c r="P31" s="357" t="e">
        <f t="shared" si="6"/>
        <v>#N/A</v>
      </c>
      <c r="Q31" s="357" t="e">
        <f t="shared" si="7"/>
        <v>#N/A</v>
      </c>
      <c r="R31" s="357"/>
      <c r="S31" s="357"/>
      <c r="T31" s="357"/>
      <c r="U31" s="357"/>
      <c r="V31" s="357"/>
      <c r="W31" s="357"/>
      <c r="X31" s="357"/>
      <c r="Y31" s="357"/>
      <c r="Z31" s="357"/>
      <c r="AA31" s="357"/>
    </row>
    <row r="32" spans="1:27" ht="14.4">
      <c r="A32" s="69" t="s">
        <v>934</v>
      </c>
      <c r="B32" s="69" t="s">
        <v>525</v>
      </c>
      <c r="C32" s="187" t="s">
        <v>526</v>
      </c>
      <c r="D32" s="69" t="s">
        <v>527</v>
      </c>
      <c r="E32" s="69" t="s">
        <v>314</v>
      </c>
      <c r="F32" s="69" t="s">
        <v>315</v>
      </c>
      <c r="G32" s="226">
        <f>VLOOKUP(B32,'Margin Calculation'!F:Y,20,0)</f>
        <v>346.06763999999998</v>
      </c>
      <c r="H32" s="226">
        <f>VLOOKUP(B32,'Margin Calculation'!F:Z,21,0)</f>
        <v>408.35981519999996</v>
      </c>
      <c r="I32" s="235">
        <f>Q32*2%</f>
        <v>12.8</v>
      </c>
      <c r="J32" s="235">
        <f t="shared" si="0"/>
        <v>64</v>
      </c>
      <c r="K32" s="235">
        <f t="shared" si="1"/>
        <v>32</v>
      </c>
      <c r="L32" s="235">
        <f t="shared" si="2"/>
        <v>19.2</v>
      </c>
      <c r="M32" s="287">
        <f t="shared" si="3"/>
        <v>474.06763999999998</v>
      </c>
      <c r="N32" s="130">
        <f t="shared" si="4"/>
        <v>97.627118644067764</v>
      </c>
      <c r="O32" s="235">
        <f t="shared" si="5"/>
        <v>68.305241355932253</v>
      </c>
      <c r="P32" s="288">
        <f t="shared" si="6"/>
        <v>0.10672693961864414</v>
      </c>
      <c r="Q32" s="235">
        <f t="shared" si="7"/>
        <v>640</v>
      </c>
      <c r="R32" s="117"/>
      <c r="S32" s="117"/>
      <c r="T32" s="117"/>
      <c r="U32" s="117"/>
      <c r="V32" s="117"/>
      <c r="W32" s="117"/>
      <c r="X32" s="117"/>
      <c r="Y32" s="117"/>
      <c r="Z32" s="117"/>
      <c r="AA32" s="117"/>
    </row>
    <row r="33" spans="1:27" ht="14.4" hidden="1">
      <c r="A33" s="69"/>
      <c r="B33" s="69" t="s">
        <v>529</v>
      </c>
      <c r="C33" s="187" t="s">
        <v>530</v>
      </c>
      <c r="D33" s="69" t="s">
        <v>531</v>
      </c>
      <c r="E33" s="69" t="s">
        <v>314</v>
      </c>
      <c r="F33" s="69" t="s">
        <v>315</v>
      </c>
      <c r="G33" s="226">
        <f>VLOOKUP(B33,'Margin Calculation'!F:Y,20,0)</f>
        <v>352.78740000000005</v>
      </c>
      <c r="H33" s="226">
        <f>VLOOKUP(B33,'Margin Calculation'!F:Z,21,0)</f>
        <v>416.28913200000005</v>
      </c>
      <c r="I33" s="357" t="e">
        <f t="shared" ref="I33:I42" si="14">Q33*1%</f>
        <v>#N/A</v>
      </c>
      <c r="J33" s="357" t="e">
        <f t="shared" si="0"/>
        <v>#N/A</v>
      </c>
      <c r="K33" s="357" t="e">
        <f t="shared" si="1"/>
        <v>#N/A</v>
      </c>
      <c r="L33" s="357" t="e">
        <f t="shared" si="2"/>
        <v>#N/A</v>
      </c>
      <c r="M33" s="357" t="e">
        <f t="shared" si="3"/>
        <v>#N/A</v>
      </c>
      <c r="N33" s="357" t="e">
        <f t="shared" si="4"/>
        <v>#N/A</v>
      </c>
      <c r="O33" s="357" t="e">
        <f t="shared" si="5"/>
        <v>#N/A</v>
      </c>
      <c r="P33" s="357" t="e">
        <f t="shared" si="6"/>
        <v>#N/A</v>
      </c>
      <c r="Q33" s="357" t="e">
        <f t="shared" si="7"/>
        <v>#N/A</v>
      </c>
      <c r="R33" s="357"/>
      <c r="S33" s="357"/>
      <c r="T33" s="357"/>
      <c r="U33" s="357"/>
      <c r="V33" s="357"/>
      <c r="W33" s="357"/>
      <c r="X33" s="357"/>
      <c r="Y33" s="357"/>
      <c r="Z33" s="357"/>
      <c r="AA33" s="357"/>
    </row>
    <row r="34" spans="1:27" ht="14.4" hidden="1">
      <c r="A34" s="69"/>
      <c r="B34" s="69" t="s">
        <v>533</v>
      </c>
      <c r="C34" s="187" t="s">
        <v>534</v>
      </c>
      <c r="D34" s="69" t="s">
        <v>535</v>
      </c>
      <c r="E34" s="69" t="s">
        <v>234</v>
      </c>
      <c r="F34" s="69" t="s">
        <v>235</v>
      </c>
      <c r="G34" s="226">
        <f>VLOOKUP(B34,'Margin Calculation'!F:Y,20,0)</f>
        <v>352.56708000000003</v>
      </c>
      <c r="H34" s="226">
        <f>VLOOKUP(B34,'Margin Calculation'!F:Z,21,0)</f>
        <v>394.87512960000009</v>
      </c>
      <c r="I34" s="357" t="e">
        <f t="shared" si="14"/>
        <v>#N/A</v>
      </c>
      <c r="J34" s="357" t="e">
        <f t="shared" si="0"/>
        <v>#N/A</v>
      </c>
      <c r="K34" s="357" t="e">
        <f t="shared" si="1"/>
        <v>#N/A</v>
      </c>
      <c r="L34" s="357" t="e">
        <f t="shared" si="2"/>
        <v>#N/A</v>
      </c>
      <c r="M34" s="357" t="e">
        <f t="shared" si="3"/>
        <v>#N/A</v>
      </c>
      <c r="N34" s="357" t="e">
        <f t="shared" si="4"/>
        <v>#N/A</v>
      </c>
      <c r="O34" s="357" t="e">
        <f t="shared" si="5"/>
        <v>#N/A</v>
      </c>
      <c r="P34" s="357" t="e">
        <f t="shared" si="6"/>
        <v>#N/A</v>
      </c>
      <c r="Q34" s="357" t="e">
        <f t="shared" si="7"/>
        <v>#N/A</v>
      </c>
      <c r="R34" s="357"/>
      <c r="S34" s="357"/>
      <c r="T34" s="357"/>
      <c r="U34" s="357"/>
      <c r="V34" s="357"/>
      <c r="W34" s="357"/>
      <c r="X34" s="357"/>
      <c r="Y34" s="357"/>
      <c r="Z34" s="357"/>
      <c r="AA34" s="357"/>
    </row>
    <row r="35" spans="1:27" ht="14.4" hidden="1">
      <c r="A35" s="102"/>
      <c r="B35" s="102" t="s">
        <v>538</v>
      </c>
      <c r="C35" s="211" t="s">
        <v>539</v>
      </c>
      <c r="D35" s="69" t="s">
        <v>483</v>
      </c>
      <c r="E35" s="69" t="s">
        <v>314</v>
      </c>
      <c r="F35" s="69" t="s">
        <v>465</v>
      </c>
      <c r="G35" s="226">
        <f>VLOOKUP(B35,'Margin Calculation'!F:Y,20,0)</f>
        <v>379.66644000000002</v>
      </c>
      <c r="H35" s="226">
        <f>VLOOKUP(B35,'Margin Calculation'!F:Z,21,0)</f>
        <v>448.00639919999998</v>
      </c>
      <c r="I35" s="357" t="e">
        <f t="shared" si="14"/>
        <v>#N/A</v>
      </c>
      <c r="J35" s="357" t="e">
        <f t="shared" si="0"/>
        <v>#N/A</v>
      </c>
      <c r="K35" s="357" t="e">
        <f t="shared" si="1"/>
        <v>#N/A</v>
      </c>
      <c r="L35" s="357" t="e">
        <f t="shared" si="2"/>
        <v>#N/A</v>
      </c>
      <c r="M35" s="357" t="e">
        <f t="shared" si="3"/>
        <v>#N/A</v>
      </c>
      <c r="N35" s="357" t="e">
        <f t="shared" si="4"/>
        <v>#N/A</v>
      </c>
      <c r="O35" s="357" t="e">
        <f t="shared" si="5"/>
        <v>#N/A</v>
      </c>
      <c r="P35" s="357" t="e">
        <f t="shared" si="6"/>
        <v>#N/A</v>
      </c>
      <c r="Q35" s="357" t="e">
        <f t="shared" si="7"/>
        <v>#N/A</v>
      </c>
      <c r="R35" s="357"/>
      <c r="S35" s="357"/>
      <c r="T35" s="357"/>
      <c r="U35" s="357"/>
      <c r="V35" s="357"/>
      <c r="W35" s="357"/>
      <c r="X35" s="357"/>
      <c r="Y35" s="357"/>
      <c r="Z35" s="357"/>
      <c r="AA35" s="357"/>
    </row>
    <row r="36" spans="1:27" ht="14.4" hidden="1">
      <c r="A36" s="102"/>
      <c r="B36" s="102" t="s">
        <v>543</v>
      </c>
      <c r="C36" s="187" t="s">
        <v>544</v>
      </c>
      <c r="D36" s="69" t="s">
        <v>545</v>
      </c>
      <c r="E36" s="69" t="s">
        <v>314</v>
      </c>
      <c r="F36" s="69" t="s">
        <v>465</v>
      </c>
      <c r="G36" s="226">
        <f>VLOOKUP(B36,'Margin Calculation'!F:Y,20,0)</f>
        <v>611.38800000000003</v>
      </c>
      <c r="H36" s="226">
        <f>VLOOKUP(B36,'Margin Calculation'!F:Z,21,0)</f>
        <v>721.43784000000005</v>
      </c>
      <c r="I36" s="357" t="e">
        <f t="shared" si="14"/>
        <v>#N/A</v>
      </c>
      <c r="J36" s="357" t="e">
        <f t="shared" si="0"/>
        <v>#N/A</v>
      </c>
      <c r="K36" s="357" t="e">
        <f t="shared" si="1"/>
        <v>#N/A</v>
      </c>
      <c r="L36" s="357" t="e">
        <f t="shared" si="2"/>
        <v>#N/A</v>
      </c>
      <c r="M36" s="357" t="e">
        <f t="shared" si="3"/>
        <v>#N/A</v>
      </c>
      <c r="N36" s="357" t="e">
        <f t="shared" si="4"/>
        <v>#N/A</v>
      </c>
      <c r="O36" s="357" t="e">
        <f t="shared" si="5"/>
        <v>#N/A</v>
      </c>
      <c r="P36" s="357" t="e">
        <f t="shared" si="6"/>
        <v>#N/A</v>
      </c>
      <c r="Q36" s="357" t="e">
        <f t="shared" si="7"/>
        <v>#N/A</v>
      </c>
      <c r="R36" s="357"/>
      <c r="S36" s="357"/>
      <c r="T36" s="357"/>
      <c r="U36" s="357"/>
      <c r="V36" s="357"/>
      <c r="W36" s="357"/>
      <c r="X36" s="357"/>
      <c r="Y36" s="357"/>
      <c r="Z36" s="357"/>
      <c r="AA36" s="357"/>
    </row>
    <row r="37" spans="1:27" ht="14.4" hidden="1">
      <c r="A37" s="69"/>
      <c r="B37" s="69" t="s">
        <v>552</v>
      </c>
      <c r="C37" s="187" t="s">
        <v>553</v>
      </c>
      <c r="D37" s="69" t="s">
        <v>554</v>
      </c>
      <c r="E37" s="69" t="s">
        <v>314</v>
      </c>
      <c r="F37" s="69" t="s">
        <v>437</v>
      </c>
      <c r="G37" s="226">
        <f>VLOOKUP(B37,'Margin Calculation'!F:Y,20,0)</f>
        <v>320.9787</v>
      </c>
      <c r="H37" s="226">
        <f>VLOOKUP(B37,'Margin Calculation'!F:Z,21,0)</f>
        <v>378.75486599999999</v>
      </c>
      <c r="I37" s="357" t="e">
        <f t="shared" si="14"/>
        <v>#N/A</v>
      </c>
      <c r="J37" s="357" t="e">
        <f t="shared" si="0"/>
        <v>#N/A</v>
      </c>
      <c r="K37" s="357" t="e">
        <f t="shared" si="1"/>
        <v>#N/A</v>
      </c>
      <c r="L37" s="357" t="e">
        <f t="shared" si="2"/>
        <v>#N/A</v>
      </c>
      <c r="M37" s="357" t="e">
        <f t="shared" si="3"/>
        <v>#N/A</v>
      </c>
      <c r="N37" s="357" t="e">
        <f t="shared" si="4"/>
        <v>#N/A</v>
      </c>
      <c r="O37" s="357" t="e">
        <f t="shared" si="5"/>
        <v>#N/A</v>
      </c>
      <c r="P37" s="357" t="e">
        <f t="shared" si="6"/>
        <v>#N/A</v>
      </c>
      <c r="Q37" s="357" t="e">
        <f t="shared" si="7"/>
        <v>#N/A</v>
      </c>
      <c r="R37" s="357"/>
      <c r="S37" s="357"/>
      <c r="T37" s="357"/>
      <c r="U37" s="357"/>
      <c r="V37" s="357"/>
      <c r="W37" s="357"/>
      <c r="X37" s="357"/>
      <c r="Y37" s="357"/>
      <c r="Z37" s="357"/>
      <c r="AA37" s="357"/>
    </row>
    <row r="38" spans="1:27" ht="14.4" hidden="1">
      <c r="A38" s="69"/>
      <c r="B38" s="69" t="s">
        <v>557</v>
      </c>
      <c r="C38" s="69" t="s">
        <v>558</v>
      </c>
      <c r="D38" s="117" t="s">
        <v>559</v>
      </c>
      <c r="E38" s="69" t="s">
        <v>304</v>
      </c>
      <c r="F38" s="69" t="s">
        <v>304</v>
      </c>
      <c r="G38" s="226">
        <f>VLOOKUP(B38,'Margin Calculation'!F:Y,20,0)</f>
        <v>447.18074999999999</v>
      </c>
      <c r="H38" s="226">
        <f>VLOOKUP(B38,'Margin Calculation'!F:Z,21,0)</f>
        <v>527.67328499999996</v>
      </c>
      <c r="I38" s="357" t="e">
        <f t="shared" si="14"/>
        <v>#N/A</v>
      </c>
      <c r="J38" s="357" t="e">
        <f t="shared" si="0"/>
        <v>#N/A</v>
      </c>
      <c r="K38" s="357" t="e">
        <f t="shared" si="1"/>
        <v>#N/A</v>
      </c>
      <c r="L38" s="357" t="e">
        <f t="shared" si="2"/>
        <v>#N/A</v>
      </c>
      <c r="M38" s="357" t="e">
        <f t="shared" si="3"/>
        <v>#N/A</v>
      </c>
      <c r="N38" s="357" t="e">
        <f t="shared" si="4"/>
        <v>#N/A</v>
      </c>
      <c r="O38" s="357" t="e">
        <f t="shared" si="5"/>
        <v>#N/A</v>
      </c>
      <c r="P38" s="357" t="e">
        <f t="shared" si="6"/>
        <v>#N/A</v>
      </c>
      <c r="Q38" s="357" t="e">
        <f t="shared" si="7"/>
        <v>#N/A</v>
      </c>
      <c r="R38" s="357"/>
      <c r="S38" s="357"/>
      <c r="T38" s="357"/>
      <c r="U38" s="357"/>
      <c r="V38" s="357"/>
      <c r="W38" s="357"/>
      <c r="X38" s="357"/>
      <c r="Y38" s="357"/>
      <c r="Z38" s="357"/>
      <c r="AA38" s="357"/>
    </row>
    <row r="39" spans="1:27" ht="14.4" hidden="1">
      <c r="A39" s="69"/>
      <c r="B39" s="69" t="s">
        <v>562</v>
      </c>
      <c r="C39" s="102" t="s">
        <v>563</v>
      </c>
      <c r="D39" s="117" t="s">
        <v>564</v>
      </c>
      <c r="E39" s="69" t="s">
        <v>314</v>
      </c>
      <c r="F39" s="69" t="s">
        <v>315</v>
      </c>
      <c r="G39" s="226">
        <f>VLOOKUP(B39,'Margin Calculation'!F:Y,20,0)</f>
        <v>577.89936</v>
      </c>
      <c r="H39" s="226">
        <f>VLOOKUP(B39,'Margin Calculation'!F:Z,21,0)</f>
        <v>681.92124479999995</v>
      </c>
      <c r="I39" s="357" t="e">
        <f t="shared" si="14"/>
        <v>#N/A</v>
      </c>
      <c r="J39" s="357" t="e">
        <f t="shared" si="0"/>
        <v>#N/A</v>
      </c>
      <c r="K39" s="357" t="e">
        <f t="shared" si="1"/>
        <v>#N/A</v>
      </c>
      <c r="L39" s="357" t="e">
        <f t="shared" si="2"/>
        <v>#N/A</v>
      </c>
      <c r="M39" s="357" t="e">
        <f t="shared" si="3"/>
        <v>#N/A</v>
      </c>
      <c r="N39" s="357" t="e">
        <f t="shared" si="4"/>
        <v>#N/A</v>
      </c>
      <c r="O39" s="357" t="e">
        <f t="shared" si="5"/>
        <v>#N/A</v>
      </c>
      <c r="P39" s="357" t="e">
        <f t="shared" si="6"/>
        <v>#N/A</v>
      </c>
      <c r="Q39" s="357" t="e">
        <f t="shared" si="7"/>
        <v>#N/A</v>
      </c>
      <c r="R39" s="357"/>
      <c r="S39" s="357"/>
      <c r="T39" s="357"/>
      <c r="U39" s="357"/>
      <c r="V39" s="357"/>
      <c r="W39" s="357"/>
      <c r="X39" s="357"/>
      <c r="Y39" s="357"/>
      <c r="Z39" s="357"/>
      <c r="AA39" s="357"/>
    </row>
    <row r="40" spans="1:27" ht="14.4" hidden="1">
      <c r="A40" s="69"/>
      <c r="B40" s="69" t="s">
        <v>570</v>
      </c>
      <c r="C40" s="102" t="s">
        <v>571</v>
      </c>
      <c r="D40" s="117" t="s">
        <v>572</v>
      </c>
      <c r="E40" s="69" t="s">
        <v>314</v>
      </c>
      <c r="F40" s="69" t="s">
        <v>437</v>
      </c>
      <c r="G40" s="226">
        <f>VLOOKUP(B40,'Margin Calculation'!F:Y,20,0)</f>
        <v>744.77340000000015</v>
      </c>
      <c r="H40" s="226">
        <f>VLOOKUP(B40,'Margin Calculation'!F:Z,21,0)</f>
        <v>878.83261200000015</v>
      </c>
      <c r="I40" s="357" t="e">
        <f t="shared" si="14"/>
        <v>#N/A</v>
      </c>
      <c r="J40" s="357" t="e">
        <f t="shared" si="0"/>
        <v>#N/A</v>
      </c>
      <c r="K40" s="357" t="e">
        <f t="shared" si="1"/>
        <v>#N/A</v>
      </c>
      <c r="L40" s="357" t="e">
        <f t="shared" si="2"/>
        <v>#N/A</v>
      </c>
      <c r="M40" s="357" t="e">
        <f t="shared" si="3"/>
        <v>#N/A</v>
      </c>
      <c r="N40" s="357" t="e">
        <f t="shared" si="4"/>
        <v>#N/A</v>
      </c>
      <c r="O40" s="357" t="e">
        <f t="shared" si="5"/>
        <v>#N/A</v>
      </c>
      <c r="P40" s="357" t="e">
        <f t="shared" si="6"/>
        <v>#N/A</v>
      </c>
      <c r="Q40" s="357" t="e">
        <f t="shared" si="7"/>
        <v>#N/A</v>
      </c>
      <c r="R40" s="357"/>
      <c r="S40" s="357"/>
      <c r="T40" s="357"/>
      <c r="U40" s="357"/>
      <c r="V40" s="357"/>
      <c r="W40" s="357"/>
      <c r="X40" s="357"/>
      <c r="Y40" s="357"/>
      <c r="Z40" s="357"/>
      <c r="AA40" s="357"/>
    </row>
    <row r="41" spans="1:27" ht="14.4" hidden="1">
      <c r="A41" s="69"/>
      <c r="B41" s="69" t="s">
        <v>575</v>
      </c>
      <c r="C41" s="102" t="s">
        <v>576</v>
      </c>
      <c r="D41" s="117" t="s">
        <v>577</v>
      </c>
      <c r="E41" s="69" t="s">
        <v>314</v>
      </c>
      <c r="F41" s="69" t="s">
        <v>465</v>
      </c>
      <c r="G41" s="226">
        <f>VLOOKUP(B41,'Margin Calculation'!F:Y,20,0)</f>
        <v>710.05464000000006</v>
      </c>
      <c r="H41" s="226">
        <f>VLOOKUP(B41,'Margin Calculation'!F:Z,21,0)</f>
        <v>837.86447520000002</v>
      </c>
      <c r="I41" s="357" t="e">
        <f t="shared" si="14"/>
        <v>#N/A</v>
      </c>
      <c r="J41" s="357" t="e">
        <f t="shared" si="0"/>
        <v>#N/A</v>
      </c>
      <c r="K41" s="357" t="e">
        <f t="shared" si="1"/>
        <v>#N/A</v>
      </c>
      <c r="L41" s="357" t="e">
        <f t="shared" si="2"/>
        <v>#N/A</v>
      </c>
      <c r="M41" s="357" t="e">
        <f t="shared" si="3"/>
        <v>#N/A</v>
      </c>
      <c r="N41" s="357" t="e">
        <f t="shared" si="4"/>
        <v>#N/A</v>
      </c>
      <c r="O41" s="357" t="e">
        <f t="shared" si="5"/>
        <v>#N/A</v>
      </c>
      <c r="P41" s="357" t="e">
        <f t="shared" si="6"/>
        <v>#N/A</v>
      </c>
      <c r="Q41" s="357" t="e">
        <f t="shared" si="7"/>
        <v>#N/A</v>
      </c>
      <c r="R41" s="357"/>
      <c r="S41" s="357"/>
      <c r="T41" s="357"/>
      <c r="U41" s="357"/>
      <c r="V41" s="357"/>
      <c r="W41" s="357"/>
      <c r="X41" s="357"/>
      <c r="Y41" s="357"/>
      <c r="Z41" s="357"/>
      <c r="AA41" s="357"/>
    </row>
    <row r="42" spans="1:27" ht="14.4" hidden="1">
      <c r="A42" s="69"/>
      <c r="B42" s="69" t="s">
        <v>580</v>
      </c>
      <c r="C42" s="102" t="s">
        <v>581</v>
      </c>
      <c r="D42" s="117" t="s">
        <v>582</v>
      </c>
      <c r="E42" s="69" t="s">
        <v>314</v>
      </c>
      <c r="F42" s="69" t="s">
        <v>465</v>
      </c>
      <c r="G42" s="226">
        <f>VLOOKUP(B42,'Margin Calculation'!F:Y,20,0)</f>
        <v>827.65044</v>
      </c>
      <c r="H42" s="226">
        <f>VLOOKUP(B42,'Margin Calculation'!F:Z,21,0)</f>
        <v>976.62751919999994</v>
      </c>
      <c r="I42" s="357" t="e">
        <f t="shared" si="14"/>
        <v>#N/A</v>
      </c>
      <c r="J42" s="357" t="e">
        <f t="shared" si="0"/>
        <v>#N/A</v>
      </c>
      <c r="K42" s="357" t="e">
        <f t="shared" si="1"/>
        <v>#N/A</v>
      </c>
      <c r="L42" s="357" t="e">
        <f t="shared" si="2"/>
        <v>#N/A</v>
      </c>
      <c r="M42" s="357" t="e">
        <f t="shared" si="3"/>
        <v>#N/A</v>
      </c>
      <c r="N42" s="357" t="e">
        <f t="shared" si="4"/>
        <v>#N/A</v>
      </c>
      <c r="O42" s="357" t="e">
        <f t="shared" si="5"/>
        <v>#N/A</v>
      </c>
      <c r="P42" s="357" t="e">
        <f t="shared" si="6"/>
        <v>#N/A</v>
      </c>
      <c r="Q42" s="357" t="e">
        <f t="shared" si="7"/>
        <v>#N/A</v>
      </c>
      <c r="R42" s="357"/>
      <c r="S42" s="357"/>
      <c r="T42" s="357"/>
      <c r="U42" s="357"/>
      <c r="V42" s="357"/>
      <c r="W42" s="357"/>
      <c r="X42" s="357"/>
      <c r="Y42" s="357"/>
      <c r="Z42" s="357"/>
      <c r="AA42" s="357"/>
    </row>
    <row r="43" spans="1:27" ht="14.4">
      <c r="A43" s="69" t="s">
        <v>934</v>
      </c>
      <c r="B43" s="69" t="s">
        <v>584</v>
      </c>
      <c r="C43" s="102" t="s">
        <v>585</v>
      </c>
      <c r="D43" s="117" t="s">
        <v>586</v>
      </c>
      <c r="E43" s="69" t="s">
        <v>234</v>
      </c>
      <c r="F43" s="69" t="s">
        <v>249</v>
      </c>
      <c r="G43" s="226">
        <f>VLOOKUP(B43,'Margin Calculation'!F:Y,20,0)</f>
        <v>1151.4474000000002</v>
      </c>
      <c r="H43" s="226">
        <f>VLOOKUP(B43,'Margin Calculation'!F:Z,21,0)</f>
        <v>1358.7079320000003</v>
      </c>
      <c r="I43" s="235">
        <f t="shared" ref="I43:I44" si="15">Q43*2%</f>
        <v>56</v>
      </c>
      <c r="J43" s="235">
        <f t="shared" si="0"/>
        <v>280</v>
      </c>
      <c r="K43" s="235">
        <f t="shared" si="1"/>
        <v>140</v>
      </c>
      <c r="L43" s="235">
        <f t="shared" si="2"/>
        <v>84</v>
      </c>
      <c r="M43" s="287">
        <f t="shared" si="3"/>
        <v>1711.4474000000002</v>
      </c>
      <c r="N43" s="130">
        <f t="shared" si="4"/>
        <v>427.11864406779659</v>
      </c>
      <c r="O43" s="235">
        <f t="shared" si="5"/>
        <v>661.43395593220316</v>
      </c>
      <c r="P43" s="288">
        <f t="shared" si="6"/>
        <v>0.23622641283292969</v>
      </c>
      <c r="Q43" s="235">
        <f t="shared" si="7"/>
        <v>2800</v>
      </c>
      <c r="R43" s="117"/>
      <c r="S43" s="117"/>
      <c r="T43" s="117"/>
      <c r="U43" s="117"/>
      <c r="V43" s="117"/>
      <c r="W43" s="117"/>
      <c r="X43" s="117"/>
      <c r="Y43" s="117"/>
      <c r="Z43" s="117"/>
      <c r="AA43" s="117"/>
    </row>
    <row r="44" spans="1:27" ht="14.4">
      <c r="A44" s="69" t="s">
        <v>934</v>
      </c>
      <c r="B44" s="69" t="s">
        <v>589</v>
      </c>
      <c r="C44" s="102" t="s">
        <v>590</v>
      </c>
      <c r="D44" s="117" t="s">
        <v>591</v>
      </c>
      <c r="E44" s="69" t="s">
        <v>314</v>
      </c>
      <c r="F44" s="69" t="s">
        <v>437</v>
      </c>
      <c r="G44" s="226">
        <f>VLOOKUP(B44,'Margin Calculation'!F:Y,20,0)</f>
        <v>540.05939999999998</v>
      </c>
      <c r="H44" s="226">
        <f>VLOOKUP(B44,'Margin Calculation'!F:Z,21,0)</f>
        <v>637.27009199999998</v>
      </c>
      <c r="I44" s="235">
        <f t="shared" si="15"/>
        <v>35.200000000000003</v>
      </c>
      <c r="J44" s="235">
        <f t="shared" si="0"/>
        <v>176</v>
      </c>
      <c r="K44" s="235">
        <f t="shared" si="1"/>
        <v>88</v>
      </c>
      <c r="L44" s="235">
        <f t="shared" si="2"/>
        <v>52.8</v>
      </c>
      <c r="M44" s="287">
        <f t="shared" si="3"/>
        <v>892.05939999999998</v>
      </c>
      <c r="N44" s="130">
        <f t="shared" si="4"/>
        <v>268.47457627118638</v>
      </c>
      <c r="O44" s="235">
        <f t="shared" si="5"/>
        <v>599.46602372881364</v>
      </c>
      <c r="P44" s="288">
        <f t="shared" si="6"/>
        <v>0.34060569530046231</v>
      </c>
      <c r="Q44" s="235">
        <f t="shared" si="7"/>
        <v>1760</v>
      </c>
      <c r="R44" s="117"/>
      <c r="S44" s="117"/>
      <c r="T44" s="117"/>
      <c r="U44" s="117"/>
      <c r="V44" s="117"/>
      <c r="W44" s="117"/>
      <c r="X44" s="117"/>
      <c r="Y44" s="117"/>
      <c r="Z44" s="117"/>
      <c r="AA44" s="117"/>
    </row>
    <row r="45" spans="1:27" ht="14.4" hidden="1">
      <c r="A45" s="69"/>
      <c r="B45" s="69" t="s">
        <v>594</v>
      </c>
      <c r="C45" s="102" t="s">
        <v>595</v>
      </c>
      <c r="D45" s="117" t="s">
        <v>596</v>
      </c>
      <c r="E45" s="69" t="s">
        <v>314</v>
      </c>
      <c r="F45" s="69" t="s">
        <v>437</v>
      </c>
      <c r="G45" s="226">
        <f>VLOOKUP(B45,'Margin Calculation'!F:Y,20,0)</f>
        <v>864.54944999999998</v>
      </c>
      <c r="H45" s="226">
        <f>VLOOKUP(B45,'Margin Calculation'!F:Z,21,0)</f>
        <v>1020.1683509999999</v>
      </c>
      <c r="I45" s="357" t="e">
        <f>Q45*1%</f>
        <v>#N/A</v>
      </c>
      <c r="J45" s="357" t="e">
        <f t="shared" si="0"/>
        <v>#N/A</v>
      </c>
      <c r="K45" s="357" t="e">
        <f t="shared" si="1"/>
        <v>#N/A</v>
      </c>
      <c r="L45" s="357" t="e">
        <f t="shared" si="2"/>
        <v>#N/A</v>
      </c>
      <c r="M45" s="357" t="e">
        <f t="shared" si="3"/>
        <v>#N/A</v>
      </c>
      <c r="N45" s="357" t="e">
        <f t="shared" si="4"/>
        <v>#N/A</v>
      </c>
      <c r="O45" s="357" t="e">
        <f t="shared" si="5"/>
        <v>#N/A</v>
      </c>
      <c r="P45" s="357" t="e">
        <f t="shared" si="6"/>
        <v>#N/A</v>
      </c>
      <c r="Q45" s="357" t="e">
        <f t="shared" si="7"/>
        <v>#N/A</v>
      </c>
      <c r="R45" s="357"/>
      <c r="S45" s="357"/>
      <c r="T45" s="357"/>
      <c r="U45" s="357"/>
      <c r="V45" s="357"/>
      <c r="W45" s="357"/>
      <c r="X45" s="357"/>
      <c r="Y45" s="357"/>
      <c r="Z45" s="357"/>
      <c r="AA45" s="357"/>
    </row>
    <row r="46" spans="1:27" ht="14.4">
      <c r="A46" s="69" t="s">
        <v>934</v>
      </c>
      <c r="B46" s="69" t="s">
        <v>599</v>
      </c>
      <c r="C46" s="102" t="s">
        <v>600</v>
      </c>
      <c r="D46" s="117" t="s">
        <v>601</v>
      </c>
      <c r="E46" s="69" t="s">
        <v>234</v>
      </c>
      <c r="F46" s="69" t="s">
        <v>249</v>
      </c>
      <c r="G46" s="226">
        <f>VLOOKUP(B46,'Margin Calculation'!F:Y,20,0)</f>
        <v>845.75340000000006</v>
      </c>
      <c r="H46" s="226">
        <f>VLOOKUP(B46,'Margin Calculation'!F:Z,21,0)</f>
        <v>997.989012</v>
      </c>
      <c r="I46" s="235">
        <f>Q46*2%</f>
        <v>35.200000000000003</v>
      </c>
      <c r="J46" s="235">
        <f t="shared" si="0"/>
        <v>176</v>
      </c>
      <c r="K46" s="235">
        <f t="shared" si="1"/>
        <v>88</v>
      </c>
      <c r="L46" s="235">
        <f t="shared" si="2"/>
        <v>52.8</v>
      </c>
      <c r="M46" s="287">
        <f t="shared" si="3"/>
        <v>1197.7534000000001</v>
      </c>
      <c r="N46" s="130">
        <f t="shared" si="4"/>
        <v>268.47457627118638</v>
      </c>
      <c r="O46" s="235">
        <f t="shared" si="5"/>
        <v>293.77202372881356</v>
      </c>
      <c r="P46" s="288">
        <f t="shared" si="6"/>
        <v>0.16691592257318952</v>
      </c>
      <c r="Q46" s="235">
        <f t="shared" si="7"/>
        <v>1760</v>
      </c>
      <c r="R46" s="117"/>
      <c r="S46" s="117"/>
      <c r="T46" s="117"/>
      <c r="U46" s="117"/>
      <c r="V46" s="117"/>
      <c r="W46" s="117"/>
      <c r="X46" s="117"/>
      <c r="Y46" s="117"/>
      <c r="Z46" s="117"/>
      <c r="AA46" s="117"/>
    </row>
    <row r="47" spans="1:27" ht="14.4" hidden="1">
      <c r="A47" s="69"/>
      <c r="B47" s="69" t="s">
        <v>603</v>
      </c>
      <c r="C47" s="102" t="s">
        <v>604</v>
      </c>
      <c r="D47" s="117" t="s">
        <v>605</v>
      </c>
      <c r="E47" s="69" t="s">
        <v>234</v>
      </c>
      <c r="F47" s="69" t="s">
        <v>249</v>
      </c>
      <c r="G47" s="226">
        <f>VLOOKUP(B47,'Margin Calculation'!F:Y,20,0)</f>
        <v>1040.4428399999999</v>
      </c>
      <c r="H47" s="226">
        <f>VLOOKUP(B47,'Margin Calculation'!F:Z,21,0)</f>
        <v>1227.7225511999998</v>
      </c>
      <c r="I47" s="357" t="e">
        <f t="shared" ref="I47:I49" si="16">Q47*1%</f>
        <v>#N/A</v>
      </c>
      <c r="J47" s="357" t="e">
        <f t="shared" si="0"/>
        <v>#N/A</v>
      </c>
      <c r="K47" s="357" t="e">
        <f t="shared" si="1"/>
        <v>#N/A</v>
      </c>
      <c r="L47" s="357" t="e">
        <f t="shared" si="2"/>
        <v>#N/A</v>
      </c>
      <c r="M47" s="357" t="e">
        <f t="shared" si="3"/>
        <v>#N/A</v>
      </c>
      <c r="N47" s="357" t="e">
        <f t="shared" si="4"/>
        <v>#N/A</v>
      </c>
      <c r="O47" s="357" t="e">
        <f t="shared" si="5"/>
        <v>#N/A</v>
      </c>
      <c r="P47" s="357" t="e">
        <f t="shared" si="6"/>
        <v>#N/A</v>
      </c>
      <c r="Q47" s="357" t="e">
        <f t="shared" si="7"/>
        <v>#N/A</v>
      </c>
      <c r="R47" s="357"/>
      <c r="S47" s="357"/>
      <c r="T47" s="357"/>
      <c r="U47" s="357"/>
      <c r="V47" s="357"/>
      <c r="W47" s="357"/>
      <c r="X47" s="357"/>
      <c r="Y47" s="357"/>
      <c r="Z47" s="357"/>
      <c r="AA47" s="357"/>
    </row>
    <row r="48" spans="1:27" ht="14.4" hidden="1">
      <c r="A48" s="69"/>
      <c r="B48" s="69" t="s">
        <v>608</v>
      </c>
      <c r="C48" s="69" t="s">
        <v>609</v>
      </c>
      <c r="D48" s="117" t="s">
        <v>610</v>
      </c>
      <c r="E48" s="69" t="s">
        <v>234</v>
      </c>
      <c r="F48" s="69" t="s">
        <v>249</v>
      </c>
      <c r="G48" s="226">
        <f>VLOOKUP(B48,'Margin Calculation'!F:Y,20,0)</f>
        <v>1205.0769600000001</v>
      </c>
      <c r="H48" s="226">
        <f>VLOOKUP(B48,'Margin Calculation'!F:Z,21,0)</f>
        <v>1421.9908128</v>
      </c>
      <c r="I48" s="357" t="e">
        <f t="shared" si="16"/>
        <v>#N/A</v>
      </c>
      <c r="J48" s="357" t="e">
        <f t="shared" si="0"/>
        <v>#N/A</v>
      </c>
      <c r="K48" s="357" t="e">
        <f t="shared" si="1"/>
        <v>#N/A</v>
      </c>
      <c r="L48" s="357" t="e">
        <f t="shared" si="2"/>
        <v>#N/A</v>
      </c>
      <c r="M48" s="357" t="e">
        <f t="shared" si="3"/>
        <v>#N/A</v>
      </c>
      <c r="N48" s="357" t="e">
        <f t="shared" si="4"/>
        <v>#N/A</v>
      </c>
      <c r="O48" s="357" t="e">
        <f t="shared" si="5"/>
        <v>#N/A</v>
      </c>
      <c r="P48" s="357" t="e">
        <f t="shared" si="6"/>
        <v>#N/A</v>
      </c>
      <c r="Q48" s="357" t="e">
        <f t="shared" si="7"/>
        <v>#N/A</v>
      </c>
      <c r="R48" s="357"/>
      <c r="S48" s="357"/>
      <c r="T48" s="357"/>
      <c r="U48" s="357"/>
      <c r="V48" s="357"/>
      <c r="W48" s="357"/>
      <c r="X48" s="357"/>
      <c r="Y48" s="357"/>
      <c r="Z48" s="357"/>
      <c r="AA48" s="357"/>
    </row>
    <row r="49" spans="1:27" ht="14.4" hidden="1">
      <c r="A49" s="69"/>
      <c r="B49" s="69" t="s">
        <v>615</v>
      </c>
      <c r="C49" s="69" t="s">
        <v>616</v>
      </c>
      <c r="D49" s="117" t="s">
        <v>617</v>
      </c>
      <c r="E49" s="69" t="s">
        <v>314</v>
      </c>
      <c r="F49" s="69" t="s">
        <v>618</v>
      </c>
      <c r="G49" s="226">
        <f>VLOOKUP(B49,'Margin Calculation'!F:Y,20,0)</f>
        <v>478.92060000000009</v>
      </c>
      <c r="H49" s="226">
        <f>VLOOKUP(B49,'Margin Calculation'!F:Z,21,0)</f>
        <v>536.39107200000012</v>
      </c>
      <c r="I49" s="357" t="e">
        <f t="shared" si="16"/>
        <v>#N/A</v>
      </c>
      <c r="J49" s="357" t="e">
        <f t="shared" si="0"/>
        <v>#N/A</v>
      </c>
      <c r="K49" s="357" t="e">
        <f t="shared" si="1"/>
        <v>#N/A</v>
      </c>
      <c r="L49" s="357" t="e">
        <f t="shared" si="2"/>
        <v>#N/A</v>
      </c>
      <c r="M49" s="357" t="e">
        <f t="shared" si="3"/>
        <v>#N/A</v>
      </c>
      <c r="N49" s="357" t="e">
        <f t="shared" si="4"/>
        <v>#N/A</v>
      </c>
      <c r="O49" s="357" t="e">
        <f t="shared" si="5"/>
        <v>#N/A</v>
      </c>
      <c r="P49" s="357" t="e">
        <f t="shared" si="6"/>
        <v>#N/A</v>
      </c>
      <c r="Q49" s="357" t="e">
        <f t="shared" si="7"/>
        <v>#N/A</v>
      </c>
      <c r="R49" s="357"/>
      <c r="S49" s="357"/>
      <c r="T49" s="357"/>
      <c r="U49" s="357"/>
      <c r="V49" s="357"/>
      <c r="W49" s="357"/>
      <c r="X49" s="357"/>
      <c r="Y49" s="357"/>
      <c r="Z49" s="357"/>
      <c r="AA49" s="357"/>
    </row>
    <row r="50" spans="1:27" ht="14.4">
      <c r="A50" s="69" t="s">
        <v>934</v>
      </c>
      <c r="B50" s="69" t="s">
        <v>621</v>
      </c>
      <c r="C50" s="69" t="s">
        <v>622</v>
      </c>
      <c r="D50" s="117" t="s">
        <v>623</v>
      </c>
      <c r="E50" s="69" t="s">
        <v>314</v>
      </c>
      <c r="F50" s="69" t="s">
        <v>618</v>
      </c>
      <c r="G50" s="226">
        <f>VLOOKUP(B50,'Margin Calculation'!F:Y,20,0)</f>
        <v>478.92060000000009</v>
      </c>
      <c r="H50" s="226">
        <f>VLOOKUP(B50,'Margin Calculation'!F:Z,21,0)</f>
        <v>536.39107200000012</v>
      </c>
      <c r="I50" s="235">
        <f t="shared" ref="I50:I51" si="17">Q50*2%</f>
        <v>24</v>
      </c>
      <c r="J50" s="235">
        <f t="shared" si="0"/>
        <v>120</v>
      </c>
      <c r="K50" s="235">
        <f t="shared" si="1"/>
        <v>60</v>
      </c>
      <c r="L50" s="235">
        <f t="shared" si="2"/>
        <v>36</v>
      </c>
      <c r="M50" s="287">
        <f t="shared" si="3"/>
        <v>718.92060000000015</v>
      </c>
      <c r="N50" s="130">
        <f t="shared" si="4"/>
        <v>183.05084745762701</v>
      </c>
      <c r="O50" s="235">
        <f t="shared" si="5"/>
        <v>298.02855254237284</v>
      </c>
      <c r="P50" s="288">
        <f t="shared" si="6"/>
        <v>0.24835712711864402</v>
      </c>
      <c r="Q50" s="235">
        <f t="shared" si="7"/>
        <v>1200</v>
      </c>
      <c r="R50" s="117"/>
      <c r="S50" s="117"/>
      <c r="T50" s="117"/>
      <c r="U50" s="117"/>
      <c r="V50" s="117"/>
      <c r="W50" s="117"/>
      <c r="X50" s="117"/>
      <c r="Y50" s="117"/>
      <c r="Z50" s="117"/>
      <c r="AA50" s="117"/>
    </row>
    <row r="51" spans="1:27" ht="14.4">
      <c r="A51" s="69" t="s">
        <v>934</v>
      </c>
      <c r="B51" s="69" t="s">
        <v>625</v>
      </c>
      <c r="C51" s="102" t="s">
        <v>626</v>
      </c>
      <c r="D51" s="117" t="s">
        <v>627</v>
      </c>
      <c r="E51" s="69" t="s">
        <v>628</v>
      </c>
      <c r="F51" s="69" t="s">
        <v>629</v>
      </c>
      <c r="G51" s="226">
        <f>VLOOKUP(B51,'Margin Calculation'!F:Y,20,0)</f>
        <v>1063.2964499999998</v>
      </c>
      <c r="H51" s="226">
        <f>VLOOKUP(B51,'Margin Calculation'!F:Z,21,0)</f>
        <v>1254.6898109999997</v>
      </c>
      <c r="I51" s="235">
        <f t="shared" si="17"/>
        <v>38.4</v>
      </c>
      <c r="J51" s="235">
        <f t="shared" si="0"/>
        <v>192</v>
      </c>
      <c r="K51" s="235">
        <f t="shared" si="1"/>
        <v>96</v>
      </c>
      <c r="L51" s="235">
        <f t="shared" si="2"/>
        <v>57.599999999999994</v>
      </c>
      <c r="M51" s="287">
        <f t="shared" si="3"/>
        <v>1447.2964499999998</v>
      </c>
      <c r="N51" s="130">
        <f t="shared" si="4"/>
        <v>292.88135593220341</v>
      </c>
      <c r="O51" s="235">
        <f t="shared" si="5"/>
        <v>179.82219406779677</v>
      </c>
      <c r="P51" s="288">
        <f t="shared" si="6"/>
        <v>9.3657392743644152E-2</v>
      </c>
      <c r="Q51" s="235">
        <f t="shared" si="7"/>
        <v>1920</v>
      </c>
      <c r="R51" s="117"/>
      <c r="S51" s="117"/>
      <c r="T51" s="117"/>
      <c r="U51" s="117"/>
      <c r="V51" s="117"/>
      <c r="W51" s="117"/>
      <c r="X51" s="117"/>
      <c r="Y51" s="117"/>
      <c r="Z51" s="117"/>
      <c r="AA51" s="117"/>
    </row>
    <row r="52" spans="1:27" ht="14.4" hidden="1">
      <c r="A52" s="69"/>
      <c r="B52" s="69" t="s">
        <v>632</v>
      </c>
      <c r="C52" s="102" t="s">
        <v>633</v>
      </c>
      <c r="D52" s="117" t="s">
        <v>634</v>
      </c>
      <c r="E52" s="69" t="s">
        <v>314</v>
      </c>
      <c r="F52" s="69" t="s">
        <v>444</v>
      </c>
      <c r="G52" s="226">
        <f>VLOOKUP(B52,'Margin Calculation'!F:Y,20,0)</f>
        <v>414.3852</v>
      </c>
      <c r="H52" s="226">
        <f>VLOOKUP(B52,'Margin Calculation'!F:Z,21,0)</f>
        <v>488.97453599999994</v>
      </c>
      <c r="I52" s="357" t="e">
        <f t="shared" ref="I52:I55" si="18">Q52*1%</f>
        <v>#N/A</v>
      </c>
      <c r="J52" s="357" t="e">
        <f t="shared" si="0"/>
        <v>#N/A</v>
      </c>
      <c r="K52" s="357" t="e">
        <f t="shared" si="1"/>
        <v>#N/A</v>
      </c>
      <c r="L52" s="357" t="e">
        <f t="shared" si="2"/>
        <v>#N/A</v>
      </c>
      <c r="M52" s="357" t="e">
        <f t="shared" si="3"/>
        <v>#N/A</v>
      </c>
      <c r="N52" s="357" t="e">
        <f t="shared" si="4"/>
        <v>#N/A</v>
      </c>
      <c r="O52" s="357" t="e">
        <f t="shared" si="5"/>
        <v>#N/A</v>
      </c>
      <c r="P52" s="357" t="e">
        <f t="shared" si="6"/>
        <v>#N/A</v>
      </c>
      <c r="Q52" s="357" t="e">
        <f t="shared" si="7"/>
        <v>#N/A</v>
      </c>
      <c r="R52" s="357"/>
      <c r="S52" s="357"/>
      <c r="T52" s="357"/>
      <c r="U52" s="357"/>
      <c r="V52" s="357"/>
      <c r="W52" s="357"/>
      <c r="X52" s="357"/>
      <c r="Y52" s="357"/>
      <c r="Z52" s="357"/>
      <c r="AA52" s="357"/>
    </row>
    <row r="53" spans="1:27" ht="14.4" hidden="1">
      <c r="A53" s="69"/>
      <c r="B53" s="69" t="s">
        <v>947</v>
      </c>
      <c r="C53" s="102" t="s">
        <v>938</v>
      </c>
      <c r="D53" s="117" t="s">
        <v>639</v>
      </c>
      <c r="E53" s="117" t="s">
        <v>249</v>
      </c>
      <c r="F53" s="117"/>
      <c r="G53" s="226" t="e">
        <f>VLOOKUP(B53,'Margin Calculation'!F:Y,20,0)</f>
        <v>#N/A</v>
      </c>
      <c r="H53" s="226" t="e">
        <f>VLOOKUP(B53,'Margin Calculation'!F:Z,21,0)</f>
        <v>#N/A</v>
      </c>
      <c r="I53" s="357" t="e">
        <f t="shared" si="18"/>
        <v>#N/A</v>
      </c>
      <c r="J53" s="357" t="e">
        <f t="shared" si="0"/>
        <v>#N/A</v>
      </c>
      <c r="K53" s="357" t="e">
        <f t="shared" si="1"/>
        <v>#N/A</v>
      </c>
      <c r="L53" s="357" t="e">
        <f t="shared" si="2"/>
        <v>#N/A</v>
      </c>
      <c r="M53" s="357" t="e">
        <f t="shared" si="3"/>
        <v>#N/A</v>
      </c>
      <c r="N53" s="357" t="e">
        <f t="shared" si="4"/>
        <v>#N/A</v>
      </c>
      <c r="O53" s="357" t="e">
        <f t="shared" si="5"/>
        <v>#N/A</v>
      </c>
      <c r="P53" s="357" t="e">
        <f t="shared" si="6"/>
        <v>#N/A</v>
      </c>
      <c r="Q53" s="357" t="e">
        <f t="shared" si="7"/>
        <v>#N/A</v>
      </c>
      <c r="R53" s="357"/>
      <c r="S53" s="357"/>
      <c r="T53" s="357"/>
      <c r="U53" s="357"/>
      <c r="V53" s="357"/>
      <c r="W53" s="357"/>
      <c r="X53" s="357"/>
      <c r="Y53" s="357"/>
      <c r="Z53" s="357"/>
      <c r="AA53" s="357"/>
    </row>
    <row r="54" spans="1:27" ht="14.4" hidden="1">
      <c r="A54" s="69"/>
      <c r="B54" s="69" t="s">
        <v>642</v>
      </c>
      <c r="C54" s="102" t="s">
        <v>643</v>
      </c>
      <c r="D54" s="117" t="s">
        <v>644</v>
      </c>
      <c r="E54" s="69" t="s">
        <v>314</v>
      </c>
      <c r="F54" s="69" t="s">
        <v>437</v>
      </c>
      <c r="G54" s="226">
        <f>VLOOKUP(B54,'Margin Calculation'!F:Y,20,0)</f>
        <v>509.48999999999995</v>
      </c>
      <c r="H54" s="226">
        <f>VLOOKUP(B54,'Margin Calculation'!F:Z,21,0)</f>
        <v>601.19819999999993</v>
      </c>
      <c r="I54" s="357" t="e">
        <f t="shared" si="18"/>
        <v>#N/A</v>
      </c>
      <c r="J54" s="357" t="e">
        <f t="shared" si="0"/>
        <v>#N/A</v>
      </c>
      <c r="K54" s="357" t="e">
        <f t="shared" si="1"/>
        <v>#N/A</v>
      </c>
      <c r="L54" s="357" t="e">
        <f t="shared" si="2"/>
        <v>#N/A</v>
      </c>
      <c r="M54" s="357" t="e">
        <f t="shared" si="3"/>
        <v>#N/A</v>
      </c>
      <c r="N54" s="357" t="e">
        <f t="shared" si="4"/>
        <v>#N/A</v>
      </c>
      <c r="O54" s="357" t="e">
        <f t="shared" si="5"/>
        <v>#N/A</v>
      </c>
      <c r="P54" s="357" t="e">
        <f t="shared" si="6"/>
        <v>#N/A</v>
      </c>
      <c r="Q54" s="357" t="e">
        <f t="shared" si="7"/>
        <v>#N/A</v>
      </c>
      <c r="R54" s="357"/>
      <c r="S54" s="357"/>
      <c r="T54" s="357"/>
      <c r="U54" s="357"/>
      <c r="V54" s="357"/>
      <c r="W54" s="357"/>
      <c r="X54" s="357"/>
      <c r="Y54" s="357"/>
      <c r="Z54" s="357"/>
      <c r="AA54" s="357"/>
    </row>
    <row r="55" spans="1:27" ht="14.4" hidden="1">
      <c r="A55" s="69"/>
      <c r="B55" s="69" t="s">
        <v>646</v>
      </c>
      <c r="C55" s="102" t="s">
        <v>647</v>
      </c>
      <c r="D55" s="117" t="s">
        <v>648</v>
      </c>
      <c r="E55" s="69" t="s">
        <v>628</v>
      </c>
      <c r="F55" s="69" t="s">
        <v>629</v>
      </c>
      <c r="G55" s="226">
        <f>VLOOKUP(B55,'Margin Calculation'!F:Y,20,0)</f>
        <v>695.61449999999991</v>
      </c>
      <c r="H55" s="226">
        <f>VLOOKUP(B55,'Margin Calculation'!F:Z,21,0)</f>
        <v>820.82510999999988</v>
      </c>
      <c r="I55" s="357" t="e">
        <f t="shared" si="18"/>
        <v>#N/A</v>
      </c>
      <c r="J55" s="357" t="e">
        <f t="shared" si="0"/>
        <v>#N/A</v>
      </c>
      <c r="K55" s="357" t="e">
        <f t="shared" si="1"/>
        <v>#N/A</v>
      </c>
      <c r="L55" s="357" t="e">
        <f t="shared" si="2"/>
        <v>#N/A</v>
      </c>
      <c r="M55" s="357" t="e">
        <f t="shared" si="3"/>
        <v>#N/A</v>
      </c>
      <c r="N55" s="357" t="e">
        <f t="shared" si="4"/>
        <v>#N/A</v>
      </c>
      <c r="O55" s="357" t="e">
        <f t="shared" si="5"/>
        <v>#N/A</v>
      </c>
      <c r="P55" s="357" t="e">
        <f t="shared" si="6"/>
        <v>#N/A</v>
      </c>
      <c r="Q55" s="357" t="e">
        <f t="shared" si="7"/>
        <v>#N/A</v>
      </c>
      <c r="R55" s="357"/>
      <c r="S55" s="357"/>
      <c r="T55" s="357"/>
      <c r="U55" s="357"/>
      <c r="V55" s="357"/>
      <c r="W55" s="357"/>
      <c r="X55" s="357"/>
      <c r="Y55" s="357"/>
      <c r="Z55" s="357"/>
      <c r="AA55" s="357"/>
    </row>
    <row r="56" spans="1:27" ht="14.4">
      <c r="A56" s="69" t="s">
        <v>934</v>
      </c>
      <c r="B56" s="69" t="s">
        <v>651</v>
      </c>
      <c r="C56" s="102" t="s">
        <v>652</v>
      </c>
      <c r="D56" s="117" t="s">
        <v>653</v>
      </c>
      <c r="E56" s="69" t="s">
        <v>628</v>
      </c>
      <c r="F56" s="69" t="s">
        <v>629</v>
      </c>
      <c r="G56" s="226">
        <f>VLOOKUP(B56,'Margin Calculation'!F:Y,20,0)</f>
        <v>695.61449999999991</v>
      </c>
      <c r="H56" s="226">
        <f>VLOOKUP(B56,'Margin Calculation'!F:Z,21,0)</f>
        <v>820.82510999999988</v>
      </c>
      <c r="I56" s="235">
        <f>Q56*2%</f>
        <v>35.200000000000003</v>
      </c>
      <c r="J56" s="235">
        <f t="shared" si="0"/>
        <v>176</v>
      </c>
      <c r="K56" s="235">
        <f t="shared" si="1"/>
        <v>88</v>
      </c>
      <c r="L56" s="235">
        <f t="shared" si="2"/>
        <v>52.8</v>
      </c>
      <c r="M56" s="287">
        <f t="shared" si="3"/>
        <v>1047.6144999999999</v>
      </c>
      <c r="N56" s="130">
        <f t="shared" si="4"/>
        <v>268.47457627118638</v>
      </c>
      <c r="O56" s="235">
        <f t="shared" si="5"/>
        <v>443.91092372881371</v>
      </c>
      <c r="P56" s="288">
        <f t="shared" si="6"/>
        <v>0.2522221157550078</v>
      </c>
      <c r="Q56" s="235">
        <f t="shared" si="7"/>
        <v>1760</v>
      </c>
      <c r="R56" s="117"/>
      <c r="S56" s="117"/>
      <c r="T56" s="117"/>
      <c r="U56" s="117"/>
      <c r="V56" s="117"/>
      <c r="W56" s="117"/>
      <c r="X56" s="117"/>
      <c r="Y56" s="117"/>
      <c r="Z56" s="117"/>
      <c r="AA56" s="117"/>
    </row>
    <row r="57" spans="1:27" ht="14.4" hidden="1">
      <c r="A57" s="69"/>
      <c r="B57" s="69" t="s">
        <v>655</v>
      </c>
      <c r="C57" s="102" t="s">
        <v>656</v>
      </c>
      <c r="D57" s="117" t="s">
        <v>657</v>
      </c>
      <c r="E57" s="69" t="s">
        <v>628</v>
      </c>
      <c r="F57" s="69" t="s">
        <v>629</v>
      </c>
      <c r="G57" s="226">
        <f>VLOOKUP(B57,'Margin Calculation'!F:Y,20,0)</f>
        <v>936.09836999999993</v>
      </c>
      <c r="H57" s="226">
        <f>VLOOKUP(B57,'Margin Calculation'!F:Z,21,0)</f>
        <v>1104.5960765999998</v>
      </c>
      <c r="I57" s="357" t="e">
        <f t="shared" ref="I57:I63" si="19">Q57*1%</f>
        <v>#N/A</v>
      </c>
      <c r="J57" s="357" t="e">
        <f t="shared" si="0"/>
        <v>#N/A</v>
      </c>
      <c r="K57" s="357" t="e">
        <f t="shared" si="1"/>
        <v>#N/A</v>
      </c>
      <c r="L57" s="357" t="e">
        <f t="shared" si="2"/>
        <v>#N/A</v>
      </c>
      <c r="M57" s="357" t="e">
        <f t="shared" si="3"/>
        <v>#N/A</v>
      </c>
      <c r="N57" s="357" t="e">
        <f t="shared" si="4"/>
        <v>#N/A</v>
      </c>
      <c r="O57" s="357" t="e">
        <f t="shared" si="5"/>
        <v>#N/A</v>
      </c>
      <c r="P57" s="357" t="e">
        <f t="shared" si="6"/>
        <v>#N/A</v>
      </c>
      <c r="Q57" s="357" t="e">
        <f t="shared" si="7"/>
        <v>#N/A</v>
      </c>
      <c r="R57" s="357"/>
      <c r="S57" s="357"/>
      <c r="T57" s="357"/>
      <c r="U57" s="357"/>
      <c r="V57" s="357"/>
      <c r="W57" s="357"/>
      <c r="X57" s="357"/>
      <c r="Y57" s="357"/>
      <c r="Z57" s="357"/>
      <c r="AA57" s="357"/>
    </row>
    <row r="58" spans="1:27" ht="14.4" hidden="1">
      <c r="A58" s="69"/>
      <c r="B58" s="69" t="s">
        <v>659</v>
      </c>
      <c r="C58" s="102" t="s">
        <v>660</v>
      </c>
      <c r="D58" s="117" t="s">
        <v>661</v>
      </c>
      <c r="E58" s="69" t="s">
        <v>234</v>
      </c>
      <c r="F58" s="69" t="s">
        <v>249</v>
      </c>
      <c r="G58" s="226">
        <f>VLOOKUP(B58,'Margin Calculation'!F:Y,20,0)</f>
        <v>753.73308000000009</v>
      </c>
      <c r="H58" s="226">
        <f>VLOOKUP(B58,'Margin Calculation'!F:Z,21,0)</f>
        <v>889.40503440000009</v>
      </c>
      <c r="I58" s="357" t="e">
        <f t="shared" si="19"/>
        <v>#N/A</v>
      </c>
      <c r="J58" s="357" t="e">
        <f t="shared" si="0"/>
        <v>#N/A</v>
      </c>
      <c r="K58" s="357" t="e">
        <f t="shared" si="1"/>
        <v>#N/A</v>
      </c>
      <c r="L58" s="357" t="e">
        <f t="shared" si="2"/>
        <v>#N/A</v>
      </c>
      <c r="M58" s="357" t="e">
        <f t="shared" si="3"/>
        <v>#N/A</v>
      </c>
      <c r="N58" s="357" t="e">
        <f t="shared" si="4"/>
        <v>#N/A</v>
      </c>
      <c r="O58" s="357" t="e">
        <f t="shared" si="5"/>
        <v>#N/A</v>
      </c>
      <c r="P58" s="357" t="e">
        <f t="shared" si="6"/>
        <v>#N/A</v>
      </c>
      <c r="Q58" s="357" t="e">
        <f t="shared" si="7"/>
        <v>#N/A</v>
      </c>
      <c r="R58" s="357"/>
      <c r="S58" s="357"/>
      <c r="T58" s="357"/>
      <c r="U58" s="357"/>
      <c r="V58" s="357"/>
      <c r="W58" s="357"/>
      <c r="X58" s="357"/>
      <c r="Y58" s="357"/>
      <c r="Z58" s="357"/>
      <c r="AA58" s="357"/>
    </row>
    <row r="59" spans="1:27" ht="14.4" hidden="1">
      <c r="A59" s="69"/>
      <c r="B59" s="69" t="s">
        <v>663</v>
      </c>
      <c r="C59" s="102" t="s">
        <v>664</v>
      </c>
      <c r="D59" s="117" t="s">
        <v>665</v>
      </c>
      <c r="E59" s="69" t="s">
        <v>314</v>
      </c>
      <c r="F59" s="69" t="s">
        <v>444</v>
      </c>
      <c r="G59" s="226">
        <f>VLOOKUP(B59,'Margin Calculation'!F:Y,20,0)</f>
        <v>1119.9599999999998</v>
      </c>
      <c r="H59" s="226">
        <f>VLOOKUP(B59,'Margin Calculation'!F:Z,21,0)</f>
        <v>1321.5527999999997</v>
      </c>
      <c r="I59" s="357" t="e">
        <f t="shared" si="19"/>
        <v>#N/A</v>
      </c>
      <c r="J59" s="357" t="e">
        <f t="shared" si="0"/>
        <v>#N/A</v>
      </c>
      <c r="K59" s="357" t="e">
        <f t="shared" si="1"/>
        <v>#N/A</v>
      </c>
      <c r="L59" s="357" t="e">
        <f t="shared" si="2"/>
        <v>#N/A</v>
      </c>
      <c r="M59" s="357" t="e">
        <f t="shared" si="3"/>
        <v>#N/A</v>
      </c>
      <c r="N59" s="357" t="e">
        <f t="shared" si="4"/>
        <v>#N/A</v>
      </c>
      <c r="O59" s="357" t="e">
        <f t="shared" si="5"/>
        <v>#N/A</v>
      </c>
      <c r="P59" s="357" t="e">
        <f t="shared" si="6"/>
        <v>#N/A</v>
      </c>
      <c r="Q59" s="357" t="e">
        <f t="shared" si="7"/>
        <v>#N/A</v>
      </c>
      <c r="R59" s="357"/>
      <c r="S59" s="357"/>
      <c r="T59" s="357"/>
      <c r="U59" s="357"/>
      <c r="V59" s="357"/>
      <c r="W59" s="357"/>
      <c r="X59" s="357"/>
      <c r="Y59" s="357"/>
      <c r="Z59" s="357"/>
      <c r="AA59" s="357"/>
    </row>
    <row r="60" spans="1:27" ht="14.4" hidden="1">
      <c r="A60" s="69"/>
      <c r="B60" s="69" t="s">
        <v>668</v>
      </c>
      <c r="C60" s="102" t="s">
        <v>669</v>
      </c>
      <c r="D60" s="117" t="s">
        <v>670</v>
      </c>
      <c r="E60" s="117" t="s">
        <v>671</v>
      </c>
      <c r="F60" s="117"/>
      <c r="G60" s="226">
        <f>VLOOKUP(B60,'Margin Calculation'!F:Y,20,0)</f>
        <v>582.37919999999997</v>
      </c>
      <c r="H60" s="226">
        <f>VLOOKUP(B60,'Margin Calculation'!F:Z,21,0)</f>
        <v>687.20745599999998</v>
      </c>
      <c r="I60" s="357" t="e">
        <f t="shared" si="19"/>
        <v>#N/A</v>
      </c>
      <c r="J60" s="357" t="e">
        <f t="shared" si="0"/>
        <v>#N/A</v>
      </c>
      <c r="K60" s="357" t="e">
        <f t="shared" si="1"/>
        <v>#N/A</v>
      </c>
      <c r="L60" s="357" t="e">
        <f t="shared" si="2"/>
        <v>#N/A</v>
      </c>
      <c r="M60" s="357" t="e">
        <f t="shared" si="3"/>
        <v>#N/A</v>
      </c>
      <c r="N60" s="357" t="e">
        <f t="shared" si="4"/>
        <v>#N/A</v>
      </c>
      <c r="O60" s="357" t="e">
        <f t="shared" si="5"/>
        <v>#N/A</v>
      </c>
      <c r="P60" s="357" t="e">
        <f t="shared" si="6"/>
        <v>#N/A</v>
      </c>
      <c r="Q60" s="357" t="e">
        <f t="shared" si="7"/>
        <v>#N/A</v>
      </c>
      <c r="R60" s="357"/>
      <c r="S60" s="357"/>
      <c r="T60" s="357"/>
      <c r="U60" s="357"/>
      <c r="V60" s="357"/>
      <c r="W60" s="357"/>
      <c r="X60" s="357"/>
      <c r="Y60" s="357"/>
      <c r="Z60" s="357"/>
      <c r="AA60" s="357"/>
    </row>
    <row r="61" spans="1:27" ht="14.4" hidden="1">
      <c r="A61" s="69"/>
      <c r="B61" s="69" t="s">
        <v>675</v>
      </c>
      <c r="C61" s="102" t="s">
        <v>676</v>
      </c>
      <c r="D61" s="117" t="s">
        <v>677</v>
      </c>
      <c r="E61" s="117" t="s">
        <v>314</v>
      </c>
      <c r="F61" s="117"/>
      <c r="G61" s="226">
        <f>VLOOKUP(B61,'Margin Calculation'!F:Y,20,0)</f>
        <v>509.58179999999999</v>
      </c>
      <c r="H61" s="226">
        <f>VLOOKUP(B61,'Margin Calculation'!F:Z,21,0)</f>
        <v>601.30652399999997</v>
      </c>
      <c r="I61" s="357" t="e">
        <f t="shared" si="19"/>
        <v>#N/A</v>
      </c>
      <c r="J61" s="357" t="e">
        <f t="shared" si="0"/>
        <v>#N/A</v>
      </c>
      <c r="K61" s="357" t="e">
        <f t="shared" si="1"/>
        <v>#N/A</v>
      </c>
      <c r="L61" s="357" t="e">
        <f t="shared" si="2"/>
        <v>#N/A</v>
      </c>
      <c r="M61" s="357" t="e">
        <f t="shared" si="3"/>
        <v>#N/A</v>
      </c>
      <c r="N61" s="357" t="e">
        <f t="shared" si="4"/>
        <v>#N/A</v>
      </c>
      <c r="O61" s="357" t="e">
        <f t="shared" si="5"/>
        <v>#N/A</v>
      </c>
      <c r="P61" s="357" t="e">
        <f t="shared" si="6"/>
        <v>#N/A</v>
      </c>
      <c r="Q61" s="357" t="e">
        <f t="shared" si="7"/>
        <v>#N/A</v>
      </c>
      <c r="R61" s="357"/>
      <c r="S61" s="357"/>
      <c r="T61" s="357"/>
      <c r="U61" s="357"/>
      <c r="V61" s="357"/>
      <c r="W61" s="357"/>
      <c r="X61" s="357"/>
      <c r="Y61" s="357"/>
      <c r="Z61" s="357"/>
      <c r="AA61" s="357"/>
    </row>
    <row r="62" spans="1:27" ht="14.4" hidden="1">
      <c r="A62" s="69"/>
      <c r="B62" s="69" t="s">
        <v>679</v>
      </c>
      <c r="C62" s="102" t="s">
        <v>680</v>
      </c>
      <c r="D62" s="117" t="s">
        <v>681</v>
      </c>
      <c r="E62" s="117" t="s">
        <v>314</v>
      </c>
      <c r="F62" s="117"/>
      <c r="G62" s="226">
        <f>VLOOKUP(B62,'Margin Calculation'!F:Y,20,0)</f>
        <v>394.22592000000003</v>
      </c>
      <c r="H62" s="226">
        <f>VLOOKUP(B62,'Margin Calculation'!F:Z,21,0)</f>
        <v>465.1865856</v>
      </c>
      <c r="I62" s="357" t="e">
        <f t="shared" si="19"/>
        <v>#N/A</v>
      </c>
      <c r="J62" s="357" t="e">
        <f t="shared" si="0"/>
        <v>#N/A</v>
      </c>
      <c r="K62" s="357" t="e">
        <f t="shared" si="1"/>
        <v>#N/A</v>
      </c>
      <c r="L62" s="357" t="e">
        <f t="shared" si="2"/>
        <v>#N/A</v>
      </c>
      <c r="M62" s="357" t="e">
        <f t="shared" si="3"/>
        <v>#N/A</v>
      </c>
      <c r="N62" s="357" t="e">
        <f t="shared" si="4"/>
        <v>#N/A</v>
      </c>
      <c r="O62" s="357" t="e">
        <f t="shared" si="5"/>
        <v>#N/A</v>
      </c>
      <c r="P62" s="357" t="e">
        <f t="shared" si="6"/>
        <v>#N/A</v>
      </c>
      <c r="Q62" s="357" t="e">
        <f t="shared" si="7"/>
        <v>#N/A</v>
      </c>
      <c r="R62" s="357"/>
      <c r="S62" s="357"/>
      <c r="T62" s="357"/>
      <c r="U62" s="357"/>
      <c r="V62" s="357"/>
      <c r="W62" s="357"/>
      <c r="X62" s="357"/>
      <c r="Y62" s="357"/>
      <c r="Z62" s="357"/>
      <c r="AA62" s="357"/>
    </row>
    <row r="63" spans="1:27" ht="14.4" hidden="1">
      <c r="A63" s="69"/>
      <c r="B63" s="69" t="s">
        <v>683</v>
      </c>
      <c r="C63" s="102" t="s">
        <v>684</v>
      </c>
      <c r="D63" s="117" t="s">
        <v>685</v>
      </c>
      <c r="E63" s="69" t="s">
        <v>234</v>
      </c>
      <c r="F63" s="69" t="s">
        <v>671</v>
      </c>
      <c r="G63" s="226">
        <f>VLOOKUP(B63,'Margin Calculation'!F:Y,20,0)</f>
        <v>811.97099999999989</v>
      </c>
      <c r="H63" s="226">
        <f>VLOOKUP(B63,'Margin Calculation'!F:Z,21,0)</f>
        <v>958.12577999999985</v>
      </c>
      <c r="I63" s="357" t="e">
        <f t="shared" si="19"/>
        <v>#N/A</v>
      </c>
      <c r="J63" s="357" t="e">
        <f t="shared" si="0"/>
        <v>#N/A</v>
      </c>
      <c r="K63" s="357" t="e">
        <f t="shared" si="1"/>
        <v>#N/A</v>
      </c>
      <c r="L63" s="357" t="e">
        <f t="shared" si="2"/>
        <v>#N/A</v>
      </c>
      <c r="M63" s="357" t="e">
        <f t="shared" si="3"/>
        <v>#N/A</v>
      </c>
      <c r="N63" s="357" t="e">
        <f t="shared" si="4"/>
        <v>#N/A</v>
      </c>
      <c r="O63" s="357" t="e">
        <f t="shared" si="5"/>
        <v>#N/A</v>
      </c>
      <c r="P63" s="357" t="e">
        <f t="shared" si="6"/>
        <v>#N/A</v>
      </c>
      <c r="Q63" s="357" t="e">
        <f t="shared" si="7"/>
        <v>#N/A</v>
      </c>
      <c r="R63" s="357"/>
      <c r="S63" s="357"/>
      <c r="T63" s="357"/>
      <c r="U63" s="357"/>
      <c r="V63" s="357"/>
      <c r="W63" s="357"/>
      <c r="X63" s="357"/>
      <c r="Y63" s="357"/>
      <c r="Z63" s="357"/>
      <c r="AA63" s="357"/>
    </row>
    <row r="64" spans="1:27" ht="14.4">
      <c r="A64" s="69" t="s">
        <v>934</v>
      </c>
      <c r="B64" s="69" t="s">
        <v>688</v>
      </c>
      <c r="C64" s="102" t="s">
        <v>689</v>
      </c>
      <c r="D64" s="117" t="s">
        <v>690</v>
      </c>
      <c r="E64" s="69" t="s">
        <v>234</v>
      </c>
      <c r="F64" s="69" t="s">
        <v>671</v>
      </c>
      <c r="G64" s="226">
        <f>VLOOKUP(B64,'Margin Calculation'!F:Y,20,0)</f>
        <v>811.97099999999989</v>
      </c>
      <c r="H64" s="226">
        <f>VLOOKUP(B64,'Margin Calculation'!F:Z,21,0)</f>
        <v>958.12577999999985</v>
      </c>
      <c r="I64" s="235">
        <f>Q64*2%</f>
        <v>28.8</v>
      </c>
      <c r="J64" s="235">
        <f t="shared" si="0"/>
        <v>144</v>
      </c>
      <c r="K64" s="235">
        <f t="shared" si="1"/>
        <v>72</v>
      </c>
      <c r="L64" s="235">
        <f t="shared" si="2"/>
        <v>43.199999999999996</v>
      </c>
      <c r="M64" s="287">
        <f t="shared" si="3"/>
        <v>1099.9709999999998</v>
      </c>
      <c r="N64" s="130">
        <f t="shared" si="4"/>
        <v>219.66101694915255</v>
      </c>
      <c r="O64" s="235">
        <f t="shared" si="5"/>
        <v>120.36798305084767</v>
      </c>
      <c r="P64" s="288">
        <f t="shared" si="6"/>
        <v>8.3588877118644211E-2</v>
      </c>
      <c r="Q64" s="235">
        <f t="shared" si="7"/>
        <v>1440</v>
      </c>
      <c r="R64" s="117"/>
      <c r="S64" s="117"/>
      <c r="T64" s="117"/>
      <c r="U64" s="117"/>
      <c r="V64" s="117"/>
      <c r="W64" s="117"/>
      <c r="X64" s="117"/>
      <c r="Y64" s="117"/>
      <c r="Z64" s="117"/>
      <c r="AA64" s="117"/>
    </row>
    <row r="65" spans="1:27" ht="14.4" hidden="1">
      <c r="A65" s="69"/>
      <c r="B65" s="69" t="s">
        <v>695</v>
      </c>
      <c r="C65" s="69" t="s">
        <v>696</v>
      </c>
      <c r="D65" s="117" t="s">
        <v>697</v>
      </c>
      <c r="E65" s="69" t="s">
        <v>314</v>
      </c>
      <c r="F65" s="69" t="s">
        <v>465</v>
      </c>
      <c r="G65" s="226">
        <f>VLOOKUP(B65,'Margin Calculation'!F:Y,20,0)</f>
        <v>931.80672000000004</v>
      </c>
      <c r="H65" s="226">
        <f>VLOOKUP(B65,'Margin Calculation'!F:Z,21,0)</f>
        <v>1099.5319296</v>
      </c>
      <c r="I65" s="357" t="e">
        <f t="shared" ref="I65:I66" si="20">Q65*1%</f>
        <v>#N/A</v>
      </c>
      <c r="J65" s="357" t="e">
        <f t="shared" si="0"/>
        <v>#N/A</v>
      </c>
      <c r="K65" s="357" t="e">
        <f t="shared" si="1"/>
        <v>#N/A</v>
      </c>
      <c r="L65" s="357" t="e">
        <f t="shared" si="2"/>
        <v>#N/A</v>
      </c>
      <c r="M65" s="357" t="e">
        <f t="shared" si="3"/>
        <v>#N/A</v>
      </c>
      <c r="N65" s="357" t="e">
        <f t="shared" si="4"/>
        <v>#N/A</v>
      </c>
      <c r="O65" s="357" t="e">
        <f t="shared" si="5"/>
        <v>#N/A</v>
      </c>
      <c r="P65" s="357" t="e">
        <f t="shared" si="6"/>
        <v>#N/A</v>
      </c>
      <c r="Q65" s="357" t="e">
        <f t="shared" si="7"/>
        <v>#N/A</v>
      </c>
      <c r="R65" s="357"/>
      <c r="S65" s="357"/>
      <c r="T65" s="357"/>
      <c r="U65" s="357"/>
      <c r="V65" s="357"/>
      <c r="W65" s="357"/>
      <c r="X65" s="357"/>
      <c r="Y65" s="357"/>
      <c r="Z65" s="357"/>
      <c r="AA65" s="357"/>
    </row>
    <row r="66" spans="1:27" ht="14.4" hidden="1">
      <c r="A66" s="69"/>
      <c r="B66" s="69" t="s">
        <v>700</v>
      </c>
      <c r="C66" s="102" t="s">
        <v>701</v>
      </c>
      <c r="D66" s="117" t="s">
        <v>702</v>
      </c>
      <c r="E66" s="69" t="s">
        <v>314</v>
      </c>
      <c r="F66" s="69" t="s">
        <v>465</v>
      </c>
      <c r="G66" s="226">
        <f>VLOOKUP(B66,'Margin Calculation'!F:Y,20,0)</f>
        <v>724.61412000000007</v>
      </c>
      <c r="H66" s="226">
        <f>VLOOKUP(B66,'Margin Calculation'!F:Z,21,0)</f>
        <v>855.04466160000004</v>
      </c>
      <c r="I66" s="357" t="e">
        <f t="shared" si="20"/>
        <v>#N/A</v>
      </c>
      <c r="J66" s="357" t="e">
        <f t="shared" si="0"/>
        <v>#N/A</v>
      </c>
      <c r="K66" s="357" t="e">
        <f t="shared" si="1"/>
        <v>#N/A</v>
      </c>
      <c r="L66" s="357" t="e">
        <f t="shared" si="2"/>
        <v>#N/A</v>
      </c>
      <c r="M66" s="357" t="e">
        <f t="shared" si="3"/>
        <v>#N/A</v>
      </c>
      <c r="N66" s="357" t="e">
        <f t="shared" si="4"/>
        <v>#N/A</v>
      </c>
      <c r="O66" s="357" t="e">
        <f t="shared" si="5"/>
        <v>#N/A</v>
      </c>
      <c r="P66" s="357" t="e">
        <f t="shared" si="6"/>
        <v>#N/A</v>
      </c>
      <c r="Q66" s="357" t="e">
        <f t="shared" si="7"/>
        <v>#N/A</v>
      </c>
      <c r="R66" s="357"/>
      <c r="S66" s="357"/>
      <c r="T66" s="357"/>
      <c r="U66" s="357"/>
      <c r="V66" s="357"/>
      <c r="W66" s="357"/>
      <c r="X66" s="357"/>
      <c r="Y66" s="357"/>
      <c r="Z66" s="357"/>
      <c r="AA66" s="357"/>
    </row>
    <row r="67" spans="1:27" ht="14.4">
      <c r="A67" s="69" t="s">
        <v>934</v>
      </c>
      <c r="B67" s="69" t="s">
        <v>704</v>
      </c>
      <c r="C67" s="102" t="s">
        <v>705</v>
      </c>
      <c r="D67" s="117" t="s">
        <v>706</v>
      </c>
      <c r="E67" s="69" t="s">
        <v>234</v>
      </c>
      <c r="F67" s="69" t="s">
        <v>249</v>
      </c>
      <c r="G67" s="226">
        <f>VLOOKUP(B67,'Margin Calculation'!F:Y,20,0)</f>
        <v>2239.9199999999996</v>
      </c>
      <c r="H67" s="226">
        <f>VLOOKUP(B67,'Margin Calculation'!F:Z,21,0)</f>
        <v>2643.1055999999994</v>
      </c>
      <c r="I67" s="235">
        <f>Q67*2%</f>
        <v>96</v>
      </c>
      <c r="J67" s="235">
        <f t="shared" si="0"/>
        <v>480</v>
      </c>
      <c r="K67" s="235">
        <f t="shared" si="1"/>
        <v>240</v>
      </c>
      <c r="L67" s="235">
        <f t="shared" si="2"/>
        <v>144</v>
      </c>
      <c r="M67" s="287">
        <f t="shared" si="3"/>
        <v>3199.9199999999996</v>
      </c>
      <c r="N67" s="130">
        <f t="shared" si="4"/>
        <v>732.20338983050806</v>
      </c>
      <c r="O67" s="235">
        <f t="shared" si="5"/>
        <v>867.87661016949232</v>
      </c>
      <c r="P67" s="288">
        <f t="shared" si="6"/>
        <v>0.18080762711864423</v>
      </c>
      <c r="Q67" s="235">
        <f t="shared" si="7"/>
        <v>4800</v>
      </c>
      <c r="R67" s="117"/>
      <c r="S67" s="117"/>
      <c r="T67" s="117"/>
      <c r="U67" s="117"/>
      <c r="V67" s="117"/>
      <c r="W67" s="117"/>
      <c r="X67" s="117"/>
      <c r="Y67" s="117"/>
      <c r="Z67" s="117"/>
      <c r="AA67" s="117"/>
    </row>
    <row r="68" spans="1:27" ht="14.4" hidden="1">
      <c r="A68" s="69"/>
      <c r="B68" s="69" t="s">
        <v>712</v>
      </c>
      <c r="C68" s="102" t="s">
        <v>1129</v>
      </c>
      <c r="D68" s="117" t="s">
        <v>714</v>
      </c>
      <c r="E68" s="69" t="s">
        <v>234</v>
      </c>
      <c r="F68" s="69" t="s">
        <v>249</v>
      </c>
      <c r="G68" s="226">
        <f>VLOOKUP(B68,'Margin Calculation'!F:Y,20,0)</f>
        <v>988.92468000000008</v>
      </c>
      <c r="H68" s="226">
        <f>VLOOKUP(B68,'Margin Calculation'!F:Z,21,0)</f>
        <v>1166.9311224</v>
      </c>
      <c r="I68" s="357" t="e">
        <f t="shared" ref="I68:I74" si="21">Q68*1%</f>
        <v>#N/A</v>
      </c>
      <c r="J68" s="357" t="e">
        <f t="shared" si="0"/>
        <v>#N/A</v>
      </c>
      <c r="K68" s="357" t="e">
        <f t="shared" si="1"/>
        <v>#N/A</v>
      </c>
      <c r="L68" s="357" t="e">
        <f t="shared" si="2"/>
        <v>#N/A</v>
      </c>
      <c r="M68" s="357" t="e">
        <f t="shared" si="3"/>
        <v>#N/A</v>
      </c>
      <c r="N68" s="357" t="e">
        <f t="shared" si="4"/>
        <v>#N/A</v>
      </c>
      <c r="O68" s="357" t="e">
        <f t="shared" si="5"/>
        <v>#N/A</v>
      </c>
      <c r="P68" s="357" t="e">
        <f t="shared" si="6"/>
        <v>#N/A</v>
      </c>
      <c r="Q68" s="357" t="e">
        <f t="shared" si="7"/>
        <v>#N/A</v>
      </c>
      <c r="R68" s="357"/>
      <c r="S68" s="357"/>
      <c r="T68" s="357"/>
      <c r="U68" s="357"/>
      <c r="V68" s="357"/>
      <c r="W68" s="357"/>
      <c r="X68" s="357"/>
      <c r="Y68" s="357"/>
      <c r="Z68" s="357"/>
      <c r="AA68" s="357"/>
    </row>
    <row r="69" spans="1:27" ht="14.4" hidden="1">
      <c r="A69" s="69"/>
      <c r="B69" s="69" t="s">
        <v>717</v>
      </c>
      <c r="C69" s="102" t="s">
        <v>718</v>
      </c>
      <c r="D69" s="117" t="s">
        <v>719</v>
      </c>
      <c r="E69" s="69" t="s">
        <v>234</v>
      </c>
      <c r="F69" s="69" t="s">
        <v>249</v>
      </c>
      <c r="G69" s="226">
        <f>VLOOKUP(B69,'Margin Calculation'!F:Y,20,0)</f>
        <v>1047.1625999999999</v>
      </c>
      <c r="H69" s="226">
        <f>VLOOKUP(B69,'Margin Calculation'!F:Z,21,0)</f>
        <v>1235.6518679999997</v>
      </c>
      <c r="I69" s="357" t="e">
        <f t="shared" si="21"/>
        <v>#N/A</v>
      </c>
      <c r="J69" s="357" t="e">
        <f t="shared" si="0"/>
        <v>#N/A</v>
      </c>
      <c r="K69" s="357" t="e">
        <f t="shared" si="1"/>
        <v>#N/A</v>
      </c>
      <c r="L69" s="357" t="e">
        <f t="shared" si="2"/>
        <v>#N/A</v>
      </c>
      <c r="M69" s="357" t="e">
        <f t="shared" si="3"/>
        <v>#N/A</v>
      </c>
      <c r="N69" s="357" t="e">
        <f t="shared" si="4"/>
        <v>#N/A</v>
      </c>
      <c r="O69" s="357" t="e">
        <f t="shared" si="5"/>
        <v>#N/A</v>
      </c>
      <c r="P69" s="357" t="e">
        <f t="shared" si="6"/>
        <v>#N/A</v>
      </c>
      <c r="Q69" s="357" t="e">
        <f t="shared" si="7"/>
        <v>#N/A</v>
      </c>
      <c r="R69" s="357"/>
      <c r="S69" s="357"/>
      <c r="T69" s="357"/>
      <c r="U69" s="357"/>
      <c r="V69" s="357"/>
      <c r="W69" s="357"/>
      <c r="X69" s="357"/>
      <c r="Y69" s="357"/>
      <c r="Z69" s="357"/>
      <c r="AA69" s="357"/>
    </row>
    <row r="70" spans="1:27" ht="14.4" hidden="1">
      <c r="A70" s="69"/>
      <c r="B70" s="69" t="s">
        <v>720</v>
      </c>
      <c r="C70" s="102" t="s">
        <v>721</v>
      </c>
      <c r="D70" s="117" t="s">
        <v>722</v>
      </c>
      <c r="E70" s="117" t="s">
        <v>314</v>
      </c>
      <c r="F70" s="117"/>
      <c r="G70" s="226">
        <f>VLOOKUP(B70,'Margin Calculation'!F:Y,20,0)</f>
        <v>611.38800000000003</v>
      </c>
      <c r="H70" s="226">
        <f>VLOOKUP(B70,'Margin Calculation'!F:Z,21,0)</f>
        <v>721.43784000000005</v>
      </c>
      <c r="I70" s="357" t="e">
        <f t="shared" si="21"/>
        <v>#N/A</v>
      </c>
      <c r="J70" s="357" t="e">
        <f t="shared" si="0"/>
        <v>#N/A</v>
      </c>
      <c r="K70" s="357" t="e">
        <f t="shared" si="1"/>
        <v>#N/A</v>
      </c>
      <c r="L70" s="357" t="e">
        <f t="shared" si="2"/>
        <v>#N/A</v>
      </c>
      <c r="M70" s="357" t="e">
        <f t="shared" si="3"/>
        <v>#N/A</v>
      </c>
      <c r="N70" s="357" t="e">
        <f t="shared" si="4"/>
        <v>#N/A</v>
      </c>
      <c r="O70" s="357" t="e">
        <f t="shared" si="5"/>
        <v>#N/A</v>
      </c>
      <c r="P70" s="357" t="e">
        <f t="shared" si="6"/>
        <v>#N/A</v>
      </c>
      <c r="Q70" s="357" t="e">
        <f t="shared" si="7"/>
        <v>#N/A</v>
      </c>
      <c r="R70" s="357"/>
      <c r="S70" s="357"/>
      <c r="T70" s="357"/>
      <c r="U70" s="357"/>
      <c r="V70" s="357"/>
      <c r="W70" s="357"/>
      <c r="X70" s="357"/>
      <c r="Y70" s="357"/>
      <c r="Z70" s="357"/>
      <c r="AA70" s="357"/>
    </row>
    <row r="71" spans="1:27" ht="14.4" hidden="1">
      <c r="A71" s="69"/>
      <c r="B71" s="69" t="s">
        <v>724</v>
      </c>
      <c r="C71" s="69" t="s">
        <v>725</v>
      </c>
      <c r="D71" s="117" t="s">
        <v>726</v>
      </c>
      <c r="E71" s="117" t="s">
        <v>314</v>
      </c>
      <c r="F71" s="117"/>
      <c r="G71" s="226">
        <f>VLOOKUP(B71,'Margin Calculation'!F:Y,20,0)</f>
        <v>458.541</v>
      </c>
      <c r="H71" s="226">
        <f>VLOOKUP(B71,'Margin Calculation'!F:Z,21,0)</f>
        <v>541.07837999999992</v>
      </c>
      <c r="I71" s="357" t="e">
        <f t="shared" si="21"/>
        <v>#N/A</v>
      </c>
      <c r="J71" s="357" t="e">
        <f t="shared" si="0"/>
        <v>#N/A</v>
      </c>
      <c r="K71" s="357" t="e">
        <f t="shared" si="1"/>
        <v>#N/A</v>
      </c>
      <c r="L71" s="357" t="e">
        <f t="shared" si="2"/>
        <v>#N/A</v>
      </c>
      <c r="M71" s="357" t="e">
        <f t="shared" si="3"/>
        <v>#N/A</v>
      </c>
      <c r="N71" s="357" t="e">
        <f t="shared" si="4"/>
        <v>#N/A</v>
      </c>
      <c r="O71" s="357" t="e">
        <f t="shared" si="5"/>
        <v>#N/A</v>
      </c>
      <c r="P71" s="357" t="e">
        <f t="shared" si="6"/>
        <v>#N/A</v>
      </c>
      <c r="Q71" s="357" t="e">
        <f t="shared" si="7"/>
        <v>#N/A</v>
      </c>
      <c r="R71" s="357"/>
      <c r="S71" s="357"/>
      <c r="T71" s="357"/>
      <c r="U71" s="357"/>
      <c r="V71" s="357"/>
      <c r="W71" s="357"/>
      <c r="X71" s="357"/>
      <c r="Y71" s="357"/>
      <c r="Z71" s="357"/>
      <c r="AA71" s="357"/>
    </row>
    <row r="72" spans="1:27" ht="14.4" hidden="1">
      <c r="A72" s="69"/>
      <c r="B72" s="69" t="s">
        <v>728</v>
      </c>
      <c r="C72" s="102" t="s">
        <v>729</v>
      </c>
      <c r="D72" s="117" t="s">
        <v>730</v>
      </c>
      <c r="E72" s="69" t="s">
        <v>314</v>
      </c>
      <c r="F72" s="69" t="s">
        <v>465</v>
      </c>
      <c r="G72" s="226">
        <f>VLOOKUP(B72,'Margin Calculation'!F:Y,20,0)</f>
        <v>1120.8779999999999</v>
      </c>
      <c r="H72" s="226">
        <f>VLOOKUP(B72,'Margin Calculation'!F:Z,21,0)</f>
        <v>1322.6360399999999</v>
      </c>
      <c r="I72" s="357" t="e">
        <f t="shared" si="21"/>
        <v>#N/A</v>
      </c>
      <c r="J72" s="357" t="e">
        <f t="shared" si="0"/>
        <v>#N/A</v>
      </c>
      <c r="K72" s="357" t="e">
        <f t="shared" si="1"/>
        <v>#N/A</v>
      </c>
      <c r="L72" s="357" t="e">
        <f t="shared" si="2"/>
        <v>#N/A</v>
      </c>
      <c r="M72" s="357" t="e">
        <f t="shared" si="3"/>
        <v>#N/A</v>
      </c>
      <c r="N72" s="357" t="e">
        <f t="shared" si="4"/>
        <v>#N/A</v>
      </c>
      <c r="O72" s="357" t="e">
        <f t="shared" si="5"/>
        <v>#N/A</v>
      </c>
      <c r="P72" s="357" t="e">
        <f t="shared" si="6"/>
        <v>#N/A</v>
      </c>
      <c r="Q72" s="357" t="e">
        <f t="shared" si="7"/>
        <v>#N/A</v>
      </c>
      <c r="R72" s="357"/>
      <c r="S72" s="357"/>
      <c r="T72" s="357"/>
      <c r="U72" s="357"/>
      <c r="V72" s="357"/>
      <c r="W72" s="357"/>
      <c r="X72" s="357"/>
      <c r="Y72" s="357"/>
      <c r="Z72" s="357"/>
      <c r="AA72" s="357"/>
    </row>
    <row r="73" spans="1:27" ht="14.4" hidden="1">
      <c r="A73" s="69"/>
      <c r="B73" s="69" t="s">
        <v>732</v>
      </c>
      <c r="C73" s="69" t="s">
        <v>733</v>
      </c>
      <c r="D73" s="117" t="s">
        <v>734</v>
      </c>
      <c r="E73" s="69" t="s">
        <v>314</v>
      </c>
      <c r="F73" s="69" t="s">
        <v>437</v>
      </c>
      <c r="G73" s="226">
        <f>VLOOKUP(B73,'Margin Calculation'!F:Y,20,0)</f>
        <v>601.19820000000004</v>
      </c>
      <c r="H73" s="226">
        <f>VLOOKUP(B73,'Margin Calculation'!F:Z,21,0)</f>
        <v>709.41387599999996</v>
      </c>
      <c r="I73" s="357" t="e">
        <f t="shared" si="21"/>
        <v>#N/A</v>
      </c>
      <c r="J73" s="357" t="e">
        <f t="shared" si="0"/>
        <v>#N/A</v>
      </c>
      <c r="K73" s="357" t="e">
        <f t="shared" si="1"/>
        <v>#N/A</v>
      </c>
      <c r="L73" s="357" t="e">
        <f t="shared" si="2"/>
        <v>#N/A</v>
      </c>
      <c r="M73" s="357" t="e">
        <f t="shared" si="3"/>
        <v>#N/A</v>
      </c>
      <c r="N73" s="357" t="e">
        <f t="shared" si="4"/>
        <v>#N/A</v>
      </c>
      <c r="O73" s="357" t="e">
        <f t="shared" si="5"/>
        <v>#N/A</v>
      </c>
      <c r="P73" s="357" t="e">
        <f t="shared" si="6"/>
        <v>#N/A</v>
      </c>
      <c r="Q73" s="357" t="e">
        <f t="shared" si="7"/>
        <v>#N/A</v>
      </c>
      <c r="R73" s="357"/>
      <c r="S73" s="357"/>
      <c r="T73" s="357"/>
      <c r="U73" s="357"/>
      <c r="V73" s="357"/>
      <c r="W73" s="357"/>
      <c r="X73" s="357"/>
      <c r="Y73" s="357"/>
      <c r="Z73" s="357"/>
      <c r="AA73" s="357"/>
    </row>
    <row r="74" spans="1:27" ht="14.4" hidden="1">
      <c r="A74" s="69"/>
      <c r="B74" s="69" t="s">
        <v>736</v>
      </c>
      <c r="C74" s="102" t="s">
        <v>737</v>
      </c>
      <c r="D74" s="117" t="s">
        <v>738</v>
      </c>
      <c r="E74" s="69" t="s">
        <v>314</v>
      </c>
      <c r="F74" s="69" t="s">
        <v>465</v>
      </c>
      <c r="G74" s="226">
        <f>VLOOKUP(B74,'Margin Calculation'!F:Y,20,0)</f>
        <v>1034.2646999999999</v>
      </c>
      <c r="H74" s="226">
        <f>VLOOKUP(B74,'Margin Calculation'!F:Z,21,0)</f>
        <v>1220.4323459999998</v>
      </c>
      <c r="I74" s="357" t="e">
        <f t="shared" si="21"/>
        <v>#N/A</v>
      </c>
      <c r="J74" s="357" t="e">
        <f t="shared" si="0"/>
        <v>#N/A</v>
      </c>
      <c r="K74" s="357" t="e">
        <f t="shared" si="1"/>
        <v>#N/A</v>
      </c>
      <c r="L74" s="357" t="e">
        <f t="shared" si="2"/>
        <v>#N/A</v>
      </c>
      <c r="M74" s="357" t="e">
        <f t="shared" si="3"/>
        <v>#N/A</v>
      </c>
      <c r="N74" s="357" t="e">
        <f t="shared" si="4"/>
        <v>#N/A</v>
      </c>
      <c r="O74" s="357" t="e">
        <f t="shared" si="5"/>
        <v>#N/A</v>
      </c>
      <c r="P74" s="357" t="e">
        <f t="shared" si="6"/>
        <v>#N/A</v>
      </c>
      <c r="Q74" s="357" t="e">
        <f t="shared" si="7"/>
        <v>#N/A</v>
      </c>
      <c r="R74" s="357"/>
      <c r="S74" s="357"/>
      <c r="T74" s="357"/>
      <c r="U74" s="357"/>
      <c r="V74" s="357"/>
      <c r="W74" s="357"/>
      <c r="X74" s="357"/>
      <c r="Y74" s="357"/>
      <c r="Z74" s="357"/>
      <c r="AA74" s="357"/>
    </row>
    <row r="75" spans="1:27" ht="14.4">
      <c r="A75" s="69" t="s">
        <v>934</v>
      </c>
      <c r="B75" s="69" t="s">
        <v>740</v>
      </c>
      <c r="C75" s="102" t="s">
        <v>741</v>
      </c>
      <c r="D75" s="117" t="s">
        <v>742</v>
      </c>
      <c r="E75" s="117" t="s">
        <v>249</v>
      </c>
      <c r="F75" s="117"/>
      <c r="G75" s="226">
        <f>VLOOKUP(B75,'Margin Calculation'!F:Y,20,0)</f>
        <v>917.08199999999999</v>
      </c>
      <c r="H75" s="226">
        <f>VLOOKUP(B75,'Margin Calculation'!F:Z,21,0)</f>
        <v>1082.1567599999998</v>
      </c>
      <c r="I75" s="235">
        <f t="shared" ref="I75:I76" si="22">Q75*2%</f>
        <v>32</v>
      </c>
      <c r="J75" s="235">
        <f t="shared" si="0"/>
        <v>160</v>
      </c>
      <c r="K75" s="235">
        <f t="shared" si="1"/>
        <v>80</v>
      </c>
      <c r="L75" s="235">
        <f t="shared" si="2"/>
        <v>48</v>
      </c>
      <c r="M75" s="287">
        <f t="shared" si="3"/>
        <v>1237.0819999999999</v>
      </c>
      <c r="N75" s="130">
        <f t="shared" si="4"/>
        <v>244.06779661016935</v>
      </c>
      <c r="O75" s="235">
        <f t="shared" si="5"/>
        <v>118.85020338983077</v>
      </c>
      <c r="P75" s="288">
        <f t="shared" si="6"/>
        <v>7.4281377118644229E-2</v>
      </c>
      <c r="Q75" s="235">
        <f t="shared" si="7"/>
        <v>1600</v>
      </c>
      <c r="R75" s="117"/>
      <c r="S75" s="117"/>
      <c r="T75" s="117"/>
      <c r="U75" s="117"/>
      <c r="V75" s="117"/>
      <c r="W75" s="117"/>
      <c r="X75" s="117"/>
      <c r="Y75" s="117"/>
      <c r="Z75" s="117"/>
      <c r="AA75" s="117"/>
    </row>
    <row r="76" spans="1:27" ht="14.4">
      <c r="A76" s="69" t="s">
        <v>934</v>
      </c>
      <c r="B76" s="69" t="s">
        <v>744</v>
      </c>
      <c r="C76" s="102" t="s">
        <v>745</v>
      </c>
      <c r="D76" s="117" t="s">
        <v>746</v>
      </c>
      <c r="E76" s="69" t="s">
        <v>314</v>
      </c>
      <c r="F76" s="69" t="s">
        <v>618</v>
      </c>
      <c r="G76" s="226">
        <f>VLOOKUP(B76,'Margin Calculation'!F:Y,20,0)</f>
        <v>855.94319999999993</v>
      </c>
      <c r="H76" s="226">
        <f>VLOOKUP(B76,'Margin Calculation'!F:Z,21,0)</f>
        <v>1010.0129759999999</v>
      </c>
      <c r="I76" s="235">
        <f t="shared" si="22"/>
        <v>41.6</v>
      </c>
      <c r="J76" s="235">
        <f t="shared" si="0"/>
        <v>208</v>
      </c>
      <c r="K76" s="235">
        <f t="shared" si="1"/>
        <v>104</v>
      </c>
      <c r="L76" s="235">
        <f t="shared" si="2"/>
        <v>62.4</v>
      </c>
      <c r="M76" s="287">
        <f t="shared" si="3"/>
        <v>1271.9432000000002</v>
      </c>
      <c r="N76" s="130">
        <f t="shared" si="4"/>
        <v>317.2881355932202</v>
      </c>
      <c r="O76" s="235">
        <f t="shared" si="5"/>
        <v>490.76866440677964</v>
      </c>
      <c r="P76" s="288">
        <f t="shared" si="6"/>
        <v>0.23594647327249021</v>
      </c>
      <c r="Q76" s="235">
        <f t="shared" si="7"/>
        <v>2080</v>
      </c>
      <c r="R76" s="117"/>
      <c r="S76" s="117"/>
      <c r="T76" s="117"/>
      <c r="U76" s="117"/>
      <c r="V76" s="117"/>
      <c r="W76" s="117"/>
      <c r="X76" s="117"/>
      <c r="Y76" s="117"/>
      <c r="Z76" s="117"/>
      <c r="AA76" s="117"/>
    </row>
    <row r="77" spans="1:27" ht="14.4" hidden="1">
      <c r="A77" s="69"/>
      <c r="B77" s="69" t="s">
        <v>749</v>
      </c>
      <c r="C77" s="102" t="s">
        <v>750</v>
      </c>
      <c r="D77" s="117" t="s">
        <v>751</v>
      </c>
      <c r="E77" s="69" t="s">
        <v>314</v>
      </c>
      <c r="F77" s="69" t="s">
        <v>618</v>
      </c>
      <c r="G77" s="226">
        <f>VLOOKUP(B77,'Margin Calculation'!F:Y,20,0)</f>
        <v>881.41770000000008</v>
      </c>
      <c r="H77" s="226">
        <f>VLOOKUP(B77,'Margin Calculation'!F:Z,21,0)</f>
        <v>1040.0728860000002</v>
      </c>
      <c r="I77" s="357" t="e">
        <f t="shared" ref="I77:I85" si="23">Q77*1%</f>
        <v>#N/A</v>
      </c>
      <c r="J77" s="357" t="e">
        <f t="shared" si="0"/>
        <v>#N/A</v>
      </c>
      <c r="K77" s="357" t="e">
        <f t="shared" si="1"/>
        <v>#N/A</v>
      </c>
      <c r="L77" s="357" t="e">
        <f t="shared" si="2"/>
        <v>#N/A</v>
      </c>
      <c r="M77" s="357" t="e">
        <f t="shared" si="3"/>
        <v>#N/A</v>
      </c>
      <c r="N77" s="357" t="e">
        <f t="shared" si="4"/>
        <v>#N/A</v>
      </c>
      <c r="O77" s="357" t="e">
        <f t="shared" si="5"/>
        <v>#N/A</v>
      </c>
      <c r="P77" s="357" t="e">
        <f t="shared" si="6"/>
        <v>#N/A</v>
      </c>
      <c r="Q77" s="357" t="e">
        <f t="shared" si="7"/>
        <v>#N/A</v>
      </c>
      <c r="R77" s="357"/>
      <c r="S77" s="357"/>
      <c r="T77" s="357"/>
      <c r="U77" s="357"/>
      <c r="V77" s="357"/>
      <c r="W77" s="357"/>
      <c r="X77" s="357"/>
      <c r="Y77" s="357"/>
      <c r="Z77" s="357"/>
      <c r="AA77" s="357"/>
    </row>
    <row r="78" spans="1:27" ht="14.4" hidden="1">
      <c r="A78" s="69"/>
      <c r="B78" s="69" t="s">
        <v>753</v>
      </c>
      <c r="C78" s="102" t="s">
        <v>754</v>
      </c>
      <c r="D78" s="117" t="s">
        <v>138</v>
      </c>
      <c r="E78" s="117" t="s">
        <v>800</v>
      </c>
      <c r="F78" s="117"/>
      <c r="G78" s="226">
        <f>VLOOKUP(B78,'Margin Calculation'!F:Y,20,0)</f>
        <v>1528.47</v>
      </c>
      <c r="H78" s="226">
        <f>VLOOKUP(B78,'Margin Calculation'!F:Z,21,0)</f>
        <v>1803.5945999999999</v>
      </c>
      <c r="I78" s="357" t="e">
        <f t="shared" si="23"/>
        <v>#N/A</v>
      </c>
      <c r="J78" s="357" t="e">
        <f t="shared" si="0"/>
        <v>#N/A</v>
      </c>
      <c r="K78" s="357" t="e">
        <f t="shared" si="1"/>
        <v>#N/A</v>
      </c>
      <c r="L78" s="357" t="e">
        <f t="shared" si="2"/>
        <v>#N/A</v>
      </c>
      <c r="M78" s="357" t="e">
        <f t="shared" si="3"/>
        <v>#N/A</v>
      </c>
      <c r="N78" s="357" t="e">
        <f t="shared" si="4"/>
        <v>#N/A</v>
      </c>
      <c r="O78" s="357" t="e">
        <f t="shared" si="5"/>
        <v>#N/A</v>
      </c>
      <c r="P78" s="357" t="e">
        <f t="shared" si="6"/>
        <v>#N/A</v>
      </c>
      <c r="Q78" s="357" t="e">
        <f t="shared" si="7"/>
        <v>#N/A</v>
      </c>
      <c r="R78" s="357"/>
      <c r="S78" s="357"/>
      <c r="T78" s="357"/>
      <c r="U78" s="357"/>
      <c r="V78" s="357"/>
      <c r="W78" s="357"/>
      <c r="X78" s="357"/>
      <c r="Y78" s="357"/>
      <c r="Z78" s="357"/>
      <c r="AA78" s="357"/>
    </row>
    <row r="79" spans="1:27" ht="14.4" hidden="1">
      <c r="A79" s="69"/>
      <c r="B79" s="69" t="s">
        <v>756</v>
      </c>
      <c r="C79" s="102" t="s">
        <v>757</v>
      </c>
      <c r="D79" s="117" t="s">
        <v>758</v>
      </c>
      <c r="E79" s="117" t="s">
        <v>800</v>
      </c>
      <c r="F79" s="117"/>
      <c r="G79" s="226">
        <f>VLOOKUP(B79,'Margin Calculation'!F:Y,20,0)</f>
        <v>733.66560000000004</v>
      </c>
      <c r="H79" s="226">
        <f>VLOOKUP(B79,'Margin Calculation'!F:Z,21,0)</f>
        <v>865.72540800000002</v>
      </c>
      <c r="I79" s="357" t="e">
        <f t="shared" si="23"/>
        <v>#N/A</v>
      </c>
      <c r="J79" s="357" t="e">
        <f t="shared" si="0"/>
        <v>#N/A</v>
      </c>
      <c r="K79" s="357" t="e">
        <f t="shared" si="1"/>
        <v>#N/A</v>
      </c>
      <c r="L79" s="357" t="e">
        <f t="shared" si="2"/>
        <v>#N/A</v>
      </c>
      <c r="M79" s="357" t="e">
        <f t="shared" si="3"/>
        <v>#N/A</v>
      </c>
      <c r="N79" s="357" t="e">
        <f t="shared" si="4"/>
        <v>#N/A</v>
      </c>
      <c r="O79" s="357" t="e">
        <f t="shared" si="5"/>
        <v>#N/A</v>
      </c>
      <c r="P79" s="357" t="e">
        <f t="shared" si="6"/>
        <v>#N/A</v>
      </c>
      <c r="Q79" s="357" t="e">
        <f t="shared" si="7"/>
        <v>#N/A</v>
      </c>
      <c r="R79" s="357"/>
      <c r="S79" s="357"/>
      <c r="T79" s="357"/>
      <c r="U79" s="357"/>
      <c r="V79" s="357"/>
      <c r="W79" s="357"/>
      <c r="X79" s="357"/>
      <c r="Y79" s="357"/>
      <c r="Z79" s="357"/>
      <c r="AA79" s="357"/>
    </row>
    <row r="80" spans="1:27" ht="14.4" hidden="1">
      <c r="A80" s="69"/>
      <c r="B80" s="69" t="s">
        <v>760</v>
      </c>
      <c r="C80" s="102" t="s">
        <v>761</v>
      </c>
      <c r="D80" s="117" t="s">
        <v>762</v>
      </c>
      <c r="E80" s="117" t="s">
        <v>800</v>
      </c>
      <c r="F80" s="117"/>
      <c r="G80" s="226">
        <f>VLOOKUP(B80,'Margin Calculation'!F:Y,20,0)</f>
        <v>611.38800000000003</v>
      </c>
      <c r="H80" s="226">
        <f>VLOOKUP(B80,'Margin Calculation'!F:Z,21,0)</f>
        <v>721.43784000000005</v>
      </c>
      <c r="I80" s="357" t="e">
        <f t="shared" si="23"/>
        <v>#N/A</v>
      </c>
      <c r="J80" s="357" t="e">
        <f t="shared" si="0"/>
        <v>#N/A</v>
      </c>
      <c r="K80" s="357" t="e">
        <f t="shared" si="1"/>
        <v>#N/A</v>
      </c>
      <c r="L80" s="357" t="e">
        <f t="shared" si="2"/>
        <v>#N/A</v>
      </c>
      <c r="M80" s="357" t="e">
        <f t="shared" si="3"/>
        <v>#N/A</v>
      </c>
      <c r="N80" s="357" t="e">
        <f t="shared" si="4"/>
        <v>#N/A</v>
      </c>
      <c r="O80" s="357" t="e">
        <f t="shared" si="5"/>
        <v>#N/A</v>
      </c>
      <c r="P80" s="357" t="e">
        <f t="shared" si="6"/>
        <v>#N/A</v>
      </c>
      <c r="Q80" s="357" t="e">
        <f t="shared" si="7"/>
        <v>#N/A</v>
      </c>
      <c r="R80" s="357"/>
      <c r="S80" s="357"/>
      <c r="T80" s="357"/>
      <c r="U80" s="357"/>
      <c r="V80" s="357"/>
      <c r="W80" s="357"/>
      <c r="X80" s="357"/>
      <c r="Y80" s="357"/>
      <c r="Z80" s="357"/>
      <c r="AA80" s="357"/>
    </row>
    <row r="81" spans="1:27" ht="14.4" hidden="1">
      <c r="A81" s="69"/>
      <c r="B81" s="69" t="s">
        <v>764</v>
      </c>
      <c r="C81" s="102" t="s">
        <v>765</v>
      </c>
      <c r="D81" s="117" t="s">
        <v>766</v>
      </c>
      <c r="E81" s="69" t="s">
        <v>314</v>
      </c>
      <c r="F81" s="69" t="s">
        <v>618</v>
      </c>
      <c r="G81" s="226">
        <f>VLOOKUP(B81,'Margin Calculation'!F:Y,20,0)</f>
        <v>1222.7760000000001</v>
      </c>
      <c r="H81" s="226">
        <f>VLOOKUP(B81,'Margin Calculation'!F:Z,21,0)</f>
        <v>1442.8756800000001</v>
      </c>
      <c r="I81" s="357" t="e">
        <f t="shared" si="23"/>
        <v>#N/A</v>
      </c>
      <c r="J81" s="357" t="e">
        <f t="shared" si="0"/>
        <v>#N/A</v>
      </c>
      <c r="K81" s="357" t="e">
        <f t="shared" si="1"/>
        <v>#N/A</v>
      </c>
      <c r="L81" s="357" t="e">
        <f t="shared" si="2"/>
        <v>#N/A</v>
      </c>
      <c r="M81" s="357" t="e">
        <f t="shared" si="3"/>
        <v>#N/A</v>
      </c>
      <c r="N81" s="357" t="e">
        <f t="shared" si="4"/>
        <v>#N/A</v>
      </c>
      <c r="O81" s="357" t="e">
        <f t="shared" si="5"/>
        <v>#N/A</v>
      </c>
      <c r="P81" s="357" t="e">
        <f t="shared" si="6"/>
        <v>#N/A</v>
      </c>
      <c r="Q81" s="357" t="e">
        <f t="shared" si="7"/>
        <v>#N/A</v>
      </c>
      <c r="R81" s="357"/>
      <c r="S81" s="357"/>
      <c r="T81" s="357"/>
      <c r="U81" s="357"/>
      <c r="V81" s="357"/>
      <c r="W81" s="357"/>
      <c r="X81" s="357"/>
      <c r="Y81" s="357"/>
      <c r="Z81" s="357"/>
      <c r="AA81" s="357"/>
    </row>
    <row r="82" spans="1:27" ht="14.4" hidden="1">
      <c r="A82" s="69"/>
      <c r="B82" s="69" t="s">
        <v>954</v>
      </c>
      <c r="C82" s="102" t="s">
        <v>769</v>
      </c>
      <c r="D82" s="117" t="s">
        <v>770</v>
      </c>
      <c r="E82" s="69" t="s">
        <v>314</v>
      </c>
      <c r="F82" s="69" t="s">
        <v>618</v>
      </c>
      <c r="G82" s="226" t="e">
        <f>VLOOKUP(B82,'Margin Calculation'!F:Y,20,0)</f>
        <v>#N/A</v>
      </c>
      <c r="H82" s="226" t="e">
        <f>VLOOKUP(B82,'Margin Calculation'!F:Z,21,0)</f>
        <v>#N/A</v>
      </c>
      <c r="I82" s="357" t="e">
        <f t="shared" si="23"/>
        <v>#N/A</v>
      </c>
      <c r="J82" s="357" t="e">
        <f t="shared" si="0"/>
        <v>#N/A</v>
      </c>
      <c r="K82" s="357" t="e">
        <f t="shared" si="1"/>
        <v>#N/A</v>
      </c>
      <c r="L82" s="357" t="e">
        <f t="shared" si="2"/>
        <v>#N/A</v>
      </c>
      <c r="M82" s="357" t="e">
        <f t="shared" si="3"/>
        <v>#N/A</v>
      </c>
      <c r="N82" s="357" t="e">
        <f t="shared" si="4"/>
        <v>#N/A</v>
      </c>
      <c r="O82" s="357" t="e">
        <f t="shared" si="5"/>
        <v>#N/A</v>
      </c>
      <c r="P82" s="357" t="e">
        <f t="shared" si="6"/>
        <v>#N/A</v>
      </c>
      <c r="Q82" s="357" t="e">
        <f t="shared" si="7"/>
        <v>#N/A</v>
      </c>
      <c r="R82" s="357"/>
      <c r="S82" s="357"/>
      <c r="T82" s="357"/>
      <c r="U82" s="357"/>
      <c r="V82" s="357"/>
      <c r="W82" s="357"/>
      <c r="X82" s="357"/>
      <c r="Y82" s="357"/>
      <c r="Z82" s="357"/>
      <c r="AA82" s="357"/>
    </row>
    <row r="83" spans="1:27" ht="14.4" hidden="1">
      <c r="A83" s="69"/>
      <c r="B83" s="69" t="s">
        <v>772</v>
      </c>
      <c r="C83" s="102" t="s">
        <v>773</v>
      </c>
      <c r="D83" s="117" t="s">
        <v>133</v>
      </c>
      <c r="E83" s="69" t="s">
        <v>314</v>
      </c>
      <c r="F83" s="69" t="s">
        <v>618</v>
      </c>
      <c r="G83" s="226">
        <f>VLOOKUP(B83,'Margin Calculation'!F:Y,20,0)</f>
        <v>628.71066000000008</v>
      </c>
      <c r="H83" s="226">
        <f>VLOOKUP(B83,'Margin Calculation'!F:Z,21,0)</f>
        <v>741.87857880000001</v>
      </c>
      <c r="I83" s="357" t="e">
        <f t="shared" si="23"/>
        <v>#N/A</v>
      </c>
      <c r="J83" s="357" t="e">
        <f t="shared" si="0"/>
        <v>#N/A</v>
      </c>
      <c r="K83" s="357" t="e">
        <f t="shared" si="1"/>
        <v>#N/A</v>
      </c>
      <c r="L83" s="357" t="e">
        <f t="shared" si="2"/>
        <v>#N/A</v>
      </c>
      <c r="M83" s="357" t="e">
        <f t="shared" si="3"/>
        <v>#N/A</v>
      </c>
      <c r="N83" s="357" t="e">
        <f t="shared" si="4"/>
        <v>#N/A</v>
      </c>
      <c r="O83" s="357" t="e">
        <f t="shared" si="5"/>
        <v>#N/A</v>
      </c>
      <c r="P83" s="357" t="e">
        <f t="shared" si="6"/>
        <v>#N/A</v>
      </c>
      <c r="Q83" s="357" t="e">
        <f t="shared" si="7"/>
        <v>#N/A</v>
      </c>
      <c r="R83" s="357"/>
      <c r="S83" s="357"/>
      <c r="T83" s="357"/>
      <c r="U83" s="357"/>
      <c r="V83" s="357"/>
      <c r="W83" s="357"/>
      <c r="X83" s="357"/>
      <c r="Y83" s="357"/>
      <c r="Z83" s="357"/>
      <c r="AA83" s="357"/>
    </row>
    <row r="84" spans="1:27" ht="14.4" hidden="1">
      <c r="A84" s="69"/>
      <c r="B84" s="69" t="s">
        <v>775</v>
      </c>
      <c r="C84" s="102" t="s">
        <v>776</v>
      </c>
      <c r="D84" s="117" t="s">
        <v>777</v>
      </c>
      <c r="E84" s="69" t="s">
        <v>314</v>
      </c>
      <c r="F84" s="69" t="s">
        <v>618</v>
      </c>
      <c r="G84" s="226">
        <f>VLOOKUP(B84,'Margin Calculation'!F:Y,20,0)</f>
        <v>946.84235999999999</v>
      </c>
      <c r="H84" s="226">
        <f>VLOOKUP(B84,'Margin Calculation'!F:Z,21,0)</f>
        <v>1117.2739847999999</v>
      </c>
      <c r="I84" s="357" t="e">
        <f t="shared" si="23"/>
        <v>#N/A</v>
      </c>
      <c r="J84" s="357" t="e">
        <f t="shared" si="0"/>
        <v>#N/A</v>
      </c>
      <c r="K84" s="357" t="e">
        <f t="shared" si="1"/>
        <v>#N/A</v>
      </c>
      <c r="L84" s="357" t="e">
        <f t="shared" si="2"/>
        <v>#N/A</v>
      </c>
      <c r="M84" s="357" t="e">
        <f t="shared" si="3"/>
        <v>#N/A</v>
      </c>
      <c r="N84" s="357" t="e">
        <f t="shared" si="4"/>
        <v>#N/A</v>
      </c>
      <c r="O84" s="357" t="e">
        <f t="shared" si="5"/>
        <v>#N/A</v>
      </c>
      <c r="P84" s="357" t="e">
        <f t="shared" si="6"/>
        <v>#N/A</v>
      </c>
      <c r="Q84" s="357" t="e">
        <f t="shared" si="7"/>
        <v>#N/A</v>
      </c>
      <c r="R84" s="357"/>
      <c r="S84" s="357"/>
      <c r="T84" s="357"/>
      <c r="U84" s="357"/>
      <c r="V84" s="357"/>
      <c r="W84" s="357"/>
      <c r="X84" s="357"/>
      <c r="Y84" s="357"/>
      <c r="Z84" s="357"/>
      <c r="AA84" s="357"/>
    </row>
    <row r="85" spans="1:27" ht="14.4" hidden="1">
      <c r="A85" s="69"/>
      <c r="B85" s="69" t="s">
        <v>779</v>
      </c>
      <c r="C85" s="102" t="s">
        <v>780</v>
      </c>
      <c r="D85" s="117" t="s">
        <v>781</v>
      </c>
      <c r="E85" s="69" t="s">
        <v>234</v>
      </c>
      <c r="F85" s="69" t="s">
        <v>249</v>
      </c>
      <c r="G85" s="226">
        <f>VLOOKUP(B85,'Margin Calculation'!F:Y,20,0)</f>
        <v>754.04520000000002</v>
      </c>
      <c r="H85" s="226">
        <f>VLOOKUP(B85,'Margin Calculation'!F:Z,21,0)</f>
        <v>889.77333599999997</v>
      </c>
      <c r="I85" s="357" t="e">
        <f t="shared" si="23"/>
        <v>#N/A</v>
      </c>
      <c r="J85" s="357" t="e">
        <f t="shared" si="0"/>
        <v>#N/A</v>
      </c>
      <c r="K85" s="357" t="e">
        <f t="shared" si="1"/>
        <v>#N/A</v>
      </c>
      <c r="L85" s="357" t="e">
        <f t="shared" si="2"/>
        <v>#N/A</v>
      </c>
      <c r="M85" s="357" t="e">
        <f t="shared" si="3"/>
        <v>#N/A</v>
      </c>
      <c r="N85" s="357" t="e">
        <f t="shared" si="4"/>
        <v>#N/A</v>
      </c>
      <c r="O85" s="357" t="e">
        <f t="shared" si="5"/>
        <v>#N/A</v>
      </c>
      <c r="P85" s="357" t="e">
        <f t="shared" si="6"/>
        <v>#N/A</v>
      </c>
      <c r="Q85" s="357" t="e">
        <f t="shared" si="7"/>
        <v>#N/A</v>
      </c>
      <c r="R85" s="357"/>
      <c r="S85" s="357"/>
      <c r="T85" s="357"/>
      <c r="U85" s="357"/>
      <c r="V85" s="357"/>
      <c r="W85" s="357"/>
      <c r="X85" s="357"/>
      <c r="Y85" s="357"/>
      <c r="Z85" s="357"/>
      <c r="AA85" s="357"/>
    </row>
    <row r="86" spans="1:27" ht="14.4">
      <c r="A86" s="69" t="s">
        <v>934</v>
      </c>
      <c r="B86" s="69" t="s">
        <v>783</v>
      </c>
      <c r="C86" s="102" t="s">
        <v>784</v>
      </c>
      <c r="D86" s="69" t="s">
        <v>785</v>
      </c>
      <c r="E86" s="69" t="s">
        <v>786</v>
      </c>
      <c r="F86" s="69"/>
      <c r="G86" s="226">
        <f>VLOOKUP(B86,'Margin Calculation'!F:Y,20,0)</f>
        <v>1209.5568000000001</v>
      </c>
      <c r="H86" s="226">
        <f>VLOOKUP(B86,'Margin Calculation'!F:Z,21,0)</f>
        <v>1427.277024</v>
      </c>
      <c r="I86" s="235">
        <f t="shared" ref="I86:I87" si="24">Q86*2%</f>
        <v>48</v>
      </c>
      <c r="J86" s="235">
        <f t="shared" si="0"/>
        <v>240</v>
      </c>
      <c r="K86" s="235">
        <f t="shared" si="1"/>
        <v>120</v>
      </c>
      <c r="L86" s="235">
        <f t="shared" si="2"/>
        <v>72</v>
      </c>
      <c r="M86" s="287">
        <f t="shared" si="3"/>
        <v>1689.5568000000001</v>
      </c>
      <c r="N86" s="130">
        <f t="shared" si="4"/>
        <v>366.10169491525403</v>
      </c>
      <c r="O86" s="235">
        <f t="shared" si="5"/>
        <v>344.3415050847459</v>
      </c>
      <c r="P86" s="288">
        <f t="shared" si="6"/>
        <v>0.14347562711864412</v>
      </c>
      <c r="Q86" s="235">
        <f t="shared" si="7"/>
        <v>2400</v>
      </c>
      <c r="R86" s="117"/>
      <c r="S86" s="117"/>
      <c r="T86" s="117"/>
      <c r="U86" s="117"/>
      <c r="V86" s="117"/>
      <c r="W86" s="117"/>
      <c r="X86" s="117"/>
      <c r="Y86" s="117"/>
      <c r="Z86" s="117"/>
      <c r="AA86" s="117"/>
    </row>
    <row r="87" spans="1:27" ht="14.4">
      <c r="A87" s="69" t="s">
        <v>934</v>
      </c>
      <c r="B87" s="69" t="s">
        <v>788</v>
      </c>
      <c r="C87" s="102" t="s">
        <v>789</v>
      </c>
      <c r="D87" s="69" t="s">
        <v>790</v>
      </c>
      <c r="E87" s="69" t="s">
        <v>671</v>
      </c>
      <c r="F87" s="69"/>
      <c r="G87" s="226">
        <f>VLOOKUP(B87,'Margin Calculation'!F:Y,20,0)</f>
        <v>2855.8980000000001</v>
      </c>
      <c r="H87" s="226">
        <f>VLOOKUP(B87,'Margin Calculation'!F:Z,21,0)</f>
        <v>3369.95964</v>
      </c>
      <c r="I87" s="235">
        <f t="shared" si="24"/>
        <v>102.4</v>
      </c>
      <c r="J87" s="235">
        <f t="shared" si="0"/>
        <v>512</v>
      </c>
      <c r="K87" s="235">
        <f t="shared" si="1"/>
        <v>256</v>
      </c>
      <c r="L87" s="235">
        <f t="shared" si="2"/>
        <v>153.6</v>
      </c>
      <c r="M87" s="287">
        <f t="shared" si="3"/>
        <v>3879.8980000000001</v>
      </c>
      <c r="N87" s="130">
        <f t="shared" si="4"/>
        <v>781.01694915254211</v>
      </c>
      <c r="O87" s="235">
        <f t="shared" si="5"/>
        <v>459.08505084745775</v>
      </c>
      <c r="P87" s="288">
        <f t="shared" si="6"/>
        <v>8.9665048993644095E-2</v>
      </c>
      <c r="Q87" s="235">
        <f t="shared" si="7"/>
        <v>5120</v>
      </c>
      <c r="R87" s="117"/>
      <c r="S87" s="117"/>
      <c r="T87" s="117"/>
      <c r="U87" s="117"/>
      <c r="V87" s="117"/>
      <c r="W87" s="117"/>
      <c r="X87" s="117"/>
      <c r="Y87" s="117"/>
      <c r="Z87" s="117"/>
      <c r="AA87" s="117"/>
    </row>
    <row r="88" spans="1:27" ht="14.4" hidden="1">
      <c r="A88" s="69"/>
      <c r="B88" s="69" t="s">
        <v>792</v>
      </c>
      <c r="C88" s="102" t="s">
        <v>793</v>
      </c>
      <c r="D88" s="117" t="s">
        <v>794</v>
      </c>
      <c r="E88" s="117" t="s">
        <v>795</v>
      </c>
      <c r="F88" s="117"/>
      <c r="G88" s="226">
        <f>VLOOKUP(B88,'Margin Calculation'!F:Y,20,0)</f>
        <v>318.06864000000002</v>
      </c>
      <c r="H88" s="226">
        <f>VLOOKUP(B88,'Margin Calculation'!F:Z,21,0)</f>
        <v>375.32099520000003</v>
      </c>
      <c r="I88" s="357" t="e">
        <f t="shared" ref="I88:I91" si="25">Q88*1%</f>
        <v>#N/A</v>
      </c>
      <c r="J88" s="357" t="e">
        <f t="shared" si="0"/>
        <v>#N/A</v>
      </c>
      <c r="K88" s="357" t="e">
        <f t="shared" si="1"/>
        <v>#N/A</v>
      </c>
      <c r="L88" s="357" t="e">
        <f t="shared" si="2"/>
        <v>#N/A</v>
      </c>
      <c r="M88" s="357" t="e">
        <f t="shared" si="3"/>
        <v>#N/A</v>
      </c>
      <c r="N88" s="357" t="e">
        <f t="shared" si="4"/>
        <v>#N/A</v>
      </c>
      <c r="O88" s="357" t="e">
        <f t="shared" si="5"/>
        <v>#N/A</v>
      </c>
      <c r="P88" s="357" t="e">
        <f t="shared" si="6"/>
        <v>#N/A</v>
      </c>
      <c r="Q88" s="357" t="e">
        <f t="shared" si="7"/>
        <v>#N/A</v>
      </c>
      <c r="R88" s="357"/>
      <c r="S88" s="357"/>
      <c r="T88" s="357"/>
      <c r="U88" s="357"/>
      <c r="V88" s="357"/>
      <c r="W88" s="357"/>
      <c r="X88" s="357"/>
      <c r="Y88" s="357"/>
      <c r="Z88" s="357"/>
      <c r="AA88" s="357"/>
    </row>
    <row r="89" spans="1:27" ht="14.4" hidden="1">
      <c r="A89" s="69"/>
      <c r="B89" s="69" t="s">
        <v>797</v>
      </c>
      <c r="C89" s="102" t="s">
        <v>798</v>
      </c>
      <c r="D89" s="117" t="s">
        <v>799</v>
      </c>
      <c r="E89" s="117" t="s">
        <v>800</v>
      </c>
      <c r="F89" s="117"/>
      <c r="G89" s="226">
        <f>VLOOKUP(B89,'Margin Calculation'!F:Y,20,0)</f>
        <v>815.18400000000008</v>
      </c>
      <c r="H89" s="226">
        <f>VLOOKUP(B89,'Margin Calculation'!F:Z,21,0)</f>
        <v>961.91712000000007</v>
      </c>
      <c r="I89" s="357" t="e">
        <f t="shared" si="25"/>
        <v>#N/A</v>
      </c>
      <c r="J89" s="357" t="e">
        <f t="shared" si="0"/>
        <v>#N/A</v>
      </c>
      <c r="K89" s="357" t="e">
        <f t="shared" si="1"/>
        <v>#N/A</v>
      </c>
      <c r="L89" s="357" t="e">
        <f t="shared" si="2"/>
        <v>#N/A</v>
      </c>
      <c r="M89" s="357" t="e">
        <f t="shared" si="3"/>
        <v>#N/A</v>
      </c>
      <c r="N89" s="357" t="e">
        <f t="shared" si="4"/>
        <v>#N/A</v>
      </c>
      <c r="O89" s="357" t="e">
        <f t="shared" si="5"/>
        <v>#N/A</v>
      </c>
      <c r="P89" s="357" t="e">
        <f t="shared" si="6"/>
        <v>#N/A</v>
      </c>
      <c r="Q89" s="357" t="e">
        <f t="shared" si="7"/>
        <v>#N/A</v>
      </c>
      <c r="R89" s="357"/>
      <c r="S89" s="357"/>
      <c r="T89" s="357"/>
      <c r="U89" s="357"/>
      <c r="V89" s="357"/>
      <c r="W89" s="357"/>
      <c r="X89" s="357"/>
      <c r="Y89" s="357"/>
      <c r="Z89" s="357"/>
      <c r="AA89" s="357"/>
    </row>
    <row r="90" spans="1:27" ht="14.4" hidden="1">
      <c r="A90" s="69"/>
      <c r="B90" s="69" t="s">
        <v>802</v>
      </c>
      <c r="C90" s="102" t="s">
        <v>803</v>
      </c>
      <c r="D90" s="117" t="s">
        <v>804</v>
      </c>
      <c r="E90" s="117" t="s">
        <v>800</v>
      </c>
      <c r="F90" s="117"/>
      <c r="G90" s="226">
        <f>VLOOKUP(B90,'Margin Calculation'!F:Y,20,0)</f>
        <v>804.99420000000009</v>
      </c>
      <c r="H90" s="226">
        <f>VLOOKUP(B90,'Margin Calculation'!F:Z,21,0)</f>
        <v>949.89315600000009</v>
      </c>
      <c r="I90" s="357" t="e">
        <f t="shared" si="25"/>
        <v>#N/A</v>
      </c>
      <c r="J90" s="357" t="e">
        <f t="shared" si="0"/>
        <v>#N/A</v>
      </c>
      <c r="K90" s="357" t="e">
        <f t="shared" si="1"/>
        <v>#N/A</v>
      </c>
      <c r="L90" s="357" t="e">
        <f t="shared" si="2"/>
        <v>#N/A</v>
      </c>
      <c r="M90" s="357" t="e">
        <f t="shared" si="3"/>
        <v>#N/A</v>
      </c>
      <c r="N90" s="357" t="e">
        <f t="shared" si="4"/>
        <v>#N/A</v>
      </c>
      <c r="O90" s="357" t="e">
        <f t="shared" si="5"/>
        <v>#N/A</v>
      </c>
      <c r="P90" s="357" t="e">
        <f t="shared" si="6"/>
        <v>#N/A</v>
      </c>
      <c r="Q90" s="357" t="e">
        <f t="shared" si="7"/>
        <v>#N/A</v>
      </c>
      <c r="R90" s="357"/>
      <c r="S90" s="357"/>
      <c r="T90" s="357"/>
      <c r="U90" s="357"/>
      <c r="V90" s="357"/>
      <c r="W90" s="357"/>
      <c r="X90" s="357"/>
      <c r="Y90" s="357"/>
      <c r="Z90" s="357"/>
      <c r="AA90" s="357"/>
    </row>
    <row r="91" spans="1:27" ht="14.4" hidden="1">
      <c r="A91" s="69"/>
      <c r="B91" s="69" t="s">
        <v>806</v>
      </c>
      <c r="C91" s="102" t="s">
        <v>807</v>
      </c>
      <c r="D91" s="117" t="s">
        <v>808</v>
      </c>
      <c r="E91" s="117" t="s">
        <v>800</v>
      </c>
      <c r="F91" s="117"/>
      <c r="G91" s="226">
        <f>VLOOKUP(B91,'Margin Calculation'!F:Y,20,0)</f>
        <v>983.31569999999999</v>
      </c>
      <c r="H91" s="226">
        <f>VLOOKUP(B91,'Margin Calculation'!F:Z,21,0)</f>
        <v>1160.3125259999999</v>
      </c>
      <c r="I91" s="357" t="e">
        <f t="shared" si="25"/>
        <v>#N/A</v>
      </c>
      <c r="J91" s="357" t="e">
        <f t="shared" si="0"/>
        <v>#N/A</v>
      </c>
      <c r="K91" s="357" t="e">
        <f t="shared" si="1"/>
        <v>#N/A</v>
      </c>
      <c r="L91" s="357" t="e">
        <f t="shared" si="2"/>
        <v>#N/A</v>
      </c>
      <c r="M91" s="357" t="e">
        <f t="shared" si="3"/>
        <v>#N/A</v>
      </c>
      <c r="N91" s="357" t="e">
        <f t="shared" si="4"/>
        <v>#N/A</v>
      </c>
      <c r="O91" s="357" t="e">
        <f t="shared" si="5"/>
        <v>#N/A</v>
      </c>
      <c r="P91" s="357" t="e">
        <f t="shared" si="6"/>
        <v>#N/A</v>
      </c>
      <c r="Q91" s="357" t="e">
        <f t="shared" si="7"/>
        <v>#N/A</v>
      </c>
      <c r="R91" s="357"/>
      <c r="S91" s="357"/>
      <c r="T91" s="357"/>
      <c r="U91" s="357"/>
      <c r="V91" s="357"/>
      <c r="W91" s="357"/>
      <c r="X91" s="357"/>
      <c r="Y91" s="357"/>
      <c r="Z91" s="357"/>
      <c r="AA91" s="357"/>
    </row>
    <row r="92" spans="1:27" ht="14.4">
      <c r="A92" s="69" t="s">
        <v>934</v>
      </c>
      <c r="B92" s="69" t="s">
        <v>810</v>
      </c>
      <c r="C92" s="187" t="s">
        <v>811</v>
      </c>
      <c r="D92" s="69" t="s">
        <v>812</v>
      </c>
      <c r="E92" s="69" t="s">
        <v>813</v>
      </c>
      <c r="F92" s="69"/>
      <c r="G92" s="226">
        <f>VLOOKUP(B92,'Margin Calculation'!F:Y,20,0)</f>
        <v>429.92094600000001</v>
      </c>
      <c r="H92" s="226">
        <f>VLOOKUP(B92,'Margin Calculation'!F:Z,21,0)</f>
        <v>481.51145952000007</v>
      </c>
      <c r="I92" s="235">
        <f t="shared" ref="I92:I93" si="26">Q92*2%</f>
        <v>19.2</v>
      </c>
      <c r="J92" s="235">
        <f t="shared" si="0"/>
        <v>96</v>
      </c>
      <c r="K92" s="235">
        <f t="shared" si="1"/>
        <v>48</v>
      </c>
      <c r="L92" s="235">
        <f t="shared" si="2"/>
        <v>28.799999999999997</v>
      </c>
      <c r="M92" s="287">
        <f t="shared" si="3"/>
        <v>621.92094599999996</v>
      </c>
      <c r="N92" s="130">
        <f t="shared" si="4"/>
        <v>146.4406779661017</v>
      </c>
      <c r="O92" s="235">
        <f t="shared" si="5"/>
        <v>191.63837603389834</v>
      </c>
      <c r="P92" s="288">
        <f t="shared" si="6"/>
        <v>0.19962330836864411</v>
      </c>
      <c r="Q92" s="235">
        <f t="shared" si="7"/>
        <v>960</v>
      </c>
      <c r="R92" s="117"/>
      <c r="S92" s="117"/>
      <c r="T92" s="117"/>
      <c r="U92" s="117"/>
      <c r="V92" s="117"/>
      <c r="W92" s="117"/>
      <c r="X92" s="117"/>
      <c r="Y92" s="117"/>
      <c r="Z92" s="117"/>
      <c r="AA92" s="117"/>
    </row>
    <row r="93" spans="1:27" ht="14.4">
      <c r="A93" s="69" t="s">
        <v>934</v>
      </c>
      <c r="B93" s="69" t="s">
        <v>815</v>
      </c>
      <c r="C93" s="187" t="s">
        <v>816</v>
      </c>
      <c r="D93" s="69" t="s">
        <v>817</v>
      </c>
      <c r="E93" s="69" t="s">
        <v>813</v>
      </c>
      <c r="F93" s="69"/>
      <c r="G93" s="226">
        <f>VLOOKUP(B93,'Margin Calculation'!F:Y,20,0)</f>
        <v>429.92094600000001</v>
      </c>
      <c r="H93" s="226">
        <f>VLOOKUP(B93,'Margin Calculation'!F:Z,21,0)</f>
        <v>481.51145952000007</v>
      </c>
      <c r="I93" s="235">
        <f t="shared" si="26"/>
        <v>19.2</v>
      </c>
      <c r="J93" s="235">
        <f t="shared" si="0"/>
        <v>96</v>
      </c>
      <c r="K93" s="235">
        <f t="shared" si="1"/>
        <v>48</v>
      </c>
      <c r="L93" s="235">
        <f t="shared" si="2"/>
        <v>28.799999999999997</v>
      </c>
      <c r="M93" s="287">
        <f t="shared" si="3"/>
        <v>621.92094599999996</v>
      </c>
      <c r="N93" s="130">
        <f t="shared" si="4"/>
        <v>146.4406779661017</v>
      </c>
      <c r="O93" s="235">
        <f t="shared" si="5"/>
        <v>191.63837603389834</v>
      </c>
      <c r="P93" s="288">
        <f t="shared" si="6"/>
        <v>0.19962330836864411</v>
      </c>
      <c r="Q93" s="235">
        <f t="shared" si="7"/>
        <v>960</v>
      </c>
      <c r="R93" s="117"/>
      <c r="S93" s="117"/>
      <c r="T93" s="117"/>
      <c r="U93" s="117"/>
      <c r="V93" s="117"/>
      <c r="W93" s="117"/>
      <c r="X93" s="117"/>
      <c r="Y93" s="117"/>
      <c r="Z93" s="117"/>
      <c r="AA93" s="117"/>
    </row>
    <row r="94" spans="1:27" ht="14.4" hidden="1">
      <c r="A94" s="69"/>
      <c r="B94" s="69" t="s">
        <v>819</v>
      </c>
      <c r="C94" s="187" t="s">
        <v>820</v>
      </c>
      <c r="D94" s="69" t="s">
        <v>821</v>
      </c>
      <c r="E94" s="69" t="s">
        <v>234</v>
      </c>
      <c r="F94" s="69"/>
      <c r="G94" s="226">
        <f>VLOOKUP(B94,'Margin Calculation'!F:Y,20,0)</f>
        <v>8295.4063129764709</v>
      </c>
      <c r="H94" s="226">
        <f>VLOOKUP(B94,'Margin Calculation'!F:Z,21,0)</f>
        <v>9290.8550705336474</v>
      </c>
      <c r="I94" s="357" t="e">
        <f t="shared" ref="I94:I103" si="27">Q94*1%</f>
        <v>#N/A</v>
      </c>
      <c r="J94" s="357" t="e">
        <f t="shared" si="0"/>
        <v>#N/A</v>
      </c>
      <c r="K94" s="357" t="e">
        <f t="shared" si="1"/>
        <v>#N/A</v>
      </c>
      <c r="L94" s="357" t="e">
        <f t="shared" si="2"/>
        <v>#N/A</v>
      </c>
      <c r="M94" s="357" t="e">
        <f t="shared" si="3"/>
        <v>#N/A</v>
      </c>
      <c r="N94" s="357" t="e">
        <f t="shared" si="4"/>
        <v>#N/A</v>
      </c>
      <c r="O94" s="357" t="e">
        <f t="shared" si="5"/>
        <v>#N/A</v>
      </c>
      <c r="P94" s="357" t="e">
        <f t="shared" si="6"/>
        <v>#N/A</v>
      </c>
      <c r="Q94" s="357" t="e">
        <f t="shared" si="7"/>
        <v>#N/A</v>
      </c>
      <c r="R94" s="357"/>
      <c r="S94" s="357"/>
      <c r="T94" s="357"/>
      <c r="U94" s="357"/>
      <c r="V94" s="357"/>
      <c r="W94" s="357"/>
      <c r="X94" s="357"/>
      <c r="Y94" s="357"/>
      <c r="Z94" s="357"/>
      <c r="AA94" s="357"/>
    </row>
    <row r="95" spans="1:27" ht="14.4" hidden="1">
      <c r="A95" s="69"/>
      <c r="B95" s="69" t="s">
        <v>823</v>
      </c>
      <c r="C95" s="187" t="s">
        <v>824</v>
      </c>
      <c r="D95" s="69" t="s">
        <v>825</v>
      </c>
      <c r="E95" s="69" t="s">
        <v>234</v>
      </c>
      <c r="F95" s="69"/>
      <c r="G95" s="226">
        <f>VLOOKUP(B95,'Margin Calculation'!F:Y,20,0)</f>
        <v>5177.8063129764714</v>
      </c>
      <c r="H95" s="226">
        <f>VLOOKUP(B95,'Margin Calculation'!F:Z,21,0)</f>
        <v>5799.1430705336488</v>
      </c>
      <c r="I95" s="357" t="e">
        <f t="shared" si="27"/>
        <v>#N/A</v>
      </c>
      <c r="J95" s="357" t="e">
        <f t="shared" si="0"/>
        <v>#N/A</v>
      </c>
      <c r="K95" s="357" t="e">
        <f t="shared" si="1"/>
        <v>#N/A</v>
      </c>
      <c r="L95" s="357" t="e">
        <f t="shared" si="2"/>
        <v>#N/A</v>
      </c>
      <c r="M95" s="357" t="e">
        <f t="shared" si="3"/>
        <v>#N/A</v>
      </c>
      <c r="N95" s="357" t="e">
        <f t="shared" si="4"/>
        <v>#N/A</v>
      </c>
      <c r="O95" s="357" t="e">
        <f t="shared" si="5"/>
        <v>#N/A</v>
      </c>
      <c r="P95" s="357" t="e">
        <f t="shared" si="6"/>
        <v>#N/A</v>
      </c>
      <c r="Q95" s="357" t="e">
        <f t="shared" si="7"/>
        <v>#N/A</v>
      </c>
      <c r="R95" s="357"/>
      <c r="S95" s="357"/>
      <c r="T95" s="357"/>
      <c r="U95" s="357"/>
      <c r="V95" s="357"/>
      <c r="W95" s="357"/>
      <c r="X95" s="357"/>
      <c r="Y95" s="357"/>
      <c r="Z95" s="357"/>
      <c r="AA95" s="357"/>
    </row>
    <row r="96" spans="1:27" ht="14.4" hidden="1">
      <c r="A96" s="69"/>
      <c r="B96" s="69" t="s">
        <v>827</v>
      </c>
      <c r="C96" s="187" t="s">
        <v>828</v>
      </c>
      <c r="D96" s="69" t="s">
        <v>829</v>
      </c>
      <c r="E96" s="69" t="s">
        <v>234</v>
      </c>
      <c r="F96" s="69"/>
      <c r="G96" s="226">
        <f>VLOOKUP(B96,'Margin Calculation'!F:Y,20,0)</f>
        <v>674.89533656470587</v>
      </c>
      <c r="H96" s="226">
        <f>VLOOKUP(B96,'Margin Calculation'!F:Z,21,0)</f>
        <v>755.88277695247064</v>
      </c>
      <c r="I96" s="357" t="e">
        <f t="shared" si="27"/>
        <v>#N/A</v>
      </c>
      <c r="J96" s="357" t="e">
        <f t="shared" si="0"/>
        <v>#N/A</v>
      </c>
      <c r="K96" s="357" t="e">
        <f t="shared" si="1"/>
        <v>#N/A</v>
      </c>
      <c r="L96" s="357" t="e">
        <f t="shared" si="2"/>
        <v>#N/A</v>
      </c>
      <c r="M96" s="357" t="e">
        <f t="shared" si="3"/>
        <v>#N/A</v>
      </c>
      <c r="N96" s="357" t="e">
        <f t="shared" si="4"/>
        <v>#N/A</v>
      </c>
      <c r="O96" s="357" t="e">
        <f t="shared" si="5"/>
        <v>#N/A</v>
      </c>
      <c r="P96" s="357" t="e">
        <f t="shared" si="6"/>
        <v>#N/A</v>
      </c>
      <c r="Q96" s="357" t="e">
        <f t="shared" si="7"/>
        <v>#N/A</v>
      </c>
      <c r="R96" s="357"/>
      <c r="S96" s="357"/>
      <c r="T96" s="357"/>
      <c r="U96" s="357"/>
      <c r="V96" s="357"/>
      <c r="W96" s="357"/>
      <c r="X96" s="357"/>
      <c r="Y96" s="357"/>
      <c r="Z96" s="357"/>
      <c r="AA96" s="357"/>
    </row>
    <row r="97" spans="1:27" ht="14.4" hidden="1">
      <c r="A97" s="69"/>
      <c r="B97" s="69" t="s">
        <v>831</v>
      </c>
      <c r="C97" s="187" t="s">
        <v>832</v>
      </c>
      <c r="D97" s="69" t="s">
        <v>833</v>
      </c>
      <c r="E97" s="69" t="s">
        <v>234</v>
      </c>
      <c r="F97" s="69"/>
      <c r="G97" s="226">
        <f>VLOOKUP(B97,'Margin Calculation'!F:Y,20,0)</f>
        <v>674.89533656470587</v>
      </c>
      <c r="H97" s="226">
        <f>VLOOKUP(B97,'Margin Calculation'!F:Z,21,0)</f>
        <v>755.88277695247064</v>
      </c>
      <c r="I97" s="357" t="e">
        <f t="shared" si="27"/>
        <v>#N/A</v>
      </c>
      <c r="J97" s="357" t="e">
        <f t="shared" si="0"/>
        <v>#N/A</v>
      </c>
      <c r="K97" s="357" t="e">
        <f t="shared" si="1"/>
        <v>#N/A</v>
      </c>
      <c r="L97" s="357" t="e">
        <f t="shared" si="2"/>
        <v>#N/A</v>
      </c>
      <c r="M97" s="357" t="e">
        <f t="shared" si="3"/>
        <v>#N/A</v>
      </c>
      <c r="N97" s="357" t="e">
        <f t="shared" si="4"/>
        <v>#N/A</v>
      </c>
      <c r="O97" s="357" t="e">
        <f t="shared" si="5"/>
        <v>#N/A</v>
      </c>
      <c r="P97" s="357" t="e">
        <f t="shared" si="6"/>
        <v>#N/A</v>
      </c>
      <c r="Q97" s="357" t="e">
        <f t="shared" si="7"/>
        <v>#N/A</v>
      </c>
      <c r="R97" s="357"/>
      <c r="S97" s="357"/>
      <c r="T97" s="357"/>
      <c r="U97" s="357"/>
      <c r="V97" s="357"/>
      <c r="W97" s="357"/>
      <c r="X97" s="357"/>
      <c r="Y97" s="357"/>
      <c r="Z97" s="357"/>
      <c r="AA97" s="357"/>
    </row>
    <row r="98" spans="1:27" ht="14.4" hidden="1">
      <c r="A98" s="69"/>
      <c r="B98" s="69" t="s">
        <v>835</v>
      </c>
      <c r="C98" s="102" t="s">
        <v>836</v>
      </c>
      <c r="D98" s="117" t="s">
        <v>837</v>
      </c>
      <c r="E98" s="117" t="s">
        <v>800</v>
      </c>
      <c r="F98" s="117"/>
      <c r="G98" s="226">
        <f>VLOOKUP(B98,'Margin Calculation'!F:Y,20,0)</f>
        <v>662.33699999999999</v>
      </c>
      <c r="H98" s="226">
        <f>VLOOKUP(B98,'Margin Calculation'!F:Z,21,0)</f>
        <v>781.55765999999994</v>
      </c>
      <c r="I98" s="357" t="e">
        <f t="shared" si="27"/>
        <v>#N/A</v>
      </c>
      <c r="J98" s="357" t="e">
        <f t="shared" si="0"/>
        <v>#N/A</v>
      </c>
      <c r="K98" s="357" t="e">
        <f t="shared" si="1"/>
        <v>#N/A</v>
      </c>
      <c r="L98" s="357" t="e">
        <f t="shared" si="2"/>
        <v>#N/A</v>
      </c>
      <c r="M98" s="357" t="e">
        <f t="shared" si="3"/>
        <v>#N/A</v>
      </c>
      <c r="N98" s="357" t="e">
        <f t="shared" si="4"/>
        <v>#N/A</v>
      </c>
      <c r="O98" s="357" t="e">
        <f t="shared" si="5"/>
        <v>#N/A</v>
      </c>
      <c r="P98" s="357" t="e">
        <f t="shared" si="6"/>
        <v>#N/A</v>
      </c>
      <c r="Q98" s="357" t="e">
        <f t="shared" si="7"/>
        <v>#N/A</v>
      </c>
      <c r="R98" s="357"/>
      <c r="S98" s="357"/>
      <c r="T98" s="357"/>
      <c r="U98" s="357"/>
      <c r="V98" s="357"/>
      <c r="W98" s="357"/>
      <c r="X98" s="357"/>
      <c r="Y98" s="357"/>
      <c r="Z98" s="357"/>
      <c r="AA98" s="357"/>
    </row>
    <row r="99" spans="1:27" ht="14.4" hidden="1">
      <c r="A99" s="69"/>
      <c r="B99" s="69" t="s">
        <v>839</v>
      </c>
      <c r="C99" s="102" t="s">
        <v>840</v>
      </c>
      <c r="D99" s="117" t="s">
        <v>841</v>
      </c>
      <c r="E99" s="117" t="s">
        <v>800</v>
      </c>
      <c r="F99" s="117"/>
      <c r="G99" s="226">
        <f>VLOOKUP(B99,'Margin Calculation'!F:Y,20,0)</f>
        <v>367.85177999999996</v>
      </c>
      <c r="H99" s="226">
        <f>VLOOKUP(B99,'Margin Calculation'!F:Z,21,0)</f>
        <v>434.06510039999995</v>
      </c>
      <c r="I99" s="357" t="e">
        <f t="shared" si="27"/>
        <v>#N/A</v>
      </c>
      <c r="J99" s="357" t="e">
        <f t="shared" si="0"/>
        <v>#N/A</v>
      </c>
      <c r="K99" s="357" t="e">
        <f t="shared" si="1"/>
        <v>#N/A</v>
      </c>
      <c r="L99" s="357" t="e">
        <f t="shared" si="2"/>
        <v>#N/A</v>
      </c>
      <c r="M99" s="357" t="e">
        <f t="shared" si="3"/>
        <v>#N/A</v>
      </c>
      <c r="N99" s="357" t="e">
        <f t="shared" si="4"/>
        <v>#N/A</v>
      </c>
      <c r="O99" s="357" t="e">
        <f t="shared" si="5"/>
        <v>#N/A</v>
      </c>
      <c r="P99" s="357" t="e">
        <f t="shared" si="6"/>
        <v>#N/A</v>
      </c>
      <c r="Q99" s="357" t="e">
        <f t="shared" si="7"/>
        <v>#N/A</v>
      </c>
      <c r="R99" s="357"/>
      <c r="S99" s="357"/>
      <c r="T99" s="357"/>
      <c r="U99" s="357"/>
      <c r="V99" s="357"/>
      <c r="W99" s="357"/>
      <c r="X99" s="357"/>
      <c r="Y99" s="357"/>
      <c r="Z99" s="357"/>
      <c r="AA99" s="357"/>
    </row>
    <row r="100" spans="1:27" ht="14.4" hidden="1">
      <c r="A100" s="69"/>
      <c r="B100" s="69" t="s">
        <v>843</v>
      </c>
      <c r="C100" s="102" t="s">
        <v>844</v>
      </c>
      <c r="D100" s="117" t="s">
        <v>845</v>
      </c>
      <c r="E100" s="117" t="s">
        <v>800</v>
      </c>
      <c r="F100" s="117"/>
      <c r="G100" s="226">
        <f>VLOOKUP(B100,'Margin Calculation'!F:Y,20,0)</f>
        <v>830.46870000000001</v>
      </c>
      <c r="H100" s="226">
        <f>VLOOKUP(B100,'Margin Calculation'!F:Z,21,0)</f>
        <v>979.95306599999992</v>
      </c>
      <c r="I100" s="357" t="e">
        <f t="shared" si="27"/>
        <v>#N/A</v>
      </c>
      <c r="J100" s="357" t="e">
        <f t="shared" si="0"/>
        <v>#N/A</v>
      </c>
      <c r="K100" s="357" t="e">
        <f t="shared" si="1"/>
        <v>#N/A</v>
      </c>
      <c r="L100" s="357" t="e">
        <f t="shared" si="2"/>
        <v>#N/A</v>
      </c>
      <c r="M100" s="357" t="e">
        <f t="shared" si="3"/>
        <v>#N/A</v>
      </c>
      <c r="N100" s="357" t="e">
        <f t="shared" si="4"/>
        <v>#N/A</v>
      </c>
      <c r="O100" s="357" t="e">
        <f t="shared" si="5"/>
        <v>#N/A</v>
      </c>
      <c r="P100" s="357" t="e">
        <f t="shared" si="6"/>
        <v>#N/A</v>
      </c>
      <c r="Q100" s="357" t="e">
        <f t="shared" si="7"/>
        <v>#N/A</v>
      </c>
      <c r="R100" s="357"/>
      <c r="S100" s="357"/>
      <c r="T100" s="357"/>
      <c r="U100" s="357"/>
      <c r="V100" s="357"/>
      <c r="W100" s="357"/>
      <c r="X100" s="357"/>
      <c r="Y100" s="357"/>
      <c r="Z100" s="357"/>
      <c r="AA100" s="357"/>
    </row>
    <row r="101" spans="1:27" ht="14.4" hidden="1">
      <c r="A101" s="69"/>
      <c r="B101" s="69" t="s">
        <v>847</v>
      </c>
      <c r="C101" s="102" t="s">
        <v>848</v>
      </c>
      <c r="D101" s="117" t="s">
        <v>849</v>
      </c>
      <c r="E101" s="117" t="s">
        <v>800</v>
      </c>
      <c r="F101" s="117"/>
      <c r="G101" s="226">
        <f>VLOOKUP(B101,'Margin Calculation'!F:Y,20,0)</f>
        <v>5278.3163999999997</v>
      </c>
      <c r="H101" s="226">
        <f>VLOOKUP(B101,'Margin Calculation'!F:Z,21,0)</f>
        <v>6228.4133519999996</v>
      </c>
      <c r="I101" s="357" t="e">
        <f t="shared" si="27"/>
        <v>#N/A</v>
      </c>
      <c r="J101" s="357" t="e">
        <f t="shared" si="0"/>
        <v>#N/A</v>
      </c>
      <c r="K101" s="357" t="e">
        <f t="shared" si="1"/>
        <v>#N/A</v>
      </c>
      <c r="L101" s="357" t="e">
        <f t="shared" si="2"/>
        <v>#N/A</v>
      </c>
      <c r="M101" s="357" t="e">
        <f t="shared" si="3"/>
        <v>#N/A</v>
      </c>
      <c r="N101" s="357" t="e">
        <f t="shared" si="4"/>
        <v>#N/A</v>
      </c>
      <c r="O101" s="357" t="e">
        <f t="shared" si="5"/>
        <v>#N/A</v>
      </c>
      <c r="P101" s="357" t="e">
        <f t="shared" si="6"/>
        <v>#N/A</v>
      </c>
      <c r="Q101" s="357" t="e">
        <f t="shared" si="7"/>
        <v>#N/A</v>
      </c>
      <c r="R101" s="357"/>
      <c r="S101" s="357"/>
      <c r="T101" s="357"/>
      <c r="U101" s="357"/>
      <c r="V101" s="357"/>
      <c r="W101" s="357"/>
      <c r="X101" s="357"/>
      <c r="Y101" s="357"/>
      <c r="Z101" s="357"/>
      <c r="AA101" s="357"/>
    </row>
    <row r="102" spans="1:27" ht="14.4" hidden="1">
      <c r="A102" s="69"/>
      <c r="B102" s="69" t="s">
        <v>851</v>
      </c>
      <c r="C102" s="102" t="s">
        <v>852</v>
      </c>
      <c r="D102" s="117" t="s">
        <v>853</v>
      </c>
      <c r="E102" s="117" t="s">
        <v>800</v>
      </c>
      <c r="F102" s="117"/>
      <c r="G102" s="226">
        <f>VLOOKUP(B102,'Margin Calculation'!F:Y,20,0)</f>
        <v>2751.2459999999996</v>
      </c>
      <c r="H102" s="226">
        <f>VLOOKUP(B102,'Margin Calculation'!F:Z,21,0)</f>
        <v>3246.4702799999995</v>
      </c>
      <c r="I102" s="357" t="e">
        <f t="shared" si="27"/>
        <v>#N/A</v>
      </c>
      <c r="J102" s="357" t="e">
        <f t="shared" si="0"/>
        <v>#N/A</v>
      </c>
      <c r="K102" s="357" t="e">
        <f t="shared" si="1"/>
        <v>#N/A</v>
      </c>
      <c r="L102" s="357" t="e">
        <f t="shared" si="2"/>
        <v>#N/A</v>
      </c>
      <c r="M102" s="357" t="e">
        <f t="shared" si="3"/>
        <v>#N/A</v>
      </c>
      <c r="N102" s="357" t="e">
        <f t="shared" si="4"/>
        <v>#N/A</v>
      </c>
      <c r="O102" s="357" t="e">
        <f t="shared" si="5"/>
        <v>#N/A</v>
      </c>
      <c r="P102" s="357" t="e">
        <f t="shared" si="6"/>
        <v>#N/A</v>
      </c>
      <c r="Q102" s="357" t="e">
        <f t="shared" si="7"/>
        <v>#N/A</v>
      </c>
      <c r="R102" s="357"/>
      <c r="S102" s="357"/>
      <c r="T102" s="357"/>
      <c r="U102" s="357"/>
      <c r="V102" s="357"/>
      <c r="W102" s="357"/>
      <c r="X102" s="357"/>
      <c r="Y102" s="357"/>
      <c r="Z102" s="357"/>
      <c r="AA102" s="357"/>
    </row>
    <row r="103" spans="1:27" ht="14.4" hidden="1">
      <c r="A103" s="69"/>
      <c r="B103" s="69" t="s">
        <v>855</v>
      </c>
      <c r="C103" s="102" t="s">
        <v>856</v>
      </c>
      <c r="D103" s="117" t="s">
        <v>857</v>
      </c>
      <c r="E103" s="117" t="s">
        <v>800</v>
      </c>
      <c r="F103" s="117"/>
      <c r="G103" s="226">
        <f>VLOOKUP(B103,'Margin Calculation'!F:Y,20,0)</f>
        <v>815.18400000000008</v>
      </c>
      <c r="H103" s="226">
        <f>VLOOKUP(B103,'Margin Calculation'!F:Z,21,0)</f>
        <v>961.91712000000007</v>
      </c>
      <c r="I103" s="357" t="e">
        <f t="shared" si="27"/>
        <v>#N/A</v>
      </c>
      <c r="J103" s="357" t="e">
        <f t="shared" si="0"/>
        <v>#N/A</v>
      </c>
      <c r="K103" s="357" t="e">
        <f t="shared" si="1"/>
        <v>#N/A</v>
      </c>
      <c r="L103" s="357" t="e">
        <f t="shared" si="2"/>
        <v>#N/A</v>
      </c>
      <c r="M103" s="357" t="e">
        <f t="shared" si="3"/>
        <v>#N/A</v>
      </c>
      <c r="N103" s="357" t="e">
        <f t="shared" si="4"/>
        <v>#N/A</v>
      </c>
      <c r="O103" s="357" t="e">
        <f t="shared" si="5"/>
        <v>#N/A</v>
      </c>
      <c r="P103" s="357" t="e">
        <f t="shared" si="6"/>
        <v>#N/A</v>
      </c>
      <c r="Q103" s="357" t="e">
        <f t="shared" si="7"/>
        <v>#N/A</v>
      </c>
      <c r="R103" s="357"/>
      <c r="S103" s="357"/>
      <c r="T103" s="357"/>
      <c r="U103" s="357"/>
      <c r="V103" s="357"/>
      <c r="W103" s="357"/>
      <c r="X103" s="357"/>
      <c r="Y103" s="357"/>
      <c r="Z103" s="357"/>
      <c r="AA103" s="357"/>
    </row>
    <row r="104" spans="1:27" ht="14.4">
      <c r="A104" s="69" t="s">
        <v>934</v>
      </c>
      <c r="B104" s="69" t="s">
        <v>859</v>
      </c>
      <c r="C104" s="187" t="s">
        <v>860</v>
      </c>
      <c r="D104" s="69" t="s">
        <v>861</v>
      </c>
      <c r="E104" s="69" t="s">
        <v>234</v>
      </c>
      <c r="F104" s="69"/>
      <c r="G104" s="226">
        <f>VLOOKUP(B104,'Margin Calculation'!F:Y,20,0)</f>
        <v>1783.2150000000001</v>
      </c>
      <c r="H104" s="226">
        <f>VLOOKUP(B104,'Margin Calculation'!F:Z,21,0)</f>
        <v>2104.1937000000003</v>
      </c>
      <c r="I104" s="235">
        <f>Q104*2%</f>
        <v>64</v>
      </c>
      <c r="J104" s="235">
        <f t="shared" si="0"/>
        <v>320</v>
      </c>
      <c r="K104" s="235">
        <f t="shared" si="1"/>
        <v>160</v>
      </c>
      <c r="L104" s="235">
        <f t="shared" si="2"/>
        <v>96</v>
      </c>
      <c r="M104" s="287">
        <f t="shared" si="3"/>
        <v>2423.2150000000001</v>
      </c>
      <c r="N104" s="130">
        <f t="shared" si="4"/>
        <v>488.13559322033871</v>
      </c>
      <c r="O104" s="235">
        <f t="shared" si="5"/>
        <v>288.64940677966115</v>
      </c>
      <c r="P104" s="288">
        <f t="shared" si="6"/>
        <v>9.0202939618644104E-2</v>
      </c>
      <c r="Q104" s="235">
        <f t="shared" si="7"/>
        <v>3200</v>
      </c>
      <c r="R104" s="117"/>
      <c r="S104" s="117"/>
      <c r="T104" s="117"/>
      <c r="U104" s="117"/>
      <c r="V104" s="117"/>
      <c r="W104" s="117"/>
      <c r="X104" s="117"/>
      <c r="Y104" s="117"/>
      <c r="Z104" s="117"/>
      <c r="AA104" s="117"/>
    </row>
    <row r="105" spans="1:27" ht="14.4" hidden="1">
      <c r="A105" s="69"/>
      <c r="B105" s="69" t="s">
        <v>863</v>
      </c>
      <c r="C105" s="69" t="s">
        <v>864</v>
      </c>
      <c r="D105" s="69" t="s">
        <v>865</v>
      </c>
      <c r="E105" s="69" t="s">
        <v>314</v>
      </c>
      <c r="F105" s="69"/>
      <c r="G105" s="226">
        <f>VLOOKUP(B105,'Margin Calculation'!F:Y,20,0)</f>
        <v>1007.9640000000001</v>
      </c>
      <c r="H105" s="226">
        <f>VLOOKUP(B105,'Margin Calculation'!F:Z,21,0)</f>
        <v>1189.39752</v>
      </c>
      <c r="I105" s="357" t="e">
        <f t="shared" ref="I105:I112" si="28">Q105*1%</f>
        <v>#N/A</v>
      </c>
      <c r="J105" s="357" t="e">
        <f t="shared" si="0"/>
        <v>#N/A</v>
      </c>
      <c r="K105" s="357" t="e">
        <f t="shared" si="1"/>
        <v>#N/A</v>
      </c>
      <c r="L105" s="357" t="e">
        <f t="shared" si="2"/>
        <v>#N/A</v>
      </c>
      <c r="M105" s="357" t="e">
        <f t="shared" si="3"/>
        <v>#N/A</v>
      </c>
      <c r="N105" s="357" t="e">
        <f t="shared" si="4"/>
        <v>#N/A</v>
      </c>
      <c r="O105" s="357" t="e">
        <f t="shared" si="5"/>
        <v>#N/A</v>
      </c>
      <c r="P105" s="357" t="e">
        <f t="shared" si="6"/>
        <v>#N/A</v>
      </c>
      <c r="Q105" s="357" t="e">
        <f t="shared" si="7"/>
        <v>#N/A</v>
      </c>
      <c r="R105" s="357"/>
      <c r="S105" s="357"/>
      <c r="T105" s="357"/>
      <c r="U105" s="357"/>
      <c r="V105" s="357"/>
      <c r="W105" s="357"/>
      <c r="X105" s="357"/>
      <c r="Y105" s="357"/>
      <c r="Z105" s="357"/>
      <c r="AA105" s="357"/>
    </row>
    <row r="106" spans="1:27" ht="14.4" hidden="1">
      <c r="A106" s="69"/>
      <c r="B106" s="69" t="s">
        <v>867</v>
      </c>
      <c r="C106" s="69"/>
      <c r="D106" s="69" t="s">
        <v>868</v>
      </c>
      <c r="E106" s="69" t="s">
        <v>234</v>
      </c>
      <c r="F106" s="69" t="s">
        <v>249</v>
      </c>
      <c r="G106" s="226">
        <f>VLOOKUP(B106,'Margin Calculation'!F:Y,20,0)</f>
        <v>1406.1924000000001</v>
      </c>
      <c r="H106" s="226">
        <f>VLOOKUP(B106,'Margin Calculation'!F:Z,21,0)</f>
        <v>1659.3070320000002</v>
      </c>
      <c r="I106" s="357" t="e">
        <f t="shared" si="28"/>
        <v>#N/A</v>
      </c>
      <c r="J106" s="357" t="e">
        <f t="shared" si="0"/>
        <v>#N/A</v>
      </c>
      <c r="K106" s="357" t="e">
        <f t="shared" si="1"/>
        <v>#N/A</v>
      </c>
      <c r="L106" s="357" t="e">
        <f t="shared" si="2"/>
        <v>#N/A</v>
      </c>
      <c r="M106" s="357" t="e">
        <f t="shared" si="3"/>
        <v>#N/A</v>
      </c>
      <c r="N106" s="357" t="e">
        <f t="shared" si="4"/>
        <v>#N/A</v>
      </c>
      <c r="O106" s="357" t="e">
        <f t="shared" si="5"/>
        <v>#N/A</v>
      </c>
      <c r="P106" s="357" t="e">
        <f t="shared" si="6"/>
        <v>#N/A</v>
      </c>
      <c r="Q106" s="357" t="e">
        <f t="shared" si="7"/>
        <v>#N/A</v>
      </c>
      <c r="R106" s="357"/>
      <c r="S106" s="357"/>
      <c r="T106" s="357"/>
      <c r="U106" s="357"/>
      <c r="V106" s="357"/>
      <c r="W106" s="357"/>
      <c r="X106" s="357"/>
      <c r="Y106" s="357"/>
      <c r="Z106" s="357"/>
      <c r="AA106" s="357"/>
    </row>
    <row r="107" spans="1:27" ht="14.4" hidden="1">
      <c r="A107" s="69"/>
      <c r="B107" s="69" t="s">
        <v>870</v>
      </c>
      <c r="C107" s="102" t="s">
        <v>871</v>
      </c>
      <c r="D107" s="117" t="s">
        <v>872</v>
      </c>
      <c r="E107" s="117" t="s">
        <v>795</v>
      </c>
      <c r="F107" s="117"/>
      <c r="G107" s="226">
        <f>VLOOKUP(B107,'Margin Calculation'!F:Y,20,0)</f>
        <v>346.06763999999998</v>
      </c>
      <c r="H107" s="226">
        <f>VLOOKUP(B107,'Margin Calculation'!F:Z,21,0)</f>
        <v>408.35981519999996</v>
      </c>
      <c r="I107" s="357" t="e">
        <f t="shared" si="28"/>
        <v>#N/A</v>
      </c>
      <c r="J107" s="357" t="e">
        <f t="shared" si="0"/>
        <v>#N/A</v>
      </c>
      <c r="K107" s="357" t="e">
        <f t="shared" si="1"/>
        <v>#N/A</v>
      </c>
      <c r="L107" s="357" t="e">
        <f t="shared" si="2"/>
        <v>#N/A</v>
      </c>
      <c r="M107" s="357" t="e">
        <f t="shared" si="3"/>
        <v>#N/A</v>
      </c>
      <c r="N107" s="357" t="e">
        <f t="shared" si="4"/>
        <v>#N/A</v>
      </c>
      <c r="O107" s="357" t="e">
        <f t="shared" si="5"/>
        <v>#N/A</v>
      </c>
      <c r="P107" s="357" t="e">
        <f t="shared" si="6"/>
        <v>#N/A</v>
      </c>
      <c r="Q107" s="357" t="e">
        <f t="shared" si="7"/>
        <v>#N/A</v>
      </c>
      <c r="R107" s="357"/>
      <c r="S107" s="357"/>
      <c r="T107" s="357"/>
      <c r="U107" s="357"/>
      <c r="V107" s="357"/>
      <c r="W107" s="357"/>
      <c r="X107" s="357"/>
      <c r="Y107" s="357"/>
      <c r="Z107" s="357"/>
      <c r="AA107" s="357"/>
    </row>
    <row r="108" spans="1:27" ht="14.4" hidden="1">
      <c r="A108" s="69"/>
      <c r="B108" s="69" t="s">
        <v>874</v>
      </c>
      <c r="C108" s="102" t="s">
        <v>875</v>
      </c>
      <c r="D108" s="117" t="s">
        <v>876</v>
      </c>
      <c r="E108" s="69" t="s">
        <v>234</v>
      </c>
      <c r="F108" s="117" t="s">
        <v>671</v>
      </c>
      <c r="G108" s="226">
        <f>VLOOKUP(B108,'Margin Calculation'!F:Y,20,0)</f>
        <v>275</v>
      </c>
      <c r="H108" s="226">
        <f>VLOOKUP(B108,'Margin Calculation'!F:Z,21,0)</f>
        <v>324.5</v>
      </c>
      <c r="I108" s="357" t="e">
        <f t="shared" si="28"/>
        <v>#N/A</v>
      </c>
      <c r="J108" s="357" t="e">
        <f t="shared" si="0"/>
        <v>#N/A</v>
      </c>
      <c r="K108" s="357" t="e">
        <f t="shared" si="1"/>
        <v>#N/A</v>
      </c>
      <c r="L108" s="357" t="e">
        <f t="shared" si="2"/>
        <v>#N/A</v>
      </c>
      <c r="M108" s="357" t="e">
        <f t="shared" si="3"/>
        <v>#N/A</v>
      </c>
      <c r="N108" s="357" t="e">
        <f t="shared" si="4"/>
        <v>#N/A</v>
      </c>
      <c r="O108" s="357" t="e">
        <f t="shared" si="5"/>
        <v>#N/A</v>
      </c>
      <c r="P108" s="357" t="e">
        <f t="shared" si="6"/>
        <v>#N/A</v>
      </c>
      <c r="Q108" s="357" t="e">
        <f t="shared" si="7"/>
        <v>#N/A</v>
      </c>
      <c r="R108" s="357"/>
      <c r="S108" s="357"/>
      <c r="T108" s="357"/>
      <c r="U108" s="357"/>
      <c r="V108" s="357"/>
      <c r="W108" s="357"/>
      <c r="X108" s="357"/>
      <c r="Y108" s="357"/>
      <c r="Z108" s="357"/>
      <c r="AA108" s="357"/>
    </row>
    <row r="109" spans="1:27" ht="14.4" hidden="1">
      <c r="A109" s="357"/>
      <c r="B109" s="357" t="s">
        <v>879</v>
      </c>
      <c r="C109" s="362"/>
      <c r="D109" s="117" t="s">
        <v>881</v>
      </c>
      <c r="E109" s="69" t="s">
        <v>234</v>
      </c>
      <c r="F109" s="117" t="s">
        <v>671</v>
      </c>
      <c r="G109" s="226">
        <f>VLOOKUP(B109,'Margin Calculation'!F:Y,20,0)</f>
        <v>221.75208000000001</v>
      </c>
      <c r="H109" s="226">
        <f>VLOOKUP(B109,'Margin Calculation'!F:Z,21,0)</f>
        <v>261.6674544</v>
      </c>
      <c r="I109" s="357" t="e">
        <f t="shared" si="28"/>
        <v>#N/A</v>
      </c>
      <c r="J109" s="357" t="e">
        <f t="shared" si="0"/>
        <v>#N/A</v>
      </c>
      <c r="K109" s="357" t="e">
        <f t="shared" si="1"/>
        <v>#N/A</v>
      </c>
      <c r="L109" s="357" t="e">
        <f t="shared" si="2"/>
        <v>#N/A</v>
      </c>
      <c r="M109" s="357" t="e">
        <f t="shared" si="3"/>
        <v>#N/A</v>
      </c>
      <c r="N109" s="357" t="e">
        <f t="shared" si="4"/>
        <v>#N/A</v>
      </c>
      <c r="O109" s="357" t="e">
        <f t="shared" si="5"/>
        <v>#N/A</v>
      </c>
      <c r="P109" s="357" t="e">
        <f t="shared" si="6"/>
        <v>#N/A</v>
      </c>
      <c r="Q109" s="357" t="e">
        <f t="shared" si="7"/>
        <v>#N/A</v>
      </c>
      <c r="R109" s="357"/>
      <c r="S109" s="357"/>
      <c r="T109" s="357"/>
      <c r="U109" s="357"/>
      <c r="V109" s="357"/>
      <c r="W109" s="357"/>
      <c r="X109" s="357"/>
      <c r="Y109" s="357"/>
      <c r="Z109" s="357"/>
      <c r="AA109" s="357"/>
    </row>
    <row r="110" spans="1:27" ht="14.4" hidden="1">
      <c r="A110" s="357"/>
      <c r="B110" s="357" t="s">
        <v>884</v>
      </c>
      <c r="C110" s="362"/>
      <c r="D110" s="117" t="s">
        <v>886</v>
      </c>
      <c r="E110" s="69" t="s">
        <v>234</v>
      </c>
      <c r="F110" s="117" t="s">
        <v>671</v>
      </c>
      <c r="G110" s="226">
        <f>VLOOKUP(B110,'Margin Calculation'!F:Y,20,0)</f>
        <v>251.99100000000001</v>
      </c>
      <c r="H110" s="226">
        <f>VLOOKUP(B110,'Margin Calculation'!F:Z,21,0)</f>
        <v>297.34938</v>
      </c>
      <c r="I110" s="357" t="e">
        <f t="shared" si="28"/>
        <v>#N/A</v>
      </c>
      <c r="J110" s="357" t="e">
        <f t="shared" si="0"/>
        <v>#N/A</v>
      </c>
      <c r="K110" s="357" t="e">
        <f t="shared" si="1"/>
        <v>#N/A</v>
      </c>
      <c r="L110" s="357" t="e">
        <f t="shared" si="2"/>
        <v>#N/A</v>
      </c>
      <c r="M110" s="357" t="e">
        <f t="shared" si="3"/>
        <v>#N/A</v>
      </c>
      <c r="N110" s="357" t="e">
        <f t="shared" si="4"/>
        <v>#N/A</v>
      </c>
      <c r="O110" s="357" t="e">
        <f t="shared" si="5"/>
        <v>#N/A</v>
      </c>
      <c r="P110" s="357" t="e">
        <f t="shared" si="6"/>
        <v>#N/A</v>
      </c>
      <c r="Q110" s="357" t="e">
        <f t="shared" si="7"/>
        <v>#N/A</v>
      </c>
      <c r="R110" s="357"/>
      <c r="S110" s="357"/>
      <c r="T110" s="357"/>
      <c r="U110" s="357"/>
      <c r="V110" s="357"/>
      <c r="W110" s="357"/>
      <c r="X110" s="357"/>
      <c r="Y110" s="357"/>
      <c r="Z110" s="357"/>
      <c r="AA110" s="357"/>
    </row>
    <row r="111" spans="1:27" ht="14.4" hidden="1">
      <c r="A111" s="357"/>
      <c r="B111" s="357" t="s">
        <v>889</v>
      </c>
      <c r="C111" s="362"/>
      <c r="D111" s="117" t="s">
        <v>891</v>
      </c>
      <c r="E111" s="69" t="s">
        <v>234</v>
      </c>
      <c r="F111" s="117" t="s">
        <v>671</v>
      </c>
      <c r="G111" s="226">
        <f>VLOOKUP(B111,'Margin Calculation'!F:Y,20,0)</f>
        <v>1114.3602000000001</v>
      </c>
      <c r="H111" s="226">
        <f>VLOOKUP(B111,'Margin Calculation'!F:Z,21,0)</f>
        <v>1314.9450360000001</v>
      </c>
      <c r="I111" s="357" t="e">
        <f t="shared" si="28"/>
        <v>#N/A</v>
      </c>
      <c r="J111" s="357" t="e">
        <f t="shared" si="0"/>
        <v>#N/A</v>
      </c>
      <c r="K111" s="357" t="e">
        <f t="shared" si="1"/>
        <v>#N/A</v>
      </c>
      <c r="L111" s="357" t="e">
        <f t="shared" si="2"/>
        <v>#N/A</v>
      </c>
      <c r="M111" s="357" t="e">
        <f t="shared" si="3"/>
        <v>#N/A</v>
      </c>
      <c r="N111" s="357" t="e">
        <f t="shared" si="4"/>
        <v>#N/A</v>
      </c>
      <c r="O111" s="357" t="e">
        <f t="shared" si="5"/>
        <v>#N/A</v>
      </c>
      <c r="P111" s="357" t="e">
        <f t="shared" si="6"/>
        <v>#N/A</v>
      </c>
      <c r="Q111" s="357" t="e">
        <f t="shared" si="7"/>
        <v>#N/A</v>
      </c>
      <c r="R111" s="357"/>
      <c r="S111" s="357"/>
      <c r="T111" s="357"/>
      <c r="U111" s="357"/>
      <c r="V111" s="357"/>
      <c r="W111" s="357"/>
      <c r="X111" s="357"/>
      <c r="Y111" s="357"/>
      <c r="Z111" s="357"/>
      <c r="AA111" s="357"/>
    </row>
    <row r="112" spans="1:27" ht="14.4" hidden="1">
      <c r="A112" s="357"/>
      <c r="B112" s="357" t="s">
        <v>895</v>
      </c>
      <c r="C112" s="362"/>
      <c r="D112" s="117" t="s">
        <v>897</v>
      </c>
      <c r="E112" s="69" t="s">
        <v>234</v>
      </c>
      <c r="F112" s="69" t="s">
        <v>235</v>
      </c>
      <c r="G112" s="226">
        <f>VLOOKUP(B112,'Margin Calculation'!F:Y,20,0)</f>
        <v>123.1956</v>
      </c>
      <c r="H112" s="226">
        <f>VLOOKUP(B112,'Margin Calculation'!F:Z,21,0)</f>
        <v>145.37080799999998</v>
      </c>
      <c r="I112" s="357" t="e">
        <f t="shared" si="28"/>
        <v>#N/A</v>
      </c>
      <c r="J112" s="357" t="e">
        <f t="shared" si="0"/>
        <v>#N/A</v>
      </c>
      <c r="K112" s="357" t="e">
        <f t="shared" si="1"/>
        <v>#N/A</v>
      </c>
      <c r="L112" s="357" t="e">
        <f t="shared" si="2"/>
        <v>#N/A</v>
      </c>
      <c r="M112" s="357" t="e">
        <f t="shared" si="3"/>
        <v>#N/A</v>
      </c>
      <c r="N112" s="357" t="e">
        <f t="shared" si="4"/>
        <v>#N/A</v>
      </c>
      <c r="O112" s="357" t="e">
        <f t="shared" si="5"/>
        <v>#N/A</v>
      </c>
      <c r="P112" s="357" t="e">
        <f t="shared" si="6"/>
        <v>#N/A</v>
      </c>
      <c r="Q112" s="357" t="e">
        <f t="shared" si="7"/>
        <v>#N/A</v>
      </c>
      <c r="R112" s="357"/>
      <c r="S112" s="357"/>
      <c r="T112" s="357"/>
      <c r="U112" s="357"/>
      <c r="V112" s="357"/>
      <c r="W112" s="357"/>
      <c r="X112" s="357"/>
      <c r="Y112" s="357"/>
      <c r="Z112" s="357"/>
      <c r="AA112" s="357"/>
    </row>
    <row r="113" spans="1:27" ht="14.4">
      <c r="A113" s="117"/>
      <c r="B113" s="117"/>
      <c r="C113" s="117"/>
      <c r="D113" s="117"/>
      <c r="E113" s="117"/>
      <c r="F113" s="117"/>
      <c r="G113" s="117"/>
      <c r="H113" s="117"/>
      <c r="I113" s="235"/>
      <c r="J113" s="235"/>
      <c r="K113" s="235"/>
      <c r="L113" s="117"/>
      <c r="M113" s="117"/>
      <c r="N113" s="117"/>
      <c r="O113" s="117"/>
      <c r="P113" s="117"/>
      <c r="Q113" s="117"/>
      <c r="R113" s="117"/>
      <c r="S113" s="117"/>
      <c r="T113" s="117"/>
      <c r="U113" s="117"/>
      <c r="V113" s="117"/>
      <c r="W113" s="117"/>
      <c r="X113" s="117"/>
      <c r="Y113" s="117"/>
      <c r="Z113" s="117"/>
      <c r="AA113" s="117"/>
    </row>
    <row r="114" spans="1:27" ht="14.4">
      <c r="A114" s="117"/>
      <c r="B114" s="117"/>
      <c r="C114" s="117"/>
      <c r="D114" s="117"/>
      <c r="E114" s="117"/>
      <c r="F114" s="117"/>
      <c r="G114" s="117"/>
      <c r="H114" s="117"/>
      <c r="I114" s="235"/>
      <c r="J114" s="235"/>
      <c r="K114" s="235"/>
      <c r="L114" s="117"/>
      <c r="M114" s="117"/>
      <c r="N114" s="117"/>
      <c r="O114" s="117"/>
      <c r="P114" s="117"/>
      <c r="Q114" s="117"/>
      <c r="R114" s="117"/>
      <c r="S114" s="117"/>
      <c r="T114" s="117"/>
      <c r="U114" s="117"/>
      <c r="V114" s="117"/>
      <c r="W114" s="117"/>
      <c r="X114" s="117"/>
      <c r="Y114" s="117"/>
      <c r="Z114" s="117"/>
      <c r="AA114" s="117"/>
    </row>
    <row r="115" spans="1:27" ht="14.4">
      <c r="A115" s="117"/>
      <c r="B115" s="117"/>
      <c r="C115" s="117"/>
      <c r="D115" s="117"/>
      <c r="E115" s="117"/>
      <c r="F115" s="117"/>
      <c r="G115" s="117"/>
      <c r="H115" s="117"/>
      <c r="I115" s="235"/>
      <c r="J115" s="235"/>
      <c r="K115" s="235"/>
      <c r="L115" s="117"/>
      <c r="M115" s="117"/>
      <c r="N115" s="117"/>
      <c r="O115" s="117"/>
      <c r="P115" s="117"/>
      <c r="Q115" s="117"/>
      <c r="R115" s="117"/>
      <c r="S115" s="117"/>
      <c r="T115" s="117"/>
      <c r="U115" s="117"/>
      <c r="V115" s="117"/>
      <c r="W115" s="117"/>
      <c r="X115" s="117"/>
      <c r="Y115" s="117"/>
      <c r="Z115" s="117"/>
      <c r="AA115" s="117"/>
    </row>
    <row r="116" spans="1:27" ht="14.4">
      <c r="A116" s="117"/>
      <c r="B116" s="117"/>
      <c r="C116" s="117"/>
      <c r="D116" s="117"/>
      <c r="E116" s="117"/>
      <c r="F116" s="117"/>
      <c r="G116" s="117"/>
      <c r="H116" s="117"/>
      <c r="I116" s="235"/>
      <c r="J116" s="235"/>
      <c r="K116" s="235"/>
      <c r="L116" s="117"/>
      <c r="M116" s="117"/>
      <c r="N116" s="117"/>
      <c r="O116" s="117"/>
      <c r="P116" s="117"/>
      <c r="Q116" s="117"/>
      <c r="R116" s="117"/>
      <c r="S116" s="117"/>
      <c r="T116" s="117"/>
      <c r="U116" s="117"/>
      <c r="V116" s="117"/>
      <c r="W116" s="117"/>
      <c r="X116" s="117"/>
      <c r="Y116" s="117"/>
      <c r="Z116" s="117"/>
      <c r="AA116" s="117"/>
    </row>
    <row r="117" spans="1:27" ht="14.4">
      <c r="A117" s="117"/>
      <c r="B117" s="117"/>
      <c r="C117" s="117"/>
      <c r="D117" s="117"/>
      <c r="E117" s="117"/>
      <c r="F117" s="117"/>
      <c r="G117" s="117"/>
      <c r="H117" s="117"/>
      <c r="I117" s="235"/>
      <c r="J117" s="235"/>
      <c r="K117" s="235"/>
      <c r="L117" s="117"/>
      <c r="M117" s="117"/>
      <c r="N117" s="117"/>
      <c r="O117" s="117"/>
      <c r="P117" s="117"/>
      <c r="Q117" s="117"/>
      <c r="R117" s="117"/>
      <c r="S117" s="117"/>
      <c r="T117" s="117"/>
      <c r="U117" s="117"/>
      <c r="V117" s="117"/>
      <c r="W117" s="117"/>
      <c r="X117" s="117"/>
      <c r="Y117" s="117"/>
      <c r="Z117" s="117"/>
      <c r="AA117" s="117"/>
    </row>
    <row r="118" spans="1:27" ht="14.4">
      <c r="A118" s="117"/>
      <c r="B118" s="117"/>
      <c r="C118" s="117"/>
      <c r="D118" s="117"/>
      <c r="E118" s="117"/>
      <c r="F118" s="117"/>
      <c r="G118" s="117"/>
      <c r="H118" s="117"/>
      <c r="I118" s="235"/>
      <c r="J118" s="235"/>
      <c r="K118" s="235"/>
      <c r="L118" s="117"/>
      <c r="M118" s="117"/>
      <c r="N118" s="117"/>
      <c r="O118" s="117"/>
      <c r="P118" s="117"/>
      <c r="Q118" s="117"/>
      <c r="R118" s="117"/>
      <c r="S118" s="117"/>
      <c r="T118" s="117"/>
      <c r="U118" s="117"/>
      <c r="V118" s="117"/>
      <c r="W118" s="117"/>
      <c r="X118" s="117"/>
      <c r="Y118" s="117"/>
      <c r="Z118" s="117"/>
      <c r="AA118" s="117"/>
    </row>
    <row r="119" spans="1:27" ht="14.4">
      <c r="A119" s="117"/>
      <c r="B119" s="117"/>
      <c r="C119" s="117"/>
      <c r="D119" s="117"/>
      <c r="E119" s="117"/>
      <c r="F119" s="117"/>
      <c r="G119" s="117"/>
      <c r="H119" s="117"/>
      <c r="I119" s="235"/>
      <c r="J119" s="235"/>
      <c r="K119" s="235"/>
      <c r="L119" s="117"/>
      <c r="M119" s="117"/>
      <c r="N119" s="117"/>
      <c r="O119" s="117"/>
      <c r="P119" s="117"/>
      <c r="Q119" s="117"/>
      <c r="R119" s="117"/>
      <c r="S119" s="117"/>
      <c r="T119" s="117"/>
      <c r="U119" s="117"/>
      <c r="V119" s="117"/>
      <c r="W119" s="117"/>
      <c r="X119" s="117"/>
      <c r="Y119" s="117"/>
      <c r="Z119" s="117"/>
      <c r="AA119" s="117"/>
    </row>
    <row r="120" spans="1:27" ht="14.4">
      <c r="A120" s="117"/>
      <c r="B120" s="117"/>
      <c r="C120" s="117"/>
      <c r="D120" s="117"/>
      <c r="E120" s="117"/>
      <c r="F120" s="117"/>
      <c r="G120" s="117"/>
      <c r="H120" s="117"/>
      <c r="I120" s="235"/>
      <c r="J120" s="235"/>
      <c r="K120" s="235"/>
      <c r="L120" s="117"/>
      <c r="M120" s="117"/>
      <c r="N120" s="117"/>
      <c r="O120" s="117"/>
      <c r="P120" s="117"/>
      <c r="Q120" s="117"/>
      <c r="R120" s="117"/>
      <c r="S120" s="117"/>
      <c r="T120" s="117"/>
      <c r="U120" s="117"/>
      <c r="V120" s="117"/>
      <c r="W120" s="117"/>
      <c r="X120" s="117"/>
      <c r="Y120" s="117"/>
      <c r="Z120" s="117"/>
      <c r="AA120" s="117"/>
    </row>
    <row r="121" spans="1:27" ht="14.4">
      <c r="A121" s="117"/>
      <c r="B121" s="117"/>
      <c r="C121" s="117"/>
      <c r="D121" s="117"/>
      <c r="E121" s="117"/>
      <c r="F121" s="117"/>
      <c r="G121" s="117"/>
      <c r="H121" s="117"/>
      <c r="I121" s="235"/>
      <c r="J121" s="235"/>
      <c r="K121" s="235"/>
      <c r="L121" s="117"/>
      <c r="M121" s="117"/>
      <c r="N121" s="117"/>
      <c r="O121" s="117"/>
      <c r="P121" s="117"/>
      <c r="Q121" s="117"/>
      <c r="R121" s="117"/>
      <c r="S121" s="117"/>
      <c r="T121" s="117"/>
      <c r="U121" s="117"/>
      <c r="V121" s="117"/>
      <c r="W121" s="117"/>
      <c r="X121" s="117"/>
      <c r="Y121" s="117"/>
      <c r="Z121" s="117"/>
      <c r="AA121" s="117"/>
    </row>
    <row r="122" spans="1:27" ht="14.4">
      <c r="A122" s="117"/>
      <c r="B122" s="117"/>
      <c r="C122" s="117"/>
      <c r="D122" s="117"/>
      <c r="E122" s="117"/>
      <c r="F122" s="117"/>
      <c r="G122" s="117"/>
      <c r="H122" s="117"/>
      <c r="I122" s="235"/>
      <c r="J122" s="235"/>
      <c r="K122" s="235"/>
      <c r="L122" s="117"/>
      <c r="M122" s="117"/>
      <c r="N122" s="117"/>
      <c r="O122" s="117"/>
      <c r="P122" s="117"/>
      <c r="Q122" s="117"/>
      <c r="R122" s="117"/>
      <c r="S122" s="117"/>
      <c r="T122" s="117"/>
      <c r="U122" s="117"/>
      <c r="V122" s="117"/>
      <c r="W122" s="117"/>
      <c r="X122" s="117"/>
      <c r="Y122" s="117"/>
      <c r="Z122" s="117"/>
      <c r="AA122" s="117"/>
    </row>
    <row r="123" spans="1:27" ht="14.4">
      <c r="A123" s="117"/>
      <c r="B123" s="117"/>
      <c r="C123" s="117"/>
      <c r="D123" s="117"/>
      <c r="E123" s="117"/>
      <c r="F123" s="117"/>
      <c r="G123" s="117"/>
      <c r="H123" s="117"/>
      <c r="I123" s="235"/>
      <c r="J123" s="235"/>
      <c r="K123" s="235"/>
      <c r="L123" s="117"/>
      <c r="M123" s="117"/>
      <c r="N123" s="117"/>
      <c r="O123" s="117"/>
      <c r="P123" s="117"/>
      <c r="Q123" s="117"/>
      <c r="R123" s="117"/>
      <c r="S123" s="117"/>
      <c r="T123" s="117"/>
      <c r="U123" s="117"/>
      <c r="V123" s="117"/>
      <c r="W123" s="117"/>
      <c r="X123" s="117"/>
      <c r="Y123" s="117"/>
      <c r="Z123" s="117"/>
      <c r="AA123" s="117"/>
    </row>
    <row r="124" spans="1:27" ht="14.4">
      <c r="A124" s="117"/>
      <c r="B124" s="117"/>
      <c r="C124" s="117"/>
      <c r="D124" s="117"/>
      <c r="E124" s="117"/>
      <c r="F124" s="117"/>
      <c r="G124" s="117"/>
      <c r="H124" s="117"/>
      <c r="I124" s="235"/>
      <c r="J124" s="235"/>
      <c r="K124" s="235"/>
      <c r="L124" s="117"/>
      <c r="M124" s="117"/>
      <c r="N124" s="117"/>
      <c r="O124" s="117"/>
      <c r="P124" s="117"/>
      <c r="Q124" s="117"/>
      <c r="R124" s="117"/>
      <c r="S124" s="117"/>
      <c r="T124" s="117"/>
      <c r="U124" s="117"/>
      <c r="V124" s="117"/>
      <c r="W124" s="117"/>
      <c r="X124" s="117"/>
      <c r="Y124" s="117"/>
      <c r="Z124" s="117"/>
      <c r="AA124" s="117"/>
    </row>
    <row r="125" spans="1:27" ht="14.4">
      <c r="A125" s="117"/>
      <c r="B125" s="117"/>
      <c r="C125" s="117"/>
      <c r="D125" s="117"/>
      <c r="E125" s="117"/>
      <c r="F125" s="117"/>
      <c r="G125" s="117"/>
      <c r="H125" s="117"/>
      <c r="I125" s="235"/>
      <c r="J125" s="235"/>
      <c r="K125" s="235"/>
      <c r="L125" s="117"/>
      <c r="M125" s="117"/>
      <c r="N125" s="117"/>
      <c r="O125" s="117"/>
      <c r="P125" s="117"/>
      <c r="Q125" s="117"/>
      <c r="R125" s="117"/>
      <c r="S125" s="117"/>
      <c r="T125" s="117"/>
      <c r="U125" s="117"/>
      <c r="V125" s="117"/>
      <c r="W125" s="117"/>
      <c r="X125" s="117"/>
      <c r="Y125" s="117"/>
      <c r="Z125" s="117"/>
      <c r="AA125" s="117"/>
    </row>
    <row r="126" spans="1:27" ht="14.4">
      <c r="A126" s="117"/>
      <c r="B126" s="117"/>
      <c r="C126" s="117"/>
      <c r="D126" s="117"/>
      <c r="E126" s="117"/>
      <c r="F126" s="117"/>
      <c r="G126" s="117"/>
      <c r="H126" s="117"/>
      <c r="I126" s="235"/>
      <c r="J126" s="235"/>
      <c r="K126" s="235"/>
      <c r="L126" s="117"/>
      <c r="M126" s="117"/>
      <c r="N126" s="117"/>
      <c r="O126" s="117"/>
      <c r="P126" s="117"/>
      <c r="Q126" s="117"/>
      <c r="R126" s="117"/>
      <c r="S126" s="117"/>
      <c r="T126" s="117"/>
      <c r="U126" s="117"/>
      <c r="V126" s="117"/>
      <c r="W126" s="117"/>
      <c r="X126" s="117"/>
      <c r="Y126" s="117"/>
      <c r="Z126" s="117"/>
      <c r="AA126" s="117"/>
    </row>
    <row r="127" spans="1:27" ht="14.4">
      <c r="A127" s="117"/>
      <c r="B127" s="117"/>
      <c r="C127" s="117"/>
      <c r="D127" s="117"/>
      <c r="E127" s="117"/>
      <c r="F127" s="117"/>
      <c r="G127" s="117"/>
      <c r="H127" s="117"/>
      <c r="I127" s="235"/>
      <c r="J127" s="235"/>
      <c r="K127" s="235"/>
      <c r="L127" s="117"/>
      <c r="M127" s="117"/>
      <c r="N127" s="117"/>
      <c r="O127" s="117"/>
      <c r="P127" s="117"/>
      <c r="Q127" s="117"/>
      <c r="R127" s="117"/>
      <c r="S127" s="117"/>
      <c r="T127" s="117"/>
      <c r="U127" s="117"/>
      <c r="V127" s="117"/>
      <c r="W127" s="117"/>
      <c r="X127" s="117"/>
      <c r="Y127" s="117"/>
      <c r="Z127" s="117"/>
      <c r="AA127" s="117"/>
    </row>
    <row r="128" spans="1:27" ht="14.4">
      <c r="A128" s="117"/>
      <c r="B128" s="117"/>
      <c r="C128" s="117"/>
      <c r="D128" s="117"/>
      <c r="E128" s="117"/>
      <c r="F128" s="117"/>
      <c r="G128" s="117"/>
      <c r="H128" s="117"/>
      <c r="I128" s="235"/>
      <c r="J128" s="235"/>
      <c r="K128" s="235"/>
      <c r="L128" s="117"/>
      <c r="M128" s="117"/>
      <c r="N128" s="117"/>
      <c r="O128" s="117"/>
      <c r="P128" s="117"/>
      <c r="Q128" s="117"/>
      <c r="R128" s="117"/>
      <c r="S128" s="117"/>
      <c r="T128" s="117"/>
      <c r="U128" s="117"/>
      <c r="V128" s="117"/>
      <c r="W128" s="117"/>
      <c r="X128" s="117"/>
      <c r="Y128" s="117"/>
      <c r="Z128" s="117"/>
      <c r="AA128" s="117"/>
    </row>
    <row r="129" spans="1:27" ht="14.4">
      <c r="A129" s="117"/>
      <c r="B129" s="117"/>
      <c r="C129" s="117"/>
      <c r="D129" s="117"/>
      <c r="E129" s="117"/>
      <c r="F129" s="117"/>
      <c r="G129" s="117"/>
      <c r="H129" s="117"/>
      <c r="I129" s="235"/>
      <c r="J129" s="235"/>
      <c r="K129" s="235"/>
      <c r="L129" s="117"/>
      <c r="M129" s="117"/>
      <c r="N129" s="117"/>
      <c r="O129" s="117"/>
      <c r="P129" s="117"/>
      <c r="Q129" s="117"/>
      <c r="R129" s="117"/>
      <c r="S129" s="117"/>
      <c r="T129" s="117"/>
      <c r="U129" s="117"/>
      <c r="V129" s="117"/>
      <c r="W129" s="117"/>
      <c r="X129" s="117"/>
      <c r="Y129" s="117"/>
      <c r="Z129" s="117"/>
      <c r="AA129" s="117"/>
    </row>
    <row r="130" spans="1:27" ht="14.4">
      <c r="A130" s="117"/>
      <c r="B130" s="117"/>
      <c r="C130" s="117"/>
      <c r="D130" s="117"/>
      <c r="E130" s="117"/>
      <c r="F130" s="117"/>
      <c r="G130" s="117"/>
      <c r="H130" s="117"/>
      <c r="I130" s="235"/>
      <c r="J130" s="235"/>
      <c r="K130" s="235"/>
      <c r="L130" s="117"/>
      <c r="M130" s="117"/>
      <c r="N130" s="117"/>
      <c r="O130" s="117"/>
      <c r="P130" s="117"/>
      <c r="Q130" s="117"/>
      <c r="R130" s="117"/>
      <c r="S130" s="117"/>
      <c r="T130" s="117"/>
      <c r="U130" s="117"/>
      <c r="V130" s="117"/>
      <c r="W130" s="117"/>
      <c r="X130" s="117"/>
      <c r="Y130" s="117"/>
      <c r="Z130" s="117"/>
      <c r="AA130" s="117"/>
    </row>
    <row r="131" spans="1:27" ht="14.4">
      <c r="A131" s="117"/>
      <c r="B131" s="117"/>
      <c r="C131" s="117"/>
      <c r="D131" s="117"/>
      <c r="E131" s="117"/>
      <c r="F131" s="117"/>
      <c r="G131" s="117"/>
      <c r="H131" s="117"/>
      <c r="I131" s="235"/>
      <c r="J131" s="235"/>
      <c r="K131" s="235"/>
      <c r="L131" s="117"/>
      <c r="M131" s="117"/>
      <c r="N131" s="117"/>
      <c r="O131" s="117"/>
      <c r="P131" s="117"/>
      <c r="Q131" s="117"/>
      <c r="R131" s="117"/>
      <c r="S131" s="117"/>
      <c r="T131" s="117"/>
      <c r="U131" s="117"/>
      <c r="V131" s="117"/>
      <c r="W131" s="117"/>
      <c r="X131" s="117"/>
      <c r="Y131" s="117"/>
      <c r="Z131" s="117"/>
      <c r="AA131" s="117"/>
    </row>
    <row r="132" spans="1:27" ht="14.4">
      <c r="A132" s="117"/>
      <c r="B132" s="117"/>
      <c r="C132" s="117"/>
      <c r="D132" s="117"/>
      <c r="E132" s="117"/>
      <c r="F132" s="117"/>
      <c r="G132" s="117"/>
      <c r="H132" s="117"/>
      <c r="I132" s="235"/>
      <c r="J132" s="235"/>
      <c r="K132" s="235"/>
      <c r="L132" s="117"/>
      <c r="M132" s="117"/>
      <c r="N132" s="117"/>
      <c r="O132" s="117"/>
      <c r="P132" s="117"/>
      <c r="Q132" s="117"/>
      <c r="R132" s="117"/>
      <c r="S132" s="117"/>
      <c r="T132" s="117"/>
      <c r="U132" s="117"/>
      <c r="V132" s="117"/>
      <c r="W132" s="117"/>
      <c r="X132" s="117"/>
      <c r="Y132" s="117"/>
      <c r="Z132" s="117"/>
      <c r="AA132" s="117"/>
    </row>
    <row r="133" spans="1:27" ht="14.4">
      <c r="A133" s="117"/>
      <c r="B133" s="117"/>
      <c r="C133" s="117"/>
      <c r="D133" s="117"/>
      <c r="E133" s="117"/>
      <c r="F133" s="117"/>
      <c r="G133" s="117"/>
      <c r="H133" s="117"/>
      <c r="I133" s="235"/>
      <c r="J133" s="235"/>
      <c r="K133" s="235"/>
      <c r="L133" s="117"/>
      <c r="M133" s="117"/>
      <c r="N133" s="117"/>
      <c r="O133" s="117"/>
      <c r="P133" s="117"/>
      <c r="Q133" s="117"/>
      <c r="R133" s="117"/>
      <c r="S133" s="117"/>
      <c r="T133" s="117"/>
      <c r="U133" s="117"/>
      <c r="V133" s="117"/>
      <c r="W133" s="117"/>
      <c r="X133" s="117"/>
      <c r="Y133" s="117"/>
      <c r="Z133" s="117"/>
      <c r="AA133" s="117"/>
    </row>
    <row r="134" spans="1:27" ht="14.4">
      <c r="A134" s="117"/>
      <c r="B134" s="117"/>
      <c r="C134" s="117"/>
      <c r="D134" s="117"/>
      <c r="E134" s="117"/>
      <c r="F134" s="117"/>
      <c r="G134" s="117"/>
      <c r="H134" s="117"/>
      <c r="I134" s="235"/>
      <c r="J134" s="235"/>
      <c r="K134" s="235"/>
      <c r="L134" s="117"/>
      <c r="M134" s="117"/>
      <c r="N134" s="117"/>
      <c r="O134" s="117"/>
      <c r="P134" s="117"/>
      <c r="Q134" s="117"/>
      <c r="R134" s="117"/>
      <c r="S134" s="117"/>
      <c r="T134" s="117"/>
      <c r="U134" s="117"/>
      <c r="V134" s="117"/>
      <c r="W134" s="117"/>
      <c r="X134" s="117"/>
      <c r="Y134" s="117"/>
      <c r="Z134" s="117"/>
      <c r="AA134" s="117"/>
    </row>
    <row r="135" spans="1:27" ht="14.4">
      <c r="A135" s="117"/>
      <c r="B135" s="117"/>
      <c r="C135" s="117"/>
      <c r="D135" s="117"/>
      <c r="E135" s="117"/>
      <c r="F135" s="117"/>
      <c r="G135" s="117"/>
      <c r="H135" s="117"/>
      <c r="I135" s="235"/>
      <c r="J135" s="235"/>
      <c r="K135" s="235"/>
      <c r="L135" s="117"/>
      <c r="M135" s="117"/>
      <c r="N135" s="117"/>
      <c r="O135" s="117"/>
      <c r="P135" s="117"/>
      <c r="Q135" s="117"/>
      <c r="R135" s="117"/>
      <c r="S135" s="117"/>
      <c r="T135" s="117"/>
      <c r="U135" s="117"/>
      <c r="V135" s="117"/>
      <c r="W135" s="117"/>
      <c r="X135" s="117"/>
      <c r="Y135" s="117"/>
      <c r="Z135" s="117"/>
      <c r="AA135" s="117"/>
    </row>
    <row r="136" spans="1:27" ht="14.4">
      <c r="A136" s="117"/>
      <c r="B136" s="117"/>
      <c r="C136" s="117"/>
      <c r="D136" s="117"/>
      <c r="E136" s="117"/>
      <c r="F136" s="117"/>
      <c r="G136" s="117"/>
      <c r="H136" s="117"/>
      <c r="I136" s="235"/>
      <c r="J136" s="235"/>
      <c r="K136" s="235"/>
      <c r="L136" s="117"/>
      <c r="M136" s="117"/>
      <c r="N136" s="117"/>
      <c r="O136" s="117"/>
      <c r="P136" s="117"/>
      <c r="Q136" s="117"/>
      <c r="R136" s="117"/>
      <c r="S136" s="117"/>
      <c r="T136" s="117"/>
      <c r="U136" s="117"/>
      <c r="V136" s="117"/>
      <c r="W136" s="117"/>
      <c r="X136" s="117"/>
      <c r="Y136" s="117"/>
      <c r="Z136" s="117"/>
      <c r="AA136" s="117"/>
    </row>
    <row r="137" spans="1:27" ht="14.4">
      <c r="A137" s="117"/>
      <c r="B137" s="117"/>
      <c r="C137" s="117"/>
      <c r="D137" s="117"/>
      <c r="E137" s="117"/>
      <c r="F137" s="117"/>
      <c r="G137" s="117"/>
      <c r="H137" s="117"/>
      <c r="I137" s="235"/>
      <c r="J137" s="235"/>
      <c r="K137" s="235"/>
      <c r="L137" s="117"/>
      <c r="M137" s="117"/>
      <c r="N137" s="117"/>
      <c r="O137" s="117"/>
      <c r="P137" s="117"/>
      <c r="Q137" s="117"/>
      <c r="R137" s="117"/>
      <c r="S137" s="117"/>
      <c r="T137" s="117"/>
      <c r="U137" s="117"/>
      <c r="V137" s="117"/>
      <c r="W137" s="117"/>
      <c r="X137" s="117"/>
      <c r="Y137" s="117"/>
      <c r="Z137" s="117"/>
      <c r="AA137" s="117"/>
    </row>
    <row r="138" spans="1:27" ht="14.4">
      <c r="A138" s="117"/>
      <c r="B138" s="117"/>
      <c r="C138" s="117"/>
      <c r="D138" s="117"/>
      <c r="E138" s="117"/>
      <c r="F138" s="117"/>
      <c r="G138" s="117"/>
      <c r="H138" s="117"/>
      <c r="I138" s="235"/>
      <c r="J138" s="235"/>
      <c r="K138" s="235"/>
      <c r="L138" s="117"/>
      <c r="M138" s="117"/>
      <c r="N138" s="117"/>
      <c r="O138" s="117"/>
      <c r="P138" s="117"/>
      <c r="Q138" s="117"/>
      <c r="R138" s="117"/>
      <c r="S138" s="117"/>
      <c r="T138" s="117"/>
      <c r="U138" s="117"/>
      <c r="V138" s="117"/>
      <c r="W138" s="117"/>
      <c r="X138" s="117"/>
      <c r="Y138" s="117"/>
      <c r="Z138" s="117"/>
      <c r="AA138" s="117"/>
    </row>
    <row r="139" spans="1:27" ht="14.4">
      <c r="A139" s="117"/>
      <c r="B139" s="117"/>
      <c r="C139" s="117"/>
      <c r="D139" s="117"/>
      <c r="E139" s="117"/>
      <c r="F139" s="117"/>
      <c r="G139" s="117"/>
      <c r="H139" s="117"/>
      <c r="I139" s="235"/>
      <c r="J139" s="235"/>
      <c r="K139" s="235"/>
      <c r="L139" s="117"/>
      <c r="M139" s="117"/>
      <c r="N139" s="117"/>
      <c r="O139" s="117"/>
      <c r="P139" s="117"/>
      <c r="Q139" s="117"/>
      <c r="R139" s="117"/>
      <c r="S139" s="117"/>
      <c r="T139" s="117"/>
      <c r="U139" s="117"/>
      <c r="V139" s="117"/>
      <c r="W139" s="117"/>
      <c r="X139" s="117"/>
      <c r="Y139" s="117"/>
      <c r="Z139" s="117"/>
      <c r="AA139" s="117"/>
    </row>
    <row r="140" spans="1:27" ht="14.4">
      <c r="A140" s="117"/>
      <c r="B140" s="117"/>
      <c r="C140" s="117"/>
      <c r="D140" s="117"/>
      <c r="E140" s="117"/>
      <c r="F140" s="117"/>
      <c r="G140" s="117"/>
      <c r="H140" s="117"/>
      <c r="I140" s="235"/>
      <c r="J140" s="235"/>
      <c r="K140" s="235"/>
      <c r="L140" s="117"/>
      <c r="M140" s="117"/>
      <c r="N140" s="117"/>
      <c r="O140" s="117"/>
      <c r="P140" s="117"/>
      <c r="Q140" s="117"/>
      <c r="R140" s="117"/>
      <c r="S140" s="117"/>
      <c r="T140" s="117"/>
      <c r="U140" s="117"/>
      <c r="V140" s="117"/>
      <c r="W140" s="117"/>
      <c r="X140" s="117"/>
      <c r="Y140" s="117"/>
      <c r="Z140" s="117"/>
      <c r="AA140" s="117"/>
    </row>
    <row r="141" spans="1:27" ht="14.4">
      <c r="A141" s="117"/>
      <c r="B141" s="117"/>
      <c r="C141" s="117"/>
      <c r="D141" s="117"/>
      <c r="E141" s="117"/>
      <c r="F141" s="117"/>
      <c r="G141" s="117"/>
      <c r="H141" s="117"/>
      <c r="I141" s="235"/>
      <c r="J141" s="235"/>
      <c r="K141" s="235"/>
      <c r="L141" s="117"/>
      <c r="M141" s="117"/>
      <c r="N141" s="117"/>
      <c r="O141" s="117"/>
      <c r="P141" s="117"/>
      <c r="Q141" s="117"/>
      <c r="R141" s="117"/>
      <c r="S141" s="117"/>
      <c r="T141" s="117"/>
      <c r="U141" s="117"/>
      <c r="V141" s="117"/>
      <c r="W141" s="117"/>
      <c r="X141" s="117"/>
      <c r="Y141" s="117"/>
      <c r="Z141" s="117"/>
      <c r="AA141" s="117"/>
    </row>
    <row r="142" spans="1:27" ht="14.4">
      <c r="A142" s="117"/>
      <c r="B142" s="117"/>
      <c r="C142" s="117"/>
      <c r="D142" s="117"/>
      <c r="E142" s="117"/>
      <c r="F142" s="117"/>
      <c r="G142" s="117"/>
      <c r="H142" s="117"/>
      <c r="I142" s="235"/>
      <c r="J142" s="235"/>
      <c r="K142" s="235"/>
      <c r="L142" s="117"/>
      <c r="M142" s="117"/>
      <c r="N142" s="117"/>
      <c r="O142" s="117"/>
      <c r="P142" s="117"/>
      <c r="Q142" s="117"/>
      <c r="R142" s="117"/>
      <c r="S142" s="117"/>
      <c r="T142" s="117"/>
      <c r="U142" s="117"/>
      <c r="V142" s="117"/>
      <c r="W142" s="117"/>
      <c r="X142" s="117"/>
      <c r="Y142" s="117"/>
      <c r="Z142" s="117"/>
      <c r="AA142" s="117"/>
    </row>
    <row r="143" spans="1:27" ht="14.4">
      <c r="A143" s="117"/>
      <c r="B143" s="117"/>
      <c r="C143" s="117"/>
      <c r="D143" s="117"/>
      <c r="E143" s="117"/>
      <c r="F143" s="117"/>
      <c r="G143" s="117"/>
      <c r="H143" s="117"/>
      <c r="I143" s="235"/>
      <c r="J143" s="235"/>
      <c r="K143" s="235"/>
      <c r="L143" s="117"/>
      <c r="M143" s="117"/>
      <c r="N143" s="117"/>
      <c r="O143" s="117"/>
      <c r="P143" s="117"/>
      <c r="Q143" s="117"/>
      <c r="R143" s="117"/>
      <c r="S143" s="117"/>
      <c r="T143" s="117"/>
      <c r="U143" s="117"/>
      <c r="V143" s="117"/>
      <c r="W143" s="117"/>
      <c r="X143" s="117"/>
      <c r="Y143" s="117"/>
      <c r="Z143" s="117"/>
      <c r="AA143" s="117"/>
    </row>
    <row r="144" spans="1:27" ht="14.4">
      <c r="A144" s="117"/>
      <c r="B144" s="117"/>
      <c r="C144" s="117"/>
      <c r="D144" s="117"/>
      <c r="E144" s="117"/>
      <c r="F144" s="117"/>
      <c r="G144" s="117"/>
      <c r="H144" s="117"/>
      <c r="I144" s="235"/>
      <c r="J144" s="235"/>
      <c r="K144" s="235"/>
      <c r="L144" s="117"/>
      <c r="M144" s="117"/>
      <c r="N144" s="117"/>
      <c r="O144" s="117"/>
      <c r="P144" s="117"/>
      <c r="Q144" s="117"/>
      <c r="R144" s="117"/>
      <c r="S144" s="117"/>
      <c r="T144" s="117"/>
      <c r="U144" s="117"/>
      <c r="V144" s="117"/>
      <c r="W144" s="117"/>
      <c r="X144" s="117"/>
      <c r="Y144" s="117"/>
      <c r="Z144" s="117"/>
      <c r="AA144" s="117"/>
    </row>
    <row r="145" spans="1:27" ht="14.4">
      <c r="A145" s="117"/>
      <c r="B145" s="117"/>
      <c r="C145" s="117"/>
      <c r="D145" s="117"/>
      <c r="E145" s="117"/>
      <c r="F145" s="117"/>
      <c r="G145" s="117"/>
      <c r="H145" s="117"/>
      <c r="I145" s="235"/>
      <c r="J145" s="235"/>
      <c r="K145" s="235"/>
      <c r="L145" s="117"/>
      <c r="M145" s="117"/>
      <c r="N145" s="117"/>
      <c r="O145" s="117"/>
      <c r="P145" s="117"/>
      <c r="Q145" s="117"/>
      <c r="R145" s="117"/>
      <c r="S145" s="117"/>
      <c r="T145" s="117"/>
      <c r="U145" s="117"/>
      <c r="V145" s="117"/>
      <c r="W145" s="117"/>
      <c r="X145" s="117"/>
      <c r="Y145" s="117"/>
      <c r="Z145" s="117"/>
      <c r="AA145" s="117"/>
    </row>
    <row r="146" spans="1:27" ht="14.4">
      <c r="A146" s="117"/>
      <c r="B146" s="117"/>
      <c r="C146" s="117"/>
      <c r="D146" s="117"/>
      <c r="E146" s="117"/>
      <c r="F146" s="117"/>
      <c r="G146" s="117"/>
      <c r="H146" s="117"/>
      <c r="I146" s="235"/>
      <c r="J146" s="235"/>
      <c r="K146" s="235"/>
      <c r="L146" s="117"/>
      <c r="M146" s="117"/>
      <c r="N146" s="117"/>
      <c r="O146" s="117"/>
      <c r="P146" s="117"/>
      <c r="Q146" s="117"/>
      <c r="R146" s="117"/>
      <c r="S146" s="117"/>
      <c r="T146" s="117"/>
      <c r="U146" s="117"/>
      <c r="V146" s="117"/>
      <c r="W146" s="117"/>
      <c r="X146" s="117"/>
      <c r="Y146" s="117"/>
      <c r="Z146" s="117"/>
      <c r="AA146" s="117"/>
    </row>
    <row r="147" spans="1:27" ht="14.4">
      <c r="A147" s="117"/>
      <c r="B147" s="117"/>
      <c r="C147" s="117"/>
      <c r="D147" s="117"/>
      <c r="E147" s="117"/>
      <c r="F147" s="117"/>
      <c r="G147" s="117"/>
      <c r="H147" s="117"/>
      <c r="I147" s="235"/>
      <c r="J147" s="235"/>
      <c r="K147" s="235"/>
      <c r="L147" s="117"/>
      <c r="M147" s="117"/>
      <c r="N147" s="117"/>
      <c r="O147" s="117"/>
      <c r="P147" s="117"/>
      <c r="Q147" s="117"/>
      <c r="R147" s="117"/>
      <c r="S147" s="117"/>
      <c r="T147" s="117"/>
      <c r="U147" s="117"/>
      <c r="V147" s="117"/>
      <c r="W147" s="117"/>
      <c r="X147" s="117"/>
      <c r="Y147" s="117"/>
      <c r="Z147" s="117"/>
      <c r="AA147" s="117"/>
    </row>
    <row r="148" spans="1:27" ht="14.4">
      <c r="A148" s="117"/>
      <c r="B148" s="117"/>
      <c r="C148" s="117"/>
      <c r="D148" s="117"/>
      <c r="E148" s="117"/>
      <c r="F148" s="117"/>
      <c r="G148" s="117"/>
      <c r="H148" s="117"/>
      <c r="I148" s="235"/>
      <c r="J148" s="235"/>
      <c r="K148" s="235"/>
      <c r="L148" s="117"/>
      <c r="M148" s="117"/>
      <c r="N148" s="117"/>
      <c r="O148" s="117"/>
      <c r="P148" s="117"/>
      <c r="Q148" s="117"/>
      <c r="R148" s="117"/>
      <c r="S148" s="117"/>
      <c r="T148" s="117"/>
      <c r="U148" s="117"/>
      <c r="V148" s="117"/>
      <c r="W148" s="117"/>
      <c r="X148" s="117"/>
      <c r="Y148" s="117"/>
      <c r="Z148" s="117"/>
      <c r="AA148" s="117"/>
    </row>
    <row r="149" spans="1:27" ht="14.4">
      <c r="A149" s="117"/>
      <c r="B149" s="117"/>
      <c r="C149" s="117"/>
      <c r="D149" s="117"/>
      <c r="E149" s="117"/>
      <c r="F149" s="117"/>
      <c r="G149" s="117"/>
      <c r="H149" s="117"/>
      <c r="I149" s="235"/>
      <c r="J149" s="235"/>
      <c r="K149" s="235"/>
      <c r="L149" s="117"/>
      <c r="M149" s="117"/>
      <c r="N149" s="117"/>
      <c r="O149" s="117"/>
      <c r="P149" s="117"/>
      <c r="Q149" s="117"/>
      <c r="R149" s="117"/>
      <c r="S149" s="117"/>
      <c r="T149" s="117"/>
      <c r="U149" s="117"/>
      <c r="V149" s="117"/>
      <c r="W149" s="117"/>
      <c r="X149" s="117"/>
      <c r="Y149" s="117"/>
      <c r="Z149" s="117"/>
      <c r="AA149" s="117"/>
    </row>
    <row r="150" spans="1:27" ht="14.4">
      <c r="A150" s="117"/>
      <c r="B150" s="117"/>
      <c r="C150" s="117"/>
      <c r="D150" s="117"/>
      <c r="E150" s="117"/>
      <c r="F150" s="117"/>
      <c r="G150" s="117"/>
      <c r="H150" s="117"/>
      <c r="I150" s="235"/>
      <c r="J150" s="235"/>
      <c r="K150" s="235"/>
      <c r="L150" s="117"/>
      <c r="M150" s="117"/>
      <c r="N150" s="117"/>
      <c r="O150" s="117"/>
      <c r="P150" s="117"/>
      <c r="Q150" s="117"/>
      <c r="R150" s="117"/>
      <c r="S150" s="117"/>
      <c r="T150" s="117"/>
      <c r="U150" s="117"/>
      <c r="V150" s="117"/>
      <c r="W150" s="117"/>
      <c r="X150" s="117"/>
      <c r="Y150" s="117"/>
      <c r="Z150" s="117"/>
      <c r="AA150" s="117"/>
    </row>
    <row r="151" spans="1:27" ht="14.4">
      <c r="A151" s="117"/>
      <c r="B151" s="117"/>
      <c r="C151" s="117"/>
      <c r="D151" s="117"/>
      <c r="E151" s="117"/>
      <c r="F151" s="117"/>
      <c r="G151" s="117"/>
      <c r="H151" s="117"/>
      <c r="I151" s="235"/>
      <c r="J151" s="235"/>
      <c r="K151" s="235"/>
      <c r="L151" s="117"/>
      <c r="M151" s="117"/>
      <c r="N151" s="117"/>
      <c r="O151" s="117"/>
      <c r="P151" s="117"/>
      <c r="Q151" s="117"/>
      <c r="R151" s="117"/>
      <c r="S151" s="117"/>
      <c r="T151" s="117"/>
      <c r="U151" s="117"/>
      <c r="V151" s="117"/>
      <c r="W151" s="117"/>
      <c r="X151" s="117"/>
      <c r="Y151" s="117"/>
      <c r="Z151" s="117"/>
      <c r="AA151" s="117"/>
    </row>
    <row r="152" spans="1:27" ht="14.4">
      <c r="A152" s="117"/>
      <c r="B152" s="117"/>
      <c r="C152" s="117"/>
      <c r="D152" s="117"/>
      <c r="E152" s="117"/>
      <c r="F152" s="117"/>
      <c r="G152" s="117"/>
      <c r="H152" s="117"/>
      <c r="I152" s="235"/>
      <c r="J152" s="235"/>
      <c r="K152" s="235"/>
      <c r="L152" s="117"/>
      <c r="M152" s="117"/>
      <c r="N152" s="117"/>
      <c r="O152" s="117"/>
      <c r="P152" s="117"/>
      <c r="Q152" s="117"/>
      <c r="R152" s="117"/>
      <c r="S152" s="117"/>
      <c r="T152" s="117"/>
      <c r="U152" s="117"/>
      <c r="V152" s="117"/>
      <c r="W152" s="117"/>
      <c r="X152" s="117"/>
      <c r="Y152" s="117"/>
      <c r="Z152" s="117"/>
      <c r="AA152" s="117"/>
    </row>
    <row r="153" spans="1:27" ht="14.4">
      <c r="A153" s="117"/>
      <c r="B153" s="117"/>
      <c r="C153" s="117"/>
      <c r="D153" s="117"/>
      <c r="E153" s="117"/>
      <c r="F153" s="117"/>
      <c r="G153" s="117"/>
      <c r="H153" s="117"/>
      <c r="I153" s="235"/>
      <c r="J153" s="235"/>
      <c r="K153" s="235"/>
      <c r="L153" s="117"/>
      <c r="M153" s="117"/>
      <c r="N153" s="117"/>
      <c r="O153" s="117"/>
      <c r="P153" s="117"/>
      <c r="Q153" s="117"/>
      <c r="R153" s="117"/>
      <c r="S153" s="117"/>
      <c r="T153" s="117"/>
      <c r="U153" s="117"/>
      <c r="V153" s="117"/>
      <c r="W153" s="117"/>
      <c r="X153" s="117"/>
      <c r="Y153" s="117"/>
      <c r="Z153" s="117"/>
      <c r="AA153" s="117"/>
    </row>
    <row r="154" spans="1:27" ht="14.4">
      <c r="A154" s="117"/>
      <c r="B154" s="117"/>
      <c r="C154" s="117"/>
      <c r="D154" s="117"/>
      <c r="E154" s="117"/>
      <c r="F154" s="117"/>
      <c r="G154" s="117"/>
      <c r="H154" s="117"/>
      <c r="I154" s="235"/>
      <c r="J154" s="235"/>
      <c r="K154" s="235"/>
      <c r="L154" s="117"/>
      <c r="M154" s="117"/>
      <c r="N154" s="117"/>
      <c r="O154" s="117"/>
      <c r="P154" s="117"/>
      <c r="Q154" s="117"/>
      <c r="R154" s="117"/>
      <c r="S154" s="117"/>
      <c r="T154" s="117"/>
      <c r="U154" s="117"/>
      <c r="V154" s="117"/>
      <c r="W154" s="117"/>
      <c r="X154" s="117"/>
      <c r="Y154" s="117"/>
      <c r="Z154" s="117"/>
      <c r="AA154" s="117"/>
    </row>
    <row r="155" spans="1:27" ht="14.4">
      <c r="A155" s="117"/>
      <c r="B155" s="117"/>
      <c r="C155" s="117"/>
      <c r="D155" s="117"/>
      <c r="E155" s="117"/>
      <c r="F155" s="117"/>
      <c r="G155" s="117"/>
      <c r="H155" s="117"/>
      <c r="I155" s="235"/>
      <c r="J155" s="235"/>
      <c r="K155" s="235"/>
      <c r="L155" s="117"/>
      <c r="M155" s="117"/>
      <c r="N155" s="117"/>
      <c r="O155" s="117"/>
      <c r="P155" s="117"/>
      <c r="Q155" s="117"/>
      <c r="R155" s="117"/>
      <c r="S155" s="117"/>
      <c r="T155" s="117"/>
      <c r="U155" s="117"/>
      <c r="V155" s="117"/>
      <c r="W155" s="117"/>
      <c r="X155" s="117"/>
      <c r="Y155" s="117"/>
      <c r="Z155" s="117"/>
      <c r="AA155" s="117"/>
    </row>
    <row r="156" spans="1:27" ht="14.4">
      <c r="A156" s="117"/>
      <c r="B156" s="117"/>
      <c r="C156" s="117"/>
      <c r="D156" s="117"/>
      <c r="E156" s="117"/>
      <c r="F156" s="117"/>
      <c r="G156" s="117"/>
      <c r="H156" s="117"/>
      <c r="I156" s="235"/>
      <c r="J156" s="235"/>
      <c r="K156" s="235"/>
      <c r="L156" s="117"/>
      <c r="M156" s="117"/>
      <c r="N156" s="117"/>
      <c r="O156" s="117"/>
      <c r="P156" s="117"/>
      <c r="Q156" s="117"/>
      <c r="R156" s="117"/>
      <c r="S156" s="117"/>
      <c r="T156" s="117"/>
      <c r="U156" s="117"/>
      <c r="V156" s="117"/>
      <c r="W156" s="117"/>
      <c r="X156" s="117"/>
      <c r="Y156" s="117"/>
      <c r="Z156" s="117"/>
      <c r="AA156" s="117"/>
    </row>
    <row r="157" spans="1:27" ht="14.4">
      <c r="A157" s="117"/>
      <c r="B157" s="117"/>
      <c r="C157" s="117"/>
      <c r="D157" s="117"/>
      <c r="E157" s="117"/>
      <c r="F157" s="117"/>
      <c r="G157" s="117"/>
      <c r="H157" s="117"/>
      <c r="I157" s="235"/>
      <c r="J157" s="235"/>
      <c r="K157" s="235"/>
      <c r="L157" s="117"/>
      <c r="M157" s="117"/>
      <c r="N157" s="117"/>
      <c r="O157" s="117"/>
      <c r="P157" s="117"/>
      <c r="Q157" s="117"/>
      <c r="R157" s="117"/>
      <c r="S157" s="117"/>
      <c r="T157" s="117"/>
      <c r="U157" s="117"/>
      <c r="V157" s="117"/>
      <c r="W157" s="117"/>
      <c r="X157" s="117"/>
      <c r="Y157" s="117"/>
      <c r="Z157" s="117"/>
      <c r="AA157" s="117"/>
    </row>
    <row r="158" spans="1:27" ht="14.4">
      <c r="A158" s="117"/>
      <c r="B158" s="117"/>
      <c r="C158" s="117"/>
      <c r="D158" s="117"/>
      <c r="E158" s="117"/>
      <c r="F158" s="117"/>
      <c r="G158" s="117"/>
      <c r="H158" s="117"/>
      <c r="I158" s="235"/>
      <c r="J158" s="235"/>
      <c r="K158" s="235"/>
      <c r="L158" s="117"/>
      <c r="M158" s="117"/>
      <c r="N158" s="117"/>
      <c r="O158" s="117"/>
      <c r="P158" s="117"/>
      <c r="Q158" s="117"/>
      <c r="R158" s="117"/>
      <c r="S158" s="117"/>
      <c r="T158" s="117"/>
      <c r="U158" s="117"/>
      <c r="V158" s="117"/>
      <c r="W158" s="117"/>
      <c r="X158" s="117"/>
      <c r="Y158" s="117"/>
      <c r="Z158" s="117"/>
      <c r="AA158" s="117"/>
    </row>
    <row r="159" spans="1:27" ht="14.4">
      <c r="A159" s="117"/>
      <c r="B159" s="117"/>
      <c r="C159" s="117"/>
      <c r="D159" s="117"/>
      <c r="E159" s="117"/>
      <c r="F159" s="117"/>
      <c r="G159" s="117"/>
      <c r="H159" s="117"/>
      <c r="I159" s="235"/>
      <c r="J159" s="235"/>
      <c r="K159" s="235"/>
      <c r="L159" s="117"/>
      <c r="M159" s="117"/>
      <c r="N159" s="117"/>
      <c r="O159" s="117"/>
      <c r="P159" s="117"/>
      <c r="Q159" s="117"/>
      <c r="R159" s="117"/>
      <c r="S159" s="117"/>
      <c r="T159" s="117"/>
      <c r="U159" s="117"/>
      <c r="V159" s="117"/>
      <c r="W159" s="117"/>
      <c r="X159" s="117"/>
      <c r="Y159" s="117"/>
      <c r="Z159" s="117"/>
      <c r="AA159" s="117"/>
    </row>
    <row r="160" spans="1:27" ht="14.4">
      <c r="A160" s="117"/>
      <c r="B160" s="117"/>
      <c r="C160" s="117"/>
      <c r="D160" s="117"/>
      <c r="E160" s="117"/>
      <c r="F160" s="117"/>
      <c r="G160" s="117"/>
      <c r="H160" s="117"/>
      <c r="I160" s="235"/>
      <c r="J160" s="235"/>
      <c r="K160" s="235"/>
      <c r="L160" s="117"/>
      <c r="M160" s="117"/>
      <c r="N160" s="117"/>
      <c r="O160" s="117"/>
      <c r="P160" s="117"/>
      <c r="Q160" s="117"/>
      <c r="R160" s="117"/>
      <c r="S160" s="117"/>
      <c r="T160" s="117"/>
      <c r="U160" s="117"/>
      <c r="V160" s="117"/>
      <c r="W160" s="117"/>
      <c r="X160" s="117"/>
      <c r="Y160" s="117"/>
      <c r="Z160" s="117"/>
      <c r="AA160" s="117"/>
    </row>
    <row r="161" spans="1:27" ht="14.4">
      <c r="A161" s="117"/>
      <c r="B161" s="117"/>
      <c r="C161" s="117"/>
      <c r="D161" s="117"/>
      <c r="E161" s="117"/>
      <c r="F161" s="117"/>
      <c r="G161" s="117"/>
      <c r="H161" s="117"/>
      <c r="I161" s="235"/>
      <c r="J161" s="235"/>
      <c r="K161" s="235"/>
      <c r="L161" s="117"/>
      <c r="M161" s="117"/>
      <c r="N161" s="117"/>
      <c r="O161" s="117"/>
      <c r="P161" s="117"/>
      <c r="Q161" s="117"/>
      <c r="R161" s="117"/>
      <c r="S161" s="117"/>
      <c r="T161" s="117"/>
      <c r="U161" s="117"/>
      <c r="V161" s="117"/>
      <c r="W161" s="117"/>
      <c r="X161" s="117"/>
      <c r="Y161" s="117"/>
      <c r="Z161" s="117"/>
      <c r="AA161" s="117"/>
    </row>
    <row r="162" spans="1:27" ht="14.4">
      <c r="A162" s="117"/>
      <c r="B162" s="117"/>
      <c r="C162" s="117"/>
      <c r="D162" s="117"/>
      <c r="E162" s="117"/>
      <c r="F162" s="117"/>
      <c r="G162" s="117"/>
      <c r="H162" s="117"/>
      <c r="I162" s="235"/>
      <c r="J162" s="235"/>
      <c r="K162" s="235"/>
      <c r="L162" s="117"/>
      <c r="M162" s="117"/>
      <c r="N162" s="117"/>
      <c r="O162" s="117"/>
      <c r="P162" s="117"/>
      <c r="Q162" s="117"/>
      <c r="R162" s="117"/>
      <c r="S162" s="117"/>
      <c r="T162" s="117"/>
      <c r="U162" s="117"/>
      <c r="V162" s="117"/>
      <c r="W162" s="117"/>
      <c r="X162" s="117"/>
      <c r="Y162" s="117"/>
      <c r="Z162" s="117"/>
      <c r="AA162" s="117"/>
    </row>
    <row r="163" spans="1:27" ht="14.4">
      <c r="A163" s="117"/>
      <c r="B163" s="117"/>
      <c r="C163" s="117"/>
      <c r="D163" s="117"/>
      <c r="E163" s="117"/>
      <c r="F163" s="117"/>
      <c r="G163" s="117"/>
      <c r="H163" s="117"/>
      <c r="I163" s="235"/>
      <c r="J163" s="235"/>
      <c r="K163" s="235"/>
      <c r="L163" s="117"/>
      <c r="M163" s="117"/>
      <c r="N163" s="117"/>
      <c r="O163" s="117"/>
      <c r="P163" s="117"/>
      <c r="Q163" s="117"/>
      <c r="R163" s="117"/>
      <c r="S163" s="117"/>
      <c r="T163" s="117"/>
      <c r="U163" s="117"/>
      <c r="V163" s="117"/>
      <c r="W163" s="117"/>
      <c r="X163" s="117"/>
      <c r="Y163" s="117"/>
      <c r="Z163" s="117"/>
      <c r="AA163" s="117"/>
    </row>
    <row r="164" spans="1:27" ht="14.4">
      <c r="A164" s="117"/>
      <c r="B164" s="117"/>
      <c r="C164" s="117"/>
      <c r="D164" s="117"/>
      <c r="E164" s="117"/>
      <c r="F164" s="117"/>
      <c r="G164" s="117"/>
      <c r="H164" s="117"/>
      <c r="I164" s="235"/>
      <c r="J164" s="235"/>
      <c r="K164" s="235"/>
      <c r="L164" s="117"/>
      <c r="M164" s="117"/>
      <c r="N164" s="117"/>
      <c r="O164" s="117"/>
      <c r="P164" s="117"/>
      <c r="Q164" s="117"/>
      <c r="R164" s="117"/>
      <c r="S164" s="117"/>
      <c r="T164" s="117"/>
      <c r="U164" s="117"/>
      <c r="V164" s="117"/>
      <c r="W164" s="117"/>
      <c r="X164" s="117"/>
      <c r="Y164" s="117"/>
      <c r="Z164" s="117"/>
      <c r="AA164" s="117"/>
    </row>
    <row r="165" spans="1:27" ht="14.4">
      <c r="A165" s="117"/>
      <c r="B165" s="117"/>
      <c r="C165" s="117"/>
      <c r="D165" s="117"/>
      <c r="E165" s="117"/>
      <c r="F165" s="117"/>
      <c r="G165" s="117"/>
      <c r="H165" s="117"/>
      <c r="I165" s="235"/>
      <c r="J165" s="235"/>
      <c r="K165" s="235"/>
      <c r="L165" s="117"/>
      <c r="M165" s="117"/>
      <c r="N165" s="117"/>
      <c r="O165" s="117"/>
      <c r="P165" s="117"/>
      <c r="Q165" s="117"/>
      <c r="R165" s="117"/>
      <c r="S165" s="117"/>
      <c r="T165" s="117"/>
      <c r="U165" s="117"/>
      <c r="V165" s="117"/>
      <c r="W165" s="117"/>
      <c r="X165" s="117"/>
      <c r="Y165" s="117"/>
      <c r="Z165" s="117"/>
      <c r="AA165" s="117"/>
    </row>
    <row r="166" spans="1:27" ht="14.4">
      <c r="A166" s="117"/>
      <c r="B166" s="117"/>
      <c r="C166" s="117"/>
      <c r="D166" s="117"/>
      <c r="E166" s="117"/>
      <c r="F166" s="117"/>
      <c r="G166" s="117"/>
      <c r="H166" s="117"/>
      <c r="I166" s="235"/>
      <c r="J166" s="235"/>
      <c r="K166" s="235"/>
      <c r="L166" s="117"/>
      <c r="M166" s="117"/>
      <c r="N166" s="117"/>
      <c r="O166" s="117"/>
      <c r="P166" s="117"/>
      <c r="Q166" s="117"/>
      <c r="R166" s="117"/>
      <c r="S166" s="117"/>
      <c r="T166" s="117"/>
      <c r="U166" s="117"/>
      <c r="V166" s="117"/>
      <c r="W166" s="117"/>
      <c r="X166" s="117"/>
      <c r="Y166" s="117"/>
      <c r="Z166" s="117"/>
      <c r="AA166" s="117"/>
    </row>
    <row r="167" spans="1:27" ht="14.4">
      <c r="A167" s="117"/>
      <c r="B167" s="117"/>
      <c r="C167" s="117"/>
      <c r="D167" s="117"/>
      <c r="E167" s="117"/>
      <c r="F167" s="117"/>
      <c r="G167" s="117"/>
      <c r="H167" s="117"/>
      <c r="I167" s="235"/>
      <c r="J167" s="235"/>
      <c r="K167" s="235"/>
      <c r="L167" s="117"/>
      <c r="M167" s="117"/>
      <c r="N167" s="117"/>
      <c r="O167" s="117"/>
      <c r="P167" s="117"/>
      <c r="Q167" s="117"/>
      <c r="R167" s="117"/>
      <c r="S167" s="117"/>
      <c r="T167" s="117"/>
      <c r="U167" s="117"/>
      <c r="V167" s="117"/>
      <c r="W167" s="117"/>
      <c r="X167" s="117"/>
      <c r="Y167" s="117"/>
      <c r="Z167" s="117"/>
      <c r="AA167" s="117"/>
    </row>
    <row r="168" spans="1:27" ht="14.4">
      <c r="A168" s="117"/>
      <c r="B168" s="117"/>
      <c r="C168" s="117"/>
      <c r="D168" s="117"/>
      <c r="E168" s="117"/>
      <c r="F168" s="117"/>
      <c r="G168" s="117"/>
      <c r="H168" s="117"/>
      <c r="I168" s="235"/>
      <c r="J168" s="235"/>
      <c r="K168" s="235"/>
      <c r="L168" s="117"/>
      <c r="M168" s="117"/>
      <c r="N168" s="117"/>
      <c r="O168" s="117"/>
      <c r="P168" s="117"/>
      <c r="Q168" s="117"/>
      <c r="R168" s="117"/>
      <c r="S168" s="117"/>
      <c r="T168" s="117"/>
      <c r="U168" s="117"/>
      <c r="V168" s="117"/>
      <c r="W168" s="117"/>
      <c r="X168" s="117"/>
      <c r="Y168" s="117"/>
      <c r="Z168" s="117"/>
      <c r="AA168" s="117"/>
    </row>
    <row r="169" spans="1:27" ht="14.4">
      <c r="A169" s="117"/>
      <c r="B169" s="117"/>
      <c r="C169" s="117"/>
      <c r="D169" s="117"/>
      <c r="E169" s="117"/>
      <c r="F169" s="117"/>
      <c r="G169" s="117"/>
      <c r="H169" s="117"/>
      <c r="I169" s="235"/>
      <c r="J169" s="235"/>
      <c r="K169" s="235"/>
      <c r="L169" s="117"/>
      <c r="M169" s="117"/>
      <c r="N169" s="117"/>
      <c r="O169" s="117"/>
      <c r="P169" s="117"/>
      <c r="Q169" s="117"/>
      <c r="R169" s="117"/>
      <c r="S169" s="117"/>
      <c r="T169" s="117"/>
      <c r="U169" s="117"/>
      <c r="V169" s="117"/>
      <c r="W169" s="117"/>
      <c r="X169" s="117"/>
      <c r="Y169" s="117"/>
      <c r="Z169" s="117"/>
      <c r="AA169" s="117"/>
    </row>
    <row r="170" spans="1:27" ht="14.4">
      <c r="A170" s="117"/>
      <c r="B170" s="117"/>
      <c r="C170" s="117"/>
      <c r="D170" s="117"/>
      <c r="E170" s="117"/>
      <c r="F170" s="117"/>
      <c r="G170" s="117"/>
      <c r="H170" s="117"/>
      <c r="I170" s="235"/>
      <c r="J170" s="235"/>
      <c r="K170" s="235"/>
      <c r="L170" s="117"/>
      <c r="M170" s="117"/>
      <c r="N170" s="117"/>
      <c r="O170" s="117"/>
      <c r="P170" s="117"/>
      <c r="Q170" s="117"/>
      <c r="R170" s="117"/>
      <c r="S170" s="117"/>
      <c r="T170" s="117"/>
      <c r="U170" s="117"/>
      <c r="V170" s="117"/>
      <c r="W170" s="117"/>
      <c r="X170" s="117"/>
      <c r="Y170" s="117"/>
      <c r="Z170" s="117"/>
      <c r="AA170" s="117"/>
    </row>
    <row r="171" spans="1:27" ht="14.4">
      <c r="A171" s="117"/>
      <c r="B171" s="117"/>
      <c r="C171" s="117"/>
      <c r="D171" s="117"/>
      <c r="E171" s="117"/>
      <c r="F171" s="117"/>
      <c r="G171" s="117"/>
      <c r="H171" s="117"/>
      <c r="I171" s="235"/>
      <c r="J171" s="235"/>
      <c r="K171" s="235"/>
      <c r="L171" s="117"/>
      <c r="M171" s="117"/>
      <c r="N171" s="117"/>
      <c r="O171" s="117"/>
      <c r="P171" s="117"/>
      <c r="Q171" s="117"/>
      <c r="R171" s="117"/>
      <c r="S171" s="117"/>
      <c r="T171" s="117"/>
      <c r="U171" s="117"/>
      <c r="V171" s="117"/>
      <c r="W171" s="117"/>
      <c r="X171" s="117"/>
      <c r="Y171" s="117"/>
      <c r="Z171" s="117"/>
      <c r="AA171" s="117"/>
    </row>
    <row r="172" spans="1:27" ht="14.4">
      <c r="A172" s="117"/>
      <c r="B172" s="117"/>
      <c r="C172" s="117"/>
      <c r="D172" s="117"/>
      <c r="E172" s="117"/>
      <c r="F172" s="117"/>
      <c r="G172" s="117"/>
      <c r="H172" s="117"/>
      <c r="I172" s="235"/>
      <c r="J172" s="235"/>
      <c r="K172" s="235"/>
      <c r="L172" s="117"/>
      <c r="M172" s="117"/>
      <c r="N172" s="117"/>
      <c r="O172" s="117"/>
      <c r="P172" s="117"/>
      <c r="Q172" s="117"/>
      <c r="R172" s="117"/>
      <c r="S172" s="117"/>
      <c r="T172" s="117"/>
      <c r="U172" s="117"/>
      <c r="V172" s="117"/>
      <c r="W172" s="117"/>
      <c r="X172" s="117"/>
      <c r="Y172" s="117"/>
      <c r="Z172" s="117"/>
      <c r="AA172" s="117"/>
    </row>
    <row r="173" spans="1:27" ht="14.4">
      <c r="A173" s="117"/>
      <c r="B173" s="117"/>
      <c r="C173" s="117"/>
      <c r="D173" s="117"/>
      <c r="E173" s="117"/>
      <c r="F173" s="117"/>
      <c r="G173" s="117"/>
      <c r="H173" s="117"/>
      <c r="I173" s="235"/>
      <c r="J173" s="235"/>
      <c r="K173" s="235"/>
      <c r="L173" s="117"/>
      <c r="M173" s="117"/>
      <c r="N173" s="117"/>
      <c r="O173" s="117"/>
      <c r="P173" s="117"/>
      <c r="Q173" s="117"/>
      <c r="R173" s="117"/>
      <c r="S173" s="117"/>
      <c r="T173" s="117"/>
      <c r="U173" s="117"/>
      <c r="V173" s="117"/>
      <c r="W173" s="117"/>
      <c r="X173" s="117"/>
      <c r="Y173" s="117"/>
      <c r="Z173" s="117"/>
      <c r="AA173" s="117"/>
    </row>
    <row r="174" spans="1:27" ht="14.4">
      <c r="A174" s="117"/>
      <c r="B174" s="117"/>
      <c r="C174" s="117"/>
      <c r="D174" s="117"/>
      <c r="E174" s="117"/>
      <c r="F174" s="117"/>
      <c r="G174" s="117"/>
      <c r="H174" s="117"/>
      <c r="I174" s="235"/>
      <c r="J174" s="235"/>
      <c r="K174" s="235"/>
      <c r="L174" s="117"/>
      <c r="M174" s="117"/>
      <c r="N174" s="117"/>
      <c r="O174" s="117"/>
      <c r="P174" s="117"/>
      <c r="Q174" s="117"/>
      <c r="R174" s="117"/>
      <c r="S174" s="117"/>
      <c r="T174" s="117"/>
      <c r="U174" s="117"/>
      <c r="V174" s="117"/>
      <c r="W174" s="117"/>
      <c r="X174" s="117"/>
      <c r="Y174" s="117"/>
      <c r="Z174" s="117"/>
      <c r="AA174" s="117"/>
    </row>
    <row r="175" spans="1:27" ht="14.4">
      <c r="A175" s="117"/>
      <c r="B175" s="117"/>
      <c r="C175" s="117"/>
      <c r="D175" s="117"/>
      <c r="E175" s="117"/>
      <c r="F175" s="117"/>
      <c r="G175" s="117"/>
      <c r="H175" s="117"/>
      <c r="I175" s="235"/>
      <c r="J175" s="235"/>
      <c r="K175" s="235"/>
      <c r="L175" s="117"/>
      <c r="M175" s="117"/>
      <c r="N175" s="117"/>
      <c r="O175" s="117"/>
      <c r="P175" s="117"/>
      <c r="Q175" s="117"/>
      <c r="R175" s="117"/>
      <c r="S175" s="117"/>
      <c r="T175" s="117"/>
      <c r="U175" s="117"/>
      <c r="V175" s="117"/>
      <c r="W175" s="117"/>
      <c r="X175" s="117"/>
      <c r="Y175" s="117"/>
      <c r="Z175" s="117"/>
      <c r="AA175" s="117"/>
    </row>
    <row r="176" spans="1:27" ht="14.4">
      <c r="A176" s="117"/>
      <c r="B176" s="117"/>
      <c r="C176" s="117"/>
      <c r="D176" s="117"/>
      <c r="E176" s="117"/>
      <c r="F176" s="117"/>
      <c r="G176" s="117"/>
      <c r="H176" s="117"/>
      <c r="I176" s="235"/>
      <c r="J176" s="235"/>
      <c r="K176" s="235"/>
      <c r="L176" s="117"/>
      <c r="M176" s="117"/>
      <c r="N176" s="117"/>
      <c r="O176" s="117"/>
      <c r="P176" s="117"/>
      <c r="Q176" s="117"/>
      <c r="R176" s="117"/>
      <c r="S176" s="117"/>
      <c r="T176" s="117"/>
      <c r="U176" s="117"/>
      <c r="V176" s="117"/>
      <c r="W176" s="117"/>
      <c r="X176" s="117"/>
      <c r="Y176" s="117"/>
      <c r="Z176" s="117"/>
      <c r="AA176" s="117"/>
    </row>
    <row r="177" spans="1:27" ht="14.4">
      <c r="A177" s="117"/>
      <c r="B177" s="117"/>
      <c r="C177" s="117"/>
      <c r="D177" s="117"/>
      <c r="E177" s="117"/>
      <c r="F177" s="117"/>
      <c r="G177" s="117"/>
      <c r="H177" s="117"/>
      <c r="I177" s="235"/>
      <c r="J177" s="235"/>
      <c r="K177" s="235"/>
      <c r="L177" s="117"/>
      <c r="M177" s="117"/>
      <c r="N177" s="117"/>
      <c r="O177" s="117"/>
      <c r="P177" s="117"/>
      <c r="Q177" s="117"/>
      <c r="R177" s="117"/>
      <c r="S177" s="117"/>
      <c r="T177" s="117"/>
      <c r="U177" s="117"/>
      <c r="V177" s="117"/>
      <c r="W177" s="117"/>
      <c r="X177" s="117"/>
      <c r="Y177" s="117"/>
      <c r="Z177" s="117"/>
      <c r="AA177" s="117"/>
    </row>
    <row r="178" spans="1:27" ht="14.4">
      <c r="A178" s="117"/>
      <c r="B178" s="117"/>
      <c r="C178" s="117"/>
      <c r="D178" s="117"/>
      <c r="E178" s="117"/>
      <c r="F178" s="117"/>
      <c r="G178" s="117"/>
      <c r="H178" s="117"/>
      <c r="I178" s="235"/>
      <c r="J178" s="235"/>
      <c r="K178" s="235"/>
      <c r="L178" s="117"/>
      <c r="M178" s="117"/>
      <c r="N178" s="117"/>
      <c r="O178" s="117"/>
      <c r="P178" s="117"/>
      <c r="Q178" s="117"/>
      <c r="R178" s="117"/>
      <c r="S178" s="117"/>
      <c r="T178" s="117"/>
      <c r="U178" s="117"/>
      <c r="V178" s="117"/>
      <c r="W178" s="117"/>
      <c r="X178" s="117"/>
      <c r="Y178" s="117"/>
      <c r="Z178" s="117"/>
      <c r="AA178" s="117"/>
    </row>
    <row r="179" spans="1:27" ht="14.4">
      <c r="A179" s="117"/>
      <c r="B179" s="117"/>
      <c r="C179" s="117"/>
      <c r="D179" s="117"/>
      <c r="E179" s="117"/>
      <c r="F179" s="117"/>
      <c r="G179" s="117"/>
      <c r="H179" s="117"/>
      <c r="I179" s="235"/>
      <c r="J179" s="235"/>
      <c r="K179" s="235"/>
      <c r="L179" s="117"/>
      <c r="M179" s="117"/>
      <c r="N179" s="117"/>
      <c r="O179" s="117"/>
      <c r="P179" s="117"/>
      <c r="Q179" s="117"/>
      <c r="R179" s="117"/>
      <c r="S179" s="117"/>
      <c r="T179" s="117"/>
      <c r="U179" s="117"/>
      <c r="V179" s="117"/>
      <c r="W179" s="117"/>
      <c r="X179" s="117"/>
      <c r="Y179" s="117"/>
      <c r="Z179" s="117"/>
      <c r="AA179" s="117"/>
    </row>
    <row r="180" spans="1:27" ht="14.4">
      <c r="A180" s="117"/>
      <c r="B180" s="117"/>
      <c r="C180" s="117"/>
      <c r="D180" s="117"/>
      <c r="E180" s="117"/>
      <c r="F180" s="117"/>
      <c r="G180" s="117"/>
      <c r="H180" s="117"/>
      <c r="I180" s="235"/>
      <c r="J180" s="235"/>
      <c r="K180" s="235"/>
      <c r="L180" s="117"/>
      <c r="M180" s="117"/>
      <c r="N180" s="117"/>
      <c r="O180" s="117"/>
      <c r="P180" s="117"/>
      <c r="Q180" s="117"/>
      <c r="R180" s="117"/>
      <c r="S180" s="117"/>
      <c r="T180" s="117"/>
      <c r="U180" s="117"/>
      <c r="V180" s="117"/>
      <c r="W180" s="117"/>
      <c r="X180" s="117"/>
      <c r="Y180" s="117"/>
      <c r="Z180" s="117"/>
      <c r="AA180" s="117"/>
    </row>
    <row r="181" spans="1:27" ht="14.4">
      <c r="A181" s="117"/>
      <c r="B181" s="117"/>
      <c r="C181" s="117"/>
      <c r="D181" s="117"/>
      <c r="E181" s="117"/>
      <c r="F181" s="117"/>
      <c r="G181" s="117"/>
      <c r="H181" s="117"/>
      <c r="I181" s="235"/>
      <c r="J181" s="235"/>
      <c r="K181" s="235"/>
      <c r="L181" s="117"/>
      <c r="M181" s="117"/>
      <c r="N181" s="117"/>
      <c r="O181" s="117"/>
      <c r="P181" s="117"/>
      <c r="Q181" s="117"/>
      <c r="R181" s="117"/>
      <c r="S181" s="117"/>
      <c r="T181" s="117"/>
      <c r="U181" s="117"/>
      <c r="V181" s="117"/>
      <c r="W181" s="117"/>
      <c r="X181" s="117"/>
      <c r="Y181" s="117"/>
      <c r="Z181" s="117"/>
      <c r="AA181" s="117"/>
    </row>
    <row r="182" spans="1:27" ht="14.4">
      <c r="A182" s="117"/>
      <c r="B182" s="117"/>
      <c r="C182" s="117"/>
      <c r="D182" s="117"/>
      <c r="E182" s="117"/>
      <c r="F182" s="117"/>
      <c r="G182" s="117"/>
      <c r="H182" s="117"/>
      <c r="I182" s="235"/>
      <c r="J182" s="235"/>
      <c r="K182" s="235"/>
      <c r="L182" s="117"/>
      <c r="M182" s="117"/>
      <c r="N182" s="117"/>
      <c r="O182" s="117"/>
      <c r="P182" s="117"/>
      <c r="Q182" s="117"/>
      <c r="R182" s="117"/>
      <c r="S182" s="117"/>
      <c r="T182" s="117"/>
      <c r="U182" s="117"/>
      <c r="V182" s="117"/>
      <c r="W182" s="117"/>
      <c r="X182" s="117"/>
      <c r="Y182" s="117"/>
      <c r="Z182" s="117"/>
      <c r="AA182" s="117"/>
    </row>
    <row r="183" spans="1:27" ht="14.4">
      <c r="A183" s="117"/>
      <c r="B183" s="117"/>
      <c r="C183" s="117"/>
      <c r="D183" s="117"/>
      <c r="E183" s="117"/>
      <c r="F183" s="117"/>
      <c r="G183" s="117"/>
      <c r="H183" s="117"/>
      <c r="I183" s="235"/>
      <c r="J183" s="235"/>
      <c r="K183" s="235"/>
      <c r="L183" s="117"/>
      <c r="M183" s="117"/>
      <c r="N183" s="117"/>
      <c r="O183" s="117"/>
      <c r="P183" s="117"/>
      <c r="Q183" s="117"/>
      <c r="R183" s="117"/>
      <c r="S183" s="117"/>
      <c r="T183" s="117"/>
      <c r="U183" s="117"/>
      <c r="V183" s="117"/>
      <c r="W183" s="117"/>
      <c r="X183" s="117"/>
      <c r="Y183" s="117"/>
      <c r="Z183" s="117"/>
      <c r="AA183" s="117"/>
    </row>
    <row r="184" spans="1:27" ht="14.4">
      <c r="A184" s="117"/>
      <c r="B184" s="117"/>
      <c r="C184" s="117"/>
      <c r="D184" s="117"/>
      <c r="E184" s="117"/>
      <c r="F184" s="117"/>
      <c r="G184" s="117"/>
      <c r="H184" s="117"/>
      <c r="I184" s="235"/>
      <c r="J184" s="235"/>
      <c r="K184" s="235"/>
      <c r="L184" s="117"/>
      <c r="M184" s="117"/>
      <c r="N184" s="117"/>
      <c r="O184" s="117"/>
      <c r="P184" s="117"/>
      <c r="Q184" s="117"/>
      <c r="R184" s="117"/>
      <c r="S184" s="117"/>
      <c r="T184" s="117"/>
      <c r="U184" s="117"/>
      <c r="V184" s="117"/>
      <c r="W184" s="117"/>
      <c r="X184" s="117"/>
      <c r="Y184" s="117"/>
      <c r="Z184" s="117"/>
      <c r="AA184" s="117"/>
    </row>
    <row r="185" spans="1:27" ht="14.4">
      <c r="A185" s="117"/>
      <c r="B185" s="117"/>
      <c r="C185" s="117"/>
      <c r="D185" s="117"/>
      <c r="E185" s="117"/>
      <c r="F185" s="117"/>
      <c r="G185" s="117"/>
      <c r="H185" s="117"/>
      <c r="I185" s="235"/>
      <c r="J185" s="235"/>
      <c r="K185" s="235"/>
      <c r="L185" s="117"/>
      <c r="M185" s="117"/>
      <c r="N185" s="117"/>
      <c r="O185" s="117"/>
      <c r="P185" s="117"/>
      <c r="Q185" s="117"/>
      <c r="R185" s="117"/>
      <c r="S185" s="117"/>
      <c r="T185" s="117"/>
      <c r="U185" s="117"/>
      <c r="V185" s="117"/>
      <c r="W185" s="117"/>
      <c r="X185" s="117"/>
      <c r="Y185" s="117"/>
      <c r="Z185" s="117"/>
      <c r="AA185" s="117"/>
    </row>
    <row r="186" spans="1:27" ht="14.4">
      <c r="A186" s="117"/>
      <c r="B186" s="117"/>
      <c r="C186" s="117"/>
      <c r="D186" s="117"/>
      <c r="E186" s="117"/>
      <c r="F186" s="117"/>
      <c r="G186" s="117"/>
      <c r="H186" s="117"/>
      <c r="I186" s="235"/>
      <c r="J186" s="235"/>
      <c r="K186" s="235"/>
      <c r="L186" s="117"/>
      <c r="M186" s="117"/>
      <c r="N186" s="117"/>
      <c r="O186" s="117"/>
      <c r="P186" s="117"/>
      <c r="Q186" s="117"/>
      <c r="R186" s="117"/>
      <c r="S186" s="117"/>
      <c r="T186" s="117"/>
      <c r="U186" s="117"/>
      <c r="V186" s="117"/>
      <c r="W186" s="117"/>
      <c r="X186" s="117"/>
      <c r="Y186" s="117"/>
      <c r="Z186" s="117"/>
      <c r="AA186" s="117"/>
    </row>
    <row r="187" spans="1:27" ht="14.4">
      <c r="A187" s="117"/>
      <c r="B187" s="117"/>
      <c r="C187" s="117"/>
      <c r="D187" s="117"/>
      <c r="E187" s="117"/>
      <c r="F187" s="117"/>
      <c r="G187" s="117"/>
      <c r="H187" s="117"/>
      <c r="I187" s="235"/>
      <c r="J187" s="235"/>
      <c r="K187" s="235"/>
      <c r="L187" s="117"/>
      <c r="M187" s="117"/>
      <c r="N187" s="117"/>
      <c r="O187" s="117"/>
      <c r="P187" s="117"/>
      <c r="Q187" s="117"/>
      <c r="R187" s="117"/>
      <c r="S187" s="117"/>
      <c r="T187" s="117"/>
      <c r="U187" s="117"/>
      <c r="V187" s="117"/>
      <c r="W187" s="117"/>
      <c r="X187" s="117"/>
      <c r="Y187" s="117"/>
      <c r="Z187" s="117"/>
      <c r="AA187" s="117"/>
    </row>
    <row r="188" spans="1:27" ht="14.4">
      <c r="A188" s="117"/>
      <c r="B188" s="117"/>
      <c r="C188" s="117"/>
      <c r="D188" s="117"/>
      <c r="E188" s="117"/>
      <c r="F188" s="117"/>
      <c r="G188" s="117"/>
      <c r="H188" s="117"/>
      <c r="I188" s="235"/>
      <c r="J188" s="235"/>
      <c r="K188" s="235"/>
      <c r="L188" s="117"/>
      <c r="M188" s="117"/>
      <c r="N188" s="117"/>
      <c r="O188" s="117"/>
      <c r="P188" s="117"/>
      <c r="Q188" s="117"/>
      <c r="R188" s="117"/>
      <c r="S188" s="117"/>
      <c r="T188" s="117"/>
      <c r="U188" s="117"/>
      <c r="V188" s="117"/>
      <c r="W188" s="117"/>
      <c r="X188" s="117"/>
      <c r="Y188" s="117"/>
      <c r="Z188" s="117"/>
      <c r="AA188" s="117"/>
    </row>
    <row r="189" spans="1:27" ht="14.4">
      <c r="A189" s="117"/>
      <c r="B189" s="117"/>
      <c r="C189" s="117"/>
      <c r="D189" s="117"/>
      <c r="E189" s="117"/>
      <c r="F189" s="117"/>
      <c r="G189" s="117"/>
      <c r="H189" s="117"/>
      <c r="I189" s="235"/>
      <c r="J189" s="235"/>
      <c r="K189" s="235"/>
      <c r="L189" s="117"/>
      <c r="M189" s="117"/>
      <c r="N189" s="117"/>
      <c r="O189" s="117"/>
      <c r="P189" s="117"/>
      <c r="Q189" s="117"/>
      <c r="R189" s="117"/>
      <c r="S189" s="117"/>
      <c r="T189" s="117"/>
      <c r="U189" s="117"/>
      <c r="V189" s="117"/>
      <c r="W189" s="117"/>
      <c r="X189" s="117"/>
      <c r="Y189" s="117"/>
      <c r="Z189" s="117"/>
      <c r="AA189" s="117"/>
    </row>
    <row r="190" spans="1:27" ht="14.4">
      <c r="A190" s="117"/>
      <c r="B190" s="117"/>
      <c r="C190" s="117"/>
      <c r="D190" s="117"/>
      <c r="E190" s="117"/>
      <c r="F190" s="117"/>
      <c r="G190" s="117"/>
      <c r="H190" s="117"/>
      <c r="I190" s="235"/>
      <c r="J190" s="235"/>
      <c r="K190" s="235"/>
      <c r="L190" s="117"/>
      <c r="M190" s="117"/>
      <c r="N190" s="117"/>
      <c r="O190" s="117"/>
      <c r="P190" s="117"/>
      <c r="Q190" s="117"/>
      <c r="R190" s="117"/>
      <c r="S190" s="117"/>
      <c r="T190" s="117"/>
      <c r="U190" s="117"/>
      <c r="V190" s="117"/>
      <c r="W190" s="117"/>
      <c r="X190" s="117"/>
      <c r="Y190" s="117"/>
      <c r="Z190" s="117"/>
      <c r="AA190" s="117"/>
    </row>
    <row r="191" spans="1:27" ht="14.4">
      <c r="A191" s="117"/>
      <c r="B191" s="117"/>
      <c r="C191" s="117"/>
      <c r="D191" s="117"/>
      <c r="E191" s="117"/>
      <c r="F191" s="117"/>
      <c r="G191" s="117"/>
      <c r="H191" s="117"/>
      <c r="I191" s="235"/>
      <c r="J191" s="235"/>
      <c r="K191" s="235"/>
      <c r="L191" s="117"/>
      <c r="M191" s="117"/>
      <c r="N191" s="117"/>
      <c r="O191" s="117"/>
      <c r="P191" s="117"/>
      <c r="Q191" s="117"/>
      <c r="R191" s="117"/>
      <c r="S191" s="117"/>
      <c r="T191" s="117"/>
      <c r="U191" s="117"/>
      <c r="V191" s="117"/>
      <c r="W191" s="117"/>
      <c r="X191" s="117"/>
      <c r="Y191" s="117"/>
      <c r="Z191" s="117"/>
      <c r="AA191" s="117"/>
    </row>
    <row r="192" spans="1:27" ht="14.4">
      <c r="A192" s="117"/>
      <c r="B192" s="117"/>
      <c r="C192" s="117"/>
      <c r="D192" s="117"/>
      <c r="E192" s="117"/>
      <c r="F192" s="117"/>
      <c r="G192" s="117"/>
      <c r="H192" s="117"/>
      <c r="I192" s="235"/>
      <c r="J192" s="235"/>
      <c r="K192" s="235"/>
      <c r="L192" s="117"/>
      <c r="M192" s="117"/>
      <c r="N192" s="117"/>
      <c r="O192" s="117"/>
      <c r="P192" s="117"/>
      <c r="Q192" s="117"/>
      <c r="R192" s="117"/>
      <c r="S192" s="117"/>
      <c r="T192" s="117"/>
      <c r="U192" s="117"/>
      <c r="V192" s="117"/>
      <c r="W192" s="117"/>
      <c r="X192" s="117"/>
      <c r="Y192" s="117"/>
      <c r="Z192" s="117"/>
      <c r="AA192" s="117"/>
    </row>
    <row r="193" spans="1:27" ht="14.4">
      <c r="A193" s="117"/>
      <c r="B193" s="117"/>
      <c r="C193" s="117"/>
      <c r="D193" s="117"/>
      <c r="E193" s="117"/>
      <c r="F193" s="117"/>
      <c r="G193" s="117"/>
      <c r="H193" s="117"/>
      <c r="I193" s="235"/>
      <c r="J193" s="235"/>
      <c r="K193" s="235"/>
      <c r="L193" s="117"/>
      <c r="M193" s="117"/>
      <c r="N193" s="117"/>
      <c r="O193" s="117"/>
      <c r="P193" s="117"/>
      <c r="Q193" s="117"/>
      <c r="R193" s="117"/>
      <c r="S193" s="117"/>
      <c r="T193" s="117"/>
      <c r="U193" s="117"/>
      <c r="V193" s="117"/>
      <c r="W193" s="117"/>
      <c r="X193" s="117"/>
      <c r="Y193" s="117"/>
      <c r="Z193" s="117"/>
      <c r="AA193" s="117"/>
    </row>
    <row r="194" spans="1:27" ht="14.4">
      <c r="A194" s="117"/>
      <c r="B194" s="117"/>
      <c r="C194" s="117"/>
      <c r="D194" s="117"/>
      <c r="E194" s="117"/>
      <c r="F194" s="117"/>
      <c r="G194" s="117"/>
      <c r="H194" s="117"/>
      <c r="I194" s="235"/>
      <c r="J194" s="235"/>
      <c r="K194" s="235"/>
      <c r="L194" s="117"/>
      <c r="M194" s="117"/>
      <c r="N194" s="117"/>
      <c r="O194" s="117"/>
      <c r="P194" s="117"/>
      <c r="Q194" s="117"/>
      <c r="R194" s="117"/>
      <c r="S194" s="117"/>
      <c r="T194" s="117"/>
      <c r="U194" s="117"/>
      <c r="V194" s="117"/>
      <c r="W194" s="117"/>
      <c r="X194" s="117"/>
      <c r="Y194" s="117"/>
      <c r="Z194" s="117"/>
      <c r="AA194" s="117"/>
    </row>
    <row r="195" spans="1:27" ht="14.4">
      <c r="A195" s="117"/>
      <c r="B195" s="117"/>
      <c r="C195" s="117"/>
      <c r="D195" s="117"/>
      <c r="E195" s="117"/>
      <c r="F195" s="117"/>
      <c r="G195" s="117"/>
      <c r="H195" s="117"/>
      <c r="I195" s="235"/>
      <c r="J195" s="235"/>
      <c r="K195" s="235"/>
      <c r="L195" s="117"/>
      <c r="M195" s="117"/>
      <c r="N195" s="117"/>
      <c r="O195" s="117"/>
      <c r="P195" s="117"/>
      <c r="Q195" s="117"/>
      <c r="R195" s="117"/>
      <c r="S195" s="117"/>
      <c r="T195" s="117"/>
      <c r="U195" s="117"/>
      <c r="V195" s="117"/>
      <c r="W195" s="117"/>
      <c r="X195" s="117"/>
      <c r="Y195" s="117"/>
      <c r="Z195" s="117"/>
      <c r="AA195" s="117"/>
    </row>
    <row r="196" spans="1:27" ht="14.4">
      <c r="A196" s="117"/>
      <c r="B196" s="117"/>
      <c r="C196" s="117"/>
      <c r="D196" s="117"/>
      <c r="E196" s="117"/>
      <c r="F196" s="117"/>
      <c r="G196" s="117"/>
      <c r="H196" s="117"/>
      <c r="I196" s="235"/>
      <c r="J196" s="235"/>
      <c r="K196" s="235"/>
      <c r="L196" s="117"/>
      <c r="M196" s="117"/>
      <c r="N196" s="117"/>
      <c r="O196" s="117"/>
      <c r="P196" s="117"/>
      <c r="Q196" s="117"/>
      <c r="R196" s="117"/>
      <c r="S196" s="117"/>
      <c r="T196" s="117"/>
      <c r="U196" s="117"/>
      <c r="V196" s="117"/>
      <c r="W196" s="117"/>
      <c r="X196" s="117"/>
      <c r="Y196" s="117"/>
      <c r="Z196" s="117"/>
      <c r="AA196" s="117"/>
    </row>
    <row r="197" spans="1:27" ht="14.4">
      <c r="A197" s="117"/>
      <c r="B197" s="117"/>
      <c r="C197" s="117"/>
      <c r="D197" s="117"/>
      <c r="E197" s="117"/>
      <c r="F197" s="117"/>
      <c r="G197" s="117"/>
      <c r="H197" s="117"/>
      <c r="I197" s="235"/>
      <c r="J197" s="235"/>
      <c r="K197" s="235"/>
      <c r="L197" s="117"/>
      <c r="M197" s="117"/>
      <c r="N197" s="117"/>
      <c r="O197" s="117"/>
      <c r="P197" s="117"/>
      <c r="Q197" s="117"/>
      <c r="R197" s="117"/>
      <c r="S197" s="117"/>
      <c r="T197" s="117"/>
      <c r="U197" s="117"/>
      <c r="V197" s="117"/>
      <c r="W197" s="117"/>
      <c r="X197" s="117"/>
      <c r="Y197" s="117"/>
      <c r="Z197" s="117"/>
      <c r="AA197" s="117"/>
    </row>
    <row r="198" spans="1:27" ht="14.4">
      <c r="A198" s="117"/>
      <c r="B198" s="117"/>
      <c r="C198" s="117"/>
      <c r="D198" s="117"/>
      <c r="E198" s="117"/>
      <c r="F198" s="117"/>
      <c r="G198" s="117"/>
      <c r="H198" s="117"/>
      <c r="I198" s="235"/>
      <c r="J198" s="235"/>
      <c r="K198" s="235"/>
      <c r="L198" s="117"/>
      <c r="M198" s="117"/>
      <c r="N198" s="117"/>
      <c r="O198" s="117"/>
      <c r="P198" s="117"/>
      <c r="Q198" s="117"/>
      <c r="R198" s="117"/>
      <c r="S198" s="117"/>
      <c r="T198" s="117"/>
      <c r="U198" s="117"/>
      <c r="V198" s="117"/>
      <c r="W198" s="117"/>
      <c r="X198" s="117"/>
      <c r="Y198" s="117"/>
      <c r="Z198" s="117"/>
      <c r="AA198" s="117"/>
    </row>
    <row r="199" spans="1:27" ht="14.4">
      <c r="A199" s="117"/>
      <c r="B199" s="117"/>
      <c r="C199" s="117"/>
      <c r="D199" s="117"/>
      <c r="E199" s="117"/>
      <c r="F199" s="117"/>
      <c r="G199" s="117"/>
      <c r="H199" s="117"/>
      <c r="I199" s="235"/>
      <c r="J199" s="235"/>
      <c r="K199" s="235"/>
      <c r="L199" s="117"/>
      <c r="M199" s="117"/>
      <c r="N199" s="117"/>
      <c r="O199" s="117"/>
      <c r="P199" s="117"/>
      <c r="Q199" s="117"/>
      <c r="R199" s="117"/>
      <c r="S199" s="117"/>
      <c r="T199" s="117"/>
      <c r="U199" s="117"/>
      <c r="V199" s="117"/>
      <c r="W199" s="117"/>
      <c r="X199" s="117"/>
      <c r="Y199" s="117"/>
      <c r="Z199" s="117"/>
      <c r="AA199" s="117"/>
    </row>
    <row r="200" spans="1:27" ht="14.4">
      <c r="A200" s="117"/>
      <c r="B200" s="117"/>
      <c r="C200" s="117"/>
      <c r="D200" s="117"/>
      <c r="E200" s="117"/>
      <c r="F200" s="117"/>
      <c r="G200" s="117"/>
      <c r="H200" s="117"/>
      <c r="I200" s="235"/>
      <c r="J200" s="235"/>
      <c r="K200" s="235"/>
      <c r="L200" s="117"/>
      <c r="M200" s="117"/>
      <c r="N200" s="117"/>
      <c r="O200" s="117"/>
      <c r="P200" s="117"/>
      <c r="Q200" s="117"/>
      <c r="R200" s="117"/>
      <c r="S200" s="117"/>
      <c r="T200" s="117"/>
      <c r="U200" s="117"/>
      <c r="V200" s="117"/>
      <c r="W200" s="117"/>
      <c r="X200" s="117"/>
      <c r="Y200" s="117"/>
      <c r="Z200" s="117"/>
      <c r="AA200" s="117"/>
    </row>
    <row r="201" spans="1:27" ht="14.4">
      <c r="A201" s="117"/>
      <c r="B201" s="117"/>
      <c r="C201" s="117"/>
      <c r="D201" s="117"/>
      <c r="E201" s="117"/>
      <c r="F201" s="117"/>
      <c r="G201" s="117"/>
      <c r="H201" s="117"/>
      <c r="I201" s="235"/>
      <c r="J201" s="235"/>
      <c r="K201" s="235"/>
      <c r="L201" s="117"/>
      <c r="M201" s="117"/>
      <c r="N201" s="117"/>
      <c r="O201" s="117"/>
      <c r="P201" s="117"/>
      <c r="Q201" s="117"/>
      <c r="R201" s="117"/>
      <c r="S201" s="117"/>
      <c r="T201" s="117"/>
      <c r="U201" s="117"/>
      <c r="V201" s="117"/>
      <c r="W201" s="117"/>
      <c r="X201" s="117"/>
      <c r="Y201" s="117"/>
      <c r="Z201" s="117"/>
      <c r="AA201" s="117"/>
    </row>
    <row r="202" spans="1:27" ht="14.4">
      <c r="A202" s="117"/>
      <c r="B202" s="117"/>
      <c r="C202" s="117"/>
      <c r="D202" s="117"/>
      <c r="E202" s="117"/>
      <c r="F202" s="117"/>
      <c r="G202" s="117"/>
      <c r="H202" s="117"/>
      <c r="I202" s="235"/>
      <c r="J202" s="235"/>
      <c r="K202" s="235"/>
      <c r="L202" s="117"/>
      <c r="M202" s="117"/>
      <c r="N202" s="117"/>
      <c r="O202" s="117"/>
      <c r="P202" s="117"/>
      <c r="Q202" s="117"/>
      <c r="R202" s="117"/>
      <c r="S202" s="117"/>
      <c r="T202" s="117"/>
      <c r="U202" s="117"/>
      <c r="V202" s="117"/>
      <c r="W202" s="117"/>
      <c r="X202" s="117"/>
      <c r="Y202" s="117"/>
      <c r="Z202" s="117"/>
      <c r="AA202" s="117"/>
    </row>
    <row r="203" spans="1:27" ht="14.4">
      <c r="A203" s="117"/>
      <c r="B203" s="117"/>
      <c r="C203" s="117"/>
      <c r="D203" s="117"/>
      <c r="E203" s="117"/>
      <c r="F203" s="117"/>
      <c r="G203" s="117"/>
      <c r="H203" s="117"/>
      <c r="I203" s="235"/>
      <c r="J203" s="235"/>
      <c r="K203" s="235"/>
      <c r="L203" s="117"/>
      <c r="M203" s="117"/>
      <c r="N203" s="117"/>
      <c r="O203" s="117"/>
      <c r="P203" s="117"/>
      <c r="Q203" s="117"/>
      <c r="R203" s="117"/>
      <c r="S203" s="117"/>
      <c r="T203" s="117"/>
      <c r="U203" s="117"/>
      <c r="V203" s="117"/>
      <c r="W203" s="117"/>
      <c r="X203" s="117"/>
      <c r="Y203" s="117"/>
      <c r="Z203" s="117"/>
      <c r="AA203" s="117"/>
    </row>
    <row r="204" spans="1:27" ht="14.4">
      <c r="A204" s="117"/>
      <c r="B204" s="117"/>
      <c r="C204" s="117"/>
      <c r="D204" s="117"/>
      <c r="E204" s="117"/>
      <c r="F204" s="117"/>
      <c r="G204" s="117"/>
      <c r="H204" s="117"/>
      <c r="I204" s="235"/>
      <c r="J204" s="235"/>
      <c r="K204" s="235"/>
      <c r="L204" s="117"/>
      <c r="M204" s="117"/>
      <c r="N204" s="117"/>
      <c r="O204" s="117"/>
      <c r="P204" s="117"/>
      <c r="Q204" s="117"/>
      <c r="R204" s="117"/>
      <c r="S204" s="117"/>
      <c r="T204" s="117"/>
      <c r="U204" s="117"/>
      <c r="V204" s="117"/>
      <c r="W204" s="117"/>
      <c r="X204" s="117"/>
      <c r="Y204" s="117"/>
      <c r="Z204" s="117"/>
      <c r="AA204" s="117"/>
    </row>
    <row r="205" spans="1:27" ht="14.4">
      <c r="A205" s="117"/>
      <c r="B205" s="117"/>
      <c r="C205" s="117"/>
      <c r="D205" s="117"/>
      <c r="E205" s="117"/>
      <c r="F205" s="117"/>
      <c r="G205" s="117"/>
      <c r="H205" s="117"/>
      <c r="I205" s="235"/>
      <c r="J205" s="235"/>
      <c r="K205" s="235"/>
      <c r="L205" s="117"/>
      <c r="M205" s="117"/>
      <c r="N205" s="117"/>
      <c r="O205" s="117"/>
      <c r="P205" s="117"/>
      <c r="Q205" s="117"/>
      <c r="R205" s="117"/>
      <c r="S205" s="117"/>
      <c r="T205" s="117"/>
      <c r="U205" s="117"/>
      <c r="V205" s="117"/>
      <c r="W205" s="117"/>
      <c r="X205" s="117"/>
      <c r="Y205" s="117"/>
      <c r="Z205" s="117"/>
      <c r="AA205" s="117"/>
    </row>
    <row r="206" spans="1:27" ht="14.4">
      <c r="A206" s="117"/>
      <c r="B206" s="117"/>
      <c r="C206" s="117"/>
      <c r="D206" s="117"/>
      <c r="E206" s="117"/>
      <c r="F206" s="117"/>
      <c r="G206" s="117"/>
      <c r="H206" s="117"/>
      <c r="I206" s="235"/>
      <c r="J206" s="235"/>
      <c r="K206" s="235"/>
      <c r="L206" s="117"/>
      <c r="M206" s="117"/>
      <c r="N206" s="117"/>
      <c r="O206" s="117"/>
      <c r="P206" s="117"/>
      <c r="Q206" s="117"/>
      <c r="R206" s="117"/>
      <c r="S206" s="117"/>
      <c r="T206" s="117"/>
      <c r="U206" s="117"/>
      <c r="V206" s="117"/>
      <c r="W206" s="117"/>
      <c r="X206" s="117"/>
      <c r="Y206" s="117"/>
      <c r="Z206" s="117"/>
      <c r="AA206" s="117"/>
    </row>
    <row r="207" spans="1:27" ht="14.4">
      <c r="A207" s="117"/>
      <c r="B207" s="117"/>
      <c r="C207" s="117"/>
      <c r="D207" s="117"/>
      <c r="E207" s="117"/>
      <c r="F207" s="117"/>
      <c r="G207" s="117"/>
      <c r="H207" s="117"/>
      <c r="I207" s="235"/>
      <c r="J207" s="235"/>
      <c r="K207" s="235"/>
      <c r="L207" s="117"/>
      <c r="M207" s="117"/>
      <c r="N207" s="117"/>
      <c r="O207" s="117"/>
      <c r="P207" s="117"/>
      <c r="Q207" s="117"/>
      <c r="R207" s="117"/>
      <c r="S207" s="117"/>
      <c r="T207" s="117"/>
      <c r="U207" s="117"/>
      <c r="V207" s="117"/>
      <c r="W207" s="117"/>
      <c r="X207" s="117"/>
      <c r="Y207" s="117"/>
      <c r="Z207" s="117"/>
      <c r="AA207" s="117"/>
    </row>
    <row r="208" spans="1:27" ht="14.4">
      <c r="A208" s="117"/>
      <c r="B208" s="117"/>
      <c r="C208" s="117"/>
      <c r="D208" s="117"/>
      <c r="E208" s="117"/>
      <c r="F208" s="117"/>
      <c r="G208" s="117"/>
      <c r="H208" s="117"/>
      <c r="I208" s="235"/>
      <c r="J208" s="235"/>
      <c r="K208" s="235"/>
      <c r="L208" s="117"/>
      <c r="M208" s="117"/>
      <c r="N208" s="117"/>
      <c r="O208" s="117"/>
      <c r="P208" s="117"/>
      <c r="Q208" s="117"/>
      <c r="R208" s="117"/>
      <c r="S208" s="117"/>
      <c r="T208" s="117"/>
      <c r="U208" s="117"/>
      <c r="V208" s="117"/>
      <c r="W208" s="117"/>
      <c r="X208" s="117"/>
      <c r="Y208" s="117"/>
      <c r="Z208" s="117"/>
      <c r="AA208" s="117"/>
    </row>
    <row r="209" spans="1:27" ht="14.4">
      <c r="A209" s="117"/>
      <c r="B209" s="117"/>
      <c r="C209" s="117"/>
      <c r="D209" s="117"/>
      <c r="E209" s="117"/>
      <c r="F209" s="117"/>
      <c r="G209" s="117"/>
      <c r="H209" s="117"/>
      <c r="I209" s="235"/>
      <c r="J209" s="235"/>
      <c r="K209" s="235"/>
      <c r="L209" s="117"/>
      <c r="M209" s="117"/>
      <c r="N209" s="117"/>
      <c r="O209" s="117"/>
      <c r="P209" s="117"/>
      <c r="Q209" s="117"/>
      <c r="R209" s="117"/>
      <c r="S209" s="117"/>
      <c r="T209" s="117"/>
      <c r="U209" s="117"/>
      <c r="V209" s="117"/>
      <c r="W209" s="117"/>
      <c r="X209" s="117"/>
      <c r="Y209" s="117"/>
      <c r="Z209" s="117"/>
      <c r="AA209" s="117"/>
    </row>
    <row r="210" spans="1:27" ht="14.4">
      <c r="A210" s="117"/>
      <c r="B210" s="117"/>
      <c r="C210" s="117"/>
      <c r="D210" s="117"/>
      <c r="E210" s="117"/>
      <c r="F210" s="117"/>
      <c r="G210" s="117"/>
      <c r="H210" s="117"/>
      <c r="I210" s="235"/>
      <c r="J210" s="235"/>
      <c r="K210" s="235"/>
      <c r="L210" s="117"/>
      <c r="M210" s="117"/>
      <c r="N210" s="117"/>
      <c r="O210" s="117"/>
      <c r="P210" s="117"/>
      <c r="Q210" s="117"/>
      <c r="R210" s="117"/>
      <c r="S210" s="117"/>
      <c r="T210" s="117"/>
      <c r="U210" s="117"/>
      <c r="V210" s="117"/>
      <c r="W210" s="117"/>
      <c r="X210" s="117"/>
      <c r="Y210" s="117"/>
      <c r="Z210" s="117"/>
      <c r="AA210" s="117"/>
    </row>
    <row r="211" spans="1:27" ht="14.4">
      <c r="A211" s="117"/>
      <c r="B211" s="117"/>
      <c r="C211" s="117"/>
      <c r="D211" s="117"/>
      <c r="E211" s="117"/>
      <c r="F211" s="117"/>
      <c r="G211" s="117"/>
      <c r="H211" s="117"/>
      <c r="I211" s="235"/>
      <c r="J211" s="235"/>
      <c r="K211" s="235"/>
      <c r="L211" s="117"/>
      <c r="M211" s="117"/>
      <c r="N211" s="117"/>
      <c r="O211" s="117"/>
      <c r="P211" s="117"/>
      <c r="Q211" s="117"/>
      <c r="R211" s="117"/>
      <c r="S211" s="117"/>
      <c r="T211" s="117"/>
      <c r="U211" s="117"/>
      <c r="V211" s="117"/>
      <c r="W211" s="117"/>
      <c r="X211" s="117"/>
      <c r="Y211" s="117"/>
      <c r="Z211" s="117"/>
      <c r="AA211" s="117"/>
    </row>
    <row r="212" spans="1:27" ht="14.4">
      <c r="A212" s="117"/>
      <c r="B212" s="117"/>
      <c r="C212" s="117"/>
      <c r="D212" s="117"/>
      <c r="E212" s="117"/>
      <c r="F212" s="117"/>
      <c r="G212" s="117"/>
      <c r="H212" s="117"/>
      <c r="I212" s="235"/>
      <c r="J212" s="235"/>
      <c r="K212" s="235"/>
      <c r="L212" s="117"/>
      <c r="M212" s="117"/>
      <c r="N212" s="117"/>
      <c r="O212" s="117"/>
      <c r="P212" s="117"/>
      <c r="Q212" s="117"/>
      <c r="R212" s="117"/>
      <c r="S212" s="117"/>
      <c r="T212" s="117"/>
      <c r="U212" s="117"/>
      <c r="V212" s="117"/>
      <c r="W212" s="117"/>
      <c r="X212" s="117"/>
      <c r="Y212" s="117"/>
      <c r="Z212" s="117"/>
      <c r="AA212" s="117"/>
    </row>
    <row r="213" spans="1:27" ht="14.4">
      <c r="A213" s="117"/>
      <c r="B213" s="117"/>
      <c r="C213" s="117"/>
      <c r="D213" s="117"/>
      <c r="E213" s="117"/>
      <c r="F213" s="117"/>
      <c r="G213" s="117"/>
      <c r="H213" s="117"/>
      <c r="I213" s="235"/>
      <c r="J213" s="235"/>
      <c r="K213" s="235"/>
      <c r="L213" s="117"/>
      <c r="M213" s="117"/>
      <c r="N213" s="117"/>
      <c r="O213" s="117"/>
      <c r="P213" s="117"/>
      <c r="Q213" s="117"/>
      <c r="R213" s="117"/>
      <c r="S213" s="117"/>
      <c r="T213" s="117"/>
      <c r="U213" s="117"/>
      <c r="V213" s="117"/>
      <c r="W213" s="117"/>
      <c r="X213" s="117"/>
      <c r="Y213" s="117"/>
      <c r="Z213" s="117"/>
      <c r="AA213" s="117"/>
    </row>
    <row r="214" spans="1:27" ht="14.4">
      <c r="A214" s="117"/>
      <c r="B214" s="117"/>
      <c r="C214" s="117"/>
      <c r="D214" s="117"/>
      <c r="E214" s="117"/>
      <c r="F214" s="117"/>
      <c r="G214" s="117"/>
      <c r="H214" s="117"/>
      <c r="I214" s="235"/>
      <c r="J214" s="235"/>
      <c r="K214" s="235"/>
      <c r="L214" s="117"/>
      <c r="M214" s="117"/>
      <c r="N214" s="117"/>
      <c r="O214" s="117"/>
      <c r="P214" s="117"/>
      <c r="Q214" s="117"/>
      <c r="R214" s="117"/>
      <c r="S214" s="117"/>
      <c r="T214" s="117"/>
      <c r="U214" s="117"/>
      <c r="V214" s="117"/>
      <c r="W214" s="117"/>
      <c r="X214" s="117"/>
      <c r="Y214" s="117"/>
      <c r="Z214" s="117"/>
      <c r="AA214" s="117"/>
    </row>
    <row r="215" spans="1:27" ht="14.4">
      <c r="A215" s="117"/>
      <c r="B215" s="117"/>
      <c r="C215" s="117"/>
      <c r="D215" s="117"/>
      <c r="E215" s="117"/>
      <c r="F215" s="117"/>
      <c r="G215" s="117"/>
      <c r="H215" s="117"/>
      <c r="I215" s="235"/>
      <c r="J215" s="235"/>
      <c r="K215" s="235"/>
      <c r="L215" s="117"/>
      <c r="M215" s="117"/>
      <c r="N215" s="117"/>
      <c r="O215" s="117"/>
      <c r="P215" s="117"/>
      <c r="Q215" s="117"/>
      <c r="R215" s="117"/>
      <c r="S215" s="117"/>
      <c r="T215" s="117"/>
      <c r="U215" s="117"/>
      <c r="V215" s="117"/>
      <c r="W215" s="117"/>
      <c r="X215" s="117"/>
      <c r="Y215" s="117"/>
      <c r="Z215" s="117"/>
      <c r="AA215" s="117"/>
    </row>
    <row r="216" spans="1:27" ht="14.4">
      <c r="A216" s="117"/>
      <c r="B216" s="117"/>
      <c r="C216" s="117"/>
      <c r="D216" s="117"/>
      <c r="E216" s="117"/>
      <c r="F216" s="117"/>
      <c r="G216" s="117"/>
      <c r="H216" s="117"/>
      <c r="I216" s="235"/>
      <c r="J216" s="235"/>
      <c r="K216" s="235"/>
      <c r="L216" s="117"/>
      <c r="M216" s="117"/>
      <c r="N216" s="117"/>
      <c r="O216" s="117"/>
      <c r="P216" s="117"/>
      <c r="Q216" s="117"/>
      <c r="R216" s="117"/>
      <c r="S216" s="117"/>
      <c r="T216" s="117"/>
      <c r="U216" s="117"/>
      <c r="V216" s="117"/>
      <c r="W216" s="117"/>
      <c r="X216" s="117"/>
      <c r="Y216" s="117"/>
      <c r="Z216" s="117"/>
      <c r="AA216" s="117"/>
    </row>
    <row r="217" spans="1:27" ht="14.4">
      <c r="A217" s="117"/>
      <c r="B217" s="117"/>
      <c r="C217" s="117"/>
      <c r="D217" s="117"/>
      <c r="E217" s="117"/>
      <c r="F217" s="117"/>
      <c r="G217" s="117"/>
      <c r="H217" s="117"/>
      <c r="I217" s="235"/>
      <c r="J217" s="235"/>
      <c r="K217" s="235"/>
      <c r="L217" s="117"/>
      <c r="M217" s="117"/>
      <c r="N217" s="117"/>
      <c r="O217" s="117"/>
      <c r="P217" s="117"/>
      <c r="Q217" s="117"/>
      <c r="R217" s="117"/>
      <c r="S217" s="117"/>
      <c r="T217" s="117"/>
      <c r="U217" s="117"/>
      <c r="V217" s="117"/>
      <c r="W217" s="117"/>
      <c r="X217" s="117"/>
      <c r="Y217" s="117"/>
      <c r="Z217" s="117"/>
      <c r="AA217" s="117"/>
    </row>
    <row r="218" spans="1:27" ht="14.4">
      <c r="A218" s="117"/>
      <c r="B218" s="117"/>
      <c r="C218" s="117"/>
      <c r="D218" s="117"/>
      <c r="E218" s="117"/>
      <c r="F218" s="117"/>
      <c r="G218" s="117"/>
      <c r="H218" s="117"/>
      <c r="I218" s="235"/>
      <c r="J218" s="235"/>
      <c r="K218" s="235"/>
      <c r="L218" s="117"/>
      <c r="M218" s="117"/>
      <c r="N218" s="117"/>
      <c r="O218" s="117"/>
      <c r="P218" s="117"/>
      <c r="Q218" s="117"/>
      <c r="R218" s="117"/>
      <c r="S218" s="117"/>
      <c r="T218" s="117"/>
      <c r="U218" s="117"/>
      <c r="V218" s="117"/>
      <c r="W218" s="117"/>
      <c r="X218" s="117"/>
      <c r="Y218" s="117"/>
      <c r="Z218" s="117"/>
      <c r="AA218" s="117"/>
    </row>
    <row r="219" spans="1:27" ht="14.4">
      <c r="A219" s="117"/>
      <c r="B219" s="117"/>
      <c r="C219" s="117"/>
      <c r="D219" s="117"/>
      <c r="E219" s="117"/>
      <c r="F219" s="117"/>
      <c r="G219" s="117"/>
      <c r="H219" s="117"/>
      <c r="I219" s="235"/>
      <c r="J219" s="235"/>
      <c r="K219" s="235"/>
      <c r="L219" s="117"/>
      <c r="M219" s="117"/>
      <c r="N219" s="117"/>
      <c r="O219" s="117"/>
      <c r="P219" s="117"/>
      <c r="Q219" s="117"/>
      <c r="R219" s="117"/>
      <c r="S219" s="117"/>
      <c r="T219" s="117"/>
      <c r="U219" s="117"/>
      <c r="V219" s="117"/>
      <c r="W219" s="117"/>
      <c r="X219" s="117"/>
      <c r="Y219" s="117"/>
      <c r="Z219" s="117"/>
      <c r="AA219" s="117"/>
    </row>
    <row r="220" spans="1:27" ht="14.4">
      <c r="A220" s="117"/>
      <c r="B220" s="117"/>
      <c r="C220" s="117"/>
      <c r="D220" s="117"/>
      <c r="E220" s="117"/>
      <c r="F220" s="117"/>
      <c r="G220" s="117"/>
      <c r="H220" s="117"/>
      <c r="I220" s="235"/>
      <c r="J220" s="235"/>
      <c r="K220" s="235"/>
      <c r="L220" s="117"/>
      <c r="M220" s="117"/>
      <c r="N220" s="117"/>
      <c r="O220" s="117"/>
      <c r="P220" s="117"/>
      <c r="Q220" s="117"/>
      <c r="R220" s="117"/>
      <c r="S220" s="117"/>
      <c r="T220" s="117"/>
      <c r="U220" s="117"/>
      <c r="V220" s="117"/>
      <c r="W220" s="117"/>
      <c r="X220" s="117"/>
      <c r="Y220" s="117"/>
      <c r="Z220" s="117"/>
      <c r="AA220" s="117"/>
    </row>
    <row r="221" spans="1:27" ht="14.4">
      <c r="A221" s="117"/>
      <c r="B221" s="117"/>
      <c r="C221" s="117"/>
      <c r="D221" s="117"/>
      <c r="E221" s="117"/>
      <c r="F221" s="117"/>
      <c r="G221" s="117"/>
      <c r="H221" s="117"/>
      <c r="I221" s="235"/>
      <c r="J221" s="235"/>
      <c r="K221" s="235"/>
      <c r="L221" s="117"/>
      <c r="M221" s="117"/>
      <c r="N221" s="117"/>
      <c r="O221" s="117"/>
      <c r="P221" s="117"/>
      <c r="Q221" s="117"/>
      <c r="R221" s="117"/>
      <c r="S221" s="117"/>
      <c r="T221" s="117"/>
      <c r="U221" s="117"/>
      <c r="V221" s="117"/>
      <c r="W221" s="117"/>
      <c r="X221" s="117"/>
      <c r="Y221" s="117"/>
      <c r="Z221" s="117"/>
      <c r="AA221" s="117"/>
    </row>
    <row r="222" spans="1:27" ht="14.4">
      <c r="A222" s="117"/>
      <c r="B222" s="117"/>
      <c r="C222" s="117"/>
      <c r="D222" s="117"/>
      <c r="E222" s="117"/>
      <c r="F222" s="117"/>
      <c r="G222" s="117"/>
      <c r="H222" s="117"/>
      <c r="I222" s="235"/>
      <c r="J222" s="235"/>
      <c r="K222" s="235"/>
      <c r="L222" s="117"/>
      <c r="M222" s="117"/>
      <c r="N222" s="117"/>
      <c r="O222" s="117"/>
      <c r="P222" s="117"/>
      <c r="Q222" s="117"/>
      <c r="R222" s="117"/>
      <c r="S222" s="117"/>
      <c r="T222" s="117"/>
      <c r="U222" s="117"/>
      <c r="V222" s="117"/>
      <c r="W222" s="117"/>
      <c r="X222" s="117"/>
      <c r="Y222" s="117"/>
      <c r="Z222" s="117"/>
      <c r="AA222" s="117"/>
    </row>
    <row r="223" spans="1:27" ht="14.4">
      <c r="A223" s="117"/>
      <c r="B223" s="117"/>
      <c r="C223" s="117"/>
      <c r="D223" s="117"/>
      <c r="E223" s="117"/>
      <c r="F223" s="117"/>
      <c r="G223" s="117"/>
      <c r="H223" s="117"/>
      <c r="I223" s="235"/>
      <c r="J223" s="235"/>
      <c r="K223" s="235"/>
      <c r="L223" s="117"/>
      <c r="M223" s="117"/>
      <c r="N223" s="117"/>
      <c r="O223" s="117"/>
      <c r="P223" s="117"/>
      <c r="Q223" s="117"/>
      <c r="R223" s="117"/>
      <c r="S223" s="117"/>
      <c r="T223" s="117"/>
      <c r="U223" s="117"/>
      <c r="V223" s="117"/>
      <c r="W223" s="117"/>
      <c r="X223" s="117"/>
      <c r="Y223" s="117"/>
      <c r="Z223" s="117"/>
      <c r="AA223" s="117"/>
    </row>
    <row r="224" spans="1:27" ht="14.4">
      <c r="A224" s="117"/>
      <c r="B224" s="117"/>
      <c r="C224" s="117"/>
      <c r="D224" s="117"/>
      <c r="E224" s="117"/>
      <c r="F224" s="117"/>
      <c r="G224" s="117"/>
      <c r="H224" s="117"/>
      <c r="I224" s="235"/>
      <c r="J224" s="235"/>
      <c r="K224" s="235"/>
      <c r="L224" s="117"/>
      <c r="M224" s="117"/>
      <c r="N224" s="117"/>
      <c r="O224" s="117"/>
      <c r="P224" s="117"/>
      <c r="Q224" s="117"/>
      <c r="R224" s="117"/>
      <c r="S224" s="117"/>
      <c r="T224" s="117"/>
      <c r="U224" s="117"/>
      <c r="V224" s="117"/>
      <c r="W224" s="117"/>
      <c r="X224" s="117"/>
      <c r="Y224" s="117"/>
      <c r="Z224" s="117"/>
      <c r="AA224" s="117"/>
    </row>
    <row r="225" spans="1:27" ht="14.4">
      <c r="A225" s="117"/>
      <c r="B225" s="117"/>
      <c r="C225" s="117"/>
      <c r="D225" s="117"/>
      <c r="E225" s="117"/>
      <c r="F225" s="117"/>
      <c r="G225" s="117"/>
      <c r="H225" s="117"/>
      <c r="I225" s="235"/>
      <c r="J225" s="235"/>
      <c r="K225" s="235"/>
      <c r="L225" s="117"/>
      <c r="M225" s="117"/>
      <c r="N225" s="117"/>
      <c r="O225" s="117"/>
      <c r="P225" s="117"/>
      <c r="Q225" s="117"/>
      <c r="R225" s="117"/>
      <c r="S225" s="117"/>
      <c r="T225" s="117"/>
      <c r="U225" s="117"/>
      <c r="V225" s="117"/>
      <c r="W225" s="117"/>
      <c r="X225" s="117"/>
      <c r="Y225" s="117"/>
      <c r="Z225" s="117"/>
      <c r="AA225" s="117"/>
    </row>
    <row r="226" spans="1:27" ht="14.4">
      <c r="A226" s="117"/>
      <c r="B226" s="117"/>
      <c r="C226" s="117"/>
      <c r="D226" s="117"/>
      <c r="E226" s="117"/>
      <c r="F226" s="117"/>
      <c r="G226" s="117"/>
      <c r="H226" s="117"/>
      <c r="I226" s="235"/>
      <c r="J226" s="235"/>
      <c r="K226" s="235"/>
      <c r="L226" s="117"/>
      <c r="M226" s="117"/>
      <c r="N226" s="117"/>
      <c r="O226" s="117"/>
      <c r="P226" s="117"/>
      <c r="Q226" s="117"/>
      <c r="R226" s="117"/>
      <c r="S226" s="117"/>
      <c r="T226" s="117"/>
      <c r="U226" s="117"/>
      <c r="V226" s="117"/>
      <c r="W226" s="117"/>
      <c r="X226" s="117"/>
      <c r="Y226" s="117"/>
      <c r="Z226" s="117"/>
      <c r="AA226" s="117"/>
    </row>
    <row r="227" spans="1:27" ht="14.4">
      <c r="A227" s="117"/>
      <c r="B227" s="117"/>
      <c r="C227" s="117"/>
      <c r="D227" s="117"/>
      <c r="E227" s="117"/>
      <c r="F227" s="117"/>
      <c r="G227" s="117"/>
      <c r="H227" s="117"/>
      <c r="I227" s="235"/>
      <c r="J227" s="235"/>
      <c r="K227" s="235"/>
      <c r="L227" s="117"/>
      <c r="M227" s="117"/>
      <c r="N227" s="117"/>
      <c r="O227" s="117"/>
      <c r="P227" s="117"/>
      <c r="Q227" s="117"/>
      <c r="R227" s="117"/>
      <c r="S227" s="117"/>
      <c r="T227" s="117"/>
      <c r="U227" s="117"/>
      <c r="V227" s="117"/>
      <c r="W227" s="117"/>
      <c r="X227" s="117"/>
      <c r="Y227" s="117"/>
      <c r="Z227" s="117"/>
      <c r="AA227" s="117"/>
    </row>
    <row r="228" spans="1:27" ht="14.4">
      <c r="A228" s="117"/>
      <c r="B228" s="117"/>
      <c r="C228" s="117"/>
      <c r="D228" s="117"/>
      <c r="E228" s="117"/>
      <c r="F228" s="117"/>
      <c r="G228" s="117"/>
      <c r="H228" s="117"/>
      <c r="I228" s="235"/>
      <c r="J228" s="235"/>
      <c r="K228" s="235"/>
      <c r="L228" s="117"/>
      <c r="M228" s="117"/>
      <c r="N228" s="117"/>
      <c r="O228" s="117"/>
      <c r="P228" s="117"/>
      <c r="Q228" s="117"/>
      <c r="R228" s="117"/>
      <c r="S228" s="117"/>
      <c r="T228" s="117"/>
      <c r="U228" s="117"/>
      <c r="V228" s="117"/>
      <c r="W228" s="117"/>
      <c r="X228" s="117"/>
      <c r="Y228" s="117"/>
      <c r="Z228" s="117"/>
      <c r="AA228" s="117"/>
    </row>
    <row r="229" spans="1:27" ht="14.4">
      <c r="A229" s="117"/>
      <c r="B229" s="117"/>
      <c r="C229" s="117"/>
      <c r="D229" s="117"/>
      <c r="E229" s="117"/>
      <c r="F229" s="117"/>
      <c r="G229" s="117"/>
      <c r="H229" s="117"/>
      <c r="I229" s="235"/>
      <c r="J229" s="235"/>
      <c r="K229" s="235"/>
      <c r="L229" s="117"/>
      <c r="M229" s="117"/>
      <c r="N229" s="117"/>
      <c r="O229" s="117"/>
      <c r="P229" s="117"/>
      <c r="Q229" s="117"/>
      <c r="R229" s="117"/>
      <c r="S229" s="117"/>
      <c r="T229" s="117"/>
      <c r="U229" s="117"/>
      <c r="V229" s="117"/>
      <c r="W229" s="117"/>
      <c r="X229" s="117"/>
      <c r="Y229" s="117"/>
      <c r="Z229" s="117"/>
      <c r="AA229" s="117"/>
    </row>
    <row r="230" spans="1:27" ht="14.4">
      <c r="A230" s="117"/>
      <c r="B230" s="117"/>
      <c r="C230" s="117"/>
      <c r="D230" s="117"/>
      <c r="E230" s="117"/>
      <c r="F230" s="117"/>
      <c r="G230" s="117"/>
      <c r="H230" s="117"/>
      <c r="I230" s="235"/>
      <c r="J230" s="235"/>
      <c r="K230" s="235"/>
      <c r="L230" s="117"/>
      <c r="M230" s="117"/>
      <c r="N230" s="117"/>
      <c r="O230" s="117"/>
      <c r="P230" s="117"/>
      <c r="Q230" s="117"/>
      <c r="R230" s="117"/>
      <c r="S230" s="117"/>
      <c r="T230" s="117"/>
      <c r="U230" s="117"/>
      <c r="V230" s="117"/>
      <c r="W230" s="117"/>
      <c r="X230" s="117"/>
      <c r="Y230" s="117"/>
      <c r="Z230" s="117"/>
      <c r="AA230" s="117"/>
    </row>
    <row r="231" spans="1:27" ht="14.4">
      <c r="A231" s="117"/>
      <c r="B231" s="117"/>
      <c r="C231" s="117"/>
      <c r="D231" s="117"/>
      <c r="E231" s="117"/>
      <c r="F231" s="117"/>
      <c r="G231" s="117"/>
      <c r="H231" s="117"/>
      <c r="I231" s="235"/>
      <c r="J231" s="235"/>
      <c r="K231" s="235"/>
      <c r="L231" s="117"/>
      <c r="M231" s="117"/>
      <c r="N231" s="117"/>
      <c r="O231" s="117"/>
      <c r="P231" s="117"/>
      <c r="Q231" s="117"/>
      <c r="R231" s="117"/>
      <c r="S231" s="117"/>
      <c r="T231" s="117"/>
      <c r="U231" s="117"/>
      <c r="V231" s="117"/>
      <c r="W231" s="117"/>
      <c r="X231" s="117"/>
      <c r="Y231" s="117"/>
      <c r="Z231" s="117"/>
      <c r="AA231" s="117"/>
    </row>
    <row r="232" spans="1:27" ht="14.4">
      <c r="A232" s="117"/>
      <c r="B232" s="117"/>
      <c r="C232" s="117"/>
      <c r="D232" s="117"/>
      <c r="E232" s="117"/>
      <c r="F232" s="117"/>
      <c r="G232" s="117"/>
      <c r="H232" s="117"/>
      <c r="I232" s="235"/>
      <c r="J232" s="235"/>
      <c r="K232" s="235"/>
      <c r="L232" s="117"/>
      <c r="M232" s="117"/>
      <c r="N232" s="117"/>
      <c r="O232" s="117"/>
      <c r="P232" s="117"/>
      <c r="Q232" s="117"/>
      <c r="R232" s="117"/>
      <c r="S232" s="117"/>
      <c r="T232" s="117"/>
      <c r="U232" s="117"/>
      <c r="V232" s="117"/>
      <c r="W232" s="117"/>
      <c r="X232" s="117"/>
      <c r="Y232" s="117"/>
      <c r="Z232" s="117"/>
      <c r="AA232" s="117"/>
    </row>
    <row r="233" spans="1:27" ht="14.4">
      <c r="A233" s="117"/>
      <c r="B233" s="117"/>
      <c r="C233" s="117"/>
      <c r="D233" s="117"/>
      <c r="E233" s="117"/>
      <c r="F233" s="117"/>
      <c r="G233" s="117"/>
      <c r="H233" s="117"/>
      <c r="I233" s="235"/>
      <c r="J233" s="235"/>
      <c r="K233" s="235"/>
      <c r="L233" s="117"/>
      <c r="M233" s="117"/>
      <c r="N233" s="117"/>
      <c r="O233" s="117"/>
      <c r="P233" s="117"/>
      <c r="Q233" s="117"/>
      <c r="R233" s="117"/>
      <c r="S233" s="117"/>
      <c r="T233" s="117"/>
      <c r="U233" s="117"/>
      <c r="V233" s="117"/>
      <c r="W233" s="117"/>
      <c r="X233" s="117"/>
      <c r="Y233" s="117"/>
      <c r="Z233" s="117"/>
      <c r="AA233" s="117"/>
    </row>
    <row r="234" spans="1:27" ht="14.4">
      <c r="A234" s="117"/>
      <c r="B234" s="117"/>
      <c r="C234" s="117"/>
      <c r="D234" s="117"/>
      <c r="E234" s="117"/>
      <c r="F234" s="117"/>
      <c r="G234" s="117"/>
      <c r="H234" s="117"/>
      <c r="I234" s="235"/>
      <c r="J234" s="235"/>
      <c r="K234" s="235"/>
      <c r="L234" s="117"/>
      <c r="M234" s="117"/>
      <c r="N234" s="117"/>
      <c r="O234" s="117"/>
      <c r="P234" s="117"/>
      <c r="Q234" s="117"/>
      <c r="R234" s="117"/>
      <c r="S234" s="117"/>
      <c r="T234" s="117"/>
      <c r="U234" s="117"/>
      <c r="V234" s="117"/>
      <c r="W234" s="117"/>
      <c r="X234" s="117"/>
      <c r="Y234" s="117"/>
      <c r="Z234" s="117"/>
      <c r="AA234" s="117"/>
    </row>
    <row r="235" spans="1:27" ht="14.4">
      <c r="A235" s="117"/>
      <c r="B235" s="117"/>
      <c r="C235" s="117"/>
      <c r="D235" s="117"/>
      <c r="E235" s="117"/>
      <c r="F235" s="117"/>
      <c r="G235" s="117"/>
      <c r="H235" s="117"/>
      <c r="I235" s="235"/>
      <c r="J235" s="235"/>
      <c r="K235" s="235"/>
      <c r="L235" s="117"/>
      <c r="M235" s="117"/>
      <c r="N235" s="117"/>
      <c r="O235" s="117"/>
      <c r="P235" s="117"/>
      <c r="Q235" s="117"/>
      <c r="R235" s="117"/>
      <c r="S235" s="117"/>
      <c r="T235" s="117"/>
      <c r="U235" s="117"/>
      <c r="V235" s="117"/>
      <c r="W235" s="117"/>
      <c r="X235" s="117"/>
      <c r="Y235" s="117"/>
      <c r="Z235" s="117"/>
      <c r="AA235" s="117"/>
    </row>
    <row r="236" spans="1:27" ht="14.4">
      <c r="A236" s="117"/>
      <c r="B236" s="117"/>
      <c r="C236" s="117"/>
      <c r="D236" s="117"/>
      <c r="E236" s="117"/>
      <c r="F236" s="117"/>
      <c r="G236" s="117"/>
      <c r="H236" s="117"/>
      <c r="I236" s="235"/>
      <c r="J236" s="235"/>
      <c r="K236" s="235"/>
      <c r="L236" s="117"/>
      <c r="M236" s="117"/>
      <c r="N236" s="117"/>
      <c r="O236" s="117"/>
      <c r="P236" s="117"/>
      <c r="Q236" s="117"/>
      <c r="R236" s="117"/>
      <c r="S236" s="117"/>
      <c r="T236" s="117"/>
      <c r="U236" s="117"/>
      <c r="V236" s="117"/>
      <c r="W236" s="117"/>
      <c r="X236" s="117"/>
      <c r="Y236" s="117"/>
      <c r="Z236" s="117"/>
      <c r="AA236" s="117"/>
    </row>
    <row r="237" spans="1:27" ht="14.4">
      <c r="A237" s="117"/>
      <c r="B237" s="117"/>
      <c r="C237" s="117"/>
      <c r="D237" s="117"/>
      <c r="E237" s="117"/>
      <c r="F237" s="117"/>
      <c r="G237" s="117"/>
      <c r="H237" s="117"/>
      <c r="I237" s="235"/>
      <c r="J237" s="235"/>
      <c r="K237" s="235"/>
      <c r="L237" s="117"/>
      <c r="M237" s="117"/>
      <c r="N237" s="117"/>
      <c r="O237" s="117"/>
      <c r="P237" s="117"/>
      <c r="Q237" s="117"/>
      <c r="R237" s="117"/>
      <c r="S237" s="117"/>
      <c r="T237" s="117"/>
      <c r="U237" s="117"/>
      <c r="V237" s="117"/>
      <c r="W237" s="117"/>
      <c r="X237" s="117"/>
      <c r="Y237" s="117"/>
      <c r="Z237" s="117"/>
      <c r="AA237" s="117"/>
    </row>
    <row r="238" spans="1:27" ht="14.4">
      <c r="A238" s="117"/>
      <c r="B238" s="117"/>
      <c r="C238" s="117"/>
      <c r="D238" s="117"/>
      <c r="E238" s="117"/>
      <c r="F238" s="117"/>
      <c r="G238" s="117"/>
      <c r="H238" s="117"/>
      <c r="I238" s="235"/>
      <c r="J238" s="235"/>
      <c r="K238" s="235"/>
      <c r="L238" s="117"/>
      <c r="M238" s="117"/>
      <c r="N238" s="117"/>
      <c r="O238" s="117"/>
      <c r="P238" s="117"/>
      <c r="Q238" s="117"/>
      <c r="R238" s="117"/>
      <c r="S238" s="117"/>
      <c r="T238" s="117"/>
      <c r="U238" s="117"/>
      <c r="V238" s="117"/>
      <c r="W238" s="117"/>
      <c r="X238" s="117"/>
      <c r="Y238" s="117"/>
      <c r="Z238" s="117"/>
      <c r="AA238" s="117"/>
    </row>
    <row r="239" spans="1:27" ht="14.4">
      <c r="A239" s="117"/>
      <c r="B239" s="117"/>
      <c r="C239" s="117"/>
      <c r="D239" s="117"/>
      <c r="E239" s="117"/>
      <c r="F239" s="117"/>
      <c r="G239" s="117"/>
      <c r="H239" s="117"/>
      <c r="I239" s="235"/>
      <c r="J239" s="235"/>
      <c r="K239" s="235"/>
      <c r="L239" s="117"/>
      <c r="M239" s="117"/>
      <c r="N239" s="117"/>
      <c r="O239" s="117"/>
      <c r="P239" s="117"/>
      <c r="Q239" s="117"/>
      <c r="R239" s="117"/>
      <c r="S239" s="117"/>
      <c r="T239" s="117"/>
      <c r="U239" s="117"/>
      <c r="V239" s="117"/>
      <c r="W239" s="117"/>
      <c r="X239" s="117"/>
      <c r="Y239" s="117"/>
      <c r="Z239" s="117"/>
      <c r="AA239" s="117"/>
    </row>
    <row r="240" spans="1:27" ht="14.4">
      <c r="A240" s="117"/>
      <c r="B240" s="117"/>
      <c r="C240" s="117"/>
      <c r="D240" s="117"/>
      <c r="E240" s="117"/>
      <c r="F240" s="117"/>
      <c r="G240" s="117"/>
      <c r="H240" s="117"/>
      <c r="I240" s="235"/>
      <c r="J240" s="235"/>
      <c r="K240" s="235"/>
      <c r="L240" s="117"/>
      <c r="M240" s="117"/>
      <c r="N240" s="117"/>
      <c r="O240" s="117"/>
      <c r="P240" s="117"/>
      <c r="Q240" s="117"/>
      <c r="R240" s="117"/>
      <c r="S240" s="117"/>
      <c r="T240" s="117"/>
      <c r="U240" s="117"/>
      <c r="V240" s="117"/>
      <c r="W240" s="117"/>
      <c r="X240" s="117"/>
      <c r="Y240" s="117"/>
      <c r="Z240" s="117"/>
      <c r="AA240" s="117"/>
    </row>
    <row r="241" spans="1:27" ht="14.4">
      <c r="A241" s="117"/>
      <c r="B241" s="117"/>
      <c r="C241" s="117"/>
      <c r="D241" s="117"/>
      <c r="E241" s="117"/>
      <c r="F241" s="117"/>
      <c r="G241" s="117"/>
      <c r="H241" s="117"/>
      <c r="I241" s="235"/>
      <c r="J241" s="235"/>
      <c r="K241" s="235"/>
      <c r="L241" s="117"/>
      <c r="M241" s="117"/>
      <c r="N241" s="117"/>
      <c r="O241" s="117"/>
      <c r="P241" s="117"/>
      <c r="Q241" s="117"/>
      <c r="R241" s="117"/>
      <c r="S241" s="117"/>
      <c r="T241" s="117"/>
      <c r="U241" s="117"/>
      <c r="V241" s="117"/>
      <c r="W241" s="117"/>
      <c r="X241" s="117"/>
      <c r="Y241" s="117"/>
      <c r="Z241" s="117"/>
      <c r="AA241" s="117"/>
    </row>
    <row r="242" spans="1:27" ht="14.4">
      <c r="A242" s="117"/>
      <c r="B242" s="117"/>
      <c r="C242" s="117"/>
      <c r="D242" s="117"/>
      <c r="E242" s="117"/>
      <c r="F242" s="117"/>
      <c r="G242" s="117"/>
      <c r="H242" s="117"/>
      <c r="I242" s="235"/>
      <c r="J242" s="235"/>
      <c r="K242" s="235"/>
      <c r="L242" s="117"/>
      <c r="M242" s="117"/>
      <c r="N242" s="117"/>
      <c r="O242" s="117"/>
      <c r="P242" s="117"/>
      <c r="Q242" s="117"/>
      <c r="R242" s="117"/>
      <c r="S242" s="117"/>
      <c r="T242" s="117"/>
      <c r="U242" s="117"/>
      <c r="V242" s="117"/>
      <c r="W242" s="117"/>
      <c r="X242" s="117"/>
      <c r="Y242" s="117"/>
      <c r="Z242" s="117"/>
      <c r="AA242" s="117"/>
    </row>
    <row r="243" spans="1:27" ht="14.4">
      <c r="A243" s="117"/>
      <c r="B243" s="117"/>
      <c r="C243" s="117"/>
      <c r="D243" s="117"/>
      <c r="E243" s="117"/>
      <c r="F243" s="117"/>
      <c r="G243" s="117"/>
      <c r="H243" s="117"/>
      <c r="I243" s="235"/>
      <c r="J243" s="235"/>
      <c r="K243" s="235"/>
      <c r="L243" s="117"/>
      <c r="M243" s="117"/>
      <c r="N243" s="117"/>
      <c r="O243" s="117"/>
      <c r="P243" s="117"/>
      <c r="Q243" s="117"/>
      <c r="R243" s="117"/>
      <c r="S243" s="117"/>
      <c r="T243" s="117"/>
      <c r="U243" s="117"/>
      <c r="V243" s="117"/>
      <c r="W243" s="117"/>
      <c r="X243" s="117"/>
      <c r="Y243" s="117"/>
      <c r="Z243" s="117"/>
      <c r="AA243" s="117"/>
    </row>
    <row r="244" spans="1:27" ht="14.4">
      <c r="A244" s="117"/>
      <c r="B244" s="117"/>
      <c r="C244" s="117"/>
      <c r="D244" s="117"/>
      <c r="E244" s="117"/>
      <c r="F244" s="117"/>
      <c r="G244" s="117"/>
      <c r="H244" s="117"/>
      <c r="I244" s="235"/>
      <c r="J244" s="235"/>
      <c r="K244" s="235"/>
      <c r="L244" s="117"/>
      <c r="M244" s="117"/>
      <c r="N244" s="117"/>
      <c r="O244" s="117"/>
      <c r="P244" s="117"/>
      <c r="Q244" s="117"/>
      <c r="R244" s="117"/>
      <c r="S244" s="117"/>
      <c r="T244" s="117"/>
      <c r="U244" s="117"/>
      <c r="V244" s="117"/>
      <c r="W244" s="117"/>
      <c r="X244" s="117"/>
      <c r="Y244" s="117"/>
      <c r="Z244" s="117"/>
      <c r="AA244" s="117"/>
    </row>
    <row r="245" spans="1:27" ht="14.4">
      <c r="A245" s="117"/>
      <c r="B245" s="117"/>
      <c r="C245" s="117"/>
      <c r="D245" s="117"/>
      <c r="E245" s="117"/>
      <c r="F245" s="117"/>
      <c r="G245" s="117"/>
      <c r="H245" s="117"/>
      <c r="I245" s="235"/>
      <c r="J245" s="235"/>
      <c r="K245" s="235"/>
      <c r="L245" s="117"/>
      <c r="M245" s="117"/>
      <c r="N245" s="117"/>
      <c r="O245" s="117"/>
      <c r="P245" s="117"/>
      <c r="Q245" s="117"/>
      <c r="R245" s="117"/>
      <c r="S245" s="117"/>
      <c r="T245" s="117"/>
      <c r="U245" s="117"/>
      <c r="V245" s="117"/>
      <c r="W245" s="117"/>
      <c r="X245" s="117"/>
      <c r="Y245" s="117"/>
      <c r="Z245" s="117"/>
      <c r="AA245" s="117"/>
    </row>
    <row r="246" spans="1:27" ht="14.4">
      <c r="A246" s="117"/>
      <c r="B246" s="117"/>
      <c r="C246" s="117"/>
      <c r="D246" s="117"/>
      <c r="E246" s="117"/>
      <c r="F246" s="117"/>
      <c r="G246" s="117"/>
      <c r="H246" s="117"/>
      <c r="I246" s="235"/>
      <c r="J246" s="235"/>
      <c r="K246" s="235"/>
      <c r="L246" s="117"/>
      <c r="M246" s="117"/>
      <c r="N246" s="117"/>
      <c r="O246" s="117"/>
      <c r="P246" s="117"/>
      <c r="Q246" s="117"/>
      <c r="R246" s="117"/>
      <c r="S246" s="117"/>
      <c r="T246" s="117"/>
      <c r="U246" s="117"/>
      <c r="V246" s="117"/>
      <c r="W246" s="117"/>
      <c r="X246" s="117"/>
      <c r="Y246" s="117"/>
      <c r="Z246" s="117"/>
      <c r="AA246" s="117"/>
    </row>
    <row r="247" spans="1:27" ht="14.4">
      <c r="A247" s="117"/>
      <c r="B247" s="117"/>
      <c r="C247" s="117"/>
      <c r="D247" s="117"/>
      <c r="E247" s="117"/>
      <c r="F247" s="117"/>
      <c r="G247" s="117"/>
      <c r="H247" s="117"/>
      <c r="I247" s="235"/>
      <c r="J247" s="235"/>
      <c r="K247" s="235"/>
      <c r="L247" s="117"/>
      <c r="M247" s="117"/>
      <c r="N247" s="117"/>
      <c r="O247" s="117"/>
      <c r="P247" s="117"/>
      <c r="Q247" s="117"/>
      <c r="R247" s="117"/>
      <c r="S247" s="117"/>
      <c r="T247" s="117"/>
      <c r="U247" s="117"/>
      <c r="V247" s="117"/>
      <c r="W247" s="117"/>
      <c r="X247" s="117"/>
      <c r="Y247" s="117"/>
      <c r="Z247" s="117"/>
      <c r="AA247" s="117"/>
    </row>
    <row r="248" spans="1:27" ht="14.4">
      <c r="A248" s="117"/>
      <c r="B248" s="117"/>
      <c r="C248" s="117"/>
      <c r="D248" s="117"/>
      <c r="E248" s="117"/>
      <c r="F248" s="117"/>
      <c r="G248" s="117"/>
      <c r="H248" s="117"/>
      <c r="I248" s="235"/>
      <c r="J248" s="235"/>
      <c r="K248" s="235"/>
      <c r="L248" s="117"/>
      <c r="M248" s="117"/>
      <c r="N248" s="117"/>
      <c r="O248" s="117"/>
      <c r="P248" s="117"/>
      <c r="Q248" s="117"/>
      <c r="R248" s="117"/>
      <c r="S248" s="117"/>
      <c r="T248" s="117"/>
      <c r="U248" s="117"/>
      <c r="V248" s="117"/>
      <c r="W248" s="117"/>
      <c r="X248" s="117"/>
      <c r="Y248" s="117"/>
      <c r="Z248" s="117"/>
      <c r="AA248" s="117"/>
    </row>
    <row r="249" spans="1:27" ht="14.4">
      <c r="A249" s="117"/>
      <c r="B249" s="117"/>
      <c r="C249" s="117"/>
      <c r="D249" s="117"/>
      <c r="E249" s="117"/>
      <c r="F249" s="117"/>
      <c r="G249" s="117"/>
      <c r="H249" s="117"/>
      <c r="I249" s="235"/>
      <c r="J249" s="235"/>
      <c r="K249" s="235"/>
      <c r="L249" s="117"/>
      <c r="M249" s="117"/>
      <c r="N249" s="117"/>
      <c r="O249" s="117"/>
      <c r="P249" s="117"/>
      <c r="Q249" s="117"/>
      <c r="R249" s="117"/>
      <c r="S249" s="117"/>
      <c r="T249" s="117"/>
      <c r="U249" s="117"/>
      <c r="V249" s="117"/>
      <c r="W249" s="117"/>
      <c r="X249" s="117"/>
      <c r="Y249" s="117"/>
      <c r="Z249" s="117"/>
      <c r="AA249" s="117"/>
    </row>
    <row r="250" spans="1:27" ht="14.4">
      <c r="A250" s="117"/>
      <c r="B250" s="117"/>
      <c r="C250" s="117"/>
      <c r="D250" s="117"/>
      <c r="E250" s="117"/>
      <c r="F250" s="117"/>
      <c r="G250" s="117"/>
      <c r="H250" s="117"/>
      <c r="I250" s="235"/>
      <c r="J250" s="235"/>
      <c r="K250" s="235"/>
      <c r="L250" s="117"/>
      <c r="M250" s="117"/>
      <c r="N250" s="117"/>
      <c r="O250" s="117"/>
      <c r="P250" s="117"/>
      <c r="Q250" s="117"/>
      <c r="R250" s="117"/>
      <c r="S250" s="117"/>
      <c r="T250" s="117"/>
      <c r="U250" s="117"/>
      <c r="V250" s="117"/>
      <c r="W250" s="117"/>
      <c r="X250" s="117"/>
      <c r="Y250" s="117"/>
      <c r="Z250" s="117"/>
      <c r="AA250" s="117"/>
    </row>
    <row r="251" spans="1:27" ht="14.4">
      <c r="A251" s="117"/>
      <c r="B251" s="117"/>
      <c r="C251" s="117"/>
      <c r="D251" s="117"/>
      <c r="E251" s="117"/>
      <c r="F251" s="117"/>
      <c r="G251" s="117"/>
      <c r="H251" s="117"/>
      <c r="I251" s="235"/>
      <c r="J251" s="235"/>
      <c r="K251" s="235"/>
      <c r="L251" s="117"/>
      <c r="M251" s="117"/>
      <c r="N251" s="117"/>
      <c r="O251" s="117"/>
      <c r="P251" s="117"/>
      <c r="Q251" s="117"/>
      <c r="R251" s="117"/>
      <c r="S251" s="117"/>
      <c r="T251" s="117"/>
      <c r="U251" s="117"/>
      <c r="V251" s="117"/>
      <c r="W251" s="117"/>
      <c r="X251" s="117"/>
      <c r="Y251" s="117"/>
      <c r="Z251" s="117"/>
      <c r="AA251" s="117"/>
    </row>
    <row r="252" spans="1:27" ht="14.4">
      <c r="A252" s="117"/>
      <c r="B252" s="117"/>
      <c r="C252" s="117"/>
      <c r="D252" s="117"/>
      <c r="E252" s="117"/>
      <c r="F252" s="117"/>
      <c r="G252" s="117"/>
      <c r="H252" s="117"/>
      <c r="I252" s="235"/>
      <c r="J252" s="235"/>
      <c r="K252" s="235"/>
      <c r="L252" s="117"/>
      <c r="M252" s="117"/>
      <c r="N252" s="117"/>
      <c r="O252" s="117"/>
      <c r="P252" s="117"/>
      <c r="Q252" s="117"/>
      <c r="R252" s="117"/>
      <c r="S252" s="117"/>
      <c r="T252" s="117"/>
      <c r="U252" s="117"/>
      <c r="V252" s="117"/>
      <c r="W252" s="117"/>
      <c r="X252" s="117"/>
      <c r="Y252" s="117"/>
      <c r="Z252" s="117"/>
      <c r="AA252" s="117"/>
    </row>
    <row r="253" spans="1:27" ht="14.4">
      <c r="A253" s="117"/>
      <c r="B253" s="117"/>
      <c r="C253" s="117"/>
      <c r="D253" s="117"/>
      <c r="E253" s="117"/>
      <c r="F253" s="117"/>
      <c r="G253" s="117"/>
      <c r="H253" s="117"/>
      <c r="I253" s="235"/>
      <c r="J253" s="235"/>
      <c r="K253" s="235"/>
      <c r="L253" s="117"/>
      <c r="M253" s="117"/>
      <c r="N253" s="117"/>
      <c r="O253" s="117"/>
      <c r="P253" s="117"/>
      <c r="Q253" s="117"/>
      <c r="R253" s="117"/>
      <c r="S253" s="117"/>
      <c r="T253" s="117"/>
      <c r="U253" s="117"/>
      <c r="V253" s="117"/>
      <c r="W253" s="117"/>
      <c r="X253" s="117"/>
      <c r="Y253" s="117"/>
      <c r="Z253" s="117"/>
      <c r="AA253" s="117"/>
    </row>
    <row r="254" spans="1:27" ht="14.4">
      <c r="A254" s="117"/>
      <c r="B254" s="117"/>
      <c r="C254" s="117"/>
      <c r="D254" s="117"/>
      <c r="E254" s="117"/>
      <c r="F254" s="117"/>
      <c r="G254" s="117"/>
      <c r="H254" s="117"/>
      <c r="I254" s="235"/>
      <c r="J254" s="235"/>
      <c r="K254" s="235"/>
      <c r="L254" s="117"/>
      <c r="M254" s="117"/>
      <c r="N254" s="117"/>
      <c r="O254" s="117"/>
      <c r="P254" s="117"/>
      <c r="Q254" s="117"/>
      <c r="R254" s="117"/>
      <c r="S254" s="117"/>
      <c r="T254" s="117"/>
      <c r="U254" s="117"/>
      <c r="V254" s="117"/>
      <c r="W254" s="117"/>
      <c r="X254" s="117"/>
      <c r="Y254" s="117"/>
      <c r="Z254" s="117"/>
      <c r="AA254" s="117"/>
    </row>
    <row r="255" spans="1:27" ht="14.4">
      <c r="A255" s="117"/>
      <c r="B255" s="117"/>
      <c r="C255" s="117"/>
      <c r="D255" s="117"/>
      <c r="E255" s="117"/>
      <c r="F255" s="117"/>
      <c r="G255" s="117"/>
      <c r="H255" s="117"/>
      <c r="I255" s="235"/>
      <c r="J255" s="235"/>
      <c r="K255" s="235"/>
      <c r="L255" s="117"/>
      <c r="M255" s="117"/>
      <c r="N255" s="117"/>
      <c r="O255" s="117"/>
      <c r="P255" s="117"/>
      <c r="Q255" s="117"/>
      <c r="R255" s="117"/>
      <c r="S255" s="117"/>
      <c r="T255" s="117"/>
      <c r="U255" s="117"/>
      <c r="V255" s="117"/>
      <c r="W255" s="117"/>
      <c r="X255" s="117"/>
      <c r="Y255" s="117"/>
      <c r="Z255" s="117"/>
      <c r="AA255" s="117"/>
    </row>
    <row r="256" spans="1:27" ht="14.4">
      <c r="A256" s="117"/>
      <c r="B256" s="117"/>
      <c r="C256" s="117"/>
      <c r="D256" s="117"/>
      <c r="E256" s="117"/>
      <c r="F256" s="117"/>
      <c r="G256" s="117"/>
      <c r="H256" s="117"/>
      <c r="I256" s="235"/>
      <c r="J256" s="235"/>
      <c r="K256" s="235"/>
      <c r="L256" s="117"/>
      <c r="M256" s="117"/>
      <c r="N256" s="117"/>
      <c r="O256" s="117"/>
      <c r="P256" s="117"/>
      <c r="Q256" s="117"/>
      <c r="R256" s="117"/>
      <c r="S256" s="117"/>
      <c r="T256" s="117"/>
      <c r="U256" s="117"/>
      <c r="V256" s="117"/>
      <c r="W256" s="117"/>
      <c r="X256" s="117"/>
      <c r="Y256" s="117"/>
      <c r="Z256" s="117"/>
      <c r="AA256" s="117"/>
    </row>
    <row r="257" spans="1:27" ht="14.4">
      <c r="A257" s="117"/>
      <c r="B257" s="117"/>
      <c r="C257" s="117"/>
      <c r="D257" s="117"/>
      <c r="E257" s="117"/>
      <c r="F257" s="117"/>
      <c r="G257" s="117"/>
      <c r="H257" s="117"/>
      <c r="I257" s="235"/>
      <c r="J257" s="235"/>
      <c r="K257" s="235"/>
      <c r="L257" s="117"/>
      <c r="M257" s="117"/>
      <c r="N257" s="117"/>
      <c r="O257" s="117"/>
      <c r="P257" s="117"/>
      <c r="Q257" s="117"/>
      <c r="R257" s="117"/>
      <c r="S257" s="117"/>
      <c r="T257" s="117"/>
      <c r="U257" s="117"/>
      <c r="V257" s="117"/>
      <c r="W257" s="117"/>
      <c r="X257" s="117"/>
      <c r="Y257" s="117"/>
      <c r="Z257" s="117"/>
      <c r="AA257" s="117"/>
    </row>
    <row r="258" spans="1:27" ht="14.4">
      <c r="A258" s="117"/>
      <c r="B258" s="117"/>
      <c r="C258" s="117"/>
      <c r="D258" s="117"/>
      <c r="E258" s="117"/>
      <c r="F258" s="117"/>
      <c r="G258" s="117"/>
      <c r="H258" s="117"/>
      <c r="I258" s="235"/>
      <c r="J258" s="235"/>
      <c r="K258" s="235"/>
      <c r="L258" s="117"/>
      <c r="M258" s="117"/>
      <c r="N258" s="117"/>
      <c r="O258" s="117"/>
      <c r="P258" s="117"/>
      <c r="Q258" s="117"/>
      <c r="R258" s="117"/>
      <c r="S258" s="117"/>
      <c r="T258" s="117"/>
      <c r="U258" s="117"/>
      <c r="V258" s="117"/>
      <c r="W258" s="117"/>
      <c r="X258" s="117"/>
      <c r="Y258" s="117"/>
      <c r="Z258" s="117"/>
      <c r="AA258" s="117"/>
    </row>
    <row r="259" spans="1:27" ht="14.4">
      <c r="A259" s="117"/>
      <c r="B259" s="117"/>
      <c r="C259" s="117"/>
      <c r="D259" s="117"/>
      <c r="E259" s="117"/>
      <c r="F259" s="117"/>
      <c r="G259" s="117"/>
      <c r="H259" s="117"/>
      <c r="I259" s="235"/>
      <c r="J259" s="235"/>
      <c r="K259" s="235"/>
      <c r="L259" s="117"/>
      <c r="M259" s="117"/>
      <c r="N259" s="117"/>
      <c r="O259" s="117"/>
      <c r="P259" s="117"/>
      <c r="Q259" s="117"/>
      <c r="R259" s="117"/>
      <c r="S259" s="117"/>
      <c r="T259" s="117"/>
      <c r="U259" s="117"/>
      <c r="V259" s="117"/>
      <c r="W259" s="117"/>
      <c r="X259" s="117"/>
      <c r="Y259" s="117"/>
      <c r="Z259" s="117"/>
      <c r="AA259" s="117"/>
    </row>
    <row r="260" spans="1:27" ht="14.4">
      <c r="A260" s="117"/>
      <c r="B260" s="117"/>
      <c r="C260" s="117"/>
      <c r="D260" s="117"/>
      <c r="E260" s="117"/>
      <c r="F260" s="117"/>
      <c r="G260" s="117"/>
      <c r="H260" s="117"/>
      <c r="I260" s="235"/>
      <c r="J260" s="235"/>
      <c r="K260" s="235"/>
      <c r="L260" s="117"/>
      <c r="M260" s="117"/>
      <c r="N260" s="117"/>
      <c r="O260" s="117"/>
      <c r="P260" s="117"/>
      <c r="Q260" s="117"/>
      <c r="R260" s="117"/>
      <c r="S260" s="117"/>
      <c r="T260" s="117"/>
      <c r="U260" s="117"/>
      <c r="V260" s="117"/>
      <c r="W260" s="117"/>
      <c r="X260" s="117"/>
      <c r="Y260" s="117"/>
      <c r="Z260" s="117"/>
      <c r="AA260" s="117"/>
    </row>
    <row r="261" spans="1:27" ht="14.4">
      <c r="A261" s="117"/>
      <c r="B261" s="117"/>
      <c r="C261" s="117"/>
      <c r="D261" s="117"/>
      <c r="E261" s="117"/>
      <c r="F261" s="117"/>
      <c r="G261" s="117"/>
      <c r="H261" s="117"/>
      <c r="I261" s="235"/>
      <c r="J261" s="235"/>
      <c r="K261" s="235"/>
      <c r="L261" s="117"/>
      <c r="M261" s="117"/>
      <c r="N261" s="117"/>
      <c r="O261" s="117"/>
      <c r="P261" s="117"/>
      <c r="Q261" s="117"/>
      <c r="R261" s="117"/>
      <c r="S261" s="117"/>
      <c r="T261" s="117"/>
      <c r="U261" s="117"/>
      <c r="V261" s="117"/>
      <c r="W261" s="117"/>
      <c r="X261" s="117"/>
      <c r="Y261" s="117"/>
      <c r="Z261" s="117"/>
      <c r="AA261" s="117"/>
    </row>
    <row r="262" spans="1:27" ht="14.4">
      <c r="A262" s="117"/>
      <c r="B262" s="117"/>
      <c r="C262" s="117"/>
      <c r="D262" s="117"/>
      <c r="E262" s="117"/>
      <c r="F262" s="117"/>
      <c r="G262" s="117"/>
      <c r="H262" s="117"/>
      <c r="I262" s="235"/>
      <c r="J262" s="235"/>
      <c r="K262" s="235"/>
      <c r="L262" s="117"/>
      <c r="M262" s="117"/>
      <c r="N262" s="117"/>
      <c r="O262" s="117"/>
      <c r="P262" s="117"/>
      <c r="Q262" s="117"/>
      <c r="R262" s="117"/>
      <c r="S262" s="117"/>
      <c r="T262" s="117"/>
      <c r="U262" s="117"/>
      <c r="V262" s="117"/>
      <c r="W262" s="117"/>
      <c r="X262" s="117"/>
      <c r="Y262" s="117"/>
      <c r="Z262" s="117"/>
      <c r="AA262" s="117"/>
    </row>
    <row r="263" spans="1:27" ht="14.4">
      <c r="A263" s="117"/>
      <c r="B263" s="117"/>
      <c r="C263" s="117"/>
      <c r="D263" s="117"/>
      <c r="E263" s="117"/>
      <c r="F263" s="117"/>
      <c r="G263" s="117"/>
      <c r="H263" s="117"/>
      <c r="I263" s="235"/>
      <c r="J263" s="235"/>
      <c r="K263" s="235"/>
      <c r="L263" s="117"/>
      <c r="M263" s="117"/>
      <c r="N263" s="117"/>
      <c r="O263" s="117"/>
      <c r="P263" s="117"/>
      <c r="Q263" s="117"/>
      <c r="R263" s="117"/>
      <c r="S263" s="117"/>
      <c r="T263" s="117"/>
      <c r="U263" s="117"/>
      <c r="V263" s="117"/>
      <c r="W263" s="117"/>
      <c r="X263" s="117"/>
      <c r="Y263" s="117"/>
      <c r="Z263" s="117"/>
      <c r="AA263" s="117"/>
    </row>
    <row r="264" spans="1:27" ht="14.4">
      <c r="A264" s="117"/>
      <c r="B264" s="117"/>
      <c r="C264" s="117"/>
      <c r="D264" s="117"/>
      <c r="E264" s="117"/>
      <c r="F264" s="117"/>
      <c r="G264" s="117"/>
      <c r="H264" s="117"/>
      <c r="I264" s="235"/>
      <c r="J264" s="235"/>
      <c r="K264" s="235"/>
      <c r="L264" s="117"/>
      <c r="M264" s="117"/>
      <c r="N264" s="117"/>
      <c r="O264" s="117"/>
      <c r="P264" s="117"/>
      <c r="Q264" s="117"/>
      <c r="R264" s="117"/>
      <c r="S264" s="117"/>
      <c r="T264" s="117"/>
      <c r="U264" s="117"/>
      <c r="V264" s="117"/>
      <c r="W264" s="117"/>
      <c r="X264" s="117"/>
      <c r="Y264" s="117"/>
      <c r="Z264" s="117"/>
      <c r="AA264" s="117"/>
    </row>
    <row r="265" spans="1:27" ht="14.4">
      <c r="A265" s="117"/>
      <c r="B265" s="117"/>
      <c r="C265" s="117"/>
      <c r="D265" s="117"/>
      <c r="E265" s="117"/>
      <c r="F265" s="117"/>
      <c r="G265" s="117"/>
      <c r="H265" s="117"/>
      <c r="I265" s="235"/>
      <c r="J265" s="235"/>
      <c r="K265" s="235"/>
      <c r="L265" s="117"/>
      <c r="M265" s="117"/>
      <c r="N265" s="117"/>
      <c r="O265" s="117"/>
      <c r="P265" s="117"/>
      <c r="Q265" s="117"/>
      <c r="R265" s="117"/>
      <c r="S265" s="117"/>
      <c r="T265" s="117"/>
      <c r="U265" s="117"/>
      <c r="V265" s="117"/>
      <c r="W265" s="117"/>
      <c r="X265" s="117"/>
      <c r="Y265" s="117"/>
      <c r="Z265" s="117"/>
      <c r="AA265" s="117"/>
    </row>
    <row r="266" spans="1:27" ht="14.4">
      <c r="A266" s="117"/>
      <c r="B266" s="117"/>
      <c r="C266" s="117"/>
      <c r="D266" s="117"/>
      <c r="E266" s="117"/>
      <c r="F266" s="117"/>
      <c r="G266" s="117"/>
      <c r="H266" s="117"/>
      <c r="I266" s="235"/>
      <c r="J266" s="235"/>
      <c r="K266" s="235"/>
      <c r="L266" s="117"/>
      <c r="M266" s="117"/>
      <c r="N266" s="117"/>
      <c r="O266" s="117"/>
      <c r="P266" s="117"/>
      <c r="Q266" s="117"/>
      <c r="R266" s="117"/>
      <c r="S266" s="117"/>
      <c r="T266" s="117"/>
      <c r="U266" s="117"/>
      <c r="V266" s="117"/>
      <c r="W266" s="117"/>
      <c r="X266" s="117"/>
      <c r="Y266" s="117"/>
      <c r="Z266" s="117"/>
      <c r="AA266" s="117"/>
    </row>
    <row r="267" spans="1:27" ht="14.4">
      <c r="A267" s="117"/>
      <c r="B267" s="117"/>
      <c r="C267" s="117"/>
      <c r="D267" s="117"/>
      <c r="E267" s="117"/>
      <c r="F267" s="117"/>
      <c r="G267" s="117"/>
      <c r="H267" s="117"/>
      <c r="I267" s="235"/>
      <c r="J267" s="235"/>
      <c r="K267" s="235"/>
      <c r="L267" s="117"/>
      <c r="M267" s="117"/>
      <c r="N267" s="117"/>
      <c r="O267" s="117"/>
      <c r="P267" s="117"/>
      <c r="Q267" s="117"/>
      <c r="R267" s="117"/>
      <c r="S267" s="117"/>
      <c r="T267" s="117"/>
      <c r="U267" s="117"/>
      <c r="V267" s="117"/>
      <c r="W267" s="117"/>
      <c r="X267" s="117"/>
      <c r="Y267" s="117"/>
      <c r="Z267" s="117"/>
      <c r="AA267" s="117"/>
    </row>
    <row r="268" spans="1:27" ht="14.4">
      <c r="A268" s="117"/>
      <c r="B268" s="117"/>
      <c r="C268" s="117"/>
      <c r="D268" s="117"/>
      <c r="E268" s="117"/>
      <c r="F268" s="117"/>
      <c r="G268" s="117"/>
      <c r="H268" s="117"/>
      <c r="I268" s="235"/>
      <c r="J268" s="235"/>
      <c r="K268" s="235"/>
      <c r="L268" s="117"/>
      <c r="M268" s="117"/>
      <c r="N268" s="117"/>
      <c r="O268" s="117"/>
      <c r="P268" s="117"/>
      <c r="Q268" s="117"/>
      <c r="R268" s="117"/>
      <c r="S268" s="117"/>
      <c r="T268" s="117"/>
      <c r="U268" s="117"/>
      <c r="V268" s="117"/>
      <c r="W268" s="117"/>
      <c r="X268" s="117"/>
      <c r="Y268" s="117"/>
      <c r="Z268" s="117"/>
      <c r="AA268" s="117"/>
    </row>
    <row r="269" spans="1:27" ht="14.4">
      <c r="A269" s="117"/>
      <c r="B269" s="117"/>
      <c r="C269" s="117"/>
      <c r="D269" s="117"/>
      <c r="E269" s="117"/>
      <c r="F269" s="117"/>
      <c r="G269" s="117"/>
      <c r="H269" s="117"/>
      <c r="I269" s="235"/>
      <c r="J269" s="235"/>
      <c r="K269" s="235"/>
      <c r="L269" s="117"/>
      <c r="M269" s="117"/>
      <c r="N269" s="117"/>
      <c r="O269" s="117"/>
      <c r="P269" s="117"/>
      <c r="Q269" s="117"/>
      <c r="R269" s="117"/>
      <c r="S269" s="117"/>
      <c r="T269" s="117"/>
      <c r="U269" s="117"/>
      <c r="V269" s="117"/>
      <c r="W269" s="117"/>
      <c r="X269" s="117"/>
      <c r="Y269" s="117"/>
      <c r="Z269" s="117"/>
      <c r="AA269" s="117"/>
    </row>
    <row r="270" spans="1:27" ht="14.4">
      <c r="A270" s="117"/>
      <c r="B270" s="117"/>
      <c r="C270" s="117"/>
      <c r="D270" s="117"/>
      <c r="E270" s="117"/>
      <c r="F270" s="117"/>
      <c r="G270" s="117"/>
      <c r="H270" s="117"/>
      <c r="I270" s="235"/>
      <c r="J270" s="235"/>
      <c r="K270" s="235"/>
      <c r="L270" s="117"/>
      <c r="M270" s="117"/>
      <c r="N270" s="117"/>
      <c r="O270" s="117"/>
      <c r="P270" s="117"/>
      <c r="Q270" s="117"/>
      <c r="R270" s="117"/>
      <c r="S270" s="117"/>
      <c r="T270" s="117"/>
      <c r="U270" s="117"/>
      <c r="V270" s="117"/>
      <c r="W270" s="117"/>
      <c r="X270" s="117"/>
      <c r="Y270" s="117"/>
      <c r="Z270" s="117"/>
      <c r="AA270" s="117"/>
    </row>
    <row r="271" spans="1:27" ht="14.4">
      <c r="A271" s="117"/>
      <c r="B271" s="117"/>
      <c r="C271" s="117"/>
      <c r="D271" s="117"/>
      <c r="E271" s="117"/>
      <c r="F271" s="117"/>
      <c r="G271" s="117"/>
      <c r="H271" s="117"/>
      <c r="I271" s="235"/>
      <c r="J271" s="235"/>
      <c r="K271" s="235"/>
      <c r="L271" s="117"/>
      <c r="M271" s="117"/>
      <c r="N271" s="117"/>
      <c r="O271" s="117"/>
      <c r="P271" s="117"/>
      <c r="Q271" s="117"/>
      <c r="R271" s="117"/>
      <c r="S271" s="117"/>
      <c r="T271" s="117"/>
      <c r="U271" s="117"/>
      <c r="V271" s="117"/>
      <c r="W271" s="117"/>
      <c r="X271" s="117"/>
      <c r="Y271" s="117"/>
      <c r="Z271" s="117"/>
      <c r="AA271" s="117"/>
    </row>
    <row r="272" spans="1:27" ht="14.4">
      <c r="A272" s="117"/>
      <c r="B272" s="117"/>
      <c r="C272" s="117"/>
      <c r="D272" s="117"/>
      <c r="E272" s="117"/>
      <c r="F272" s="117"/>
      <c r="G272" s="117"/>
      <c r="H272" s="117"/>
      <c r="I272" s="235"/>
      <c r="J272" s="235"/>
      <c r="K272" s="235"/>
      <c r="L272" s="117"/>
      <c r="M272" s="117"/>
      <c r="N272" s="117"/>
      <c r="O272" s="117"/>
      <c r="P272" s="117"/>
      <c r="Q272" s="117"/>
      <c r="R272" s="117"/>
      <c r="S272" s="117"/>
      <c r="T272" s="117"/>
      <c r="U272" s="117"/>
      <c r="V272" s="117"/>
      <c r="W272" s="117"/>
      <c r="X272" s="117"/>
      <c r="Y272" s="117"/>
      <c r="Z272" s="117"/>
      <c r="AA272" s="117"/>
    </row>
    <row r="273" spans="1:27" ht="14.4">
      <c r="A273" s="117"/>
      <c r="B273" s="117"/>
      <c r="C273" s="117"/>
      <c r="D273" s="117"/>
      <c r="E273" s="117"/>
      <c r="F273" s="117"/>
      <c r="G273" s="117"/>
      <c r="H273" s="117"/>
      <c r="I273" s="235"/>
      <c r="J273" s="235"/>
      <c r="K273" s="235"/>
      <c r="L273" s="117"/>
      <c r="M273" s="117"/>
      <c r="N273" s="117"/>
      <c r="O273" s="117"/>
      <c r="P273" s="117"/>
      <c r="Q273" s="117"/>
      <c r="R273" s="117"/>
      <c r="S273" s="117"/>
      <c r="T273" s="117"/>
      <c r="U273" s="117"/>
      <c r="V273" s="117"/>
      <c r="W273" s="117"/>
      <c r="X273" s="117"/>
      <c r="Y273" s="117"/>
      <c r="Z273" s="117"/>
      <c r="AA273" s="117"/>
    </row>
    <row r="274" spans="1:27" ht="14.4">
      <c r="A274" s="117"/>
      <c r="B274" s="117"/>
      <c r="C274" s="117"/>
      <c r="D274" s="117"/>
      <c r="E274" s="117"/>
      <c r="F274" s="117"/>
      <c r="G274" s="117"/>
      <c r="H274" s="117"/>
      <c r="I274" s="235"/>
      <c r="J274" s="235"/>
      <c r="K274" s="235"/>
      <c r="L274" s="117"/>
      <c r="M274" s="117"/>
      <c r="N274" s="117"/>
      <c r="O274" s="117"/>
      <c r="P274" s="117"/>
      <c r="Q274" s="117"/>
      <c r="R274" s="117"/>
      <c r="S274" s="117"/>
      <c r="T274" s="117"/>
      <c r="U274" s="117"/>
      <c r="V274" s="117"/>
      <c r="W274" s="117"/>
      <c r="X274" s="117"/>
      <c r="Y274" s="117"/>
      <c r="Z274" s="117"/>
      <c r="AA274" s="117"/>
    </row>
    <row r="275" spans="1:27" ht="14.4">
      <c r="A275" s="117"/>
      <c r="B275" s="117"/>
      <c r="C275" s="117"/>
      <c r="D275" s="117"/>
      <c r="E275" s="117"/>
      <c r="F275" s="117"/>
      <c r="G275" s="117"/>
      <c r="H275" s="117"/>
      <c r="I275" s="235"/>
      <c r="J275" s="235"/>
      <c r="K275" s="235"/>
      <c r="L275" s="117"/>
      <c r="M275" s="117"/>
      <c r="N275" s="117"/>
      <c r="O275" s="117"/>
      <c r="P275" s="117"/>
      <c r="Q275" s="117"/>
      <c r="R275" s="117"/>
      <c r="S275" s="117"/>
      <c r="T275" s="117"/>
      <c r="U275" s="117"/>
      <c r="V275" s="117"/>
      <c r="W275" s="117"/>
      <c r="X275" s="117"/>
      <c r="Y275" s="117"/>
      <c r="Z275" s="117"/>
      <c r="AA275" s="117"/>
    </row>
    <row r="276" spans="1:27" ht="14.4">
      <c r="A276" s="117"/>
      <c r="B276" s="117"/>
      <c r="C276" s="117"/>
      <c r="D276" s="117"/>
      <c r="E276" s="117"/>
      <c r="F276" s="117"/>
      <c r="G276" s="117"/>
      <c r="H276" s="117"/>
      <c r="I276" s="235"/>
      <c r="J276" s="235"/>
      <c r="K276" s="235"/>
      <c r="L276" s="117"/>
      <c r="M276" s="117"/>
      <c r="N276" s="117"/>
      <c r="O276" s="117"/>
      <c r="P276" s="117"/>
      <c r="Q276" s="117"/>
      <c r="R276" s="117"/>
      <c r="S276" s="117"/>
      <c r="T276" s="117"/>
      <c r="U276" s="117"/>
      <c r="V276" s="117"/>
      <c r="W276" s="117"/>
      <c r="X276" s="117"/>
      <c r="Y276" s="117"/>
      <c r="Z276" s="117"/>
      <c r="AA276" s="117"/>
    </row>
    <row r="277" spans="1:27" ht="14.4">
      <c r="A277" s="117"/>
      <c r="B277" s="117"/>
      <c r="C277" s="117"/>
      <c r="D277" s="117"/>
      <c r="E277" s="117"/>
      <c r="F277" s="117"/>
      <c r="G277" s="117"/>
      <c r="H277" s="117"/>
      <c r="I277" s="235"/>
      <c r="J277" s="235"/>
      <c r="K277" s="235"/>
      <c r="L277" s="117"/>
      <c r="M277" s="117"/>
      <c r="N277" s="117"/>
      <c r="O277" s="117"/>
      <c r="P277" s="117"/>
      <c r="Q277" s="117"/>
      <c r="R277" s="117"/>
      <c r="S277" s="117"/>
      <c r="T277" s="117"/>
      <c r="U277" s="117"/>
      <c r="V277" s="117"/>
      <c r="W277" s="117"/>
      <c r="X277" s="117"/>
      <c r="Y277" s="117"/>
      <c r="Z277" s="117"/>
      <c r="AA277" s="117"/>
    </row>
    <row r="278" spans="1:27" ht="14.4">
      <c r="A278" s="117"/>
      <c r="B278" s="117"/>
      <c r="C278" s="117"/>
      <c r="D278" s="117"/>
      <c r="E278" s="117"/>
      <c r="F278" s="117"/>
      <c r="G278" s="117"/>
      <c r="H278" s="117"/>
      <c r="I278" s="235"/>
      <c r="J278" s="235"/>
      <c r="K278" s="235"/>
      <c r="L278" s="117"/>
      <c r="M278" s="117"/>
      <c r="N278" s="117"/>
      <c r="O278" s="117"/>
      <c r="P278" s="117"/>
      <c r="Q278" s="117"/>
      <c r="R278" s="117"/>
      <c r="S278" s="117"/>
      <c r="T278" s="117"/>
      <c r="U278" s="117"/>
      <c r="V278" s="117"/>
      <c r="W278" s="117"/>
      <c r="X278" s="117"/>
      <c r="Y278" s="117"/>
      <c r="Z278" s="117"/>
      <c r="AA278" s="117"/>
    </row>
    <row r="279" spans="1:27" ht="14.4">
      <c r="A279" s="117"/>
      <c r="B279" s="117"/>
      <c r="C279" s="117"/>
      <c r="D279" s="117"/>
      <c r="E279" s="117"/>
      <c r="F279" s="117"/>
      <c r="G279" s="117"/>
      <c r="H279" s="117"/>
      <c r="I279" s="235"/>
      <c r="J279" s="235"/>
      <c r="K279" s="235"/>
      <c r="L279" s="117"/>
      <c r="M279" s="117"/>
      <c r="N279" s="117"/>
      <c r="O279" s="117"/>
      <c r="P279" s="117"/>
      <c r="Q279" s="117"/>
      <c r="R279" s="117"/>
      <c r="S279" s="117"/>
      <c r="T279" s="117"/>
      <c r="U279" s="117"/>
      <c r="V279" s="117"/>
      <c r="W279" s="117"/>
      <c r="X279" s="117"/>
      <c r="Y279" s="117"/>
      <c r="Z279" s="117"/>
      <c r="AA279" s="117"/>
    </row>
    <row r="280" spans="1:27" ht="14.4">
      <c r="A280" s="117"/>
      <c r="B280" s="117"/>
      <c r="C280" s="117"/>
      <c r="D280" s="117"/>
      <c r="E280" s="117"/>
      <c r="F280" s="117"/>
      <c r="G280" s="117"/>
      <c r="H280" s="117"/>
      <c r="I280" s="235"/>
      <c r="J280" s="235"/>
      <c r="K280" s="235"/>
      <c r="L280" s="117"/>
      <c r="M280" s="117"/>
      <c r="N280" s="117"/>
      <c r="O280" s="117"/>
      <c r="P280" s="117"/>
      <c r="Q280" s="117"/>
      <c r="R280" s="117"/>
      <c r="S280" s="117"/>
      <c r="T280" s="117"/>
      <c r="U280" s="117"/>
      <c r="V280" s="117"/>
      <c r="W280" s="117"/>
      <c r="X280" s="117"/>
      <c r="Y280" s="117"/>
      <c r="Z280" s="117"/>
      <c r="AA280" s="117"/>
    </row>
    <row r="281" spans="1:27" ht="14.4">
      <c r="A281" s="117"/>
      <c r="B281" s="117"/>
      <c r="C281" s="117"/>
      <c r="D281" s="117"/>
      <c r="E281" s="117"/>
      <c r="F281" s="117"/>
      <c r="G281" s="117"/>
      <c r="H281" s="117"/>
      <c r="I281" s="235"/>
      <c r="J281" s="235"/>
      <c r="K281" s="235"/>
      <c r="L281" s="117"/>
      <c r="M281" s="117"/>
      <c r="N281" s="117"/>
      <c r="O281" s="117"/>
      <c r="P281" s="117"/>
      <c r="Q281" s="117"/>
      <c r="R281" s="117"/>
      <c r="S281" s="117"/>
      <c r="T281" s="117"/>
      <c r="U281" s="117"/>
      <c r="V281" s="117"/>
      <c r="W281" s="117"/>
      <c r="X281" s="117"/>
      <c r="Y281" s="117"/>
      <c r="Z281" s="117"/>
      <c r="AA281" s="117"/>
    </row>
    <row r="282" spans="1:27" ht="14.4">
      <c r="A282" s="117"/>
      <c r="B282" s="117"/>
      <c r="C282" s="117"/>
      <c r="D282" s="117"/>
      <c r="E282" s="117"/>
      <c r="F282" s="117"/>
      <c r="G282" s="117"/>
      <c r="H282" s="117"/>
      <c r="I282" s="235"/>
      <c r="J282" s="235"/>
      <c r="K282" s="235"/>
      <c r="L282" s="117"/>
      <c r="M282" s="117"/>
      <c r="N282" s="117"/>
      <c r="O282" s="117"/>
      <c r="P282" s="117"/>
      <c r="Q282" s="117"/>
      <c r="R282" s="117"/>
      <c r="S282" s="117"/>
      <c r="T282" s="117"/>
      <c r="U282" s="117"/>
      <c r="V282" s="117"/>
      <c r="W282" s="117"/>
      <c r="X282" s="117"/>
      <c r="Y282" s="117"/>
      <c r="Z282" s="117"/>
      <c r="AA282" s="117"/>
    </row>
    <row r="283" spans="1:27" ht="14.4">
      <c r="A283" s="117"/>
      <c r="B283" s="117"/>
      <c r="C283" s="117"/>
      <c r="D283" s="117"/>
      <c r="E283" s="117"/>
      <c r="F283" s="117"/>
      <c r="G283" s="117"/>
      <c r="H283" s="117"/>
      <c r="I283" s="235"/>
      <c r="J283" s="235"/>
      <c r="K283" s="235"/>
      <c r="L283" s="117"/>
      <c r="M283" s="117"/>
      <c r="N283" s="117"/>
      <c r="O283" s="117"/>
      <c r="P283" s="117"/>
      <c r="Q283" s="117"/>
      <c r="R283" s="117"/>
      <c r="S283" s="117"/>
      <c r="T283" s="117"/>
      <c r="U283" s="117"/>
      <c r="V283" s="117"/>
      <c r="W283" s="117"/>
      <c r="X283" s="117"/>
      <c r="Y283" s="117"/>
      <c r="Z283" s="117"/>
      <c r="AA283" s="117"/>
    </row>
    <row r="284" spans="1:27" ht="14.4">
      <c r="A284" s="117"/>
      <c r="B284" s="117"/>
      <c r="C284" s="117"/>
      <c r="D284" s="117"/>
      <c r="E284" s="117"/>
      <c r="F284" s="117"/>
      <c r="G284" s="117"/>
      <c r="H284" s="117"/>
      <c r="I284" s="235"/>
      <c r="J284" s="235"/>
      <c r="K284" s="235"/>
      <c r="L284" s="117"/>
      <c r="M284" s="117"/>
      <c r="N284" s="117"/>
      <c r="O284" s="117"/>
      <c r="P284" s="117"/>
      <c r="Q284" s="117"/>
      <c r="R284" s="117"/>
      <c r="S284" s="117"/>
      <c r="T284" s="117"/>
      <c r="U284" s="117"/>
      <c r="V284" s="117"/>
      <c r="W284" s="117"/>
      <c r="X284" s="117"/>
      <c r="Y284" s="117"/>
      <c r="Z284" s="117"/>
      <c r="AA284" s="117"/>
    </row>
    <row r="285" spans="1:27" ht="14.4">
      <c r="A285" s="117"/>
      <c r="B285" s="117"/>
      <c r="C285" s="117"/>
      <c r="D285" s="117"/>
      <c r="E285" s="117"/>
      <c r="F285" s="117"/>
      <c r="G285" s="117"/>
      <c r="H285" s="117"/>
      <c r="I285" s="235"/>
      <c r="J285" s="235"/>
      <c r="K285" s="235"/>
      <c r="L285" s="117"/>
      <c r="M285" s="117"/>
      <c r="N285" s="117"/>
      <c r="O285" s="117"/>
      <c r="P285" s="117"/>
      <c r="Q285" s="117"/>
      <c r="R285" s="117"/>
      <c r="S285" s="117"/>
      <c r="T285" s="117"/>
      <c r="U285" s="117"/>
      <c r="V285" s="117"/>
      <c r="W285" s="117"/>
      <c r="X285" s="117"/>
      <c r="Y285" s="117"/>
      <c r="Z285" s="117"/>
      <c r="AA285" s="117"/>
    </row>
    <row r="286" spans="1:27" ht="14.4">
      <c r="A286" s="117"/>
      <c r="B286" s="117"/>
      <c r="C286" s="117"/>
      <c r="D286" s="117"/>
      <c r="E286" s="117"/>
      <c r="F286" s="117"/>
      <c r="G286" s="117"/>
      <c r="H286" s="117"/>
      <c r="I286" s="235"/>
      <c r="J286" s="235"/>
      <c r="K286" s="235"/>
      <c r="L286" s="117"/>
      <c r="M286" s="117"/>
      <c r="N286" s="117"/>
      <c r="O286" s="117"/>
      <c r="P286" s="117"/>
      <c r="Q286" s="117"/>
      <c r="R286" s="117"/>
      <c r="S286" s="117"/>
      <c r="T286" s="117"/>
      <c r="U286" s="117"/>
      <c r="V286" s="117"/>
      <c r="W286" s="117"/>
      <c r="X286" s="117"/>
      <c r="Y286" s="117"/>
      <c r="Z286" s="117"/>
      <c r="AA286" s="117"/>
    </row>
    <row r="287" spans="1:27" ht="14.4">
      <c r="A287" s="117"/>
      <c r="B287" s="117"/>
      <c r="C287" s="117"/>
      <c r="D287" s="117"/>
      <c r="E287" s="117"/>
      <c r="F287" s="117"/>
      <c r="G287" s="117"/>
      <c r="H287" s="117"/>
      <c r="I287" s="235"/>
      <c r="J287" s="235"/>
      <c r="K287" s="235"/>
      <c r="L287" s="117"/>
      <c r="M287" s="117"/>
      <c r="N287" s="117"/>
      <c r="O287" s="117"/>
      <c r="P287" s="117"/>
      <c r="Q287" s="117"/>
      <c r="R287" s="117"/>
      <c r="S287" s="117"/>
      <c r="T287" s="117"/>
      <c r="U287" s="117"/>
      <c r="V287" s="117"/>
      <c r="W287" s="117"/>
      <c r="X287" s="117"/>
      <c r="Y287" s="117"/>
      <c r="Z287" s="117"/>
      <c r="AA287" s="117"/>
    </row>
    <row r="288" spans="1:27" ht="14.4">
      <c r="A288" s="117"/>
      <c r="B288" s="117"/>
      <c r="C288" s="117"/>
      <c r="D288" s="117"/>
      <c r="E288" s="117"/>
      <c r="F288" s="117"/>
      <c r="G288" s="117"/>
      <c r="H288" s="117"/>
      <c r="I288" s="235"/>
      <c r="J288" s="235"/>
      <c r="K288" s="235"/>
      <c r="L288" s="117"/>
      <c r="M288" s="117"/>
      <c r="N288" s="117"/>
      <c r="O288" s="117"/>
      <c r="P288" s="117"/>
      <c r="Q288" s="117"/>
      <c r="R288" s="117"/>
      <c r="S288" s="117"/>
      <c r="T288" s="117"/>
      <c r="U288" s="117"/>
      <c r="V288" s="117"/>
      <c r="W288" s="117"/>
      <c r="X288" s="117"/>
      <c r="Y288" s="117"/>
      <c r="Z288" s="117"/>
      <c r="AA288" s="117"/>
    </row>
    <row r="289" spans="1:27" ht="14.4">
      <c r="A289" s="117"/>
      <c r="B289" s="117"/>
      <c r="C289" s="117"/>
      <c r="D289" s="117"/>
      <c r="E289" s="117"/>
      <c r="F289" s="117"/>
      <c r="G289" s="117"/>
      <c r="H289" s="117"/>
      <c r="I289" s="235"/>
      <c r="J289" s="235"/>
      <c r="K289" s="235"/>
      <c r="L289" s="117"/>
      <c r="M289" s="117"/>
      <c r="N289" s="117"/>
      <c r="O289" s="117"/>
      <c r="P289" s="117"/>
      <c r="Q289" s="117"/>
      <c r="R289" s="117"/>
      <c r="S289" s="117"/>
      <c r="T289" s="117"/>
      <c r="U289" s="117"/>
      <c r="V289" s="117"/>
      <c r="W289" s="117"/>
      <c r="X289" s="117"/>
      <c r="Y289" s="117"/>
      <c r="Z289" s="117"/>
      <c r="AA289" s="117"/>
    </row>
    <row r="290" spans="1:27" ht="14.4">
      <c r="A290" s="117"/>
      <c r="B290" s="117"/>
      <c r="C290" s="117"/>
      <c r="D290" s="117"/>
      <c r="E290" s="117"/>
      <c r="F290" s="117"/>
      <c r="G290" s="117"/>
      <c r="H290" s="117"/>
      <c r="I290" s="235"/>
      <c r="J290" s="235"/>
      <c r="K290" s="235"/>
      <c r="L290" s="117"/>
      <c r="M290" s="117"/>
      <c r="N290" s="117"/>
      <c r="O290" s="117"/>
      <c r="P290" s="117"/>
      <c r="Q290" s="117"/>
      <c r="R290" s="117"/>
      <c r="S290" s="117"/>
      <c r="T290" s="117"/>
      <c r="U290" s="117"/>
      <c r="V290" s="117"/>
      <c r="W290" s="117"/>
      <c r="X290" s="117"/>
      <c r="Y290" s="117"/>
      <c r="Z290" s="117"/>
      <c r="AA290" s="117"/>
    </row>
    <row r="291" spans="1:27" ht="14.4">
      <c r="A291" s="117"/>
      <c r="B291" s="117"/>
      <c r="C291" s="117"/>
      <c r="D291" s="117"/>
      <c r="E291" s="117"/>
      <c r="F291" s="117"/>
      <c r="G291" s="117"/>
      <c r="H291" s="117"/>
      <c r="I291" s="235"/>
      <c r="J291" s="235"/>
      <c r="K291" s="235"/>
      <c r="L291" s="117"/>
      <c r="M291" s="117"/>
      <c r="N291" s="117"/>
      <c r="O291" s="117"/>
      <c r="P291" s="117"/>
      <c r="Q291" s="117"/>
      <c r="R291" s="117"/>
      <c r="S291" s="117"/>
      <c r="T291" s="117"/>
      <c r="U291" s="117"/>
      <c r="V291" s="117"/>
      <c r="W291" s="117"/>
      <c r="X291" s="117"/>
      <c r="Y291" s="117"/>
      <c r="Z291" s="117"/>
      <c r="AA291" s="117"/>
    </row>
    <row r="292" spans="1:27" ht="14.4">
      <c r="A292" s="117"/>
      <c r="B292" s="117"/>
      <c r="C292" s="117"/>
      <c r="D292" s="117"/>
      <c r="E292" s="117"/>
      <c r="F292" s="117"/>
      <c r="G292" s="117"/>
      <c r="H292" s="117"/>
      <c r="I292" s="235"/>
      <c r="J292" s="235"/>
      <c r="K292" s="235"/>
      <c r="L292" s="117"/>
      <c r="M292" s="117"/>
      <c r="N292" s="117"/>
      <c r="O292" s="117"/>
      <c r="P292" s="117"/>
      <c r="Q292" s="117"/>
      <c r="R292" s="117"/>
      <c r="S292" s="117"/>
      <c r="T292" s="117"/>
      <c r="U292" s="117"/>
      <c r="V292" s="117"/>
      <c r="W292" s="117"/>
      <c r="X292" s="117"/>
      <c r="Y292" s="117"/>
      <c r="Z292" s="117"/>
      <c r="AA292" s="117"/>
    </row>
    <row r="293" spans="1:27" ht="14.4">
      <c r="A293" s="117"/>
      <c r="B293" s="117"/>
      <c r="C293" s="117"/>
      <c r="D293" s="117"/>
      <c r="E293" s="117"/>
      <c r="F293" s="117"/>
      <c r="G293" s="117"/>
      <c r="H293" s="117"/>
      <c r="I293" s="235"/>
      <c r="J293" s="235"/>
      <c r="K293" s="235"/>
      <c r="L293" s="117"/>
      <c r="M293" s="117"/>
      <c r="N293" s="117"/>
      <c r="O293" s="117"/>
      <c r="P293" s="117"/>
      <c r="Q293" s="117"/>
      <c r="R293" s="117"/>
      <c r="S293" s="117"/>
      <c r="T293" s="117"/>
      <c r="U293" s="117"/>
      <c r="V293" s="117"/>
      <c r="W293" s="117"/>
      <c r="X293" s="117"/>
      <c r="Y293" s="117"/>
      <c r="Z293" s="117"/>
      <c r="AA293" s="117"/>
    </row>
    <row r="294" spans="1:27" ht="14.4">
      <c r="A294" s="117"/>
      <c r="B294" s="117"/>
      <c r="C294" s="117"/>
      <c r="D294" s="117"/>
      <c r="E294" s="117"/>
      <c r="F294" s="117"/>
      <c r="G294" s="117"/>
      <c r="H294" s="117"/>
      <c r="I294" s="235"/>
      <c r="J294" s="235"/>
      <c r="K294" s="235"/>
      <c r="L294" s="117"/>
      <c r="M294" s="117"/>
      <c r="N294" s="117"/>
      <c r="O294" s="117"/>
      <c r="P294" s="117"/>
      <c r="Q294" s="117"/>
      <c r="R294" s="117"/>
      <c r="S294" s="117"/>
      <c r="T294" s="117"/>
      <c r="U294" s="117"/>
      <c r="V294" s="117"/>
      <c r="W294" s="117"/>
      <c r="X294" s="117"/>
      <c r="Y294" s="117"/>
      <c r="Z294" s="117"/>
      <c r="AA294" s="117"/>
    </row>
    <row r="295" spans="1:27" ht="14.4">
      <c r="A295" s="117"/>
      <c r="B295" s="117"/>
      <c r="C295" s="117"/>
      <c r="D295" s="117"/>
      <c r="E295" s="117"/>
      <c r="F295" s="117"/>
      <c r="G295" s="117"/>
      <c r="H295" s="117"/>
      <c r="I295" s="235"/>
      <c r="J295" s="235"/>
      <c r="K295" s="235"/>
      <c r="L295" s="117"/>
      <c r="M295" s="117"/>
      <c r="N295" s="117"/>
      <c r="O295" s="117"/>
      <c r="P295" s="117"/>
      <c r="Q295" s="117"/>
      <c r="R295" s="117"/>
      <c r="S295" s="117"/>
      <c r="T295" s="117"/>
      <c r="U295" s="117"/>
      <c r="V295" s="117"/>
      <c r="W295" s="117"/>
      <c r="X295" s="117"/>
      <c r="Y295" s="117"/>
      <c r="Z295" s="117"/>
      <c r="AA295" s="117"/>
    </row>
    <row r="296" spans="1:27" ht="14.4">
      <c r="A296" s="117"/>
      <c r="B296" s="117"/>
      <c r="C296" s="117"/>
      <c r="D296" s="117"/>
      <c r="E296" s="117"/>
      <c r="F296" s="117"/>
      <c r="G296" s="117"/>
      <c r="H296" s="117"/>
      <c r="I296" s="235"/>
      <c r="J296" s="235"/>
      <c r="K296" s="235"/>
      <c r="L296" s="117"/>
      <c r="M296" s="117"/>
      <c r="N296" s="117"/>
      <c r="O296" s="117"/>
      <c r="P296" s="117"/>
      <c r="Q296" s="117"/>
      <c r="R296" s="117"/>
      <c r="S296" s="117"/>
      <c r="T296" s="117"/>
      <c r="U296" s="117"/>
      <c r="V296" s="117"/>
      <c r="W296" s="117"/>
      <c r="X296" s="117"/>
      <c r="Y296" s="117"/>
      <c r="Z296" s="117"/>
      <c r="AA296" s="117"/>
    </row>
    <row r="297" spans="1:27" ht="14.4">
      <c r="A297" s="117"/>
      <c r="B297" s="117"/>
      <c r="C297" s="117"/>
      <c r="D297" s="117"/>
      <c r="E297" s="117"/>
      <c r="F297" s="117"/>
      <c r="G297" s="117"/>
      <c r="H297" s="117"/>
      <c r="I297" s="235"/>
      <c r="J297" s="235"/>
      <c r="K297" s="235"/>
      <c r="L297" s="117"/>
      <c r="M297" s="117"/>
      <c r="N297" s="117"/>
      <c r="O297" s="117"/>
      <c r="P297" s="117"/>
      <c r="Q297" s="117"/>
      <c r="R297" s="117"/>
      <c r="S297" s="117"/>
      <c r="T297" s="117"/>
      <c r="U297" s="117"/>
      <c r="V297" s="117"/>
      <c r="W297" s="117"/>
      <c r="X297" s="117"/>
      <c r="Y297" s="117"/>
      <c r="Z297" s="117"/>
      <c r="AA297" s="117"/>
    </row>
    <row r="298" spans="1:27" ht="14.4">
      <c r="A298" s="117"/>
      <c r="B298" s="117"/>
      <c r="C298" s="117"/>
      <c r="D298" s="117"/>
      <c r="E298" s="117"/>
      <c r="F298" s="117"/>
      <c r="G298" s="117"/>
      <c r="H298" s="117"/>
      <c r="I298" s="235"/>
      <c r="J298" s="235"/>
      <c r="K298" s="235"/>
      <c r="L298" s="117"/>
      <c r="M298" s="117"/>
      <c r="N298" s="117"/>
      <c r="O298" s="117"/>
      <c r="P298" s="117"/>
      <c r="Q298" s="117"/>
      <c r="R298" s="117"/>
      <c r="S298" s="117"/>
      <c r="T298" s="117"/>
      <c r="U298" s="117"/>
      <c r="V298" s="117"/>
      <c r="W298" s="117"/>
      <c r="X298" s="117"/>
      <c r="Y298" s="117"/>
      <c r="Z298" s="117"/>
      <c r="AA298" s="117"/>
    </row>
    <row r="299" spans="1:27" ht="14.4">
      <c r="A299" s="117"/>
      <c r="B299" s="117"/>
      <c r="C299" s="117"/>
      <c r="D299" s="117"/>
      <c r="E299" s="117"/>
      <c r="F299" s="117"/>
      <c r="G299" s="117"/>
      <c r="H299" s="117"/>
      <c r="I299" s="235"/>
      <c r="J299" s="235"/>
      <c r="K299" s="235"/>
      <c r="L299" s="117"/>
      <c r="M299" s="117"/>
      <c r="N299" s="117"/>
      <c r="O299" s="117"/>
      <c r="P299" s="117"/>
      <c r="Q299" s="117"/>
      <c r="R299" s="117"/>
      <c r="S299" s="117"/>
      <c r="T299" s="117"/>
      <c r="U299" s="117"/>
      <c r="V299" s="117"/>
      <c r="W299" s="117"/>
      <c r="X299" s="117"/>
      <c r="Y299" s="117"/>
      <c r="Z299" s="117"/>
      <c r="AA299" s="117"/>
    </row>
    <row r="300" spans="1:27" ht="14.4">
      <c r="A300" s="117"/>
      <c r="B300" s="117"/>
      <c r="C300" s="117"/>
      <c r="D300" s="117"/>
      <c r="E300" s="117"/>
      <c r="F300" s="117"/>
      <c r="G300" s="117"/>
      <c r="H300" s="117"/>
      <c r="I300" s="235"/>
      <c r="J300" s="235"/>
      <c r="K300" s="235"/>
      <c r="L300" s="117"/>
      <c r="M300" s="117"/>
      <c r="N300" s="117"/>
      <c r="O300" s="117"/>
      <c r="P300" s="117"/>
      <c r="Q300" s="117"/>
      <c r="R300" s="117"/>
      <c r="S300" s="117"/>
      <c r="T300" s="117"/>
      <c r="U300" s="117"/>
      <c r="V300" s="117"/>
      <c r="W300" s="117"/>
      <c r="X300" s="117"/>
      <c r="Y300" s="117"/>
      <c r="Z300" s="117"/>
      <c r="AA300" s="117"/>
    </row>
    <row r="301" spans="1:27" ht="14.4">
      <c r="A301" s="117"/>
      <c r="B301" s="117"/>
      <c r="C301" s="117"/>
      <c r="D301" s="117"/>
      <c r="E301" s="117"/>
      <c r="F301" s="117"/>
      <c r="G301" s="117"/>
      <c r="H301" s="117"/>
      <c r="I301" s="235"/>
      <c r="J301" s="235"/>
      <c r="K301" s="235"/>
      <c r="L301" s="117"/>
      <c r="M301" s="117"/>
      <c r="N301" s="117"/>
      <c r="O301" s="117"/>
      <c r="P301" s="117"/>
      <c r="Q301" s="117"/>
      <c r="R301" s="117"/>
      <c r="S301" s="117"/>
      <c r="T301" s="117"/>
      <c r="U301" s="117"/>
      <c r="V301" s="117"/>
      <c r="W301" s="117"/>
      <c r="X301" s="117"/>
      <c r="Y301" s="117"/>
      <c r="Z301" s="117"/>
      <c r="AA301" s="117"/>
    </row>
    <row r="302" spans="1:27" ht="14.4">
      <c r="A302" s="117"/>
      <c r="B302" s="117"/>
      <c r="C302" s="117"/>
      <c r="D302" s="117"/>
      <c r="E302" s="117"/>
      <c r="F302" s="117"/>
      <c r="G302" s="117"/>
      <c r="H302" s="117"/>
      <c r="I302" s="235"/>
      <c r="J302" s="235"/>
      <c r="K302" s="235"/>
      <c r="L302" s="117"/>
      <c r="M302" s="117"/>
      <c r="N302" s="117"/>
      <c r="O302" s="117"/>
      <c r="P302" s="117"/>
      <c r="Q302" s="117"/>
      <c r="R302" s="117"/>
      <c r="S302" s="117"/>
      <c r="T302" s="117"/>
      <c r="U302" s="117"/>
      <c r="V302" s="117"/>
      <c r="W302" s="117"/>
      <c r="X302" s="117"/>
      <c r="Y302" s="117"/>
      <c r="Z302" s="117"/>
      <c r="AA302" s="117"/>
    </row>
    <row r="303" spans="1:27" ht="14.4">
      <c r="A303" s="117"/>
      <c r="B303" s="117"/>
      <c r="C303" s="117"/>
      <c r="D303" s="117"/>
      <c r="E303" s="117"/>
      <c r="F303" s="117"/>
      <c r="G303" s="117"/>
      <c r="H303" s="117"/>
      <c r="I303" s="235"/>
      <c r="J303" s="235"/>
      <c r="K303" s="235"/>
      <c r="L303" s="117"/>
      <c r="M303" s="117"/>
      <c r="N303" s="117"/>
      <c r="O303" s="117"/>
      <c r="P303" s="117"/>
      <c r="Q303" s="117"/>
      <c r="R303" s="117"/>
      <c r="S303" s="117"/>
      <c r="T303" s="117"/>
      <c r="U303" s="117"/>
      <c r="V303" s="117"/>
      <c r="W303" s="117"/>
      <c r="X303" s="117"/>
      <c r="Y303" s="117"/>
      <c r="Z303" s="117"/>
      <c r="AA303" s="117"/>
    </row>
    <row r="304" spans="1:27" ht="14.4">
      <c r="A304" s="117"/>
      <c r="B304" s="117"/>
      <c r="C304" s="117"/>
      <c r="D304" s="117"/>
      <c r="E304" s="117"/>
      <c r="F304" s="117"/>
      <c r="G304" s="117"/>
      <c r="H304" s="117"/>
      <c r="I304" s="235"/>
      <c r="J304" s="235"/>
      <c r="K304" s="235"/>
      <c r="L304" s="117"/>
      <c r="M304" s="117"/>
      <c r="N304" s="117"/>
      <c r="O304" s="117"/>
      <c r="P304" s="117"/>
      <c r="Q304" s="117"/>
      <c r="R304" s="117"/>
      <c r="S304" s="117"/>
      <c r="T304" s="117"/>
      <c r="U304" s="117"/>
      <c r="V304" s="117"/>
      <c r="W304" s="117"/>
      <c r="X304" s="117"/>
      <c r="Y304" s="117"/>
      <c r="Z304" s="117"/>
      <c r="AA304" s="117"/>
    </row>
    <row r="305" spans="1:27" ht="14.4">
      <c r="A305" s="117"/>
      <c r="B305" s="117"/>
      <c r="C305" s="117"/>
      <c r="D305" s="117"/>
      <c r="E305" s="117"/>
      <c r="F305" s="117"/>
      <c r="G305" s="117"/>
      <c r="H305" s="117"/>
      <c r="I305" s="235"/>
      <c r="J305" s="235"/>
      <c r="K305" s="235"/>
      <c r="L305" s="117"/>
      <c r="M305" s="117"/>
      <c r="N305" s="117"/>
      <c r="O305" s="117"/>
      <c r="P305" s="117"/>
      <c r="Q305" s="117"/>
      <c r="R305" s="117"/>
      <c r="S305" s="117"/>
      <c r="T305" s="117"/>
      <c r="U305" s="117"/>
      <c r="V305" s="117"/>
      <c r="W305" s="117"/>
      <c r="X305" s="117"/>
      <c r="Y305" s="117"/>
      <c r="Z305" s="117"/>
      <c r="AA305" s="117"/>
    </row>
    <row r="306" spans="1:27" ht="14.4">
      <c r="A306" s="117"/>
      <c r="B306" s="117"/>
      <c r="C306" s="117"/>
      <c r="D306" s="117"/>
      <c r="E306" s="117"/>
      <c r="F306" s="117"/>
      <c r="G306" s="117"/>
      <c r="H306" s="117"/>
      <c r="I306" s="235"/>
      <c r="J306" s="235"/>
      <c r="K306" s="235"/>
      <c r="L306" s="117"/>
      <c r="M306" s="117"/>
      <c r="N306" s="117"/>
      <c r="O306" s="117"/>
      <c r="P306" s="117"/>
      <c r="Q306" s="117"/>
      <c r="R306" s="117"/>
      <c r="S306" s="117"/>
      <c r="T306" s="117"/>
      <c r="U306" s="117"/>
      <c r="V306" s="117"/>
      <c r="W306" s="117"/>
      <c r="X306" s="117"/>
      <c r="Y306" s="117"/>
      <c r="Z306" s="117"/>
      <c r="AA306" s="117"/>
    </row>
    <row r="307" spans="1:27" ht="14.4">
      <c r="A307" s="117"/>
      <c r="B307" s="117"/>
      <c r="C307" s="117"/>
      <c r="D307" s="117"/>
      <c r="E307" s="117"/>
      <c r="F307" s="117"/>
      <c r="G307" s="117"/>
      <c r="H307" s="117"/>
      <c r="I307" s="235"/>
      <c r="J307" s="235"/>
      <c r="K307" s="235"/>
      <c r="L307" s="117"/>
      <c r="M307" s="117"/>
      <c r="N307" s="117"/>
      <c r="O307" s="117"/>
      <c r="P307" s="117"/>
      <c r="Q307" s="117"/>
      <c r="R307" s="117"/>
      <c r="S307" s="117"/>
      <c r="T307" s="117"/>
      <c r="U307" s="117"/>
      <c r="V307" s="117"/>
      <c r="W307" s="117"/>
      <c r="X307" s="117"/>
      <c r="Y307" s="117"/>
      <c r="Z307" s="117"/>
      <c r="AA307" s="117"/>
    </row>
    <row r="308" spans="1:27" ht="14.4">
      <c r="A308" s="117"/>
      <c r="B308" s="117"/>
      <c r="C308" s="117"/>
      <c r="D308" s="117"/>
      <c r="E308" s="117"/>
      <c r="F308" s="117"/>
      <c r="G308" s="117"/>
      <c r="H308" s="117"/>
      <c r="I308" s="235"/>
      <c r="J308" s="235"/>
      <c r="K308" s="235"/>
      <c r="L308" s="117"/>
      <c r="M308" s="117"/>
      <c r="N308" s="117"/>
      <c r="O308" s="117"/>
      <c r="P308" s="117"/>
      <c r="Q308" s="117"/>
      <c r="R308" s="117"/>
      <c r="S308" s="117"/>
      <c r="T308" s="117"/>
      <c r="U308" s="117"/>
      <c r="V308" s="117"/>
      <c r="W308" s="117"/>
      <c r="X308" s="117"/>
      <c r="Y308" s="117"/>
      <c r="Z308" s="117"/>
      <c r="AA308" s="117"/>
    </row>
    <row r="309" spans="1:27" ht="14.4">
      <c r="A309" s="117"/>
      <c r="B309" s="117"/>
      <c r="C309" s="117"/>
      <c r="D309" s="117"/>
      <c r="E309" s="117"/>
      <c r="F309" s="117"/>
      <c r="G309" s="117"/>
      <c r="H309" s="117"/>
      <c r="I309" s="235"/>
      <c r="J309" s="235"/>
      <c r="K309" s="235"/>
      <c r="L309" s="117"/>
      <c r="M309" s="117"/>
      <c r="N309" s="117"/>
      <c r="O309" s="117"/>
      <c r="P309" s="117"/>
      <c r="Q309" s="117"/>
      <c r="R309" s="117"/>
      <c r="S309" s="117"/>
      <c r="T309" s="117"/>
      <c r="U309" s="117"/>
      <c r="V309" s="117"/>
      <c r="W309" s="117"/>
      <c r="X309" s="117"/>
      <c r="Y309" s="117"/>
      <c r="Z309" s="117"/>
      <c r="AA309" s="117"/>
    </row>
    <row r="310" spans="1:27" ht="14.4">
      <c r="A310" s="117"/>
      <c r="B310" s="117"/>
      <c r="C310" s="117"/>
      <c r="D310" s="117"/>
      <c r="E310" s="117"/>
      <c r="F310" s="117"/>
      <c r="G310" s="117"/>
      <c r="H310" s="117"/>
      <c r="I310" s="235"/>
      <c r="J310" s="235"/>
      <c r="K310" s="235"/>
      <c r="L310" s="117"/>
      <c r="M310" s="117"/>
      <c r="N310" s="117"/>
      <c r="O310" s="117"/>
      <c r="P310" s="117"/>
      <c r="Q310" s="117"/>
      <c r="R310" s="117"/>
      <c r="S310" s="117"/>
      <c r="T310" s="117"/>
      <c r="U310" s="117"/>
      <c r="V310" s="117"/>
      <c r="W310" s="117"/>
      <c r="X310" s="117"/>
      <c r="Y310" s="117"/>
      <c r="Z310" s="117"/>
      <c r="AA310" s="117"/>
    </row>
    <row r="311" spans="1:27" ht="14.4">
      <c r="A311" s="117"/>
      <c r="B311" s="117"/>
      <c r="C311" s="117"/>
      <c r="D311" s="117"/>
      <c r="E311" s="117"/>
      <c r="F311" s="117"/>
      <c r="G311" s="117"/>
      <c r="H311" s="117"/>
      <c r="I311" s="235"/>
      <c r="J311" s="235"/>
      <c r="K311" s="235"/>
      <c r="L311" s="117"/>
      <c r="M311" s="117"/>
      <c r="N311" s="117"/>
      <c r="O311" s="117"/>
      <c r="P311" s="117"/>
      <c r="Q311" s="117"/>
      <c r="R311" s="117"/>
      <c r="S311" s="117"/>
      <c r="T311" s="117"/>
      <c r="U311" s="117"/>
      <c r="V311" s="117"/>
      <c r="W311" s="117"/>
      <c r="X311" s="117"/>
      <c r="Y311" s="117"/>
      <c r="Z311" s="117"/>
      <c r="AA311" s="117"/>
    </row>
    <row r="312" spans="1:27" ht="14.4">
      <c r="A312" s="117"/>
      <c r="B312" s="117"/>
      <c r="C312" s="117"/>
      <c r="D312" s="117"/>
      <c r="E312" s="117"/>
      <c r="F312" s="117"/>
      <c r="G312" s="117"/>
      <c r="H312" s="117"/>
      <c r="I312" s="235"/>
      <c r="J312" s="235"/>
      <c r="K312" s="235"/>
      <c r="L312" s="117"/>
      <c r="M312" s="117"/>
      <c r="N312" s="117"/>
      <c r="O312" s="117"/>
      <c r="P312" s="117"/>
      <c r="Q312" s="117"/>
      <c r="R312" s="117"/>
      <c r="S312" s="117"/>
      <c r="T312" s="117"/>
      <c r="U312" s="117"/>
      <c r="V312" s="117"/>
      <c r="W312" s="117"/>
      <c r="X312" s="117"/>
      <c r="Y312" s="117"/>
      <c r="Z312" s="117"/>
      <c r="AA312" s="117"/>
    </row>
    <row r="313" spans="1:27" ht="14.4">
      <c r="A313" s="117"/>
      <c r="B313" s="117"/>
      <c r="C313" s="117"/>
      <c r="D313" s="117"/>
      <c r="E313" s="117"/>
      <c r="F313" s="117"/>
      <c r="G313" s="117"/>
      <c r="H313" s="117"/>
      <c r="I313" s="235"/>
      <c r="J313" s="235"/>
      <c r="K313" s="235"/>
      <c r="L313" s="117"/>
      <c r="M313" s="117"/>
      <c r="N313" s="117"/>
      <c r="O313" s="117"/>
      <c r="P313" s="117"/>
      <c r="Q313" s="117"/>
      <c r="R313" s="117"/>
      <c r="S313" s="117"/>
      <c r="T313" s="117"/>
      <c r="U313" s="117"/>
      <c r="V313" s="117"/>
      <c r="W313" s="117"/>
      <c r="X313" s="117"/>
      <c r="Y313" s="117"/>
      <c r="Z313" s="117"/>
      <c r="AA313" s="117"/>
    </row>
    <row r="314" spans="1:27" ht="14.4">
      <c r="A314" s="117"/>
      <c r="B314" s="117"/>
      <c r="C314" s="117"/>
      <c r="D314" s="117"/>
      <c r="E314" s="117"/>
      <c r="F314" s="117"/>
      <c r="G314" s="117"/>
      <c r="H314" s="117"/>
      <c r="I314" s="235"/>
      <c r="J314" s="235"/>
      <c r="K314" s="235"/>
      <c r="L314" s="117"/>
      <c r="M314" s="117"/>
      <c r="N314" s="117"/>
      <c r="O314" s="117"/>
      <c r="P314" s="117"/>
      <c r="Q314" s="117"/>
      <c r="R314" s="117"/>
      <c r="S314" s="117"/>
      <c r="T314" s="117"/>
      <c r="U314" s="117"/>
      <c r="V314" s="117"/>
      <c r="W314" s="117"/>
      <c r="X314" s="117"/>
      <c r="Y314" s="117"/>
      <c r="Z314" s="117"/>
      <c r="AA314" s="117"/>
    </row>
    <row r="315" spans="1:27" ht="14.4">
      <c r="A315" s="117"/>
      <c r="B315" s="117"/>
      <c r="C315" s="117"/>
      <c r="D315" s="117"/>
      <c r="E315" s="117"/>
      <c r="F315" s="117"/>
      <c r="G315" s="117"/>
      <c r="H315" s="117"/>
      <c r="I315" s="235"/>
      <c r="J315" s="235"/>
      <c r="K315" s="235"/>
      <c r="L315" s="117"/>
      <c r="M315" s="117"/>
      <c r="N315" s="117"/>
      <c r="O315" s="117"/>
      <c r="P315" s="117"/>
      <c r="Q315" s="117"/>
      <c r="R315" s="117"/>
      <c r="S315" s="117"/>
      <c r="T315" s="117"/>
      <c r="U315" s="117"/>
      <c r="V315" s="117"/>
      <c r="W315" s="117"/>
      <c r="X315" s="117"/>
      <c r="Y315" s="117"/>
      <c r="Z315" s="117"/>
      <c r="AA315" s="117"/>
    </row>
    <row r="316" spans="1:27" ht="14.4">
      <c r="A316" s="117"/>
      <c r="B316" s="117"/>
      <c r="C316" s="117"/>
      <c r="D316" s="117"/>
      <c r="E316" s="117"/>
      <c r="F316" s="117"/>
      <c r="G316" s="117"/>
      <c r="H316" s="117"/>
      <c r="I316" s="235"/>
      <c r="J316" s="235"/>
      <c r="K316" s="235"/>
      <c r="L316" s="117"/>
      <c r="M316" s="117"/>
      <c r="N316" s="117"/>
      <c r="O316" s="117"/>
      <c r="P316" s="117"/>
      <c r="Q316" s="117"/>
      <c r="R316" s="117"/>
      <c r="S316" s="117"/>
      <c r="T316" s="117"/>
      <c r="U316" s="117"/>
      <c r="V316" s="117"/>
      <c r="W316" s="117"/>
      <c r="X316" s="117"/>
      <c r="Y316" s="117"/>
      <c r="Z316" s="117"/>
      <c r="AA316" s="117"/>
    </row>
    <row r="317" spans="1:27" ht="14.4">
      <c r="A317" s="117"/>
      <c r="B317" s="117"/>
      <c r="C317" s="117"/>
      <c r="D317" s="117"/>
      <c r="E317" s="117"/>
      <c r="F317" s="117"/>
      <c r="G317" s="117"/>
      <c r="H317" s="117"/>
      <c r="I317" s="235"/>
      <c r="J317" s="235"/>
      <c r="K317" s="235"/>
      <c r="L317" s="117"/>
      <c r="M317" s="117"/>
      <c r="N317" s="117"/>
      <c r="O317" s="117"/>
      <c r="P317" s="117"/>
      <c r="Q317" s="117"/>
      <c r="R317" s="117"/>
      <c r="S317" s="117"/>
      <c r="T317" s="117"/>
      <c r="U317" s="117"/>
      <c r="V317" s="117"/>
      <c r="W317" s="117"/>
      <c r="X317" s="117"/>
      <c r="Y317" s="117"/>
      <c r="Z317" s="117"/>
      <c r="AA317" s="117"/>
    </row>
    <row r="318" spans="1:27" ht="14.4">
      <c r="A318" s="117"/>
      <c r="B318" s="117"/>
      <c r="C318" s="117"/>
      <c r="D318" s="117"/>
      <c r="E318" s="117"/>
      <c r="F318" s="117"/>
      <c r="G318" s="117"/>
      <c r="H318" s="117"/>
      <c r="I318" s="235"/>
      <c r="J318" s="235"/>
      <c r="K318" s="235"/>
      <c r="L318" s="117"/>
      <c r="M318" s="117"/>
      <c r="N318" s="117"/>
      <c r="O318" s="117"/>
      <c r="P318" s="117"/>
      <c r="Q318" s="117"/>
      <c r="R318" s="117"/>
      <c r="S318" s="117"/>
      <c r="T318" s="117"/>
      <c r="U318" s="117"/>
      <c r="V318" s="117"/>
      <c r="W318" s="117"/>
      <c r="X318" s="117"/>
      <c r="Y318" s="117"/>
      <c r="Z318" s="117"/>
      <c r="AA318" s="117"/>
    </row>
    <row r="319" spans="1:27" ht="14.4">
      <c r="A319" s="117"/>
      <c r="B319" s="117"/>
      <c r="C319" s="117"/>
      <c r="D319" s="117"/>
      <c r="E319" s="117"/>
      <c r="F319" s="117"/>
      <c r="G319" s="117"/>
      <c r="H319" s="117"/>
      <c r="I319" s="235"/>
      <c r="J319" s="235"/>
      <c r="K319" s="235"/>
      <c r="L319" s="117"/>
      <c r="M319" s="117"/>
      <c r="N319" s="117"/>
      <c r="O319" s="117"/>
      <c r="P319" s="117"/>
      <c r="Q319" s="117"/>
      <c r="R319" s="117"/>
      <c r="S319" s="117"/>
      <c r="T319" s="117"/>
      <c r="U319" s="117"/>
      <c r="V319" s="117"/>
      <c r="W319" s="117"/>
      <c r="X319" s="117"/>
      <c r="Y319" s="117"/>
      <c r="Z319" s="117"/>
      <c r="AA319" s="117"/>
    </row>
    <row r="320" spans="1:27" ht="14.4">
      <c r="A320" s="117"/>
      <c r="B320" s="117"/>
      <c r="C320" s="117"/>
      <c r="D320" s="117"/>
      <c r="E320" s="117"/>
      <c r="F320" s="117"/>
      <c r="G320" s="117"/>
      <c r="H320" s="117"/>
      <c r="I320" s="235"/>
      <c r="J320" s="235"/>
      <c r="K320" s="235"/>
      <c r="L320" s="117"/>
      <c r="M320" s="117"/>
      <c r="N320" s="117"/>
      <c r="O320" s="117"/>
      <c r="P320" s="117"/>
      <c r="Q320" s="117"/>
      <c r="R320" s="117"/>
      <c r="S320" s="117"/>
      <c r="T320" s="117"/>
      <c r="U320" s="117"/>
      <c r="V320" s="117"/>
      <c r="W320" s="117"/>
      <c r="X320" s="117"/>
      <c r="Y320" s="117"/>
      <c r="Z320" s="117"/>
      <c r="AA320" s="117"/>
    </row>
    <row r="321" spans="1:27" ht="14.4">
      <c r="A321" s="117"/>
      <c r="B321" s="117"/>
      <c r="C321" s="117"/>
      <c r="D321" s="117"/>
      <c r="E321" s="117"/>
      <c r="F321" s="117"/>
      <c r="G321" s="117"/>
      <c r="H321" s="117"/>
      <c r="I321" s="235"/>
      <c r="J321" s="235"/>
      <c r="K321" s="235"/>
      <c r="L321" s="117"/>
      <c r="M321" s="117"/>
      <c r="N321" s="117"/>
      <c r="O321" s="117"/>
      <c r="P321" s="117"/>
      <c r="Q321" s="117"/>
      <c r="R321" s="117"/>
      <c r="S321" s="117"/>
      <c r="T321" s="117"/>
      <c r="U321" s="117"/>
      <c r="V321" s="117"/>
      <c r="W321" s="117"/>
      <c r="X321" s="117"/>
      <c r="Y321" s="117"/>
      <c r="Z321" s="117"/>
      <c r="AA321" s="117"/>
    </row>
    <row r="322" spans="1:27" ht="14.4">
      <c r="A322" s="117"/>
      <c r="B322" s="117"/>
      <c r="C322" s="117"/>
      <c r="D322" s="117"/>
      <c r="E322" s="117"/>
      <c r="F322" s="117"/>
      <c r="G322" s="117"/>
      <c r="H322" s="117"/>
      <c r="I322" s="235"/>
      <c r="J322" s="235"/>
      <c r="K322" s="235"/>
      <c r="L322" s="117"/>
      <c r="M322" s="117"/>
      <c r="N322" s="117"/>
      <c r="O322" s="117"/>
      <c r="P322" s="117"/>
      <c r="Q322" s="117"/>
      <c r="R322" s="117"/>
      <c r="S322" s="117"/>
      <c r="T322" s="117"/>
      <c r="U322" s="117"/>
      <c r="V322" s="117"/>
      <c r="W322" s="117"/>
      <c r="X322" s="117"/>
      <c r="Y322" s="117"/>
      <c r="Z322" s="117"/>
      <c r="AA322" s="117"/>
    </row>
    <row r="323" spans="1:27" ht="14.4">
      <c r="A323" s="117"/>
      <c r="B323" s="117"/>
      <c r="C323" s="117"/>
      <c r="D323" s="117"/>
      <c r="E323" s="117"/>
      <c r="F323" s="117"/>
      <c r="G323" s="117"/>
      <c r="H323" s="117"/>
      <c r="I323" s="235"/>
      <c r="J323" s="235"/>
      <c r="K323" s="235"/>
      <c r="L323" s="117"/>
      <c r="M323" s="117"/>
      <c r="N323" s="117"/>
      <c r="O323" s="117"/>
      <c r="P323" s="117"/>
      <c r="Q323" s="117"/>
      <c r="R323" s="117"/>
      <c r="S323" s="117"/>
      <c r="T323" s="117"/>
      <c r="U323" s="117"/>
      <c r="V323" s="117"/>
      <c r="W323" s="117"/>
      <c r="X323" s="117"/>
      <c r="Y323" s="117"/>
      <c r="Z323" s="117"/>
      <c r="AA323" s="117"/>
    </row>
    <row r="324" spans="1:27" ht="14.4">
      <c r="A324" s="117"/>
      <c r="B324" s="117"/>
      <c r="C324" s="117"/>
      <c r="D324" s="117"/>
      <c r="E324" s="117"/>
      <c r="F324" s="117"/>
      <c r="G324" s="117"/>
      <c r="H324" s="117"/>
      <c r="I324" s="235"/>
      <c r="J324" s="235"/>
      <c r="K324" s="235"/>
      <c r="L324" s="117"/>
      <c r="M324" s="117"/>
      <c r="N324" s="117"/>
      <c r="O324" s="117"/>
      <c r="P324" s="117"/>
      <c r="Q324" s="117"/>
      <c r="R324" s="117"/>
      <c r="S324" s="117"/>
      <c r="T324" s="117"/>
      <c r="U324" s="117"/>
      <c r="V324" s="117"/>
      <c r="W324" s="117"/>
      <c r="X324" s="117"/>
      <c r="Y324" s="117"/>
      <c r="Z324" s="117"/>
      <c r="AA324" s="117"/>
    </row>
    <row r="325" spans="1:27" ht="14.4">
      <c r="A325" s="117"/>
      <c r="B325" s="117"/>
      <c r="C325" s="117"/>
      <c r="D325" s="117"/>
      <c r="E325" s="117"/>
      <c r="F325" s="117"/>
      <c r="G325" s="117"/>
      <c r="H325" s="117"/>
      <c r="I325" s="235"/>
      <c r="J325" s="235"/>
      <c r="K325" s="235"/>
      <c r="L325" s="117"/>
      <c r="M325" s="117"/>
      <c r="N325" s="117"/>
      <c r="O325" s="117"/>
      <c r="P325" s="117"/>
      <c r="Q325" s="117"/>
      <c r="R325" s="117"/>
      <c r="S325" s="117"/>
      <c r="T325" s="117"/>
      <c r="U325" s="117"/>
      <c r="V325" s="117"/>
      <c r="W325" s="117"/>
      <c r="X325" s="117"/>
      <c r="Y325" s="117"/>
      <c r="Z325" s="117"/>
      <c r="AA325" s="117"/>
    </row>
    <row r="326" spans="1:27" ht="14.4">
      <c r="A326" s="117"/>
      <c r="B326" s="117"/>
      <c r="C326" s="117"/>
      <c r="D326" s="117"/>
      <c r="E326" s="117"/>
      <c r="F326" s="117"/>
      <c r="G326" s="117"/>
      <c r="H326" s="117"/>
      <c r="I326" s="235"/>
      <c r="J326" s="235"/>
      <c r="K326" s="235"/>
      <c r="L326" s="117"/>
      <c r="M326" s="117"/>
      <c r="N326" s="117"/>
      <c r="O326" s="117"/>
      <c r="P326" s="117"/>
      <c r="Q326" s="117"/>
      <c r="R326" s="117"/>
      <c r="S326" s="117"/>
      <c r="T326" s="117"/>
      <c r="U326" s="117"/>
      <c r="V326" s="117"/>
      <c r="W326" s="117"/>
      <c r="X326" s="117"/>
      <c r="Y326" s="117"/>
      <c r="Z326" s="117"/>
      <c r="AA326" s="117"/>
    </row>
    <row r="327" spans="1:27" ht="14.4">
      <c r="A327" s="117"/>
      <c r="B327" s="117"/>
      <c r="C327" s="117"/>
      <c r="D327" s="117"/>
      <c r="E327" s="117"/>
      <c r="F327" s="117"/>
      <c r="G327" s="117"/>
      <c r="H327" s="117"/>
      <c r="I327" s="235"/>
      <c r="J327" s="235"/>
      <c r="K327" s="235"/>
      <c r="L327" s="117"/>
      <c r="M327" s="117"/>
      <c r="N327" s="117"/>
      <c r="O327" s="117"/>
      <c r="P327" s="117"/>
      <c r="Q327" s="117"/>
      <c r="R327" s="117"/>
      <c r="S327" s="117"/>
      <c r="T327" s="117"/>
      <c r="U327" s="117"/>
      <c r="V327" s="117"/>
      <c r="W327" s="117"/>
      <c r="X327" s="117"/>
      <c r="Y327" s="117"/>
      <c r="Z327" s="117"/>
      <c r="AA327" s="117"/>
    </row>
    <row r="328" spans="1:27" ht="14.4">
      <c r="A328" s="117"/>
      <c r="B328" s="117"/>
      <c r="C328" s="117"/>
      <c r="D328" s="117"/>
      <c r="E328" s="117"/>
      <c r="F328" s="117"/>
      <c r="G328" s="117"/>
      <c r="H328" s="117"/>
      <c r="I328" s="235"/>
      <c r="J328" s="235"/>
      <c r="K328" s="235"/>
      <c r="L328" s="117"/>
      <c r="M328" s="117"/>
      <c r="N328" s="117"/>
      <c r="O328" s="117"/>
      <c r="P328" s="117"/>
      <c r="Q328" s="117"/>
      <c r="R328" s="117"/>
      <c r="S328" s="117"/>
      <c r="T328" s="117"/>
      <c r="U328" s="117"/>
      <c r="V328" s="117"/>
      <c r="W328" s="117"/>
      <c r="X328" s="117"/>
      <c r="Y328" s="117"/>
      <c r="Z328" s="117"/>
      <c r="AA328" s="117"/>
    </row>
    <row r="329" spans="1:27" ht="14.4">
      <c r="A329" s="117"/>
      <c r="B329" s="117"/>
      <c r="C329" s="117"/>
      <c r="D329" s="117"/>
      <c r="E329" s="117"/>
      <c r="F329" s="117"/>
      <c r="G329" s="117"/>
      <c r="H329" s="117"/>
      <c r="I329" s="235"/>
      <c r="J329" s="235"/>
      <c r="K329" s="235"/>
      <c r="L329" s="117"/>
      <c r="M329" s="117"/>
      <c r="N329" s="117"/>
      <c r="O329" s="117"/>
      <c r="P329" s="117"/>
      <c r="Q329" s="117"/>
      <c r="R329" s="117"/>
      <c r="S329" s="117"/>
      <c r="T329" s="117"/>
      <c r="U329" s="117"/>
      <c r="V329" s="117"/>
      <c r="W329" s="117"/>
      <c r="X329" s="117"/>
      <c r="Y329" s="117"/>
      <c r="Z329" s="117"/>
      <c r="AA329" s="117"/>
    </row>
    <row r="330" spans="1:27" ht="14.4">
      <c r="A330" s="117"/>
      <c r="B330" s="117"/>
      <c r="C330" s="117"/>
      <c r="D330" s="117"/>
      <c r="E330" s="117"/>
      <c r="F330" s="117"/>
      <c r="G330" s="117"/>
      <c r="H330" s="117"/>
      <c r="I330" s="235"/>
      <c r="J330" s="235"/>
      <c r="K330" s="235"/>
      <c r="L330" s="117"/>
      <c r="M330" s="117"/>
      <c r="N330" s="117"/>
      <c r="O330" s="117"/>
      <c r="P330" s="117"/>
      <c r="Q330" s="117"/>
      <c r="R330" s="117"/>
      <c r="S330" s="117"/>
      <c r="T330" s="117"/>
      <c r="U330" s="117"/>
      <c r="V330" s="117"/>
      <c r="W330" s="117"/>
      <c r="X330" s="117"/>
      <c r="Y330" s="117"/>
      <c r="Z330" s="117"/>
      <c r="AA330" s="117"/>
    </row>
    <row r="331" spans="1:27" ht="14.4">
      <c r="A331" s="117"/>
      <c r="B331" s="117"/>
      <c r="C331" s="117"/>
      <c r="D331" s="117"/>
      <c r="E331" s="117"/>
      <c r="F331" s="117"/>
      <c r="G331" s="117"/>
      <c r="H331" s="117"/>
      <c r="I331" s="235"/>
      <c r="J331" s="235"/>
      <c r="K331" s="235"/>
      <c r="L331" s="117"/>
      <c r="M331" s="117"/>
      <c r="N331" s="117"/>
      <c r="O331" s="117"/>
      <c r="P331" s="117"/>
      <c r="Q331" s="117"/>
      <c r="R331" s="117"/>
      <c r="S331" s="117"/>
      <c r="T331" s="117"/>
      <c r="U331" s="117"/>
      <c r="V331" s="117"/>
      <c r="W331" s="117"/>
      <c r="X331" s="117"/>
      <c r="Y331" s="117"/>
      <c r="Z331" s="117"/>
      <c r="AA331" s="117"/>
    </row>
    <row r="332" spans="1:27" ht="14.4">
      <c r="A332" s="117"/>
      <c r="B332" s="117"/>
      <c r="C332" s="117"/>
      <c r="D332" s="117"/>
      <c r="E332" s="117"/>
      <c r="F332" s="117"/>
      <c r="G332" s="117"/>
      <c r="H332" s="117"/>
      <c r="I332" s="235"/>
      <c r="J332" s="235"/>
      <c r="K332" s="235"/>
      <c r="L332" s="117"/>
      <c r="M332" s="117"/>
      <c r="N332" s="117"/>
      <c r="O332" s="117"/>
      <c r="P332" s="117"/>
      <c r="Q332" s="117"/>
      <c r="R332" s="117"/>
      <c r="S332" s="117"/>
      <c r="T332" s="117"/>
      <c r="U332" s="117"/>
      <c r="V332" s="117"/>
      <c r="W332" s="117"/>
      <c r="X332" s="117"/>
      <c r="Y332" s="117"/>
      <c r="Z332" s="117"/>
      <c r="AA332" s="117"/>
    </row>
    <row r="333" spans="1:27" ht="14.4">
      <c r="A333" s="117"/>
      <c r="B333" s="117"/>
      <c r="C333" s="117"/>
      <c r="D333" s="117"/>
      <c r="E333" s="117"/>
      <c r="F333" s="117"/>
      <c r="G333" s="117"/>
      <c r="H333" s="117"/>
      <c r="I333" s="235"/>
      <c r="J333" s="235"/>
      <c r="K333" s="235"/>
      <c r="L333" s="117"/>
      <c r="M333" s="117"/>
      <c r="N333" s="117"/>
      <c r="O333" s="117"/>
      <c r="P333" s="117"/>
      <c r="Q333" s="117"/>
      <c r="R333" s="117"/>
      <c r="S333" s="117"/>
      <c r="T333" s="117"/>
      <c r="U333" s="117"/>
      <c r="V333" s="117"/>
      <c r="W333" s="117"/>
      <c r="X333" s="117"/>
      <c r="Y333" s="117"/>
      <c r="Z333" s="117"/>
      <c r="AA333" s="117"/>
    </row>
    <row r="334" spans="1:27" ht="14.4">
      <c r="A334" s="117"/>
      <c r="B334" s="117"/>
      <c r="C334" s="117"/>
      <c r="D334" s="117"/>
      <c r="E334" s="117"/>
      <c r="F334" s="117"/>
      <c r="G334" s="117"/>
      <c r="H334" s="117"/>
      <c r="I334" s="235"/>
      <c r="J334" s="235"/>
      <c r="K334" s="235"/>
      <c r="L334" s="117"/>
      <c r="M334" s="117"/>
      <c r="N334" s="117"/>
      <c r="O334" s="117"/>
      <c r="P334" s="117"/>
      <c r="Q334" s="117"/>
      <c r="R334" s="117"/>
      <c r="S334" s="117"/>
      <c r="T334" s="117"/>
      <c r="U334" s="117"/>
      <c r="V334" s="117"/>
      <c r="W334" s="117"/>
      <c r="X334" s="117"/>
      <c r="Y334" s="117"/>
      <c r="Z334" s="117"/>
      <c r="AA334" s="117"/>
    </row>
    <row r="335" spans="1:27" ht="14.4">
      <c r="A335" s="117"/>
      <c r="B335" s="117"/>
      <c r="C335" s="117"/>
      <c r="D335" s="117"/>
      <c r="E335" s="117"/>
      <c r="F335" s="117"/>
      <c r="G335" s="117"/>
      <c r="H335" s="117"/>
      <c r="I335" s="235"/>
      <c r="J335" s="235"/>
      <c r="K335" s="235"/>
      <c r="L335" s="117"/>
      <c r="M335" s="117"/>
      <c r="N335" s="117"/>
      <c r="O335" s="117"/>
      <c r="P335" s="117"/>
      <c r="Q335" s="117"/>
      <c r="R335" s="117"/>
      <c r="S335" s="117"/>
      <c r="T335" s="117"/>
      <c r="U335" s="117"/>
      <c r="V335" s="117"/>
      <c r="W335" s="117"/>
      <c r="X335" s="117"/>
      <c r="Y335" s="117"/>
      <c r="Z335" s="117"/>
      <c r="AA335" s="117"/>
    </row>
    <row r="336" spans="1:27" ht="14.4">
      <c r="A336" s="117"/>
      <c r="B336" s="117"/>
      <c r="C336" s="117"/>
      <c r="D336" s="117"/>
      <c r="E336" s="117"/>
      <c r="F336" s="117"/>
      <c r="G336" s="117"/>
      <c r="H336" s="117"/>
      <c r="I336" s="235"/>
      <c r="J336" s="235"/>
      <c r="K336" s="235"/>
      <c r="L336" s="117"/>
      <c r="M336" s="117"/>
      <c r="N336" s="117"/>
      <c r="O336" s="117"/>
      <c r="P336" s="117"/>
      <c r="Q336" s="117"/>
      <c r="R336" s="117"/>
      <c r="S336" s="117"/>
      <c r="T336" s="117"/>
      <c r="U336" s="117"/>
      <c r="V336" s="117"/>
      <c r="W336" s="117"/>
      <c r="X336" s="117"/>
      <c r="Y336" s="117"/>
      <c r="Z336" s="117"/>
      <c r="AA336" s="117"/>
    </row>
    <row r="337" spans="1:27" ht="14.4">
      <c r="A337" s="117"/>
      <c r="B337" s="117"/>
      <c r="C337" s="117"/>
      <c r="D337" s="117"/>
      <c r="E337" s="117"/>
      <c r="F337" s="117"/>
      <c r="G337" s="117"/>
      <c r="H337" s="117"/>
      <c r="I337" s="235"/>
      <c r="J337" s="235"/>
      <c r="K337" s="235"/>
      <c r="L337" s="117"/>
      <c r="M337" s="117"/>
      <c r="N337" s="117"/>
      <c r="O337" s="117"/>
      <c r="P337" s="117"/>
      <c r="Q337" s="117"/>
      <c r="R337" s="117"/>
      <c r="S337" s="117"/>
      <c r="T337" s="117"/>
      <c r="U337" s="117"/>
      <c r="V337" s="117"/>
      <c r="W337" s="117"/>
      <c r="X337" s="117"/>
      <c r="Y337" s="117"/>
      <c r="Z337" s="117"/>
      <c r="AA337" s="117"/>
    </row>
    <row r="338" spans="1:27" ht="14.4">
      <c r="A338" s="117"/>
      <c r="B338" s="117"/>
      <c r="C338" s="117"/>
      <c r="D338" s="117"/>
      <c r="E338" s="117"/>
      <c r="F338" s="117"/>
      <c r="G338" s="117"/>
      <c r="H338" s="117"/>
      <c r="I338" s="235"/>
      <c r="J338" s="235"/>
      <c r="K338" s="235"/>
      <c r="L338" s="117"/>
      <c r="M338" s="117"/>
      <c r="N338" s="117"/>
      <c r="O338" s="117"/>
      <c r="P338" s="117"/>
      <c r="Q338" s="117"/>
      <c r="R338" s="117"/>
      <c r="S338" s="117"/>
      <c r="T338" s="117"/>
      <c r="U338" s="117"/>
      <c r="V338" s="117"/>
      <c r="W338" s="117"/>
      <c r="X338" s="117"/>
      <c r="Y338" s="117"/>
      <c r="Z338" s="117"/>
      <c r="AA338" s="117"/>
    </row>
    <row r="339" spans="1:27" ht="14.4">
      <c r="A339" s="117"/>
      <c r="B339" s="117"/>
      <c r="C339" s="117"/>
      <c r="D339" s="117"/>
      <c r="E339" s="117"/>
      <c r="F339" s="117"/>
      <c r="G339" s="117"/>
      <c r="H339" s="117"/>
      <c r="I339" s="235"/>
      <c r="J339" s="235"/>
      <c r="K339" s="235"/>
      <c r="L339" s="117"/>
      <c r="M339" s="117"/>
      <c r="N339" s="117"/>
      <c r="O339" s="117"/>
      <c r="P339" s="117"/>
      <c r="Q339" s="117"/>
      <c r="R339" s="117"/>
      <c r="S339" s="117"/>
      <c r="T339" s="117"/>
      <c r="U339" s="117"/>
      <c r="V339" s="117"/>
      <c r="W339" s="117"/>
      <c r="X339" s="117"/>
      <c r="Y339" s="117"/>
      <c r="Z339" s="117"/>
      <c r="AA339" s="117"/>
    </row>
    <row r="340" spans="1:27" ht="14.4">
      <c r="A340" s="117"/>
      <c r="B340" s="117"/>
      <c r="C340" s="117"/>
      <c r="D340" s="117"/>
      <c r="E340" s="117"/>
      <c r="F340" s="117"/>
      <c r="G340" s="117"/>
      <c r="H340" s="117"/>
      <c r="I340" s="235"/>
      <c r="J340" s="235"/>
      <c r="K340" s="235"/>
      <c r="L340" s="117"/>
      <c r="M340" s="117"/>
      <c r="N340" s="117"/>
      <c r="O340" s="117"/>
      <c r="P340" s="117"/>
      <c r="Q340" s="117"/>
      <c r="R340" s="117"/>
      <c r="S340" s="117"/>
      <c r="T340" s="117"/>
      <c r="U340" s="117"/>
      <c r="V340" s="117"/>
      <c r="W340" s="117"/>
      <c r="X340" s="117"/>
      <c r="Y340" s="117"/>
      <c r="Z340" s="117"/>
      <c r="AA340" s="117"/>
    </row>
    <row r="341" spans="1:27" ht="14.4">
      <c r="A341" s="117"/>
      <c r="B341" s="117"/>
      <c r="C341" s="117"/>
      <c r="D341" s="117"/>
      <c r="E341" s="117"/>
      <c r="F341" s="117"/>
      <c r="G341" s="117"/>
      <c r="H341" s="117"/>
      <c r="I341" s="235"/>
      <c r="J341" s="235"/>
      <c r="K341" s="235"/>
      <c r="L341" s="117"/>
      <c r="M341" s="117"/>
      <c r="N341" s="117"/>
      <c r="O341" s="117"/>
      <c r="P341" s="117"/>
      <c r="Q341" s="117"/>
      <c r="R341" s="117"/>
      <c r="S341" s="117"/>
      <c r="T341" s="117"/>
      <c r="U341" s="117"/>
      <c r="V341" s="117"/>
      <c r="W341" s="117"/>
      <c r="X341" s="117"/>
      <c r="Y341" s="117"/>
      <c r="Z341" s="117"/>
      <c r="AA341" s="117"/>
    </row>
    <row r="342" spans="1:27" ht="14.4">
      <c r="A342" s="117"/>
      <c r="B342" s="117"/>
      <c r="C342" s="117"/>
      <c r="D342" s="117"/>
      <c r="E342" s="117"/>
      <c r="F342" s="117"/>
      <c r="G342" s="117"/>
      <c r="H342" s="117"/>
      <c r="I342" s="235"/>
      <c r="J342" s="235"/>
      <c r="K342" s="235"/>
      <c r="L342" s="117"/>
      <c r="M342" s="117"/>
      <c r="N342" s="117"/>
      <c r="O342" s="117"/>
      <c r="P342" s="117"/>
      <c r="Q342" s="117"/>
      <c r="R342" s="117"/>
      <c r="S342" s="117"/>
      <c r="T342" s="117"/>
      <c r="U342" s="117"/>
      <c r="V342" s="117"/>
      <c r="W342" s="117"/>
      <c r="X342" s="117"/>
      <c r="Y342" s="117"/>
      <c r="Z342" s="117"/>
      <c r="AA342" s="117"/>
    </row>
    <row r="343" spans="1:27" ht="14.4">
      <c r="A343" s="117"/>
      <c r="B343" s="117"/>
      <c r="C343" s="117"/>
      <c r="D343" s="117"/>
      <c r="E343" s="117"/>
      <c r="F343" s="117"/>
      <c r="G343" s="117"/>
      <c r="H343" s="117"/>
      <c r="I343" s="235"/>
      <c r="J343" s="235"/>
      <c r="K343" s="235"/>
      <c r="L343" s="117"/>
      <c r="M343" s="117"/>
      <c r="N343" s="117"/>
      <c r="O343" s="117"/>
      <c r="P343" s="117"/>
      <c r="Q343" s="117"/>
      <c r="R343" s="117"/>
      <c r="S343" s="117"/>
      <c r="T343" s="117"/>
      <c r="U343" s="117"/>
      <c r="V343" s="117"/>
      <c r="W343" s="117"/>
      <c r="X343" s="117"/>
      <c r="Y343" s="117"/>
      <c r="Z343" s="117"/>
      <c r="AA343" s="117"/>
    </row>
    <row r="344" spans="1:27" ht="14.4">
      <c r="A344" s="117"/>
      <c r="B344" s="117"/>
      <c r="C344" s="117"/>
      <c r="D344" s="117"/>
      <c r="E344" s="117"/>
      <c r="F344" s="117"/>
      <c r="G344" s="117"/>
      <c r="H344" s="117"/>
      <c r="I344" s="235"/>
      <c r="J344" s="235"/>
      <c r="K344" s="235"/>
      <c r="L344" s="117"/>
      <c r="M344" s="117"/>
      <c r="N344" s="117"/>
      <c r="O344" s="117"/>
      <c r="P344" s="117"/>
      <c r="Q344" s="117"/>
      <c r="R344" s="117"/>
      <c r="S344" s="117"/>
      <c r="T344" s="117"/>
      <c r="U344" s="117"/>
      <c r="V344" s="117"/>
      <c r="W344" s="117"/>
      <c r="X344" s="117"/>
      <c r="Y344" s="117"/>
      <c r="Z344" s="117"/>
      <c r="AA344" s="117"/>
    </row>
    <row r="345" spans="1:27" ht="14.4">
      <c r="A345" s="117"/>
      <c r="B345" s="117"/>
      <c r="C345" s="117"/>
      <c r="D345" s="117"/>
      <c r="E345" s="117"/>
      <c r="F345" s="117"/>
      <c r="G345" s="117"/>
      <c r="H345" s="117"/>
      <c r="I345" s="235"/>
      <c r="J345" s="235"/>
      <c r="K345" s="235"/>
      <c r="L345" s="117"/>
      <c r="M345" s="117"/>
      <c r="N345" s="117"/>
      <c r="O345" s="117"/>
      <c r="P345" s="117"/>
      <c r="Q345" s="117"/>
      <c r="R345" s="117"/>
      <c r="S345" s="117"/>
      <c r="T345" s="117"/>
      <c r="U345" s="117"/>
      <c r="V345" s="117"/>
      <c r="W345" s="117"/>
      <c r="X345" s="117"/>
      <c r="Y345" s="117"/>
      <c r="Z345" s="117"/>
      <c r="AA345" s="117"/>
    </row>
    <row r="346" spans="1:27" ht="14.4">
      <c r="A346" s="117"/>
      <c r="B346" s="117"/>
      <c r="C346" s="117"/>
      <c r="D346" s="117"/>
      <c r="E346" s="117"/>
      <c r="F346" s="117"/>
      <c r="G346" s="117"/>
      <c r="H346" s="117"/>
      <c r="I346" s="235"/>
      <c r="J346" s="235"/>
      <c r="K346" s="235"/>
      <c r="L346" s="117"/>
      <c r="M346" s="117"/>
      <c r="N346" s="117"/>
      <c r="O346" s="117"/>
      <c r="P346" s="117"/>
      <c r="Q346" s="117"/>
      <c r="R346" s="117"/>
      <c r="S346" s="117"/>
      <c r="T346" s="117"/>
      <c r="U346" s="117"/>
      <c r="V346" s="117"/>
      <c r="W346" s="117"/>
      <c r="X346" s="117"/>
      <c r="Y346" s="117"/>
      <c r="Z346" s="117"/>
      <c r="AA346" s="117"/>
    </row>
    <row r="347" spans="1:27" ht="14.4">
      <c r="A347" s="117"/>
      <c r="B347" s="117"/>
      <c r="C347" s="117"/>
      <c r="D347" s="117"/>
      <c r="E347" s="117"/>
      <c r="F347" s="117"/>
      <c r="G347" s="117"/>
      <c r="H347" s="117"/>
      <c r="I347" s="235"/>
      <c r="J347" s="235"/>
      <c r="K347" s="235"/>
      <c r="L347" s="117"/>
      <c r="M347" s="117"/>
      <c r="N347" s="117"/>
      <c r="O347" s="117"/>
      <c r="P347" s="117"/>
      <c r="Q347" s="117"/>
      <c r="R347" s="117"/>
      <c r="S347" s="117"/>
      <c r="T347" s="117"/>
      <c r="U347" s="117"/>
      <c r="V347" s="117"/>
      <c r="W347" s="117"/>
      <c r="X347" s="117"/>
      <c r="Y347" s="117"/>
      <c r="Z347" s="117"/>
      <c r="AA347" s="117"/>
    </row>
    <row r="348" spans="1:27" ht="14.4">
      <c r="A348" s="117"/>
      <c r="B348" s="117"/>
      <c r="C348" s="117"/>
      <c r="D348" s="117"/>
      <c r="E348" s="117"/>
      <c r="F348" s="117"/>
      <c r="G348" s="117"/>
      <c r="H348" s="117"/>
      <c r="I348" s="235"/>
      <c r="J348" s="235"/>
      <c r="K348" s="235"/>
      <c r="L348" s="117"/>
      <c r="M348" s="117"/>
      <c r="N348" s="117"/>
      <c r="O348" s="117"/>
      <c r="P348" s="117"/>
      <c r="Q348" s="117"/>
      <c r="R348" s="117"/>
      <c r="S348" s="117"/>
      <c r="T348" s="117"/>
      <c r="U348" s="117"/>
      <c r="V348" s="117"/>
      <c r="W348" s="117"/>
      <c r="X348" s="117"/>
      <c r="Y348" s="117"/>
      <c r="Z348" s="117"/>
      <c r="AA348" s="117"/>
    </row>
    <row r="349" spans="1:27" ht="14.4">
      <c r="A349" s="117"/>
      <c r="B349" s="117"/>
      <c r="C349" s="117"/>
      <c r="D349" s="117"/>
      <c r="E349" s="117"/>
      <c r="F349" s="117"/>
      <c r="G349" s="117"/>
      <c r="H349" s="117"/>
      <c r="I349" s="235"/>
      <c r="J349" s="235"/>
      <c r="K349" s="235"/>
      <c r="L349" s="117"/>
      <c r="M349" s="117"/>
      <c r="N349" s="117"/>
      <c r="O349" s="117"/>
      <c r="P349" s="117"/>
      <c r="Q349" s="117"/>
      <c r="R349" s="117"/>
      <c r="S349" s="117"/>
      <c r="T349" s="117"/>
      <c r="U349" s="117"/>
      <c r="V349" s="117"/>
      <c r="W349" s="117"/>
      <c r="X349" s="117"/>
      <c r="Y349" s="117"/>
      <c r="Z349" s="117"/>
      <c r="AA349" s="117"/>
    </row>
    <row r="350" spans="1:27" ht="14.4">
      <c r="A350" s="117"/>
      <c r="B350" s="117"/>
      <c r="C350" s="117"/>
      <c r="D350" s="117"/>
      <c r="E350" s="117"/>
      <c r="F350" s="117"/>
      <c r="G350" s="117"/>
      <c r="H350" s="117"/>
      <c r="I350" s="235"/>
      <c r="J350" s="235"/>
      <c r="K350" s="235"/>
      <c r="L350" s="117"/>
      <c r="M350" s="117"/>
      <c r="N350" s="117"/>
      <c r="O350" s="117"/>
      <c r="P350" s="117"/>
      <c r="Q350" s="117"/>
      <c r="R350" s="117"/>
      <c r="S350" s="117"/>
      <c r="T350" s="117"/>
      <c r="U350" s="117"/>
      <c r="V350" s="117"/>
      <c r="W350" s="117"/>
      <c r="X350" s="117"/>
      <c r="Y350" s="117"/>
      <c r="Z350" s="117"/>
      <c r="AA350" s="117"/>
    </row>
    <row r="351" spans="1:27" ht="14.4">
      <c r="A351" s="117"/>
      <c r="B351" s="117"/>
      <c r="C351" s="117"/>
      <c r="D351" s="117"/>
      <c r="E351" s="117"/>
      <c r="F351" s="117"/>
      <c r="G351" s="117"/>
      <c r="H351" s="117"/>
      <c r="I351" s="235"/>
      <c r="J351" s="235"/>
      <c r="K351" s="235"/>
      <c r="L351" s="117"/>
      <c r="M351" s="117"/>
      <c r="N351" s="117"/>
      <c r="O351" s="117"/>
      <c r="P351" s="117"/>
      <c r="Q351" s="117"/>
      <c r="R351" s="117"/>
      <c r="S351" s="117"/>
      <c r="T351" s="117"/>
      <c r="U351" s="117"/>
      <c r="V351" s="117"/>
      <c r="W351" s="117"/>
      <c r="X351" s="117"/>
      <c r="Y351" s="117"/>
      <c r="Z351" s="117"/>
      <c r="AA351" s="117"/>
    </row>
    <row r="352" spans="1:27" ht="14.4">
      <c r="A352" s="117"/>
      <c r="B352" s="117"/>
      <c r="C352" s="117"/>
      <c r="D352" s="117"/>
      <c r="E352" s="117"/>
      <c r="F352" s="117"/>
      <c r="G352" s="117"/>
      <c r="H352" s="117"/>
      <c r="I352" s="235"/>
      <c r="J352" s="235"/>
      <c r="K352" s="235"/>
      <c r="L352" s="117"/>
      <c r="M352" s="117"/>
      <c r="N352" s="117"/>
      <c r="O352" s="117"/>
      <c r="P352" s="117"/>
      <c r="Q352" s="117"/>
      <c r="R352" s="117"/>
      <c r="S352" s="117"/>
      <c r="T352" s="117"/>
      <c r="U352" s="117"/>
      <c r="V352" s="117"/>
      <c r="W352" s="117"/>
      <c r="X352" s="117"/>
      <c r="Y352" s="117"/>
      <c r="Z352" s="117"/>
      <c r="AA352" s="117"/>
    </row>
    <row r="353" spans="1:27" ht="14.4">
      <c r="A353" s="117"/>
      <c r="B353" s="117"/>
      <c r="C353" s="117"/>
      <c r="D353" s="117"/>
      <c r="E353" s="117"/>
      <c r="F353" s="117"/>
      <c r="G353" s="117"/>
      <c r="H353" s="117"/>
      <c r="I353" s="235"/>
      <c r="J353" s="235"/>
      <c r="K353" s="235"/>
      <c r="L353" s="117"/>
      <c r="M353" s="117"/>
      <c r="N353" s="117"/>
      <c r="O353" s="117"/>
      <c r="P353" s="117"/>
      <c r="Q353" s="117"/>
      <c r="R353" s="117"/>
      <c r="S353" s="117"/>
      <c r="T353" s="117"/>
      <c r="U353" s="117"/>
      <c r="V353" s="117"/>
      <c r="W353" s="117"/>
      <c r="X353" s="117"/>
      <c r="Y353" s="117"/>
      <c r="Z353" s="117"/>
      <c r="AA353" s="117"/>
    </row>
    <row r="354" spans="1:27" ht="14.4">
      <c r="A354" s="117"/>
      <c r="B354" s="117"/>
      <c r="C354" s="117"/>
      <c r="D354" s="117"/>
      <c r="E354" s="117"/>
      <c r="F354" s="117"/>
      <c r="G354" s="117"/>
      <c r="H354" s="117"/>
      <c r="I354" s="235"/>
      <c r="J354" s="235"/>
      <c r="K354" s="235"/>
      <c r="L354" s="117"/>
      <c r="M354" s="117"/>
      <c r="N354" s="117"/>
      <c r="O354" s="117"/>
      <c r="P354" s="117"/>
      <c r="Q354" s="117"/>
      <c r="R354" s="117"/>
      <c r="S354" s="117"/>
      <c r="T354" s="117"/>
      <c r="U354" s="117"/>
      <c r="V354" s="117"/>
      <c r="W354" s="117"/>
      <c r="X354" s="117"/>
      <c r="Y354" s="117"/>
      <c r="Z354" s="117"/>
      <c r="AA354" s="117"/>
    </row>
    <row r="355" spans="1:27" ht="14.4">
      <c r="A355" s="117"/>
      <c r="B355" s="117"/>
      <c r="C355" s="117"/>
      <c r="D355" s="117"/>
      <c r="E355" s="117"/>
      <c r="F355" s="117"/>
      <c r="G355" s="117"/>
      <c r="H355" s="117"/>
      <c r="I355" s="235"/>
      <c r="J355" s="235"/>
      <c r="K355" s="235"/>
      <c r="L355" s="117"/>
      <c r="M355" s="117"/>
      <c r="N355" s="117"/>
      <c r="O355" s="117"/>
      <c r="P355" s="117"/>
      <c r="Q355" s="117"/>
      <c r="R355" s="117"/>
      <c r="S355" s="117"/>
      <c r="T355" s="117"/>
      <c r="U355" s="117"/>
      <c r="V355" s="117"/>
      <c r="W355" s="117"/>
      <c r="X355" s="117"/>
      <c r="Y355" s="117"/>
      <c r="Z355" s="117"/>
      <c r="AA355" s="117"/>
    </row>
    <row r="356" spans="1:27" ht="14.4">
      <c r="A356" s="117"/>
      <c r="B356" s="117"/>
      <c r="C356" s="117"/>
      <c r="D356" s="117"/>
      <c r="E356" s="117"/>
      <c r="F356" s="117"/>
      <c r="G356" s="117"/>
      <c r="H356" s="117"/>
      <c r="I356" s="235"/>
      <c r="J356" s="235"/>
      <c r="K356" s="235"/>
      <c r="L356" s="117"/>
      <c r="M356" s="117"/>
      <c r="N356" s="117"/>
      <c r="O356" s="117"/>
      <c r="P356" s="117"/>
      <c r="Q356" s="117"/>
      <c r="R356" s="117"/>
      <c r="S356" s="117"/>
      <c r="T356" s="117"/>
      <c r="U356" s="117"/>
      <c r="V356" s="117"/>
      <c r="W356" s="117"/>
      <c r="X356" s="117"/>
      <c r="Y356" s="117"/>
      <c r="Z356" s="117"/>
      <c r="AA356" s="117"/>
    </row>
    <row r="357" spans="1:27" ht="14.4">
      <c r="A357" s="117"/>
      <c r="B357" s="117"/>
      <c r="C357" s="117"/>
      <c r="D357" s="117"/>
      <c r="E357" s="117"/>
      <c r="F357" s="117"/>
      <c r="G357" s="117"/>
      <c r="H357" s="117"/>
      <c r="I357" s="235"/>
      <c r="J357" s="235"/>
      <c r="K357" s="235"/>
      <c r="L357" s="117"/>
      <c r="M357" s="117"/>
      <c r="N357" s="117"/>
      <c r="O357" s="117"/>
      <c r="P357" s="117"/>
      <c r="Q357" s="117"/>
      <c r="R357" s="117"/>
      <c r="S357" s="117"/>
      <c r="T357" s="117"/>
      <c r="U357" s="117"/>
      <c r="V357" s="117"/>
      <c r="W357" s="117"/>
      <c r="X357" s="117"/>
      <c r="Y357" s="117"/>
      <c r="Z357" s="117"/>
      <c r="AA357" s="117"/>
    </row>
    <row r="358" spans="1:27" ht="14.4">
      <c r="A358" s="117"/>
      <c r="B358" s="117"/>
      <c r="C358" s="117"/>
      <c r="D358" s="117"/>
      <c r="E358" s="117"/>
      <c r="F358" s="117"/>
      <c r="G358" s="117"/>
      <c r="H358" s="117"/>
      <c r="I358" s="235"/>
      <c r="J358" s="235"/>
      <c r="K358" s="235"/>
      <c r="L358" s="117"/>
      <c r="M358" s="117"/>
      <c r="N358" s="117"/>
      <c r="O358" s="117"/>
      <c r="P358" s="117"/>
      <c r="Q358" s="117"/>
      <c r="R358" s="117"/>
      <c r="S358" s="117"/>
      <c r="T358" s="117"/>
      <c r="U358" s="117"/>
      <c r="V358" s="117"/>
      <c r="W358" s="117"/>
      <c r="X358" s="117"/>
      <c r="Y358" s="117"/>
      <c r="Z358" s="117"/>
      <c r="AA358" s="117"/>
    </row>
    <row r="359" spans="1:27" ht="14.4">
      <c r="A359" s="117"/>
      <c r="B359" s="117"/>
      <c r="C359" s="117"/>
      <c r="D359" s="117"/>
      <c r="E359" s="117"/>
      <c r="F359" s="117"/>
      <c r="G359" s="117"/>
      <c r="H359" s="117"/>
      <c r="I359" s="235"/>
      <c r="J359" s="235"/>
      <c r="K359" s="235"/>
      <c r="L359" s="117"/>
      <c r="M359" s="117"/>
      <c r="N359" s="117"/>
      <c r="O359" s="117"/>
      <c r="P359" s="117"/>
      <c r="Q359" s="117"/>
      <c r="R359" s="117"/>
      <c r="S359" s="117"/>
      <c r="T359" s="117"/>
      <c r="U359" s="117"/>
      <c r="V359" s="117"/>
      <c r="W359" s="117"/>
      <c r="X359" s="117"/>
      <c r="Y359" s="117"/>
      <c r="Z359" s="117"/>
      <c r="AA359" s="117"/>
    </row>
    <row r="360" spans="1:27" ht="14.4">
      <c r="A360" s="117"/>
      <c r="B360" s="117"/>
      <c r="C360" s="117"/>
      <c r="D360" s="117"/>
      <c r="E360" s="117"/>
      <c r="F360" s="117"/>
      <c r="G360" s="117"/>
      <c r="H360" s="117"/>
      <c r="I360" s="235"/>
      <c r="J360" s="235"/>
      <c r="K360" s="235"/>
      <c r="L360" s="117"/>
      <c r="M360" s="117"/>
      <c r="N360" s="117"/>
      <c r="O360" s="117"/>
      <c r="P360" s="117"/>
      <c r="Q360" s="117"/>
      <c r="R360" s="117"/>
      <c r="S360" s="117"/>
      <c r="T360" s="117"/>
      <c r="U360" s="117"/>
      <c r="V360" s="117"/>
      <c r="W360" s="117"/>
      <c r="X360" s="117"/>
      <c r="Y360" s="117"/>
      <c r="Z360" s="117"/>
      <c r="AA360" s="117"/>
    </row>
    <row r="361" spans="1:27" ht="14.4">
      <c r="A361" s="117"/>
      <c r="B361" s="117"/>
      <c r="C361" s="117"/>
      <c r="D361" s="117"/>
      <c r="E361" s="117"/>
      <c r="F361" s="117"/>
      <c r="G361" s="117"/>
      <c r="H361" s="117"/>
      <c r="I361" s="235"/>
      <c r="J361" s="235"/>
      <c r="K361" s="235"/>
      <c r="L361" s="117"/>
      <c r="M361" s="117"/>
      <c r="N361" s="117"/>
      <c r="O361" s="117"/>
      <c r="P361" s="117"/>
      <c r="Q361" s="117"/>
      <c r="R361" s="117"/>
      <c r="S361" s="117"/>
      <c r="T361" s="117"/>
      <c r="U361" s="117"/>
      <c r="V361" s="117"/>
      <c r="W361" s="117"/>
      <c r="X361" s="117"/>
      <c r="Y361" s="117"/>
      <c r="Z361" s="117"/>
      <c r="AA361" s="117"/>
    </row>
    <row r="362" spans="1:27" ht="14.4">
      <c r="A362" s="117"/>
      <c r="B362" s="117"/>
      <c r="C362" s="117"/>
      <c r="D362" s="117"/>
      <c r="E362" s="117"/>
      <c r="F362" s="117"/>
      <c r="G362" s="117"/>
      <c r="H362" s="117"/>
      <c r="I362" s="235"/>
      <c r="J362" s="235"/>
      <c r="K362" s="235"/>
      <c r="L362" s="117"/>
      <c r="M362" s="117"/>
      <c r="N362" s="117"/>
      <c r="O362" s="117"/>
      <c r="P362" s="117"/>
      <c r="Q362" s="117"/>
      <c r="R362" s="117"/>
      <c r="S362" s="117"/>
      <c r="T362" s="117"/>
      <c r="U362" s="117"/>
      <c r="V362" s="117"/>
      <c r="W362" s="117"/>
      <c r="X362" s="117"/>
      <c r="Y362" s="117"/>
      <c r="Z362" s="117"/>
      <c r="AA362" s="117"/>
    </row>
    <row r="363" spans="1:27" ht="14.4">
      <c r="A363" s="117"/>
      <c r="B363" s="117"/>
      <c r="C363" s="117"/>
      <c r="D363" s="117"/>
      <c r="E363" s="117"/>
      <c r="F363" s="117"/>
      <c r="G363" s="117"/>
      <c r="H363" s="117"/>
      <c r="I363" s="235"/>
      <c r="J363" s="235"/>
      <c r="K363" s="235"/>
      <c r="L363" s="117"/>
      <c r="M363" s="117"/>
      <c r="N363" s="117"/>
      <c r="O363" s="117"/>
      <c r="P363" s="117"/>
      <c r="Q363" s="117"/>
      <c r="R363" s="117"/>
      <c r="S363" s="117"/>
      <c r="T363" s="117"/>
      <c r="U363" s="117"/>
      <c r="V363" s="117"/>
      <c r="W363" s="117"/>
      <c r="X363" s="117"/>
      <c r="Y363" s="117"/>
      <c r="Z363" s="117"/>
      <c r="AA363" s="117"/>
    </row>
    <row r="364" spans="1:27" ht="14.4">
      <c r="A364" s="117"/>
      <c r="B364" s="117"/>
      <c r="C364" s="117"/>
      <c r="D364" s="117"/>
      <c r="E364" s="117"/>
      <c r="F364" s="117"/>
      <c r="G364" s="117"/>
      <c r="H364" s="117"/>
      <c r="I364" s="235"/>
      <c r="J364" s="235"/>
      <c r="K364" s="235"/>
      <c r="L364" s="117"/>
      <c r="M364" s="117"/>
      <c r="N364" s="117"/>
      <c r="O364" s="117"/>
      <c r="P364" s="117"/>
      <c r="Q364" s="117"/>
      <c r="R364" s="117"/>
      <c r="S364" s="117"/>
      <c r="T364" s="117"/>
      <c r="U364" s="117"/>
      <c r="V364" s="117"/>
      <c r="W364" s="117"/>
      <c r="X364" s="117"/>
      <c r="Y364" s="117"/>
      <c r="Z364" s="117"/>
      <c r="AA364" s="117"/>
    </row>
    <row r="365" spans="1:27" ht="14.4">
      <c r="A365" s="117"/>
      <c r="B365" s="117"/>
      <c r="C365" s="117"/>
      <c r="D365" s="117"/>
      <c r="E365" s="117"/>
      <c r="F365" s="117"/>
      <c r="G365" s="117"/>
      <c r="H365" s="117"/>
      <c r="I365" s="235"/>
      <c r="J365" s="235"/>
      <c r="K365" s="235"/>
      <c r="L365" s="117"/>
      <c r="M365" s="117"/>
      <c r="N365" s="117"/>
      <c r="O365" s="117"/>
      <c r="P365" s="117"/>
      <c r="Q365" s="117"/>
      <c r="R365" s="117"/>
      <c r="S365" s="117"/>
      <c r="T365" s="117"/>
      <c r="U365" s="117"/>
      <c r="V365" s="117"/>
      <c r="W365" s="117"/>
      <c r="X365" s="117"/>
      <c r="Y365" s="117"/>
      <c r="Z365" s="117"/>
      <c r="AA365" s="117"/>
    </row>
    <row r="366" spans="1:27" ht="14.4">
      <c r="A366" s="117"/>
      <c r="B366" s="117"/>
      <c r="C366" s="117"/>
      <c r="D366" s="117"/>
      <c r="E366" s="117"/>
      <c r="F366" s="117"/>
      <c r="G366" s="117"/>
      <c r="H366" s="117"/>
      <c r="I366" s="235"/>
      <c r="J366" s="235"/>
      <c r="K366" s="235"/>
      <c r="L366" s="117"/>
      <c r="M366" s="117"/>
      <c r="N366" s="117"/>
      <c r="O366" s="117"/>
      <c r="P366" s="117"/>
      <c r="Q366" s="117"/>
      <c r="R366" s="117"/>
      <c r="S366" s="117"/>
      <c r="T366" s="117"/>
      <c r="U366" s="117"/>
      <c r="V366" s="117"/>
      <c r="W366" s="117"/>
      <c r="X366" s="117"/>
      <c r="Y366" s="117"/>
      <c r="Z366" s="117"/>
      <c r="AA366" s="117"/>
    </row>
    <row r="367" spans="1:27" ht="14.4">
      <c r="A367" s="117"/>
      <c r="B367" s="117"/>
      <c r="C367" s="117"/>
      <c r="D367" s="117"/>
      <c r="E367" s="117"/>
      <c r="F367" s="117"/>
      <c r="G367" s="117"/>
      <c r="H367" s="117"/>
      <c r="I367" s="235"/>
      <c r="J367" s="235"/>
      <c r="K367" s="235"/>
      <c r="L367" s="117"/>
      <c r="M367" s="117"/>
      <c r="N367" s="117"/>
      <c r="O367" s="117"/>
      <c r="P367" s="117"/>
      <c r="Q367" s="117"/>
      <c r="R367" s="117"/>
      <c r="S367" s="117"/>
      <c r="T367" s="117"/>
      <c r="U367" s="117"/>
      <c r="V367" s="117"/>
      <c r="W367" s="117"/>
      <c r="X367" s="117"/>
      <c r="Y367" s="117"/>
      <c r="Z367" s="117"/>
      <c r="AA367" s="117"/>
    </row>
    <row r="368" spans="1:27" ht="14.4">
      <c r="A368" s="117"/>
      <c r="B368" s="117"/>
      <c r="C368" s="117"/>
      <c r="D368" s="117"/>
      <c r="E368" s="117"/>
      <c r="F368" s="117"/>
      <c r="G368" s="117"/>
      <c r="H368" s="117"/>
      <c r="I368" s="235"/>
      <c r="J368" s="235"/>
      <c r="K368" s="235"/>
      <c r="L368" s="117"/>
      <c r="M368" s="117"/>
      <c r="N368" s="117"/>
      <c r="O368" s="117"/>
      <c r="P368" s="117"/>
      <c r="Q368" s="117"/>
      <c r="R368" s="117"/>
      <c r="S368" s="117"/>
      <c r="T368" s="117"/>
      <c r="U368" s="117"/>
      <c r="V368" s="117"/>
      <c r="W368" s="117"/>
      <c r="X368" s="117"/>
      <c r="Y368" s="117"/>
      <c r="Z368" s="117"/>
      <c r="AA368" s="117"/>
    </row>
    <row r="369" spans="1:27" ht="14.4">
      <c r="A369" s="117"/>
      <c r="B369" s="117"/>
      <c r="C369" s="117"/>
      <c r="D369" s="117"/>
      <c r="E369" s="117"/>
      <c r="F369" s="117"/>
      <c r="G369" s="117"/>
      <c r="H369" s="117"/>
      <c r="I369" s="235"/>
      <c r="J369" s="235"/>
      <c r="K369" s="235"/>
      <c r="L369" s="117"/>
      <c r="M369" s="117"/>
      <c r="N369" s="117"/>
      <c r="O369" s="117"/>
      <c r="P369" s="117"/>
      <c r="Q369" s="117"/>
      <c r="R369" s="117"/>
      <c r="S369" s="117"/>
      <c r="T369" s="117"/>
      <c r="U369" s="117"/>
      <c r="V369" s="117"/>
      <c r="W369" s="117"/>
      <c r="X369" s="117"/>
      <c r="Y369" s="117"/>
      <c r="Z369" s="117"/>
      <c r="AA369" s="117"/>
    </row>
    <row r="370" spans="1:27" ht="14.4">
      <c r="A370" s="117"/>
      <c r="B370" s="117"/>
      <c r="C370" s="117"/>
      <c r="D370" s="117"/>
      <c r="E370" s="117"/>
      <c r="F370" s="117"/>
      <c r="G370" s="117"/>
      <c r="H370" s="117"/>
      <c r="I370" s="235"/>
      <c r="J370" s="235"/>
      <c r="K370" s="235"/>
      <c r="L370" s="117"/>
      <c r="M370" s="117"/>
      <c r="N370" s="117"/>
      <c r="O370" s="117"/>
      <c r="P370" s="117"/>
      <c r="Q370" s="117"/>
      <c r="R370" s="117"/>
      <c r="S370" s="117"/>
      <c r="T370" s="117"/>
      <c r="U370" s="117"/>
      <c r="V370" s="117"/>
      <c r="W370" s="117"/>
      <c r="X370" s="117"/>
      <c r="Y370" s="117"/>
      <c r="Z370" s="117"/>
      <c r="AA370" s="117"/>
    </row>
    <row r="371" spans="1:27" ht="14.4">
      <c r="A371" s="117"/>
      <c r="B371" s="117"/>
      <c r="C371" s="117"/>
      <c r="D371" s="117"/>
      <c r="E371" s="117"/>
      <c r="F371" s="117"/>
      <c r="G371" s="117"/>
      <c r="H371" s="117"/>
      <c r="I371" s="235"/>
      <c r="J371" s="235"/>
      <c r="K371" s="235"/>
      <c r="L371" s="117"/>
      <c r="M371" s="117"/>
      <c r="N371" s="117"/>
      <c r="O371" s="117"/>
      <c r="P371" s="117"/>
      <c r="Q371" s="117"/>
      <c r="R371" s="117"/>
      <c r="S371" s="117"/>
      <c r="T371" s="117"/>
      <c r="U371" s="117"/>
      <c r="V371" s="117"/>
      <c r="W371" s="117"/>
      <c r="X371" s="117"/>
      <c r="Y371" s="117"/>
      <c r="Z371" s="117"/>
      <c r="AA371" s="117"/>
    </row>
    <row r="372" spans="1:27" ht="14.4">
      <c r="A372" s="117"/>
      <c r="B372" s="117"/>
      <c r="C372" s="117"/>
      <c r="D372" s="117"/>
      <c r="E372" s="117"/>
      <c r="F372" s="117"/>
      <c r="G372" s="117"/>
      <c r="H372" s="117"/>
      <c r="I372" s="235"/>
      <c r="J372" s="235"/>
      <c r="K372" s="235"/>
      <c r="L372" s="117"/>
      <c r="M372" s="117"/>
      <c r="N372" s="117"/>
      <c r="O372" s="117"/>
      <c r="P372" s="117"/>
      <c r="Q372" s="117"/>
      <c r="R372" s="117"/>
      <c r="S372" s="117"/>
      <c r="T372" s="117"/>
      <c r="U372" s="117"/>
      <c r="V372" s="117"/>
      <c r="W372" s="117"/>
      <c r="X372" s="117"/>
      <c r="Y372" s="117"/>
      <c r="Z372" s="117"/>
      <c r="AA372" s="117"/>
    </row>
    <row r="373" spans="1:27" ht="14.4">
      <c r="A373" s="117"/>
      <c r="B373" s="117"/>
      <c r="C373" s="117"/>
      <c r="D373" s="117"/>
      <c r="E373" s="117"/>
      <c r="F373" s="117"/>
      <c r="G373" s="117"/>
      <c r="H373" s="117"/>
      <c r="I373" s="235"/>
      <c r="J373" s="235"/>
      <c r="K373" s="235"/>
      <c r="L373" s="117"/>
      <c r="M373" s="117"/>
      <c r="N373" s="117"/>
      <c r="O373" s="117"/>
      <c r="P373" s="117"/>
      <c r="Q373" s="117"/>
      <c r="R373" s="117"/>
      <c r="S373" s="117"/>
      <c r="T373" s="117"/>
      <c r="U373" s="117"/>
      <c r="V373" s="117"/>
      <c r="W373" s="117"/>
      <c r="X373" s="117"/>
      <c r="Y373" s="117"/>
      <c r="Z373" s="117"/>
      <c r="AA373" s="117"/>
    </row>
    <row r="374" spans="1:27" ht="14.4">
      <c r="A374" s="117"/>
      <c r="B374" s="117"/>
      <c r="C374" s="117"/>
      <c r="D374" s="117"/>
      <c r="E374" s="117"/>
      <c r="F374" s="117"/>
      <c r="G374" s="117"/>
      <c r="H374" s="117"/>
      <c r="I374" s="235"/>
      <c r="J374" s="235"/>
      <c r="K374" s="235"/>
      <c r="L374" s="117"/>
      <c r="M374" s="117"/>
      <c r="N374" s="117"/>
      <c r="O374" s="117"/>
      <c r="P374" s="117"/>
      <c r="Q374" s="117"/>
      <c r="R374" s="117"/>
      <c r="S374" s="117"/>
      <c r="T374" s="117"/>
      <c r="U374" s="117"/>
      <c r="V374" s="117"/>
      <c r="W374" s="117"/>
      <c r="X374" s="117"/>
      <c r="Y374" s="117"/>
      <c r="Z374" s="117"/>
      <c r="AA374" s="117"/>
    </row>
    <row r="375" spans="1:27" ht="14.4">
      <c r="A375" s="117"/>
      <c r="B375" s="117"/>
      <c r="C375" s="117"/>
      <c r="D375" s="117"/>
      <c r="E375" s="117"/>
      <c r="F375" s="117"/>
      <c r="G375" s="117"/>
      <c r="H375" s="117"/>
      <c r="I375" s="235"/>
      <c r="J375" s="235"/>
      <c r="K375" s="235"/>
      <c r="L375" s="117"/>
      <c r="M375" s="117"/>
      <c r="N375" s="117"/>
      <c r="O375" s="117"/>
      <c r="P375" s="117"/>
      <c r="Q375" s="117"/>
      <c r="R375" s="117"/>
      <c r="S375" s="117"/>
      <c r="T375" s="117"/>
      <c r="U375" s="117"/>
      <c r="V375" s="117"/>
      <c r="W375" s="117"/>
      <c r="X375" s="117"/>
      <c r="Y375" s="117"/>
      <c r="Z375" s="117"/>
      <c r="AA375" s="117"/>
    </row>
    <row r="376" spans="1:27" ht="14.4">
      <c r="A376" s="117"/>
      <c r="B376" s="117"/>
      <c r="C376" s="117"/>
      <c r="D376" s="117"/>
      <c r="E376" s="117"/>
      <c r="F376" s="117"/>
      <c r="G376" s="117"/>
      <c r="H376" s="117"/>
      <c r="I376" s="235"/>
      <c r="J376" s="235"/>
      <c r="K376" s="235"/>
      <c r="L376" s="117"/>
      <c r="M376" s="117"/>
      <c r="N376" s="117"/>
      <c r="O376" s="117"/>
      <c r="P376" s="117"/>
      <c r="Q376" s="117"/>
      <c r="R376" s="117"/>
      <c r="S376" s="117"/>
      <c r="T376" s="117"/>
      <c r="U376" s="117"/>
      <c r="V376" s="117"/>
      <c r="W376" s="117"/>
      <c r="X376" s="117"/>
      <c r="Y376" s="117"/>
      <c r="Z376" s="117"/>
      <c r="AA376" s="117"/>
    </row>
    <row r="377" spans="1:27" ht="14.4">
      <c r="A377" s="117"/>
      <c r="B377" s="117"/>
      <c r="C377" s="117"/>
      <c r="D377" s="117"/>
      <c r="E377" s="117"/>
      <c r="F377" s="117"/>
      <c r="G377" s="117"/>
      <c r="H377" s="117"/>
      <c r="I377" s="235"/>
      <c r="J377" s="235"/>
      <c r="K377" s="235"/>
      <c r="L377" s="117"/>
      <c r="M377" s="117"/>
      <c r="N377" s="117"/>
      <c r="O377" s="117"/>
      <c r="P377" s="117"/>
      <c r="Q377" s="117"/>
      <c r="R377" s="117"/>
      <c r="S377" s="117"/>
      <c r="T377" s="117"/>
      <c r="U377" s="117"/>
      <c r="V377" s="117"/>
      <c r="W377" s="117"/>
      <c r="X377" s="117"/>
      <c r="Y377" s="117"/>
      <c r="Z377" s="117"/>
      <c r="AA377" s="117"/>
    </row>
    <row r="378" spans="1:27" ht="14.4">
      <c r="A378" s="117"/>
      <c r="B378" s="117"/>
      <c r="C378" s="117"/>
      <c r="D378" s="117"/>
      <c r="E378" s="117"/>
      <c r="F378" s="117"/>
      <c r="G378" s="117"/>
      <c r="H378" s="117"/>
      <c r="I378" s="235"/>
      <c r="J378" s="235"/>
      <c r="K378" s="235"/>
      <c r="L378" s="117"/>
      <c r="M378" s="117"/>
      <c r="N378" s="117"/>
      <c r="O378" s="117"/>
      <c r="P378" s="117"/>
      <c r="Q378" s="117"/>
      <c r="R378" s="117"/>
      <c r="S378" s="117"/>
      <c r="T378" s="117"/>
      <c r="U378" s="117"/>
      <c r="V378" s="117"/>
      <c r="W378" s="117"/>
      <c r="X378" s="117"/>
      <c r="Y378" s="117"/>
      <c r="Z378" s="117"/>
      <c r="AA378" s="117"/>
    </row>
    <row r="379" spans="1:27" ht="14.4">
      <c r="A379" s="117"/>
      <c r="B379" s="117"/>
      <c r="C379" s="117"/>
      <c r="D379" s="117"/>
      <c r="E379" s="117"/>
      <c r="F379" s="117"/>
      <c r="G379" s="117"/>
      <c r="H379" s="117"/>
      <c r="I379" s="235"/>
      <c r="J379" s="235"/>
      <c r="K379" s="235"/>
      <c r="L379" s="117"/>
      <c r="M379" s="117"/>
      <c r="N379" s="117"/>
      <c r="O379" s="117"/>
      <c r="P379" s="117"/>
      <c r="Q379" s="117"/>
      <c r="R379" s="117"/>
      <c r="S379" s="117"/>
      <c r="T379" s="117"/>
      <c r="U379" s="117"/>
      <c r="V379" s="117"/>
      <c r="W379" s="117"/>
      <c r="X379" s="117"/>
      <c r="Y379" s="117"/>
      <c r="Z379" s="117"/>
      <c r="AA379" s="117"/>
    </row>
    <row r="380" spans="1:27" ht="14.4">
      <c r="A380" s="117"/>
      <c r="B380" s="117"/>
      <c r="C380" s="117"/>
      <c r="D380" s="117"/>
      <c r="E380" s="117"/>
      <c r="F380" s="117"/>
      <c r="G380" s="117"/>
      <c r="H380" s="117"/>
      <c r="I380" s="235"/>
      <c r="J380" s="235"/>
      <c r="K380" s="235"/>
      <c r="L380" s="117"/>
      <c r="M380" s="117"/>
      <c r="N380" s="117"/>
      <c r="O380" s="117"/>
      <c r="P380" s="117"/>
      <c r="Q380" s="117"/>
      <c r="R380" s="117"/>
      <c r="S380" s="117"/>
      <c r="T380" s="117"/>
      <c r="U380" s="117"/>
      <c r="V380" s="117"/>
      <c r="W380" s="117"/>
      <c r="X380" s="117"/>
      <c r="Y380" s="117"/>
      <c r="Z380" s="117"/>
      <c r="AA380" s="117"/>
    </row>
    <row r="381" spans="1:27" ht="14.4">
      <c r="A381" s="117"/>
      <c r="B381" s="117"/>
      <c r="C381" s="117"/>
      <c r="D381" s="117"/>
      <c r="E381" s="117"/>
      <c r="F381" s="117"/>
      <c r="G381" s="117"/>
      <c r="H381" s="117"/>
      <c r="I381" s="235"/>
      <c r="J381" s="235"/>
      <c r="K381" s="235"/>
      <c r="L381" s="117"/>
      <c r="M381" s="117"/>
      <c r="N381" s="117"/>
      <c r="O381" s="117"/>
      <c r="P381" s="117"/>
      <c r="Q381" s="117"/>
      <c r="R381" s="117"/>
      <c r="S381" s="117"/>
      <c r="T381" s="117"/>
      <c r="U381" s="117"/>
      <c r="V381" s="117"/>
      <c r="W381" s="117"/>
      <c r="X381" s="117"/>
      <c r="Y381" s="117"/>
      <c r="Z381" s="117"/>
      <c r="AA381" s="117"/>
    </row>
    <row r="382" spans="1:27" ht="14.4">
      <c r="A382" s="117"/>
      <c r="B382" s="117"/>
      <c r="C382" s="117"/>
      <c r="D382" s="117"/>
      <c r="E382" s="117"/>
      <c r="F382" s="117"/>
      <c r="G382" s="117"/>
      <c r="H382" s="117"/>
      <c r="I382" s="235"/>
      <c r="J382" s="235"/>
      <c r="K382" s="235"/>
      <c r="L382" s="117"/>
      <c r="M382" s="117"/>
      <c r="N382" s="117"/>
      <c r="O382" s="117"/>
      <c r="P382" s="117"/>
      <c r="Q382" s="117"/>
      <c r="R382" s="117"/>
      <c r="S382" s="117"/>
      <c r="T382" s="117"/>
      <c r="U382" s="117"/>
      <c r="V382" s="117"/>
      <c r="W382" s="117"/>
      <c r="X382" s="117"/>
      <c r="Y382" s="117"/>
      <c r="Z382" s="117"/>
      <c r="AA382" s="117"/>
    </row>
    <row r="383" spans="1:27" ht="14.4">
      <c r="A383" s="117"/>
      <c r="B383" s="117"/>
      <c r="C383" s="117"/>
      <c r="D383" s="117"/>
      <c r="E383" s="117"/>
      <c r="F383" s="117"/>
      <c r="G383" s="117"/>
      <c r="H383" s="117"/>
      <c r="I383" s="235"/>
      <c r="J383" s="235"/>
      <c r="K383" s="235"/>
      <c r="L383" s="117"/>
      <c r="M383" s="117"/>
      <c r="N383" s="117"/>
      <c r="O383" s="117"/>
      <c r="P383" s="117"/>
      <c r="Q383" s="117"/>
      <c r="R383" s="117"/>
      <c r="S383" s="117"/>
      <c r="T383" s="117"/>
      <c r="U383" s="117"/>
      <c r="V383" s="117"/>
      <c r="W383" s="117"/>
      <c r="X383" s="117"/>
      <c r="Y383" s="117"/>
      <c r="Z383" s="117"/>
      <c r="AA383" s="117"/>
    </row>
    <row r="384" spans="1:27" ht="14.4">
      <c r="A384" s="117"/>
      <c r="B384" s="117"/>
      <c r="C384" s="117"/>
      <c r="D384" s="117"/>
      <c r="E384" s="117"/>
      <c r="F384" s="117"/>
      <c r="G384" s="117"/>
      <c r="H384" s="117"/>
      <c r="I384" s="235"/>
      <c r="J384" s="235"/>
      <c r="K384" s="235"/>
      <c r="L384" s="117"/>
      <c r="M384" s="117"/>
      <c r="N384" s="117"/>
      <c r="O384" s="117"/>
      <c r="P384" s="117"/>
      <c r="Q384" s="117"/>
      <c r="R384" s="117"/>
      <c r="S384" s="117"/>
      <c r="T384" s="117"/>
      <c r="U384" s="117"/>
      <c r="V384" s="117"/>
      <c r="W384" s="117"/>
      <c r="X384" s="117"/>
      <c r="Y384" s="117"/>
      <c r="Z384" s="117"/>
      <c r="AA384" s="117"/>
    </row>
    <row r="385" spans="1:27" ht="14.4">
      <c r="A385" s="117"/>
      <c r="B385" s="117"/>
      <c r="C385" s="117"/>
      <c r="D385" s="117"/>
      <c r="E385" s="117"/>
      <c r="F385" s="117"/>
      <c r="G385" s="117"/>
      <c r="H385" s="117"/>
      <c r="I385" s="235"/>
      <c r="J385" s="235"/>
      <c r="K385" s="235"/>
      <c r="L385" s="117"/>
      <c r="M385" s="117"/>
      <c r="N385" s="117"/>
      <c r="O385" s="117"/>
      <c r="P385" s="117"/>
      <c r="Q385" s="117"/>
      <c r="R385" s="117"/>
      <c r="S385" s="117"/>
      <c r="T385" s="117"/>
      <c r="U385" s="117"/>
      <c r="V385" s="117"/>
      <c r="W385" s="117"/>
      <c r="X385" s="117"/>
      <c r="Y385" s="117"/>
      <c r="Z385" s="117"/>
      <c r="AA385" s="117"/>
    </row>
    <row r="386" spans="1:27" ht="14.4">
      <c r="A386" s="117"/>
      <c r="B386" s="117"/>
      <c r="C386" s="117"/>
      <c r="D386" s="117"/>
      <c r="E386" s="117"/>
      <c r="F386" s="117"/>
      <c r="G386" s="117"/>
      <c r="H386" s="117"/>
      <c r="I386" s="235"/>
      <c r="J386" s="235"/>
      <c r="K386" s="235"/>
      <c r="L386" s="117"/>
      <c r="M386" s="117"/>
      <c r="N386" s="117"/>
      <c r="O386" s="117"/>
      <c r="P386" s="117"/>
      <c r="Q386" s="117"/>
      <c r="R386" s="117"/>
      <c r="S386" s="117"/>
      <c r="T386" s="117"/>
      <c r="U386" s="117"/>
      <c r="V386" s="117"/>
      <c r="W386" s="117"/>
      <c r="X386" s="117"/>
      <c r="Y386" s="117"/>
      <c r="Z386" s="117"/>
      <c r="AA386" s="117"/>
    </row>
    <row r="387" spans="1:27" ht="14.4">
      <c r="A387" s="117"/>
      <c r="B387" s="117"/>
      <c r="C387" s="117"/>
      <c r="D387" s="117"/>
      <c r="E387" s="117"/>
      <c r="F387" s="117"/>
      <c r="G387" s="117"/>
      <c r="H387" s="117"/>
      <c r="I387" s="235"/>
      <c r="J387" s="235"/>
      <c r="K387" s="235"/>
      <c r="L387" s="117"/>
      <c r="M387" s="117"/>
      <c r="N387" s="117"/>
      <c r="O387" s="117"/>
      <c r="P387" s="117"/>
      <c r="Q387" s="117"/>
      <c r="R387" s="117"/>
      <c r="S387" s="117"/>
      <c r="T387" s="117"/>
      <c r="U387" s="117"/>
      <c r="V387" s="117"/>
      <c r="W387" s="117"/>
      <c r="X387" s="117"/>
      <c r="Y387" s="117"/>
      <c r="Z387" s="117"/>
      <c r="AA387" s="117"/>
    </row>
    <row r="388" spans="1:27" ht="14.4">
      <c r="A388" s="117"/>
      <c r="B388" s="117"/>
      <c r="C388" s="117"/>
      <c r="D388" s="117"/>
      <c r="E388" s="117"/>
      <c r="F388" s="117"/>
      <c r="G388" s="117"/>
      <c r="H388" s="117"/>
      <c r="I388" s="235"/>
      <c r="J388" s="235"/>
      <c r="K388" s="235"/>
      <c r="L388" s="117"/>
      <c r="M388" s="117"/>
      <c r="N388" s="117"/>
      <c r="O388" s="117"/>
      <c r="P388" s="117"/>
      <c r="Q388" s="117"/>
      <c r="R388" s="117"/>
      <c r="S388" s="117"/>
      <c r="T388" s="117"/>
      <c r="U388" s="117"/>
      <c r="V388" s="117"/>
      <c r="W388" s="117"/>
      <c r="X388" s="117"/>
      <c r="Y388" s="117"/>
      <c r="Z388" s="117"/>
      <c r="AA388" s="117"/>
    </row>
    <row r="389" spans="1:27" ht="14.4">
      <c r="A389" s="117"/>
      <c r="B389" s="117"/>
      <c r="C389" s="117"/>
      <c r="D389" s="117"/>
      <c r="E389" s="117"/>
      <c r="F389" s="117"/>
      <c r="G389" s="117"/>
      <c r="H389" s="117"/>
      <c r="I389" s="235"/>
      <c r="J389" s="235"/>
      <c r="K389" s="235"/>
      <c r="L389" s="117"/>
      <c r="M389" s="117"/>
      <c r="N389" s="117"/>
      <c r="O389" s="117"/>
      <c r="P389" s="117"/>
      <c r="Q389" s="117"/>
      <c r="R389" s="117"/>
      <c r="S389" s="117"/>
      <c r="T389" s="117"/>
      <c r="U389" s="117"/>
      <c r="V389" s="117"/>
      <c r="W389" s="117"/>
      <c r="X389" s="117"/>
      <c r="Y389" s="117"/>
      <c r="Z389" s="117"/>
      <c r="AA389" s="117"/>
    </row>
    <row r="390" spans="1:27" ht="14.4">
      <c r="A390" s="117"/>
      <c r="B390" s="117"/>
      <c r="C390" s="117"/>
      <c r="D390" s="117"/>
      <c r="E390" s="117"/>
      <c r="F390" s="117"/>
      <c r="G390" s="117"/>
      <c r="H390" s="117"/>
      <c r="I390" s="235"/>
      <c r="J390" s="235"/>
      <c r="K390" s="235"/>
      <c r="L390" s="117"/>
      <c r="M390" s="117"/>
      <c r="N390" s="117"/>
      <c r="O390" s="117"/>
      <c r="P390" s="117"/>
      <c r="Q390" s="117"/>
      <c r="R390" s="117"/>
      <c r="S390" s="117"/>
      <c r="T390" s="117"/>
      <c r="U390" s="117"/>
      <c r="V390" s="117"/>
      <c r="W390" s="117"/>
      <c r="X390" s="117"/>
      <c r="Y390" s="117"/>
      <c r="Z390" s="117"/>
      <c r="AA390" s="117"/>
    </row>
    <row r="391" spans="1:27" ht="14.4">
      <c r="A391" s="117"/>
      <c r="B391" s="117"/>
      <c r="C391" s="117"/>
      <c r="D391" s="117"/>
      <c r="E391" s="117"/>
      <c r="F391" s="117"/>
      <c r="G391" s="117"/>
      <c r="H391" s="117"/>
      <c r="I391" s="235"/>
      <c r="J391" s="235"/>
      <c r="K391" s="235"/>
      <c r="L391" s="117"/>
      <c r="M391" s="117"/>
      <c r="N391" s="117"/>
      <c r="O391" s="117"/>
      <c r="P391" s="117"/>
      <c r="Q391" s="117"/>
      <c r="R391" s="117"/>
      <c r="S391" s="117"/>
      <c r="T391" s="117"/>
      <c r="U391" s="117"/>
      <c r="V391" s="117"/>
      <c r="W391" s="117"/>
      <c r="X391" s="117"/>
      <c r="Y391" s="117"/>
      <c r="Z391" s="117"/>
      <c r="AA391" s="117"/>
    </row>
    <row r="392" spans="1:27" ht="14.4">
      <c r="A392" s="117"/>
      <c r="B392" s="117"/>
      <c r="C392" s="117"/>
      <c r="D392" s="117"/>
      <c r="E392" s="117"/>
      <c r="F392" s="117"/>
      <c r="G392" s="117"/>
      <c r="H392" s="117"/>
      <c r="I392" s="235"/>
      <c r="J392" s="235"/>
      <c r="K392" s="235"/>
      <c r="L392" s="117"/>
      <c r="M392" s="117"/>
      <c r="N392" s="117"/>
      <c r="O392" s="117"/>
      <c r="P392" s="117"/>
      <c r="Q392" s="117"/>
      <c r="R392" s="117"/>
      <c r="S392" s="117"/>
      <c r="T392" s="117"/>
      <c r="U392" s="117"/>
      <c r="V392" s="117"/>
      <c r="W392" s="117"/>
      <c r="X392" s="117"/>
      <c r="Y392" s="117"/>
      <c r="Z392" s="117"/>
      <c r="AA392" s="117"/>
    </row>
    <row r="393" spans="1:27" ht="14.4">
      <c r="A393" s="117"/>
      <c r="B393" s="117"/>
      <c r="C393" s="117"/>
      <c r="D393" s="117"/>
      <c r="E393" s="117"/>
      <c r="F393" s="117"/>
      <c r="G393" s="117"/>
      <c r="H393" s="117"/>
      <c r="I393" s="235"/>
      <c r="J393" s="235"/>
      <c r="K393" s="235"/>
      <c r="L393" s="117"/>
      <c r="M393" s="117"/>
      <c r="N393" s="117"/>
      <c r="O393" s="117"/>
      <c r="P393" s="117"/>
      <c r="Q393" s="117"/>
      <c r="R393" s="117"/>
      <c r="S393" s="117"/>
      <c r="T393" s="117"/>
      <c r="U393" s="117"/>
      <c r="V393" s="117"/>
      <c r="W393" s="117"/>
      <c r="X393" s="117"/>
      <c r="Y393" s="117"/>
      <c r="Z393" s="117"/>
      <c r="AA393" s="117"/>
    </row>
    <row r="394" spans="1:27" ht="14.4">
      <c r="A394" s="117"/>
      <c r="B394" s="117"/>
      <c r="C394" s="117"/>
      <c r="D394" s="117"/>
      <c r="E394" s="117"/>
      <c r="F394" s="117"/>
      <c r="G394" s="117"/>
      <c r="H394" s="117"/>
      <c r="I394" s="235"/>
      <c r="J394" s="235"/>
      <c r="K394" s="235"/>
      <c r="L394" s="117"/>
      <c r="M394" s="117"/>
      <c r="N394" s="117"/>
      <c r="O394" s="117"/>
      <c r="P394" s="117"/>
      <c r="Q394" s="117"/>
      <c r="R394" s="117"/>
      <c r="S394" s="117"/>
      <c r="T394" s="117"/>
      <c r="U394" s="117"/>
      <c r="V394" s="117"/>
      <c r="W394" s="117"/>
      <c r="X394" s="117"/>
      <c r="Y394" s="117"/>
      <c r="Z394" s="117"/>
      <c r="AA394" s="117"/>
    </row>
    <row r="395" spans="1:27" ht="14.4">
      <c r="A395" s="117"/>
      <c r="B395" s="117"/>
      <c r="C395" s="117"/>
      <c r="D395" s="117"/>
      <c r="E395" s="117"/>
      <c r="F395" s="117"/>
      <c r="G395" s="117"/>
      <c r="H395" s="117"/>
      <c r="I395" s="235"/>
      <c r="J395" s="235"/>
      <c r="K395" s="235"/>
      <c r="L395" s="117"/>
      <c r="M395" s="117"/>
      <c r="N395" s="117"/>
      <c r="O395" s="117"/>
      <c r="P395" s="117"/>
      <c r="Q395" s="117"/>
      <c r="R395" s="117"/>
      <c r="S395" s="117"/>
      <c r="T395" s="117"/>
      <c r="U395" s="117"/>
      <c r="V395" s="117"/>
      <c r="W395" s="117"/>
      <c r="X395" s="117"/>
      <c r="Y395" s="117"/>
      <c r="Z395" s="117"/>
      <c r="AA395" s="117"/>
    </row>
    <row r="396" spans="1:27" ht="14.4">
      <c r="A396" s="117"/>
      <c r="B396" s="117"/>
      <c r="C396" s="117"/>
      <c r="D396" s="117"/>
      <c r="E396" s="117"/>
      <c r="F396" s="117"/>
      <c r="G396" s="117"/>
      <c r="H396" s="117"/>
      <c r="I396" s="235"/>
      <c r="J396" s="235"/>
      <c r="K396" s="235"/>
      <c r="L396" s="117"/>
      <c r="M396" s="117"/>
      <c r="N396" s="117"/>
      <c r="O396" s="117"/>
      <c r="P396" s="117"/>
      <c r="Q396" s="117"/>
      <c r="R396" s="117"/>
      <c r="S396" s="117"/>
      <c r="T396" s="117"/>
      <c r="U396" s="117"/>
      <c r="V396" s="117"/>
      <c r="W396" s="117"/>
      <c r="X396" s="117"/>
      <c r="Y396" s="117"/>
      <c r="Z396" s="117"/>
      <c r="AA396" s="117"/>
    </row>
    <row r="397" spans="1:27" ht="14.4">
      <c r="A397" s="117"/>
      <c r="B397" s="117"/>
      <c r="C397" s="117"/>
      <c r="D397" s="117"/>
      <c r="E397" s="117"/>
      <c r="F397" s="117"/>
      <c r="G397" s="117"/>
      <c r="H397" s="117"/>
      <c r="I397" s="235"/>
      <c r="J397" s="235"/>
      <c r="K397" s="235"/>
      <c r="L397" s="117"/>
      <c r="M397" s="117"/>
      <c r="N397" s="117"/>
      <c r="O397" s="117"/>
      <c r="P397" s="117"/>
      <c r="Q397" s="117"/>
      <c r="R397" s="117"/>
      <c r="S397" s="117"/>
      <c r="T397" s="117"/>
      <c r="U397" s="117"/>
      <c r="V397" s="117"/>
      <c r="W397" s="117"/>
      <c r="X397" s="117"/>
      <c r="Y397" s="117"/>
      <c r="Z397" s="117"/>
      <c r="AA397" s="117"/>
    </row>
    <row r="398" spans="1:27" ht="14.4">
      <c r="A398" s="117"/>
      <c r="B398" s="117"/>
      <c r="C398" s="117"/>
      <c r="D398" s="117"/>
      <c r="E398" s="117"/>
      <c r="F398" s="117"/>
      <c r="G398" s="117"/>
      <c r="H398" s="117"/>
      <c r="I398" s="235"/>
      <c r="J398" s="235"/>
      <c r="K398" s="235"/>
      <c r="L398" s="117"/>
      <c r="M398" s="117"/>
      <c r="N398" s="117"/>
      <c r="O398" s="117"/>
      <c r="P398" s="117"/>
      <c r="Q398" s="117"/>
      <c r="R398" s="117"/>
      <c r="S398" s="117"/>
      <c r="T398" s="117"/>
      <c r="U398" s="117"/>
      <c r="V398" s="117"/>
      <c r="W398" s="117"/>
      <c r="X398" s="117"/>
      <c r="Y398" s="117"/>
      <c r="Z398" s="117"/>
      <c r="AA398" s="117"/>
    </row>
    <row r="399" spans="1:27" ht="14.4">
      <c r="A399" s="117"/>
      <c r="B399" s="117"/>
      <c r="C399" s="117"/>
      <c r="D399" s="117"/>
      <c r="E399" s="117"/>
      <c r="F399" s="117"/>
      <c r="G399" s="117"/>
      <c r="H399" s="117"/>
      <c r="I399" s="235"/>
      <c r="J399" s="235"/>
      <c r="K399" s="235"/>
      <c r="L399" s="117"/>
      <c r="M399" s="117"/>
      <c r="N399" s="117"/>
      <c r="O399" s="117"/>
      <c r="P399" s="117"/>
      <c r="Q399" s="117"/>
      <c r="R399" s="117"/>
      <c r="S399" s="117"/>
      <c r="T399" s="117"/>
      <c r="U399" s="117"/>
      <c r="V399" s="117"/>
      <c r="W399" s="117"/>
      <c r="X399" s="117"/>
      <c r="Y399" s="117"/>
      <c r="Z399" s="117"/>
      <c r="AA399" s="117"/>
    </row>
    <row r="400" spans="1:27" ht="14.4">
      <c r="A400" s="117"/>
      <c r="B400" s="117"/>
      <c r="C400" s="117"/>
      <c r="D400" s="117"/>
      <c r="E400" s="117"/>
      <c r="F400" s="117"/>
      <c r="G400" s="117"/>
      <c r="H400" s="117"/>
      <c r="I400" s="235"/>
      <c r="J400" s="235"/>
      <c r="K400" s="235"/>
      <c r="L400" s="117"/>
      <c r="M400" s="117"/>
      <c r="N400" s="117"/>
      <c r="O400" s="117"/>
      <c r="P400" s="117"/>
      <c r="Q400" s="117"/>
      <c r="R400" s="117"/>
      <c r="S400" s="117"/>
      <c r="T400" s="117"/>
      <c r="U400" s="117"/>
      <c r="V400" s="117"/>
      <c r="W400" s="117"/>
      <c r="X400" s="117"/>
      <c r="Y400" s="117"/>
      <c r="Z400" s="117"/>
      <c r="AA400" s="117"/>
    </row>
    <row r="401" spans="1:27" ht="14.4">
      <c r="A401" s="117"/>
      <c r="B401" s="117"/>
      <c r="C401" s="117"/>
      <c r="D401" s="117"/>
      <c r="E401" s="117"/>
      <c r="F401" s="117"/>
      <c r="G401" s="117"/>
      <c r="H401" s="117"/>
      <c r="I401" s="235"/>
      <c r="J401" s="235"/>
      <c r="K401" s="235"/>
      <c r="L401" s="117"/>
      <c r="M401" s="117"/>
      <c r="N401" s="117"/>
      <c r="O401" s="117"/>
      <c r="P401" s="117"/>
      <c r="Q401" s="117"/>
      <c r="R401" s="117"/>
      <c r="S401" s="117"/>
      <c r="T401" s="117"/>
      <c r="U401" s="117"/>
      <c r="V401" s="117"/>
      <c r="W401" s="117"/>
      <c r="X401" s="117"/>
      <c r="Y401" s="117"/>
      <c r="Z401" s="117"/>
      <c r="AA401" s="117"/>
    </row>
    <row r="402" spans="1:27" ht="14.4">
      <c r="A402" s="117"/>
      <c r="B402" s="117"/>
      <c r="C402" s="117"/>
      <c r="D402" s="117"/>
      <c r="E402" s="117"/>
      <c r="F402" s="117"/>
      <c r="G402" s="117"/>
      <c r="H402" s="117"/>
      <c r="I402" s="235"/>
      <c r="J402" s="235"/>
      <c r="K402" s="235"/>
      <c r="L402" s="117"/>
      <c r="M402" s="117"/>
      <c r="N402" s="117"/>
      <c r="O402" s="117"/>
      <c r="P402" s="117"/>
      <c r="Q402" s="117"/>
      <c r="R402" s="117"/>
      <c r="S402" s="117"/>
      <c r="T402" s="117"/>
      <c r="U402" s="117"/>
      <c r="V402" s="117"/>
      <c r="W402" s="117"/>
      <c r="X402" s="117"/>
      <c r="Y402" s="117"/>
      <c r="Z402" s="117"/>
      <c r="AA402" s="117"/>
    </row>
    <row r="403" spans="1:27" ht="14.4">
      <c r="A403" s="117"/>
      <c r="B403" s="117"/>
      <c r="C403" s="117"/>
      <c r="D403" s="117"/>
      <c r="E403" s="117"/>
      <c r="F403" s="117"/>
      <c r="G403" s="117"/>
      <c r="H403" s="117"/>
      <c r="I403" s="235"/>
      <c r="J403" s="235"/>
      <c r="K403" s="235"/>
      <c r="L403" s="117"/>
      <c r="M403" s="117"/>
      <c r="N403" s="117"/>
      <c r="O403" s="117"/>
      <c r="P403" s="117"/>
      <c r="Q403" s="117"/>
      <c r="R403" s="117"/>
      <c r="S403" s="117"/>
      <c r="T403" s="117"/>
      <c r="U403" s="117"/>
      <c r="V403" s="117"/>
      <c r="W403" s="117"/>
      <c r="X403" s="117"/>
      <c r="Y403" s="117"/>
      <c r="Z403" s="117"/>
      <c r="AA403" s="117"/>
    </row>
    <row r="404" spans="1:27" ht="14.4">
      <c r="A404" s="117"/>
      <c r="B404" s="117"/>
      <c r="C404" s="117"/>
      <c r="D404" s="117"/>
      <c r="E404" s="117"/>
      <c r="F404" s="117"/>
      <c r="G404" s="117"/>
      <c r="H404" s="117"/>
      <c r="I404" s="235"/>
      <c r="J404" s="235"/>
      <c r="K404" s="235"/>
      <c r="L404" s="117"/>
      <c r="M404" s="117"/>
      <c r="N404" s="117"/>
      <c r="O404" s="117"/>
      <c r="P404" s="117"/>
      <c r="Q404" s="117"/>
      <c r="R404" s="117"/>
      <c r="S404" s="117"/>
      <c r="T404" s="117"/>
      <c r="U404" s="117"/>
      <c r="V404" s="117"/>
      <c r="W404" s="117"/>
      <c r="X404" s="117"/>
      <c r="Y404" s="117"/>
      <c r="Z404" s="117"/>
      <c r="AA404" s="117"/>
    </row>
    <row r="405" spans="1:27" ht="14.4">
      <c r="A405" s="117"/>
      <c r="B405" s="117"/>
      <c r="C405" s="117"/>
      <c r="D405" s="117"/>
      <c r="E405" s="117"/>
      <c r="F405" s="117"/>
      <c r="G405" s="117"/>
      <c r="H405" s="117"/>
      <c r="I405" s="235"/>
      <c r="J405" s="235"/>
      <c r="K405" s="235"/>
      <c r="L405" s="117"/>
      <c r="M405" s="117"/>
      <c r="N405" s="117"/>
      <c r="O405" s="117"/>
      <c r="P405" s="117"/>
      <c r="Q405" s="117"/>
      <c r="R405" s="117"/>
      <c r="S405" s="117"/>
      <c r="T405" s="117"/>
      <c r="U405" s="117"/>
      <c r="V405" s="117"/>
      <c r="W405" s="117"/>
      <c r="X405" s="117"/>
      <c r="Y405" s="117"/>
      <c r="Z405" s="117"/>
      <c r="AA405" s="117"/>
    </row>
    <row r="406" spans="1:27" ht="14.4">
      <c r="A406" s="117"/>
      <c r="B406" s="117"/>
      <c r="C406" s="117"/>
      <c r="D406" s="117"/>
      <c r="E406" s="117"/>
      <c r="F406" s="117"/>
      <c r="G406" s="117"/>
      <c r="H406" s="117"/>
      <c r="I406" s="235"/>
      <c r="J406" s="235"/>
      <c r="K406" s="235"/>
      <c r="L406" s="117"/>
      <c r="M406" s="117"/>
      <c r="N406" s="117"/>
      <c r="O406" s="117"/>
      <c r="P406" s="117"/>
      <c r="Q406" s="117"/>
      <c r="R406" s="117"/>
      <c r="S406" s="117"/>
      <c r="T406" s="117"/>
      <c r="U406" s="117"/>
      <c r="V406" s="117"/>
      <c r="W406" s="117"/>
      <c r="X406" s="117"/>
      <c r="Y406" s="117"/>
      <c r="Z406" s="117"/>
      <c r="AA406" s="117"/>
    </row>
    <row r="407" spans="1:27" ht="14.4">
      <c r="A407" s="117"/>
      <c r="B407" s="117"/>
      <c r="C407" s="117"/>
      <c r="D407" s="117"/>
      <c r="E407" s="117"/>
      <c r="F407" s="117"/>
      <c r="G407" s="117"/>
      <c r="H407" s="117"/>
      <c r="I407" s="235"/>
      <c r="J407" s="235"/>
      <c r="K407" s="235"/>
      <c r="L407" s="117"/>
      <c r="M407" s="117"/>
      <c r="N407" s="117"/>
      <c r="O407" s="117"/>
      <c r="P407" s="117"/>
      <c r="Q407" s="117"/>
      <c r="R407" s="117"/>
      <c r="S407" s="117"/>
      <c r="T407" s="117"/>
      <c r="U407" s="117"/>
      <c r="V407" s="117"/>
      <c r="W407" s="117"/>
      <c r="X407" s="117"/>
      <c r="Y407" s="117"/>
      <c r="Z407" s="117"/>
      <c r="AA407" s="117"/>
    </row>
    <row r="408" spans="1:27" ht="14.4">
      <c r="A408" s="117"/>
      <c r="B408" s="117"/>
      <c r="C408" s="117"/>
      <c r="D408" s="117"/>
      <c r="E408" s="117"/>
      <c r="F408" s="117"/>
      <c r="G408" s="117"/>
      <c r="H408" s="117"/>
      <c r="I408" s="235"/>
      <c r="J408" s="235"/>
      <c r="K408" s="235"/>
      <c r="L408" s="117"/>
      <c r="M408" s="117"/>
      <c r="N408" s="117"/>
      <c r="O408" s="117"/>
      <c r="P408" s="117"/>
      <c r="Q408" s="117"/>
      <c r="R408" s="117"/>
      <c r="S408" s="117"/>
      <c r="T408" s="117"/>
      <c r="U408" s="117"/>
      <c r="V408" s="117"/>
      <c r="W408" s="117"/>
      <c r="X408" s="117"/>
      <c r="Y408" s="117"/>
      <c r="Z408" s="117"/>
      <c r="AA408" s="117"/>
    </row>
    <row r="409" spans="1:27" ht="14.4">
      <c r="A409" s="117"/>
      <c r="B409" s="117"/>
      <c r="C409" s="117"/>
      <c r="D409" s="117"/>
      <c r="E409" s="117"/>
      <c r="F409" s="117"/>
      <c r="G409" s="117"/>
      <c r="H409" s="117"/>
      <c r="I409" s="235"/>
      <c r="J409" s="235"/>
      <c r="K409" s="235"/>
      <c r="L409" s="117"/>
      <c r="M409" s="117"/>
      <c r="N409" s="117"/>
      <c r="O409" s="117"/>
      <c r="P409" s="117"/>
      <c r="Q409" s="117"/>
      <c r="R409" s="117"/>
      <c r="S409" s="117"/>
      <c r="T409" s="117"/>
      <c r="U409" s="117"/>
      <c r="V409" s="117"/>
      <c r="W409" s="117"/>
      <c r="X409" s="117"/>
      <c r="Y409" s="117"/>
      <c r="Z409" s="117"/>
      <c r="AA409" s="117"/>
    </row>
    <row r="410" spans="1:27" ht="14.4">
      <c r="A410" s="117"/>
      <c r="B410" s="117"/>
      <c r="C410" s="117"/>
      <c r="D410" s="117"/>
      <c r="E410" s="117"/>
      <c r="F410" s="117"/>
      <c r="G410" s="117"/>
      <c r="H410" s="117"/>
      <c r="I410" s="235"/>
      <c r="J410" s="235"/>
      <c r="K410" s="235"/>
      <c r="L410" s="117"/>
      <c r="M410" s="117"/>
      <c r="N410" s="117"/>
      <c r="O410" s="117"/>
      <c r="P410" s="117"/>
      <c r="Q410" s="117"/>
      <c r="R410" s="117"/>
      <c r="S410" s="117"/>
      <c r="T410" s="117"/>
      <c r="U410" s="117"/>
      <c r="V410" s="117"/>
      <c r="W410" s="117"/>
      <c r="X410" s="117"/>
      <c r="Y410" s="117"/>
      <c r="Z410" s="117"/>
      <c r="AA410" s="117"/>
    </row>
    <row r="411" spans="1:27" ht="14.4">
      <c r="A411" s="117"/>
      <c r="B411" s="117"/>
      <c r="C411" s="117"/>
      <c r="D411" s="117"/>
      <c r="E411" s="117"/>
      <c r="F411" s="117"/>
      <c r="G411" s="117"/>
      <c r="H411" s="117"/>
      <c r="I411" s="235"/>
      <c r="J411" s="235"/>
      <c r="K411" s="235"/>
      <c r="L411" s="117"/>
      <c r="M411" s="117"/>
      <c r="N411" s="117"/>
      <c r="O411" s="117"/>
      <c r="P411" s="117"/>
      <c r="Q411" s="117"/>
      <c r="R411" s="117"/>
      <c r="S411" s="117"/>
      <c r="T411" s="117"/>
      <c r="U411" s="117"/>
      <c r="V411" s="117"/>
      <c r="W411" s="117"/>
      <c r="X411" s="117"/>
      <c r="Y411" s="117"/>
      <c r="Z411" s="117"/>
      <c r="AA411" s="117"/>
    </row>
    <row r="412" spans="1:27" ht="14.4">
      <c r="A412" s="117"/>
      <c r="B412" s="117"/>
      <c r="C412" s="117"/>
      <c r="D412" s="117"/>
      <c r="E412" s="117"/>
      <c r="F412" s="117"/>
      <c r="G412" s="117"/>
      <c r="H412" s="117"/>
      <c r="I412" s="235"/>
      <c r="J412" s="235"/>
      <c r="K412" s="235"/>
      <c r="L412" s="117"/>
      <c r="M412" s="117"/>
      <c r="N412" s="117"/>
      <c r="O412" s="117"/>
      <c r="P412" s="117"/>
      <c r="Q412" s="117"/>
      <c r="R412" s="117"/>
      <c r="S412" s="117"/>
      <c r="T412" s="117"/>
      <c r="U412" s="117"/>
      <c r="V412" s="117"/>
      <c r="W412" s="117"/>
      <c r="X412" s="117"/>
      <c r="Y412" s="117"/>
      <c r="Z412" s="117"/>
      <c r="AA412" s="117"/>
    </row>
    <row r="413" spans="1:27" ht="14.4">
      <c r="A413" s="117"/>
      <c r="B413" s="117"/>
      <c r="C413" s="117"/>
      <c r="D413" s="117"/>
      <c r="E413" s="117"/>
      <c r="F413" s="117"/>
      <c r="G413" s="117"/>
      <c r="H413" s="117"/>
      <c r="I413" s="235"/>
      <c r="J413" s="235"/>
      <c r="K413" s="235"/>
      <c r="L413" s="117"/>
      <c r="M413" s="117"/>
      <c r="N413" s="117"/>
      <c r="O413" s="117"/>
      <c r="P413" s="117"/>
      <c r="Q413" s="117"/>
      <c r="R413" s="117"/>
      <c r="S413" s="117"/>
      <c r="T413" s="117"/>
      <c r="U413" s="117"/>
      <c r="V413" s="117"/>
      <c r="W413" s="117"/>
      <c r="X413" s="117"/>
      <c r="Y413" s="117"/>
      <c r="Z413" s="117"/>
      <c r="AA413" s="117"/>
    </row>
    <row r="414" spans="1:27" ht="14.4">
      <c r="A414" s="117"/>
      <c r="B414" s="117"/>
      <c r="C414" s="117"/>
      <c r="D414" s="117"/>
      <c r="E414" s="117"/>
      <c r="F414" s="117"/>
      <c r="G414" s="117"/>
      <c r="H414" s="117"/>
      <c r="I414" s="235"/>
      <c r="J414" s="235"/>
      <c r="K414" s="235"/>
      <c r="L414" s="117"/>
      <c r="M414" s="117"/>
      <c r="N414" s="117"/>
      <c r="O414" s="117"/>
      <c r="P414" s="117"/>
      <c r="Q414" s="117"/>
      <c r="R414" s="117"/>
      <c r="S414" s="117"/>
      <c r="T414" s="117"/>
      <c r="U414" s="117"/>
      <c r="V414" s="117"/>
      <c r="W414" s="117"/>
      <c r="X414" s="117"/>
      <c r="Y414" s="117"/>
      <c r="Z414" s="117"/>
      <c r="AA414" s="117"/>
    </row>
    <row r="415" spans="1:27" ht="14.4">
      <c r="A415" s="117"/>
      <c r="B415" s="117"/>
      <c r="C415" s="117"/>
      <c r="D415" s="117"/>
      <c r="E415" s="117"/>
      <c r="F415" s="117"/>
      <c r="G415" s="117"/>
      <c r="H415" s="117"/>
      <c r="I415" s="235"/>
      <c r="J415" s="235"/>
      <c r="K415" s="235"/>
      <c r="L415" s="117"/>
      <c r="M415" s="117"/>
      <c r="N415" s="117"/>
      <c r="O415" s="117"/>
      <c r="P415" s="117"/>
      <c r="Q415" s="117"/>
      <c r="R415" s="117"/>
      <c r="S415" s="117"/>
      <c r="T415" s="117"/>
      <c r="U415" s="117"/>
      <c r="V415" s="117"/>
      <c r="W415" s="117"/>
      <c r="X415" s="117"/>
      <c r="Y415" s="117"/>
      <c r="Z415" s="117"/>
      <c r="AA415" s="117"/>
    </row>
    <row r="416" spans="1:27" ht="14.4">
      <c r="A416" s="117"/>
      <c r="B416" s="117"/>
      <c r="C416" s="117"/>
      <c r="D416" s="117"/>
      <c r="E416" s="117"/>
      <c r="F416" s="117"/>
      <c r="G416" s="117"/>
      <c r="H416" s="117"/>
      <c r="I416" s="235"/>
      <c r="J416" s="235"/>
      <c r="K416" s="235"/>
      <c r="L416" s="117"/>
      <c r="M416" s="117"/>
      <c r="N416" s="117"/>
      <c r="O416" s="117"/>
      <c r="P416" s="117"/>
      <c r="Q416" s="117"/>
      <c r="R416" s="117"/>
      <c r="S416" s="117"/>
      <c r="T416" s="117"/>
      <c r="U416" s="117"/>
      <c r="V416" s="117"/>
      <c r="W416" s="117"/>
      <c r="X416" s="117"/>
      <c r="Y416" s="117"/>
      <c r="Z416" s="117"/>
      <c r="AA416" s="117"/>
    </row>
    <row r="417" spans="1:27" ht="14.4">
      <c r="A417" s="117"/>
      <c r="B417" s="117"/>
      <c r="C417" s="117"/>
      <c r="D417" s="117"/>
      <c r="E417" s="117"/>
      <c r="F417" s="117"/>
      <c r="G417" s="117"/>
      <c r="H417" s="117"/>
      <c r="I417" s="235"/>
      <c r="J417" s="235"/>
      <c r="K417" s="235"/>
      <c r="L417" s="117"/>
      <c r="M417" s="117"/>
      <c r="N417" s="117"/>
      <c r="O417" s="117"/>
      <c r="P417" s="117"/>
      <c r="Q417" s="117"/>
      <c r="R417" s="117"/>
      <c r="S417" s="117"/>
      <c r="T417" s="117"/>
      <c r="U417" s="117"/>
      <c r="V417" s="117"/>
      <c r="W417" s="117"/>
      <c r="X417" s="117"/>
      <c r="Y417" s="117"/>
      <c r="Z417" s="117"/>
      <c r="AA417" s="117"/>
    </row>
    <row r="418" spans="1:27" ht="14.4">
      <c r="A418" s="117"/>
      <c r="B418" s="117"/>
      <c r="C418" s="117"/>
      <c r="D418" s="117"/>
      <c r="E418" s="117"/>
      <c r="F418" s="117"/>
      <c r="G418" s="117"/>
      <c r="H418" s="117"/>
      <c r="I418" s="235"/>
      <c r="J418" s="235"/>
      <c r="K418" s="235"/>
      <c r="L418" s="117"/>
      <c r="M418" s="117"/>
      <c r="N418" s="117"/>
      <c r="O418" s="117"/>
      <c r="P418" s="117"/>
      <c r="Q418" s="117"/>
      <c r="R418" s="117"/>
      <c r="S418" s="117"/>
      <c r="T418" s="117"/>
      <c r="U418" s="117"/>
      <c r="V418" s="117"/>
      <c r="W418" s="117"/>
      <c r="X418" s="117"/>
      <c r="Y418" s="117"/>
      <c r="Z418" s="117"/>
      <c r="AA418" s="117"/>
    </row>
    <row r="419" spans="1:27" ht="14.4">
      <c r="A419" s="117"/>
      <c r="B419" s="117"/>
      <c r="C419" s="117"/>
      <c r="D419" s="117"/>
      <c r="E419" s="117"/>
      <c r="F419" s="117"/>
      <c r="G419" s="117"/>
      <c r="H419" s="117"/>
      <c r="I419" s="235"/>
      <c r="J419" s="235"/>
      <c r="K419" s="235"/>
      <c r="L419" s="117"/>
      <c r="M419" s="117"/>
      <c r="N419" s="117"/>
      <c r="O419" s="117"/>
      <c r="P419" s="117"/>
      <c r="Q419" s="117"/>
      <c r="R419" s="117"/>
      <c r="S419" s="117"/>
      <c r="T419" s="117"/>
      <c r="U419" s="117"/>
      <c r="V419" s="117"/>
      <c r="W419" s="117"/>
      <c r="X419" s="117"/>
      <c r="Y419" s="117"/>
      <c r="Z419" s="117"/>
      <c r="AA419" s="117"/>
    </row>
    <row r="420" spans="1:27" ht="14.4">
      <c r="A420" s="117"/>
      <c r="B420" s="117"/>
      <c r="C420" s="117"/>
      <c r="D420" s="117"/>
      <c r="E420" s="117"/>
      <c r="F420" s="117"/>
      <c r="G420" s="117"/>
      <c r="H420" s="117"/>
      <c r="I420" s="235"/>
      <c r="J420" s="235"/>
      <c r="K420" s="235"/>
      <c r="L420" s="117"/>
      <c r="M420" s="117"/>
      <c r="N420" s="117"/>
      <c r="O420" s="117"/>
      <c r="P420" s="117"/>
      <c r="Q420" s="117"/>
      <c r="R420" s="117"/>
      <c r="S420" s="117"/>
      <c r="T420" s="117"/>
      <c r="U420" s="117"/>
      <c r="V420" s="117"/>
      <c r="W420" s="117"/>
      <c r="X420" s="117"/>
      <c r="Y420" s="117"/>
      <c r="Z420" s="117"/>
      <c r="AA420" s="117"/>
    </row>
    <row r="421" spans="1:27" ht="14.4">
      <c r="A421" s="117"/>
      <c r="B421" s="117"/>
      <c r="C421" s="117"/>
      <c r="D421" s="117"/>
      <c r="E421" s="117"/>
      <c r="F421" s="117"/>
      <c r="G421" s="117"/>
      <c r="H421" s="117"/>
      <c r="I421" s="235"/>
      <c r="J421" s="235"/>
      <c r="K421" s="235"/>
      <c r="L421" s="117"/>
      <c r="M421" s="117"/>
      <c r="N421" s="117"/>
      <c r="O421" s="117"/>
      <c r="P421" s="117"/>
      <c r="Q421" s="117"/>
      <c r="R421" s="117"/>
      <c r="S421" s="117"/>
      <c r="T421" s="117"/>
      <c r="U421" s="117"/>
      <c r="V421" s="117"/>
      <c r="W421" s="117"/>
      <c r="X421" s="117"/>
      <c r="Y421" s="117"/>
      <c r="Z421" s="117"/>
      <c r="AA421" s="117"/>
    </row>
    <row r="422" spans="1:27" ht="14.4">
      <c r="A422" s="117"/>
      <c r="B422" s="117"/>
      <c r="C422" s="117"/>
      <c r="D422" s="117"/>
      <c r="E422" s="117"/>
      <c r="F422" s="117"/>
      <c r="G422" s="117"/>
      <c r="H422" s="117"/>
      <c r="I422" s="235"/>
      <c r="J422" s="235"/>
      <c r="K422" s="235"/>
      <c r="L422" s="117"/>
      <c r="M422" s="117"/>
      <c r="N422" s="117"/>
      <c r="O422" s="117"/>
      <c r="P422" s="117"/>
      <c r="Q422" s="117"/>
      <c r="R422" s="117"/>
      <c r="S422" s="117"/>
      <c r="T422" s="117"/>
      <c r="U422" s="117"/>
      <c r="V422" s="117"/>
      <c r="W422" s="117"/>
      <c r="X422" s="117"/>
      <c r="Y422" s="117"/>
      <c r="Z422" s="117"/>
      <c r="AA422" s="117"/>
    </row>
    <row r="423" spans="1:27" ht="14.4">
      <c r="A423" s="117"/>
      <c r="B423" s="117"/>
      <c r="C423" s="117"/>
      <c r="D423" s="117"/>
      <c r="E423" s="117"/>
      <c r="F423" s="117"/>
      <c r="G423" s="117"/>
      <c r="H423" s="117"/>
      <c r="I423" s="235"/>
      <c r="J423" s="235"/>
      <c r="K423" s="235"/>
      <c r="L423" s="117"/>
      <c r="M423" s="117"/>
      <c r="N423" s="117"/>
      <c r="O423" s="117"/>
      <c r="P423" s="117"/>
      <c r="Q423" s="117"/>
      <c r="R423" s="117"/>
      <c r="S423" s="117"/>
      <c r="T423" s="117"/>
      <c r="U423" s="117"/>
      <c r="V423" s="117"/>
      <c r="W423" s="117"/>
      <c r="X423" s="117"/>
      <c r="Y423" s="117"/>
      <c r="Z423" s="117"/>
      <c r="AA423" s="117"/>
    </row>
    <row r="424" spans="1:27" ht="14.4">
      <c r="A424" s="117"/>
      <c r="B424" s="117"/>
      <c r="C424" s="117"/>
      <c r="D424" s="117"/>
      <c r="E424" s="117"/>
      <c r="F424" s="117"/>
      <c r="G424" s="117"/>
      <c r="H424" s="117"/>
      <c r="I424" s="235"/>
      <c r="J424" s="235"/>
      <c r="K424" s="235"/>
      <c r="L424" s="117"/>
      <c r="M424" s="117"/>
      <c r="N424" s="117"/>
      <c r="O424" s="117"/>
      <c r="P424" s="117"/>
      <c r="Q424" s="117"/>
      <c r="R424" s="117"/>
      <c r="S424" s="117"/>
      <c r="T424" s="117"/>
      <c r="U424" s="117"/>
      <c r="V424" s="117"/>
      <c r="W424" s="117"/>
      <c r="X424" s="117"/>
      <c r="Y424" s="117"/>
      <c r="Z424" s="117"/>
      <c r="AA424" s="117"/>
    </row>
    <row r="425" spans="1:27" ht="14.4">
      <c r="A425" s="117"/>
      <c r="B425" s="117"/>
      <c r="C425" s="117"/>
      <c r="D425" s="117"/>
      <c r="E425" s="117"/>
      <c r="F425" s="117"/>
      <c r="G425" s="117"/>
      <c r="H425" s="117"/>
      <c r="I425" s="235"/>
      <c r="J425" s="235"/>
      <c r="K425" s="235"/>
      <c r="L425" s="117"/>
      <c r="M425" s="117"/>
      <c r="N425" s="117"/>
      <c r="O425" s="117"/>
      <c r="P425" s="117"/>
      <c r="Q425" s="117"/>
      <c r="R425" s="117"/>
      <c r="S425" s="117"/>
      <c r="T425" s="117"/>
      <c r="U425" s="117"/>
      <c r="V425" s="117"/>
      <c r="W425" s="117"/>
      <c r="X425" s="117"/>
      <c r="Y425" s="117"/>
      <c r="Z425" s="117"/>
      <c r="AA425" s="117"/>
    </row>
    <row r="426" spans="1:27" ht="14.4">
      <c r="A426" s="117"/>
      <c r="B426" s="117"/>
      <c r="C426" s="117"/>
      <c r="D426" s="117"/>
      <c r="E426" s="117"/>
      <c r="F426" s="117"/>
      <c r="G426" s="117"/>
      <c r="H426" s="117"/>
      <c r="I426" s="235"/>
      <c r="J426" s="235"/>
      <c r="K426" s="235"/>
      <c r="L426" s="117"/>
      <c r="M426" s="117"/>
      <c r="N426" s="117"/>
      <c r="O426" s="117"/>
      <c r="P426" s="117"/>
      <c r="Q426" s="117"/>
      <c r="R426" s="117"/>
      <c r="S426" s="117"/>
      <c r="T426" s="117"/>
      <c r="U426" s="117"/>
      <c r="V426" s="117"/>
      <c r="W426" s="117"/>
      <c r="X426" s="117"/>
      <c r="Y426" s="117"/>
      <c r="Z426" s="117"/>
      <c r="AA426" s="117"/>
    </row>
    <row r="427" spans="1:27" ht="14.4">
      <c r="A427" s="117"/>
      <c r="B427" s="117"/>
      <c r="C427" s="117"/>
      <c r="D427" s="117"/>
      <c r="E427" s="117"/>
      <c r="F427" s="117"/>
      <c r="G427" s="117"/>
      <c r="H427" s="117"/>
      <c r="I427" s="235"/>
      <c r="J427" s="235"/>
      <c r="K427" s="235"/>
      <c r="L427" s="117"/>
      <c r="M427" s="117"/>
      <c r="N427" s="117"/>
      <c r="O427" s="117"/>
      <c r="P427" s="117"/>
      <c r="Q427" s="117"/>
      <c r="R427" s="117"/>
      <c r="S427" s="117"/>
      <c r="T427" s="117"/>
      <c r="U427" s="117"/>
      <c r="V427" s="117"/>
      <c r="W427" s="117"/>
      <c r="X427" s="117"/>
      <c r="Y427" s="117"/>
      <c r="Z427" s="117"/>
      <c r="AA427" s="117"/>
    </row>
    <row r="428" spans="1:27" ht="14.4">
      <c r="A428" s="117"/>
      <c r="B428" s="117"/>
      <c r="C428" s="117"/>
      <c r="D428" s="117"/>
      <c r="E428" s="117"/>
      <c r="F428" s="117"/>
      <c r="G428" s="117"/>
      <c r="H428" s="117"/>
      <c r="I428" s="235"/>
      <c r="J428" s="235"/>
      <c r="K428" s="235"/>
      <c r="L428" s="117"/>
      <c r="M428" s="117"/>
      <c r="N428" s="117"/>
      <c r="O428" s="117"/>
      <c r="P428" s="117"/>
      <c r="Q428" s="117"/>
      <c r="R428" s="117"/>
      <c r="S428" s="117"/>
      <c r="T428" s="117"/>
      <c r="U428" s="117"/>
      <c r="V428" s="117"/>
      <c r="W428" s="117"/>
      <c r="X428" s="117"/>
      <c r="Y428" s="117"/>
      <c r="Z428" s="117"/>
      <c r="AA428" s="117"/>
    </row>
    <row r="429" spans="1:27" ht="14.4">
      <c r="A429" s="117"/>
      <c r="B429" s="117"/>
      <c r="C429" s="117"/>
      <c r="D429" s="117"/>
      <c r="E429" s="117"/>
      <c r="F429" s="117"/>
      <c r="G429" s="117"/>
      <c r="H429" s="117"/>
      <c r="I429" s="235"/>
      <c r="J429" s="235"/>
      <c r="K429" s="235"/>
      <c r="L429" s="117"/>
      <c r="M429" s="117"/>
      <c r="N429" s="117"/>
      <c r="O429" s="117"/>
      <c r="P429" s="117"/>
      <c r="Q429" s="117"/>
      <c r="R429" s="117"/>
      <c r="S429" s="117"/>
      <c r="T429" s="117"/>
      <c r="U429" s="117"/>
      <c r="V429" s="117"/>
      <c r="W429" s="117"/>
      <c r="X429" s="117"/>
      <c r="Y429" s="117"/>
      <c r="Z429" s="117"/>
      <c r="AA429" s="117"/>
    </row>
    <row r="430" spans="1:27" ht="14.4">
      <c r="A430" s="117"/>
      <c r="B430" s="117"/>
      <c r="C430" s="117"/>
      <c r="D430" s="117"/>
      <c r="E430" s="117"/>
      <c r="F430" s="117"/>
      <c r="G430" s="117"/>
      <c r="H430" s="117"/>
      <c r="I430" s="235"/>
      <c r="J430" s="235"/>
      <c r="K430" s="235"/>
      <c r="L430" s="117"/>
      <c r="M430" s="117"/>
      <c r="N430" s="117"/>
      <c r="O430" s="117"/>
      <c r="P430" s="117"/>
      <c r="Q430" s="117"/>
      <c r="R430" s="117"/>
      <c r="S430" s="117"/>
      <c r="T430" s="117"/>
      <c r="U430" s="117"/>
      <c r="V430" s="117"/>
      <c r="W430" s="117"/>
      <c r="X430" s="117"/>
      <c r="Y430" s="117"/>
      <c r="Z430" s="117"/>
      <c r="AA430" s="117"/>
    </row>
    <row r="431" spans="1:27" ht="14.4">
      <c r="A431" s="117"/>
      <c r="B431" s="117"/>
      <c r="C431" s="117"/>
      <c r="D431" s="117"/>
      <c r="E431" s="117"/>
      <c r="F431" s="117"/>
      <c r="G431" s="117"/>
      <c r="H431" s="117"/>
      <c r="I431" s="235"/>
      <c r="J431" s="235"/>
      <c r="K431" s="235"/>
      <c r="L431" s="117"/>
      <c r="M431" s="117"/>
      <c r="N431" s="117"/>
      <c r="O431" s="117"/>
      <c r="P431" s="117"/>
      <c r="Q431" s="117"/>
      <c r="R431" s="117"/>
      <c r="S431" s="117"/>
      <c r="T431" s="117"/>
      <c r="U431" s="117"/>
      <c r="V431" s="117"/>
      <c r="W431" s="117"/>
      <c r="X431" s="117"/>
      <c r="Y431" s="117"/>
      <c r="Z431" s="117"/>
      <c r="AA431" s="117"/>
    </row>
    <row r="432" spans="1:27" ht="14.4">
      <c r="A432" s="117"/>
      <c r="B432" s="117"/>
      <c r="C432" s="117"/>
      <c r="D432" s="117"/>
      <c r="E432" s="117"/>
      <c r="F432" s="117"/>
      <c r="G432" s="117"/>
      <c r="H432" s="117"/>
      <c r="I432" s="235"/>
      <c r="J432" s="235"/>
      <c r="K432" s="235"/>
      <c r="L432" s="117"/>
      <c r="M432" s="117"/>
      <c r="N432" s="117"/>
      <c r="O432" s="117"/>
      <c r="P432" s="117"/>
      <c r="Q432" s="117"/>
      <c r="R432" s="117"/>
      <c r="S432" s="117"/>
      <c r="T432" s="117"/>
      <c r="U432" s="117"/>
      <c r="V432" s="117"/>
      <c r="W432" s="117"/>
      <c r="X432" s="117"/>
      <c r="Y432" s="117"/>
      <c r="Z432" s="117"/>
      <c r="AA432" s="117"/>
    </row>
    <row r="433" spans="1:27" ht="14.4">
      <c r="A433" s="117"/>
      <c r="B433" s="117"/>
      <c r="C433" s="117"/>
      <c r="D433" s="117"/>
      <c r="E433" s="117"/>
      <c r="F433" s="117"/>
      <c r="G433" s="117"/>
      <c r="H433" s="117"/>
      <c r="I433" s="235"/>
      <c r="J433" s="235"/>
      <c r="K433" s="235"/>
      <c r="L433" s="117"/>
      <c r="M433" s="117"/>
      <c r="N433" s="117"/>
      <c r="O433" s="117"/>
      <c r="P433" s="117"/>
      <c r="Q433" s="117"/>
      <c r="R433" s="117"/>
      <c r="S433" s="117"/>
      <c r="T433" s="117"/>
      <c r="U433" s="117"/>
      <c r="V433" s="117"/>
      <c r="W433" s="117"/>
      <c r="X433" s="117"/>
      <c r="Y433" s="117"/>
      <c r="Z433" s="117"/>
      <c r="AA433" s="117"/>
    </row>
    <row r="434" spans="1:27" ht="14.4">
      <c r="A434" s="117"/>
      <c r="B434" s="117"/>
      <c r="C434" s="117"/>
      <c r="D434" s="117"/>
      <c r="E434" s="117"/>
      <c r="F434" s="117"/>
      <c r="G434" s="117"/>
      <c r="H434" s="117"/>
      <c r="I434" s="235"/>
      <c r="J434" s="235"/>
      <c r="K434" s="235"/>
      <c r="L434" s="117"/>
      <c r="M434" s="117"/>
      <c r="N434" s="117"/>
      <c r="O434" s="117"/>
      <c r="P434" s="117"/>
      <c r="Q434" s="117"/>
      <c r="R434" s="117"/>
      <c r="S434" s="117"/>
      <c r="T434" s="117"/>
      <c r="U434" s="117"/>
      <c r="V434" s="117"/>
      <c r="W434" s="117"/>
      <c r="X434" s="117"/>
      <c r="Y434" s="117"/>
      <c r="Z434" s="117"/>
      <c r="AA434" s="117"/>
    </row>
    <row r="435" spans="1:27" ht="14.4">
      <c r="A435" s="117"/>
      <c r="B435" s="117"/>
      <c r="C435" s="117"/>
      <c r="D435" s="117"/>
      <c r="E435" s="117"/>
      <c r="F435" s="117"/>
      <c r="G435" s="117"/>
      <c r="H435" s="117"/>
      <c r="I435" s="235"/>
      <c r="J435" s="235"/>
      <c r="K435" s="235"/>
      <c r="L435" s="117"/>
      <c r="M435" s="117"/>
      <c r="N435" s="117"/>
      <c r="O435" s="117"/>
      <c r="P435" s="117"/>
      <c r="Q435" s="117"/>
      <c r="R435" s="117"/>
      <c r="S435" s="117"/>
      <c r="T435" s="117"/>
      <c r="U435" s="117"/>
      <c r="V435" s="117"/>
      <c r="W435" s="117"/>
      <c r="X435" s="117"/>
      <c r="Y435" s="117"/>
      <c r="Z435" s="117"/>
      <c r="AA435" s="117"/>
    </row>
    <row r="436" spans="1:27" ht="14.4">
      <c r="A436" s="117"/>
      <c r="B436" s="117"/>
      <c r="C436" s="117"/>
      <c r="D436" s="117"/>
      <c r="E436" s="117"/>
      <c r="F436" s="117"/>
      <c r="G436" s="117"/>
      <c r="H436" s="117"/>
      <c r="I436" s="235"/>
      <c r="J436" s="235"/>
      <c r="K436" s="235"/>
      <c r="L436" s="117"/>
      <c r="M436" s="117"/>
      <c r="N436" s="117"/>
      <c r="O436" s="117"/>
      <c r="P436" s="117"/>
      <c r="Q436" s="117"/>
      <c r="R436" s="117"/>
      <c r="S436" s="117"/>
      <c r="T436" s="117"/>
      <c r="U436" s="117"/>
      <c r="V436" s="117"/>
      <c r="W436" s="117"/>
      <c r="X436" s="117"/>
      <c r="Y436" s="117"/>
      <c r="Z436" s="117"/>
      <c r="AA436" s="117"/>
    </row>
    <row r="437" spans="1:27" ht="14.4">
      <c r="A437" s="117"/>
      <c r="B437" s="117"/>
      <c r="C437" s="117"/>
      <c r="D437" s="117"/>
      <c r="E437" s="117"/>
      <c r="F437" s="117"/>
      <c r="G437" s="117"/>
      <c r="H437" s="117"/>
      <c r="I437" s="235"/>
      <c r="J437" s="235"/>
      <c r="K437" s="235"/>
      <c r="L437" s="117"/>
      <c r="M437" s="117"/>
      <c r="N437" s="117"/>
      <c r="O437" s="117"/>
      <c r="P437" s="117"/>
      <c r="Q437" s="117"/>
      <c r="R437" s="117"/>
      <c r="S437" s="117"/>
      <c r="T437" s="117"/>
      <c r="U437" s="117"/>
      <c r="V437" s="117"/>
      <c r="W437" s="117"/>
      <c r="X437" s="117"/>
      <c r="Y437" s="117"/>
      <c r="Z437" s="117"/>
      <c r="AA437" s="117"/>
    </row>
    <row r="438" spans="1:27" ht="14.4">
      <c r="A438" s="117"/>
      <c r="B438" s="117"/>
      <c r="C438" s="117"/>
      <c r="D438" s="117"/>
      <c r="E438" s="117"/>
      <c r="F438" s="117"/>
      <c r="G438" s="117"/>
      <c r="H438" s="117"/>
      <c r="I438" s="235"/>
      <c r="J438" s="235"/>
      <c r="K438" s="235"/>
      <c r="L438" s="117"/>
      <c r="M438" s="117"/>
      <c r="N438" s="117"/>
      <c r="O438" s="117"/>
      <c r="P438" s="117"/>
      <c r="Q438" s="117"/>
      <c r="R438" s="117"/>
      <c r="S438" s="117"/>
      <c r="T438" s="117"/>
      <c r="U438" s="117"/>
      <c r="V438" s="117"/>
      <c r="W438" s="117"/>
      <c r="X438" s="117"/>
      <c r="Y438" s="117"/>
      <c r="Z438" s="117"/>
      <c r="AA438" s="117"/>
    </row>
    <row r="439" spans="1:27" ht="14.4">
      <c r="A439" s="117"/>
      <c r="B439" s="117"/>
      <c r="C439" s="117"/>
      <c r="D439" s="117"/>
      <c r="E439" s="117"/>
      <c r="F439" s="117"/>
      <c r="G439" s="117"/>
      <c r="H439" s="117"/>
      <c r="I439" s="235"/>
      <c r="J439" s="235"/>
      <c r="K439" s="235"/>
      <c r="L439" s="117"/>
      <c r="M439" s="117"/>
      <c r="N439" s="117"/>
      <c r="O439" s="117"/>
      <c r="P439" s="117"/>
      <c r="Q439" s="117"/>
      <c r="R439" s="117"/>
      <c r="S439" s="117"/>
      <c r="T439" s="117"/>
      <c r="U439" s="117"/>
      <c r="V439" s="117"/>
      <c r="W439" s="117"/>
      <c r="X439" s="117"/>
      <c r="Y439" s="117"/>
      <c r="Z439" s="117"/>
      <c r="AA439" s="117"/>
    </row>
    <row r="440" spans="1:27" ht="14.4">
      <c r="A440" s="117"/>
      <c r="B440" s="117"/>
      <c r="C440" s="117"/>
      <c r="D440" s="117"/>
      <c r="E440" s="117"/>
      <c r="F440" s="117"/>
      <c r="G440" s="117"/>
      <c r="H440" s="117"/>
      <c r="I440" s="235"/>
      <c r="J440" s="235"/>
      <c r="K440" s="235"/>
      <c r="L440" s="117"/>
      <c r="M440" s="117"/>
      <c r="N440" s="117"/>
      <c r="O440" s="117"/>
      <c r="P440" s="117"/>
      <c r="Q440" s="117"/>
      <c r="R440" s="117"/>
      <c r="S440" s="117"/>
      <c r="T440" s="117"/>
      <c r="U440" s="117"/>
      <c r="V440" s="117"/>
      <c r="W440" s="117"/>
      <c r="X440" s="117"/>
      <c r="Y440" s="117"/>
      <c r="Z440" s="117"/>
      <c r="AA440" s="117"/>
    </row>
    <row r="441" spans="1:27" ht="14.4">
      <c r="A441" s="117"/>
      <c r="B441" s="117"/>
      <c r="C441" s="117"/>
      <c r="D441" s="117"/>
      <c r="E441" s="117"/>
      <c r="F441" s="117"/>
      <c r="G441" s="117"/>
      <c r="H441" s="117"/>
      <c r="I441" s="235"/>
      <c r="J441" s="235"/>
      <c r="K441" s="235"/>
      <c r="L441" s="117"/>
      <c r="M441" s="117"/>
      <c r="N441" s="117"/>
      <c r="O441" s="117"/>
      <c r="P441" s="117"/>
      <c r="Q441" s="117"/>
      <c r="R441" s="117"/>
      <c r="S441" s="117"/>
      <c r="T441" s="117"/>
      <c r="U441" s="117"/>
      <c r="V441" s="117"/>
      <c r="W441" s="117"/>
      <c r="X441" s="117"/>
      <c r="Y441" s="117"/>
      <c r="Z441" s="117"/>
      <c r="AA441" s="117"/>
    </row>
    <row r="442" spans="1:27" ht="14.4">
      <c r="A442" s="117"/>
      <c r="B442" s="117"/>
      <c r="C442" s="117"/>
      <c r="D442" s="117"/>
      <c r="E442" s="117"/>
      <c r="F442" s="117"/>
      <c r="G442" s="117"/>
      <c r="H442" s="117"/>
      <c r="I442" s="235"/>
      <c r="J442" s="235"/>
      <c r="K442" s="235"/>
      <c r="L442" s="117"/>
      <c r="M442" s="117"/>
      <c r="N442" s="117"/>
      <c r="O442" s="117"/>
      <c r="P442" s="117"/>
      <c r="Q442" s="117"/>
      <c r="R442" s="117"/>
      <c r="S442" s="117"/>
      <c r="T442" s="117"/>
      <c r="U442" s="117"/>
      <c r="V442" s="117"/>
      <c r="W442" s="117"/>
      <c r="X442" s="117"/>
      <c r="Y442" s="117"/>
      <c r="Z442" s="117"/>
      <c r="AA442" s="117"/>
    </row>
    <row r="443" spans="1:27" ht="14.4">
      <c r="A443" s="117"/>
      <c r="B443" s="117"/>
      <c r="C443" s="117"/>
      <c r="D443" s="117"/>
      <c r="E443" s="117"/>
      <c r="F443" s="117"/>
      <c r="G443" s="117"/>
      <c r="H443" s="117"/>
      <c r="I443" s="235"/>
      <c r="J443" s="235"/>
      <c r="K443" s="235"/>
      <c r="L443" s="117"/>
      <c r="M443" s="117"/>
      <c r="N443" s="117"/>
      <c r="O443" s="117"/>
      <c r="P443" s="117"/>
      <c r="Q443" s="117"/>
      <c r="R443" s="117"/>
      <c r="S443" s="117"/>
      <c r="T443" s="117"/>
      <c r="U443" s="117"/>
      <c r="V443" s="117"/>
      <c r="W443" s="117"/>
      <c r="X443" s="117"/>
      <c r="Y443" s="117"/>
      <c r="Z443" s="117"/>
      <c r="AA443" s="117"/>
    </row>
    <row r="444" spans="1:27" ht="14.4">
      <c r="A444" s="117"/>
      <c r="B444" s="117"/>
      <c r="C444" s="117"/>
      <c r="D444" s="117"/>
      <c r="E444" s="117"/>
      <c r="F444" s="117"/>
      <c r="G444" s="117"/>
      <c r="H444" s="117"/>
      <c r="I444" s="235"/>
      <c r="J444" s="235"/>
      <c r="K444" s="235"/>
      <c r="L444" s="117"/>
      <c r="M444" s="117"/>
      <c r="N444" s="117"/>
      <c r="O444" s="117"/>
      <c r="P444" s="117"/>
      <c r="Q444" s="117"/>
      <c r="R444" s="117"/>
      <c r="S444" s="117"/>
      <c r="T444" s="117"/>
      <c r="U444" s="117"/>
      <c r="V444" s="117"/>
      <c r="W444" s="117"/>
      <c r="X444" s="117"/>
      <c r="Y444" s="117"/>
      <c r="Z444" s="117"/>
      <c r="AA444" s="117"/>
    </row>
    <row r="445" spans="1:27" ht="14.4">
      <c r="A445" s="117"/>
      <c r="B445" s="117"/>
      <c r="C445" s="117"/>
      <c r="D445" s="117"/>
      <c r="E445" s="117"/>
      <c r="F445" s="117"/>
      <c r="G445" s="117"/>
      <c r="H445" s="117"/>
      <c r="I445" s="235"/>
      <c r="J445" s="235"/>
      <c r="K445" s="235"/>
      <c r="L445" s="117"/>
      <c r="M445" s="117"/>
      <c r="N445" s="117"/>
      <c r="O445" s="117"/>
      <c r="P445" s="117"/>
      <c r="Q445" s="117"/>
      <c r="R445" s="117"/>
      <c r="S445" s="117"/>
      <c r="T445" s="117"/>
      <c r="U445" s="117"/>
      <c r="V445" s="117"/>
      <c r="W445" s="117"/>
      <c r="X445" s="117"/>
      <c r="Y445" s="117"/>
      <c r="Z445" s="117"/>
      <c r="AA445" s="117"/>
    </row>
    <row r="446" spans="1:27" ht="14.4">
      <c r="A446" s="117"/>
      <c r="B446" s="117"/>
      <c r="C446" s="117"/>
      <c r="D446" s="117"/>
      <c r="E446" s="117"/>
      <c r="F446" s="117"/>
      <c r="G446" s="117"/>
      <c r="H446" s="117"/>
      <c r="I446" s="235"/>
      <c r="J446" s="235"/>
      <c r="K446" s="235"/>
      <c r="L446" s="117"/>
      <c r="M446" s="117"/>
      <c r="N446" s="117"/>
      <c r="O446" s="117"/>
      <c r="P446" s="117"/>
      <c r="Q446" s="117"/>
      <c r="R446" s="117"/>
      <c r="S446" s="117"/>
      <c r="T446" s="117"/>
      <c r="U446" s="117"/>
      <c r="V446" s="117"/>
      <c r="W446" s="117"/>
      <c r="X446" s="117"/>
      <c r="Y446" s="117"/>
      <c r="Z446" s="117"/>
      <c r="AA446" s="117"/>
    </row>
    <row r="447" spans="1:27" ht="14.4">
      <c r="A447" s="117"/>
      <c r="B447" s="117"/>
      <c r="C447" s="117"/>
      <c r="D447" s="117"/>
      <c r="E447" s="117"/>
      <c r="F447" s="117"/>
      <c r="G447" s="117"/>
      <c r="H447" s="117"/>
      <c r="I447" s="235"/>
      <c r="J447" s="235"/>
      <c r="K447" s="235"/>
      <c r="L447" s="117"/>
      <c r="M447" s="117"/>
      <c r="N447" s="117"/>
      <c r="O447" s="117"/>
      <c r="P447" s="117"/>
      <c r="Q447" s="117"/>
      <c r="R447" s="117"/>
      <c r="S447" s="117"/>
      <c r="T447" s="117"/>
      <c r="U447" s="117"/>
      <c r="V447" s="117"/>
      <c r="W447" s="117"/>
      <c r="X447" s="117"/>
      <c r="Y447" s="117"/>
      <c r="Z447" s="117"/>
      <c r="AA447" s="117"/>
    </row>
    <row r="448" spans="1:27" ht="14.4">
      <c r="A448" s="117"/>
      <c r="B448" s="117"/>
      <c r="C448" s="117"/>
      <c r="D448" s="117"/>
      <c r="E448" s="117"/>
      <c r="F448" s="117"/>
      <c r="G448" s="117"/>
      <c r="H448" s="117"/>
      <c r="I448" s="235"/>
      <c r="J448" s="235"/>
      <c r="K448" s="235"/>
      <c r="L448" s="117"/>
      <c r="M448" s="117"/>
      <c r="N448" s="117"/>
      <c r="O448" s="117"/>
      <c r="P448" s="117"/>
      <c r="Q448" s="117"/>
      <c r="R448" s="117"/>
      <c r="S448" s="117"/>
      <c r="T448" s="117"/>
      <c r="U448" s="117"/>
      <c r="V448" s="117"/>
      <c r="W448" s="117"/>
      <c r="X448" s="117"/>
      <c r="Y448" s="117"/>
      <c r="Z448" s="117"/>
      <c r="AA448" s="117"/>
    </row>
    <row r="449" spans="1:27" ht="14.4">
      <c r="A449" s="117"/>
      <c r="B449" s="117"/>
      <c r="C449" s="117"/>
      <c r="D449" s="117"/>
      <c r="E449" s="117"/>
      <c r="F449" s="117"/>
      <c r="G449" s="117"/>
      <c r="H449" s="117"/>
      <c r="I449" s="235"/>
      <c r="J449" s="235"/>
      <c r="K449" s="235"/>
      <c r="L449" s="117"/>
      <c r="M449" s="117"/>
      <c r="N449" s="117"/>
      <c r="O449" s="117"/>
      <c r="P449" s="117"/>
      <c r="Q449" s="117"/>
      <c r="R449" s="117"/>
      <c r="S449" s="117"/>
      <c r="T449" s="117"/>
      <c r="U449" s="117"/>
      <c r="V449" s="117"/>
      <c r="W449" s="117"/>
      <c r="X449" s="117"/>
      <c r="Y449" s="117"/>
      <c r="Z449" s="117"/>
      <c r="AA449" s="117"/>
    </row>
    <row r="450" spans="1:27" ht="14.4">
      <c r="A450" s="117"/>
      <c r="B450" s="117"/>
      <c r="C450" s="117"/>
      <c r="D450" s="117"/>
      <c r="E450" s="117"/>
      <c r="F450" s="117"/>
      <c r="G450" s="117"/>
      <c r="H450" s="117"/>
      <c r="I450" s="235"/>
      <c r="J450" s="235"/>
      <c r="K450" s="235"/>
      <c r="L450" s="117"/>
      <c r="M450" s="117"/>
      <c r="N450" s="117"/>
      <c r="O450" s="117"/>
      <c r="P450" s="117"/>
      <c r="Q450" s="117"/>
      <c r="R450" s="117"/>
      <c r="S450" s="117"/>
      <c r="T450" s="117"/>
      <c r="U450" s="117"/>
      <c r="V450" s="117"/>
      <c r="W450" s="117"/>
      <c r="X450" s="117"/>
      <c r="Y450" s="117"/>
      <c r="Z450" s="117"/>
      <c r="AA450" s="117"/>
    </row>
    <row r="451" spans="1:27" ht="14.4">
      <c r="A451" s="117"/>
      <c r="B451" s="117"/>
      <c r="C451" s="117"/>
      <c r="D451" s="117"/>
      <c r="E451" s="117"/>
      <c r="F451" s="117"/>
      <c r="G451" s="117"/>
      <c r="H451" s="117"/>
      <c r="I451" s="235"/>
      <c r="J451" s="235"/>
      <c r="K451" s="235"/>
      <c r="L451" s="117"/>
      <c r="M451" s="117"/>
      <c r="N451" s="117"/>
      <c r="O451" s="117"/>
      <c r="P451" s="117"/>
      <c r="Q451" s="117"/>
      <c r="R451" s="117"/>
      <c r="S451" s="117"/>
      <c r="T451" s="117"/>
      <c r="U451" s="117"/>
      <c r="V451" s="117"/>
      <c r="W451" s="117"/>
      <c r="X451" s="117"/>
      <c r="Y451" s="117"/>
      <c r="Z451" s="117"/>
      <c r="AA451" s="117"/>
    </row>
    <row r="452" spans="1:27" ht="14.4">
      <c r="A452" s="117"/>
      <c r="B452" s="117"/>
      <c r="C452" s="117"/>
      <c r="D452" s="117"/>
      <c r="E452" s="117"/>
      <c r="F452" s="117"/>
      <c r="G452" s="117"/>
      <c r="H452" s="117"/>
      <c r="I452" s="235"/>
      <c r="J452" s="235"/>
      <c r="K452" s="235"/>
      <c r="L452" s="117"/>
      <c r="M452" s="117"/>
      <c r="N452" s="117"/>
      <c r="O452" s="117"/>
      <c r="P452" s="117"/>
      <c r="Q452" s="117"/>
      <c r="R452" s="117"/>
      <c r="S452" s="117"/>
      <c r="T452" s="117"/>
      <c r="U452" s="117"/>
      <c r="V452" s="117"/>
      <c r="W452" s="117"/>
      <c r="X452" s="117"/>
      <c r="Y452" s="117"/>
      <c r="Z452" s="117"/>
      <c r="AA452" s="117"/>
    </row>
    <row r="453" spans="1:27" ht="14.4">
      <c r="A453" s="117"/>
      <c r="B453" s="117"/>
      <c r="C453" s="117"/>
      <c r="D453" s="117"/>
      <c r="E453" s="117"/>
      <c r="F453" s="117"/>
      <c r="G453" s="117"/>
      <c r="H453" s="117"/>
      <c r="I453" s="235"/>
      <c r="J453" s="235"/>
      <c r="K453" s="235"/>
      <c r="L453" s="117"/>
      <c r="M453" s="117"/>
      <c r="N453" s="117"/>
      <c r="O453" s="117"/>
      <c r="P453" s="117"/>
      <c r="Q453" s="117"/>
      <c r="R453" s="117"/>
      <c r="S453" s="117"/>
      <c r="T453" s="117"/>
      <c r="U453" s="117"/>
      <c r="V453" s="117"/>
      <c r="W453" s="117"/>
      <c r="X453" s="117"/>
      <c r="Y453" s="117"/>
      <c r="Z453" s="117"/>
      <c r="AA453" s="117"/>
    </row>
    <row r="454" spans="1:27" ht="14.4">
      <c r="A454" s="117"/>
      <c r="B454" s="117"/>
      <c r="C454" s="117"/>
      <c r="D454" s="117"/>
      <c r="E454" s="117"/>
      <c r="F454" s="117"/>
      <c r="G454" s="117"/>
      <c r="H454" s="117"/>
      <c r="I454" s="235"/>
      <c r="J454" s="235"/>
      <c r="K454" s="235"/>
      <c r="L454" s="117"/>
      <c r="M454" s="117"/>
      <c r="N454" s="117"/>
      <c r="O454" s="117"/>
      <c r="P454" s="117"/>
      <c r="Q454" s="117"/>
      <c r="R454" s="117"/>
      <c r="S454" s="117"/>
      <c r="T454" s="117"/>
      <c r="U454" s="117"/>
      <c r="V454" s="117"/>
      <c r="W454" s="117"/>
      <c r="X454" s="117"/>
      <c r="Y454" s="117"/>
      <c r="Z454" s="117"/>
      <c r="AA454" s="117"/>
    </row>
    <row r="455" spans="1:27" ht="14.4">
      <c r="A455" s="117"/>
      <c r="B455" s="117"/>
      <c r="C455" s="117"/>
      <c r="D455" s="117"/>
      <c r="E455" s="117"/>
      <c r="F455" s="117"/>
      <c r="G455" s="117"/>
      <c r="H455" s="117"/>
      <c r="I455" s="235"/>
      <c r="J455" s="235"/>
      <c r="K455" s="235"/>
      <c r="L455" s="117"/>
      <c r="M455" s="117"/>
      <c r="N455" s="117"/>
      <c r="O455" s="117"/>
      <c r="P455" s="117"/>
      <c r="Q455" s="117"/>
      <c r="R455" s="117"/>
      <c r="S455" s="117"/>
      <c r="T455" s="117"/>
      <c r="U455" s="117"/>
      <c r="V455" s="117"/>
      <c r="W455" s="117"/>
      <c r="X455" s="117"/>
      <c r="Y455" s="117"/>
      <c r="Z455" s="117"/>
      <c r="AA455" s="117"/>
    </row>
    <row r="456" spans="1:27" ht="14.4">
      <c r="A456" s="117"/>
      <c r="B456" s="117"/>
      <c r="C456" s="117"/>
      <c r="D456" s="117"/>
      <c r="E456" s="117"/>
      <c r="F456" s="117"/>
      <c r="G456" s="117"/>
      <c r="H456" s="117"/>
      <c r="I456" s="235"/>
      <c r="J456" s="235"/>
      <c r="K456" s="235"/>
      <c r="L456" s="117"/>
      <c r="M456" s="117"/>
      <c r="N456" s="117"/>
      <c r="O456" s="117"/>
      <c r="P456" s="117"/>
      <c r="Q456" s="117"/>
      <c r="R456" s="117"/>
      <c r="S456" s="117"/>
      <c r="T456" s="117"/>
      <c r="U456" s="117"/>
      <c r="V456" s="117"/>
      <c r="W456" s="117"/>
      <c r="X456" s="117"/>
      <c r="Y456" s="117"/>
      <c r="Z456" s="117"/>
      <c r="AA456" s="117"/>
    </row>
    <row r="457" spans="1:27" ht="14.4">
      <c r="A457" s="117"/>
      <c r="B457" s="117"/>
      <c r="C457" s="117"/>
      <c r="D457" s="117"/>
      <c r="E457" s="117"/>
      <c r="F457" s="117"/>
      <c r="G457" s="117"/>
      <c r="H457" s="117"/>
      <c r="I457" s="235"/>
      <c r="J457" s="235"/>
      <c r="K457" s="235"/>
      <c r="L457" s="117"/>
      <c r="M457" s="117"/>
      <c r="N457" s="117"/>
      <c r="O457" s="117"/>
      <c r="P457" s="117"/>
      <c r="Q457" s="117"/>
      <c r="R457" s="117"/>
      <c r="S457" s="117"/>
      <c r="T457" s="117"/>
      <c r="U457" s="117"/>
      <c r="V457" s="117"/>
      <c r="W457" s="117"/>
      <c r="X457" s="117"/>
      <c r="Y457" s="117"/>
      <c r="Z457" s="117"/>
      <c r="AA457" s="117"/>
    </row>
    <row r="458" spans="1:27" ht="14.4">
      <c r="A458" s="117"/>
      <c r="B458" s="117"/>
      <c r="C458" s="117"/>
      <c r="D458" s="117"/>
      <c r="E458" s="117"/>
      <c r="F458" s="117"/>
      <c r="G458" s="117"/>
      <c r="H458" s="117"/>
      <c r="I458" s="235"/>
      <c r="J458" s="235"/>
      <c r="K458" s="235"/>
      <c r="L458" s="117"/>
      <c r="M458" s="117"/>
      <c r="N458" s="117"/>
      <c r="O458" s="117"/>
      <c r="P458" s="117"/>
      <c r="Q458" s="117"/>
      <c r="R458" s="117"/>
      <c r="S458" s="117"/>
      <c r="T458" s="117"/>
      <c r="U458" s="117"/>
      <c r="V458" s="117"/>
      <c r="W458" s="117"/>
      <c r="X458" s="117"/>
      <c r="Y458" s="117"/>
      <c r="Z458" s="117"/>
      <c r="AA458" s="117"/>
    </row>
    <row r="459" spans="1:27" ht="14.4">
      <c r="A459" s="117"/>
      <c r="B459" s="117"/>
      <c r="C459" s="117"/>
      <c r="D459" s="117"/>
      <c r="E459" s="117"/>
      <c r="F459" s="117"/>
      <c r="G459" s="117"/>
      <c r="H459" s="117"/>
      <c r="I459" s="235"/>
      <c r="J459" s="235"/>
      <c r="K459" s="235"/>
      <c r="L459" s="117"/>
      <c r="M459" s="117"/>
      <c r="N459" s="117"/>
      <c r="O459" s="117"/>
      <c r="P459" s="117"/>
      <c r="Q459" s="117"/>
      <c r="R459" s="117"/>
      <c r="S459" s="117"/>
      <c r="T459" s="117"/>
      <c r="U459" s="117"/>
      <c r="V459" s="117"/>
      <c r="W459" s="117"/>
      <c r="X459" s="117"/>
      <c r="Y459" s="117"/>
      <c r="Z459" s="117"/>
      <c r="AA459" s="117"/>
    </row>
    <row r="460" spans="1:27" ht="14.4">
      <c r="A460" s="117"/>
      <c r="B460" s="117"/>
      <c r="C460" s="117"/>
      <c r="D460" s="117"/>
      <c r="E460" s="117"/>
      <c r="F460" s="117"/>
      <c r="G460" s="117"/>
      <c r="H460" s="117"/>
      <c r="I460" s="235"/>
      <c r="J460" s="235"/>
      <c r="K460" s="235"/>
      <c r="L460" s="117"/>
      <c r="M460" s="117"/>
      <c r="N460" s="117"/>
      <c r="O460" s="117"/>
      <c r="P460" s="117"/>
      <c r="Q460" s="117"/>
      <c r="R460" s="117"/>
      <c r="S460" s="117"/>
      <c r="T460" s="117"/>
      <c r="U460" s="117"/>
      <c r="V460" s="117"/>
      <c r="W460" s="117"/>
      <c r="X460" s="117"/>
      <c r="Y460" s="117"/>
      <c r="Z460" s="117"/>
      <c r="AA460" s="117"/>
    </row>
    <row r="461" spans="1:27" ht="14.4">
      <c r="A461" s="117"/>
      <c r="B461" s="117"/>
      <c r="C461" s="117"/>
      <c r="D461" s="117"/>
      <c r="E461" s="117"/>
      <c r="F461" s="117"/>
      <c r="G461" s="117"/>
      <c r="H461" s="117"/>
      <c r="I461" s="235"/>
      <c r="J461" s="235"/>
      <c r="K461" s="235"/>
      <c r="L461" s="117"/>
      <c r="M461" s="117"/>
      <c r="N461" s="117"/>
      <c r="O461" s="117"/>
      <c r="P461" s="117"/>
      <c r="Q461" s="117"/>
      <c r="R461" s="117"/>
      <c r="S461" s="117"/>
      <c r="T461" s="117"/>
      <c r="U461" s="117"/>
      <c r="V461" s="117"/>
      <c r="W461" s="117"/>
      <c r="X461" s="117"/>
      <c r="Y461" s="117"/>
      <c r="Z461" s="117"/>
      <c r="AA461" s="117"/>
    </row>
    <row r="462" spans="1:27" ht="14.4">
      <c r="A462" s="117"/>
      <c r="B462" s="117"/>
      <c r="C462" s="117"/>
      <c r="D462" s="117"/>
      <c r="E462" s="117"/>
      <c r="F462" s="117"/>
      <c r="G462" s="117"/>
      <c r="H462" s="117"/>
      <c r="I462" s="235"/>
      <c r="J462" s="235"/>
      <c r="K462" s="235"/>
      <c r="L462" s="117"/>
      <c r="M462" s="117"/>
      <c r="N462" s="117"/>
      <c r="O462" s="117"/>
      <c r="P462" s="117"/>
      <c r="Q462" s="117"/>
      <c r="R462" s="117"/>
      <c r="S462" s="117"/>
      <c r="T462" s="117"/>
      <c r="U462" s="117"/>
      <c r="V462" s="117"/>
      <c r="W462" s="117"/>
      <c r="X462" s="117"/>
      <c r="Y462" s="117"/>
      <c r="Z462" s="117"/>
      <c r="AA462" s="117"/>
    </row>
    <row r="463" spans="1:27" ht="14.4">
      <c r="A463" s="117"/>
      <c r="B463" s="117"/>
      <c r="C463" s="117"/>
      <c r="D463" s="117"/>
      <c r="E463" s="117"/>
      <c r="F463" s="117"/>
      <c r="G463" s="117"/>
      <c r="H463" s="117"/>
      <c r="I463" s="235"/>
      <c r="J463" s="235"/>
      <c r="K463" s="235"/>
      <c r="L463" s="117"/>
      <c r="M463" s="117"/>
      <c r="N463" s="117"/>
      <c r="O463" s="117"/>
      <c r="P463" s="117"/>
      <c r="Q463" s="117"/>
      <c r="R463" s="117"/>
      <c r="S463" s="117"/>
      <c r="T463" s="117"/>
      <c r="U463" s="117"/>
      <c r="V463" s="117"/>
      <c r="W463" s="117"/>
      <c r="X463" s="117"/>
      <c r="Y463" s="117"/>
      <c r="Z463" s="117"/>
      <c r="AA463" s="117"/>
    </row>
    <row r="464" spans="1:27" ht="14.4">
      <c r="A464" s="117"/>
      <c r="B464" s="117"/>
      <c r="C464" s="117"/>
      <c r="D464" s="117"/>
      <c r="E464" s="117"/>
      <c r="F464" s="117"/>
      <c r="G464" s="117"/>
      <c r="H464" s="117"/>
      <c r="I464" s="235"/>
      <c r="J464" s="235"/>
      <c r="K464" s="235"/>
      <c r="L464" s="117"/>
      <c r="M464" s="117"/>
      <c r="N464" s="117"/>
      <c r="O464" s="117"/>
      <c r="P464" s="117"/>
      <c r="Q464" s="117"/>
      <c r="R464" s="117"/>
      <c r="S464" s="117"/>
      <c r="T464" s="117"/>
      <c r="U464" s="117"/>
      <c r="V464" s="117"/>
      <c r="W464" s="117"/>
      <c r="X464" s="117"/>
      <c r="Y464" s="117"/>
      <c r="Z464" s="117"/>
      <c r="AA464" s="117"/>
    </row>
    <row r="465" spans="1:27" ht="14.4">
      <c r="A465" s="117"/>
      <c r="B465" s="117"/>
      <c r="C465" s="117"/>
      <c r="D465" s="117"/>
      <c r="E465" s="117"/>
      <c r="F465" s="117"/>
      <c r="G465" s="117"/>
      <c r="H465" s="117"/>
      <c r="I465" s="235"/>
      <c r="J465" s="235"/>
      <c r="K465" s="235"/>
      <c r="L465" s="117"/>
      <c r="M465" s="117"/>
      <c r="N465" s="117"/>
      <c r="O465" s="117"/>
      <c r="P465" s="117"/>
      <c r="Q465" s="117"/>
      <c r="R465" s="117"/>
      <c r="S465" s="117"/>
      <c r="T465" s="117"/>
      <c r="U465" s="117"/>
      <c r="V465" s="117"/>
      <c r="W465" s="117"/>
      <c r="X465" s="117"/>
      <c r="Y465" s="117"/>
      <c r="Z465" s="117"/>
      <c r="AA465" s="117"/>
    </row>
    <row r="466" spans="1:27" ht="14.4">
      <c r="A466" s="117"/>
      <c r="B466" s="117"/>
      <c r="C466" s="117"/>
      <c r="D466" s="117"/>
      <c r="E466" s="117"/>
      <c r="F466" s="117"/>
      <c r="G466" s="117"/>
      <c r="H466" s="117"/>
      <c r="I466" s="235"/>
      <c r="J466" s="235"/>
      <c r="K466" s="235"/>
      <c r="L466" s="117"/>
      <c r="M466" s="117"/>
      <c r="N466" s="117"/>
      <c r="O466" s="117"/>
      <c r="P466" s="117"/>
      <c r="Q466" s="117"/>
      <c r="R466" s="117"/>
      <c r="S466" s="117"/>
      <c r="T466" s="117"/>
      <c r="U466" s="117"/>
      <c r="V466" s="117"/>
      <c r="W466" s="117"/>
      <c r="X466" s="117"/>
      <c r="Y466" s="117"/>
      <c r="Z466" s="117"/>
      <c r="AA466" s="117"/>
    </row>
    <row r="467" spans="1:27" ht="14.4">
      <c r="A467" s="117"/>
      <c r="B467" s="117"/>
      <c r="C467" s="117"/>
      <c r="D467" s="117"/>
      <c r="E467" s="117"/>
      <c r="F467" s="117"/>
      <c r="G467" s="117"/>
      <c r="H467" s="117"/>
      <c r="I467" s="235"/>
      <c r="J467" s="235"/>
      <c r="K467" s="235"/>
      <c r="L467" s="117"/>
      <c r="M467" s="117"/>
      <c r="N467" s="117"/>
      <c r="O467" s="117"/>
      <c r="P467" s="117"/>
      <c r="Q467" s="117"/>
      <c r="R467" s="117"/>
      <c r="S467" s="117"/>
      <c r="T467" s="117"/>
      <c r="U467" s="117"/>
      <c r="V467" s="117"/>
      <c r="W467" s="117"/>
      <c r="X467" s="117"/>
      <c r="Y467" s="117"/>
      <c r="Z467" s="117"/>
      <c r="AA467" s="117"/>
    </row>
    <row r="468" spans="1:27" ht="14.4">
      <c r="A468" s="117"/>
      <c r="B468" s="117"/>
      <c r="C468" s="117"/>
      <c r="D468" s="117"/>
      <c r="E468" s="117"/>
      <c r="F468" s="117"/>
      <c r="G468" s="117"/>
      <c r="H468" s="117"/>
      <c r="I468" s="235"/>
      <c r="J468" s="235"/>
      <c r="K468" s="235"/>
      <c r="L468" s="117"/>
      <c r="M468" s="117"/>
      <c r="N468" s="117"/>
      <c r="O468" s="117"/>
      <c r="P468" s="117"/>
      <c r="Q468" s="117"/>
      <c r="R468" s="117"/>
      <c r="S468" s="117"/>
      <c r="T468" s="117"/>
      <c r="U468" s="117"/>
      <c r="V468" s="117"/>
      <c r="W468" s="117"/>
      <c r="X468" s="117"/>
      <c r="Y468" s="117"/>
      <c r="Z468" s="117"/>
      <c r="AA468" s="117"/>
    </row>
    <row r="469" spans="1:27" ht="14.4">
      <c r="A469" s="117"/>
      <c r="B469" s="117"/>
      <c r="C469" s="117"/>
      <c r="D469" s="117"/>
      <c r="E469" s="117"/>
      <c r="F469" s="117"/>
      <c r="G469" s="117"/>
      <c r="H469" s="117"/>
      <c r="I469" s="235"/>
      <c r="J469" s="235"/>
      <c r="K469" s="235"/>
      <c r="L469" s="117"/>
      <c r="M469" s="117"/>
      <c r="N469" s="117"/>
      <c r="O469" s="117"/>
      <c r="P469" s="117"/>
      <c r="Q469" s="117"/>
      <c r="R469" s="117"/>
      <c r="S469" s="117"/>
      <c r="T469" s="117"/>
      <c r="U469" s="117"/>
      <c r="V469" s="117"/>
      <c r="W469" s="117"/>
      <c r="X469" s="117"/>
      <c r="Y469" s="117"/>
      <c r="Z469" s="117"/>
      <c r="AA469" s="117"/>
    </row>
    <row r="470" spans="1:27" ht="14.4">
      <c r="A470" s="117"/>
      <c r="B470" s="117"/>
      <c r="C470" s="117"/>
      <c r="D470" s="117"/>
      <c r="E470" s="117"/>
      <c r="F470" s="117"/>
      <c r="G470" s="117"/>
      <c r="H470" s="117"/>
      <c r="I470" s="235"/>
      <c r="J470" s="235"/>
      <c r="K470" s="235"/>
      <c r="L470" s="117"/>
      <c r="M470" s="117"/>
      <c r="N470" s="117"/>
      <c r="O470" s="117"/>
      <c r="P470" s="117"/>
      <c r="Q470" s="117"/>
      <c r="R470" s="117"/>
      <c r="S470" s="117"/>
      <c r="T470" s="117"/>
      <c r="U470" s="117"/>
      <c r="V470" s="117"/>
      <c r="W470" s="117"/>
      <c r="X470" s="117"/>
      <c r="Y470" s="117"/>
      <c r="Z470" s="117"/>
      <c r="AA470" s="117"/>
    </row>
    <row r="471" spans="1:27" ht="14.4">
      <c r="A471" s="117"/>
      <c r="B471" s="117"/>
      <c r="C471" s="117"/>
      <c r="D471" s="117"/>
      <c r="E471" s="117"/>
      <c r="F471" s="117"/>
      <c r="G471" s="117"/>
      <c r="H471" s="117"/>
      <c r="I471" s="235"/>
      <c r="J471" s="235"/>
      <c r="K471" s="235"/>
      <c r="L471" s="117"/>
      <c r="M471" s="117"/>
      <c r="N471" s="117"/>
      <c r="O471" s="117"/>
      <c r="P471" s="117"/>
      <c r="Q471" s="117"/>
      <c r="R471" s="117"/>
      <c r="S471" s="117"/>
      <c r="T471" s="117"/>
      <c r="U471" s="117"/>
      <c r="V471" s="117"/>
      <c r="W471" s="117"/>
      <c r="X471" s="117"/>
      <c r="Y471" s="117"/>
      <c r="Z471" s="117"/>
      <c r="AA471" s="117"/>
    </row>
    <row r="472" spans="1:27" ht="14.4">
      <c r="A472" s="117"/>
      <c r="B472" s="117"/>
      <c r="C472" s="117"/>
      <c r="D472" s="117"/>
      <c r="E472" s="117"/>
      <c r="F472" s="117"/>
      <c r="G472" s="117"/>
      <c r="H472" s="117"/>
      <c r="I472" s="235"/>
      <c r="J472" s="235"/>
      <c r="K472" s="235"/>
      <c r="L472" s="117"/>
      <c r="M472" s="117"/>
      <c r="N472" s="117"/>
      <c r="O472" s="117"/>
      <c r="P472" s="117"/>
      <c r="Q472" s="117"/>
      <c r="R472" s="117"/>
      <c r="S472" s="117"/>
      <c r="T472" s="117"/>
      <c r="U472" s="117"/>
      <c r="V472" s="117"/>
      <c r="W472" s="117"/>
      <c r="X472" s="117"/>
      <c r="Y472" s="117"/>
      <c r="Z472" s="117"/>
      <c r="AA472" s="117"/>
    </row>
    <row r="473" spans="1:27" ht="14.4">
      <c r="A473" s="117"/>
      <c r="B473" s="117"/>
      <c r="C473" s="117"/>
      <c r="D473" s="117"/>
      <c r="E473" s="117"/>
      <c r="F473" s="117"/>
      <c r="G473" s="117"/>
      <c r="H473" s="117"/>
      <c r="I473" s="235"/>
      <c r="J473" s="235"/>
      <c r="K473" s="235"/>
      <c r="L473" s="117"/>
      <c r="M473" s="117"/>
      <c r="N473" s="117"/>
      <c r="O473" s="117"/>
      <c r="P473" s="117"/>
      <c r="Q473" s="117"/>
      <c r="R473" s="117"/>
      <c r="S473" s="117"/>
      <c r="T473" s="117"/>
      <c r="U473" s="117"/>
      <c r="V473" s="117"/>
      <c r="W473" s="117"/>
      <c r="X473" s="117"/>
      <c r="Y473" s="117"/>
      <c r="Z473" s="117"/>
      <c r="AA473" s="117"/>
    </row>
    <row r="474" spans="1:27" ht="14.4">
      <c r="A474" s="117"/>
      <c r="B474" s="117"/>
      <c r="C474" s="117"/>
      <c r="D474" s="117"/>
      <c r="E474" s="117"/>
      <c r="F474" s="117"/>
      <c r="G474" s="117"/>
      <c r="H474" s="117"/>
      <c r="I474" s="235"/>
      <c r="J474" s="235"/>
      <c r="K474" s="235"/>
      <c r="L474" s="117"/>
      <c r="M474" s="117"/>
      <c r="N474" s="117"/>
      <c r="O474" s="117"/>
      <c r="P474" s="117"/>
      <c r="Q474" s="117"/>
      <c r="R474" s="117"/>
      <c r="S474" s="117"/>
      <c r="T474" s="117"/>
      <c r="U474" s="117"/>
      <c r="V474" s="117"/>
      <c r="W474" s="117"/>
      <c r="X474" s="117"/>
      <c r="Y474" s="117"/>
      <c r="Z474" s="117"/>
      <c r="AA474" s="117"/>
    </row>
    <row r="475" spans="1:27" ht="14.4">
      <c r="A475" s="117"/>
      <c r="B475" s="117"/>
      <c r="C475" s="117"/>
      <c r="D475" s="117"/>
      <c r="E475" s="117"/>
      <c r="F475" s="117"/>
      <c r="G475" s="117"/>
      <c r="H475" s="117"/>
      <c r="I475" s="235"/>
      <c r="J475" s="235"/>
      <c r="K475" s="235"/>
      <c r="L475" s="117"/>
      <c r="M475" s="117"/>
      <c r="N475" s="117"/>
      <c r="O475" s="117"/>
      <c r="P475" s="117"/>
      <c r="Q475" s="117"/>
      <c r="R475" s="117"/>
      <c r="S475" s="117"/>
      <c r="T475" s="117"/>
      <c r="U475" s="117"/>
      <c r="V475" s="117"/>
      <c r="W475" s="117"/>
      <c r="X475" s="117"/>
      <c r="Y475" s="117"/>
      <c r="Z475" s="117"/>
      <c r="AA475" s="117"/>
    </row>
    <row r="476" spans="1:27" ht="14.4">
      <c r="A476" s="117"/>
      <c r="B476" s="117"/>
      <c r="C476" s="117"/>
      <c r="D476" s="117"/>
      <c r="E476" s="117"/>
      <c r="F476" s="117"/>
      <c r="G476" s="117"/>
      <c r="H476" s="117"/>
      <c r="I476" s="235"/>
      <c r="J476" s="235"/>
      <c r="K476" s="235"/>
      <c r="L476" s="117"/>
      <c r="M476" s="117"/>
      <c r="N476" s="117"/>
      <c r="O476" s="117"/>
      <c r="P476" s="117"/>
      <c r="Q476" s="117"/>
      <c r="R476" s="117"/>
      <c r="S476" s="117"/>
      <c r="T476" s="117"/>
      <c r="U476" s="117"/>
      <c r="V476" s="117"/>
      <c r="W476" s="117"/>
      <c r="X476" s="117"/>
      <c r="Y476" s="117"/>
      <c r="Z476" s="117"/>
      <c r="AA476" s="117"/>
    </row>
    <row r="477" spans="1:27" ht="14.4">
      <c r="A477" s="117"/>
      <c r="B477" s="117"/>
      <c r="C477" s="117"/>
      <c r="D477" s="117"/>
      <c r="E477" s="117"/>
      <c r="F477" s="117"/>
      <c r="G477" s="117"/>
      <c r="H477" s="117"/>
      <c r="I477" s="235"/>
      <c r="J477" s="235"/>
      <c r="K477" s="235"/>
      <c r="L477" s="117"/>
      <c r="M477" s="117"/>
      <c r="N477" s="117"/>
      <c r="O477" s="117"/>
      <c r="P477" s="117"/>
      <c r="Q477" s="117"/>
      <c r="R477" s="117"/>
      <c r="S477" s="117"/>
      <c r="T477" s="117"/>
      <c r="U477" s="117"/>
      <c r="V477" s="117"/>
      <c r="W477" s="117"/>
      <c r="X477" s="117"/>
      <c r="Y477" s="117"/>
      <c r="Z477" s="117"/>
      <c r="AA477" s="117"/>
    </row>
    <row r="478" spans="1:27" ht="14.4">
      <c r="A478" s="117"/>
      <c r="B478" s="117"/>
      <c r="C478" s="117"/>
      <c r="D478" s="117"/>
      <c r="E478" s="117"/>
      <c r="F478" s="117"/>
      <c r="G478" s="117"/>
      <c r="H478" s="117"/>
      <c r="I478" s="235"/>
      <c r="J478" s="235"/>
      <c r="K478" s="235"/>
      <c r="L478" s="117"/>
      <c r="M478" s="117"/>
      <c r="N478" s="117"/>
      <c r="O478" s="117"/>
      <c r="P478" s="117"/>
      <c r="Q478" s="117"/>
      <c r="R478" s="117"/>
      <c r="S478" s="117"/>
      <c r="T478" s="117"/>
      <c r="U478" s="117"/>
      <c r="V478" s="117"/>
      <c r="W478" s="117"/>
      <c r="X478" s="117"/>
      <c r="Y478" s="117"/>
      <c r="Z478" s="117"/>
      <c r="AA478" s="117"/>
    </row>
    <row r="479" spans="1:27" ht="14.4">
      <c r="A479" s="117"/>
      <c r="B479" s="117"/>
      <c r="C479" s="117"/>
      <c r="D479" s="117"/>
      <c r="E479" s="117"/>
      <c r="F479" s="117"/>
      <c r="G479" s="117"/>
      <c r="H479" s="117"/>
      <c r="I479" s="235"/>
      <c r="J479" s="235"/>
      <c r="K479" s="235"/>
      <c r="L479" s="117"/>
      <c r="M479" s="117"/>
      <c r="N479" s="117"/>
      <c r="O479" s="117"/>
      <c r="P479" s="117"/>
      <c r="Q479" s="117"/>
      <c r="R479" s="117"/>
      <c r="S479" s="117"/>
      <c r="T479" s="117"/>
      <c r="U479" s="117"/>
      <c r="V479" s="117"/>
      <c r="W479" s="117"/>
      <c r="X479" s="117"/>
      <c r="Y479" s="117"/>
      <c r="Z479" s="117"/>
      <c r="AA479" s="117"/>
    </row>
    <row r="480" spans="1:27" ht="14.4">
      <c r="A480" s="117"/>
      <c r="B480" s="117"/>
      <c r="C480" s="117"/>
      <c r="D480" s="117"/>
      <c r="E480" s="117"/>
      <c r="F480" s="117"/>
      <c r="G480" s="117"/>
      <c r="H480" s="117"/>
      <c r="I480" s="235"/>
      <c r="J480" s="235"/>
      <c r="K480" s="235"/>
      <c r="L480" s="117"/>
      <c r="M480" s="117"/>
      <c r="N480" s="117"/>
      <c r="O480" s="117"/>
      <c r="P480" s="117"/>
      <c r="Q480" s="117"/>
      <c r="R480" s="117"/>
      <c r="S480" s="117"/>
      <c r="T480" s="117"/>
      <c r="U480" s="117"/>
      <c r="V480" s="117"/>
      <c r="W480" s="117"/>
      <c r="X480" s="117"/>
      <c r="Y480" s="117"/>
      <c r="Z480" s="117"/>
      <c r="AA480" s="117"/>
    </row>
    <row r="481" spans="1:27" ht="14.4">
      <c r="A481" s="117"/>
      <c r="B481" s="117"/>
      <c r="C481" s="117"/>
      <c r="D481" s="117"/>
      <c r="E481" s="117"/>
      <c r="F481" s="117"/>
      <c r="G481" s="117"/>
      <c r="H481" s="117"/>
      <c r="I481" s="235"/>
      <c r="J481" s="235"/>
      <c r="K481" s="235"/>
      <c r="L481" s="117"/>
      <c r="M481" s="117"/>
      <c r="N481" s="117"/>
      <c r="O481" s="117"/>
      <c r="P481" s="117"/>
      <c r="Q481" s="117"/>
      <c r="R481" s="117"/>
      <c r="S481" s="117"/>
      <c r="T481" s="117"/>
      <c r="U481" s="117"/>
      <c r="V481" s="117"/>
      <c r="W481" s="117"/>
      <c r="X481" s="117"/>
      <c r="Y481" s="117"/>
      <c r="Z481" s="117"/>
      <c r="AA481" s="117"/>
    </row>
    <row r="482" spans="1:27" ht="14.4">
      <c r="A482" s="117"/>
      <c r="B482" s="117"/>
      <c r="C482" s="117"/>
      <c r="D482" s="117"/>
      <c r="E482" s="117"/>
      <c r="F482" s="117"/>
      <c r="G482" s="117"/>
      <c r="H482" s="117"/>
      <c r="I482" s="235"/>
      <c r="J482" s="235"/>
      <c r="K482" s="235"/>
      <c r="L482" s="117"/>
      <c r="M482" s="117"/>
      <c r="N482" s="117"/>
      <c r="O482" s="117"/>
      <c r="P482" s="117"/>
      <c r="Q482" s="117"/>
      <c r="R482" s="117"/>
      <c r="S482" s="117"/>
      <c r="T482" s="117"/>
      <c r="U482" s="117"/>
      <c r="V482" s="117"/>
      <c r="W482" s="117"/>
      <c r="X482" s="117"/>
      <c r="Y482" s="117"/>
      <c r="Z482" s="117"/>
      <c r="AA482" s="117"/>
    </row>
    <row r="483" spans="1:27" ht="14.4">
      <c r="A483" s="117"/>
      <c r="B483" s="117"/>
      <c r="C483" s="117"/>
      <c r="D483" s="117"/>
      <c r="E483" s="117"/>
      <c r="F483" s="117"/>
      <c r="G483" s="117"/>
      <c r="H483" s="117"/>
      <c r="I483" s="235"/>
      <c r="J483" s="235"/>
      <c r="K483" s="235"/>
      <c r="L483" s="117"/>
      <c r="M483" s="117"/>
      <c r="N483" s="117"/>
      <c r="O483" s="117"/>
      <c r="P483" s="117"/>
      <c r="Q483" s="117"/>
      <c r="R483" s="117"/>
      <c r="S483" s="117"/>
      <c r="T483" s="117"/>
      <c r="U483" s="117"/>
      <c r="V483" s="117"/>
      <c r="W483" s="117"/>
      <c r="X483" s="117"/>
      <c r="Y483" s="117"/>
      <c r="Z483" s="117"/>
      <c r="AA483" s="117"/>
    </row>
    <row r="484" spans="1:27" ht="14.4">
      <c r="A484" s="117"/>
      <c r="B484" s="117"/>
      <c r="C484" s="117"/>
      <c r="D484" s="117"/>
      <c r="E484" s="117"/>
      <c r="F484" s="117"/>
      <c r="G484" s="117"/>
      <c r="H484" s="117"/>
      <c r="I484" s="235"/>
      <c r="J484" s="235"/>
      <c r="K484" s="235"/>
      <c r="L484" s="117"/>
      <c r="M484" s="117"/>
      <c r="N484" s="117"/>
      <c r="O484" s="117"/>
      <c r="P484" s="117"/>
      <c r="Q484" s="117"/>
      <c r="R484" s="117"/>
      <c r="S484" s="117"/>
      <c r="T484" s="117"/>
      <c r="U484" s="117"/>
      <c r="V484" s="117"/>
      <c r="W484" s="117"/>
      <c r="X484" s="117"/>
      <c r="Y484" s="117"/>
      <c r="Z484" s="117"/>
      <c r="AA484" s="117"/>
    </row>
    <row r="485" spans="1:27" ht="14.4">
      <c r="A485" s="117"/>
      <c r="B485" s="117"/>
      <c r="C485" s="117"/>
      <c r="D485" s="117"/>
      <c r="E485" s="117"/>
      <c r="F485" s="117"/>
      <c r="G485" s="117"/>
      <c r="H485" s="117"/>
      <c r="I485" s="235"/>
      <c r="J485" s="235"/>
      <c r="K485" s="235"/>
      <c r="L485" s="117"/>
      <c r="M485" s="117"/>
      <c r="N485" s="117"/>
      <c r="O485" s="117"/>
      <c r="P485" s="117"/>
      <c r="Q485" s="117"/>
      <c r="R485" s="117"/>
      <c r="S485" s="117"/>
      <c r="T485" s="117"/>
      <c r="U485" s="117"/>
      <c r="V485" s="117"/>
      <c r="W485" s="117"/>
      <c r="X485" s="117"/>
      <c r="Y485" s="117"/>
      <c r="Z485" s="117"/>
      <c r="AA485" s="117"/>
    </row>
    <row r="486" spans="1:27" ht="14.4">
      <c r="A486" s="117"/>
      <c r="B486" s="117"/>
      <c r="C486" s="117"/>
      <c r="D486" s="117"/>
      <c r="E486" s="117"/>
      <c r="F486" s="117"/>
      <c r="G486" s="117"/>
      <c r="H486" s="117"/>
      <c r="I486" s="235"/>
      <c r="J486" s="235"/>
      <c r="K486" s="235"/>
      <c r="L486" s="117"/>
      <c r="M486" s="117"/>
      <c r="N486" s="117"/>
      <c r="O486" s="117"/>
      <c r="P486" s="117"/>
      <c r="Q486" s="117"/>
      <c r="R486" s="117"/>
      <c r="S486" s="117"/>
      <c r="T486" s="117"/>
      <c r="U486" s="117"/>
      <c r="V486" s="117"/>
      <c r="W486" s="117"/>
      <c r="X486" s="117"/>
      <c r="Y486" s="117"/>
      <c r="Z486" s="117"/>
      <c r="AA486" s="117"/>
    </row>
    <row r="487" spans="1:27" ht="14.4">
      <c r="A487" s="117"/>
      <c r="B487" s="117"/>
      <c r="C487" s="117"/>
      <c r="D487" s="117"/>
      <c r="E487" s="117"/>
      <c r="F487" s="117"/>
      <c r="G487" s="117"/>
      <c r="H487" s="117"/>
      <c r="I487" s="235"/>
      <c r="J487" s="235"/>
      <c r="K487" s="235"/>
      <c r="L487" s="117"/>
      <c r="M487" s="117"/>
      <c r="N487" s="117"/>
      <c r="O487" s="117"/>
      <c r="P487" s="117"/>
      <c r="Q487" s="117"/>
      <c r="R487" s="117"/>
      <c r="S487" s="117"/>
      <c r="T487" s="117"/>
      <c r="U487" s="117"/>
      <c r="V487" s="117"/>
      <c r="W487" s="117"/>
      <c r="X487" s="117"/>
      <c r="Y487" s="117"/>
      <c r="Z487" s="117"/>
      <c r="AA487" s="117"/>
    </row>
    <row r="488" spans="1:27" ht="14.4">
      <c r="A488" s="117"/>
      <c r="B488" s="117"/>
      <c r="C488" s="117"/>
      <c r="D488" s="117"/>
      <c r="E488" s="117"/>
      <c r="F488" s="117"/>
      <c r="G488" s="117"/>
      <c r="H488" s="117"/>
      <c r="I488" s="235"/>
      <c r="J488" s="235"/>
      <c r="K488" s="235"/>
      <c r="L488" s="117"/>
      <c r="M488" s="117"/>
      <c r="N488" s="117"/>
      <c r="O488" s="117"/>
      <c r="P488" s="117"/>
      <c r="Q488" s="117"/>
      <c r="R488" s="117"/>
      <c r="S488" s="117"/>
      <c r="T488" s="117"/>
      <c r="U488" s="117"/>
      <c r="V488" s="117"/>
      <c r="W488" s="117"/>
      <c r="X488" s="117"/>
      <c r="Y488" s="117"/>
      <c r="Z488" s="117"/>
      <c r="AA488" s="117"/>
    </row>
    <row r="489" spans="1:27" ht="14.4">
      <c r="A489" s="117"/>
      <c r="B489" s="117"/>
      <c r="C489" s="117"/>
      <c r="D489" s="117"/>
      <c r="E489" s="117"/>
      <c r="F489" s="117"/>
      <c r="G489" s="117"/>
      <c r="H489" s="117"/>
      <c r="I489" s="235"/>
      <c r="J489" s="235"/>
      <c r="K489" s="235"/>
      <c r="L489" s="117"/>
      <c r="M489" s="117"/>
      <c r="N489" s="117"/>
      <c r="O489" s="117"/>
      <c r="P489" s="117"/>
      <c r="Q489" s="117"/>
      <c r="R489" s="117"/>
      <c r="S489" s="117"/>
      <c r="T489" s="117"/>
      <c r="U489" s="117"/>
      <c r="V489" s="117"/>
      <c r="W489" s="117"/>
      <c r="X489" s="117"/>
      <c r="Y489" s="117"/>
      <c r="Z489" s="117"/>
      <c r="AA489" s="117"/>
    </row>
    <row r="490" spans="1:27" ht="14.4">
      <c r="A490" s="117"/>
      <c r="B490" s="117"/>
      <c r="C490" s="117"/>
      <c r="D490" s="117"/>
      <c r="E490" s="117"/>
      <c r="F490" s="117"/>
      <c r="G490" s="117"/>
      <c r="H490" s="117"/>
      <c r="I490" s="235"/>
      <c r="J490" s="235"/>
      <c r="K490" s="235"/>
      <c r="L490" s="117"/>
      <c r="M490" s="117"/>
      <c r="N490" s="117"/>
      <c r="O490" s="117"/>
      <c r="P490" s="117"/>
      <c r="Q490" s="117"/>
      <c r="R490" s="117"/>
      <c r="S490" s="117"/>
      <c r="T490" s="117"/>
      <c r="U490" s="117"/>
      <c r="V490" s="117"/>
      <c r="W490" s="117"/>
      <c r="X490" s="117"/>
      <c r="Y490" s="117"/>
      <c r="Z490" s="117"/>
      <c r="AA490" s="117"/>
    </row>
    <row r="491" spans="1:27" ht="14.4">
      <c r="A491" s="117"/>
      <c r="B491" s="117"/>
      <c r="C491" s="117"/>
      <c r="D491" s="117"/>
      <c r="E491" s="117"/>
      <c r="F491" s="117"/>
      <c r="G491" s="117"/>
      <c r="H491" s="117"/>
      <c r="I491" s="235"/>
      <c r="J491" s="235"/>
      <c r="K491" s="235"/>
      <c r="L491" s="117"/>
      <c r="M491" s="117"/>
      <c r="N491" s="117"/>
      <c r="O491" s="117"/>
      <c r="P491" s="117"/>
      <c r="Q491" s="117"/>
      <c r="R491" s="117"/>
      <c r="S491" s="117"/>
      <c r="T491" s="117"/>
      <c r="U491" s="117"/>
      <c r="V491" s="117"/>
      <c r="W491" s="117"/>
      <c r="X491" s="117"/>
      <c r="Y491" s="117"/>
      <c r="Z491" s="117"/>
      <c r="AA491" s="117"/>
    </row>
    <row r="492" spans="1:27" ht="14.4">
      <c r="A492" s="117"/>
      <c r="B492" s="117"/>
      <c r="C492" s="117"/>
      <c r="D492" s="117"/>
      <c r="E492" s="117"/>
      <c r="F492" s="117"/>
      <c r="G492" s="117"/>
      <c r="H492" s="117"/>
      <c r="I492" s="235"/>
      <c r="J492" s="235"/>
      <c r="K492" s="235"/>
      <c r="L492" s="117"/>
      <c r="M492" s="117"/>
      <c r="N492" s="117"/>
      <c r="O492" s="117"/>
      <c r="P492" s="117"/>
      <c r="Q492" s="117"/>
      <c r="R492" s="117"/>
      <c r="S492" s="117"/>
      <c r="T492" s="117"/>
      <c r="U492" s="117"/>
      <c r="V492" s="117"/>
      <c r="W492" s="117"/>
      <c r="X492" s="117"/>
      <c r="Y492" s="117"/>
      <c r="Z492" s="117"/>
      <c r="AA492" s="117"/>
    </row>
    <row r="493" spans="1:27" ht="14.4">
      <c r="A493" s="117"/>
      <c r="B493" s="117"/>
      <c r="C493" s="117"/>
      <c r="D493" s="117"/>
      <c r="E493" s="117"/>
      <c r="F493" s="117"/>
      <c r="G493" s="117"/>
      <c r="H493" s="117"/>
      <c r="I493" s="235"/>
      <c r="J493" s="235"/>
      <c r="K493" s="235"/>
      <c r="L493" s="117"/>
      <c r="M493" s="117"/>
      <c r="N493" s="117"/>
      <c r="O493" s="117"/>
      <c r="P493" s="117"/>
      <c r="Q493" s="117"/>
      <c r="R493" s="117"/>
      <c r="S493" s="117"/>
      <c r="T493" s="117"/>
      <c r="U493" s="117"/>
      <c r="V493" s="117"/>
      <c r="W493" s="117"/>
      <c r="X493" s="117"/>
      <c r="Y493" s="117"/>
      <c r="Z493" s="117"/>
      <c r="AA493" s="117"/>
    </row>
    <row r="494" spans="1:27" ht="14.4">
      <c r="A494" s="117"/>
      <c r="B494" s="117"/>
      <c r="C494" s="117"/>
      <c r="D494" s="117"/>
      <c r="E494" s="117"/>
      <c r="F494" s="117"/>
      <c r="G494" s="117"/>
      <c r="H494" s="117"/>
      <c r="I494" s="235"/>
      <c r="J494" s="235"/>
      <c r="K494" s="235"/>
      <c r="L494" s="117"/>
      <c r="M494" s="117"/>
      <c r="N494" s="117"/>
      <c r="O494" s="117"/>
      <c r="P494" s="117"/>
      <c r="Q494" s="117"/>
      <c r="R494" s="117"/>
      <c r="S494" s="117"/>
      <c r="T494" s="117"/>
      <c r="U494" s="117"/>
      <c r="V494" s="117"/>
      <c r="W494" s="117"/>
      <c r="X494" s="117"/>
      <c r="Y494" s="117"/>
      <c r="Z494" s="117"/>
      <c r="AA494" s="117"/>
    </row>
    <row r="495" spans="1:27" ht="14.4">
      <c r="A495" s="117"/>
      <c r="B495" s="117"/>
      <c r="C495" s="117"/>
      <c r="D495" s="117"/>
      <c r="E495" s="117"/>
      <c r="F495" s="117"/>
      <c r="G495" s="117"/>
      <c r="H495" s="117"/>
      <c r="I495" s="235"/>
      <c r="J495" s="235"/>
      <c r="K495" s="235"/>
      <c r="L495" s="117"/>
      <c r="M495" s="117"/>
      <c r="N495" s="117"/>
      <c r="O495" s="117"/>
      <c r="P495" s="117"/>
      <c r="Q495" s="117"/>
      <c r="R495" s="117"/>
      <c r="S495" s="117"/>
      <c r="T495" s="117"/>
      <c r="U495" s="117"/>
      <c r="V495" s="117"/>
      <c r="W495" s="117"/>
      <c r="X495" s="117"/>
      <c r="Y495" s="117"/>
      <c r="Z495" s="117"/>
      <c r="AA495" s="117"/>
    </row>
    <row r="496" spans="1:27" ht="14.4">
      <c r="A496" s="117"/>
      <c r="B496" s="117"/>
      <c r="C496" s="117"/>
      <c r="D496" s="117"/>
      <c r="E496" s="117"/>
      <c r="F496" s="117"/>
      <c r="G496" s="117"/>
      <c r="H496" s="117"/>
      <c r="I496" s="235"/>
      <c r="J496" s="235"/>
      <c r="K496" s="235"/>
      <c r="L496" s="117"/>
      <c r="M496" s="117"/>
      <c r="N496" s="117"/>
      <c r="O496" s="117"/>
      <c r="P496" s="117"/>
      <c r="Q496" s="117"/>
      <c r="R496" s="117"/>
      <c r="S496" s="117"/>
      <c r="T496" s="117"/>
      <c r="U496" s="117"/>
      <c r="V496" s="117"/>
      <c r="W496" s="117"/>
      <c r="X496" s="117"/>
      <c r="Y496" s="117"/>
      <c r="Z496" s="117"/>
      <c r="AA496" s="117"/>
    </row>
    <row r="497" spans="1:27" ht="14.4">
      <c r="A497" s="117"/>
      <c r="B497" s="117"/>
      <c r="C497" s="117"/>
      <c r="D497" s="117"/>
      <c r="E497" s="117"/>
      <c r="F497" s="117"/>
      <c r="G497" s="117"/>
      <c r="H497" s="117"/>
      <c r="I497" s="235"/>
      <c r="J497" s="235"/>
      <c r="K497" s="235"/>
      <c r="L497" s="117"/>
      <c r="M497" s="117"/>
      <c r="N497" s="117"/>
      <c r="O497" s="117"/>
      <c r="P497" s="117"/>
      <c r="Q497" s="117"/>
      <c r="R497" s="117"/>
      <c r="S497" s="117"/>
      <c r="T497" s="117"/>
      <c r="U497" s="117"/>
      <c r="V497" s="117"/>
      <c r="W497" s="117"/>
      <c r="X497" s="117"/>
      <c r="Y497" s="117"/>
      <c r="Z497" s="117"/>
      <c r="AA497" s="117"/>
    </row>
    <row r="498" spans="1:27" ht="14.4">
      <c r="A498" s="117"/>
      <c r="B498" s="117"/>
      <c r="C498" s="117"/>
      <c r="D498" s="117"/>
      <c r="E498" s="117"/>
      <c r="F498" s="117"/>
      <c r="G498" s="117"/>
      <c r="H498" s="117"/>
      <c r="I498" s="235"/>
      <c r="J498" s="235"/>
      <c r="K498" s="235"/>
      <c r="L498" s="117"/>
      <c r="M498" s="117"/>
      <c r="N498" s="117"/>
      <c r="O498" s="117"/>
      <c r="P498" s="117"/>
      <c r="Q498" s="117"/>
      <c r="R498" s="117"/>
      <c r="S498" s="117"/>
      <c r="T498" s="117"/>
      <c r="U498" s="117"/>
      <c r="V498" s="117"/>
      <c r="W498" s="117"/>
      <c r="X498" s="117"/>
      <c r="Y498" s="117"/>
      <c r="Z498" s="117"/>
      <c r="AA498" s="117"/>
    </row>
    <row r="499" spans="1:27" ht="14.4">
      <c r="A499" s="117"/>
      <c r="B499" s="117"/>
      <c r="C499" s="117"/>
      <c r="D499" s="117"/>
      <c r="E499" s="117"/>
      <c r="F499" s="117"/>
      <c r="G499" s="117"/>
      <c r="H499" s="117"/>
      <c r="I499" s="235"/>
      <c r="J499" s="235"/>
      <c r="K499" s="235"/>
      <c r="L499" s="117"/>
      <c r="M499" s="117"/>
      <c r="N499" s="117"/>
      <c r="O499" s="117"/>
      <c r="P499" s="117"/>
      <c r="Q499" s="117"/>
      <c r="R499" s="117"/>
      <c r="S499" s="117"/>
      <c r="T499" s="117"/>
      <c r="U499" s="117"/>
      <c r="V499" s="117"/>
      <c r="W499" s="117"/>
      <c r="X499" s="117"/>
      <c r="Y499" s="117"/>
      <c r="Z499" s="117"/>
      <c r="AA499" s="117"/>
    </row>
    <row r="500" spans="1:27" ht="14.4">
      <c r="A500" s="117"/>
      <c r="B500" s="117"/>
      <c r="C500" s="117"/>
      <c r="D500" s="117"/>
      <c r="E500" s="117"/>
      <c r="F500" s="117"/>
      <c r="G500" s="117"/>
      <c r="H500" s="117"/>
      <c r="I500" s="235"/>
      <c r="J500" s="235"/>
      <c r="K500" s="235"/>
      <c r="L500" s="117"/>
      <c r="M500" s="117"/>
      <c r="N500" s="117"/>
      <c r="O500" s="117"/>
      <c r="P500" s="117"/>
      <c r="Q500" s="117"/>
      <c r="R500" s="117"/>
      <c r="S500" s="117"/>
      <c r="T500" s="117"/>
      <c r="U500" s="117"/>
      <c r="V500" s="117"/>
      <c r="W500" s="117"/>
      <c r="X500" s="117"/>
      <c r="Y500" s="117"/>
      <c r="Z500" s="117"/>
      <c r="AA500" s="117"/>
    </row>
    <row r="501" spans="1:27" ht="14.4">
      <c r="A501" s="117"/>
      <c r="B501" s="117"/>
      <c r="C501" s="117"/>
      <c r="D501" s="117"/>
      <c r="E501" s="117"/>
      <c r="F501" s="117"/>
      <c r="G501" s="117"/>
      <c r="H501" s="117"/>
      <c r="I501" s="235"/>
      <c r="J501" s="235"/>
      <c r="K501" s="235"/>
      <c r="L501" s="117"/>
      <c r="M501" s="117"/>
      <c r="N501" s="117"/>
      <c r="O501" s="117"/>
      <c r="P501" s="117"/>
      <c r="Q501" s="117"/>
      <c r="R501" s="117"/>
      <c r="S501" s="117"/>
      <c r="T501" s="117"/>
      <c r="U501" s="117"/>
      <c r="V501" s="117"/>
      <c r="W501" s="117"/>
      <c r="X501" s="117"/>
      <c r="Y501" s="117"/>
      <c r="Z501" s="117"/>
      <c r="AA501" s="117"/>
    </row>
    <row r="502" spans="1:27" ht="14.4">
      <c r="A502" s="117"/>
      <c r="B502" s="117"/>
      <c r="C502" s="117"/>
      <c r="D502" s="117"/>
      <c r="E502" s="117"/>
      <c r="F502" s="117"/>
      <c r="G502" s="117"/>
      <c r="H502" s="117"/>
      <c r="I502" s="235"/>
      <c r="J502" s="235"/>
      <c r="K502" s="235"/>
      <c r="L502" s="117"/>
      <c r="M502" s="117"/>
      <c r="N502" s="117"/>
      <c r="O502" s="117"/>
      <c r="P502" s="117"/>
      <c r="Q502" s="117"/>
      <c r="R502" s="117"/>
      <c r="S502" s="117"/>
      <c r="T502" s="117"/>
      <c r="U502" s="117"/>
      <c r="V502" s="117"/>
      <c r="W502" s="117"/>
      <c r="X502" s="117"/>
      <c r="Y502" s="117"/>
      <c r="Z502" s="117"/>
      <c r="AA502" s="117"/>
    </row>
    <row r="503" spans="1:27" ht="14.4">
      <c r="A503" s="117"/>
      <c r="B503" s="117"/>
      <c r="C503" s="117"/>
      <c r="D503" s="117"/>
      <c r="E503" s="117"/>
      <c r="F503" s="117"/>
      <c r="G503" s="117"/>
      <c r="H503" s="117"/>
      <c r="I503" s="235"/>
      <c r="J503" s="235"/>
      <c r="K503" s="235"/>
      <c r="L503" s="117"/>
      <c r="M503" s="117"/>
      <c r="N503" s="117"/>
      <c r="O503" s="117"/>
      <c r="P503" s="117"/>
      <c r="Q503" s="117"/>
      <c r="R503" s="117"/>
      <c r="S503" s="117"/>
      <c r="T503" s="117"/>
      <c r="U503" s="117"/>
      <c r="V503" s="117"/>
      <c r="W503" s="117"/>
      <c r="X503" s="117"/>
      <c r="Y503" s="117"/>
      <c r="Z503" s="117"/>
      <c r="AA503" s="117"/>
    </row>
    <row r="504" spans="1:27" ht="14.4">
      <c r="A504" s="117"/>
      <c r="B504" s="117"/>
      <c r="C504" s="117"/>
      <c r="D504" s="117"/>
      <c r="E504" s="117"/>
      <c r="F504" s="117"/>
      <c r="G504" s="117"/>
      <c r="H504" s="117"/>
      <c r="I504" s="235"/>
      <c r="J504" s="235"/>
      <c r="K504" s="235"/>
      <c r="L504" s="117"/>
      <c r="M504" s="117"/>
      <c r="N504" s="117"/>
      <c r="O504" s="117"/>
      <c r="P504" s="117"/>
      <c r="Q504" s="117"/>
      <c r="R504" s="117"/>
      <c r="S504" s="117"/>
      <c r="T504" s="117"/>
      <c r="U504" s="117"/>
      <c r="V504" s="117"/>
      <c r="W504" s="117"/>
      <c r="X504" s="117"/>
      <c r="Y504" s="117"/>
      <c r="Z504" s="117"/>
      <c r="AA504" s="117"/>
    </row>
    <row r="505" spans="1:27" ht="14.4">
      <c r="A505" s="117"/>
      <c r="B505" s="117"/>
      <c r="C505" s="117"/>
      <c r="D505" s="117"/>
      <c r="E505" s="117"/>
      <c r="F505" s="117"/>
      <c r="G505" s="117"/>
      <c r="H505" s="117"/>
      <c r="I505" s="235"/>
      <c r="J505" s="235"/>
      <c r="K505" s="235"/>
      <c r="L505" s="117"/>
      <c r="M505" s="117"/>
      <c r="N505" s="117"/>
      <c r="O505" s="117"/>
      <c r="P505" s="117"/>
      <c r="Q505" s="117"/>
      <c r="R505" s="117"/>
      <c r="S505" s="117"/>
      <c r="T505" s="117"/>
      <c r="U505" s="117"/>
      <c r="V505" s="117"/>
      <c r="W505" s="117"/>
      <c r="X505" s="117"/>
      <c r="Y505" s="117"/>
      <c r="Z505" s="117"/>
      <c r="AA505" s="117"/>
    </row>
    <row r="506" spans="1:27" ht="14.4">
      <c r="A506" s="117"/>
      <c r="B506" s="117"/>
      <c r="C506" s="117"/>
      <c r="D506" s="117"/>
      <c r="E506" s="117"/>
      <c r="F506" s="117"/>
      <c r="G506" s="117"/>
      <c r="H506" s="117"/>
      <c r="I506" s="235"/>
      <c r="J506" s="235"/>
      <c r="K506" s="235"/>
      <c r="L506" s="117"/>
      <c r="M506" s="117"/>
      <c r="N506" s="117"/>
      <c r="O506" s="117"/>
      <c r="P506" s="117"/>
      <c r="Q506" s="117"/>
      <c r="R506" s="117"/>
      <c r="S506" s="117"/>
      <c r="T506" s="117"/>
      <c r="U506" s="117"/>
      <c r="V506" s="117"/>
      <c r="W506" s="117"/>
      <c r="X506" s="117"/>
      <c r="Y506" s="117"/>
      <c r="Z506" s="117"/>
      <c r="AA506" s="117"/>
    </row>
    <row r="507" spans="1:27" ht="14.4">
      <c r="A507" s="117"/>
      <c r="B507" s="117"/>
      <c r="C507" s="117"/>
      <c r="D507" s="117"/>
      <c r="E507" s="117"/>
      <c r="F507" s="117"/>
      <c r="G507" s="117"/>
      <c r="H507" s="117"/>
      <c r="I507" s="235"/>
      <c r="J507" s="235"/>
      <c r="K507" s="235"/>
      <c r="L507" s="117"/>
      <c r="M507" s="117"/>
      <c r="N507" s="117"/>
      <c r="O507" s="117"/>
      <c r="P507" s="117"/>
      <c r="Q507" s="117"/>
      <c r="R507" s="117"/>
      <c r="S507" s="117"/>
      <c r="T507" s="117"/>
      <c r="U507" s="117"/>
      <c r="V507" s="117"/>
      <c r="W507" s="117"/>
      <c r="X507" s="117"/>
      <c r="Y507" s="117"/>
      <c r="Z507" s="117"/>
      <c r="AA507" s="117"/>
    </row>
    <row r="508" spans="1:27" ht="14.4">
      <c r="A508" s="117"/>
      <c r="B508" s="117"/>
      <c r="C508" s="117"/>
      <c r="D508" s="117"/>
      <c r="E508" s="117"/>
      <c r="F508" s="117"/>
      <c r="G508" s="117"/>
      <c r="H508" s="117"/>
      <c r="I508" s="235"/>
      <c r="J508" s="235"/>
      <c r="K508" s="235"/>
      <c r="L508" s="117"/>
      <c r="M508" s="117"/>
      <c r="N508" s="117"/>
      <c r="O508" s="117"/>
      <c r="P508" s="117"/>
      <c r="Q508" s="117"/>
      <c r="R508" s="117"/>
      <c r="S508" s="117"/>
      <c r="T508" s="117"/>
      <c r="U508" s="117"/>
      <c r="V508" s="117"/>
      <c r="W508" s="117"/>
      <c r="X508" s="117"/>
      <c r="Y508" s="117"/>
      <c r="Z508" s="117"/>
      <c r="AA508" s="117"/>
    </row>
    <row r="509" spans="1:27" ht="14.4">
      <c r="A509" s="117"/>
      <c r="B509" s="117"/>
      <c r="C509" s="117"/>
      <c r="D509" s="117"/>
      <c r="E509" s="117"/>
      <c r="F509" s="117"/>
      <c r="G509" s="117"/>
      <c r="H509" s="117"/>
      <c r="I509" s="235"/>
      <c r="J509" s="235"/>
      <c r="K509" s="235"/>
      <c r="L509" s="117"/>
      <c r="M509" s="117"/>
      <c r="N509" s="117"/>
      <c r="O509" s="117"/>
      <c r="P509" s="117"/>
      <c r="Q509" s="117"/>
      <c r="R509" s="117"/>
      <c r="S509" s="117"/>
      <c r="T509" s="117"/>
      <c r="U509" s="117"/>
      <c r="V509" s="117"/>
      <c r="W509" s="117"/>
      <c r="X509" s="117"/>
      <c r="Y509" s="117"/>
      <c r="Z509" s="117"/>
      <c r="AA509" s="117"/>
    </row>
    <row r="510" spans="1:27" ht="14.4">
      <c r="A510" s="117"/>
      <c r="B510" s="117"/>
      <c r="C510" s="117"/>
      <c r="D510" s="117"/>
      <c r="E510" s="117"/>
      <c r="F510" s="117"/>
      <c r="G510" s="117"/>
      <c r="H510" s="117"/>
      <c r="I510" s="235"/>
      <c r="J510" s="235"/>
      <c r="K510" s="235"/>
      <c r="L510" s="117"/>
      <c r="M510" s="117"/>
      <c r="N510" s="117"/>
      <c r="O510" s="117"/>
      <c r="P510" s="117"/>
      <c r="Q510" s="117"/>
      <c r="R510" s="117"/>
      <c r="S510" s="117"/>
      <c r="T510" s="117"/>
      <c r="U510" s="117"/>
      <c r="V510" s="117"/>
      <c r="W510" s="117"/>
      <c r="X510" s="117"/>
      <c r="Y510" s="117"/>
      <c r="Z510" s="117"/>
      <c r="AA510" s="117"/>
    </row>
    <row r="511" spans="1:27" ht="14.4">
      <c r="A511" s="117"/>
      <c r="B511" s="117"/>
      <c r="C511" s="117"/>
      <c r="D511" s="117"/>
      <c r="E511" s="117"/>
      <c r="F511" s="117"/>
      <c r="G511" s="117"/>
      <c r="H511" s="117"/>
      <c r="I511" s="235"/>
      <c r="J511" s="235"/>
      <c r="K511" s="235"/>
      <c r="L511" s="117"/>
      <c r="M511" s="117"/>
      <c r="N511" s="117"/>
      <c r="O511" s="117"/>
      <c r="P511" s="117"/>
      <c r="Q511" s="117"/>
      <c r="R511" s="117"/>
      <c r="S511" s="117"/>
      <c r="T511" s="117"/>
      <c r="U511" s="117"/>
      <c r="V511" s="117"/>
      <c r="W511" s="117"/>
      <c r="X511" s="117"/>
      <c r="Y511" s="117"/>
      <c r="Z511" s="117"/>
      <c r="AA511" s="117"/>
    </row>
    <row r="512" spans="1:27" ht="14.4">
      <c r="A512" s="117"/>
      <c r="B512" s="117"/>
      <c r="C512" s="117"/>
      <c r="D512" s="117"/>
      <c r="E512" s="117"/>
      <c r="F512" s="117"/>
      <c r="G512" s="117"/>
      <c r="H512" s="117"/>
      <c r="I512" s="235"/>
      <c r="J512" s="235"/>
      <c r="K512" s="235"/>
      <c r="L512" s="117"/>
      <c r="M512" s="117"/>
      <c r="N512" s="117"/>
      <c r="O512" s="117"/>
      <c r="P512" s="117"/>
      <c r="Q512" s="117"/>
      <c r="R512" s="117"/>
      <c r="S512" s="117"/>
      <c r="T512" s="117"/>
      <c r="U512" s="117"/>
      <c r="V512" s="117"/>
      <c r="W512" s="117"/>
      <c r="X512" s="117"/>
      <c r="Y512" s="117"/>
      <c r="Z512" s="117"/>
      <c r="AA512" s="117"/>
    </row>
    <row r="513" spans="1:27" ht="14.4">
      <c r="A513" s="117"/>
      <c r="B513" s="117"/>
      <c r="C513" s="117"/>
      <c r="D513" s="117"/>
      <c r="E513" s="117"/>
      <c r="F513" s="117"/>
      <c r="G513" s="117"/>
      <c r="H513" s="117"/>
      <c r="I513" s="235"/>
      <c r="J513" s="235"/>
      <c r="K513" s="235"/>
      <c r="L513" s="117"/>
      <c r="M513" s="117"/>
      <c r="N513" s="117"/>
      <c r="O513" s="117"/>
      <c r="P513" s="117"/>
      <c r="Q513" s="117"/>
      <c r="R513" s="117"/>
      <c r="S513" s="117"/>
      <c r="T513" s="117"/>
      <c r="U513" s="117"/>
      <c r="V513" s="117"/>
      <c r="W513" s="117"/>
      <c r="X513" s="117"/>
      <c r="Y513" s="117"/>
      <c r="Z513" s="117"/>
      <c r="AA513" s="117"/>
    </row>
    <row r="514" spans="1:27" ht="14.4">
      <c r="A514" s="117"/>
      <c r="B514" s="117"/>
      <c r="C514" s="117"/>
      <c r="D514" s="117"/>
      <c r="E514" s="117"/>
      <c r="F514" s="117"/>
      <c r="G514" s="117"/>
      <c r="H514" s="117"/>
      <c r="I514" s="235"/>
      <c r="J514" s="235"/>
      <c r="K514" s="235"/>
      <c r="L514" s="117"/>
      <c r="M514" s="117"/>
      <c r="N514" s="117"/>
      <c r="O514" s="117"/>
      <c r="P514" s="117"/>
      <c r="Q514" s="117"/>
      <c r="R514" s="117"/>
      <c r="S514" s="117"/>
      <c r="T514" s="117"/>
      <c r="U514" s="117"/>
      <c r="V514" s="117"/>
      <c r="W514" s="117"/>
      <c r="X514" s="117"/>
      <c r="Y514" s="117"/>
      <c r="Z514" s="117"/>
      <c r="AA514" s="117"/>
    </row>
    <row r="515" spans="1:27" ht="14.4">
      <c r="A515" s="117"/>
      <c r="B515" s="117"/>
      <c r="C515" s="117"/>
      <c r="D515" s="117"/>
      <c r="E515" s="117"/>
      <c r="F515" s="117"/>
      <c r="G515" s="117"/>
      <c r="H515" s="117"/>
      <c r="I515" s="235"/>
      <c r="J515" s="235"/>
      <c r="K515" s="235"/>
      <c r="L515" s="117"/>
      <c r="M515" s="117"/>
      <c r="N515" s="117"/>
      <c r="O515" s="117"/>
      <c r="P515" s="117"/>
      <c r="Q515" s="117"/>
      <c r="R515" s="117"/>
      <c r="S515" s="117"/>
      <c r="T515" s="117"/>
      <c r="U515" s="117"/>
      <c r="V515" s="117"/>
      <c r="W515" s="117"/>
      <c r="X515" s="117"/>
      <c r="Y515" s="117"/>
      <c r="Z515" s="117"/>
      <c r="AA515" s="117"/>
    </row>
    <row r="516" spans="1:27" ht="14.4">
      <c r="A516" s="117"/>
      <c r="B516" s="117"/>
      <c r="C516" s="117"/>
      <c r="D516" s="117"/>
      <c r="E516" s="117"/>
      <c r="F516" s="117"/>
      <c r="G516" s="117"/>
      <c r="H516" s="117"/>
      <c r="I516" s="235"/>
      <c r="J516" s="235"/>
      <c r="K516" s="235"/>
      <c r="L516" s="117"/>
      <c r="M516" s="117"/>
      <c r="N516" s="117"/>
      <c r="O516" s="117"/>
      <c r="P516" s="117"/>
      <c r="Q516" s="117"/>
      <c r="R516" s="117"/>
      <c r="S516" s="117"/>
      <c r="T516" s="117"/>
      <c r="U516" s="117"/>
      <c r="V516" s="117"/>
      <c r="W516" s="117"/>
      <c r="X516" s="117"/>
      <c r="Y516" s="117"/>
      <c r="Z516" s="117"/>
      <c r="AA516" s="117"/>
    </row>
    <row r="517" spans="1:27" ht="14.4">
      <c r="A517" s="117"/>
      <c r="B517" s="117"/>
      <c r="C517" s="117"/>
      <c r="D517" s="117"/>
      <c r="E517" s="117"/>
      <c r="F517" s="117"/>
      <c r="G517" s="117"/>
      <c r="H517" s="117"/>
      <c r="I517" s="235"/>
      <c r="J517" s="235"/>
      <c r="K517" s="235"/>
      <c r="L517" s="117"/>
      <c r="M517" s="117"/>
      <c r="N517" s="117"/>
      <c r="O517" s="117"/>
      <c r="P517" s="117"/>
      <c r="Q517" s="117"/>
      <c r="R517" s="117"/>
      <c r="S517" s="117"/>
      <c r="T517" s="117"/>
      <c r="U517" s="117"/>
      <c r="V517" s="117"/>
      <c r="W517" s="117"/>
      <c r="X517" s="117"/>
      <c r="Y517" s="117"/>
      <c r="Z517" s="117"/>
      <c r="AA517" s="117"/>
    </row>
    <row r="518" spans="1:27" ht="14.4">
      <c r="A518" s="117"/>
      <c r="B518" s="117"/>
      <c r="C518" s="117"/>
      <c r="D518" s="117"/>
      <c r="E518" s="117"/>
      <c r="F518" s="117"/>
      <c r="G518" s="117"/>
      <c r="H518" s="117"/>
      <c r="I518" s="235"/>
      <c r="J518" s="235"/>
      <c r="K518" s="235"/>
      <c r="L518" s="117"/>
      <c r="M518" s="117"/>
      <c r="N518" s="117"/>
      <c r="O518" s="117"/>
      <c r="P518" s="117"/>
      <c r="Q518" s="117"/>
      <c r="R518" s="117"/>
      <c r="S518" s="117"/>
      <c r="T518" s="117"/>
      <c r="U518" s="117"/>
      <c r="V518" s="117"/>
      <c r="W518" s="117"/>
      <c r="X518" s="117"/>
      <c r="Y518" s="117"/>
      <c r="Z518" s="117"/>
      <c r="AA518" s="117"/>
    </row>
    <row r="519" spans="1:27" ht="14.4">
      <c r="A519" s="117"/>
      <c r="B519" s="117"/>
      <c r="C519" s="117"/>
      <c r="D519" s="117"/>
      <c r="E519" s="117"/>
      <c r="F519" s="117"/>
      <c r="G519" s="117"/>
      <c r="H519" s="117"/>
      <c r="I519" s="235"/>
      <c r="J519" s="235"/>
      <c r="K519" s="235"/>
      <c r="L519" s="117"/>
      <c r="M519" s="117"/>
      <c r="N519" s="117"/>
      <c r="O519" s="117"/>
      <c r="P519" s="117"/>
      <c r="Q519" s="117"/>
      <c r="R519" s="117"/>
      <c r="S519" s="117"/>
      <c r="T519" s="117"/>
      <c r="U519" s="117"/>
      <c r="V519" s="117"/>
      <c r="W519" s="117"/>
      <c r="X519" s="117"/>
      <c r="Y519" s="117"/>
      <c r="Z519" s="117"/>
      <c r="AA519" s="117"/>
    </row>
    <row r="520" spans="1:27" ht="14.4">
      <c r="A520" s="117"/>
      <c r="B520" s="117"/>
      <c r="C520" s="117"/>
      <c r="D520" s="117"/>
      <c r="E520" s="117"/>
      <c r="F520" s="117"/>
      <c r="G520" s="117"/>
      <c r="H520" s="117"/>
      <c r="I520" s="235"/>
      <c r="J520" s="235"/>
      <c r="K520" s="235"/>
      <c r="L520" s="117"/>
      <c r="M520" s="117"/>
      <c r="N520" s="117"/>
      <c r="O520" s="117"/>
      <c r="P520" s="117"/>
      <c r="Q520" s="117"/>
      <c r="R520" s="117"/>
      <c r="S520" s="117"/>
      <c r="T520" s="117"/>
      <c r="U520" s="117"/>
      <c r="V520" s="117"/>
      <c r="W520" s="117"/>
      <c r="X520" s="117"/>
      <c r="Y520" s="117"/>
      <c r="Z520" s="117"/>
      <c r="AA520" s="117"/>
    </row>
    <row r="521" spans="1:27" ht="14.4">
      <c r="A521" s="117"/>
      <c r="B521" s="117"/>
      <c r="C521" s="117"/>
      <c r="D521" s="117"/>
      <c r="E521" s="117"/>
      <c r="F521" s="117"/>
      <c r="G521" s="117"/>
      <c r="H521" s="117"/>
      <c r="I521" s="235"/>
      <c r="J521" s="235"/>
      <c r="K521" s="235"/>
      <c r="L521" s="117"/>
      <c r="M521" s="117"/>
      <c r="N521" s="117"/>
      <c r="O521" s="117"/>
      <c r="P521" s="117"/>
      <c r="Q521" s="117"/>
      <c r="R521" s="117"/>
      <c r="S521" s="117"/>
      <c r="T521" s="117"/>
      <c r="U521" s="117"/>
      <c r="V521" s="117"/>
      <c r="W521" s="117"/>
      <c r="X521" s="117"/>
      <c r="Y521" s="117"/>
      <c r="Z521" s="117"/>
      <c r="AA521" s="117"/>
    </row>
    <row r="522" spans="1:27" ht="14.4">
      <c r="A522" s="117"/>
      <c r="B522" s="117"/>
      <c r="C522" s="117"/>
      <c r="D522" s="117"/>
      <c r="E522" s="117"/>
      <c r="F522" s="117"/>
      <c r="G522" s="117"/>
      <c r="H522" s="117"/>
      <c r="I522" s="235"/>
      <c r="J522" s="235"/>
      <c r="K522" s="235"/>
      <c r="L522" s="117"/>
      <c r="M522" s="117"/>
      <c r="N522" s="117"/>
      <c r="O522" s="117"/>
      <c r="P522" s="117"/>
      <c r="Q522" s="117"/>
      <c r="R522" s="117"/>
      <c r="S522" s="117"/>
      <c r="T522" s="117"/>
      <c r="U522" s="117"/>
      <c r="V522" s="117"/>
      <c r="W522" s="117"/>
      <c r="X522" s="117"/>
      <c r="Y522" s="117"/>
      <c r="Z522" s="117"/>
      <c r="AA522" s="117"/>
    </row>
    <row r="523" spans="1:27" ht="14.4">
      <c r="A523" s="117"/>
      <c r="B523" s="117"/>
      <c r="C523" s="117"/>
      <c r="D523" s="117"/>
      <c r="E523" s="117"/>
      <c r="F523" s="117"/>
      <c r="G523" s="117"/>
      <c r="H523" s="117"/>
      <c r="I523" s="235"/>
      <c r="J523" s="235"/>
      <c r="K523" s="235"/>
      <c r="L523" s="117"/>
      <c r="M523" s="117"/>
      <c r="N523" s="117"/>
      <c r="O523" s="117"/>
      <c r="P523" s="117"/>
      <c r="Q523" s="117"/>
      <c r="R523" s="117"/>
      <c r="S523" s="117"/>
      <c r="T523" s="117"/>
      <c r="U523" s="117"/>
      <c r="V523" s="117"/>
      <c r="W523" s="117"/>
      <c r="X523" s="117"/>
      <c r="Y523" s="117"/>
      <c r="Z523" s="117"/>
      <c r="AA523" s="117"/>
    </row>
    <row r="524" spans="1:27" ht="14.4">
      <c r="A524" s="117"/>
      <c r="B524" s="117"/>
      <c r="C524" s="117"/>
      <c r="D524" s="117"/>
      <c r="E524" s="117"/>
      <c r="F524" s="117"/>
      <c r="G524" s="117"/>
      <c r="H524" s="117"/>
      <c r="I524" s="235"/>
      <c r="J524" s="235"/>
      <c r="K524" s="235"/>
      <c r="L524" s="117"/>
      <c r="M524" s="117"/>
      <c r="N524" s="117"/>
      <c r="O524" s="117"/>
      <c r="P524" s="117"/>
      <c r="Q524" s="117"/>
      <c r="R524" s="117"/>
      <c r="S524" s="117"/>
      <c r="T524" s="117"/>
      <c r="U524" s="117"/>
      <c r="V524" s="117"/>
      <c r="W524" s="117"/>
      <c r="X524" s="117"/>
      <c r="Y524" s="117"/>
      <c r="Z524" s="117"/>
      <c r="AA524" s="117"/>
    </row>
    <row r="525" spans="1:27" ht="14.4">
      <c r="A525" s="117"/>
      <c r="B525" s="117"/>
      <c r="C525" s="117"/>
      <c r="D525" s="117"/>
      <c r="E525" s="117"/>
      <c r="F525" s="117"/>
      <c r="G525" s="117"/>
      <c r="H525" s="117"/>
      <c r="I525" s="235"/>
      <c r="J525" s="235"/>
      <c r="K525" s="235"/>
      <c r="L525" s="117"/>
      <c r="M525" s="117"/>
      <c r="N525" s="117"/>
      <c r="O525" s="117"/>
      <c r="P525" s="117"/>
      <c r="Q525" s="117"/>
      <c r="R525" s="117"/>
      <c r="S525" s="117"/>
      <c r="T525" s="117"/>
      <c r="U525" s="117"/>
      <c r="V525" s="117"/>
      <c r="W525" s="117"/>
      <c r="X525" s="117"/>
      <c r="Y525" s="117"/>
      <c r="Z525" s="117"/>
      <c r="AA525" s="117"/>
    </row>
    <row r="526" spans="1:27" ht="14.4">
      <c r="A526" s="117"/>
      <c r="B526" s="117"/>
      <c r="C526" s="117"/>
      <c r="D526" s="117"/>
      <c r="E526" s="117"/>
      <c r="F526" s="117"/>
      <c r="G526" s="117"/>
      <c r="H526" s="117"/>
      <c r="I526" s="235"/>
      <c r="J526" s="235"/>
      <c r="K526" s="235"/>
      <c r="L526" s="117"/>
      <c r="M526" s="117"/>
      <c r="N526" s="117"/>
      <c r="O526" s="117"/>
      <c r="P526" s="117"/>
      <c r="Q526" s="117"/>
      <c r="R526" s="117"/>
      <c r="S526" s="117"/>
      <c r="T526" s="117"/>
      <c r="U526" s="117"/>
      <c r="V526" s="117"/>
      <c r="W526" s="117"/>
      <c r="X526" s="117"/>
      <c r="Y526" s="117"/>
      <c r="Z526" s="117"/>
      <c r="AA526" s="117"/>
    </row>
    <row r="527" spans="1:27" ht="14.4">
      <c r="A527" s="117"/>
      <c r="B527" s="117"/>
      <c r="C527" s="117"/>
      <c r="D527" s="117"/>
      <c r="E527" s="117"/>
      <c r="F527" s="117"/>
      <c r="G527" s="117"/>
      <c r="H527" s="117"/>
      <c r="I527" s="235"/>
      <c r="J527" s="235"/>
      <c r="K527" s="235"/>
      <c r="L527" s="117"/>
      <c r="M527" s="117"/>
      <c r="N527" s="117"/>
      <c r="O527" s="117"/>
      <c r="P527" s="117"/>
      <c r="Q527" s="117"/>
      <c r="R527" s="117"/>
      <c r="S527" s="117"/>
      <c r="T527" s="117"/>
      <c r="U527" s="117"/>
      <c r="V527" s="117"/>
      <c r="W527" s="117"/>
      <c r="X527" s="117"/>
      <c r="Y527" s="117"/>
      <c r="Z527" s="117"/>
      <c r="AA527" s="117"/>
    </row>
    <row r="528" spans="1:27" ht="14.4">
      <c r="A528" s="117"/>
      <c r="B528" s="117"/>
      <c r="C528" s="117"/>
      <c r="D528" s="117"/>
      <c r="E528" s="117"/>
      <c r="F528" s="117"/>
      <c r="G528" s="117"/>
      <c r="H528" s="117"/>
      <c r="I528" s="235"/>
      <c r="J528" s="235"/>
      <c r="K528" s="235"/>
      <c r="L528" s="117"/>
      <c r="M528" s="117"/>
      <c r="N528" s="117"/>
      <c r="O528" s="117"/>
      <c r="P528" s="117"/>
      <c r="Q528" s="117"/>
      <c r="R528" s="117"/>
      <c r="S528" s="117"/>
      <c r="T528" s="117"/>
      <c r="U528" s="117"/>
      <c r="V528" s="117"/>
      <c r="W528" s="117"/>
      <c r="X528" s="117"/>
      <c r="Y528" s="117"/>
      <c r="Z528" s="117"/>
      <c r="AA528" s="117"/>
    </row>
    <row r="529" spans="1:27" ht="14.4">
      <c r="A529" s="117"/>
      <c r="B529" s="117"/>
      <c r="C529" s="117"/>
      <c r="D529" s="117"/>
      <c r="E529" s="117"/>
      <c r="F529" s="117"/>
      <c r="G529" s="117"/>
      <c r="H529" s="117"/>
      <c r="I529" s="235"/>
      <c r="J529" s="235"/>
      <c r="K529" s="235"/>
      <c r="L529" s="117"/>
      <c r="M529" s="117"/>
      <c r="N529" s="117"/>
      <c r="O529" s="117"/>
      <c r="P529" s="117"/>
      <c r="Q529" s="117"/>
      <c r="R529" s="117"/>
      <c r="S529" s="117"/>
      <c r="T529" s="117"/>
      <c r="U529" s="117"/>
      <c r="V529" s="117"/>
      <c r="W529" s="117"/>
      <c r="X529" s="117"/>
      <c r="Y529" s="117"/>
      <c r="Z529" s="117"/>
      <c r="AA529" s="117"/>
    </row>
    <row r="530" spans="1:27" ht="14.4">
      <c r="A530" s="117"/>
      <c r="B530" s="117"/>
      <c r="C530" s="117"/>
      <c r="D530" s="117"/>
      <c r="E530" s="117"/>
      <c r="F530" s="117"/>
      <c r="G530" s="117"/>
      <c r="H530" s="117"/>
      <c r="I530" s="235"/>
      <c r="J530" s="235"/>
      <c r="K530" s="235"/>
      <c r="L530" s="117"/>
      <c r="M530" s="117"/>
      <c r="N530" s="117"/>
      <c r="O530" s="117"/>
      <c r="P530" s="117"/>
      <c r="Q530" s="117"/>
      <c r="R530" s="117"/>
      <c r="S530" s="117"/>
      <c r="T530" s="117"/>
      <c r="U530" s="117"/>
      <c r="V530" s="117"/>
      <c r="W530" s="117"/>
      <c r="X530" s="117"/>
      <c r="Y530" s="117"/>
      <c r="Z530" s="117"/>
      <c r="AA530" s="117"/>
    </row>
    <row r="531" spans="1:27" ht="14.4">
      <c r="A531" s="117"/>
      <c r="B531" s="117"/>
      <c r="C531" s="117"/>
      <c r="D531" s="117"/>
      <c r="E531" s="117"/>
      <c r="F531" s="117"/>
      <c r="G531" s="117"/>
      <c r="H531" s="117"/>
      <c r="I531" s="235"/>
      <c r="J531" s="235"/>
      <c r="K531" s="235"/>
      <c r="L531" s="117"/>
      <c r="M531" s="117"/>
      <c r="N531" s="117"/>
      <c r="O531" s="117"/>
      <c r="P531" s="117"/>
      <c r="Q531" s="117"/>
      <c r="R531" s="117"/>
      <c r="S531" s="117"/>
      <c r="T531" s="117"/>
      <c r="U531" s="117"/>
      <c r="V531" s="117"/>
      <c r="W531" s="117"/>
      <c r="X531" s="117"/>
      <c r="Y531" s="117"/>
      <c r="Z531" s="117"/>
      <c r="AA531" s="117"/>
    </row>
    <row r="532" spans="1:27" ht="14.4">
      <c r="A532" s="117"/>
      <c r="B532" s="117"/>
      <c r="C532" s="117"/>
      <c r="D532" s="117"/>
      <c r="E532" s="117"/>
      <c r="F532" s="117"/>
      <c r="G532" s="117"/>
      <c r="H532" s="117"/>
      <c r="I532" s="235"/>
      <c r="J532" s="235"/>
      <c r="K532" s="235"/>
      <c r="L532" s="117"/>
      <c r="M532" s="117"/>
      <c r="N532" s="117"/>
      <c r="O532" s="117"/>
      <c r="P532" s="117"/>
      <c r="Q532" s="117"/>
      <c r="R532" s="117"/>
      <c r="S532" s="117"/>
      <c r="T532" s="117"/>
      <c r="U532" s="117"/>
      <c r="V532" s="117"/>
      <c r="W532" s="117"/>
      <c r="X532" s="117"/>
      <c r="Y532" s="117"/>
      <c r="Z532" s="117"/>
      <c r="AA532" s="117"/>
    </row>
    <row r="533" spans="1:27" ht="14.4">
      <c r="A533" s="117"/>
      <c r="B533" s="117"/>
      <c r="C533" s="117"/>
      <c r="D533" s="117"/>
      <c r="E533" s="117"/>
      <c r="F533" s="117"/>
      <c r="G533" s="117"/>
      <c r="H533" s="117"/>
      <c r="I533" s="235"/>
      <c r="J533" s="235"/>
      <c r="K533" s="235"/>
      <c r="L533" s="117"/>
      <c r="M533" s="117"/>
      <c r="N533" s="117"/>
      <c r="O533" s="117"/>
      <c r="P533" s="117"/>
      <c r="Q533" s="117"/>
      <c r="R533" s="117"/>
      <c r="S533" s="117"/>
      <c r="T533" s="117"/>
      <c r="U533" s="117"/>
      <c r="V533" s="117"/>
      <c r="W533" s="117"/>
      <c r="X533" s="117"/>
      <c r="Y533" s="117"/>
      <c r="Z533" s="117"/>
      <c r="AA533" s="117"/>
    </row>
    <row r="534" spans="1:27" ht="14.4">
      <c r="A534" s="117"/>
      <c r="B534" s="117"/>
      <c r="C534" s="117"/>
      <c r="D534" s="117"/>
      <c r="E534" s="117"/>
      <c r="F534" s="117"/>
      <c r="G534" s="117"/>
      <c r="H534" s="117"/>
      <c r="I534" s="235"/>
      <c r="J534" s="235"/>
      <c r="K534" s="235"/>
      <c r="L534" s="117"/>
      <c r="M534" s="117"/>
      <c r="N534" s="117"/>
      <c r="O534" s="117"/>
      <c r="P534" s="117"/>
      <c r="Q534" s="117"/>
      <c r="R534" s="117"/>
      <c r="S534" s="117"/>
      <c r="T534" s="117"/>
      <c r="U534" s="117"/>
      <c r="V534" s="117"/>
      <c r="W534" s="117"/>
      <c r="X534" s="117"/>
      <c r="Y534" s="117"/>
      <c r="Z534" s="117"/>
      <c r="AA534" s="117"/>
    </row>
    <row r="535" spans="1:27" ht="14.4">
      <c r="A535" s="117"/>
      <c r="B535" s="117"/>
      <c r="C535" s="117"/>
      <c r="D535" s="117"/>
      <c r="E535" s="117"/>
      <c r="F535" s="117"/>
      <c r="G535" s="117"/>
      <c r="H535" s="117"/>
      <c r="I535" s="235"/>
      <c r="J535" s="235"/>
      <c r="K535" s="235"/>
      <c r="L535" s="117"/>
      <c r="M535" s="117"/>
      <c r="N535" s="117"/>
      <c r="O535" s="117"/>
      <c r="P535" s="117"/>
      <c r="Q535" s="117"/>
      <c r="R535" s="117"/>
      <c r="S535" s="117"/>
      <c r="T535" s="117"/>
      <c r="U535" s="117"/>
      <c r="V535" s="117"/>
      <c r="W535" s="117"/>
      <c r="X535" s="117"/>
      <c r="Y535" s="117"/>
      <c r="Z535" s="117"/>
      <c r="AA535" s="117"/>
    </row>
    <row r="536" spans="1:27" ht="14.4">
      <c r="A536" s="117"/>
      <c r="B536" s="117"/>
      <c r="C536" s="117"/>
      <c r="D536" s="117"/>
      <c r="E536" s="117"/>
      <c r="F536" s="117"/>
      <c r="G536" s="117"/>
      <c r="H536" s="117"/>
      <c r="I536" s="235"/>
      <c r="J536" s="235"/>
      <c r="K536" s="235"/>
      <c r="L536" s="117"/>
      <c r="M536" s="117"/>
      <c r="N536" s="117"/>
      <c r="O536" s="117"/>
      <c r="P536" s="117"/>
      <c r="Q536" s="117"/>
      <c r="R536" s="117"/>
      <c r="S536" s="117"/>
      <c r="T536" s="117"/>
      <c r="U536" s="117"/>
      <c r="V536" s="117"/>
      <c r="W536" s="117"/>
      <c r="X536" s="117"/>
      <c r="Y536" s="117"/>
      <c r="Z536" s="117"/>
      <c r="AA536" s="117"/>
    </row>
    <row r="537" spans="1:27" ht="14.4">
      <c r="A537" s="117"/>
      <c r="B537" s="117"/>
      <c r="C537" s="117"/>
      <c r="D537" s="117"/>
      <c r="E537" s="117"/>
      <c r="F537" s="117"/>
      <c r="G537" s="117"/>
      <c r="H537" s="117"/>
      <c r="I537" s="235"/>
      <c r="J537" s="235"/>
      <c r="K537" s="235"/>
      <c r="L537" s="117"/>
      <c r="M537" s="117"/>
      <c r="N537" s="117"/>
      <c r="O537" s="117"/>
      <c r="P537" s="117"/>
      <c r="Q537" s="117"/>
      <c r="R537" s="117"/>
      <c r="S537" s="117"/>
      <c r="T537" s="117"/>
      <c r="U537" s="117"/>
      <c r="V537" s="117"/>
      <c r="W537" s="117"/>
      <c r="X537" s="117"/>
      <c r="Y537" s="117"/>
      <c r="Z537" s="117"/>
      <c r="AA537" s="117"/>
    </row>
    <row r="538" spans="1:27" ht="14.4">
      <c r="A538" s="117"/>
      <c r="B538" s="117"/>
      <c r="C538" s="117"/>
      <c r="D538" s="117"/>
      <c r="E538" s="117"/>
      <c r="F538" s="117"/>
      <c r="G538" s="117"/>
      <c r="H538" s="117"/>
      <c r="I538" s="235"/>
      <c r="J538" s="235"/>
      <c r="K538" s="235"/>
      <c r="L538" s="117"/>
      <c r="M538" s="117"/>
      <c r="N538" s="117"/>
      <c r="O538" s="117"/>
      <c r="P538" s="117"/>
      <c r="Q538" s="117"/>
      <c r="R538" s="117"/>
      <c r="S538" s="117"/>
      <c r="T538" s="117"/>
      <c r="U538" s="117"/>
      <c r="V538" s="117"/>
      <c r="W538" s="117"/>
      <c r="X538" s="117"/>
      <c r="Y538" s="117"/>
      <c r="Z538" s="117"/>
      <c r="AA538" s="117"/>
    </row>
    <row r="539" spans="1:27" ht="14.4">
      <c r="A539" s="117"/>
      <c r="B539" s="117"/>
      <c r="C539" s="117"/>
      <c r="D539" s="117"/>
      <c r="E539" s="117"/>
      <c r="F539" s="117"/>
      <c r="G539" s="117"/>
      <c r="H539" s="117"/>
      <c r="I539" s="235"/>
      <c r="J539" s="235"/>
      <c r="K539" s="235"/>
      <c r="L539" s="117"/>
      <c r="M539" s="117"/>
      <c r="N539" s="117"/>
      <c r="O539" s="117"/>
      <c r="P539" s="117"/>
      <c r="Q539" s="117"/>
      <c r="R539" s="117"/>
      <c r="S539" s="117"/>
      <c r="T539" s="117"/>
      <c r="U539" s="117"/>
      <c r="V539" s="117"/>
      <c r="W539" s="117"/>
      <c r="X539" s="117"/>
      <c r="Y539" s="117"/>
      <c r="Z539" s="117"/>
      <c r="AA539" s="117"/>
    </row>
    <row r="540" spans="1:27" ht="14.4">
      <c r="A540" s="117"/>
      <c r="B540" s="117"/>
      <c r="C540" s="117"/>
      <c r="D540" s="117"/>
      <c r="E540" s="117"/>
      <c r="F540" s="117"/>
      <c r="G540" s="117"/>
      <c r="H540" s="117"/>
      <c r="I540" s="235"/>
      <c r="J540" s="235"/>
      <c r="K540" s="235"/>
      <c r="L540" s="117"/>
      <c r="M540" s="117"/>
      <c r="N540" s="117"/>
      <c r="O540" s="117"/>
      <c r="P540" s="117"/>
      <c r="Q540" s="117"/>
      <c r="R540" s="117"/>
      <c r="S540" s="117"/>
      <c r="T540" s="117"/>
      <c r="U540" s="117"/>
      <c r="V540" s="117"/>
      <c r="W540" s="117"/>
      <c r="X540" s="117"/>
      <c r="Y540" s="117"/>
      <c r="Z540" s="117"/>
      <c r="AA540" s="117"/>
    </row>
    <row r="541" spans="1:27" ht="14.4">
      <c r="A541" s="117"/>
      <c r="B541" s="117"/>
      <c r="C541" s="117"/>
      <c r="D541" s="117"/>
      <c r="E541" s="117"/>
      <c r="F541" s="117"/>
      <c r="G541" s="117"/>
      <c r="H541" s="117"/>
      <c r="I541" s="235"/>
      <c r="J541" s="235"/>
      <c r="K541" s="235"/>
      <c r="L541" s="117"/>
      <c r="M541" s="117"/>
      <c r="N541" s="117"/>
      <c r="O541" s="117"/>
      <c r="P541" s="117"/>
      <c r="Q541" s="117"/>
      <c r="R541" s="117"/>
      <c r="S541" s="117"/>
      <c r="T541" s="117"/>
      <c r="U541" s="117"/>
      <c r="V541" s="117"/>
      <c r="W541" s="117"/>
      <c r="X541" s="117"/>
      <c r="Y541" s="117"/>
      <c r="Z541" s="117"/>
      <c r="AA541" s="117"/>
    </row>
    <row r="542" spans="1:27" ht="14.4">
      <c r="A542" s="117"/>
      <c r="B542" s="117"/>
      <c r="C542" s="117"/>
      <c r="D542" s="117"/>
      <c r="E542" s="117"/>
      <c r="F542" s="117"/>
      <c r="G542" s="117"/>
      <c r="H542" s="117"/>
      <c r="I542" s="235"/>
      <c r="J542" s="235"/>
      <c r="K542" s="235"/>
      <c r="L542" s="117"/>
      <c r="M542" s="117"/>
      <c r="N542" s="117"/>
      <c r="O542" s="117"/>
      <c r="P542" s="117"/>
      <c r="Q542" s="117"/>
      <c r="R542" s="117"/>
      <c r="S542" s="117"/>
      <c r="T542" s="117"/>
      <c r="U542" s="117"/>
      <c r="V542" s="117"/>
      <c r="W542" s="117"/>
      <c r="X542" s="117"/>
      <c r="Y542" s="117"/>
      <c r="Z542" s="117"/>
      <c r="AA542" s="117"/>
    </row>
    <row r="543" spans="1:27" ht="14.4">
      <c r="A543" s="117"/>
      <c r="B543" s="117"/>
      <c r="C543" s="117"/>
      <c r="D543" s="117"/>
      <c r="E543" s="117"/>
      <c r="F543" s="117"/>
      <c r="G543" s="117"/>
      <c r="H543" s="117"/>
      <c r="I543" s="235"/>
      <c r="J543" s="235"/>
      <c r="K543" s="235"/>
      <c r="L543" s="117"/>
      <c r="M543" s="117"/>
      <c r="N543" s="117"/>
      <c r="O543" s="117"/>
      <c r="P543" s="117"/>
      <c r="Q543" s="117"/>
      <c r="R543" s="117"/>
      <c r="S543" s="117"/>
      <c r="T543" s="117"/>
      <c r="U543" s="117"/>
      <c r="V543" s="117"/>
      <c r="W543" s="117"/>
      <c r="X543" s="117"/>
      <c r="Y543" s="117"/>
      <c r="Z543" s="117"/>
      <c r="AA543" s="117"/>
    </row>
    <row r="544" spans="1:27" ht="14.4">
      <c r="A544" s="117"/>
      <c r="B544" s="117"/>
      <c r="C544" s="117"/>
      <c r="D544" s="117"/>
      <c r="E544" s="117"/>
      <c r="F544" s="117"/>
      <c r="G544" s="117"/>
      <c r="H544" s="117"/>
      <c r="I544" s="235"/>
      <c r="J544" s="235"/>
      <c r="K544" s="235"/>
      <c r="L544" s="117"/>
      <c r="M544" s="117"/>
      <c r="N544" s="117"/>
      <c r="O544" s="117"/>
      <c r="P544" s="117"/>
      <c r="Q544" s="117"/>
      <c r="R544" s="117"/>
      <c r="S544" s="117"/>
      <c r="T544" s="117"/>
      <c r="U544" s="117"/>
      <c r="V544" s="117"/>
      <c r="W544" s="117"/>
      <c r="X544" s="117"/>
      <c r="Y544" s="117"/>
      <c r="Z544" s="117"/>
      <c r="AA544" s="117"/>
    </row>
    <row r="545" spans="1:27" ht="14.4">
      <c r="A545" s="117"/>
      <c r="B545" s="117"/>
      <c r="C545" s="117"/>
      <c r="D545" s="117"/>
      <c r="E545" s="117"/>
      <c r="F545" s="117"/>
      <c r="G545" s="117"/>
      <c r="H545" s="117"/>
      <c r="I545" s="235"/>
      <c r="J545" s="235"/>
      <c r="K545" s="235"/>
      <c r="L545" s="117"/>
      <c r="M545" s="117"/>
      <c r="N545" s="117"/>
      <c r="O545" s="117"/>
      <c r="P545" s="117"/>
      <c r="Q545" s="117"/>
      <c r="R545" s="117"/>
      <c r="S545" s="117"/>
      <c r="T545" s="117"/>
      <c r="U545" s="117"/>
      <c r="V545" s="117"/>
      <c r="W545" s="117"/>
      <c r="X545" s="117"/>
      <c r="Y545" s="117"/>
      <c r="Z545" s="117"/>
      <c r="AA545" s="117"/>
    </row>
    <row r="546" spans="1:27" ht="14.4">
      <c r="A546" s="117"/>
      <c r="B546" s="117"/>
      <c r="C546" s="117"/>
      <c r="D546" s="117"/>
      <c r="E546" s="117"/>
      <c r="F546" s="117"/>
      <c r="G546" s="117"/>
      <c r="H546" s="117"/>
      <c r="I546" s="235"/>
      <c r="J546" s="235"/>
      <c r="K546" s="235"/>
      <c r="L546" s="117"/>
      <c r="M546" s="117"/>
      <c r="N546" s="117"/>
      <c r="O546" s="117"/>
      <c r="P546" s="117"/>
      <c r="Q546" s="117"/>
      <c r="R546" s="117"/>
      <c r="S546" s="117"/>
      <c r="T546" s="117"/>
      <c r="U546" s="117"/>
      <c r="V546" s="117"/>
      <c r="W546" s="117"/>
      <c r="X546" s="117"/>
      <c r="Y546" s="117"/>
      <c r="Z546" s="117"/>
      <c r="AA546" s="117"/>
    </row>
    <row r="547" spans="1:27" ht="14.4">
      <c r="A547" s="117"/>
      <c r="B547" s="117"/>
      <c r="C547" s="117"/>
      <c r="D547" s="117"/>
      <c r="E547" s="117"/>
      <c r="F547" s="117"/>
      <c r="G547" s="117"/>
      <c r="H547" s="117"/>
      <c r="I547" s="235"/>
      <c r="J547" s="235"/>
      <c r="K547" s="235"/>
      <c r="L547" s="117"/>
      <c r="M547" s="117"/>
      <c r="N547" s="117"/>
      <c r="O547" s="117"/>
      <c r="P547" s="117"/>
      <c r="Q547" s="117"/>
      <c r="R547" s="117"/>
      <c r="S547" s="117"/>
      <c r="T547" s="117"/>
      <c r="U547" s="117"/>
      <c r="V547" s="117"/>
      <c r="W547" s="117"/>
      <c r="X547" s="117"/>
      <c r="Y547" s="117"/>
      <c r="Z547" s="117"/>
      <c r="AA547" s="117"/>
    </row>
    <row r="548" spans="1:27" ht="14.4">
      <c r="A548" s="117"/>
      <c r="B548" s="117"/>
      <c r="C548" s="117"/>
      <c r="D548" s="117"/>
      <c r="E548" s="117"/>
      <c r="F548" s="117"/>
      <c r="G548" s="117"/>
      <c r="H548" s="117"/>
      <c r="I548" s="235"/>
      <c r="J548" s="235"/>
      <c r="K548" s="235"/>
      <c r="L548" s="117"/>
      <c r="M548" s="117"/>
      <c r="N548" s="117"/>
      <c r="O548" s="117"/>
      <c r="P548" s="117"/>
      <c r="Q548" s="117"/>
      <c r="R548" s="117"/>
      <c r="S548" s="117"/>
      <c r="T548" s="117"/>
      <c r="U548" s="117"/>
      <c r="V548" s="117"/>
      <c r="W548" s="117"/>
      <c r="X548" s="117"/>
      <c r="Y548" s="117"/>
      <c r="Z548" s="117"/>
      <c r="AA548" s="117"/>
    </row>
    <row r="549" spans="1:27" ht="14.4">
      <c r="A549" s="117"/>
      <c r="B549" s="117"/>
      <c r="C549" s="117"/>
      <c r="D549" s="117"/>
      <c r="E549" s="117"/>
      <c r="F549" s="117"/>
      <c r="G549" s="117"/>
      <c r="H549" s="117"/>
      <c r="I549" s="235"/>
      <c r="J549" s="235"/>
      <c r="K549" s="235"/>
      <c r="L549" s="117"/>
      <c r="M549" s="117"/>
      <c r="N549" s="117"/>
      <c r="O549" s="117"/>
      <c r="P549" s="117"/>
      <c r="Q549" s="117"/>
      <c r="R549" s="117"/>
      <c r="S549" s="117"/>
      <c r="T549" s="117"/>
      <c r="U549" s="117"/>
      <c r="V549" s="117"/>
      <c r="W549" s="117"/>
      <c r="X549" s="117"/>
      <c r="Y549" s="117"/>
      <c r="Z549" s="117"/>
      <c r="AA549" s="117"/>
    </row>
    <row r="550" spans="1:27" ht="14.4">
      <c r="A550" s="117"/>
      <c r="B550" s="117"/>
      <c r="C550" s="117"/>
      <c r="D550" s="117"/>
      <c r="E550" s="117"/>
      <c r="F550" s="117"/>
      <c r="G550" s="117"/>
      <c r="H550" s="117"/>
      <c r="I550" s="235"/>
      <c r="J550" s="235"/>
      <c r="K550" s="235"/>
      <c r="L550" s="117"/>
      <c r="M550" s="117"/>
      <c r="N550" s="117"/>
      <c r="O550" s="117"/>
      <c r="P550" s="117"/>
      <c r="Q550" s="117"/>
      <c r="R550" s="117"/>
      <c r="S550" s="117"/>
      <c r="T550" s="117"/>
      <c r="U550" s="117"/>
      <c r="V550" s="117"/>
      <c r="W550" s="117"/>
      <c r="X550" s="117"/>
      <c r="Y550" s="117"/>
      <c r="Z550" s="117"/>
      <c r="AA550" s="117"/>
    </row>
    <row r="551" spans="1:27" ht="14.4">
      <c r="A551" s="117"/>
      <c r="B551" s="117"/>
      <c r="C551" s="117"/>
      <c r="D551" s="117"/>
      <c r="E551" s="117"/>
      <c r="F551" s="117"/>
      <c r="G551" s="117"/>
      <c r="H551" s="117"/>
      <c r="I551" s="235"/>
      <c r="J551" s="235"/>
      <c r="K551" s="235"/>
      <c r="L551" s="117"/>
      <c r="M551" s="117"/>
      <c r="N551" s="117"/>
      <c r="O551" s="117"/>
      <c r="P551" s="117"/>
      <c r="Q551" s="117"/>
      <c r="R551" s="117"/>
      <c r="S551" s="117"/>
      <c r="T551" s="117"/>
      <c r="U551" s="117"/>
      <c r="V551" s="117"/>
      <c r="W551" s="117"/>
      <c r="X551" s="117"/>
      <c r="Y551" s="117"/>
      <c r="Z551" s="117"/>
      <c r="AA551" s="117"/>
    </row>
    <row r="552" spans="1:27" ht="14.4">
      <c r="A552" s="117"/>
      <c r="B552" s="117"/>
      <c r="C552" s="117"/>
      <c r="D552" s="117"/>
      <c r="E552" s="117"/>
      <c r="F552" s="117"/>
      <c r="G552" s="117"/>
      <c r="H552" s="117"/>
      <c r="I552" s="235"/>
      <c r="J552" s="235"/>
      <c r="K552" s="235"/>
      <c r="L552" s="117"/>
      <c r="M552" s="117"/>
      <c r="N552" s="117"/>
      <c r="O552" s="117"/>
      <c r="P552" s="117"/>
      <c r="Q552" s="117"/>
      <c r="R552" s="117"/>
      <c r="S552" s="117"/>
      <c r="T552" s="117"/>
      <c r="U552" s="117"/>
      <c r="V552" s="117"/>
      <c r="W552" s="117"/>
      <c r="X552" s="117"/>
      <c r="Y552" s="117"/>
      <c r="Z552" s="117"/>
      <c r="AA552" s="117"/>
    </row>
    <row r="553" spans="1:27" ht="14.4">
      <c r="A553" s="117"/>
      <c r="B553" s="117"/>
      <c r="C553" s="117"/>
      <c r="D553" s="117"/>
      <c r="E553" s="117"/>
      <c r="F553" s="117"/>
      <c r="G553" s="117"/>
      <c r="H553" s="117"/>
      <c r="I553" s="235"/>
      <c r="J553" s="235"/>
      <c r="K553" s="235"/>
      <c r="L553" s="117"/>
      <c r="M553" s="117"/>
      <c r="N553" s="117"/>
      <c r="O553" s="117"/>
      <c r="P553" s="117"/>
      <c r="Q553" s="117"/>
      <c r="R553" s="117"/>
      <c r="S553" s="117"/>
      <c r="T553" s="117"/>
      <c r="U553" s="117"/>
      <c r="V553" s="117"/>
      <c r="W553" s="117"/>
      <c r="X553" s="117"/>
      <c r="Y553" s="117"/>
      <c r="Z553" s="117"/>
      <c r="AA553" s="117"/>
    </row>
    <row r="554" spans="1:27" ht="14.4">
      <c r="A554" s="117"/>
      <c r="B554" s="117"/>
      <c r="C554" s="117"/>
      <c r="D554" s="117"/>
      <c r="E554" s="117"/>
      <c r="F554" s="117"/>
      <c r="G554" s="117"/>
      <c r="H554" s="117"/>
      <c r="I554" s="235"/>
      <c r="J554" s="235"/>
      <c r="K554" s="235"/>
      <c r="L554" s="117"/>
      <c r="M554" s="117"/>
      <c r="N554" s="117"/>
      <c r="O554" s="117"/>
      <c r="P554" s="117"/>
      <c r="Q554" s="117"/>
      <c r="R554" s="117"/>
      <c r="S554" s="117"/>
      <c r="T554" s="117"/>
      <c r="U554" s="117"/>
      <c r="V554" s="117"/>
      <c r="W554" s="117"/>
      <c r="X554" s="117"/>
      <c r="Y554" s="117"/>
      <c r="Z554" s="117"/>
      <c r="AA554" s="117"/>
    </row>
    <row r="555" spans="1:27" ht="14.4">
      <c r="A555" s="117"/>
      <c r="B555" s="117"/>
      <c r="C555" s="117"/>
      <c r="D555" s="117"/>
      <c r="E555" s="117"/>
      <c r="F555" s="117"/>
      <c r="G555" s="117"/>
      <c r="H555" s="117"/>
      <c r="I555" s="235"/>
      <c r="J555" s="235"/>
      <c r="K555" s="235"/>
      <c r="L555" s="117"/>
      <c r="M555" s="117"/>
      <c r="N555" s="117"/>
      <c r="O555" s="117"/>
      <c r="P555" s="117"/>
      <c r="Q555" s="117"/>
      <c r="R555" s="117"/>
      <c r="S555" s="117"/>
      <c r="T555" s="117"/>
      <c r="U555" s="117"/>
      <c r="V555" s="117"/>
      <c r="W555" s="117"/>
      <c r="X555" s="117"/>
      <c r="Y555" s="117"/>
      <c r="Z555" s="117"/>
      <c r="AA555" s="117"/>
    </row>
    <row r="556" spans="1:27" ht="14.4">
      <c r="A556" s="117"/>
      <c r="B556" s="117"/>
      <c r="C556" s="117"/>
      <c r="D556" s="117"/>
      <c r="E556" s="117"/>
      <c r="F556" s="117"/>
      <c r="G556" s="117"/>
      <c r="H556" s="117"/>
      <c r="I556" s="235"/>
      <c r="J556" s="235"/>
      <c r="K556" s="235"/>
      <c r="L556" s="117"/>
      <c r="M556" s="117"/>
      <c r="N556" s="117"/>
      <c r="O556" s="117"/>
      <c r="P556" s="117"/>
      <c r="Q556" s="117"/>
      <c r="R556" s="117"/>
      <c r="S556" s="117"/>
      <c r="T556" s="117"/>
      <c r="U556" s="117"/>
      <c r="V556" s="117"/>
      <c r="W556" s="117"/>
      <c r="X556" s="117"/>
      <c r="Y556" s="117"/>
      <c r="Z556" s="117"/>
      <c r="AA556" s="117"/>
    </row>
    <row r="557" spans="1:27" ht="14.4">
      <c r="A557" s="117"/>
      <c r="B557" s="117"/>
      <c r="C557" s="117"/>
      <c r="D557" s="117"/>
      <c r="E557" s="117"/>
      <c r="F557" s="117"/>
      <c r="G557" s="117"/>
      <c r="H557" s="117"/>
      <c r="I557" s="235"/>
      <c r="J557" s="235"/>
      <c r="K557" s="235"/>
      <c r="L557" s="117"/>
      <c r="M557" s="117"/>
      <c r="N557" s="117"/>
      <c r="O557" s="117"/>
      <c r="P557" s="117"/>
      <c r="Q557" s="117"/>
      <c r="R557" s="117"/>
      <c r="S557" s="117"/>
      <c r="T557" s="117"/>
      <c r="U557" s="117"/>
      <c r="V557" s="117"/>
      <c r="W557" s="117"/>
      <c r="X557" s="117"/>
      <c r="Y557" s="117"/>
      <c r="Z557" s="117"/>
      <c r="AA557" s="117"/>
    </row>
    <row r="558" spans="1:27" ht="14.4">
      <c r="A558" s="117"/>
      <c r="B558" s="117"/>
      <c r="C558" s="117"/>
      <c r="D558" s="117"/>
      <c r="E558" s="117"/>
      <c r="F558" s="117"/>
      <c r="G558" s="117"/>
      <c r="H558" s="117"/>
      <c r="I558" s="235"/>
      <c r="J558" s="235"/>
      <c r="K558" s="235"/>
      <c r="L558" s="117"/>
      <c r="M558" s="117"/>
      <c r="N558" s="117"/>
      <c r="O558" s="117"/>
      <c r="P558" s="117"/>
      <c r="Q558" s="117"/>
      <c r="R558" s="117"/>
      <c r="S558" s="117"/>
      <c r="T558" s="117"/>
      <c r="U558" s="117"/>
      <c r="V558" s="117"/>
      <c r="W558" s="117"/>
      <c r="X558" s="117"/>
      <c r="Y558" s="117"/>
      <c r="Z558" s="117"/>
      <c r="AA558" s="117"/>
    </row>
    <row r="559" spans="1:27" ht="14.4">
      <c r="A559" s="117"/>
      <c r="B559" s="117"/>
      <c r="C559" s="117"/>
      <c r="D559" s="117"/>
      <c r="E559" s="117"/>
      <c r="F559" s="117"/>
      <c r="G559" s="117"/>
      <c r="H559" s="117"/>
      <c r="I559" s="235"/>
      <c r="J559" s="235"/>
      <c r="K559" s="235"/>
      <c r="L559" s="117"/>
      <c r="M559" s="117"/>
      <c r="N559" s="117"/>
      <c r="O559" s="117"/>
      <c r="P559" s="117"/>
      <c r="Q559" s="117"/>
      <c r="R559" s="117"/>
      <c r="S559" s="117"/>
      <c r="T559" s="117"/>
      <c r="U559" s="117"/>
      <c r="V559" s="117"/>
      <c r="W559" s="117"/>
      <c r="X559" s="117"/>
      <c r="Y559" s="117"/>
      <c r="Z559" s="117"/>
      <c r="AA559" s="117"/>
    </row>
    <row r="560" spans="1:27" ht="14.4">
      <c r="A560" s="117"/>
      <c r="B560" s="117"/>
      <c r="C560" s="117"/>
      <c r="D560" s="117"/>
      <c r="E560" s="117"/>
      <c r="F560" s="117"/>
      <c r="G560" s="117"/>
      <c r="H560" s="117"/>
      <c r="I560" s="235"/>
      <c r="J560" s="235"/>
      <c r="K560" s="235"/>
      <c r="L560" s="117"/>
      <c r="M560" s="117"/>
      <c r="N560" s="117"/>
      <c r="O560" s="117"/>
      <c r="P560" s="117"/>
      <c r="Q560" s="117"/>
      <c r="R560" s="117"/>
      <c r="S560" s="117"/>
      <c r="T560" s="117"/>
      <c r="U560" s="117"/>
      <c r="V560" s="117"/>
      <c r="W560" s="117"/>
      <c r="X560" s="117"/>
      <c r="Y560" s="117"/>
      <c r="Z560" s="117"/>
      <c r="AA560" s="117"/>
    </row>
    <row r="561" spans="1:27" ht="14.4">
      <c r="A561" s="117"/>
      <c r="B561" s="117"/>
      <c r="C561" s="117"/>
      <c r="D561" s="117"/>
      <c r="E561" s="117"/>
      <c r="F561" s="117"/>
      <c r="G561" s="117"/>
      <c r="H561" s="117"/>
      <c r="I561" s="235"/>
      <c r="J561" s="235"/>
      <c r="K561" s="235"/>
      <c r="L561" s="117"/>
      <c r="M561" s="117"/>
      <c r="N561" s="117"/>
      <c r="O561" s="117"/>
      <c r="P561" s="117"/>
      <c r="Q561" s="117"/>
      <c r="R561" s="117"/>
      <c r="S561" s="117"/>
      <c r="T561" s="117"/>
      <c r="U561" s="117"/>
      <c r="V561" s="117"/>
      <c r="W561" s="117"/>
      <c r="X561" s="117"/>
      <c r="Y561" s="117"/>
      <c r="Z561" s="117"/>
      <c r="AA561" s="117"/>
    </row>
    <row r="562" spans="1:27" ht="14.4">
      <c r="A562" s="117"/>
      <c r="B562" s="117"/>
      <c r="C562" s="117"/>
      <c r="D562" s="117"/>
      <c r="E562" s="117"/>
      <c r="F562" s="117"/>
      <c r="G562" s="117"/>
      <c r="H562" s="117"/>
      <c r="I562" s="235"/>
      <c r="J562" s="235"/>
      <c r="K562" s="235"/>
      <c r="L562" s="117"/>
      <c r="M562" s="117"/>
      <c r="N562" s="117"/>
      <c r="O562" s="117"/>
      <c r="P562" s="117"/>
      <c r="Q562" s="117"/>
      <c r="R562" s="117"/>
      <c r="S562" s="117"/>
      <c r="T562" s="117"/>
      <c r="U562" s="117"/>
      <c r="V562" s="117"/>
      <c r="W562" s="117"/>
      <c r="X562" s="117"/>
      <c r="Y562" s="117"/>
      <c r="Z562" s="117"/>
      <c r="AA562" s="117"/>
    </row>
    <row r="563" spans="1:27" ht="14.4">
      <c r="A563" s="117"/>
      <c r="B563" s="117"/>
      <c r="C563" s="117"/>
      <c r="D563" s="117"/>
      <c r="E563" s="117"/>
      <c r="F563" s="117"/>
      <c r="G563" s="117"/>
      <c r="H563" s="117"/>
      <c r="I563" s="235"/>
      <c r="J563" s="235"/>
      <c r="K563" s="235"/>
      <c r="L563" s="117"/>
      <c r="M563" s="117"/>
      <c r="N563" s="117"/>
      <c r="O563" s="117"/>
      <c r="P563" s="117"/>
      <c r="Q563" s="117"/>
      <c r="R563" s="117"/>
      <c r="S563" s="117"/>
      <c r="T563" s="117"/>
      <c r="U563" s="117"/>
      <c r="V563" s="117"/>
      <c r="W563" s="117"/>
      <c r="X563" s="117"/>
      <c r="Y563" s="117"/>
      <c r="Z563" s="117"/>
      <c r="AA563" s="117"/>
    </row>
    <row r="564" spans="1:27" ht="14.4">
      <c r="A564" s="117"/>
      <c r="B564" s="117"/>
      <c r="C564" s="117"/>
      <c r="D564" s="117"/>
      <c r="E564" s="117"/>
      <c r="F564" s="117"/>
      <c r="G564" s="117"/>
      <c r="H564" s="117"/>
      <c r="I564" s="235"/>
      <c r="J564" s="235"/>
      <c r="K564" s="235"/>
      <c r="L564" s="117"/>
      <c r="M564" s="117"/>
      <c r="N564" s="117"/>
      <c r="O564" s="117"/>
      <c r="P564" s="117"/>
      <c r="Q564" s="117"/>
      <c r="R564" s="117"/>
      <c r="S564" s="117"/>
      <c r="T564" s="117"/>
      <c r="U564" s="117"/>
      <c r="V564" s="117"/>
      <c r="W564" s="117"/>
      <c r="X564" s="117"/>
      <c r="Y564" s="117"/>
      <c r="Z564" s="117"/>
      <c r="AA564" s="117"/>
    </row>
    <row r="565" spans="1:27" ht="14.4">
      <c r="A565" s="117"/>
      <c r="B565" s="117"/>
      <c r="C565" s="117"/>
      <c r="D565" s="117"/>
      <c r="E565" s="117"/>
      <c r="F565" s="117"/>
      <c r="G565" s="117"/>
      <c r="H565" s="117"/>
      <c r="I565" s="235"/>
      <c r="J565" s="235"/>
      <c r="K565" s="235"/>
      <c r="L565" s="117"/>
      <c r="M565" s="117"/>
      <c r="N565" s="117"/>
      <c r="O565" s="117"/>
      <c r="P565" s="117"/>
      <c r="Q565" s="117"/>
      <c r="R565" s="117"/>
      <c r="S565" s="117"/>
      <c r="T565" s="117"/>
      <c r="U565" s="117"/>
      <c r="V565" s="117"/>
      <c r="W565" s="117"/>
      <c r="X565" s="117"/>
      <c r="Y565" s="117"/>
      <c r="Z565" s="117"/>
      <c r="AA565" s="117"/>
    </row>
    <row r="566" spans="1:27" ht="14.4">
      <c r="A566" s="117"/>
      <c r="B566" s="117"/>
      <c r="C566" s="117"/>
      <c r="D566" s="117"/>
      <c r="E566" s="117"/>
      <c r="F566" s="117"/>
      <c r="G566" s="117"/>
      <c r="H566" s="117"/>
      <c r="I566" s="235"/>
      <c r="J566" s="235"/>
      <c r="K566" s="235"/>
      <c r="L566" s="117"/>
      <c r="M566" s="117"/>
      <c r="N566" s="117"/>
      <c r="O566" s="117"/>
      <c r="P566" s="117"/>
      <c r="Q566" s="117"/>
      <c r="R566" s="117"/>
      <c r="S566" s="117"/>
      <c r="T566" s="117"/>
      <c r="U566" s="117"/>
      <c r="V566" s="117"/>
      <c r="W566" s="117"/>
      <c r="X566" s="117"/>
      <c r="Y566" s="117"/>
      <c r="Z566" s="117"/>
      <c r="AA566" s="117"/>
    </row>
    <row r="567" spans="1:27" ht="14.4">
      <c r="A567" s="117"/>
      <c r="B567" s="117"/>
      <c r="C567" s="117"/>
      <c r="D567" s="117"/>
      <c r="E567" s="117"/>
      <c r="F567" s="117"/>
      <c r="G567" s="117"/>
      <c r="H567" s="117"/>
      <c r="I567" s="235"/>
      <c r="J567" s="235"/>
      <c r="K567" s="235"/>
      <c r="L567" s="117"/>
      <c r="M567" s="117"/>
      <c r="N567" s="117"/>
      <c r="O567" s="117"/>
      <c r="P567" s="117"/>
      <c r="Q567" s="117"/>
      <c r="R567" s="117"/>
      <c r="S567" s="117"/>
      <c r="T567" s="117"/>
      <c r="U567" s="117"/>
      <c r="V567" s="117"/>
      <c r="W567" s="117"/>
      <c r="X567" s="117"/>
      <c r="Y567" s="117"/>
      <c r="Z567" s="117"/>
      <c r="AA567" s="117"/>
    </row>
    <row r="568" spans="1:27" ht="14.4">
      <c r="A568" s="117"/>
      <c r="B568" s="117"/>
      <c r="C568" s="117"/>
      <c r="D568" s="117"/>
      <c r="E568" s="117"/>
      <c r="F568" s="117"/>
      <c r="G568" s="117"/>
      <c r="H568" s="117"/>
      <c r="I568" s="235"/>
      <c r="J568" s="235"/>
      <c r="K568" s="235"/>
      <c r="L568" s="117"/>
      <c r="M568" s="117"/>
      <c r="N568" s="117"/>
      <c r="O568" s="117"/>
      <c r="P568" s="117"/>
      <c r="Q568" s="117"/>
      <c r="R568" s="117"/>
      <c r="S568" s="117"/>
      <c r="T568" s="117"/>
      <c r="U568" s="117"/>
      <c r="V568" s="117"/>
      <c r="W568" s="117"/>
      <c r="X568" s="117"/>
      <c r="Y568" s="117"/>
      <c r="Z568" s="117"/>
      <c r="AA568" s="117"/>
    </row>
    <row r="569" spans="1:27" ht="14.4">
      <c r="A569" s="117"/>
      <c r="B569" s="117"/>
      <c r="C569" s="117"/>
      <c r="D569" s="117"/>
      <c r="E569" s="117"/>
      <c r="F569" s="117"/>
      <c r="G569" s="117"/>
      <c r="H569" s="117"/>
      <c r="I569" s="235"/>
      <c r="J569" s="235"/>
      <c r="K569" s="235"/>
      <c r="L569" s="117"/>
      <c r="M569" s="117"/>
      <c r="N569" s="117"/>
      <c r="O569" s="117"/>
      <c r="P569" s="117"/>
      <c r="Q569" s="117"/>
      <c r="R569" s="117"/>
      <c r="S569" s="117"/>
      <c r="T569" s="117"/>
      <c r="U569" s="117"/>
      <c r="V569" s="117"/>
      <c r="W569" s="117"/>
      <c r="X569" s="117"/>
      <c r="Y569" s="117"/>
      <c r="Z569" s="117"/>
      <c r="AA569" s="117"/>
    </row>
    <row r="570" spans="1:27" ht="14.4">
      <c r="A570" s="117"/>
      <c r="B570" s="117"/>
      <c r="C570" s="117"/>
      <c r="D570" s="117"/>
      <c r="E570" s="117"/>
      <c r="F570" s="117"/>
      <c r="G570" s="117"/>
      <c r="H570" s="117"/>
      <c r="I570" s="235"/>
      <c r="J570" s="235"/>
      <c r="K570" s="235"/>
      <c r="L570" s="117"/>
      <c r="M570" s="117"/>
      <c r="N570" s="117"/>
      <c r="O570" s="117"/>
      <c r="P570" s="117"/>
      <c r="Q570" s="117"/>
      <c r="R570" s="117"/>
      <c r="S570" s="117"/>
      <c r="T570" s="117"/>
      <c r="U570" s="117"/>
      <c r="V570" s="117"/>
      <c r="W570" s="117"/>
      <c r="X570" s="117"/>
      <c r="Y570" s="117"/>
      <c r="Z570" s="117"/>
      <c r="AA570" s="117"/>
    </row>
    <row r="571" spans="1:27" ht="14.4">
      <c r="A571" s="117"/>
      <c r="B571" s="117"/>
      <c r="C571" s="117"/>
      <c r="D571" s="117"/>
      <c r="E571" s="117"/>
      <c r="F571" s="117"/>
      <c r="G571" s="117"/>
      <c r="H571" s="117"/>
      <c r="I571" s="235"/>
      <c r="J571" s="235"/>
      <c r="K571" s="235"/>
      <c r="L571" s="117"/>
      <c r="M571" s="117"/>
      <c r="N571" s="117"/>
      <c r="O571" s="117"/>
      <c r="P571" s="117"/>
      <c r="Q571" s="117"/>
      <c r="R571" s="117"/>
      <c r="S571" s="117"/>
      <c r="T571" s="117"/>
      <c r="U571" s="117"/>
      <c r="V571" s="117"/>
      <c r="W571" s="117"/>
      <c r="X571" s="117"/>
      <c r="Y571" s="117"/>
      <c r="Z571" s="117"/>
      <c r="AA571" s="117"/>
    </row>
    <row r="572" spans="1:27" ht="14.4">
      <c r="A572" s="117"/>
      <c r="B572" s="117"/>
      <c r="C572" s="117"/>
      <c r="D572" s="117"/>
      <c r="E572" s="117"/>
      <c r="F572" s="117"/>
      <c r="G572" s="117"/>
      <c r="H572" s="117"/>
      <c r="I572" s="235"/>
      <c r="J572" s="235"/>
      <c r="K572" s="235"/>
      <c r="L572" s="117"/>
      <c r="M572" s="117"/>
      <c r="N572" s="117"/>
      <c r="O572" s="117"/>
      <c r="P572" s="117"/>
      <c r="Q572" s="117"/>
      <c r="R572" s="117"/>
      <c r="S572" s="117"/>
      <c r="T572" s="117"/>
      <c r="U572" s="117"/>
      <c r="V572" s="117"/>
      <c r="W572" s="117"/>
      <c r="X572" s="117"/>
      <c r="Y572" s="117"/>
      <c r="Z572" s="117"/>
      <c r="AA572" s="117"/>
    </row>
    <row r="573" spans="1:27" ht="14.4">
      <c r="A573" s="117"/>
      <c r="B573" s="117"/>
      <c r="C573" s="117"/>
      <c r="D573" s="117"/>
      <c r="E573" s="117"/>
      <c r="F573" s="117"/>
      <c r="G573" s="117"/>
      <c r="H573" s="117"/>
      <c r="I573" s="235"/>
      <c r="J573" s="235"/>
      <c r="K573" s="235"/>
      <c r="L573" s="117"/>
      <c r="M573" s="117"/>
      <c r="N573" s="117"/>
      <c r="O573" s="117"/>
      <c r="P573" s="117"/>
      <c r="Q573" s="117"/>
      <c r="R573" s="117"/>
      <c r="S573" s="117"/>
      <c r="T573" s="117"/>
      <c r="U573" s="117"/>
      <c r="V573" s="117"/>
      <c r="W573" s="117"/>
      <c r="X573" s="117"/>
      <c r="Y573" s="117"/>
      <c r="Z573" s="117"/>
      <c r="AA573" s="117"/>
    </row>
    <row r="574" spans="1:27" ht="14.4">
      <c r="A574" s="117"/>
      <c r="B574" s="117"/>
      <c r="C574" s="117"/>
      <c r="D574" s="117"/>
      <c r="E574" s="117"/>
      <c r="F574" s="117"/>
      <c r="G574" s="117"/>
      <c r="H574" s="117"/>
      <c r="I574" s="235"/>
      <c r="J574" s="235"/>
      <c r="K574" s="235"/>
      <c r="L574" s="117"/>
      <c r="M574" s="117"/>
      <c r="N574" s="117"/>
      <c r="O574" s="117"/>
      <c r="P574" s="117"/>
      <c r="Q574" s="117"/>
      <c r="R574" s="117"/>
      <c r="S574" s="117"/>
      <c r="T574" s="117"/>
      <c r="U574" s="117"/>
      <c r="V574" s="117"/>
      <c r="W574" s="117"/>
      <c r="X574" s="117"/>
      <c r="Y574" s="117"/>
      <c r="Z574" s="117"/>
      <c r="AA574" s="117"/>
    </row>
    <row r="575" spans="1:27" ht="14.4">
      <c r="A575" s="117"/>
      <c r="B575" s="117"/>
      <c r="C575" s="117"/>
      <c r="D575" s="117"/>
      <c r="E575" s="117"/>
      <c r="F575" s="117"/>
      <c r="G575" s="117"/>
      <c r="H575" s="117"/>
      <c r="I575" s="235"/>
      <c r="J575" s="235"/>
      <c r="K575" s="235"/>
      <c r="L575" s="117"/>
      <c r="M575" s="117"/>
      <c r="N575" s="117"/>
      <c r="O575" s="117"/>
      <c r="P575" s="117"/>
      <c r="Q575" s="117"/>
      <c r="R575" s="117"/>
      <c r="S575" s="117"/>
      <c r="T575" s="117"/>
      <c r="U575" s="117"/>
      <c r="V575" s="117"/>
      <c r="W575" s="117"/>
      <c r="X575" s="117"/>
      <c r="Y575" s="117"/>
      <c r="Z575" s="117"/>
      <c r="AA575" s="117"/>
    </row>
    <row r="576" spans="1:27" ht="14.4">
      <c r="A576" s="117"/>
      <c r="B576" s="117"/>
      <c r="C576" s="117"/>
      <c r="D576" s="117"/>
      <c r="E576" s="117"/>
      <c r="F576" s="117"/>
      <c r="G576" s="117"/>
      <c r="H576" s="117"/>
      <c r="I576" s="235"/>
      <c r="J576" s="235"/>
      <c r="K576" s="235"/>
      <c r="L576" s="117"/>
      <c r="M576" s="117"/>
      <c r="N576" s="117"/>
      <c r="O576" s="117"/>
      <c r="P576" s="117"/>
      <c r="Q576" s="117"/>
      <c r="R576" s="117"/>
      <c r="S576" s="117"/>
      <c r="T576" s="117"/>
      <c r="U576" s="117"/>
      <c r="V576" s="117"/>
      <c r="W576" s="117"/>
      <c r="X576" s="117"/>
      <c r="Y576" s="117"/>
      <c r="Z576" s="117"/>
      <c r="AA576" s="117"/>
    </row>
    <row r="577" spans="1:27" ht="14.4">
      <c r="A577" s="117"/>
      <c r="B577" s="117"/>
      <c r="C577" s="117"/>
      <c r="D577" s="117"/>
      <c r="E577" s="117"/>
      <c r="F577" s="117"/>
      <c r="G577" s="117"/>
      <c r="H577" s="117"/>
      <c r="I577" s="235"/>
      <c r="J577" s="235"/>
      <c r="K577" s="235"/>
      <c r="L577" s="117"/>
      <c r="M577" s="117"/>
      <c r="N577" s="117"/>
      <c r="O577" s="117"/>
      <c r="P577" s="117"/>
      <c r="Q577" s="117"/>
      <c r="R577" s="117"/>
      <c r="S577" s="117"/>
      <c r="T577" s="117"/>
      <c r="U577" s="117"/>
      <c r="V577" s="117"/>
      <c r="W577" s="117"/>
      <c r="X577" s="117"/>
      <c r="Y577" s="117"/>
      <c r="Z577" s="117"/>
      <c r="AA577" s="117"/>
    </row>
    <row r="578" spans="1:27" ht="14.4">
      <c r="A578" s="117"/>
      <c r="B578" s="117"/>
      <c r="C578" s="117"/>
      <c r="D578" s="117"/>
      <c r="E578" s="117"/>
      <c r="F578" s="117"/>
      <c r="G578" s="117"/>
      <c r="H578" s="117"/>
      <c r="I578" s="235"/>
      <c r="J578" s="235"/>
      <c r="K578" s="235"/>
      <c r="L578" s="117"/>
      <c r="M578" s="117"/>
      <c r="N578" s="117"/>
      <c r="O578" s="117"/>
      <c r="P578" s="117"/>
      <c r="Q578" s="117"/>
      <c r="R578" s="117"/>
      <c r="S578" s="117"/>
      <c r="T578" s="117"/>
      <c r="U578" s="117"/>
      <c r="V578" s="117"/>
      <c r="W578" s="117"/>
      <c r="X578" s="117"/>
      <c r="Y578" s="117"/>
      <c r="Z578" s="117"/>
      <c r="AA578" s="117"/>
    </row>
    <row r="579" spans="1:27" ht="14.4">
      <c r="A579" s="117"/>
      <c r="B579" s="117"/>
      <c r="C579" s="117"/>
      <c r="D579" s="117"/>
      <c r="E579" s="117"/>
      <c r="F579" s="117"/>
      <c r="G579" s="117"/>
      <c r="H579" s="117"/>
      <c r="I579" s="235"/>
      <c r="J579" s="235"/>
      <c r="K579" s="235"/>
      <c r="L579" s="117"/>
      <c r="M579" s="117"/>
      <c r="N579" s="117"/>
      <c r="O579" s="117"/>
      <c r="P579" s="117"/>
      <c r="Q579" s="117"/>
      <c r="R579" s="117"/>
      <c r="S579" s="117"/>
      <c r="T579" s="117"/>
      <c r="U579" s="117"/>
      <c r="V579" s="117"/>
      <c r="W579" s="117"/>
      <c r="X579" s="117"/>
      <c r="Y579" s="117"/>
      <c r="Z579" s="117"/>
      <c r="AA579" s="117"/>
    </row>
    <row r="580" spans="1:27" ht="14.4">
      <c r="A580" s="117"/>
      <c r="B580" s="117"/>
      <c r="C580" s="117"/>
      <c r="D580" s="117"/>
      <c r="E580" s="117"/>
      <c r="F580" s="117"/>
      <c r="G580" s="117"/>
      <c r="H580" s="117"/>
      <c r="I580" s="235"/>
      <c r="J580" s="235"/>
      <c r="K580" s="235"/>
      <c r="L580" s="117"/>
      <c r="M580" s="117"/>
      <c r="N580" s="117"/>
      <c r="O580" s="117"/>
      <c r="P580" s="117"/>
      <c r="Q580" s="117"/>
      <c r="R580" s="117"/>
      <c r="S580" s="117"/>
      <c r="T580" s="117"/>
      <c r="U580" s="117"/>
      <c r="V580" s="117"/>
      <c r="W580" s="117"/>
      <c r="X580" s="117"/>
      <c r="Y580" s="117"/>
      <c r="Z580" s="117"/>
      <c r="AA580" s="117"/>
    </row>
    <row r="581" spans="1:27" ht="14.4">
      <c r="A581" s="117"/>
      <c r="B581" s="117"/>
      <c r="C581" s="117"/>
      <c r="D581" s="117"/>
      <c r="E581" s="117"/>
      <c r="F581" s="117"/>
      <c r="G581" s="117"/>
      <c r="H581" s="117"/>
      <c r="I581" s="235"/>
      <c r="J581" s="235"/>
      <c r="K581" s="235"/>
      <c r="L581" s="117"/>
      <c r="M581" s="117"/>
      <c r="N581" s="117"/>
      <c r="O581" s="117"/>
      <c r="P581" s="117"/>
      <c r="Q581" s="117"/>
      <c r="R581" s="117"/>
      <c r="S581" s="117"/>
      <c r="T581" s="117"/>
      <c r="U581" s="117"/>
      <c r="V581" s="117"/>
      <c r="W581" s="117"/>
      <c r="X581" s="117"/>
      <c r="Y581" s="117"/>
      <c r="Z581" s="117"/>
      <c r="AA581" s="117"/>
    </row>
    <row r="582" spans="1:27" ht="14.4">
      <c r="A582" s="117"/>
      <c r="B582" s="117"/>
      <c r="C582" s="117"/>
      <c r="D582" s="117"/>
      <c r="E582" s="117"/>
      <c r="F582" s="117"/>
      <c r="G582" s="117"/>
      <c r="H582" s="117"/>
      <c r="I582" s="235"/>
      <c r="J582" s="235"/>
      <c r="K582" s="235"/>
      <c r="L582" s="117"/>
      <c r="M582" s="117"/>
      <c r="N582" s="117"/>
      <c r="O582" s="117"/>
      <c r="P582" s="117"/>
      <c r="Q582" s="117"/>
      <c r="R582" s="117"/>
      <c r="S582" s="117"/>
      <c r="T582" s="117"/>
      <c r="U582" s="117"/>
      <c r="V582" s="117"/>
      <c r="W582" s="117"/>
      <c r="X582" s="117"/>
      <c r="Y582" s="117"/>
      <c r="Z582" s="117"/>
      <c r="AA582" s="117"/>
    </row>
    <row r="583" spans="1:27" ht="14.4">
      <c r="A583" s="117"/>
      <c r="B583" s="117"/>
      <c r="C583" s="117"/>
      <c r="D583" s="117"/>
      <c r="E583" s="117"/>
      <c r="F583" s="117"/>
      <c r="G583" s="117"/>
      <c r="H583" s="117"/>
      <c r="I583" s="235"/>
      <c r="J583" s="235"/>
      <c r="K583" s="235"/>
      <c r="L583" s="117"/>
      <c r="M583" s="117"/>
      <c r="N583" s="117"/>
      <c r="O583" s="117"/>
      <c r="P583" s="117"/>
      <c r="Q583" s="117"/>
      <c r="R583" s="117"/>
      <c r="S583" s="117"/>
      <c r="T583" s="117"/>
      <c r="U583" s="117"/>
      <c r="V583" s="117"/>
      <c r="W583" s="117"/>
      <c r="X583" s="117"/>
      <c r="Y583" s="117"/>
      <c r="Z583" s="117"/>
      <c r="AA583" s="117"/>
    </row>
    <row r="584" spans="1:27" ht="14.4">
      <c r="A584" s="117"/>
      <c r="B584" s="117"/>
      <c r="C584" s="117"/>
      <c r="D584" s="117"/>
      <c r="E584" s="117"/>
      <c r="F584" s="117"/>
      <c r="G584" s="117"/>
      <c r="H584" s="117"/>
      <c r="I584" s="235"/>
      <c r="J584" s="235"/>
      <c r="K584" s="235"/>
      <c r="L584" s="117"/>
      <c r="M584" s="117"/>
      <c r="N584" s="117"/>
      <c r="O584" s="117"/>
      <c r="P584" s="117"/>
      <c r="Q584" s="117"/>
      <c r="R584" s="117"/>
      <c r="S584" s="117"/>
      <c r="T584" s="117"/>
      <c r="U584" s="117"/>
      <c r="V584" s="117"/>
      <c r="W584" s="117"/>
      <c r="X584" s="117"/>
      <c r="Y584" s="117"/>
      <c r="Z584" s="117"/>
      <c r="AA584" s="117"/>
    </row>
    <row r="585" spans="1:27" ht="14.4">
      <c r="A585" s="117"/>
      <c r="B585" s="117"/>
      <c r="C585" s="117"/>
      <c r="D585" s="117"/>
      <c r="E585" s="117"/>
      <c r="F585" s="117"/>
      <c r="G585" s="117"/>
      <c r="H585" s="117"/>
      <c r="I585" s="235"/>
      <c r="J585" s="235"/>
      <c r="K585" s="235"/>
      <c r="L585" s="117"/>
      <c r="M585" s="117"/>
      <c r="N585" s="117"/>
      <c r="O585" s="117"/>
      <c r="P585" s="117"/>
      <c r="Q585" s="117"/>
      <c r="R585" s="117"/>
      <c r="S585" s="117"/>
      <c r="T585" s="117"/>
      <c r="U585" s="117"/>
      <c r="V585" s="117"/>
      <c r="W585" s="117"/>
      <c r="X585" s="117"/>
      <c r="Y585" s="117"/>
      <c r="Z585" s="117"/>
      <c r="AA585" s="117"/>
    </row>
    <row r="586" spans="1:27" ht="14.4">
      <c r="A586" s="117"/>
      <c r="B586" s="117"/>
      <c r="C586" s="117"/>
      <c r="D586" s="117"/>
      <c r="E586" s="117"/>
      <c r="F586" s="117"/>
      <c r="G586" s="117"/>
      <c r="H586" s="117"/>
      <c r="I586" s="235"/>
      <c r="J586" s="235"/>
      <c r="K586" s="235"/>
      <c r="L586" s="117"/>
      <c r="M586" s="117"/>
      <c r="N586" s="117"/>
      <c r="O586" s="117"/>
      <c r="P586" s="117"/>
      <c r="Q586" s="117"/>
      <c r="R586" s="117"/>
      <c r="S586" s="117"/>
      <c r="T586" s="117"/>
      <c r="U586" s="117"/>
      <c r="V586" s="117"/>
      <c r="W586" s="117"/>
      <c r="X586" s="117"/>
      <c r="Y586" s="117"/>
      <c r="Z586" s="117"/>
      <c r="AA586" s="117"/>
    </row>
    <row r="587" spans="1:27" ht="14.4">
      <c r="A587" s="117"/>
      <c r="B587" s="117"/>
      <c r="C587" s="117"/>
      <c r="D587" s="117"/>
      <c r="E587" s="117"/>
      <c r="F587" s="117"/>
      <c r="G587" s="117"/>
      <c r="H587" s="117"/>
      <c r="I587" s="235"/>
      <c r="J587" s="235"/>
      <c r="K587" s="235"/>
      <c r="L587" s="117"/>
      <c r="M587" s="117"/>
      <c r="N587" s="117"/>
      <c r="O587" s="117"/>
      <c r="P587" s="117"/>
      <c r="Q587" s="117"/>
      <c r="R587" s="117"/>
      <c r="S587" s="117"/>
      <c r="T587" s="117"/>
      <c r="U587" s="117"/>
      <c r="V587" s="117"/>
      <c r="W587" s="117"/>
      <c r="X587" s="117"/>
      <c r="Y587" s="117"/>
      <c r="Z587" s="117"/>
      <c r="AA587" s="117"/>
    </row>
    <row r="588" spans="1:27" ht="14.4">
      <c r="A588" s="117"/>
      <c r="B588" s="117"/>
      <c r="C588" s="117"/>
      <c r="D588" s="117"/>
      <c r="E588" s="117"/>
      <c r="F588" s="117"/>
      <c r="G588" s="117"/>
      <c r="H588" s="117"/>
      <c r="I588" s="235"/>
      <c r="J588" s="235"/>
      <c r="K588" s="235"/>
      <c r="L588" s="117"/>
      <c r="M588" s="117"/>
      <c r="N588" s="117"/>
      <c r="O588" s="117"/>
      <c r="P588" s="117"/>
      <c r="Q588" s="117"/>
      <c r="R588" s="117"/>
      <c r="S588" s="117"/>
      <c r="T588" s="117"/>
      <c r="U588" s="117"/>
      <c r="V588" s="117"/>
      <c r="W588" s="117"/>
      <c r="X588" s="117"/>
      <c r="Y588" s="117"/>
      <c r="Z588" s="117"/>
      <c r="AA588" s="117"/>
    </row>
    <row r="589" spans="1:27" ht="14.4">
      <c r="A589" s="117"/>
      <c r="B589" s="117"/>
      <c r="C589" s="117"/>
      <c r="D589" s="117"/>
      <c r="E589" s="117"/>
      <c r="F589" s="117"/>
      <c r="G589" s="117"/>
      <c r="H589" s="117"/>
      <c r="I589" s="235"/>
      <c r="J589" s="235"/>
      <c r="K589" s="235"/>
      <c r="L589" s="117"/>
      <c r="M589" s="117"/>
      <c r="N589" s="117"/>
      <c r="O589" s="117"/>
      <c r="P589" s="117"/>
      <c r="Q589" s="117"/>
      <c r="R589" s="117"/>
      <c r="S589" s="117"/>
      <c r="T589" s="117"/>
      <c r="U589" s="117"/>
      <c r="V589" s="117"/>
      <c r="W589" s="117"/>
      <c r="X589" s="117"/>
      <c r="Y589" s="117"/>
      <c r="Z589" s="117"/>
      <c r="AA589" s="117"/>
    </row>
    <row r="590" spans="1:27" ht="14.4">
      <c r="A590" s="117"/>
      <c r="B590" s="117"/>
      <c r="C590" s="117"/>
      <c r="D590" s="117"/>
      <c r="E590" s="117"/>
      <c r="F590" s="117"/>
      <c r="G590" s="117"/>
      <c r="H590" s="117"/>
      <c r="I590" s="235"/>
      <c r="J590" s="235"/>
      <c r="K590" s="235"/>
      <c r="L590" s="117"/>
      <c r="M590" s="117"/>
      <c r="N590" s="117"/>
      <c r="O590" s="117"/>
      <c r="P590" s="117"/>
      <c r="Q590" s="117"/>
      <c r="R590" s="117"/>
      <c r="S590" s="117"/>
      <c r="T590" s="117"/>
      <c r="U590" s="117"/>
      <c r="V590" s="117"/>
      <c r="W590" s="117"/>
      <c r="X590" s="117"/>
      <c r="Y590" s="117"/>
      <c r="Z590" s="117"/>
      <c r="AA590" s="117"/>
    </row>
    <row r="591" spans="1:27" ht="14.4">
      <c r="A591" s="117"/>
      <c r="B591" s="117"/>
      <c r="C591" s="117"/>
      <c r="D591" s="117"/>
      <c r="E591" s="117"/>
      <c r="F591" s="117"/>
      <c r="G591" s="117"/>
      <c r="H591" s="117"/>
      <c r="I591" s="235"/>
      <c r="J591" s="235"/>
      <c r="K591" s="235"/>
      <c r="L591" s="117"/>
      <c r="M591" s="117"/>
      <c r="N591" s="117"/>
      <c r="O591" s="117"/>
      <c r="P591" s="117"/>
      <c r="Q591" s="117"/>
      <c r="R591" s="117"/>
      <c r="S591" s="117"/>
      <c r="T591" s="117"/>
      <c r="U591" s="117"/>
      <c r="V591" s="117"/>
      <c r="W591" s="117"/>
      <c r="X591" s="117"/>
      <c r="Y591" s="117"/>
      <c r="Z591" s="117"/>
      <c r="AA591" s="117"/>
    </row>
    <row r="592" spans="1:27" ht="14.4">
      <c r="A592" s="117"/>
      <c r="B592" s="117"/>
      <c r="C592" s="117"/>
      <c r="D592" s="117"/>
      <c r="E592" s="117"/>
      <c r="F592" s="117"/>
      <c r="G592" s="117"/>
      <c r="H592" s="117"/>
      <c r="I592" s="235"/>
      <c r="J592" s="235"/>
      <c r="K592" s="235"/>
      <c r="L592" s="117"/>
      <c r="M592" s="117"/>
      <c r="N592" s="117"/>
      <c r="O592" s="117"/>
      <c r="P592" s="117"/>
      <c r="Q592" s="117"/>
      <c r="R592" s="117"/>
      <c r="S592" s="117"/>
      <c r="T592" s="117"/>
      <c r="U592" s="117"/>
      <c r="V592" s="117"/>
      <c r="W592" s="117"/>
      <c r="X592" s="117"/>
      <c r="Y592" s="117"/>
      <c r="Z592" s="117"/>
      <c r="AA592" s="117"/>
    </row>
    <row r="593" spans="1:27" ht="14.4">
      <c r="A593" s="117"/>
      <c r="B593" s="117"/>
      <c r="C593" s="117"/>
      <c r="D593" s="117"/>
      <c r="E593" s="117"/>
      <c r="F593" s="117"/>
      <c r="G593" s="117"/>
      <c r="H593" s="117"/>
      <c r="I593" s="235"/>
      <c r="J593" s="235"/>
      <c r="K593" s="235"/>
      <c r="L593" s="117"/>
      <c r="M593" s="117"/>
      <c r="N593" s="117"/>
      <c r="O593" s="117"/>
      <c r="P593" s="117"/>
      <c r="Q593" s="117"/>
      <c r="R593" s="117"/>
      <c r="S593" s="117"/>
      <c r="T593" s="117"/>
      <c r="U593" s="117"/>
      <c r="V593" s="117"/>
      <c r="W593" s="117"/>
      <c r="X593" s="117"/>
      <c r="Y593" s="117"/>
      <c r="Z593" s="117"/>
      <c r="AA593" s="117"/>
    </row>
    <row r="594" spans="1:27" ht="14.4">
      <c r="A594" s="117"/>
      <c r="B594" s="117"/>
      <c r="C594" s="117"/>
      <c r="D594" s="117"/>
      <c r="E594" s="117"/>
      <c r="F594" s="117"/>
      <c r="G594" s="117"/>
      <c r="H594" s="117"/>
      <c r="I594" s="235"/>
      <c r="J594" s="235"/>
      <c r="K594" s="235"/>
      <c r="L594" s="117"/>
      <c r="M594" s="117"/>
      <c r="N594" s="117"/>
      <c r="O594" s="117"/>
      <c r="P594" s="117"/>
      <c r="Q594" s="117"/>
      <c r="R594" s="117"/>
      <c r="S594" s="117"/>
      <c r="T594" s="117"/>
      <c r="U594" s="117"/>
      <c r="V594" s="117"/>
      <c r="W594" s="117"/>
      <c r="X594" s="117"/>
      <c r="Y594" s="117"/>
      <c r="Z594" s="117"/>
      <c r="AA594" s="117"/>
    </row>
    <row r="595" spans="1:27" ht="14.4">
      <c r="A595" s="117"/>
      <c r="B595" s="117"/>
      <c r="C595" s="117"/>
      <c r="D595" s="117"/>
      <c r="E595" s="117"/>
      <c r="F595" s="117"/>
      <c r="G595" s="117"/>
      <c r="H595" s="117"/>
      <c r="I595" s="235"/>
      <c r="J595" s="235"/>
      <c r="K595" s="235"/>
      <c r="L595" s="117"/>
      <c r="M595" s="117"/>
      <c r="N595" s="117"/>
      <c r="O595" s="117"/>
      <c r="P595" s="117"/>
      <c r="Q595" s="117"/>
      <c r="R595" s="117"/>
      <c r="S595" s="117"/>
      <c r="T595" s="117"/>
      <c r="U595" s="117"/>
      <c r="V595" s="117"/>
      <c r="W595" s="117"/>
      <c r="X595" s="117"/>
      <c r="Y595" s="117"/>
      <c r="Z595" s="117"/>
      <c r="AA595" s="117"/>
    </row>
    <row r="596" spans="1:27" ht="14.4">
      <c r="A596" s="117"/>
      <c r="B596" s="117"/>
      <c r="C596" s="117"/>
      <c r="D596" s="117"/>
      <c r="E596" s="117"/>
      <c r="F596" s="117"/>
      <c r="G596" s="117"/>
      <c r="H596" s="117"/>
      <c r="I596" s="235"/>
      <c r="J596" s="235"/>
      <c r="K596" s="235"/>
      <c r="L596" s="117"/>
      <c r="M596" s="117"/>
      <c r="N596" s="117"/>
      <c r="O596" s="117"/>
      <c r="P596" s="117"/>
      <c r="Q596" s="117"/>
      <c r="R596" s="117"/>
      <c r="S596" s="117"/>
      <c r="T596" s="117"/>
      <c r="U596" s="117"/>
      <c r="V596" s="117"/>
      <c r="W596" s="117"/>
      <c r="X596" s="117"/>
      <c r="Y596" s="117"/>
      <c r="Z596" s="117"/>
      <c r="AA596" s="117"/>
    </row>
    <row r="597" spans="1:27" ht="14.4">
      <c r="A597" s="117"/>
      <c r="B597" s="117"/>
      <c r="C597" s="117"/>
      <c r="D597" s="117"/>
      <c r="E597" s="117"/>
      <c r="F597" s="117"/>
      <c r="G597" s="117"/>
      <c r="H597" s="117"/>
      <c r="I597" s="235"/>
      <c r="J597" s="235"/>
      <c r="K597" s="235"/>
      <c r="L597" s="117"/>
      <c r="M597" s="117"/>
      <c r="N597" s="117"/>
      <c r="O597" s="117"/>
      <c r="P597" s="117"/>
      <c r="Q597" s="117"/>
      <c r="R597" s="117"/>
      <c r="S597" s="117"/>
      <c r="T597" s="117"/>
      <c r="U597" s="117"/>
      <c r="V597" s="117"/>
      <c r="W597" s="117"/>
      <c r="X597" s="117"/>
      <c r="Y597" s="117"/>
      <c r="Z597" s="117"/>
      <c r="AA597" s="117"/>
    </row>
    <row r="598" spans="1:27" ht="14.4">
      <c r="A598" s="117"/>
      <c r="B598" s="117"/>
      <c r="C598" s="117"/>
      <c r="D598" s="117"/>
      <c r="E598" s="117"/>
      <c r="F598" s="117"/>
      <c r="G598" s="117"/>
      <c r="H598" s="117"/>
      <c r="I598" s="235"/>
      <c r="J598" s="235"/>
      <c r="K598" s="235"/>
      <c r="L598" s="117"/>
      <c r="M598" s="117"/>
      <c r="N598" s="117"/>
      <c r="O598" s="117"/>
      <c r="P598" s="117"/>
      <c r="Q598" s="117"/>
      <c r="R598" s="117"/>
      <c r="S598" s="117"/>
      <c r="T598" s="117"/>
      <c r="U598" s="117"/>
      <c r="V598" s="117"/>
      <c r="W598" s="117"/>
      <c r="X598" s="117"/>
      <c r="Y598" s="117"/>
      <c r="Z598" s="117"/>
      <c r="AA598" s="117"/>
    </row>
    <row r="599" spans="1:27" ht="14.4">
      <c r="A599" s="117"/>
      <c r="B599" s="117"/>
      <c r="C599" s="117"/>
      <c r="D599" s="117"/>
      <c r="E599" s="117"/>
      <c r="F599" s="117"/>
      <c r="G599" s="117"/>
      <c r="H599" s="117"/>
      <c r="I599" s="235"/>
      <c r="J599" s="235"/>
      <c r="K599" s="235"/>
      <c r="L599" s="117"/>
      <c r="M599" s="117"/>
      <c r="N599" s="117"/>
      <c r="O599" s="117"/>
      <c r="P599" s="117"/>
      <c r="Q599" s="117"/>
      <c r="R599" s="117"/>
      <c r="S599" s="117"/>
      <c r="T599" s="117"/>
      <c r="U599" s="117"/>
      <c r="V599" s="117"/>
      <c r="W599" s="117"/>
      <c r="X599" s="117"/>
      <c r="Y599" s="117"/>
      <c r="Z599" s="117"/>
      <c r="AA599" s="117"/>
    </row>
    <row r="600" spans="1:27" ht="14.4">
      <c r="A600" s="117"/>
      <c r="B600" s="117"/>
      <c r="C600" s="117"/>
      <c r="D600" s="117"/>
      <c r="E600" s="117"/>
      <c r="F600" s="117"/>
      <c r="G600" s="117"/>
      <c r="H600" s="117"/>
      <c r="I600" s="235"/>
      <c r="J600" s="235"/>
      <c r="K600" s="235"/>
      <c r="L600" s="117"/>
      <c r="M600" s="117"/>
      <c r="N600" s="117"/>
      <c r="O600" s="117"/>
      <c r="P600" s="117"/>
      <c r="Q600" s="117"/>
      <c r="R600" s="117"/>
      <c r="S600" s="117"/>
      <c r="T600" s="117"/>
      <c r="U600" s="117"/>
      <c r="V600" s="117"/>
      <c r="W600" s="117"/>
      <c r="X600" s="117"/>
      <c r="Y600" s="117"/>
      <c r="Z600" s="117"/>
      <c r="AA600" s="117"/>
    </row>
    <row r="601" spans="1:27" ht="14.4">
      <c r="A601" s="117"/>
      <c r="B601" s="117"/>
      <c r="C601" s="117"/>
      <c r="D601" s="117"/>
      <c r="E601" s="117"/>
      <c r="F601" s="117"/>
      <c r="G601" s="117"/>
      <c r="H601" s="117"/>
      <c r="I601" s="235"/>
      <c r="J601" s="235"/>
      <c r="K601" s="235"/>
      <c r="L601" s="117"/>
      <c r="M601" s="117"/>
      <c r="N601" s="117"/>
      <c r="O601" s="117"/>
      <c r="P601" s="117"/>
      <c r="Q601" s="117"/>
      <c r="R601" s="117"/>
      <c r="S601" s="117"/>
      <c r="T601" s="117"/>
      <c r="U601" s="117"/>
      <c r="V601" s="117"/>
      <c r="W601" s="117"/>
      <c r="X601" s="117"/>
      <c r="Y601" s="117"/>
      <c r="Z601" s="117"/>
      <c r="AA601" s="117"/>
    </row>
    <row r="602" spans="1:27" ht="14.4">
      <c r="A602" s="117"/>
      <c r="B602" s="117"/>
      <c r="C602" s="117"/>
      <c r="D602" s="117"/>
      <c r="E602" s="117"/>
      <c r="F602" s="117"/>
      <c r="G602" s="117"/>
      <c r="H602" s="117"/>
      <c r="I602" s="235"/>
      <c r="J602" s="235"/>
      <c r="K602" s="235"/>
      <c r="L602" s="117"/>
      <c r="M602" s="117"/>
      <c r="N602" s="117"/>
      <c r="O602" s="117"/>
      <c r="P602" s="117"/>
      <c r="Q602" s="117"/>
      <c r="R602" s="117"/>
      <c r="S602" s="117"/>
      <c r="T602" s="117"/>
      <c r="U602" s="117"/>
      <c r="V602" s="117"/>
      <c r="W602" s="117"/>
      <c r="X602" s="117"/>
      <c r="Y602" s="117"/>
      <c r="Z602" s="117"/>
      <c r="AA602" s="117"/>
    </row>
    <row r="603" spans="1:27" ht="14.4">
      <c r="A603" s="117"/>
      <c r="B603" s="117"/>
      <c r="C603" s="117"/>
      <c r="D603" s="117"/>
      <c r="E603" s="117"/>
      <c r="F603" s="117"/>
      <c r="G603" s="117"/>
      <c r="H603" s="117"/>
      <c r="I603" s="235"/>
      <c r="J603" s="235"/>
      <c r="K603" s="235"/>
      <c r="L603" s="117"/>
      <c r="M603" s="117"/>
      <c r="N603" s="117"/>
      <c r="O603" s="117"/>
      <c r="P603" s="117"/>
      <c r="Q603" s="117"/>
      <c r="R603" s="117"/>
      <c r="S603" s="117"/>
      <c r="T603" s="117"/>
      <c r="U603" s="117"/>
      <c r="V603" s="117"/>
      <c r="W603" s="117"/>
      <c r="X603" s="117"/>
      <c r="Y603" s="117"/>
      <c r="Z603" s="117"/>
      <c r="AA603" s="117"/>
    </row>
    <row r="604" spans="1:27" ht="14.4">
      <c r="A604" s="117"/>
      <c r="B604" s="117"/>
      <c r="C604" s="117"/>
      <c r="D604" s="117"/>
      <c r="E604" s="117"/>
      <c r="F604" s="117"/>
      <c r="G604" s="117"/>
      <c r="H604" s="117"/>
      <c r="I604" s="235"/>
      <c r="J604" s="235"/>
      <c r="K604" s="235"/>
      <c r="L604" s="117"/>
      <c r="M604" s="117"/>
      <c r="N604" s="117"/>
      <c r="O604" s="117"/>
      <c r="P604" s="117"/>
      <c r="Q604" s="117"/>
      <c r="R604" s="117"/>
      <c r="S604" s="117"/>
      <c r="T604" s="117"/>
      <c r="U604" s="117"/>
      <c r="V604" s="117"/>
      <c r="W604" s="117"/>
      <c r="X604" s="117"/>
      <c r="Y604" s="117"/>
      <c r="Z604" s="117"/>
      <c r="AA604" s="117"/>
    </row>
    <row r="605" spans="1:27" ht="14.4">
      <c r="A605" s="117"/>
      <c r="B605" s="117"/>
      <c r="C605" s="117"/>
      <c r="D605" s="117"/>
      <c r="E605" s="117"/>
      <c r="F605" s="117"/>
      <c r="G605" s="117"/>
      <c r="H605" s="117"/>
      <c r="I605" s="235"/>
      <c r="J605" s="235"/>
      <c r="K605" s="235"/>
      <c r="L605" s="117"/>
      <c r="M605" s="117"/>
      <c r="N605" s="117"/>
      <c r="O605" s="117"/>
      <c r="P605" s="117"/>
      <c r="Q605" s="117"/>
      <c r="R605" s="117"/>
      <c r="S605" s="117"/>
      <c r="T605" s="117"/>
      <c r="U605" s="117"/>
      <c r="V605" s="117"/>
      <c r="W605" s="117"/>
      <c r="X605" s="117"/>
      <c r="Y605" s="117"/>
      <c r="Z605" s="117"/>
      <c r="AA605" s="117"/>
    </row>
    <row r="606" spans="1:27" ht="14.4">
      <c r="A606" s="117"/>
      <c r="B606" s="117"/>
      <c r="C606" s="117"/>
      <c r="D606" s="117"/>
      <c r="E606" s="117"/>
      <c r="F606" s="117"/>
      <c r="G606" s="117"/>
      <c r="H606" s="117"/>
      <c r="I606" s="235"/>
      <c r="J606" s="235"/>
      <c r="K606" s="235"/>
      <c r="L606" s="117"/>
      <c r="M606" s="117"/>
      <c r="N606" s="117"/>
      <c r="O606" s="117"/>
      <c r="P606" s="117"/>
      <c r="Q606" s="117"/>
      <c r="R606" s="117"/>
      <c r="S606" s="117"/>
      <c r="T606" s="117"/>
      <c r="U606" s="117"/>
      <c r="V606" s="117"/>
      <c r="W606" s="117"/>
      <c r="X606" s="117"/>
      <c r="Y606" s="117"/>
      <c r="Z606" s="117"/>
      <c r="AA606" s="117"/>
    </row>
    <row r="607" spans="1:27" ht="14.4">
      <c r="A607" s="117"/>
      <c r="B607" s="117"/>
      <c r="C607" s="117"/>
      <c r="D607" s="117"/>
      <c r="E607" s="117"/>
      <c r="F607" s="117"/>
      <c r="G607" s="117"/>
      <c r="H607" s="117"/>
      <c r="I607" s="235"/>
      <c r="J607" s="235"/>
      <c r="K607" s="235"/>
      <c r="L607" s="117"/>
      <c r="M607" s="117"/>
      <c r="N607" s="117"/>
      <c r="O607" s="117"/>
      <c r="P607" s="117"/>
      <c r="Q607" s="117"/>
      <c r="R607" s="117"/>
      <c r="S607" s="117"/>
      <c r="T607" s="117"/>
      <c r="U607" s="117"/>
      <c r="V607" s="117"/>
      <c r="W607" s="117"/>
      <c r="X607" s="117"/>
      <c r="Y607" s="117"/>
      <c r="Z607" s="117"/>
      <c r="AA607" s="117"/>
    </row>
    <row r="608" spans="1:27" ht="14.4">
      <c r="A608" s="117"/>
      <c r="B608" s="117"/>
      <c r="C608" s="117"/>
      <c r="D608" s="117"/>
      <c r="E608" s="117"/>
      <c r="F608" s="117"/>
      <c r="G608" s="117"/>
      <c r="H608" s="117"/>
      <c r="I608" s="235"/>
      <c r="J608" s="235"/>
      <c r="K608" s="235"/>
      <c r="L608" s="117"/>
      <c r="M608" s="117"/>
      <c r="N608" s="117"/>
      <c r="O608" s="117"/>
      <c r="P608" s="117"/>
      <c r="Q608" s="117"/>
      <c r="R608" s="117"/>
      <c r="S608" s="117"/>
      <c r="T608" s="117"/>
      <c r="U608" s="117"/>
      <c r="V608" s="117"/>
      <c r="W608" s="117"/>
      <c r="X608" s="117"/>
      <c r="Y608" s="117"/>
      <c r="Z608" s="117"/>
      <c r="AA608" s="117"/>
    </row>
    <row r="609" spans="1:27" ht="14.4">
      <c r="A609" s="117"/>
      <c r="B609" s="117"/>
      <c r="C609" s="117"/>
      <c r="D609" s="117"/>
      <c r="E609" s="117"/>
      <c r="F609" s="117"/>
      <c r="G609" s="117"/>
      <c r="H609" s="117"/>
      <c r="I609" s="235"/>
      <c r="J609" s="235"/>
      <c r="K609" s="235"/>
      <c r="L609" s="117"/>
      <c r="M609" s="117"/>
      <c r="N609" s="117"/>
      <c r="O609" s="117"/>
      <c r="P609" s="117"/>
      <c r="Q609" s="117"/>
      <c r="R609" s="117"/>
      <c r="S609" s="117"/>
      <c r="T609" s="117"/>
      <c r="U609" s="117"/>
      <c r="V609" s="117"/>
      <c r="W609" s="117"/>
      <c r="X609" s="117"/>
      <c r="Y609" s="117"/>
      <c r="Z609" s="117"/>
      <c r="AA609" s="117"/>
    </row>
    <row r="610" spans="1:27" ht="14.4">
      <c r="A610" s="117"/>
      <c r="B610" s="117"/>
      <c r="C610" s="117"/>
      <c r="D610" s="117"/>
      <c r="E610" s="117"/>
      <c r="F610" s="117"/>
      <c r="G610" s="117"/>
      <c r="H610" s="117"/>
      <c r="I610" s="235"/>
      <c r="J610" s="235"/>
      <c r="K610" s="235"/>
      <c r="L610" s="117"/>
      <c r="M610" s="117"/>
      <c r="N610" s="117"/>
      <c r="O610" s="117"/>
      <c r="P610" s="117"/>
      <c r="Q610" s="117"/>
      <c r="R610" s="117"/>
      <c r="S610" s="117"/>
      <c r="T610" s="117"/>
      <c r="U610" s="117"/>
      <c r="V610" s="117"/>
      <c r="W610" s="117"/>
      <c r="X610" s="117"/>
      <c r="Y610" s="117"/>
      <c r="Z610" s="117"/>
      <c r="AA610" s="117"/>
    </row>
    <row r="611" spans="1:27" ht="14.4">
      <c r="A611" s="117"/>
      <c r="B611" s="117"/>
      <c r="C611" s="117"/>
      <c r="D611" s="117"/>
      <c r="E611" s="117"/>
      <c r="F611" s="117"/>
      <c r="G611" s="117"/>
      <c r="H611" s="117"/>
      <c r="I611" s="235"/>
      <c r="J611" s="235"/>
      <c r="K611" s="235"/>
      <c r="L611" s="117"/>
      <c r="M611" s="117"/>
      <c r="N611" s="117"/>
      <c r="O611" s="117"/>
      <c r="P611" s="117"/>
      <c r="Q611" s="117"/>
      <c r="R611" s="117"/>
      <c r="S611" s="117"/>
      <c r="T611" s="117"/>
      <c r="U611" s="117"/>
      <c r="V611" s="117"/>
      <c r="W611" s="117"/>
      <c r="X611" s="117"/>
      <c r="Y611" s="117"/>
      <c r="Z611" s="117"/>
      <c r="AA611" s="117"/>
    </row>
    <row r="612" spans="1:27" ht="14.4">
      <c r="A612" s="117"/>
      <c r="B612" s="117"/>
      <c r="C612" s="117"/>
      <c r="D612" s="117"/>
      <c r="E612" s="117"/>
      <c r="F612" s="117"/>
      <c r="G612" s="117"/>
      <c r="H612" s="117"/>
      <c r="I612" s="235"/>
      <c r="J612" s="235"/>
      <c r="K612" s="235"/>
      <c r="L612" s="117"/>
      <c r="M612" s="117"/>
      <c r="N612" s="117"/>
      <c r="O612" s="117"/>
      <c r="P612" s="117"/>
      <c r="Q612" s="117"/>
      <c r="R612" s="117"/>
      <c r="S612" s="117"/>
      <c r="T612" s="117"/>
      <c r="U612" s="117"/>
      <c r="V612" s="117"/>
      <c r="W612" s="117"/>
      <c r="X612" s="117"/>
      <c r="Y612" s="117"/>
      <c r="Z612" s="117"/>
      <c r="AA612" s="117"/>
    </row>
    <row r="613" spans="1:27" ht="14.4">
      <c r="A613" s="117"/>
      <c r="B613" s="117"/>
      <c r="C613" s="117"/>
      <c r="D613" s="117"/>
      <c r="E613" s="117"/>
      <c r="F613" s="117"/>
      <c r="G613" s="117"/>
      <c r="H613" s="117"/>
      <c r="I613" s="235"/>
      <c r="J613" s="235"/>
      <c r="K613" s="235"/>
      <c r="L613" s="117"/>
      <c r="M613" s="117"/>
      <c r="N613" s="117"/>
      <c r="O613" s="117"/>
      <c r="P613" s="117"/>
      <c r="Q613" s="117"/>
      <c r="R613" s="117"/>
      <c r="S613" s="117"/>
      <c r="T613" s="117"/>
      <c r="U613" s="117"/>
      <c r="V613" s="117"/>
      <c r="W613" s="117"/>
      <c r="X613" s="117"/>
      <c r="Y613" s="117"/>
      <c r="Z613" s="117"/>
      <c r="AA613" s="117"/>
    </row>
    <row r="614" spans="1:27" ht="14.4">
      <c r="A614" s="117"/>
      <c r="B614" s="117"/>
      <c r="C614" s="117"/>
      <c r="D614" s="117"/>
      <c r="E614" s="117"/>
      <c r="F614" s="117"/>
      <c r="G614" s="117"/>
      <c r="H614" s="117"/>
      <c r="I614" s="235"/>
      <c r="J614" s="235"/>
      <c r="K614" s="235"/>
      <c r="L614" s="117"/>
      <c r="M614" s="117"/>
      <c r="N614" s="117"/>
      <c r="O614" s="117"/>
      <c r="P614" s="117"/>
      <c r="Q614" s="117"/>
      <c r="R614" s="117"/>
      <c r="S614" s="117"/>
      <c r="T614" s="117"/>
      <c r="U614" s="117"/>
      <c r="V614" s="117"/>
      <c r="W614" s="117"/>
      <c r="X614" s="117"/>
      <c r="Y614" s="117"/>
      <c r="Z614" s="117"/>
      <c r="AA614" s="117"/>
    </row>
    <row r="615" spans="1:27" ht="14.4">
      <c r="A615" s="117"/>
      <c r="B615" s="117"/>
      <c r="C615" s="117"/>
      <c r="D615" s="117"/>
      <c r="E615" s="117"/>
      <c r="F615" s="117"/>
      <c r="G615" s="117"/>
      <c r="H615" s="117"/>
      <c r="I615" s="235"/>
      <c r="J615" s="235"/>
      <c r="K615" s="235"/>
      <c r="L615" s="117"/>
      <c r="M615" s="117"/>
      <c r="N615" s="117"/>
      <c r="O615" s="117"/>
      <c r="P615" s="117"/>
      <c r="Q615" s="117"/>
      <c r="R615" s="117"/>
      <c r="S615" s="117"/>
      <c r="T615" s="117"/>
      <c r="U615" s="117"/>
      <c r="V615" s="117"/>
      <c r="W615" s="117"/>
      <c r="X615" s="117"/>
      <c r="Y615" s="117"/>
      <c r="Z615" s="117"/>
      <c r="AA615" s="117"/>
    </row>
    <row r="616" spans="1:27" ht="14.4">
      <c r="A616" s="117"/>
      <c r="B616" s="117"/>
      <c r="C616" s="117"/>
      <c r="D616" s="117"/>
      <c r="E616" s="117"/>
      <c r="F616" s="117"/>
      <c r="G616" s="117"/>
      <c r="H616" s="117"/>
      <c r="I616" s="235"/>
      <c r="J616" s="235"/>
      <c r="K616" s="235"/>
      <c r="L616" s="117"/>
      <c r="M616" s="117"/>
      <c r="N616" s="117"/>
      <c r="O616" s="117"/>
      <c r="P616" s="117"/>
      <c r="Q616" s="117"/>
      <c r="R616" s="117"/>
      <c r="S616" s="117"/>
      <c r="T616" s="117"/>
      <c r="U616" s="117"/>
      <c r="V616" s="117"/>
      <c r="W616" s="117"/>
      <c r="X616" s="117"/>
      <c r="Y616" s="117"/>
      <c r="Z616" s="117"/>
      <c r="AA616" s="117"/>
    </row>
    <row r="617" spans="1:27" ht="14.4">
      <c r="A617" s="117"/>
      <c r="B617" s="117"/>
      <c r="C617" s="117"/>
      <c r="D617" s="117"/>
      <c r="E617" s="117"/>
      <c r="F617" s="117"/>
      <c r="G617" s="117"/>
      <c r="H617" s="117"/>
      <c r="I617" s="235"/>
      <c r="J617" s="235"/>
      <c r="K617" s="235"/>
      <c r="L617" s="117"/>
      <c r="M617" s="117"/>
      <c r="N617" s="117"/>
      <c r="O617" s="117"/>
      <c r="P617" s="117"/>
      <c r="Q617" s="117"/>
      <c r="R617" s="117"/>
      <c r="S617" s="117"/>
      <c r="T617" s="117"/>
      <c r="U617" s="117"/>
      <c r="V617" s="117"/>
      <c r="W617" s="117"/>
      <c r="X617" s="117"/>
      <c r="Y617" s="117"/>
      <c r="Z617" s="117"/>
      <c r="AA617" s="117"/>
    </row>
    <row r="618" spans="1:27" ht="14.4">
      <c r="A618" s="117"/>
      <c r="B618" s="117"/>
      <c r="C618" s="117"/>
      <c r="D618" s="117"/>
      <c r="E618" s="117"/>
      <c r="F618" s="117"/>
      <c r="G618" s="117"/>
      <c r="H618" s="117"/>
      <c r="I618" s="235"/>
      <c r="J618" s="235"/>
      <c r="K618" s="235"/>
      <c r="L618" s="117"/>
      <c r="M618" s="117"/>
      <c r="N618" s="117"/>
      <c r="O618" s="117"/>
      <c r="P618" s="117"/>
      <c r="Q618" s="117"/>
      <c r="R618" s="117"/>
      <c r="S618" s="117"/>
      <c r="T618" s="117"/>
      <c r="U618" s="117"/>
      <c r="V618" s="117"/>
      <c r="W618" s="117"/>
      <c r="X618" s="117"/>
      <c r="Y618" s="117"/>
      <c r="Z618" s="117"/>
      <c r="AA618" s="117"/>
    </row>
    <row r="619" spans="1:27" ht="14.4">
      <c r="A619" s="117"/>
      <c r="B619" s="117"/>
      <c r="C619" s="117"/>
      <c r="D619" s="117"/>
      <c r="E619" s="117"/>
      <c r="F619" s="117"/>
      <c r="G619" s="117"/>
      <c r="H619" s="117"/>
      <c r="I619" s="235"/>
      <c r="J619" s="235"/>
      <c r="K619" s="235"/>
      <c r="L619" s="117"/>
      <c r="M619" s="117"/>
      <c r="N619" s="117"/>
      <c r="O619" s="117"/>
      <c r="P619" s="117"/>
      <c r="Q619" s="117"/>
      <c r="R619" s="117"/>
      <c r="S619" s="117"/>
      <c r="T619" s="117"/>
      <c r="U619" s="117"/>
      <c r="V619" s="117"/>
      <c r="W619" s="117"/>
      <c r="X619" s="117"/>
      <c r="Y619" s="117"/>
      <c r="Z619" s="117"/>
      <c r="AA619" s="117"/>
    </row>
    <row r="620" spans="1:27" ht="14.4">
      <c r="A620" s="117"/>
      <c r="B620" s="117"/>
      <c r="C620" s="117"/>
      <c r="D620" s="117"/>
      <c r="E620" s="117"/>
      <c r="F620" s="117"/>
      <c r="G620" s="117"/>
      <c r="H620" s="117"/>
      <c r="I620" s="235"/>
      <c r="J620" s="235"/>
      <c r="K620" s="235"/>
      <c r="L620" s="117"/>
      <c r="M620" s="117"/>
      <c r="N620" s="117"/>
      <c r="O620" s="117"/>
      <c r="P620" s="117"/>
      <c r="Q620" s="117"/>
      <c r="R620" s="117"/>
      <c r="S620" s="117"/>
      <c r="T620" s="117"/>
      <c r="U620" s="117"/>
      <c r="V620" s="117"/>
      <c r="W620" s="117"/>
      <c r="X620" s="117"/>
      <c r="Y620" s="117"/>
      <c r="Z620" s="117"/>
      <c r="AA620" s="117"/>
    </row>
    <row r="621" spans="1:27" ht="14.4">
      <c r="A621" s="117"/>
      <c r="B621" s="117"/>
      <c r="C621" s="117"/>
      <c r="D621" s="117"/>
      <c r="E621" s="117"/>
      <c r="F621" s="117"/>
      <c r="G621" s="117"/>
      <c r="H621" s="117"/>
      <c r="I621" s="235"/>
      <c r="J621" s="235"/>
      <c r="K621" s="235"/>
      <c r="L621" s="117"/>
      <c r="M621" s="117"/>
      <c r="N621" s="117"/>
      <c r="O621" s="117"/>
      <c r="P621" s="117"/>
      <c r="Q621" s="117"/>
      <c r="R621" s="117"/>
      <c r="S621" s="117"/>
      <c r="T621" s="117"/>
      <c r="U621" s="117"/>
      <c r="V621" s="117"/>
      <c r="W621" s="117"/>
      <c r="X621" s="117"/>
      <c r="Y621" s="117"/>
      <c r="Z621" s="117"/>
      <c r="AA621" s="117"/>
    </row>
    <row r="622" spans="1:27" ht="14.4">
      <c r="A622" s="117"/>
      <c r="B622" s="117"/>
      <c r="C622" s="117"/>
      <c r="D622" s="117"/>
      <c r="E622" s="117"/>
      <c r="F622" s="117"/>
      <c r="G622" s="117"/>
      <c r="H622" s="117"/>
      <c r="I622" s="235"/>
      <c r="J622" s="235"/>
      <c r="K622" s="235"/>
      <c r="L622" s="117"/>
      <c r="M622" s="117"/>
      <c r="N622" s="117"/>
      <c r="O622" s="117"/>
      <c r="P622" s="117"/>
      <c r="Q622" s="117"/>
      <c r="R622" s="117"/>
      <c r="S622" s="117"/>
      <c r="T622" s="117"/>
      <c r="U622" s="117"/>
      <c r="V622" s="117"/>
      <c r="W622" s="117"/>
      <c r="X622" s="117"/>
      <c r="Y622" s="117"/>
      <c r="Z622" s="117"/>
      <c r="AA622" s="117"/>
    </row>
    <row r="623" spans="1:27" ht="14.4">
      <c r="A623" s="117"/>
      <c r="B623" s="117"/>
      <c r="C623" s="117"/>
      <c r="D623" s="117"/>
      <c r="E623" s="117"/>
      <c r="F623" s="117"/>
      <c r="G623" s="117"/>
      <c r="H623" s="117"/>
      <c r="I623" s="235"/>
      <c r="J623" s="235"/>
      <c r="K623" s="235"/>
      <c r="L623" s="117"/>
      <c r="M623" s="117"/>
      <c r="N623" s="117"/>
      <c r="O623" s="117"/>
      <c r="P623" s="117"/>
      <c r="Q623" s="117"/>
      <c r="R623" s="117"/>
      <c r="S623" s="117"/>
      <c r="T623" s="117"/>
      <c r="U623" s="117"/>
      <c r="V623" s="117"/>
      <c r="W623" s="117"/>
      <c r="X623" s="117"/>
      <c r="Y623" s="117"/>
      <c r="Z623" s="117"/>
      <c r="AA623" s="117"/>
    </row>
    <row r="624" spans="1:27" ht="14.4">
      <c r="A624" s="117"/>
      <c r="B624" s="117"/>
      <c r="C624" s="117"/>
      <c r="D624" s="117"/>
      <c r="E624" s="117"/>
      <c r="F624" s="117"/>
      <c r="G624" s="117"/>
      <c r="H624" s="117"/>
      <c r="I624" s="235"/>
      <c r="J624" s="235"/>
      <c r="K624" s="235"/>
      <c r="L624" s="117"/>
      <c r="M624" s="117"/>
      <c r="N624" s="117"/>
      <c r="O624" s="117"/>
      <c r="P624" s="117"/>
      <c r="Q624" s="117"/>
      <c r="R624" s="117"/>
      <c r="S624" s="117"/>
      <c r="T624" s="117"/>
      <c r="U624" s="117"/>
      <c r="V624" s="117"/>
      <c r="W624" s="117"/>
      <c r="X624" s="117"/>
      <c r="Y624" s="117"/>
      <c r="Z624" s="117"/>
      <c r="AA624" s="117"/>
    </row>
    <row r="625" spans="1:27" ht="14.4">
      <c r="A625" s="117"/>
      <c r="B625" s="117"/>
      <c r="C625" s="117"/>
      <c r="D625" s="117"/>
      <c r="E625" s="117"/>
      <c r="F625" s="117"/>
      <c r="G625" s="117"/>
      <c r="H625" s="117"/>
      <c r="I625" s="235"/>
      <c r="J625" s="235"/>
      <c r="K625" s="235"/>
      <c r="L625" s="117"/>
      <c r="M625" s="117"/>
      <c r="N625" s="117"/>
      <c r="O625" s="117"/>
      <c r="P625" s="117"/>
      <c r="Q625" s="117"/>
      <c r="R625" s="117"/>
      <c r="S625" s="117"/>
      <c r="T625" s="117"/>
      <c r="U625" s="117"/>
      <c r="V625" s="117"/>
      <c r="W625" s="117"/>
      <c r="X625" s="117"/>
      <c r="Y625" s="117"/>
      <c r="Z625" s="117"/>
      <c r="AA625" s="117"/>
    </row>
    <row r="626" spans="1:27" ht="14.4">
      <c r="A626" s="117"/>
      <c r="B626" s="117"/>
      <c r="C626" s="117"/>
      <c r="D626" s="117"/>
      <c r="E626" s="117"/>
      <c r="F626" s="117"/>
      <c r="G626" s="117"/>
      <c r="H626" s="117"/>
      <c r="I626" s="235"/>
      <c r="J626" s="235"/>
      <c r="K626" s="235"/>
      <c r="L626" s="117"/>
      <c r="M626" s="117"/>
      <c r="N626" s="117"/>
      <c r="O626" s="117"/>
      <c r="P626" s="117"/>
      <c r="Q626" s="117"/>
      <c r="R626" s="117"/>
      <c r="S626" s="117"/>
      <c r="T626" s="117"/>
      <c r="U626" s="117"/>
      <c r="V626" s="117"/>
      <c r="W626" s="117"/>
      <c r="X626" s="117"/>
      <c r="Y626" s="117"/>
      <c r="Z626" s="117"/>
      <c r="AA626" s="117"/>
    </row>
    <row r="627" spans="1:27" ht="14.4">
      <c r="A627" s="117"/>
      <c r="B627" s="117"/>
      <c r="C627" s="117"/>
      <c r="D627" s="117"/>
      <c r="E627" s="117"/>
      <c r="F627" s="117"/>
      <c r="G627" s="117"/>
      <c r="H627" s="117"/>
      <c r="I627" s="235"/>
      <c r="J627" s="235"/>
      <c r="K627" s="235"/>
      <c r="L627" s="117"/>
      <c r="M627" s="117"/>
      <c r="N627" s="117"/>
      <c r="O627" s="117"/>
      <c r="P627" s="117"/>
      <c r="Q627" s="117"/>
      <c r="R627" s="117"/>
      <c r="S627" s="117"/>
      <c r="T627" s="117"/>
      <c r="U627" s="117"/>
      <c r="V627" s="117"/>
      <c r="W627" s="117"/>
      <c r="X627" s="117"/>
      <c r="Y627" s="117"/>
      <c r="Z627" s="117"/>
      <c r="AA627" s="117"/>
    </row>
    <row r="628" spans="1:27" ht="14.4">
      <c r="A628" s="117"/>
      <c r="B628" s="117"/>
      <c r="C628" s="117"/>
      <c r="D628" s="117"/>
      <c r="E628" s="117"/>
      <c r="F628" s="117"/>
      <c r="G628" s="117"/>
      <c r="H628" s="117"/>
      <c r="I628" s="235"/>
      <c r="J628" s="235"/>
      <c r="K628" s="235"/>
      <c r="L628" s="117"/>
      <c r="M628" s="117"/>
      <c r="N628" s="117"/>
      <c r="O628" s="117"/>
      <c r="P628" s="117"/>
      <c r="Q628" s="117"/>
      <c r="R628" s="117"/>
      <c r="S628" s="117"/>
      <c r="T628" s="117"/>
      <c r="U628" s="117"/>
      <c r="V628" s="117"/>
      <c r="W628" s="117"/>
      <c r="X628" s="117"/>
      <c r="Y628" s="117"/>
      <c r="Z628" s="117"/>
      <c r="AA628" s="117"/>
    </row>
    <row r="629" spans="1:27" ht="14.4">
      <c r="A629" s="117"/>
      <c r="B629" s="117"/>
      <c r="C629" s="117"/>
      <c r="D629" s="117"/>
      <c r="E629" s="117"/>
      <c r="F629" s="117"/>
      <c r="G629" s="117"/>
      <c r="H629" s="117"/>
      <c r="I629" s="235"/>
      <c r="J629" s="235"/>
      <c r="K629" s="235"/>
      <c r="L629" s="117"/>
      <c r="M629" s="117"/>
      <c r="N629" s="117"/>
      <c r="O629" s="117"/>
      <c r="P629" s="117"/>
      <c r="Q629" s="117"/>
      <c r="R629" s="117"/>
      <c r="S629" s="117"/>
      <c r="T629" s="117"/>
      <c r="U629" s="117"/>
      <c r="V629" s="117"/>
      <c r="W629" s="117"/>
      <c r="X629" s="117"/>
      <c r="Y629" s="117"/>
      <c r="Z629" s="117"/>
      <c r="AA629" s="117"/>
    </row>
    <row r="630" spans="1:27" ht="14.4">
      <c r="A630" s="117"/>
      <c r="B630" s="117"/>
      <c r="C630" s="117"/>
      <c r="D630" s="117"/>
      <c r="E630" s="117"/>
      <c r="F630" s="117"/>
      <c r="G630" s="117"/>
      <c r="H630" s="117"/>
      <c r="I630" s="235"/>
      <c r="J630" s="235"/>
      <c r="K630" s="235"/>
      <c r="L630" s="117"/>
      <c r="M630" s="117"/>
      <c r="N630" s="117"/>
      <c r="O630" s="117"/>
      <c r="P630" s="117"/>
      <c r="Q630" s="117"/>
      <c r="R630" s="117"/>
      <c r="S630" s="117"/>
      <c r="T630" s="117"/>
      <c r="U630" s="117"/>
      <c r="V630" s="117"/>
      <c r="W630" s="117"/>
      <c r="X630" s="117"/>
      <c r="Y630" s="117"/>
      <c r="Z630" s="117"/>
      <c r="AA630" s="117"/>
    </row>
    <row r="631" spans="1:27" ht="14.4">
      <c r="A631" s="117"/>
      <c r="B631" s="117"/>
      <c r="C631" s="117"/>
      <c r="D631" s="117"/>
      <c r="E631" s="117"/>
      <c r="F631" s="117"/>
      <c r="G631" s="117"/>
      <c r="H631" s="117"/>
      <c r="I631" s="235"/>
      <c r="J631" s="235"/>
      <c r="K631" s="235"/>
      <c r="L631" s="117"/>
      <c r="M631" s="117"/>
      <c r="N631" s="117"/>
      <c r="O631" s="117"/>
      <c r="P631" s="117"/>
      <c r="Q631" s="117"/>
      <c r="R631" s="117"/>
      <c r="S631" s="117"/>
      <c r="T631" s="117"/>
      <c r="U631" s="117"/>
      <c r="V631" s="117"/>
      <c r="W631" s="117"/>
      <c r="X631" s="117"/>
      <c r="Y631" s="117"/>
      <c r="Z631" s="117"/>
      <c r="AA631" s="117"/>
    </row>
    <row r="632" spans="1:27" ht="14.4">
      <c r="A632" s="117"/>
      <c r="B632" s="117"/>
      <c r="C632" s="117"/>
      <c r="D632" s="117"/>
      <c r="E632" s="117"/>
      <c r="F632" s="117"/>
      <c r="G632" s="117"/>
      <c r="H632" s="117"/>
      <c r="I632" s="235"/>
      <c r="J632" s="235"/>
      <c r="K632" s="235"/>
      <c r="L632" s="117"/>
      <c r="M632" s="117"/>
      <c r="N632" s="117"/>
      <c r="O632" s="117"/>
      <c r="P632" s="117"/>
      <c r="Q632" s="117"/>
      <c r="R632" s="117"/>
      <c r="S632" s="117"/>
      <c r="T632" s="117"/>
      <c r="U632" s="117"/>
      <c r="V632" s="117"/>
      <c r="W632" s="117"/>
      <c r="X632" s="117"/>
      <c r="Y632" s="117"/>
      <c r="Z632" s="117"/>
      <c r="AA632" s="117"/>
    </row>
    <row r="633" spans="1:27" ht="14.4">
      <c r="A633" s="117"/>
      <c r="B633" s="117"/>
      <c r="C633" s="117"/>
      <c r="D633" s="117"/>
      <c r="E633" s="117"/>
      <c r="F633" s="117"/>
      <c r="G633" s="117"/>
      <c r="H633" s="117"/>
      <c r="I633" s="235"/>
      <c r="J633" s="235"/>
      <c r="K633" s="235"/>
      <c r="L633" s="117"/>
      <c r="M633" s="117"/>
      <c r="N633" s="117"/>
      <c r="O633" s="117"/>
      <c r="P633" s="117"/>
      <c r="Q633" s="117"/>
      <c r="R633" s="117"/>
      <c r="S633" s="117"/>
      <c r="T633" s="117"/>
      <c r="U633" s="117"/>
      <c r="V633" s="117"/>
      <c r="W633" s="117"/>
      <c r="X633" s="117"/>
      <c r="Y633" s="117"/>
      <c r="Z633" s="117"/>
      <c r="AA633" s="117"/>
    </row>
    <row r="634" spans="1:27" ht="14.4">
      <c r="A634" s="117"/>
      <c r="B634" s="117"/>
      <c r="C634" s="117"/>
      <c r="D634" s="117"/>
      <c r="E634" s="117"/>
      <c r="F634" s="117"/>
      <c r="G634" s="117"/>
      <c r="H634" s="117"/>
      <c r="I634" s="235"/>
      <c r="J634" s="235"/>
      <c r="K634" s="235"/>
      <c r="L634" s="117"/>
      <c r="M634" s="117"/>
      <c r="N634" s="117"/>
      <c r="O634" s="117"/>
      <c r="P634" s="117"/>
      <c r="Q634" s="117"/>
      <c r="R634" s="117"/>
      <c r="S634" s="117"/>
      <c r="T634" s="117"/>
      <c r="U634" s="117"/>
      <c r="V634" s="117"/>
      <c r="W634" s="117"/>
      <c r="X634" s="117"/>
      <c r="Y634" s="117"/>
      <c r="Z634" s="117"/>
      <c r="AA634" s="117"/>
    </row>
    <row r="635" spans="1:27" ht="14.4">
      <c r="A635" s="117"/>
      <c r="B635" s="117"/>
      <c r="C635" s="117"/>
      <c r="D635" s="117"/>
      <c r="E635" s="117"/>
      <c r="F635" s="117"/>
      <c r="G635" s="117"/>
      <c r="H635" s="117"/>
      <c r="I635" s="235"/>
      <c r="J635" s="235"/>
      <c r="K635" s="235"/>
      <c r="L635" s="117"/>
      <c r="M635" s="117"/>
      <c r="N635" s="117"/>
      <c r="O635" s="117"/>
      <c r="P635" s="117"/>
      <c r="Q635" s="117"/>
      <c r="R635" s="117"/>
      <c r="S635" s="117"/>
      <c r="T635" s="117"/>
      <c r="U635" s="117"/>
      <c r="V635" s="117"/>
      <c r="W635" s="117"/>
      <c r="X635" s="117"/>
      <c r="Y635" s="117"/>
      <c r="Z635" s="117"/>
      <c r="AA635" s="117"/>
    </row>
    <row r="636" spans="1:27" ht="14.4">
      <c r="A636" s="117"/>
      <c r="B636" s="117"/>
      <c r="C636" s="117"/>
      <c r="D636" s="117"/>
      <c r="E636" s="117"/>
      <c r="F636" s="117"/>
      <c r="G636" s="117"/>
      <c r="H636" s="117"/>
      <c r="I636" s="235"/>
      <c r="J636" s="235"/>
      <c r="K636" s="235"/>
      <c r="L636" s="117"/>
      <c r="M636" s="117"/>
      <c r="N636" s="117"/>
      <c r="O636" s="117"/>
      <c r="P636" s="117"/>
      <c r="Q636" s="117"/>
      <c r="R636" s="117"/>
      <c r="S636" s="117"/>
      <c r="T636" s="117"/>
      <c r="U636" s="117"/>
      <c r="V636" s="117"/>
      <c r="W636" s="117"/>
      <c r="X636" s="117"/>
      <c r="Y636" s="117"/>
      <c r="Z636" s="117"/>
      <c r="AA636" s="117"/>
    </row>
    <row r="637" spans="1:27" ht="14.4">
      <c r="A637" s="117"/>
      <c r="B637" s="117"/>
      <c r="C637" s="117"/>
      <c r="D637" s="117"/>
      <c r="E637" s="117"/>
      <c r="F637" s="117"/>
      <c r="G637" s="117"/>
      <c r="H637" s="117"/>
      <c r="I637" s="235"/>
      <c r="J637" s="235"/>
      <c r="K637" s="235"/>
      <c r="L637" s="117"/>
      <c r="M637" s="117"/>
      <c r="N637" s="117"/>
      <c r="O637" s="117"/>
      <c r="P637" s="117"/>
      <c r="Q637" s="117"/>
      <c r="R637" s="117"/>
      <c r="S637" s="117"/>
      <c r="T637" s="117"/>
      <c r="U637" s="117"/>
      <c r="V637" s="117"/>
      <c r="W637" s="117"/>
      <c r="X637" s="117"/>
      <c r="Y637" s="117"/>
      <c r="Z637" s="117"/>
      <c r="AA637" s="117"/>
    </row>
    <row r="638" spans="1:27" ht="14.4">
      <c r="A638" s="117"/>
      <c r="B638" s="117"/>
      <c r="C638" s="117"/>
      <c r="D638" s="117"/>
      <c r="E638" s="117"/>
      <c r="F638" s="117"/>
      <c r="G638" s="117"/>
      <c r="H638" s="117"/>
      <c r="I638" s="235"/>
      <c r="J638" s="235"/>
      <c r="K638" s="235"/>
      <c r="L638" s="117"/>
      <c r="M638" s="117"/>
      <c r="N638" s="117"/>
      <c r="O638" s="117"/>
      <c r="P638" s="117"/>
      <c r="Q638" s="117"/>
      <c r="R638" s="117"/>
      <c r="S638" s="117"/>
      <c r="T638" s="117"/>
      <c r="U638" s="117"/>
      <c r="V638" s="117"/>
      <c r="W638" s="117"/>
      <c r="X638" s="117"/>
      <c r="Y638" s="117"/>
      <c r="Z638" s="117"/>
      <c r="AA638" s="117"/>
    </row>
    <row r="639" spans="1:27" ht="14.4">
      <c r="A639" s="117"/>
      <c r="B639" s="117"/>
      <c r="C639" s="117"/>
      <c r="D639" s="117"/>
      <c r="E639" s="117"/>
      <c r="F639" s="117"/>
      <c r="G639" s="117"/>
      <c r="H639" s="117"/>
      <c r="I639" s="235"/>
      <c r="J639" s="235"/>
      <c r="K639" s="235"/>
      <c r="L639" s="117"/>
      <c r="M639" s="117"/>
      <c r="N639" s="117"/>
      <c r="O639" s="117"/>
      <c r="P639" s="117"/>
      <c r="Q639" s="117"/>
      <c r="R639" s="117"/>
      <c r="S639" s="117"/>
      <c r="T639" s="117"/>
      <c r="U639" s="117"/>
      <c r="V639" s="117"/>
      <c r="W639" s="117"/>
      <c r="X639" s="117"/>
      <c r="Y639" s="117"/>
      <c r="Z639" s="117"/>
      <c r="AA639" s="117"/>
    </row>
    <row r="640" spans="1:27" ht="14.4">
      <c r="A640" s="117"/>
      <c r="B640" s="117"/>
      <c r="C640" s="117"/>
      <c r="D640" s="117"/>
      <c r="E640" s="117"/>
      <c r="F640" s="117"/>
      <c r="G640" s="117"/>
      <c r="H640" s="117"/>
      <c r="I640" s="235"/>
      <c r="J640" s="235"/>
      <c r="K640" s="235"/>
      <c r="L640" s="117"/>
      <c r="M640" s="117"/>
      <c r="N640" s="117"/>
      <c r="O640" s="117"/>
      <c r="P640" s="117"/>
      <c r="Q640" s="117"/>
      <c r="R640" s="117"/>
      <c r="S640" s="117"/>
      <c r="T640" s="117"/>
      <c r="U640" s="117"/>
      <c r="V640" s="117"/>
      <c r="W640" s="117"/>
      <c r="X640" s="117"/>
      <c r="Y640" s="117"/>
      <c r="Z640" s="117"/>
      <c r="AA640" s="117"/>
    </row>
    <row r="641" spans="1:27" ht="14.4">
      <c r="A641" s="117"/>
      <c r="B641" s="117"/>
      <c r="C641" s="117"/>
      <c r="D641" s="117"/>
      <c r="E641" s="117"/>
      <c r="F641" s="117"/>
      <c r="G641" s="117"/>
      <c r="H641" s="117"/>
      <c r="I641" s="235"/>
      <c r="J641" s="235"/>
      <c r="K641" s="235"/>
      <c r="L641" s="117"/>
      <c r="M641" s="117"/>
      <c r="N641" s="117"/>
      <c r="O641" s="117"/>
      <c r="P641" s="117"/>
      <c r="Q641" s="117"/>
      <c r="R641" s="117"/>
      <c r="S641" s="117"/>
      <c r="T641" s="117"/>
      <c r="U641" s="117"/>
      <c r="V641" s="117"/>
      <c r="W641" s="117"/>
      <c r="X641" s="117"/>
      <c r="Y641" s="117"/>
      <c r="Z641" s="117"/>
      <c r="AA641" s="117"/>
    </row>
    <row r="642" spans="1:27" ht="14.4">
      <c r="A642" s="117"/>
      <c r="B642" s="117"/>
      <c r="C642" s="117"/>
      <c r="D642" s="117"/>
      <c r="E642" s="117"/>
      <c r="F642" s="117"/>
      <c r="G642" s="117"/>
      <c r="H642" s="117"/>
      <c r="I642" s="235"/>
      <c r="J642" s="235"/>
      <c r="K642" s="235"/>
      <c r="L642" s="117"/>
      <c r="M642" s="117"/>
      <c r="N642" s="117"/>
      <c r="O642" s="117"/>
      <c r="P642" s="117"/>
      <c r="Q642" s="117"/>
      <c r="R642" s="117"/>
      <c r="S642" s="117"/>
      <c r="T642" s="117"/>
      <c r="U642" s="117"/>
      <c r="V642" s="117"/>
      <c r="W642" s="117"/>
      <c r="X642" s="117"/>
      <c r="Y642" s="117"/>
      <c r="Z642" s="117"/>
      <c r="AA642" s="117"/>
    </row>
    <row r="643" spans="1:27" ht="14.4">
      <c r="A643" s="117"/>
      <c r="B643" s="117"/>
      <c r="C643" s="117"/>
      <c r="D643" s="117"/>
      <c r="E643" s="117"/>
      <c r="F643" s="117"/>
      <c r="G643" s="117"/>
      <c r="H643" s="117"/>
      <c r="I643" s="235"/>
      <c r="J643" s="235"/>
      <c r="K643" s="235"/>
      <c r="L643" s="117"/>
      <c r="M643" s="117"/>
      <c r="N643" s="117"/>
      <c r="O643" s="117"/>
      <c r="P643" s="117"/>
      <c r="Q643" s="117"/>
      <c r="R643" s="117"/>
      <c r="S643" s="117"/>
      <c r="T643" s="117"/>
      <c r="U643" s="117"/>
      <c r="V643" s="117"/>
      <c r="W643" s="117"/>
      <c r="X643" s="117"/>
      <c r="Y643" s="117"/>
      <c r="Z643" s="117"/>
      <c r="AA643" s="117"/>
    </row>
    <row r="644" spans="1:27" ht="14.4">
      <c r="A644" s="117"/>
      <c r="B644" s="117"/>
      <c r="C644" s="117"/>
      <c r="D644" s="117"/>
      <c r="E644" s="117"/>
      <c r="F644" s="117"/>
      <c r="G644" s="117"/>
      <c r="H644" s="117"/>
      <c r="I644" s="235"/>
      <c r="J644" s="235"/>
      <c r="K644" s="235"/>
      <c r="L644" s="117"/>
      <c r="M644" s="117"/>
      <c r="N644" s="117"/>
      <c r="O644" s="117"/>
      <c r="P644" s="117"/>
      <c r="Q644" s="117"/>
      <c r="R644" s="117"/>
      <c r="S644" s="117"/>
      <c r="T644" s="117"/>
      <c r="U644" s="117"/>
      <c r="V644" s="117"/>
      <c r="W644" s="117"/>
      <c r="X644" s="117"/>
      <c r="Y644" s="117"/>
      <c r="Z644" s="117"/>
      <c r="AA644" s="117"/>
    </row>
    <row r="645" spans="1:27" ht="14.4">
      <c r="A645" s="117"/>
      <c r="B645" s="117"/>
      <c r="C645" s="117"/>
      <c r="D645" s="117"/>
      <c r="E645" s="117"/>
      <c r="F645" s="117"/>
      <c r="G645" s="117"/>
      <c r="H645" s="117"/>
      <c r="I645" s="235"/>
      <c r="J645" s="235"/>
      <c r="K645" s="235"/>
      <c r="L645" s="117"/>
      <c r="M645" s="117"/>
      <c r="N645" s="117"/>
      <c r="O645" s="117"/>
      <c r="P645" s="117"/>
      <c r="Q645" s="117"/>
      <c r="R645" s="117"/>
      <c r="S645" s="117"/>
      <c r="T645" s="117"/>
      <c r="U645" s="117"/>
      <c r="V645" s="117"/>
      <c r="W645" s="117"/>
      <c r="X645" s="117"/>
      <c r="Y645" s="117"/>
      <c r="Z645" s="117"/>
      <c r="AA645" s="117"/>
    </row>
    <row r="646" spans="1:27" ht="14.4">
      <c r="A646" s="117"/>
      <c r="B646" s="117"/>
      <c r="C646" s="117"/>
      <c r="D646" s="117"/>
      <c r="E646" s="117"/>
      <c r="F646" s="117"/>
      <c r="G646" s="117"/>
      <c r="H646" s="117"/>
      <c r="I646" s="235"/>
      <c r="J646" s="235"/>
      <c r="K646" s="235"/>
      <c r="L646" s="117"/>
      <c r="M646" s="117"/>
      <c r="N646" s="117"/>
      <c r="O646" s="117"/>
      <c r="P646" s="117"/>
      <c r="Q646" s="117"/>
      <c r="R646" s="117"/>
      <c r="S646" s="117"/>
      <c r="T646" s="117"/>
      <c r="U646" s="117"/>
      <c r="V646" s="117"/>
      <c r="W646" s="117"/>
      <c r="X646" s="117"/>
      <c r="Y646" s="117"/>
      <c r="Z646" s="117"/>
      <c r="AA646" s="117"/>
    </row>
    <row r="647" spans="1:27" ht="14.4">
      <c r="A647" s="117"/>
      <c r="B647" s="117"/>
      <c r="C647" s="117"/>
      <c r="D647" s="117"/>
      <c r="E647" s="117"/>
      <c r="F647" s="117"/>
      <c r="G647" s="117"/>
      <c r="H647" s="117"/>
      <c r="I647" s="235"/>
      <c r="J647" s="235"/>
      <c r="K647" s="235"/>
      <c r="L647" s="117"/>
      <c r="M647" s="117"/>
      <c r="N647" s="117"/>
      <c r="O647" s="117"/>
      <c r="P647" s="117"/>
      <c r="Q647" s="117"/>
      <c r="R647" s="117"/>
      <c r="S647" s="117"/>
      <c r="T647" s="117"/>
      <c r="U647" s="117"/>
      <c r="V647" s="117"/>
      <c r="W647" s="117"/>
      <c r="X647" s="117"/>
      <c r="Y647" s="117"/>
      <c r="Z647" s="117"/>
      <c r="AA647" s="117"/>
    </row>
    <row r="648" spans="1:27" ht="14.4">
      <c r="A648" s="117"/>
      <c r="B648" s="117"/>
      <c r="C648" s="117"/>
      <c r="D648" s="117"/>
      <c r="E648" s="117"/>
      <c r="F648" s="117"/>
      <c r="G648" s="117"/>
      <c r="H648" s="117"/>
      <c r="I648" s="235"/>
      <c r="J648" s="235"/>
      <c r="K648" s="235"/>
      <c r="L648" s="117"/>
      <c r="M648" s="117"/>
      <c r="N648" s="117"/>
      <c r="O648" s="117"/>
      <c r="P648" s="117"/>
      <c r="Q648" s="117"/>
      <c r="R648" s="117"/>
      <c r="S648" s="117"/>
      <c r="T648" s="117"/>
      <c r="U648" s="117"/>
      <c r="V648" s="117"/>
      <c r="W648" s="117"/>
      <c r="X648" s="117"/>
      <c r="Y648" s="117"/>
      <c r="Z648" s="117"/>
      <c r="AA648" s="117"/>
    </row>
    <row r="649" spans="1:27" ht="14.4">
      <c r="A649" s="117"/>
      <c r="B649" s="117"/>
      <c r="C649" s="117"/>
      <c r="D649" s="117"/>
      <c r="E649" s="117"/>
      <c r="F649" s="117"/>
      <c r="G649" s="117"/>
      <c r="H649" s="117"/>
      <c r="I649" s="235"/>
      <c r="J649" s="235"/>
      <c r="K649" s="235"/>
      <c r="L649" s="117"/>
      <c r="M649" s="117"/>
      <c r="N649" s="117"/>
      <c r="O649" s="117"/>
      <c r="P649" s="117"/>
      <c r="Q649" s="117"/>
      <c r="R649" s="117"/>
      <c r="S649" s="117"/>
      <c r="T649" s="117"/>
      <c r="U649" s="117"/>
      <c r="V649" s="117"/>
      <c r="W649" s="117"/>
      <c r="X649" s="117"/>
      <c r="Y649" s="117"/>
      <c r="Z649" s="117"/>
      <c r="AA649" s="117"/>
    </row>
    <row r="650" spans="1:27" ht="14.4">
      <c r="A650" s="117"/>
      <c r="B650" s="117"/>
      <c r="C650" s="117"/>
      <c r="D650" s="117"/>
      <c r="E650" s="117"/>
      <c r="F650" s="117"/>
      <c r="G650" s="117"/>
      <c r="H650" s="117"/>
      <c r="I650" s="235"/>
      <c r="J650" s="235"/>
      <c r="K650" s="235"/>
      <c r="L650" s="117"/>
      <c r="M650" s="117"/>
      <c r="N650" s="117"/>
      <c r="O650" s="117"/>
      <c r="P650" s="117"/>
      <c r="Q650" s="117"/>
      <c r="R650" s="117"/>
      <c r="S650" s="117"/>
      <c r="T650" s="117"/>
      <c r="U650" s="117"/>
      <c r="V650" s="117"/>
      <c r="W650" s="117"/>
      <c r="X650" s="117"/>
      <c r="Y650" s="117"/>
      <c r="Z650" s="117"/>
      <c r="AA650" s="117"/>
    </row>
    <row r="651" spans="1:27" ht="14.4">
      <c r="A651" s="117"/>
      <c r="B651" s="117"/>
      <c r="C651" s="117"/>
      <c r="D651" s="117"/>
      <c r="E651" s="117"/>
      <c r="F651" s="117"/>
      <c r="G651" s="117"/>
      <c r="H651" s="117"/>
      <c r="I651" s="235"/>
      <c r="J651" s="235"/>
      <c r="K651" s="235"/>
      <c r="L651" s="117"/>
      <c r="M651" s="117"/>
      <c r="N651" s="117"/>
      <c r="O651" s="117"/>
      <c r="P651" s="117"/>
      <c r="Q651" s="117"/>
      <c r="R651" s="117"/>
      <c r="S651" s="117"/>
      <c r="T651" s="117"/>
      <c r="U651" s="117"/>
      <c r="V651" s="117"/>
      <c r="W651" s="117"/>
      <c r="X651" s="117"/>
      <c r="Y651" s="117"/>
      <c r="Z651" s="117"/>
      <c r="AA651" s="117"/>
    </row>
    <row r="652" spans="1:27" ht="14.4">
      <c r="A652" s="117"/>
      <c r="B652" s="117"/>
      <c r="C652" s="117"/>
      <c r="D652" s="117"/>
      <c r="E652" s="117"/>
      <c r="F652" s="117"/>
      <c r="G652" s="117"/>
      <c r="H652" s="117"/>
      <c r="I652" s="235"/>
      <c r="J652" s="235"/>
      <c r="K652" s="235"/>
      <c r="L652" s="117"/>
      <c r="M652" s="117"/>
      <c r="N652" s="117"/>
      <c r="O652" s="117"/>
      <c r="P652" s="117"/>
      <c r="Q652" s="117"/>
      <c r="R652" s="117"/>
      <c r="S652" s="117"/>
      <c r="T652" s="117"/>
      <c r="U652" s="117"/>
      <c r="V652" s="117"/>
      <c r="W652" s="117"/>
      <c r="X652" s="117"/>
      <c r="Y652" s="117"/>
      <c r="Z652" s="117"/>
      <c r="AA652" s="117"/>
    </row>
    <row r="653" spans="1:27" ht="14.4">
      <c r="A653" s="117"/>
      <c r="B653" s="117"/>
      <c r="C653" s="117"/>
      <c r="D653" s="117"/>
      <c r="E653" s="117"/>
      <c r="F653" s="117"/>
      <c r="G653" s="117"/>
      <c r="H653" s="117"/>
      <c r="I653" s="235"/>
      <c r="J653" s="235"/>
      <c r="K653" s="235"/>
      <c r="L653" s="117"/>
      <c r="M653" s="117"/>
      <c r="N653" s="117"/>
      <c r="O653" s="117"/>
      <c r="P653" s="117"/>
      <c r="Q653" s="117"/>
      <c r="R653" s="117"/>
      <c r="S653" s="117"/>
      <c r="T653" s="117"/>
      <c r="U653" s="117"/>
      <c r="V653" s="117"/>
      <c r="W653" s="117"/>
      <c r="X653" s="117"/>
      <c r="Y653" s="117"/>
      <c r="Z653" s="117"/>
      <c r="AA653" s="117"/>
    </row>
    <row r="654" spans="1:27" ht="14.4">
      <c r="A654" s="117"/>
      <c r="B654" s="117"/>
      <c r="C654" s="117"/>
      <c r="D654" s="117"/>
      <c r="E654" s="117"/>
      <c r="F654" s="117"/>
      <c r="G654" s="117"/>
      <c r="H654" s="117"/>
      <c r="I654" s="235"/>
      <c r="J654" s="235"/>
      <c r="K654" s="235"/>
      <c r="L654" s="117"/>
      <c r="M654" s="117"/>
      <c r="N654" s="117"/>
      <c r="O654" s="117"/>
      <c r="P654" s="117"/>
      <c r="Q654" s="117"/>
      <c r="R654" s="117"/>
      <c r="S654" s="117"/>
      <c r="T654" s="117"/>
      <c r="U654" s="117"/>
      <c r="V654" s="117"/>
      <c r="W654" s="117"/>
      <c r="X654" s="117"/>
      <c r="Y654" s="117"/>
      <c r="Z654" s="117"/>
      <c r="AA654" s="117"/>
    </row>
    <row r="655" spans="1:27" ht="14.4">
      <c r="A655" s="117"/>
      <c r="B655" s="117"/>
      <c r="C655" s="117"/>
      <c r="D655" s="117"/>
      <c r="E655" s="117"/>
      <c r="F655" s="117"/>
      <c r="G655" s="117"/>
      <c r="H655" s="117"/>
      <c r="I655" s="235"/>
      <c r="J655" s="235"/>
      <c r="K655" s="235"/>
      <c r="L655" s="117"/>
      <c r="M655" s="117"/>
      <c r="N655" s="117"/>
      <c r="O655" s="117"/>
      <c r="P655" s="117"/>
      <c r="Q655" s="117"/>
      <c r="R655" s="117"/>
      <c r="S655" s="117"/>
      <c r="T655" s="117"/>
      <c r="U655" s="117"/>
      <c r="V655" s="117"/>
      <c r="W655" s="117"/>
      <c r="X655" s="117"/>
      <c r="Y655" s="117"/>
      <c r="Z655" s="117"/>
      <c r="AA655" s="117"/>
    </row>
    <row r="656" spans="1:27" ht="14.4">
      <c r="A656" s="117"/>
      <c r="B656" s="117"/>
      <c r="C656" s="117"/>
      <c r="D656" s="117"/>
      <c r="E656" s="117"/>
      <c r="F656" s="117"/>
      <c r="G656" s="117"/>
      <c r="H656" s="117"/>
      <c r="I656" s="235"/>
      <c r="J656" s="235"/>
      <c r="K656" s="235"/>
      <c r="L656" s="117"/>
      <c r="M656" s="117"/>
      <c r="N656" s="117"/>
      <c r="O656" s="117"/>
      <c r="P656" s="117"/>
      <c r="Q656" s="117"/>
      <c r="R656" s="117"/>
      <c r="S656" s="117"/>
      <c r="T656" s="117"/>
      <c r="U656" s="117"/>
      <c r="V656" s="117"/>
      <c r="W656" s="117"/>
      <c r="X656" s="117"/>
      <c r="Y656" s="117"/>
      <c r="Z656" s="117"/>
      <c r="AA656" s="117"/>
    </row>
    <row r="657" spans="1:27" ht="14.4">
      <c r="A657" s="117"/>
      <c r="B657" s="117"/>
      <c r="C657" s="117"/>
      <c r="D657" s="117"/>
      <c r="E657" s="117"/>
      <c r="F657" s="117"/>
      <c r="G657" s="117"/>
      <c r="H657" s="117"/>
      <c r="I657" s="235"/>
      <c r="J657" s="235"/>
      <c r="K657" s="235"/>
      <c r="L657" s="117"/>
      <c r="M657" s="117"/>
      <c r="N657" s="117"/>
      <c r="O657" s="117"/>
      <c r="P657" s="117"/>
      <c r="Q657" s="117"/>
      <c r="R657" s="117"/>
      <c r="S657" s="117"/>
      <c r="T657" s="117"/>
      <c r="U657" s="117"/>
      <c r="V657" s="117"/>
      <c r="W657" s="117"/>
      <c r="X657" s="117"/>
      <c r="Y657" s="117"/>
      <c r="Z657" s="117"/>
      <c r="AA657" s="117"/>
    </row>
    <row r="658" spans="1:27" ht="14.4">
      <c r="A658" s="117"/>
      <c r="B658" s="117"/>
      <c r="C658" s="117"/>
      <c r="D658" s="117"/>
      <c r="E658" s="117"/>
      <c r="F658" s="117"/>
      <c r="G658" s="117"/>
      <c r="H658" s="117"/>
      <c r="I658" s="235"/>
      <c r="J658" s="235"/>
      <c r="K658" s="235"/>
      <c r="L658" s="117"/>
      <c r="M658" s="117"/>
      <c r="N658" s="117"/>
      <c r="O658" s="117"/>
      <c r="P658" s="117"/>
      <c r="Q658" s="117"/>
      <c r="R658" s="117"/>
      <c r="S658" s="117"/>
      <c r="T658" s="117"/>
      <c r="U658" s="117"/>
      <c r="V658" s="117"/>
      <c r="W658" s="117"/>
      <c r="X658" s="117"/>
      <c r="Y658" s="117"/>
      <c r="Z658" s="117"/>
      <c r="AA658" s="117"/>
    </row>
    <row r="659" spans="1:27" ht="14.4">
      <c r="A659" s="117"/>
      <c r="B659" s="117"/>
      <c r="C659" s="117"/>
      <c r="D659" s="117"/>
      <c r="E659" s="117"/>
      <c r="F659" s="117"/>
      <c r="G659" s="117"/>
      <c r="H659" s="117"/>
      <c r="I659" s="235"/>
      <c r="J659" s="235"/>
      <c r="K659" s="235"/>
      <c r="L659" s="117"/>
      <c r="M659" s="117"/>
      <c r="N659" s="117"/>
      <c r="O659" s="117"/>
      <c r="P659" s="117"/>
      <c r="Q659" s="117"/>
      <c r="R659" s="117"/>
      <c r="S659" s="117"/>
      <c r="T659" s="117"/>
      <c r="U659" s="117"/>
      <c r="V659" s="117"/>
      <c r="W659" s="117"/>
      <c r="X659" s="117"/>
      <c r="Y659" s="117"/>
      <c r="Z659" s="117"/>
      <c r="AA659" s="117"/>
    </row>
    <row r="660" spans="1:27" ht="14.4">
      <c r="A660" s="117"/>
      <c r="B660" s="117"/>
      <c r="C660" s="117"/>
      <c r="D660" s="117"/>
      <c r="E660" s="117"/>
      <c r="F660" s="117"/>
      <c r="G660" s="117"/>
      <c r="H660" s="117"/>
      <c r="I660" s="235"/>
      <c r="J660" s="235"/>
      <c r="K660" s="235"/>
      <c r="L660" s="117"/>
      <c r="M660" s="117"/>
      <c r="N660" s="117"/>
      <c r="O660" s="117"/>
      <c r="P660" s="117"/>
      <c r="Q660" s="117"/>
      <c r="R660" s="117"/>
      <c r="S660" s="117"/>
      <c r="T660" s="117"/>
      <c r="U660" s="117"/>
      <c r="V660" s="117"/>
      <c r="W660" s="117"/>
      <c r="X660" s="117"/>
      <c r="Y660" s="117"/>
      <c r="Z660" s="117"/>
      <c r="AA660" s="117"/>
    </row>
    <row r="661" spans="1:27" ht="14.4">
      <c r="A661" s="117"/>
      <c r="B661" s="117"/>
      <c r="C661" s="117"/>
      <c r="D661" s="117"/>
      <c r="E661" s="117"/>
      <c r="F661" s="117"/>
      <c r="G661" s="117"/>
      <c r="H661" s="117"/>
      <c r="I661" s="235"/>
      <c r="J661" s="235"/>
      <c r="K661" s="235"/>
      <c r="L661" s="117"/>
      <c r="M661" s="117"/>
      <c r="N661" s="117"/>
      <c r="O661" s="117"/>
      <c r="P661" s="117"/>
      <c r="Q661" s="117"/>
      <c r="R661" s="117"/>
      <c r="S661" s="117"/>
      <c r="T661" s="117"/>
      <c r="U661" s="117"/>
      <c r="V661" s="117"/>
      <c r="W661" s="117"/>
      <c r="X661" s="117"/>
      <c r="Y661" s="117"/>
      <c r="Z661" s="117"/>
      <c r="AA661" s="117"/>
    </row>
    <row r="662" spans="1:27" ht="14.4">
      <c r="A662" s="117"/>
      <c r="B662" s="117"/>
      <c r="C662" s="117"/>
      <c r="D662" s="117"/>
      <c r="E662" s="117"/>
      <c r="F662" s="117"/>
      <c r="G662" s="117"/>
      <c r="H662" s="117"/>
      <c r="I662" s="235"/>
      <c r="J662" s="235"/>
      <c r="K662" s="235"/>
      <c r="L662" s="117"/>
      <c r="M662" s="117"/>
      <c r="N662" s="117"/>
      <c r="O662" s="117"/>
      <c r="P662" s="117"/>
      <c r="Q662" s="117"/>
      <c r="R662" s="117"/>
      <c r="S662" s="117"/>
      <c r="T662" s="117"/>
      <c r="U662" s="117"/>
      <c r="V662" s="117"/>
      <c r="W662" s="117"/>
      <c r="X662" s="117"/>
      <c r="Y662" s="117"/>
      <c r="Z662" s="117"/>
      <c r="AA662" s="117"/>
    </row>
    <row r="663" spans="1:27" ht="14.4">
      <c r="A663" s="117"/>
      <c r="B663" s="117"/>
      <c r="C663" s="117"/>
      <c r="D663" s="117"/>
      <c r="E663" s="117"/>
      <c r="F663" s="117"/>
      <c r="G663" s="117"/>
      <c r="H663" s="117"/>
      <c r="I663" s="235"/>
      <c r="J663" s="235"/>
      <c r="K663" s="235"/>
      <c r="L663" s="117"/>
      <c r="M663" s="117"/>
      <c r="N663" s="117"/>
      <c r="O663" s="117"/>
      <c r="P663" s="117"/>
      <c r="Q663" s="117"/>
      <c r="R663" s="117"/>
      <c r="S663" s="117"/>
      <c r="T663" s="117"/>
      <c r="U663" s="117"/>
      <c r="V663" s="117"/>
      <c r="W663" s="117"/>
      <c r="X663" s="117"/>
      <c r="Y663" s="117"/>
      <c r="Z663" s="117"/>
      <c r="AA663" s="117"/>
    </row>
    <row r="664" spans="1:27" ht="14.4">
      <c r="A664" s="117"/>
      <c r="B664" s="117"/>
      <c r="C664" s="117"/>
      <c r="D664" s="117"/>
      <c r="E664" s="117"/>
      <c r="F664" s="117"/>
      <c r="G664" s="117"/>
      <c r="H664" s="117"/>
      <c r="I664" s="235"/>
      <c r="J664" s="235"/>
      <c r="K664" s="235"/>
      <c r="L664" s="117"/>
      <c r="M664" s="117"/>
      <c r="N664" s="117"/>
      <c r="O664" s="117"/>
      <c r="P664" s="117"/>
      <c r="Q664" s="117"/>
      <c r="R664" s="117"/>
      <c r="S664" s="117"/>
      <c r="T664" s="117"/>
      <c r="U664" s="117"/>
      <c r="V664" s="117"/>
      <c r="W664" s="117"/>
      <c r="X664" s="117"/>
      <c r="Y664" s="117"/>
      <c r="Z664" s="117"/>
      <c r="AA664" s="117"/>
    </row>
    <row r="665" spans="1:27" ht="14.4">
      <c r="A665" s="117"/>
      <c r="B665" s="117"/>
      <c r="C665" s="117"/>
      <c r="D665" s="117"/>
      <c r="E665" s="117"/>
      <c r="F665" s="117"/>
      <c r="G665" s="117"/>
      <c r="H665" s="117"/>
      <c r="I665" s="235"/>
      <c r="J665" s="235"/>
      <c r="K665" s="235"/>
      <c r="L665" s="117"/>
      <c r="M665" s="117"/>
      <c r="N665" s="117"/>
      <c r="O665" s="117"/>
      <c r="P665" s="117"/>
      <c r="Q665" s="117"/>
      <c r="R665" s="117"/>
      <c r="S665" s="117"/>
      <c r="T665" s="117"/>
      <c r="U665" s="117"/>
      <c r="V665" s="117"/>
      <c r="W665" s="117"/>
      <c r="X665" s="117"/>
      <c r="Y665" s="117"/>
      <c r="Z665" s="117"/>
      <c r="AA665" s="117"/>
    </row>
    <row r="666" spans="1:27" ht="14.4">
      <c r="A666" s="117"/>
      <c r="B666" s="117"/>
      <c r="C666" s="117"/>
      <c r="D666" s="117"/>
      <c r="E666" s="117"/>
      <c r="F666" s="117"/>
      <c r="G666" s="117"/>
      <c r="H666" s="117"/>
      <c r="I666" s="235"/>
      <c r="J666" s="235"/>
      <c r="K666" s="235"/>
      <c r="L666" s="117"/>
      <c r="M666" s="117"/>
      <c r="N666" s="117"/>
      <c r="O666" s="117"/>
      <c r="P666" s="117"/>
      <c r="Q666" s="117"/>
      <c r="R666" s="117"/>
      <c r="S666" s="117"/>
      <c r="T666" s="117"/>
      <c r="U666" s="117"/>
      <c r="V666" s="117"/>
      <c r="W666" s="117"/>
      <c r="X666" s="117"/>
      <c r="Y666" s="117"/>
      <c r="Z666" s="117"/>
      <c r="AA666" s="117"/>
    </row>
    <row r="667" spans="1:27" ht="14.4">
      <c r="A667" s="117"/>
      <c r="B667" s="117"/>
      <c r="C667" s="117"/>
      <c r="D667" s="117"/>
      <c r="E667" s="117"/>
      <c r="F667" s="117"/>
      <c r="G667" s="117"/>
      <c r="H667" s="117"/>
      <c r="I667" s="235"/>
      <c r="J667" s="235"/>
      <c r="K667" s="235"/>
      <c r="L667" s="117"/>
      <c r="M667" s="117"/>
      <c r="N667" s="117"/>
      <c r="O667" s="117"/>
      <c r="P667" s="117"/>
      <c r="Q667" s="117"/>
      <c r="R667" s="117"/>
      <c r="S667" s="117"/>
      <c r="T667" s="117"/>
      <c r="U667" s="117"/>
      <c r="V667" s="117"/>
      <c r="W667" s="117"/>
      <c r="X667" s="117"/>
      <c r="Y667" s="117"/>
      <c r="Z667" s="117"/>
      <c r="AA667" s="117"/>
    </row>
    <row r="668" spans="1:27" ht="14.4">
      <c r="A668" s="117"/>
      <c r="B668" s="117"/>
      <c r="C668" s="117"/>
      <c r="D668" s="117"/>
      <c r="E668" s="117"/>
      <c r="F668" s="117"/>
      <c r="G668" s="117"/>
      <c r="H668" s="117"/>
      <c r="I668" s="235"/>
      <c r="J668" s="235"/>
      <c r="K668" s="235"/>
      <c r="L668" s="117"/>
      <c r="M668" s="117"/>
      <c r="N668" s="117"/>
      <c r="O668" s="117"/>
      <c r="P668" s="117"/>
      <c r="Q668" s="117"/>
      <c r="R668" s="117"/>
      <c r="S668" s="117"/>
      <c r="T668" s="117"/>
      <c r="U668" s="117"/>
      <c r="V668" s="117"/>
      <c r="W668" s="117"/>
      <c r="X668" s="117"/>
      <c r="Y668" s="117"/>
      <c r="Z668" s="117"/>
      <c r="AA668" s="117"/>
    </row>
    <row r="669" spans="1:27" ht="14.4">
      <c r="A669" s="117"/>
      <c r="B669" s="117"/>
      <c r="C669" s="117"/>
      <c r="D669" s="117"/>
      <c r="E669" s="117"/>
      <c r="F669" s="117"/>
      <c r="G669" s="117"/>
      <c r="H669" s="117"/>
      <c r="I669" s="235"/>
      <c r="J669" s="235"/>
      <c r="K669" s="235"/>
      <c r="L669" s="117"/>
      <c r="M669" s="117"/>
      <c r="N669" s="117"/>
      <c r="O669" s="117"/>
      <c r="P669" s="117"/>
      <c r="Q669" s="117"/>
      <c r="R669" s="117"/>
      <c r="S669" s="117"/>
      <c r="T669" s="117"/>
      <c r="U669" s="117"/>
      <c r="V669" s="117"/>
      <c r="W669" s="117"/>
      <c r="X669" s="117"/>
      <c r="Y669" s="117"/>
      <c r="Z669" s="117"/>
      <c r="AA669" s="117"/>
    </row>
    <row r="670" spans="1:27" ht="14.4">
      <c r="A670" s="117"/>
      <c r="B670" s="117"/>
      <c r="C670" s="117"/>
      <c r="D670" s="117"/>
      <c r="E670" s="117"/>
      <c r="F670" s="117"/>
      <c r="G670" s="117"/>
      <c r="H670" s="117"/>
      <c r="I670" s="235"/>
      <c r="J670" s="235"/>
      <c r="K670" s="235"/>
      <c r="L670" s="117"/>
      <c r="M670" s="117"/>
      <c r="N670" s="117"/>
      <c r="O670" s="117"/>
      <c r="P670" s="117"/>
      <c r="Q670" s="117"/>
      <c r="R670" s="117"/>
      <c r="S670" s="117"/>
      <c r="T670" s="117"/>
      <c r="U670" s="117"/>
      <c r="V670" s="117"/>
      <c r="W670" s="117"/>
      <c r="X670" s="117"/>
      <c r="Y670" s="117"/>
      <c r="Z670" s="117"/>
      <c r="AA670" s="117"/>
    </row>
    <row r="671" spans="1:27" ht="14.4">
      <c r="A671" s="117"/>
      <c r="B671" s="117"/>
      <c r="C671" s="117"/>
      <c r="D671" s="117"/>
      <c r="E671" s="117"/>
      <c r="F671" s="117"/>
      <c r="G671" s="117"/>
      <c r="H671" s="117"/>
      <c r="I671" s="235"/>
      <c r="J671" s="235"/>
      <c r="K671" s="235"/>
      <c r="L671" s="117"/>
      <c r="M671" s="117"/>
      <c r="N671" s="117"/>
      <c r="O671" s="117"/>
      <c r="P671" s="117"/>
      <c r="Q671" s="117"/>
      <c r="R671" s="117"/>
      <c r="S671" s="117"/>
      <c r="T671" s="117"/>
      <c r="U671" s="117"/>
      <c r="V671" s="117"/>
      <c r="W671" s="117"/>
      <c r="X671" s="117"/>
      <c r="Y671" s="117"/>
      <c r="Z671" s="117"/>
      <c r="AA671" s="117"/>
    </row>
    <row r="672" spans="1:27" ht="14.4">
      <c r="A672" s="117"/>
      <c r="B672" s="117"/>
      <c r="C672" s="117"/>
      <c r="D672" s="117"/>
      <c r="E672" s="117"/>
      <c r="F672" s="117"/>
      <c r="G672" s="117"/>
      <c r="H672" s="117"/>
      <c r="I672" s="235"/>
      <c r="J672" s="235"/>
      <c r="K672" s="235"/>
      <c r="L672" s="117"/>
      <c r="M672" s="117"/>
      <c r="N672" s="117"/>
      <c r="O672" s="117"/>
      <c r="P672" s="117"/>
      <c r="Q672" s="117"/>
      <c r="R672" s="117"/>
      <c r="S672" s="117"/>
      <c r="T672" s="117"/>
      <c r="U672" s="117"/>
      <c r="V672" s="117"/>
      <c r="W672" s="117"/>
      <c r="X672" s="117"/>
      <c r="Y672" s="117"/>
      <c r="Z672" s="117"/>
      <c r="AA672" s="117"/>
    </row>
    <row r="673" spans="1:27" ht="14.4">
      <c r="A673" s="117"/>
      <c r="B673" s="117"/>
      <c r="C673" s="117"/>
      <c r="D673" s="117"/>
      <c r="E673" s="117"/>
      <c r="F673" s="117"/>
      <c r="G673" s="117"/>
      <c r="H673" s="117"/>
      <c r="I673" s="235"/>
      <c r="J673" s="235"/>
      <c r="K673" s="235"/>
      <c r="L673" s="117"/>
      <c r="M673" s="117"/>
      <c r="N673" s="117"/>
      <c r="O673" s="117"/>
      <c r="P673" s="117"/>
      <c r="Q673" s="117"/>
      <c r="R673" s="117"/>
      <c r="S673" s="117"/>
      <c r="T673" s="117"/>
      <c r="U673" s="117"/>
      <c r="V673" s="117"/>
      <c r="W673" s="117"/>
      <c r="X673" s="117"/>
      <c r="Y673" s="117"/>
      <c r="Z673" s="117"/>
      <c r="AA673" s="117"/>
    </row>
    <row r="674" spans="1:27" ht="14.4">
      <c r="A674" s="117"/>
      <c r="B674" s="117"/>
      <c r="C674" s="117"/>
      <c r="D674" s="117"/>
      <c r="E674" s="117"/>
      <c r="F674" s="117"/>
      <c r="G674" s="117"/>
      <c r="H674" s="117"/>
      <c r="I674" s="235"/>
      <c r="J674" s="235"/>
      <c r="K674" s="235"/>
      <c r="L674" s="117"/>
      <c r="M674" s="117"/>
      <c r="N674" s="117"/>
      <c r="O674" s="117"/>
      <c r="P674" s="117"/>
      <c r="Q674" s="117"/>
      <c r="R674" s="117"/>
      <c r="S674" s="117"/>
      <c r="T674" s="117"/>
      <c r="U674" s="117"/>
      <c r="V674" s="117"/>
      <c r="W674" s="117"/>
      <c r="X674" s="117"/>
      <c r="Y674" s="117"/>
      <c r="Z674" s="117"/>
      <c r="AA674" s="117"/>
    </row>
    <row r="675" spans="1:27" ht="14.4">
      <c r="A675" s="117"/>
      <c r="B675" s="117"/>
      <c r="C675" s="117"/>
      <c r="D675" s="117"/>
      <c r="E675" s="117"/>
      <c r="F675" s="117"/>
      <c r="G675" s="117"/>
      <c r="H675" s="117"/>
      <c r="I675" s="235"/>
      <c r="J675" s="235"/>
      <c r="K675" s="235"/>
      <c r="L675" s="117"/>
      <c r="M675" s="117"/>
      <c r="N675" s="117"/>
      <c r="O675" s="117"/>
      <c r="P675" s="117"/>
      <c r="Q675" s="117"/>
      <c r="R675" s="117"/>
      <c r="S675" s="117"/>
      <c r="T675" s="117"/>
      <c r="U675" s="117"/>
      <c r="V675" s="117"/>
      <c r="W675" s="117"/>
      <c r="X675" s="117"/>
      <c r="Y675" s="117"/>
      <c r="Z675" s="117"/>
      <c r="AA675" s="117"/>
    </row>
    <row r="676" spans="1:27" ht="14.4">
      <c r="A676" s="117"/>
      <c r="B676" s="117"/>
      <c r="C676" s="117"/>
      <c r="D676" s="117"/>
      <c r="E676" s="117"/>
      <c r="F676" s="117"/>
      <c r="G676" s="117"/>
      <c r="H676" s="117"/>
      <c r="I676" s="235"/>
      <c r="J676" s="235"/>
      <c r="K676" s="235"/>
      <c r="L676" s="117"/>
      <c r="M676" s="117"/>
      <c r="N676" s="117"/>
      <c r="O676" s="117"/>
      <c r="P676" s="117"/>
      <c r="Q676" s="117"/>
      <c r="R676" s="117"/>
      <c r="S676" s="117"/>
      <c r="T676" s="117"/>
      <c r="U676" s="117"/>
      <c r="V676" s="117"/>
      <c r="W676" s="117"/>
      <c r="X676" s="117"/>
      <c r="Y676" s="117"/>
      <c r="Z676" s="117"/>
      <c r="AA676" s="117"/>
    </row>
    <row r="677" spans="1:27" ht="14.4">
      <c r="A677" s="117"/>
      <c r="B677" s="117"/>
      <c r="C677" s="117"/>
      <c r="D677" s="117"/>
      <c r="E677" s="117"/>
      <c r="F677" s="117"/>
      <c r="G677" s="117"/>
      <c r="H677" s="117"/>
      <c r="I677" s="235"/>
      <c r="J677" s="235"/>
      <c r="K677" s="235"/>
      <c r="L677" s="117"/>
      <c r="M677" s="117"/>
      <c r="N677" s="117"/>
      <c r="O677" s="117"/>
      <c r="P677" s="117"/>
      <c r="Q677" s="117"/>
      <c r="R677" s="117"/>
      <c r="S677" s="117"/>
      <c r="T677" s="117"/>
      <c r="U677" s="117"/>
      <c r="V677" s="117"/>
      <c r="W677" s="117"/>
      <c r="X677" s="117"/>
      <c r="Y677" s="117"/>
      <c r="Z677" s="117"/>
      <c r="AA677" s="117"/>
    </row>
    <row r="678" spans="1:27" ht="14.4">
      <c r="A678" s="117"/>
      <c r="B678" s="117"/>
      <c r="C678" s="117"/>
      <c r="D678" s="117"/>
      <c r="E678" s="117"/>
      <c r="F678" s="117"/>
      <c r="G678" s="117"/>
      <c r="H678" s="117"/>
      <c r="I678" s="235"/>
      <c r="J678" s="235"/>
      <c r="K678" s="235"/>
      <c r="L678" s="117"/>
      <c r="M678" s="117"/>
      <c r="N678" s="117"/>
      <c r="O678" s="117"/>
      <c r="P678" s="117"/>
      <c r="Q678" s="117"/>
      <c r="R678" s="117"/>
      <c r="S678" s="117"/>
      <c r="T678" s="117"/>
      <c r="U678" s="117"/>
      <c r="V678" s="117"/>
      <c r="W678" s="117"/>
      <c r="X678" s="117"/>
      <c r="Y678" s="117"/>
      <c r="Z678" s="117"/>
      <c r="AA678" s="117"/>
    </row>
    <row r="679" spans="1:27" ht="14.4">
      <c r="A679" s="117"/>
      <c r="B679" s="117"/>
      <c r="C679" s="117"/>
      <c r="D679" s="117"/>
      <c r="E679" s="117"/>
      <c r="F679" s="117"/>
      <c r="G679" s="117"/>
      <c r="H679" s="117"/>
      <c r="I679" s="235"/>
      <c r="J679" s="235"/>
      <c r="K679" s="235"/>
      <c r="L679" s="117"/>
      <c r="M679" s="117"/>
      <c r="N679" s="117"/>
      <c r="O679" s="117"/>
      <c r="P679" s="117"/>
      <c r="Q679" s="117"/>
      <c r="R679" s="117"/>
      <c r="S679" s="117"/>
      <c r="T679" s="117"/>
      <c r="U679" s="117"/>
      <c r="V679" s="117"/>
      <c r="W679" s="117"/>
      <c r="X679" s="117"/>
      <c r="Y679" s="117"/>
      <c r="Z679" s="117"/>
      <c r="AA679" s="117"/>
    </row>
    <row r="680" spans="1:27" ht="14.4">
      <c r="A680" s="117"/>
      <c r="B680" s="117"/>
      <c r="C680" s="117"/>
      <c r="D680" s="117"/>
      <c r="E680" s="117"/>
      <c r="F680" s="117"/>
      <c r="G680" s="117"/>
      <c r="H680" s="117"/>
      <c r="I680" s="235"/>
      <c r="J680" s="235"/>
      <c r="K680" s="235"/>
      <c r="L680" s="117"/>
      <c r="M680" s="117"/>
      <c r="N680" s="117"/>
      <c r="O680" s="117"/>
      <c r="P680" s="117"/>
      <c r="Q680" s="117"/>
      <c r="R680" s="117"/>
      <c r="S680" s="117"/>
      <c r="T680" s="117"/>
      <c r="U680" s="117"/>
      <c r="V680" s="117"/>
      <c r="W680" s="117"/>
      <c r="X680" s="117"/>
      <c r="Y680" s="117"/>
      <c r="Z680" s="117"/>
      <c r="AA680" s="117"/>
    </row>
    <row r="681" spans="1:27" ht="14.4">
      <c r="A681" s="117"/>
      <c r="B681" s="117"/>
      <c r="C681" s="117"/>
      <c r="D681" s="117"/>
      <c r="E681" s="117"/>
      <c r="F681" s="117"/>
      <c r="G681" s="117"/>
      <c r="H681" s="117"/>
      <c r="I681" s="235"/>
      <c r="J681" s="235"/>
      <c r="K681" s="235"/>
      <c r="L681" s="117"/>
      <c r="M681" s="117"/>
      <c r="N681" s="117"/>
      <c r="O681" s="117"/>
      <c r="P681" s="117"/>
      <c r="Q681" s="117"/>
      <c r="R681" s="117"/>
      <c r="S681" s="117"/>
      <c r="T681" s="117"/>
      <c r="U681" s="117"/>
      <c r="V681" s="117"/>
      <c r="W681" s="117"/>
      <c r="X681" s="117"/>
      <c r="Y681" s="117"/>
      <c r="Z681" s="117"/>
      <c r="AA681" s="117"/>
    </row>
    <row r="682" spans="1:27" ht="14.4">
      <c r="A682" s="117"/>
      <c r="B682" s="117"/>
      <c r="C682" s="117"/>
      <c r="D682" s="117"/>
      <c r="E682" s="117"/>
      <c r="F682" s="117"/>
      <c r="G682" s="117"/>
      <c r="H682" s="117"/>
      <c r="I682" s="235"/>
      <c r="J682" s="235"/>
      <c r="K682" s="235"/>
      <c r="L682" s="117"/>
      <c r="M682" s="117"/>
      <c r="N682" s="117"/>
      <c r="O682" s="117"/>
      <c r="P682" s="117"/>
      <c r="Q682" s="117"/>
      <c r="R682" s="117"/>
      <c r="S682" s="117"/>
      <c r="T682" s="117"/>
      <c r="U682" s="117"/>
      <c r="V682" s="117"/>
      <c r="W682" s="117"/>
      <c r="X682" s="117"/>
      <c r="Y682" s="117"/>
      <c r="Z682" s="117"/>
      <c r="AA682" s="117"/>
    </row>
    <row r="683" spans="1:27" ht="14.4">
      <c r="A683" s="117"/>
      <c r="B683" s="117"/>
      <c r="C683" s="117"/>
      <c r="D683" s="117"/>
      <c r="E683" s="117"/>
      <c r="F683" s="117"/>
      <c r="G683" s="117"/>
      <c r="H683" s="117"/>
      <c r="I683" s="235"/>
      <c r="J683" s="235"/>
      <c r="K683" s="235"/>
      <c r="L683" s="117"/>
      <c r="M683" s="117"/>
      <c r="N683" s="117"/>
      <c r="O683" s="117"/>
      <c r="P683" s="117"/>
      <c r="Q683" s="117"/>
      <c r="R683" s="117"/>
      <c r="S683" s="117"/>
      <c r="T683" s="117"/>
      <c r="U683" s="117"/>
      <c r="V683" s="117"/>
      <c r="W683" s="117"/>
      <c r="X683" s="117"/>
      <c r="Y683" s="117"/>
      <c r="Z683" s="117"/>
      <c r="AA683" s="117"/>
    </row>
    <row r="684" spans="1:27" ht="14.4">
      <c r="A684" s="117"/>
      <c r="B684" s="117"/>
      <c r="C684" s="117"/>
      <c r="D684" s="117"/>
      <c r="E684" s="117"/>
      <c r="F684" s="117"/>
      <c r="G684" s="117"/>
      <c r="H684" s="117"/>
      <c r="I684" s="235"/>
      <c r="J684" s="235"/>
      <c r="K684" s="235"/>
      <c r="L684" s="117"/>
      <c r="M684" s="117"/>
      <c r="N684" s="117"/>
      <c r="O684" s="117"/>
      <c r="P684" s="117"/>
      <c r="Q684" s="117"/>
      <c r="R684" s="117"/>
      <c r="S684" s="117"/>
      <c r="T684" s="117"/>
      <c r="U684" s="117"/>
      <c r="V684" s="117"/>
      <c r="W684" s="117"/>
      <c r="X684" s="117"/>
      <c r="Y684" s="117"/>
      <c r="Z684" s="117"/>
      <c r="AA684" s="117"/>
    </row>
    <row r="685" spans="1:27" ht="14.4">
      <c r="A685" s="117"/>
      <c r="B685" s="117"/>
      <c r="C685" s="117"/>
      <c r="D685" s="117"/>
      <c r="E685" s="117"/>
      <c r="F685" s="117"/>
      <c r="G685" s="117"/>
      <c r="H685" s="117"/>
      <c r="I685" s="235"/>
      <c r="J685" s="235"/>
      <c r="K685" s="235"/>
      <c r="L685" s="117"/>
      <c r="M685" s="117"/>
      <c r="N685" s="117"/>
      <c r="O685" s="117"/>
      <c r="P685" s="117"/>
      <c r="Q685" s="117"/>
      <c r="R685" s="117"/>
      <c r="S685" s="117"/>
      <c r="T685" s="117"/>
      <c r="U685" s="117"/>
      <c r="V685" s="117"/>
      <c r="W685" s="117"/>
      <c r="X685" s="117"/>
      <c r="Y685" s="117"/>
      <c r="Z685" s="117"/>
      <c r="AA685" s="117"/>
    </row>
    <row r="686" spans="1:27" ht="14.4">
      <c r="A686" s="117"/>
      <c r="B686" s="117"/>
      <c r="C686" s="117"/>
      <c r="D686" s="117"/>
      <c r="E686" s="117"/>
      <c r="F686" s="117"/>
      <c r="G686" s="117"/>
      <c r="H686" s="117"/>
      <c r="I686" s="235"/>
      <c r="J686" s="235"/>
      <c r="K686" s="235"/>
      <c r="L686" s="117"/>
      <c r="M686" s="117"/>
      <c r="N686" s="117"/>
      <c r="O686" s="117"/>
      <c r="P686" s="117"/>
      <c r="Q686" s="117"/>
      <c r="R686" s="117"/>
      <c r="S686" s="117"/>
      <c r="T686" s="117"/>
      <c r="U686" s="117"/>
      <c r="V686" s="117"/>
      <c r="W686" s="117"/>
      <c r="X686" s="117"/>
      <c r="Y686" s="117"/>
      <c r="Z686" s="117"/>
      <c r="AA686" s="117"/>
    </row>
    <row r="687" spans="1:27" ht="14.4">
      <c r="A687" s="117"/>
      <c r="B687" s="117"/>
      <c r="C687" s="117"/>
      <c r="D687" s="117"/>
      <c r="E687" s="117"/>
      <c r="F687" s="117"/>
      <c r="G687" s="117"/>
      <c r="H687" s="117"/>
      <c r="I687" s="235"/>
      <c r="J687" s="235"/>
      <c r="K687" s="235"/>
      <c r="L687" s="117"/>
      <c r="M687" s="117"/>
      <c r="N687" s="117"/>
      <c r="O687" s="117"/>
      <c r="P687" s="117"/>
      <c r="Q687" s="117"/>
      <c r="R687" s="117"/>
      <c r="S687" s="117"/>
      <c r="T687" s="117"/>
      <c r="U687" s="117"/>
      <c r="V687" s="117"/>
      <c r="W687" s="117"/>
      <c r="X687" s="117"/>
      <c r="Y687" s="117"/>
      <c r="Z687" s="117"/>
      <c r="AA687" s="117"/>
    </row>
    <row r="688" spans="1:27" ht="14.4">
      <c r="A688" s="117"/>
      <c r="B688" s="117"/>
      <c r="C688" s="117"/>
      <c r="D688" s="117"/>
      <c r="E688" s="117"/>
      <c r="F688" s="117"/>
      <c r="G688" s="117"/>
      <c r="H688" s="117"/>
      <c r="I688" s="235"/>
      <c r="J688" s="235"/>
      <c r="K688" s="235"/>
      <c r="L688" s="117"/>
      <c r="M688" s="117"/>
      <c r="N688" s="117"/>
      <c r="O688" s="117"/>
      <c r="P688" s="117"/>
      <c r="Q688" s="117"/>
      <c r="R688" s="117"/>
      <c r="S688" s="117"/>
      <c r="T688" s="117"/>
      <c r="U688" s="117"/>
      <c r="V688" s="117"/>
      <c r="W688" s="117"/>
      <c r="X688" s="117"/>
      <c r="Y688" s="117"/>
      <c r="Z688" s="117"/>
      <c r="AA688" s="117"/>
    </row>
    <row r="689" spans="1:27" ht="14.4">
      <c r="A689" s="117"/>
      <c r="B689" s="117"/>
      <c r="C689" s="117"/>
      <c r="D689" s="117"/>
      <c r="E689" s="117"/>
      <c r="F689" s="117"/>
      <c r="G689" s="117"/>
      <c r="H689" s="117"/>
      <c r="I689" s="235"/>
      <c r="J689" s="235"/>
      <c r="K689" s="235"/>
      <c r="L689" s="117"/>
      <c r="M689" s="117"/>
      <c r="N689" s="117"/>
      <c r="O689" s="117"/>
      <c r="P689" s="117"/>
      <c r="Q689" s="117"/>
      <c r="R689" s="117"/>
      <c r="S689" s="117"/>
      <c r="T689" s="117"/>
      <c r="U689" s="117"/>
      <c r="V689" s="117"/>
      <c r="W689" s="117"/>
      <c r="X689" s="117"/>
      <c r="Y689" s="117"/>
      <c r="Z689" s="117"/>
      <c r="AA689" s="117"/>
    </row>
    <row r="690" spans="1:27" ht="14.4">
      <c r="A690" s="117"/>
      <c r="B690" s="117"/>
      <c r="C690" s="117"/>
      <c r="D690" s="117"/>
      <c r="E690" s="117"/>
      <c r="F690" s="117"/>
      <c r="G690" s="117"/>
      <c r="H690" s="117"/>
      <c r="I690" s="235"/>
      <c r="J690" s="235"/>
      <c r="K690" s="235"/>
      <c r="L690" s="117"/>
      <c r="M690" s="117"/>
      <c r="N690" s="117"/>
      <c r="O690" s="117"/>
      <c r="P690" s="117"/>
      <c r="Q690" s="117"/>
      <c r="R690" s="117"/>
      <c r="S690" s="117"/>
      <c r="T690" s="117"/>
      <c r="U690" s="117"/>
      <c r="V690" s="117"/>
      <c r="W690" s="117"/>
      <c r="X690" s="117"/>
      <c r="Y690" s="117"/>
      <c r="Z690" s="117"/>
      <c r="AA690" s="117"/>
    </row>
    <row r="691" spans="1:27" ht="14.4">
      <c r="A691" s="117"/>
      <c r="B691" s="117"/>
      <c r="C691" s="117"/>
      <c r="D691" s="117"/>
      <c r="E691" s="117"/>
      <c r="F691" s="117"/>
      <c r="G691" s="117"/>
      <c r="H691" s="117"/>
      <c r="I691" s="235"/>
      <c r="J691" s="235"/>
      <c r="K691" s="235"/>
      <c r="L691" s="117"/>
      <c r="M691" s="117"/>
      <c r="N691" s="117"/>
      <c r="O691" s="117"/>
      <c r="P691" s="117"/>
      <c r="Q691" s="117"/>
      <c r="R691" s="117"/>
      <c r="S691" s="117"/>
      <c r="T691" s="117"/>
      <c r="U691" s="117"/>
      <c r="V691" s="117"/>
      <c r="W691" s="117"/>
      <c r="X691" s="117"/>
      <c r="Y691" s="117"/>
      <c r="Z691" s="117"/>
      <c r="AA691" s="117"/>
    </row>
    <row r="692" spans="1:27" ht="14.4">
      <c r="A692" s="117"/>
      <c r="B692" s="117"/>
      <c r="C692" s="117"/>
      <c r="D692" s="117"/>
      <c r="E692" s="117"/>
      <c r="F692" s="117"/>
      <c r="G692" s="117"/>
      <c r="H692" s="117"/>
      <c r="I692" s="235"/>
      <c r="J692" s="235"/>
      <c r="K692" s="235"/>
      <c r="L692" s="117"/>
      <c r="M692" s="117"/>
      <c r="N692" s="117"/>
      <c r="O692" s="117"/>
      <c r="P692" s="117"/>
      <c r="Q692" s="117"/>
      <c r="R692" s="117"/>
      <c r="S692" s="117"/>
      <c r="T692" s="117"/>
      <c r="U692" s="117"/>
      <c r="V692" s="117"/>
      <c r="W692" s="117"/>
      <c r="X692" s="117"/>
      <c r="Y692" s="117"/>
      <c r="Z692" s="117"/>
      <c r="AA692" s="117"/>
    </row>
    <row r="693" spans="1:27" ht="14.4">
      <c r="A693" s="117"/>
      <c r="B693" s="117"/>
      <c r="C693" s="117"/>
      <c r="D693" s="117"/>
      <c r="E693" s="117"/>
      <c r="F693" s="117"/>
      <c r="G693" s="117"/>
      <c r="H693" s="117"/>
      <c r="I693" s="235"/>
      <c r="J693" s="235"/>
      <c r="K693" s="235"/>
      <c r="L693" s="117"/>
      <c r="M693" s="117"/>
      <c r="N693" s="117"/>
      <c r="O693" s="117"/>
      <c r="P693" s="117"/>
      <c r="Q693" s="117"/>
      <c r="R693" s="117"/>
      <c r="S693" s="117"/>
      <c r="T693" s="117"/>
      <c r="U693" s="117"/>
      <c r="V693" s="117"/>
      <c r="W693" s="117"/>
      <c r="X693" s="117"/>
      <c r="Y693" s="117"/>
      <c r="Z693" s="117"/>
      <c r="AA693" s="117"/>
    </row>
    <row r="694" spans="1:27" ht="14.4">
      <c r="A694" s="117"/>
      <c r="B694" s="117"/>
      <c r="C694" s="117"/>
      <c r="D694" s="117"/>
      <c r="E694" s="117"/>
      <c r="F694" s="117"/>
      <c r="G694" s="117"/>
      <c r="H694" s="117"/>
      <c r="I694" s="235"/>
      <c r="J694" s="235"/>
      <c r="K694" s="235"/>
      <c r="L694" s="117"/>
      <c r="M694" s="117"/>
      <c r="N694" s="117"/>
      <c r="O694" s="117"/>
      <c r="P694" s="117"/>
      <c r="Q694" s="117"/>
      <c r="R694" s="117"/>
      <c r="S694" s="117"/>
      <c r="T694" s="117"/>
      <c r="U694" s="117"/>
      <c r="V694" s="117"/>
      <c r="W694" s="117"/>
      <c r="X694" s="117"/>
      <c r="Y694" s="117"/>
      <c r="Z694" s="117"/>
      <c r="AA694" s="117"/>
    </row>
    <row r="695" spans="1:27" ht="14.4">
      <c r="A695" s="117"/>
      <c r="B695" s="117"/>
      <c r="C695" s="117"/>
      <c r="D695" s="117"/>
      <c r="E695" s="117"/>
      <c r="F695" s="117"/>
      <c r="G695" s="117"/>
      <c r="H695" s="117"/>
      <c r="I695" s="235"/>
      <c r="J695" s="235"/>
      <c r="K695" s="235"/>
      <c r="L695" s="117"/>
      <c r="M695" s="117"/>
      <c r="N695" s="117"/>
      <c r="O695" s="117"/>
      <c r="P695" s="117"/>
      <c r="Q695" s="117"/>
      <c r="R695" s="117"/>
      <c r="S695" s="117"/>
      <c r="T695" s="117"/>
      <c r="U695" s="117"/>
      <c r="V695" s="117"/>
      <c r="W695" s="117"/>
      <c r="X695" s="117"/>
      <c r="Y695" s="117"/>
      <c r="Z695" s="117"/>
      <c r="AA695" s="117"/>
    </row>
    <row r="696" spans="1:27" ht="14.4">
      <c r="A696" s="117"/>
      <c r="B696" s="117"/>
      <c r="C696" s="117"/>
      <c r="D696" s="117"/>
      <c r="E696" s="117"/>
      <c r="F696" s="117"/>
      <c r="G696" s="117"/>
      <c r="H696" s="117"/>
      <c r="I696" s="235"/>
      <c r="J696" s="235"/>
      <c r="K696" s="235"/>
      <c r="L696" s="117"/>
      <c r="M696" s="117"/>
      <c r="N696" s="117"/>
      <c r="O696" s="117"/>
      <c r="P696" s="117"/>
      <c r="Q696" s="117"/>
      <c r="R696" s="117"/>
      <c r="S696" s="117"/>
      <c r="T696" s="117"/>
      <c r="U696" s="117"/>
      <c r="V696" s="117"/>
      <c r="W696" s="117"/>
      <c r="X696" s="117"/>
      <c r="Y696" s="117"/>
      <c r="Z696" s="117"/>
      <c r="AA696" s="117"/>
    </row>
    <row r="697" spans="1:27" ht="14.4">
      <c r="A697" s="117"/>
      <c r="B697" s="117"/>
      <c r="C697" s="117"/>
      <c r="D697" s="117"/>
      <c r="E697" s="117"/>
      <c r="F697" s="117"/>
      <c r="G697" s="117"/>
      <c r="H697" s="117"/>
      <c r="I697" s="235"/>
      <c r="J697" s="235"/>
      <c r="K697" s="235"/>
      <c r="L697" s="117"/>
      <c r="M697" s="117"/>
      <c r="N697" s="117"/>
      <c r="O697" s="117"/>
      <c r="P697" s="117"/>
      <c r="Q697" s="117"/>
      <c r="R697" s="117"/>
      <c r="S697" s="117"/>
      <c r="T697" s="117"/>
      <c r="U697" s="117"/>
      <c r="V697" s="117"/>
      <c r="W697" s="117"/>
      <c r="X697" s="117"/>
      <c r="Y697" s="117"/>
      <c r="Z697" s="117"/>
      <c r="AA697" s="117"/>
    </row>
    <row r="698" spans="1:27" ht="14.4">
      <c r="A698" s="117"/>
      <c r="B698" s="117"/>
      <c r="C698" s="117"/>
      <c r="D698" s="117"/>
      <c r="E698" s="117"/>
      <c r="F698" s="117"/>
      <c r="G698" s="117"/>
      <c r="H698" s="117"/>
      <c r="I698" s="235"/>
      <c r="J698" s="235"/>
      <c r="K698" s="235"/>
      <c r="L698" s="117"/>
      <c r="M698" s="117"/>
      <c r="N698" s="117"/>
      <c r="O698" s="117"/>
      <c r="P698" s="117"/>
      <c r="Q698" s="117"/>
      <c r="R698" s="117"/>
      <c r="S698" s="117"/>
      <c r="T698" s="117"/>
      <c r="U698" s="117"/>
      <c r="V698" s="117"/>
      <c r="W698" s="117"/>
      <c r="X698" s="117"/>
      <c r="Y698" s="117"/>
      <c r="Z698" s="117"/>
      <c r="AA698" s="117"/>
    </row>
    <row r="699" spans="1:27" ht="14.4">
      <c r="A699" s="117"/>
      <c r="B699" s="117"/>
      <c r="C699" s="117"/>
      <c r="D699" s="117"/>
      <c r="E699" s="117"/>
      <c r="F699" s="117"/>
      <c r="G699" s="117"/>
      <c r="H699" s="117"/>
      <c r="I699" s="235"/>
      <c r="J699" s="235"/>
      <c r="K699" s="235"/>
      <c r="L699" s="117"/>
      <c r="M699" s="117"/>
      <c r="N699" s="117"/>
      <c r="O699" s="117"/>
      <c r="P699" s="117"/>
      <c r="Q699" s="117"/>
      <c r="R699" s="117"/>
      <c r="S699" s="117"/>
      <c r="T699" s="117"/>
      <c r="U699" s="117"/>
      <c r="V699" s="117"/>
      <c r="W699" s="117"/>
      <c r="X699" s="117"/>
      <c r="Y699" s="117"/>
      <c r="Z699" s="117"/>
      <c r="AA699" s="117"/>
    </row>
    <row r="700" spans="1:27" ht="14.4">
      <c r="A700" s="117"/>
      <c r="B700" s="117"/>
      <c r="C700" s="117"/>
      <c r="D700" s="117"/>
      <c r="E700" s="117"/>
      <c r="F700" s="117"/>
      <c r="G700" s="117"/>
      <c r="H700" s="117"/>
      <c r="I700" s="235"/>
      <c r="J700" s="235"/>
      <c r="K700" s="235"/>
      <c r="L700" s="117"/>
      <c r="M700" s="117"/>
      <c r="N700" s="117"/>
      <c r="O700" s="117"/>
      <c r="P700" s="117"/>
      <c r="Q700" s="117"/>
      <c r="R700" s="117"/>
      <c r="S700" s="117"/>
      <c r="T700" s="117"/>
      <c r="U700" s="117"/>
      <c r="V700" s="117"/>
      <c r="W700" s="117"/>
      <c r="X700" s="117"/>
      <c r="Y700" s="117"/>
      <c r="Z700" s="117"/>
      <c r="AA700" s="117"/>
    </row>
    <row r="701" spans="1:27" ht="14.4">
      <c r="A701" s="117"/>
      <c r="B701" s="117"/>
      <c r="C701" s="117"/>
      <c r="D701" s="117"/>
      <c r="E701" s="117"/>
      <c r="F701" s="117"/>
      <c r="G701" s="117"/>
      <c r="H701" s="117"/>
      <c r="I701" s="235"/>
      <c r="J701" s="235"/>
      <c r="K701" s="235"/>
      <c r="L701" s="117"/>
      <c r="M701" s="117"/>
      <c r="N701" s="117"/>
      <c r="O701" s="117"/>
      <c r="P701" s="117"/>
      <c r="Q701" s="117"/>
      <c r="R701" s="117"/>
      <c r="S701" s="117"/>
      <c r="T701" s="117"/>
      <c r="U701" s="117"/>
      <c r="V701" s="117"/>
      <c r="W701" s="117"/>
      <c r="X701" s="117"/>
      <c r="Y701" s="117"/>
      <c r="Z701" s="117"/>
      <c r="AA701" s="117"/>
    </row>
    <row r="702" spans="1:27" ht="14.4">
      <c r="A702" s="117"/>
      <c r="B702" s="117"/>
      <c r="C702" s="117"/>
      <c r="D702" s="117"/>
      <c r="E702" s="117"/>
      <c r="F702" s="117"/>
      <c r="G702" s="117"/>
      <c r="H702" s="117"/>
      <c r="I702" s="235"/>
      <c r="J702" s="235"/>
      <c r="K702" s="235"/>
      <c r="L702" s="117"/>
      <c r="M702" s="117"/>
      <c r="N702" s="117"/>
      <c r="O702" s="117"/>
      <c r="P702" s="117"/>
      <c r="Q702" s="117"/>
      <c r="R702" s="117"/>
      <c r="S702" s="117"/>
      <c r="T702" s="117"/>
      <c r="U702" s="117"/>
      <c r="V702" s="117"/>
      <c r="W702" s="117"/>
      <c r="X702" s="117"/>
      <c r="Y702" s="117"/>
      <c r="Z702" s="117"/>
      <c r="AA702" s="117"/>
    </row>
    <row r="703" spans="1:27" ht="14.4">
      <c r="A703" s="117"/>
      <c r="B703" s="117"/>
      <c r="C703" s="117"/>
      <c r="D703" s="117"/>
      <c r="E703" s="117"/>
      <c r="F703" s="117"/>
      <c r="G703" s="117"/>
      <c r="H703" s="117"/>
      <c r="I703" s="235"/>
      <c r="J703" s="235"/>
      <c r="K703" s="235"/>
      <c r="L703" s="117"/>
      <c r="M703" s="117"/>
      <c r="N703" s="117"/>
      <c r="O703" s="117"/>
      <c r="P703" s="117"/>
      <c r="Q703" s="117"/>
      <c r="R703" s="117"/>
      <c r="S703" s="117"/>
      <c r="T703" s="117"/>
      <c r="U703" s="117"/>
      <c r="V703" s="117"/>
      <c r="W703" s="117"/>
      <c r="X703" s="117"/>
      <c r="Y703" s="117"/>
      <c r="Z703" s="117"/>
      <c r="AA703" s="117"/>
    </row>
    <row r="704" spans="1:27" ht="14.4">
      <c r="A704" s="117"/>
      <c r="B704" s="117"/>
      <c r="C704" s="117"/>
      <c r="D704" s="117"/>
      <c r="E704" s="117"/>
      <c r="F704" s="117"/>
      <c r="G704" s="117"/>
      <c r="H704" s="117"/>
      <c r="I704" s="235"/>
      <c r="J704" s="235"/>
      <c r="K704" s="235"/>
      <c r="L704" s="117"/>
      <c r="M704" s="117"/>
      <c r="N704" s="117"/>
      <c r="O704" s="117"/>
      <c r="P704" s="117"/>
      <c r="Q704" s="117"/>
      <c r="R704" s="117"/>
      <c r="S704" s="117"/>
      <c r="T704" s="117"/>
      <c r="U704" s="117"/>
      <c r="V704" s="117"/>
      <c r="W704" s="117"/>
      <c r="X704" s="117"/>
      <c r="Y704" s="117"/>
      <c r="Z704" s="117"/>
      <c r="AA704" s="117"/>
    </row>
    <row r="705" spans="1:27" ht="14.4">
      <c r="A705" s="117"/>
      <c r="B705" s="117"/>
      <c r="C705" s="117"/>
      <c r="D705" s="117"/>
      <c r="E705" s="117"/>
      <c r="F705" s="117"/>
      <c r="G705" s="117"/>
      <c r="H705" s="117"/>
      <c r="I705" s="235"/>
      <c r="J705" s="235"/>
      <c r="K705" s="235"/>
      <c r="L705" s="117"/>
      <c r="M705" s="117"/>
      <c r="N705" s="117"/>
      <c r="O705" s="117"/>
      <c r="P705" s="117"/>
      <c r="Q705" s="117"/>
      <c r="R705" s="117"/>
      <c r="S705" s="117"/>
      <c r="T705" s="117"/>
      <c r="U705" s="117"/>
      <c r="V705" s="117"/>
      <c r="W705" s="117"/>
      <c r="X705" s="117"/>
      <c r="Y705" s="117"/>
      <c r="Z705" s="117"/>
      <c r="AA705" s="117"/>
    </row>
    <row r="706" spans="1:27" ht="14.4">
      <c r="A706" s="117"/>
      <c r="B706" s="117"/>
      <c r="C706" s="117"/>
      <c r="D706" s="117"/>
      <c r="E706" s="117"/>
      <c r="F706" s="117"/>
      <c r="G706" s="117"/>
      <c r="H706" s="117"/>
      <c r="I706" s="235"/>
      <c r="J706" s="235"/>
      <c r="K706" s="235"/>
      <c r="L706" s="117"/>
      <c r="M706" s="117"/>
      <c r="N706" s="117"/>
      <c r="O706" s="117"/>
      <c r="P706" s="117"/>
      <c r="Q706" s="117"/>
      <c r="R706" s="117"/>
      <c r="S706" s="117"/>
      <c r="T706" s="117"/>
      <c r="U706" s="117"/>
      <c r="V706" s="117"/>
      <c r="W706" s="117"/>
      <c r="X706" s="117"/>
      <c r="Y706" s="117"/>
      <c r="Z706" s="117"/>
      <c r="AA706" s="117"/>
    </row>
    <row r="707" spans="1:27" ht="14.4">
      <c r="A707" s="117"/>
      <c r="B707" s="117"/>
      <c r="C707" s="117"/>
      <c r="D707" s="117"/>
      <c r="E707" s="117"/>
      <c r="F707" s="117"/>
      <c r="G707" s="117"/>
      <c r="H707" s="117"/>
      <c r="I707" s="235"/>
      <c r="J707" s="235"/>
      <c r="K707" s="235"/>
      <c r="L707" s="117"/>
      <c r="M707" s="117"/>
      <c r="N707" s="117"/>
      <c r="O707" s="117"/>
      <c r="P707" s="117"/>
      <c r="Q707" s="117"/>
      <c r="R707" s="117"/>
      <c r="S707" s="117"/>
      <c r="T707" s="117"/>
      <c r="U707" s="117"/>
      <c r="V707" s="117"/>
      <c r="W707" s="117"/>
      <c r="X707" s="117"/>
      <c r="Y707" s="117"/>
      <c r="Z707" s="117"/>
      <c r="AA707" s="117"/>
    </row>
    <row r="708" spans="1:27" ht="14.4">
      <c r="A708" s="117"/>
      <c r="B708" s="117"/>
      <c r="C708" s="117"/>
      <c r="D708" s="117"/>
      <c r="E708" s="117"/>
      <c r="F708" s="117"/>
      <c r="G708" s="117"/>
      <c r="H708" s="117"/>
      <c r="I708" s="235"/>
      <c r="J708" s="235"/>
      <c r="K708" s="235"/>
      <c r="L708" s="117"/>
      <c r="M708" s="117"/>
      <c r="N708" s="117"/>
      <c r="O708" s="117"/>
      <c r="P708" s="117"/>
      <c r="Q708" s="117"/>
      <c r="R708" s="117"/>
      <c r="S708" s="117"/>
      <c r="T708" s="117"/>
      <c r="U708" s="117"/>
      <c r="V708" s="117"/>
      <c r="W708" s="117"/>
      <c r="X708" s="117"/>
      <c r="Y708" s="117"/>
      <c r="Z708" s="117"/>
      <c r="AA708" s="117"/>
    </row>
    <row r="709" spans="1:27" ht="14.4">
      <c r="A709" s="117"/>
      <c r="B709" s="117"/>
      <c r="C709" s="117"/>
      <c r="D709" s="117"/>
      <c r="E709" s="117"/>
      <c r="F709" s="117"/>
      <c r="G709" s="117"/>
      <c r="H709" s="117"/>
      <c r="I709" s="235"/>
      <c r="J709" s="235"/>
      <c r="K709" s="235"/>
      <c r="L709" s="117"/>
      <c r="M709" s="117"/>
      <c r="N709" s="117"/>
      <c r="O709" s="117"/>
      <c r="P709" s="117"/>
      <c r="Q709" s="117"/>
      <c r="R709" s="117"/>
      <c r="S709" s="117"/>
      <c r="T709" s="117"/>
      <c r="U709" s="117"/>
      <c r="V709" s="117"/>
      <c r="W709" s="117"/>
      <c r="X709" s="117"/>
      <c r="Y709" s="117"/>
      <c r="Z709" s="117"/>
      <c r="AA709" s="117"/>
    </row>
    <row r="710" spans="1:27" ht="14.4">
      <c r="A710" s="117"/>
      <c r="B710" s="117"/>
      <c r="C710" s="117"/>
      <c r="D710" s="117"/>
      <c r="E710" s="117"/>
      <c r="F710" s="117"/>
      <c r="G710" s="117"/>
      <c r="H710" s="117"/>
      <c r="I710" s="235"/>
      <c r="J710" s="235"/>
      <c r="K710" s="235"/>
      <c r="L710" s="117"/>
      <c r="M710" s="117"/>
      <c r="N710" s="117"/>
      <c r="O710" s="117"/>
      <c r="P710" s="117"/>
      <c r="Q710" s="117"/>
      <c r="R710" s="117"/>
      <c r="S710" s="117"/>
      <c r="T710" s="117"/>
      <c r="U710" s="117"/>
      <c r="V710" s="117"/>
      <c r="W710" s="117"/>
      <c r="X710" s="117"/>
      <c r="Y710" s="117"/>
      <c r="Z710" s="117"/>
      <c r="AA710" s="117"/>
    </row>
    <row r="711" spans="1:27" ht="14.4">
      <c r="A711" s="117"/>
      <c r="B711" s="117"/>
      <c r="C711" s="117"/>
      <c r="D711" s="117"/>
      <c r="E711" s="117"/>
      <c r="F711" s="117"/>
      <c r="G711" s="117"/>
      <c r="H711" s="117"/>
      <c r="I711" s="235"/>
      <c r="J711" s="235"/>
      <c r="K711" s="235"/>
      <c r="L711" s="117"/>
      <c r="M711" s="117"/>
      <c r="N711" s="117"/>
      <c r="O711" s="117"/>
      <c r="P711" s="117"/>
      <c r="Q711" s="117"/>
      <c r="R711" s="117"/>
      <c r="S711" s="117"/>
      <c r="T711" s="117"/>
      <c r="U711" s="117"/>
      <c r="V711" s="117"/>
      <c r="W711" s="117"/>
      <c r="X711" s="117"/>
      <c r="Y711" s="117"/>
      <c r="Z711" s="117"/>
      <c r="AA711" s="117"/>
    </row>
    <row r="712" spans="1:27" ht="14.4">
      <c r="A712" s="117"/>
      <c r="B712" s="117"/>
      <c r="C712" s="117"/>
      <c r="D712" s="117"/>
      <c r="E712" s="117"/>
      <c r="F712" s="117"/>
      <c r="G712" s="117"/>
      <c r="H712" s="117"/>
      <c r="I712" s="235"/>
      <c r="J712" s="235"/>
      <c r="K712" s="235"/>
      <c r="L712" s="117"/>
      <c r="M712" s="117"/>
      <c r="N712" s="117"/>
      <c r="O712" s="117"/>
      <c r="P712" s="117"/>
      <c r="Q712" s="117"/>
      <c r="R712" s="117"/>
      <c r="S712" s="117"/>
      <c r="T712" s="117"/>
      <c r="U712" s="117"/>
      <c r="V712" s="117"/>
      <c r="W712" s="117"/>
      <c r="X712" s="117"/>
      <c r="Y712" s="117"/>
      <c r="Z712" s="117"/>
      <c r="AA712" s="117"/>
    </row>
    <row r="713" spans="1:27" ht="14.4">
      <c r="A713" s="117"/>
      <c r="B713" s="117"/>
      <c r="C713" s="117"/>
      <c r="D713" s="117"/>
      <c r="E713" s="117"/>
      <c r="F713" s="117"/>
      <c r="G713" s="117"/>
      <c r="H713" s="117"/>
      <c r="I713" s="235"/>
      <c r="J713" s="235"/>
      <c r="K713" s="235"/>
      <c r="L713" s="117"/>
      <c r="M713" s="117"/>
      <c r="N713" s="117"/>
      <c r="O713" s="117"/>
      <c r="P713" s="117"/>
      <c r="Q713" s="117"/>
      <c r="R713" s="117"/>
      <c r="S713" s="117"/>
      <c r="T713" s="117"/>
      <c r="U713" s="117"/>
      <c r="V713" s="117"/>
      <c r="W713" s="117"/>
      <c r="X713" s="117"/>
      <c r="Y713" s="117"/>
      <c r="Z713" s="117"/>
      <c r="AA713" s="117"/>
    </row>
    <row r="714" spans="1:27" ht="14.4">
      <c r="A714" s="117"/>
      <c r="B714" s="117"/>
      <c r="C714" s="117"/>
      <c r="D714" s="117"/>
      <c r="E714" s="117"/>
      <c r="F714" s="117"/>
      <c r="G714" s="117"/>
      <c r="H714" s="117"/>
      <c r="I714" s="235"/>
      <c r="J714" s="235"/>
      <c r="K714" s="235"/>
      <c r="L714" s="117"/>
      <c r="M714" s="117"/>
      <c r="N714" s="117"/>
      <c r="O714" s="117"/>
      <c r="P714" s="117"/>
      <c r="Q714" s="117"/>
      <c r="R714" s="117"/>
      <c r="S714" s="117"/>
      <c r="T714" s="117"/>
      <c r="U714" s="117"/>
      <c r="V714" s="117"/>
      <c r="W714" s="117"/>
      <c r="X714" s="117"/>
      <c r="Y714" s="117"/>
      <c r="Z714" s="117"/>
      <c r="AA714" s="117"/>
    </row>
    <row r="715" spans="1:27" ht="14.4">
      <c r="A715" s="117"/>
      <c r="B715" s="117"/>
      <c r="C715" s="117"/>
      <c r="D715" s="117"/>
      <c r="E715" s="117"/>
      <c r="F715" s="117"/>
      <c r="G715" s="117"/>
      <c r="H715" s="117"/>
      <c r="I715" s="235"/>
      <c r="J715" s="235"/>
      <c r="K715" s="235"/>
      <c r="L715" s="117"/>
      <c r="M715" s="117"/>
      <c r="N715" s="117"/>
      <c r="O715" s="117"/>
      <c r="P715" s="117"/>
      <c r="Q715" s="117"/>
      <c r="R715" s="117"/>
      <c r="S715" s="117"/>
      <c r="T715" s="117"/>
      <c r="U715" s="117"/>
      <c r="V715" s="117"/>
      <c r="W715" s="117"/>
      <c r="X715" s="117"/>
      <c r="Y715" s="117"/>
      <c r="Z715" s="117"/>
      <c r="AA715" s="117"/>
    </row>
    <row r="716" spans="1:27" ht="14.4">
      <c r="A716" s="117"/>
      <c r="B716" s="117"/>
      <c r="C716" s="117"/>
      <c r="D716" s="117"/>
      <c r="E716" s="117"/>
      <c r="F716" s="117"/>
      <c r="G716" s="117"/>
      <c r="H716" s="117"/>
      <c r="I716" s="235"/>
      <c r="J716" s="235"/>
      <c r="K716" s="235"/>
      <c r="L716" s="117"/>
      <c r="M716" s="117"/>
      <c r="N716" s="117"/>
      <c r="O716" s="117"/>
      <c r="P716" s="117"/>
      <c r="Q716" s="117"/>
      <c r="R716" s="117"/>
      <c r="S716" s="117"/>
      <c r="T716" s="117"/>
      <c r="U716" s="117"/>
      <c r="V716" s="117"/>
      <c r="W716" s="117"/>
      <c r="X716" s="117"/>
      <c r="Y716" s="117"/>
      <c r="Z716" s="117"/>
      <c r="AA716" s="117"/>
    </row>
    <row r="717" spans="1:27" ht="14.4">
      <c r="A717" s="117"/>
      <c r="B717" s="117"/>
      <c r="C717" s="117"/>
      <c r="D717" s="117"/>
      <c r="E717" s="117"/>
      <c r="F717" s="117"/>
      <c r="G717" s="117"/>
      <c r="H717" s="117"/>
      <c r="I717" s="235"/>
      <c r="J717" s="235"/>
      <c r="K717" s="235"/>
      <c r="L717" s="117"/>
      <c r="M717" s="117"/>
      <c r="N717" s="117"/>
      <c r="O717" s="117"/>
      <c r="P717" s="117"/>
      <c r="Q717" s="117"/>
      <c r="R717" s="117"/>
      <c r="S717" s="117"/>
      <c r="T717" s="117"/>
      <c r="U717" s="117"/>
      <c r="V717" s="117"/>
      <c r="W717" s="117"/>
      <c r="X717" s="117"/>
      <c r="Y717" s="117"/>
      <c r="Z717" s="117"/>
      <c r="AA717" s="117"/>
    </row>
    <row r="718" spans="1:27" ht="14.4">
      <c r="A718" s="117"/>
      <c r="B718" s="117"/>
      <c r="C718" s="117"/>
      <c r="D718" s="117"/>
      <c r="E718" s="117"/>
      <c r="F718" s="117"/>
      <c r="G718" s="117"/>
      <c r="H718" s="117"/>
      <c r="I718" s="235"/>
      <c r="J718" s="235"/>
      <c r="K718" s="235"/>
      <c r="L718" s="117"/>
      <c r="M718" s="117"/>
      <c r="N718" s="117"/>
      <c r="O718" s="117"/>
      <c r="P718" s="117"/>
      <c r="Q718" s="117"/>
      <c r="R718" s="117"/>
      <c r="S718" s="117"/>
      <c r="T718" s="117"/>
      <c r="U718" s="117"/>
      <c r="V718" s="117"/>
      <c r="W718" s="117"/>
      <c r="X718" s="117"/>
      <c r="Y718" s="117"/>
      <c r="Z718" s="117"/>
      <c r="AA718" s="117"/>
    </row>
    <row r="719" spans="1:27" ht="14.4">
      <c r="A719" s="117"/>
      <c r="B719" s="117"/>
      <c r="C719" s="117"/>
      <c r="D719" s="117"/>
      <c r="E719" s="117"/>
      <c r="F719" s="117"/>
      <c r="G719" s="117"/>
      <c r="H719" s="117"/>
      <c r="I719" s="235"/>
      <c r="J719" s="235"/>
      <c r="K719" s="235"/>
      <c r="L719" s="117"/>
      <c r="M719" s="117"/>
      <c r="N719" s="117"/>
      <c r="O719" s="117"/>
      <c r="P719" s="117"/>
      <c r="Q719" s="117"/>
      <c r="R719" s="117"/>
      <c r="S719" s="117"/>
      <c r="T719" s="117"/>
      <c r="U719" s="117"/>
      <c r="V719" s="117"/>
      <c r="W719" s="117"/>
      <c r="X719" s="117"/>
      <c r="Y719" s="117"/>
      <c r="Z719" s="117"/>
      <c r="AA719" s="117"/>
    </row>
    <row r="720" spans="1:27" ht="14.4">
      <c r="A720" s="117"/>
      <c r="B720" s="117"/>
      <c r="C720" s="117"/>
      <c r="D720" s="117"/>
      <c r="E720" s="117"/>
      <c r="F720" s="117"/>
      <c r="G720" s="117"/>
      <c r="H720" s="117"/>
      <c r="I720" s="235"/>
      <c r="J720" s="235"/>
      <c r="K720" s="235"/>
      <c r="L720" s="117"/>
      <c r="M720" s="117"/>
      <c r="N720" s="117"/>
      <c r="O720" s="117"/>
      <c r="P720" s="117"/>
      <c r="Q720" s="117"/>
      <c r="R720" s="117"/>
      <c r="S720" s="117"/>
      <c r="T720" s="117"/>
      <c r="U720" s="117"/>
      <c r="V720" s="117"/>
      <c r="W720" s="117"/>
      <c r="X720" s="117"/>
      <c r="Y720" s="117"/>
      <c r="Z720" s="117"/>
      <c r="AA720" s="117"/>
    </row>
    <row r="721" spans="1:27" ht="14.4">
      <c r="A721" s="117"/>
      <c r="B721" s="117"/>
      <c r="C721" s="117"/>
      <c r="D721" s="117"/>
      <c r="E721" s="117"/>
      <c r="F721" s="117"/>
      <c r="G721" s="117"/>
      <c r="H721" s="117"/>
      <c r="I721" s="235"/>
      <c r="J721" s="235"/>
      <c r="K721" s="235"/>
      <c r="L721" s="117"/>
      <c r="M721" s="117"/>
      <c r="N721" s="117"/>
      <c r="O721" s="117"/>
      <c r="P721" s="117"/>
      <c r="Q721" s="117"/>
      <c r="R721" s="117"/>
      <c r="S721" s="117"/>
      <c r="T721" s="117"/>
      <c r="U721" s="117"/>
      <c r="V721" s="117"/>
      <c r="W721" s="117"/>
      <c r="X721" s="117"/>
      <c r="Y721" s="117"/>
      <c r="Z721" s="117"/>
      <c r="AA721" s="117"/>
    </row>
    <row r="722" spans="1:27" ht="14.4">
      <c r="A722" s="117"/>
      <c r="B722" s="117"/>
      <c r="C722" s="117"/>
      <c r="D722" s="117"/>
      <c r="E722" s="117"/>
      <c r="F722" s="117"/>
      <c r="G722" s="117"/>
      <c r="H722" s="117"/>
      <c r="I722" s="235"/>
      <c r="J722" s="235"/>
      <c r="K722" s="235"/>
      <c r="L722" s="117"/>
      <c r="M722" s="117"/>
      <c r="N722" s="117"/>
      <c r="O722" s="117"/>
      <c r="P722" s="117"/>
      <c r="Q722" s="117"/>
      <c r="R722" s="117"/>
      <c r="S722" s="117"/>
      <c r="T722" s="117"/>
      <c r="U722" s="117"/>
      <c r="V722" s="117"/>
      <c r="W722" s="117"/>
      <c r="X722" s="117"/>
      <c r="Y722" s="117"/>
      <c r="Z722" s="117"/>
      <c r="AA722" s="117"/>
    </row>
    <row r="723" spans="1:27" ht="14.4">
      <c r="A723" s="117"/>
      <c r="B723" s="117"/>
      <c r="C723" s="117"/>
      <c r="D723" s="117"/>
      <c r="E723" s="117"/>
      <c r="F723" s="117"/>
      <c r="G723" s="117"/>
      <c r="H723" s="117"/>
      <c r="I723" s="235"/>
      <c r="J723" s="235"/>
      <c r="K723" s="235"/>
      <c r="L723" s="117"/>
      <c r="M723" s="117"/>
      <c r="N723" s="117"/>
      <c r="O723" s="117"/>
      <c r="P723" s="117"/>
      <c r="Q723" s="117"/>
      <c r="R723" s="117"/>
      <c r="S723" s="117"/>
      <c r="T723" s="117"/>
      <c r="U723" s="117"/>
      <c r="V723" s="117"/>
      <c r="W723" s="117"/>
      <c r="X723" s="117"/>
      <c r="Y723" s="117"/>
      <c r="Z723" s="117"/>
      <c r="AA723" s="117"/>
    </row>
    <row r="724" spans="1:27" ht="14.4">
      <c r="A724" s="117"/>
      <c r="B724" s="117"/>
      <c r="C724" s="117"/>
      <c r="D724" s="117"/>
      <c r="E724" s="117"/>
      <c r="F724" s="117"/>
      <c r="G724" s="117"/>
      <c r="H724" s="117"/>
      <c r="I724" s="235"/>
      <c r="J724" s="235"/>
      <c r="K724" s="235"/>
      <c r="L724" s="117"/>
      <c r="M724" s="117"/>
      <c r="N724" s="117"/>
      <c r="O724" s="117"/>
      <c r="P724" s="117"/>
      <c r="Q724" s="117"/>
      <c r="R724" s="117"/>
      <c r="S724" s="117"/>
      <c r="T724" s="117"/>
      <c r="U724" s="117"/>
      <c r="V724" s="117"/>
      <c r="W724" s="117"/>
      <c r="X724" s="117"/>
      <c r="Y724" s="117"/>
      <c r="Z724" s="117"/>
      <c r="AA724" s="117"/>
    </row>
    <row r="725" spans="1:27" ht="14.4">
      <c r="A725" s="117"/>
      <c r="B725" s="117"/>
      <c r="C725" s="117"/>
      <c r="D725" s="117"/>
      <c r="E725" s="117"/>
      <c r="F725" s="117"/>
      <c r="G725" s="117"/>
      <c r="H725" s="117"/>
      <c r="I725" s="235"/>
      <c r="J725" s="235"/>
      <c r="K725" s="235"/>
      <c r="L725" s="117"/>
      <c r="M725" s="117"/>
      <c r="N725" s="117"/>
      <c r="O725" s="117"/>
      <c r="P725" s="117"/>
      <c r="Q725" s="117"/>
      <c r="R725" s="117"/>
      <c r="S725" s="117"/>
      <c r="T725" s="117"/>
      <c r="U725" s="117"/>
      <c r="V725" s="117"/>
      <c r="W725" s="117"/>
      <c r="X725" s="117"/>
      <c r="Y725" s="117"/>
      <c r="Z725" s="117"/>
      <c r="AA725" s="117"/>
    </row>
    <row r="726" spans="1:27" ht="14.4">
      <c r="A726" s="117"/>
      <c r="B726" s="117"/>
      <c r="C726" s="117"/>
      <c r="D726" s="117"/>
      <c r="E726" s="117"/>
      <c r="F726" s="117"/>
      <c r="G726" s="117"/>
      <c r="H726" s="117"/>
      <c r="I726" s="235"/>
      <c r="J726" s="235"/>
      <c r="K726" s="235"/>
      <c r="L726" s="117"/>
      <c r="M726" s="117"/>
      <c r="N726" s="117"/>
      <c r="O726" s="117"/>
      <c r="P726" s="117"/>
      <c r="Q726" s="117"/>
      <c r="R726" s="117"/>
      <c r="S726" s="117"/>
      <c r="T726" s="117"/>
      <c r="U726" s="117"/>
      <c r="V726" s="117"/>
      <c r="W726" s="117"/>
      <c r="X726" s="117"/>
      <c r="Y726" s="117"/>
      <c r="Z726" s="117"/>
      <c r="AA726" s="117"/>
    </row>
    <row r="727" spans="1:27" ht="14.4">
      <c r="A727" s="117"/>
      <c r="B727" s="117"/>
      <c r="C727" s="117"/>
      <c r="D727" s="117"/>
      <c r="E727" s="117"/>
      <c r="F727" s="117"/>
      <c r="G727" s="117"/>
      <c r="H727" s="117"/>
      <c r="I727" s="235"/>
      <c r="J727" s="235"/>
      <c r="K727" s="235"/>
      <c r="L727" s="117"/>
      <c r="M727" s="117"/>
      <c r="N727" s="117"/>
      <c r="O727" s="117"/>
      <c r="P727" s="117"/>
      <c r="Q727" s="117"/>
      <c r="R727" s="117"/>
      <c r="S727" s="117"/>
      <c r="T727" s="117"/>
      <c r="U727" s="117"/>
      <c r="V727" s="117"/>
      <c r="W727" s="117"/>
      <c r="X727" s="117"/>
      <c r="Y727" s="117"/>
      <c r="Z727" s="117"/>
      <c r="AA727" s="117"/>
    </row>
    <row r="728" spans="1:27" ht="14.4">
      <c r="A728" s="117"/>
      <c r="B728" s="117"/>
      <c r="C728" s="117"/>
      <c r="D728" s="117"/>
      <c r="E728" s="117"/>
      <c r="F728" s="117"/>
      <c r="G728" s="117"/>
      <c r="H728" s="117"/>
      <c r="I728" s="235"/>
      <c r="J728" s="235"/>
      <c r="K728" s="235"/>
      <c r="L728" s="117"/>
      <c r="M728" s="117"/>
      <c r="N728" s="117"/>
      <c r="O728" s="117"/>
      <c r="P728" s="117"/>
      <c r="Q728" s="117"/>
      <c r="R728" s="117"/>
      <c r="S728" s="117"/>
      <c r="T728" s="117"/>
      <c r="U728" s="117"/>
      <c r="V728" s="117"/>
      <c r="W728" s="117"/>
      <c r="X728" s="117"/>
      <c r="Y728" s="117"/>
      <c r="Z728" s="117"/>
      <c r="AA728" s="117"/>
    </row>
    <row r="729" spans="1:27" ht="14.4">
      <c r="A729" s="117"/>
      <c r="B729" s="117"/>
      <c r="C729" s="117"/>
      <c r="D729" s="117"/>
      <c r="E729" s="117"/>
      <c r="F729" s="117"/>
      <c r="G729" s="117"/>
      <c r="H729" s="117"/>
      <c r="I729" s="235"/>
      <c r="J729" s="235"/>
      <c r="K729" s="235"/>
      <c r="L729" s="117"/>
      <c r="M729" s="117"/>
      <c r="N729" s="117"/>
      <c r="O729" s="117"/>
      <c r="P729" s="117"/>
      <c r="Q729" s="117"/>
      <c r="R729" s="117"/>
      <c r="S729" s="117"/>
      <c r="T729" s="117"/>
      <c r="U729" s="117"/>
      <c r="V729" s="117"/>
      <c r="W729" s="117"/>
      <c r="X729" s="117"/>
      <c r="Y729" s="117"/>
      <c r="Z729" s="117"/>
      <c r="AA729" s="117"/>
    </row>
    <row r="730" spans="1:27" ht="14.4">
      <c r="A730" s="117"/>
      <c r="B730" s="117"/>
      <c r="C730" s="117"/>
      <c r="D730" s="117"/>
      <c r="E730" s="117"/>
      <c r="F730" s="117"/>
      <c r="G730" s="117"/>
      <c r="H730" s="117"/>
      <c r="I730" s="235"/>
      <c r="J730" s="235"/>
      <c r="K730" s="235"/>
      <c r="L730" s="117"/>
      <c r="M730" s="117"/>
      <c r="N730" s="117"/>
      <c r="O730" s="117"/>
      <c r="P730" s="117"/>
      <c r="Q730" s="117"/>
      <c r="R730" s="117"/>
      <c r="S730" s="117"/>
      <c r="T730" s="117"/>
      <c r="U730" s="117"/>
      <c r="V730" s="117"/>
      <c r="W730" s="117"/>
      <c r="X730" s="117"/>
      <c r="Y730" s="117"/>
      <c r="Z730" s="117"/>
      <c r="AA730" s="117"/>
    </row>
    <row r="731" spans="1:27" ht="14.4">
      <c r="A731" s="117"/>
      <c r="B731" s="117"/>
      <c r="C731" s="117"/>
      <c r="D731" s="117"/>
      <c r="E731" s="117"/>
      <c r="F731" s="117"/>
      <c r="G731" s="117"/>
      <c r="H731" s="117"/>
      <c r="I731" s="235"/>
      <c r="J731" s="235"/>
      <c r="K731" s="235"/>
      <c r="L731" s="117"/>
      <c r="M731" s="117"/>
      <c r="N731" s="117"/>
      <c r="O731" s="117"/>
      <c r="P731" s="117"/>
      <c r="Q731" s="117"/>
      <c r="R731" s="117"/>
      <c r="S731" s="117"/>
      <c r="T731" s="117"/>
      <c r="U731" s="117"/>
      <c r="V731" s="117"/>
      <c r="W731" s="117"/>
      <c r="X731" s="117"/>
      <c r="Y731" s="117"/>
      <c r="Z731" s="117"/>
      <c r="AA731" s="117"/>
    </row>
    <row r="732" spans="1:27" ht="14.4">
      <c r="A732" s="117"/>
      <c r="B732" s="117"/>
      <c r="C732" s="117"/>
      <c r="D732" s="117"/>
      <c r="E732" s="117"/>
      <c r="F732" s="117"/>
      <c r="G732" s="117"/>
      <c r="H732" s="117"/>
      <c r="I732" s="235"/>
      <c r="J732" s="235"/>
      <c r="K732" s="235"/>
      <c r="L732" s="117"/>
      <c r="M732" s="117"/>
      <c r="N732" s="117"/>
      <c r="O732" s="117"/>
      <c r="P732" s="117"/>
      <c r="Q732" s="117"/>
      <c r="R732" s="117"/>
      <c r="S732" s="117"/>
      <c r="T732" s="117"/>
      <c r="U732" s="117"/>
      <c r="V732" s="117"/>
      <c r="W732" s="117"/>
      <c r="X732" s="117"/>
      <c r="Y732" s="117"/>
      <c r="Z732" s="117"/>
      <c r="AA732" s="117"/>
    </row>
    <row r="733" spans="1:27" ht="14.4">
      <c r="A733" s="117"/>
      <c r="B733" s="117"/>
      <c r="C733" s="117"/>
      <c r="D733" s="117"/>
      <c r="E733" s="117"/>
      <c r="F733" s="117"/>
      <c r="G733" s="117"/>
      <c r="H733" s="117"/>
      <c r="I733" s="235"/>
      <c r="J733" s="235"/>
      <c r="K733" s="235"/>
      <c r="L733" s="117"/>
      <c r="M733" s="117"/>
      <c r="N733" s="117"/>
      <c r="O733" s="117"/>
      <c r="P733" s="117"/>
      <c r="Q733" s="117"/>
      <c r="R733" s="117"/>
      <c r="S733" s="117"/>
      <c r="T733" s="117"/>
      <c r="U733" s="117"/>
      <c r="V733" s="117"/>
      <c r="W733" s="117"/>
      <c r="X733" s="117"/>
      <c r="Y733" s="117"/>
      <c r="Z733" s="117"/>
      <c r="AA733" s="117"/>
    </row>
    <row r="734" spans="1:27" ht="14.4">
      <c r="A734" s="117"/>
      <c r="B734" s="117"/>
      <c r="C734" s="117"/>
      <c r="D734" s="117"/>
      <c r="E734" s="117"/>
      <c r="F734" s="117"/>
      <c r="G734" s="117"/>
      <c r="H734" s="117"/>
      <c r="I734" s="235"/>
      <c r="J734" s="235"/>
      <c r="K734" s="235"/>
      <c r="L734" s="117"/>
      <c r="M734" s="117"/>
      <c r="N734" s="117"/>
      <c r="O734" s="117"/>
      <c r="P734" s="117"/>
      <c r="Q734" s="117"/>
      <c r="R734" s="117"/>
      <c r="S734" s="117"/>
      <c r="T734" s="117"/>
      <c r="U734" s="117"/>
      <c r="V734" s="117"/>
      <c r="W734" s="117"/>
      <c r="X734" s="117"/>
      <c r="Y734" s="117"/>
      <c r="Z734" s="117"/>
      <c r="AA734" s="117"/>
    </row>
    <row r="735" spans="1:27" ht="14.4">
      <c r="A735" s="117"/>
      <c r="B735" s="117"/>
      <c r="C735" s="117"/>
      <c r="D735" s="117"/>
      <c r="E735" s="117"/>
      <c r="F735" s="117"/>
      <c r="G735" s="117"/>
      <c r="H735" s="117"/>
      <c r="I735" s="235"/>
      <c r="J735" s="235"/>
      <c r="K735" s="235"/>
      <c r="L735" s="117"/>
      <c r="M735" s="117"/>
      <c r="N735" s="117"/>
      <c r="O735" s="117"/>
      <c r="P735" s="117"/>
      <c r="Q735" s="117"/>
      <c r="R735" s="117"/>
      <c r="S735" s="117"/>
      <c r="T735" s="117"/>
      <c r="U735" s="117"/>
      <c r="V735" s="117"/>
      <c r="W735" s="117"/>
      <c r="X735" s="117"/>
      <c r="Y735" s="117"/>
      <c r="Z735" s="117"/>
      <c r="AA735" s="117"/>
    </row>
    <row r="736" spans="1:27" ht="14.4">
      <c r="A736" s="117"/>
      <c r="B736" s="117"/>
      <c r="C736" s="117"/>
      <c r="D736" s="117"/>
      <c r="E736" s="117"/>
      <c r="F736" s="117"/>
      <c r="G736" s="117"/>
      <c r="H736" s="117"/>
      <c r="I736" s="235"/>
      <c r="J736" s="235"/>
      <c r="K736" s="235"/>
      <c r="L736" s="117"/>
      <c r="M736" s="117"/>
      <c r="N736" s="117"/>
      <c r="O736" s="117"/>
      <c r="P736" s="117"/>
      <c r="Q736" s="117"/>
      <c r="R736" s="117"/>
      <c r="S736" s="117"/>
      <c r="T736" s="117"/>
      <c r="U736" s="117"/>
      <c r="V736" s="117"/>
      <c r="W736" s="117"/>
      <c r="X736" s="117"/>
      <c r="Y736" s="117"/>
      <c r="Z736" s="117"/>
      <c r="AA736" s="117"/>
    </row>
    <row r="737" spans="1:27" ht="14.4">
      <c r="A737" s="117"/>
      <c r="B737" s="117"/>
      <c r="C737" s="117"/>
      <c r="D737" s="117"/>
      <c r="E737" s="117"/>
      <c r="F737" s="117"/>
      <c r="G737" s="117"/>
      <c r="H737" s="117"/>
      <c r="I737" s="235"/>
      <c r="J737" s="235"/>
      <c r="K737" s="235"/>
      <c r="L737" s="117"/>
      <c r="M737" s="117"/>
      <c r="N737" s="117"/>
      <c r="O737" s="117"/>
      <c r="P737" s="117"/>
      <c r="Q737" s="117"/>
      <c r="R737" s="117"/>
      <c r="S737" s="117"/>
      <c r="T737" s="117"/>
      <c r="U737" s="117"/>
      <c r="V737" s="117"/>
      <c r="W737" s="117"/>
      <c r="X737" s="117"/>
      <c r="Y737" s="117"/>
      <c r="Z737" s="117"/>
      <c r="AA737" s="117"/>
    </row>
    <row r="738" spans="1:27" ht="14.4">
      <c r="A738" s="117"/>
      <c r="B738" s="117"/>
      <c r="C738" s="117"/>
      <c r="D738" s="117"/>
      <c r="E738" s="117"/>
      <c r="F738" s="117"/>
      <c r="G738" s="117"/>
      <c r="H738" s="117"/>
      <c r="I738" s="235"/>
      <c r="J738" s="235"/>
      <c r="K738" s="235"/>
      <c r="L738" s="117"/>
      <c r="M738" s="117"/>
      <c r="N738" s="117"/>
      <c r="O738" s="117"/>
      <c r="P738" s="117"/>
      <c r="Q738" s="117"/>
      <c r="R738" s="117"/>
      <c r="S738" s="117"/>
      <c r="T738" s="117"/>
      <c r="U738" s="117"/>
      <c r="V738" s="117"/>
      <c r="W738" s="117"/>
      <c r="X738" s="117"/>
      <c r="Y738" s="117"/>
      <c r="Z738" s="117"/>
      <c r="AA738" s="117"/>
    </row>
    <row r="739" spans="1:27" ht="14.4">
      <c r="A739" s="117"/>
      <c r="B739" s="117"/>
      <c r="C739" s="117"/>
      <c r="D739" s="117"/>
      <c r="E739" s="117"/>
      <c r="F739" s="117"/>
      <c r="G739" s="117"/>
      <c r="H739" s="117"/>
      <c r="I739" s="235"/>
      <c r="J739" s="235"/>
      <c r="K739" s="235"/>
      <c r="L739" s="117"/>
      <c r="M739" s="117"/>
      <c r="N739" s="117"/>
      <c r="O739" s="117"/>
      <c r="P739" s="117"/>
      <c r="Q739" s="117"/>
      <c r="R739" s="117"/>
      <c r="S739" s="117"/>
      <c r="T739" s="117"/>
      <c r="U739" s="117"/>
      <c r="V739" s="117"/>
      <c r="W739" s="117"/>
      <c r="X739" s="117"/>
      <c r="Y739" s="117"/>
      <c r="Z739" s="117"/>
      <c r="AA739" s="117"/>
    </row>
    <row r="740" spans="1:27" ht="14.4">
      <c r="A740" s="117"/>
      <c r="B740" s="117"/>
      <c r="C740" s="117"/>
      <c r="D740" s="117"/>
      <c r="E740" s="117"/>
      <c r="F740" s="117"/>
      <c r="G740" s="117"/>
      <c r="H740" s="117"/>
      <c r="I740" s="235"/>
      <c r="J740" s="235"/>
      <c r="K740" s="235"/>
      <c r="L740" s="117"/>
      <c r="M740" s="117"/>
      <c r="N740" s="117"/>
      <c r="O740" s="117"/>
      <c r="P740" s="117"/>
      <c r="Q740" s="117"/>
      <c r="R740" s="117"/>
      <c r="S740" s="117"/>
      <c r="T740" s="117"/>
      <c r="U740" s="117"/>
      <c r="V740" s="117"/>
      <c r="W740" s="117"/>
      <c r="X740" s="117"/>
      <c r="Y740" s="117"/>
      <c r="Z740" s="117"/>
      <c r="AA740" s="117"/>
    </row>
    <row r="741" spans="1:27" ht="14.4">
      <c r="A741" s="117"/>
      <c r="B741" s="117"/>
      <c r="C741" s="117"/>
      <c r="D741" s="117"/>
      <c r="E741" s="117"/>
      <c r="F741" s="117"/>
      <c r="G741" s="117"/>
      <c r="H741" s="117"/>
      <c r="I741" s="235"/>
      <c r="J741" s="235"/>
      <c r="K741" s="235"/>
      <c r="L741" s="117"/>
      <c r="M741" s="117"/>
      <c r="N741" s="117"/>
      <c r="O741" s="117"/>
      <c r="P741" s="117"/>
      <c r="Q741" s="117"/>
      <c r="R741" s="117"/>
      <c r="S741" s="117"/>
      <c r="T741" s="117"/>
      <c r="U741" s="117"/>
      <c r="V741" s="117"/>
      <c r="W741" s="117"/>
      <c r="X741" s="117"/>
      <c r="Y741" s="117"/>
      <c r="Z741" s="117"/>
      <c r="AA741" s="117"/>
    </row>
    <row r="742" spans="1:27" ht="14.4">
      <c r="A742" s="117"/>
      <c r="B742" s="117"/>
      <c r="C742" s="117"/>
      <c r="D742" s="117"/>
      <c r="E742" s="117"/>
      <c r="F742" s="117"/>
      <c r="G742" s="117"/>
      <c r="H742" s="117"/>
      <c r="I742" s="235"/>
      <c r="J742" s="235"/>
      <c r="K742" s="235"/>
      <c r="L742" s="117"/>
      <c r="M742" s="117"/>
      <c r="N742" s="117"/>
      <c r="O742" s="117"/>
      <c r="P742" s="117"/>
      <c r="Q742" s="117"/>
      <c r="R742" s="117"/>
      <c r="S742" s="117"/>
      <c r="T742" s="117"/>
      <c r="U742" s="117"/>
      <c r="V742" s="117"/>
      <c r="W742" s="117"/>
      <c r="X742" s="117"/>
      <c r="Y742" s="117"/>
      <c r="Z742" s="117"/>
      <c r="AA742" s="117"/>
    </row>
    <row r="743" spans="1:27" ht="14.4">
      <c r="A743" s="117"/>
      <c r="B743" s="117"/>
      <c r="C743" s="117"/>
      <c r="D743" s="117"/>
      <c r="E743" s="117"/>
      <c r="F743" s="117"/>
      <c r="G743" s="117"/>
      <c r="H743" s="117"/>
      <c r="I743" s="235"/>
      <c r="J743" s="235"/>
      <c r="K743" s="235"/>
      <c r="L743" s="117"/>
      <c r="M743" s="117"/>
      <c r="N743" s="117"/>
      <c r="O743" s="117"/>
      <c r="P743" s="117"/>
      <c r="Q743" s="117"/>
      <c r="R743" s="117"/>
      <c r="S743" s="117"/>
      <c r="T743" s="117"/>
      <c r="U743" s="117"/>
      <c r="V743" s="117"/>
      <c r="W743" s="117"/>
      <c r="X743" s="117"/>
      <c r="Y743" s="117"/>
      <c r="Z743" s="117"/>
      <c r="AA743" s="117"/>
    </row>
    <row r="744" spans="1:27" ht="14.4">
      <c r="A744" s="117"/>
      <c r="B744" s="117"/>
      <c r="C744" s="117"/>
      <c r="D744" s="117"/>
      <c r="E744" s="117"/>
      <c r="F744" s="117"/>
      <c r="G744" s="117"/>
      <c r="H744" s="117"/>
      <c r="I744" s="235"/>
      <c r="J744" s="235"/>
      <c r="K744" s="235"/>
      <c r="L744" s="117"/>
      <c r="M744" s="117"/>
      <c r="N744" s="117"/>
      <c r="O744" s="117"/>
      <c r="P744" s="117"/>
      <c r="Q744" s="117"/>
      <c r="R744" s="117"/>
      <c r="S744" s="117"/>
      <c r="T744" s="117"/>
      <c r="U744" s="117"/>
      <c r="V744" s="117"/>
      <c r="W744" s="117"/>
      <c r="X744" s="117"/>
      <c r="Y744" s="117"/>
      <c r="Z744" s="117"/>
      <c r="AA744" s="117"/>
    </row>
    <row r="745" spans="1:27" ht="14.4">
      <c r="A745" s="117"/>
      <c r="B745" s="117"/>
      <c r="C745" s="117"/>
      <c r="D745" s="117"/>
      <c r="E745" s="117"/>
      <c r="F745" s="117"/>
      <c r="G745" s="117"/>
      <c r="H745" s="117"/>
      <c r="I745" s="235"/>
      <c r="J745" s="235"/>
      <c r="K745" s="235"/>
      <c r="L745" s="117"/>
      <c r="M745" s="117"/>
      <c r="N745" s="117"/>
      <c r="O745" s="117"/>
      <c r="P745" s="117"/>
      <c r="Q745" s="117"/>
      <c r="R745" s="117"/>
      <c r="S745" s="117"/>
      <c r="T745" s="117"/>
      <c r="U745" s="117"/>
      <c r="V745" s="117"/>
      <c r="W745" s="117"/>
      <c r="X745" s="117"/>
      <c r="Y745" s="117"/>
      <c r="Z745" s="117"/>
      <c r="AA745" s="117"/>
    </row>
    <row r="746" spans="1:27" ht="14.4">
      <c r="A746" s="117"/>
      <c r="B746" s="117"/>
      <c r="C746" s="117"/>
      <c r="D746" s="117"/>
      <c r="E746" s="117"/>
      <c r="F746" s="117"/>
      <c r="G746" s="117"/>
      <c r="H746" s="117"/>
      <c r="I746" s="235"/>
      <c r="J746" s="235"/>
      <c r="K746" s="235"/>
      <c r="L746" s="117"/>
      <c r="M746" s="117"/>
      <c r="N746" s="117"/>
      <c r="O746" s="117"/>
      <c r="P746" s="117"/>
      <c r="Q746" s="117"/>
      <c r="R746" s="117"/>
      <c r="S746" s="117"/>
      <c r="T746" s="117"/>
      <c r="U746" s="117"/>
      <c r="V746" s="117"/>
      <c r="W746" s="117"/>
      <c r="X746" s="117"/>
      <c r="Y746" s="117"/>
      <c r="Z746" s="117"/>
      <c r="AA746" s="117"/>
    </row>
    <row r="747" spans="1:27" ht="14.4">
      <c r="A747" s="117"/>
      <c r="B747" s="117"/>
      <c r="C747" s="117"/>
      <c r="D747" s="117"/>
      <c r="E747" s="117"/>
      <c r="F747" s="117"/>
      <c r="G747" s="117"/>
      <c r="H747" s="117"/>
      <c r="I747" s="235"/>
      <c r="J747" s="235"/>
      <c r="K747" s="235"/>
      <c r="L747" s="117"/>
      <c r="M747" s="117"/>
      <c r="N747" s="117"/>
      <c r="O747" s="117"/>
      <c r="P747" s="117"/>
      <c r="Q747" s="117"/>
      <c r="R747" s="117"/>
      <c r="S747" s="117"/>
      <c r="T747" s="117"/>
      <c r="U747" s="117"/>
      <c r="V747" s="117"/>
      <c r="W747" s="117"/>
      <c r="X747" s="117"/>
      <c r="Y747" s="117"/>
      <c r="Z747" s="117"/>
      <c r="AA747" s="117"/>
    </row>
    <row r="748" spans="1:27" ht="14.4">
      <c r="A748" s="117"/>
      <c r="B748" s="117"/>
      <c r="C748" s="117"/>
      <c r="D748" s="117"/>
      <c r="E748" s="117"/>
      <c r="F748" s="117"/>
      <c r="G748" s="117"/>
      <c r="H748" s="117"/>
      <c r="I748" s="235"/>
      <c r="J748" s="235"/>
      <c r="K748" s="235"/>
      <c r="L748" s="117"/>
      <c r="M748" s="117"/>
      <c r="N748" s="117"/>
      <c r="O748" s="117"/>
      <c r="P748" s="117"/>
      <c r="Q748" s="117"/>
      <c r="R748" s="117"/>
      <c r="S748" s="117"/>
      <c r="T748" s="117"/>
      <c r="U748" s="117"/>
      <c r="V748" s="117"/>
      <c r="W748" s="117"/>
      <c r="X748" s="117"/>
      <c r="Y748" s="117"/>
      <c r="Z748" s="117"/>
      <c r="AA748" s="117"/>
    </row>
    <row r="749" spans="1:27" ht="14.4">
      <c r="A749" s="117"/>
      <c r="B749" s="117"/>
      <c r="C749" s="117"/>
      <c r="D749" s="117"/>
      <c r="E749" s="117"/>
      <c r="F749" s="117"/>
      <c r="G749" s="117"/>
      <c r="H749" s="117"/>
      <c r="I749" s="235"/>
      <c r="J749" s="235"/>
      <c r="K749" s="235"/>
      <c r="L749" s="117"/>
      <c r="M749" s="117"/>
      <c r="N749" s="117"/>
      <c r="O749" s="117"/>
      <c r="P749" s="117"/>
      <c r="Q749" s="117"/>
      <c r="R749" s="117"/>
      <c r="S749" s="117"/>
      <c r="T749" s="117"/>
      <c r="U749" s="117"/>
      <c r="V749" s="117"/>
      <c r="W749" s="117"/>
      <c r="X749" s="117"/>
      <c r="Y749" s="117"/>
      <c r="Z749" s="117"/>
      <c r="AA749" s="117"/>
    </row>
    <row r="750" spans="1:27" ht="14.4">
      <c r="A750" s="117"/>
      <c r="B750" s="117"/>
      <c r="C750" s="117"/>
      <c r="D750" s="117"/>
      <c r="E750" s="117"/>
      <c r="F750" s="117"/>
      <c r="G750" s="117"/>
      <c r="H750" s="117"/>
      <c r="I750" s="235"/>
      <c r="J750" s="235"/>
      <c r="K750" s="235"/>
      <c r="L750" s="117"/>
      <c r="M750" s="117"/>
      <c r="N750" s="117"/>
      <c r="O750" s="117"/>
      <c r="P750" s="117"/>
      <c r="Q750" s="117"/>
      <c r="R750" s="117"/>
      <c r="S750" s="117"/>
      <c r="T750" s="117"/>
      <c r="U750" s="117"/>
      <c r="V750" s="117"/>
      <c r="W750" s="117"/>
      <c r="X750" s="117"/>
      <c r="Y750" s="117"/>
      <c r="Z750" s="117"/>
      <c r="AA750" s="117"/>
    </row>
    <row r="751" spans="1:27" ht="14.4">
      <c r="A751" s="117"/>
      <c r="B751" s="117"/>
      <c r="C751" s="117"/>
      <c r="D751" s="117"/>
      <c r="E751" s="117"/>
      <c r="F751" s="117"/>
      <c r="G751" s="117"/>
      <c r="H751" s="117"/>
      <c r="I751" s="235"/>
      <c r="J751" s="235"/>
      <c r="K751" s="235"/>
      <c r="L751" s="117"/>
      <c r="M751" s="117"/>
      <c r="N751" s="117"/>
      <c r="O751" s="117"/>
      <c r="P751" s="117"/>
      <c r="Q751" s="117"/>
      <c r="R751" s="117"/>
      <c r="S751" s="117"/>
      <c r="T751" s="117"/>
      <c r="U751" s="117"/>
      <c r="V751" s="117"/>
      <c r="W751" s="117"/>
      <c r="X751" s="117"/>
      <c r="Y751" s="117"/>
      <c r="Z751" s="117"/>
      <c r="AA751" s="117"/>
    </row>
    <row r="752" spans="1:27" ht="14.4">
      <c r="A752" s="117"/>
      <c r="B752" s="117"/>
      <c r="C752" s="117"/>
      <c r="D752" s="117"/>
      <c r="E752" s="117"/>
      <c r="F752" s="117"/>
      <c r="G752" s="117"/>
      <c r="H752" s="117"/>
      <c r="I752" s="235"/>
      <c r="J752" s="235"/>
      <c r="K752" s="235"/>
      <c r="L752" s="117"/>
      <c r="M752" s="117"/>
      <c r="N752" s="117"/>
      <c r="O752" s="117"/>
      <c r="P752" s="117"/>
      <c r="Q752" s="117"/>
      <c r="R752" s="117"/>
      <c r="S752" s="117"/>
      <c r="T752" s="117"/>
      <c r="U752" s="117"/>
      <c r="V752" s="117"/>
      <c r="W752" s="117"/>
      <c r="X752" s="117"/>
      <c r="Y752" s="117"/>
      <c r="Z752" s="117"/>
      <c r="AA752" s="117"/>
    </row>
    <row r="753" spans="1:27" ht="14.4">
      <c r="A753" s="117"/>
      <c r="B753" s="117"/>
      <c r="C753" s="117"/>
      <c r="D753" s="117"/>
      <c r="E753" s="117"/>
      <c r="F753" s="117"/>
      <c r="G753" s="117"/>
      <c r="H753" s="117"/>
      <c r="I753" s="235"/>
      <c r="J753" s="235"/>
      <c r="K753" s="235"/>
      <c r="L753" s="117"/>
      <c r="M753" s="117"/>
      <c r="N753" s="117"/>
      <c r="O753" s="117"/>
      <c r="P753" s="117"/>
      <c r="Q753" s="117"/>
      <c r="R753" s="117"/>
      <c r="S753" s="117"/>
      <c r="T753" s="117"/>
      <c r="U753" s="117"/>
      <c r="V753" s="117"/>
      <c r="W753" s="117"/>
      <c r="X753" s="117"/>
      <c r="Y753" s="117"/>
      <c r="Z753" s="117"/>
      <c r="AA753" s="117"/>
    </row>
    <row r="754" spans="1:27" ht="14.4">
      <c r="A754" s="117"/>
      <c r="B754" s="117"/>
      <c r="C754" s="117"/>
      <c r="D754" s="117"/>
      <c r="E754" s="117"/>
      <c r="F754" s="117"/>
      <c r="G754" s="117"/>
      <c r="H754" s="117"/>
      <c r="I754" s="235"/>
      <c r="J754" s="235"/>
      <c r="K754" s="235"/>
      <c r="L754" s="117"/>
      <c r="M754" s="117"/>
      <c r="N754" s="117"/>
      <c r="O754" s="117"/>
      <c r="P754" s="117"/>
      <c r="Q754" s="117"/>
      <c r="R754" s="117"/>
      <c r="S754" s="117"/>
      <c r="T754" s="117"/>
      <c r="U754" s="117"/>
      <c r="V754" s="117"/>
      <c r="W754" s="117"/>
      <c r="X754" s="117"/>
      <c r="Y754" s="117"/>
      <c r="Z754" s="117"/>
      <c r="AA754" s="117"/>
    </row>
    <row r="755" spans="1:27" ht="14.4">
      <c r="A755" s="117"/>
      <c r="B755" s="117"/>
      <c r="C755" s="117"/>
      <c r="D755" s="117"/>
      <c r="E755" s="117"/>
      <c r="F755" s="117"/>
      <c r="G755" s="117"/>
      <c r="H755" s="117"/>
      <c r="I755" s="235"/>
      <c r="J755" s="235"/>
      <c r="K755" s="235"/>
      <c r="L755" s="117"/>
      <c r="M755" s="117"/>
      <c r="N755" s="117"/>
      <c r="O755" s="117"/>
      <c r="P755" s="117"/>
      <c r="Q755" s="117"/>
      <c r="R755" s="117"/>
      <c r="S755" s="117"/>
      <c r="T755" s="117"/>
      <c r="U755" s="117"/>
      <c r="V755" s="117"/>
      <c r="W755" s="117"/>
      <c r="X755" s="117"/>
      <c r="Y755" s="117"/>
      <c r="Z755" s="117"/>
      <c r="AA755" s="117"/>
    </row>
    <row r="756" spans="1:27" ht="14.4">
      <c r="A756" s="117"/>
      <c r="B756" s="117"/>
      <c r="C756" s="117"/>
      <c r="D756" s="117"/>
      <c r="E756" s="117"/>
      <c r="F756" s="117"/>
      <c r="G756" s="117"/>
      <c r="H756" s="117"/>
      <c r="I756" s="235"/>
      <c r="J756" s="235"/>
      <c r="K756" s="235"/>
      <c r="L756" s="117"/>
      <c r="M756" s="117"/>
      <c r="N756" s="117"/>
      <c r="O756" s="117"/>
      <c r="P756" s="117"/>
      <c r="Q756" s="117"/>
      <c r="R756" s="117"/>
      <c r="S756" s="117"/>
      <c r="T756" s="117"/>
      <c r="U756" s="117"/>
      <c r="V756" s="117"/>
      <c r="W756" s="117"/>
      <c r="X756" s="117"/>
      <c r="Y756" s="117"/>
      <c r="Z756" s="117"/>
      <c r="AA756" s="117"/>
    </row>
    <row r="757" spans="1:27" ht="14.4">
      <c r="A757" s="117"/>
      <c r="B757" s="117"/>
      <c r="C757" s="117"/>
      <c r="D757" s="117"/>
      <c r="E757" s="117"/>
      <c r="F757" s="117"/>
      <c r="G757" s="117"/>
      <c r="H757" s="117"/>
      <c r="I757" s="235"/>
      <c r="J757" s="235"/>
      <c r="K757" s="235"/>
      <c r="L757" s="117"/>
      <c r="M757" s="117"/>
      <c r="N757" s="117"/>
      <c r="O757" s="117"/>
      <c r="P757" s="117"/>
      <c r="Q757" s="117"/>
      <c r="R757" s="117"/>
      <c r="S757" s="117"/>
      <c r="T757" s="117"/>
      <c r="U757" s="117"/>
      <c r="V757" s="117"/>
      <c r="W757" s="117"/>
      <c r="X757" s="117"/>
      <c r="Y757" s="117"/>
      <c r="Z757" s="117"/>
      <c r="AA757" s="117"/>
    </row>
    <row r="758" spans="1:27" ht="14.4">
      <c r="A758" s="117"/>
      <c r="B758" s="117"/>
      <c r="C758" s="117"/>
      <c r="D758" s="117"/>
      <c r="E758" s="117"/>
      <c r="F758" s="117"/>
      <c r="G758" s="117"/>
      <c r="H758" s="117"/>
      <c r="I758" s="235"/>
      <c r="J758" s="235"/>
      <c r="K758" s="235"/>
      <c r="L758" s="117"/>
      <c r="M758" s="117"/>
      <c r="N758" s="117"/>
      <c r="O758" s="117"/>
      <c r="P758" s="117"/>
      <c r="Q758" s="117"/>
      <c r="R758" s="117"/>
      <c r="S758" s="117"/>
      <c r="T758" s="117"/>
      <c r="U758" s="117"/>
      <c r="V758" s="117"/>
      <c r="W758" s="117"/>
      <c r="X758" s="117"/>
      <c r="Y758" s="117"/>
      <c r="Z758" s="117"/>
      <c r="AA758" s="117"/>
    </row>
    <row r="759" spans="1:27" ht="14.4">
      <c r="A759" s="117"/>
      <c r="B759" s="117"/>
      <c r="C759" s="117"/>
      <c r="D759" s="117"/>
      <c r="E759" s="117"/>
      <c r="F759" s="117"/>
      <c r="G759" s="117"/>
      <c r="H759" s="117"/>
      <c r="I759" s="235"/>
      <c r="J759" s="235"/>
      <c r="K759" s="235"/>
      <c r="L759" s="117"/>
      <c r="M759" s="117"/>
      <c r="N759" s="117"/>
      <c r="O759" s="117"/>
      <c r="P759" s="117"/>
      <c r="Q759" s="117"/>
      <c r="R759" s="117"/>
      <c r="S759" s="117"/>
      <c r="T759" s="117"/>
      <c r="U759" s="117"/>
      <c r="V759" s="117"/>
      <c r="W759" s="117"/>
      <c r="X759" s="117"/>
      <c r="Y759" s="117"/>
      <c r="Z759" s="117"/>
      <c r="AA759" s="117"/>
    </row>
    <row r="760" spans="1:27" ht="14.4">
      <c r="A760" s="117"/>
      <c r="B760" s="117"/>
      <c r="C760" s="117"/>
      <c r="D760" s="117"/>
      <c r="E760" s="117"/>
      <c r="F760" s="117"/>
      <c r="G760" s="117"/>
      <c r="H760" s="117"/>
      <c r="I760" s="235"/>
      <c r="J760" s="235"/>
      <c r="K760" s="235"/>
      <c r="L760" s="117"/>
      <c r="M760" s="117"/>
      <c r="N760" s="117"/>
      <c r="O760" s="117"/>
      <c r="P760" s="117"/>
      <c r="Q760" s="117"/>
      <c r="R760" s="117"/>
      <c r="S760" s="117"/>
      <c r="T760" s="117"/>
      <c r="U760" s="117"/>
      <c r="V760" s="117"/>
      <c r="W760" s="117"/>
      <c r="X760" s="117"/>
      <c r="Y760" s="117"/>
      <c r="Z760" s="117"/>
      <c r="AA760" s="117"/>
    </row>
    <row r="761" spans="1:27" ht="14.4">
      <c r="A761" s="117"/>
      <c r="B761" s="117"/>
      <c r="C761" s="117"/>
      <c r="D761" s="117"/>
      <c r="E761" s="117"/>
      <c r="F761" s="117"/>
      <c r="G761" s="117"/>
      <c r="H761" s="117"/>
      <c r="I761" s="235"/>
      <c r="J761" s="235"/>
      <c r="K761" s="235"/>
      <c r="L761" s="117"/>
      <c r="M761" s="117"/>
      <c r="N761" s="117"/>
      <c r="O761" s="117"/>
      <c r="P761" s="117"/>
      <c r="Q761" s="117"/>
      <c r="R761" s="117"/>
      <c r="S761" s="117"/>
      <c r="T761" s="117"/>
      <c r="U761" s="117"/>
      <c r="V761" s="117"/>
      <c r="W761" s="117"/>
      <c r="X761" s="117"/>
      <c r="Y761" s="117"/>
      <c r="Z761" s="117"/>
      <c r="AA761" s="117"/>
    </row>
    <row r="762" spans="1:27" ht="14.4">
      <c r="A762" s="117"/>
      <c r="B762" s="117"/>
      <c r="C762" s="117"/>
      <c r="D762" s="117"/>
      <c r="E762" s="117"/>
      <c r="F762" s="117"/>
      <c r="G762" s="117"/>
      <c r="H762" s="117"/>
      <c r="I762" s="235"/>
      <c r="J762" s="235"/>
      <c r="K762" s="235"/>
      <c r="L762" s="117"/>
      <c r="M762" s="117"/>
      <c r="N762" s="117"/>
      <c r="O762" s="117"/>
      <c r="P762" s="117"/>
      <c r="Q762" s="117"/>
      <c r="R762" s="117"/>
      <c r="S762" s="117"/>
      <c r="T762" s="117"/>
      <c r="U762" s="117"/>
      <c r="V762" s="117"/>
      <c r="W762" s="117"/>
      <c r="X762" s="117"/>
      <c r="Y762" s="117"/>
      <c r="Z762" s="117"/>
      <c r="AA762" s="117"/>
    </row>
    <row r="763" spans="1:27" ht="14.4">
      <c r="A763" s="117"/>
      <c r="B763" s="117"/>
      <c r="C763" s="117"/>
      <c r="D763" s="117"/>
      <c r="E763" s="117"/>
      <c r="F763" s="117"/>
      <c r="G763" s="117"/>
      <c r="H763" s="117"/>
      <c r="I763" s="235"/>
      <c r="J763" s="235"/>
      <c r="K763" s="235"/>
      <c r="L763" s="117"/>
      <c r="M763" s="117"/>
      <c r="N763" s="117"/>
      <c r="O763" s="117"/>
      <c r="P763" s="117"/>
      <c r="Q763" s="117"/>
      <c r="R763" s="117"/>
      <c r="S763" s="117"/>
      <c r="T763" s="117"/>
      <c r="U763" s="117"/>
      <c r="V763" s="117"/>
      <c r="W763" s="117"/>
      <c r="X763" s="117"/>
      <c r="Y763" s="117"/>
      <c r="Z763" s="117"/>
      <c r="AA763" s="117"/>
    </row>
    <row r="764" spans="1:27" ht="14.4">
      <c r="A764" s="117"/>
      <c r="B764" s="117"/>
      <c r="C764" s="117"/>
      <c r="D764" s="117"/>
      <c r="E764" s="117"/>
      <c r="F764" s="117"/>
      <c r="G764" s="117"/>
      <c r="H764" s="117"/>
      <c r="I764" s="235"/>
      <c r="J764" s="235"/>
      <c r="K764" s="235"/>
      <c r="L764" s="117"/>
      <c r="M764" s="117"/>
      <c r="N764" s="117"/>
      <c r="O764" s="117"/>
      <c r="P764" s="117"/>
      <c r="Q764" s="117"/>
      <c r="R764" s="117"/>
      <c r="S764" s="117"/>
      <c r="T764" s="117"/>
      <c r="U764" s="117"/>
      <c r="V764" s="117"/>
      <c r="W764" s="117"/>
      <c r="X764" s="117"/>
      <c r="Y764" s="117"/>
      <c r="Z764" s="117"/>
      <c r="AA764" s="117"/>
    </row>
    <row r="765" spans="1:27" ht="14.4">
      <c r="A765" s="117"/>
      <c r="B765" s="117"/>
      <c r="C765" s="117"/>
      <c r="D765" s="117"/>
      <c r="E765" s="117"/>
      <c r="F765" s="117"/>
      <c r="G765" s="117"/>
      <c r="H765" s="117"/>
      <c r="I765" s="235"/>
      <c r="J765" s="235"/>
      <c r="K765" s="235"/>
      <c r="L765" s="117"/>
      <c r="M765" s="117"/>
      <c r="N765" s="117"/>
      <c r="O765" s="117"/>
      <c r="P765" s="117"/>
      <c r="Q765" s="117"/>
      <c r="R765" s="117"/>
      <c r="S765" s="117"/>
      <c r="T765" s="117"/>
      <c r="U765" s="117"/>
      <c r="V765" s="117"/>
      <c r="W765" s="117"/>
      <c r="X765" s="117"/>
      <c r="Y765" s="117"/>
      <c r="Z765" s="117"/>
      <c r="AA765" s="117"/>
    </row>
    <row r="766" spans="1:27" ht="14.4">
      <c r="A766" s="117"/>
      <c r="B766" s="117"/>
      <c r="C766" s="117"/>
      <c r="D766" s="117"/>
      <c r="E766" s="117"/>
      <c r="F766" s="117"/>
      <c r="G766" s="117"/>
      <c r="H766" s="117"/>
      <c r="I766" s="235"/>
      <c r="J766" s="235"/>
      <c r="K766" s="235"/>
      <c r="L766" s="117"/>
      <c r="M766" s="117"/>
      <c r="N766" s="117"/>
      <c r="O766" s="117"/>
      <c r="P766" s="117"/>
      <c r="Q766" s="117"/>
      <c r="R766" s="117"/>
      <c r="S766" s="117"/>
      <c r="T766" s="117"/>
      <c r="U766" s="117"/>
      <c r="V766" s="117"/>
      <c r="W766" s="117"/>
      <c r="X766" s="117"/>
      <c r="Y766" s="117"/>
      <c r="Z766" s="117"/>
      <c r="AA766" s="117"/>
    </row>
    <row r="767" spans="1:27" ht="14.4">
      <c r="A767" s="117"/>
      <c r="B767" s="117"/>
      <c r="C767" s="117"/>
      <c r="D767" s="117"/>
      <c r="E767" s="117"/>
      <c r="F767" s="117"/>
      <c r="G767" s="117"/>
      <c r="H767" s="117"/>
      <c r="I767" s="235"/>
      <c r="J767" s="235"/>
      <c r="K767" s="235"/>
      <c r="L767" s="117"/>
      <c r="M767" s="117"/>
      <c r="N767" s="117"/>
      <c r="O767" s="117"/>
      <c r="P767" s="117"/>
      <c r="Q767" s="117"/>
      <c r="R767" s="117"/>
      <c r="S767" s="117"/>
      <c r="T767" s="117"/>
      <c r="U767" s="117"/>
      <c r="V767" s="117"/>
      <c r="W767" s="117"/>
      <c r="X767" s="117"/>
      <c r="Y767" s="117"/>
      <c r="Z767" s="117"/>
      <c r="AA767" s="117"/>
    </row>
    <row r="768" spans="1:27" ht="14.4">
      <c r="A768" s="117"/>
      <c r="B768" s="117"/>
      <c r="C768" s="117"/>
      <c r="D768" s="117"/>
      <c r="E768" s="117"/>
      <c r="F768" s="117"/>
      <c r="G768" s="117"/>
      <c r="H768" s="117"/>
      <c r="I768" s="235"/>
      <c r="J768" s="235"/>
      <c r="K768" s="235"/>
      <c r="L768" s="117"/>
      <c r="M768" s="117"/>
      <c r="N768" s="117"/>
      <c r="O768" s="117"/>
      <c r="P768" s="117"/>
      <c r="Q768" s="117"/>
      <c r="R768" s="117"/>
      <c r="S768" s="117"/>
      <c r="T768" s="117"/>
      <c r="U768" s="117"/>
      <c r="V768" s="117"/>
      <c r="W768" s="117"/>
      <c r="X768" s="117"/>
      <c r="Y768" s="117"/>
      <c r="Z768" s="117"/>
      <c r="AA768" s="117"/>
    </row>
    <row r="769" spans="1:27" ht="14.4">
      <c r="A769" s="117"/>
      <c r="B769" s="117"/>
      <c r="C769" s="117"/>
      <c r="D769" s="117"/>
      <c r="E769" s="117"/>
      <c r="F769" s="117"/>
      <c r="G769" s="117"/>
      <c r="H769" s="117"/>
      <c r="I769" s="235"/>
      <c r="J769" s="235"/>
      <c r="K769" s="235"/>
      <c r="L769" s="117"/>
      <c r="M769" s="117"/>
      <c r="N769" s="117"/>
      <c r="O769" s="117"/>
      <c r="P769" s="117"/>
      <c r="Q769" s="117"/>
      <c r="R769" s="117"/>
      <c r="S769" s="117"/>
      <c r="T769" s="117"/>
      <c r="U769" s="117"/>
      <c r="V769" s="117"/>
      <c r="W769" s="117"/>
      <c r="X769" s="117"/>
      <c r="Y769" s="117"/>
      <c r="Z769" s="117"/>
      <c r="AA769" s="117"/>
    </row>
    <row r="770" spans="1:27" ht="14.4">
      <c r="A770" s="117"/>
      <c r="B770" s="117"/>
      <c r="C770" s="117"/>
      <c r="D770" s="117"/>
      <c r="E770" s="117"/>
      <c r="F770" s="117"/>
      <c r="G770" s="117"/>
      <c r="H770" s="117"/>
      <c r="I770" s="235"/>
      <c r="J770" s="235"/>
      <c r="K770" s="235"/>
      <c r="L770" s="117"/>
      <c r="M770" s="117"/>
      <c r="N770" s="117"/>
      <c r="O770" s="117"/>
      <c r="P770" s="117"/>
      <c r="Q770" s="117"/>
      <c r="R770" s="117"/>
      <c r="S770" s="117"/>
      <c r="T770" s="117"/>
      <c r="U770" s="117"/>
      <c r="V770" s="117"/>
      <c r="W770" s="117"/>
      <c r="X770" s="117"/>
      <c r="Y770" s="117"/>
      <c r="Z770" s="117"/>
      <c r="AA770" s="117"/>
    </row>
    <row r="771" spans="1:27" ht="14.4">
      <c r="A771" s="117"/>
      <c r="B771" s="117"/>
      <c r="C771" s="117"/>
      <c r="D771" s="117"/>
      <c r="E771" s="117"/>
      <c r="F771" s="117"/>
      <c r="G771" s="117"/>
      <c r="H771" s="117"/>
      <c r="I771" s="235"/>
      <c r="J771" s="235"/>
      <c r="K771" s="235"/>
      <c r="L771" s="117"/>
      <c r="M771" s="117"/>
      <c r="N771" s="117"/>
      <c r="O771" s="117"/>
      <c r="P771" s="117"/>
      <c r="Q771" s="117"/>
      <c r="R771" s="117"/>
      <c r="S771" s="117"/>
      <c r="T771" s="117"/>
      <c r="U771" s="117"/>
      <c r="V771" s="117"/>
      <c r="W771" s="117"/>
      <c r="X771" s="117"/>
      <c r="Y771" s="117"/>
      <c r="Z771" s="117"/>
      <c r="AA771" s="117"/>
    </row>
    <row r="772" spans="1:27" ht="14.4">
      <c r="A772" s="117"/>
      <c r="B772" s="117"/>
      <c r="C772" s="117"/>
      <c r="D772" s="117"/>
      <c r="E772" s="117"/>
      <c r="F772" s="117"/>
      <c r="G772" s="117"/>
      <c r="H772" s="117"/>
      <c r="I772" s="235"/>
      <c r="J772" s="235"/>
      <c r="K772" s="235"/>
      <c r="L772" s="117"/>
      <c r="M772" s="117"/>
      <c r="N772" s="117"/>
      <c r="O772" s="117"/>
      <c r="P772" s="117"/>
      <c r="Q772" s="117"/>
      <c r="R772" s="117"/>
      <c r="S772" s="117"/>
      <c r="T772" s="117"/>
      <c r="U772" s="117"/>
      <c r="V772" s="117"/>
      <c r="W772" s="117"/>
      <c r="X772" s="117"/>
      <c r="Y772" s="117"/>
      <c r="Z772" s="117"/>
      <c r="AA772" s="117"/>
    </row>
    <row r="773" spans="1:27" ht="14.4">
      <c r="A773" s="117"/>
      <c r="B773" s="117"/>
      <c r="C773" s="117"/>
      <c r="D773" s="117"/>
      <c r="E773" s="117"/>
      <c r="F773" s="117"/>
      <c r="G773" s="117"/>
      <c r="H773" s="117"/>
      <c r="I773" s="235"/>
      <c r="J773" s="235"/>
      <c r="K773" s="235"/>
      <c r="L773" s="117"/>
      <c r="M773" s="117"/>
      <c r="N773" s="117"/>
      <c r="O773" s="117"/>
      <c r="P773" s="117"/>
      <c r="Q773" s="117"/>
      <c r="R773" s="117"/>
      <c r="S773" s="117"/>
      <c r="T773" s="117"/>
      <c r="U773" s="117"/>
      <c r="V773" s="117"/>
      <c r="W773" s="117"/>
      <c r="X773" s="117"/>
      <c r="Y773" s="117"/>
      <c r="Z773" s="117"/>
      <c r="AA773" s="117"/>
    </row>
    <row r="774" spans="1:27" ht="14.4">
      <c r="A774" s="117"/>
      <c r="B774" s="117"/>
      <c r="C774" s="117"/>
      <c r="D774" s="117"/>
      <c r="E774" s="117"/>
      <c r="F774" s="117"/>
      <c r="G774" s="117"/>
      <c r="H774" s="117"/>
      <c r="I774" s="235"/>
      <c r="J774" s="235"/>
      <c r="K774" s="235"/>
      <c r="L774" s="117"/>
      <c r="M774" s="117"/>
      <c r="N774" s="117"/>
      <c r="O774" s="117"/>
      <c r="P774" s="117"/>
      <c r="Q774" s="117"/>
      <c r="R774" s="117"/>
      <c r="S774" s="117"/>
      <c r="T774" s="117"/>
      <c r="U774" s="117"/>
      <c r="V774" s="117"/>
      <c r="W774" s="117"/>
      <c r="X774" s="117"/>
      <c r="Y774" s="117"/>
      <c r="Z774" s="117"/>
      <c r="AA774" s="117"/>
    </row>
    <row r="775" spans="1:27" ht="14.4">
      <c r="A775" s="117"/>
      <c r="B775" s="117"/>
      <c r="C775" s="117"/>
      <c r="D775" s="117"/>
      <c r="E775" s="117"/>
      <c r="F775" s="117"/>
      <c r="G775" s="117"/>
      <c r="H775" s="117"/>
      <c r="I775" s="235"/>
      <c r="J775" s="235"/>
      <c r="K775" s="235"/>
      <c r="L775" s="117"/>
      <c r="M775" s="117"/>
      <c r="N775" s="117"/>
      <c r="O775" s="117"/>
      <c r="P775" s="117"/>
      <c r="Q775" s="117"/>
      <c r="R775" s="117"/>
      <c r="S775" s="117"/>
      <c r="T775" s="117"/>
      <c r="U775" s="117"/>
      <c r="V775" s="117"/>
      <c r="W775" s="117"/>
      <c r="X775" s="117"/>
      <c r="Y775" s="117"/>
      <c r="Z775" s="117"/>
      <c r="AA775" s="117"/>
    </row>
    <row r="776" spans="1:27" ht="14.4">
      <c r="A776" s="117"/>
      <c r="B776" s="117"/>
      <c r="C776" s="117"/>
      <c r="D776" s="117"/>
      <c r="E776" s="117"/>
      <c r="F776" s="117"/>
      <c r="G776" s="117"/>
      <c r="H776" s="117"/>
      <c r="I776" s="235"/>
      <c r="J776" s="235"/>
      <c r="K776" s="235"/>
      <c r="L776" s="117"/>
      <c r="M776" s="117"/>
      <c r="N776" s="117"/>
      <c r="O776" s="117"/>
      <c r="P776" s="117"/>
      <c r="Q776" s="117"/>
      <c r="R776" s="117"/>
      <c r="S776" s="117"/>
      <c r="T776" s="117"/>
      <c r="U776" s="117"/>
      <c r="V776" s="117"/>
      <c r="W776" s="117"/>
      <c r="X776" s="117"/>
      <c r="Y776" s="117"/>
      <c r="Z776" s="117"/>
      <c r="AA776" s="117"/>
    </row>
    <row r="777" spans="1:27" ht="14.4">
      <c r="A777" s="117"/>
      <c r="B777" s="117"/>
      <c r="C777" s="117"/>
      <c r="D777" s="117"/>
      <c r="E777" s="117"/>
      <c r="F777" s="117"/>
      <c r="G777" s="117"/>
      <c r="H777" s="117"/>
      <c r="I777" s="235"/>
      <c r="J777" s="235"/>
      <c r="K777" s="235"/>
      <c r="L777" s="117"/>
      <c r="M777" s="117"/>
      <c r="N777" s="117"/>
      <c r="O777" s="117"/>
      <c r="P777" s="117"/>
      <c r="Q777" s="117"/>
      <c r="R777" s="117"/>
      <c r="S777" s="117"/>
      <c r="T777" s="117"/>
      <c r="U777" s="117"/>
      <c r="V777" s="117"/>
      <c r="W777" s="117"/>
      <c r="X777" s="117"/>
      <c r="Y777" s="117"/>
      <c r="Z777" s="117"/>
      <c r="AA777" s="117"/>
    </row>
    <row r="778" spans="1:27" ht="14.4">
      <c r="A778" s="117"/>
      <c r="B778" s="117"/>
      <c r="C778" s="117"/>
      <c r="D778" s="117"/>
      <c r="E778" s="117"/>
      <c r="F778" s="117"/>
      <c r="G778" s="117"/>
      <c r="H778" s="117"/>
      <c r="I778" s="235"/>
      <c r="J778" s="235"/>
      <c r="K778" s="235"/>
      <c r="L778" s="117"/>
      <c r="M778" s="117"/>
      <c r="N778" s="117"/>
      <c r="O778" s="117"/>
      <c r="P778" s="117"/>
      <c r="Q778" s="117"/>
      <c r="R778" s="117"/>
      <c r="S778" s="117"/>
      <c r="T778" s="117"/>
      <c r="U778" s="117"/>
      <c r="V778" s="117"/>
      <c r="W778" s="117"/>
      <c r="X778" s="117"/>
      <c r="Y778" s="117"/>
      <c r="Z778" s="117"/>
      <c r="AA778" s="117"/>
    </row>
    <row r="779" spans="1:27" ht="14.4">
      <c r="A779" s="117"/>
      <c r="B779" s="117"/>
      <c r="C779" s="117"/>
      <c r="D779" s="117"/>
      <c r="E779" s="117"/>
      <c r="F779" s="117"/>
      <c r="G779" s="117"/>
      <c r="H779" s="117"/>
      <c r="I779" s="235"/>
      <c r="J779" s="235"/>
      <c r="K779" s="235"/>
      <c r="L779" s="117"/>
      <c r="M779" s="117"/>
      <c r="N779" s="117"/>
      <c r="O779" s="117"/>
      <c r="P779" s="117"/>
      <c r="Q779" s="117"/>
      <c r="R779" s="117"/>
      <c r="S779" s="117"/>
      <c r="T779" s="117"/>
      <c r="U779" s="117"/>
      <c r="V779" s="117"/>
      <c r="W779" s="117"/>
      <c r="X779" s="117"/>
      <c r="Y779" s="117"/>
      <c r="Z779" s="117"/>
      <c r="AA779" s="117"/>
    </row>
    <row r="780" spans="1:27" ht="14.4">
      <c r="A780" s="117"/>
      <c r="B780" s="117"/>
      <c r="C780" s="117"/>
      <c r="D780" s="117"/>
      <c r="E780" s="117"/>
      <c r="F780" s="117"/>
      <c r="G780" s="117"/>
      <c r="H780" s="117"/>
      <c r="I780" s="235"/>
      <c r="J780" s="235"/>
      <c r="K780" s="235"/>
      <c r="L780" s="117"/>
      <c r="M780" s="117"/>
      <c r="N780" s="117"/>
      <c r="O780" s="117"/>
      <c r="P780" s="117"/>
      <c r="Q780" s="117"/>
      <c r="R780" s="117"/>
      <c r="S780" s="117"/>
      <c r="T780" s="117"/>
      <c r="U780" s="117"/>
      <c r="V780" s="117"/>
      <c r="W780" s="117"/>
      <c r="X780" s="117"/>
      <c r="Y780" s="117"/>
      <c r="Z780" s="117"/>
      <c r="AA780" s="117"/>
    </row>
    <row r="781" spans="1:27" ht="14.4">
      <c r="A781" s="117"/>
      <c r="B781" s="117"/>
      <c r="C781" s="117"/>
      <c r="D781" s="117"/>
      <c r="E781" s="117"/>
      <c r="F781" s="117"/>
      <c r="G781" s="117"/>
      <c r="H781" s="117"/>
      <c r="I781" s="235"/>
      <c r="J781" s="235"/>
      <c r="K781" s="235"/>
      <c r="L781" s="117"/>
      <c r="M781" s="117"/>
      <c r="N781" s="117"/>
      <c r="O781" s="117"/>
      <c r="P781" s="117"/>
      <c r="Q781" s="117"/>
      <c r="R781" s="117"/>
      <c r="S781" s="117"/>
      <c r="T781" s="117"/>
      <c r="U781" s="117"/>
      <c r="V781" s="117"/>
      <c r="W781" s="117"/>
      <c r="X781" s="117"/>
      <c r="Y781" s="117"/>
      <c r="Z781" s="117"/>
      <c r="AA781" s="117"/>
    </row>
    <row r="782" spans="1:27" ht="14.4">
      <c r="A782" s="117"/>
      <c r="B782" s="117"/>
      <c r="C782" s="117"/>
      <c r="D782" s="117"/>
      <c r="E782" s="117"/>
      <c r="F782" s="117"/>
      <c r="G782" s="117"/>
      <c r="H782" s="117"/>
      <c r="I782" s="235"/>
      <c r="J782" s="235"/>
      <c r="K782" s="235"/>
      <c r="L782" s="117"/>
      <c r="M782" s="117"/>
      <c r="N782" s="117"/>
      <c r="O782" s="117"/>
      <c r="P782" s="117"/>
      <c r="Q782" s="117"/>
      <c r="R782" s="117"/>
      <c r="S782" s="117"/>
      <c r="T782" s="117"/>
      <c r="U782" s="117"/>
      <c r="V782" s="117"/>
      <c r="W782" s="117"/>
      <c r="X782" s="117"/>
      <c r="Y782" s="117"/>
      <c r="Z782" s="117"/>
      <c r="AA782" s="117"/>
    </row>
    <row r="783" spans="1:27" ht="14.4">
      <c r="A783" s="117"/>
      <c r="B783" s="117"/>
      <c r="C783" s="117"/>
      <c r="D783" s="117"/>
      <c r="E783" s="117"/>
      <c r="F783" s="117"/>
      <c r="G783" s="117"/>
      <c r="H783" s="117"/>
      <c r="I783" s="235"/>
      <c r="J783" s="235"/>
      <c r="K783" s="235"/>
      <c r="L783" s="117"/>
      <c r="M783" s="117"/>
      <c r="N783" s="117"/>
      <c r="O783" s="117"/>
      <c r="P783" s="117"/>
      <c r="Q783" s="117"/>
      <c r="R783" s="117"/>
      <c r="S783" s="117"/>
      <c r="T783" s="117"/>
      <c r="U783" s="117"/>
      <c r="V783" s="117"/>
      <c r="W783" s="117"/>
      <c r="X783" s="117"/>
      <c r="Y783" s="117"/>
      <c r="Z783" s="117"/>
      <c r="AA783" s="117"/>
    </row>
    <row r="784" spans="1:27" ht="14.4">
      <c r="A784" s="117"/>
      <c r="B784" s="117"/>
      <c r="C784" s="117"/>
      <c r="D784" s="117"/>
      <c r="E784" s="117"/>
      <c r="F784" s="117"/>
      <c r="G784" s="117"/>
      <c r="H784" s="117"/>
      <c r="I784" s="235"/>
      <c r="J784" s="235"/>
      <c r="K784" s="235"/>
      <c r="L784" s="117"/>
      <c r="M784" s="117"/>
      <c r="N784" s="117"/>
      <c r="O784" s="117"/>
      <c r="P784" s="117"/>
      <c r="Q784" s="117"/>
      <c r="R784" s="117"/>
      <c r="S784" s="117"/>
      <c r="T784" s="117"/>
      <c r="U784" s="117"/>
      <c r="V784" s="117"/>
      <c r="W784" s="117"/>
      <c r="X784" s="117"/>
      <c r="Y784" s="117"/>
      <c r="Z784" s="117"/>
      <c r="AA784" s="117"/>
    </row>
    <row r="785" spans="1:27" ht="14.4">
      <c r="A785" s="117"/>
      <c r="B785" s="117"/>
      <c r="C785" s="117"/>
      <c r="D785" s="117"/>
      <c r="E785" s="117"/>
      <c r="F785" s="117"/>
      <c r="G785" s="117"/>
      <c r="H785" s="117"/>
      <c r="I785" s="235"/>
      <c r="J785" s="235"/>
      <c r="K785" s="235"/>
      <c r="L785" s="117"/>
      <c r="M785" s="117"/>
      <c r="N785" s="117"/>
      <c r="O785" s="117"/>
      <c r="P785" s="117"/>
      <c r="Q785" s="117"/>
      <c r="R785" s="117"/>
      <c r="S785" s="117"/>
      <c r="T785" s="117"/>
      <c r="U785" s="117"/>
      <c r="V785" s="117"/>
      <c r="W785" s="117"/>
      <c r="X785" s="117"/>
      <c r="Y785" s="117"/>
      <c r="Z785" s="117"/>
      <c r="AA785" s="117"/>
    </row>
    <row r="786" spans="1:27" ht="14.4">
      <c r="A786" s="117"/>
      <c r="B786" s="117"/>
      <c r="C786" s="117"/>
      <c r="D786" s="117"/>
      <c r="E786" s="117"/>
      <c r="F786" s="117"/>
      <c r="G786" s="117"/>
      <c r="H786" s="117"/>
      <c r="I786" s="235"/>
      <c r="J786" s="235"/>
      <c r="K786" s="235"/>
      <c r="L786" s="117"/>
      <c r="M786" s="117"/>
      <c r="N786" s="117"/>
      <c r="O786" s="117"/>
      <c r="P786" s="117"/>
      <c r="Q786" s="117"/>
      <c r="R786" s="117"/>
      <c r="S786" s="117"/>
      <c r="T786" s="117"/>
      <c r="U786" s="117"/>
      <c r="V786" s="117"/>
      <c r="W786" s="117"/>
      <c r="X786" s="117"/>
      <c r="Y786" s="117"/>
      <c r="Z786" s="117"/>
      <c r="AA786" s="117"/>
    </row>
    <row r="787" spans="1:27" ht="14.4">
      <c r="A787" s="117"/>
      <c r="B787" s="117"/>
      <c r="C787" s="117"/>
      <c r="D787" s="117"/>
      <c r="E787" s="117"/>
      <c r="F787" s="117"/>
      <c r="G787" s="117"/>
      <c r="H787" s="117"/>
      <c r="I787" s="235"/>
      <c r="J787" s="235"/>
      <c r="K787" s="235"/>
      <c r="L787" s="117"/>
      <c r="M787" s="117"/>
      <c r="N787" s="117"/>
      <c r="O787" s="117"/>
      <c r="P787" s="117"/>
      <c r="Q787" s="117"/>
      <c r="R787" s="117"/>
      <c r="S787" s="117"/>
      <c r="T787" s="117"/>
      <c r="U787" s="117"/>
      <c r="V787" s="117"/>
      <c r="W787" s="117"/>
      <c r="X787" s="117"/>
      <c r="Y787" s="117"/>
      <c r="Z787" s="117"/>
      <c r="AA787" s="117"/>
    </row>
    <row r="788" spans="1:27" ht="14.4">
      <c r="A788" s="117"/>
      <c r="B788" s="117"/>
      <c r="C788" s="117"/>
      <c r="D788" s="117"/>
      <c r="E788" s="117"/>
      <c r="F788" s="117"/>
      <c r="G788" s="117"/>
      <c r="H788" s="117"/>
      <c r="I788" s="235"/>
      <c r="J788" s="235"/>
      <c r="K788" s="235"/>
      <c r="L788" s="117"/>
      <c r="M788" s="117"/>
      <c r="N788" s="117"/>
      <c r="O788" s="117"/>
      <c r="P788" s="117"/>
      <c r="Q788" s="117"/>
      <c r="R788" s="117"/>
      <c r="S788" s="117"/>
      <c r="T788" s="117"/>
      <c r="U788" s="117"/>
      <c r="V788" s="117"/>
      <c r="W788" s="117"/>
      <c r="X788" s="117"/>
      <c r="Y788" s="117"/>
      <c r="Z788" s="117"/>
      <c r="AA788" s="117"/>
    </row>
    <row r="789" spans="1:27" ht="14.4">
      <c r="A789" s="117"/>
      <c r="B789" s="117"/>
      <c r="C789" s="117"/>
      <c r="D789" s="117"/>
      <c r="E789" s="117"/>
      <c r="F789" s="117"/>
      <c r="G789" s="117"/>
      <c r="H789" s="117"/>
      <c r="I789" s="235"/>
      <c r="J789" s="235"/>
      <c r="K789" s="235"/>
      <c r="L789" s="117"/>
      <c r="M789" s="117"/>
      <c r="N789" s="117"/>
      <c r="O789" s="117"/>
      <c r="P789" s="117"/>
      <c r="Q789" s="117"/>
      <c r="R789" s="117"/>
      <c r="S789" s="117"/>
      <c r="T789" s="117"/>
      <c r="U789" s="117"/>
      <c r="V789" s="117"/>
      <c r="W789" s="117"/>
      <c r="X789" s="117"/>
      <c r="Y789" s="117"/>
      <c r="Z789" s="117"/>
      <c r="AA789" s="117"/>
    </row>
    <row r="790" spans="1:27" ht="14.4">
      <c r="A790" s="117"/>
      <c r="B790" s="117"/>
      <c r="C790" s="117"/>
      <c r="D790" s="117"/>
      <c r="E790" s="117"/>
      <c r="F790" s="117"/>
      <c r="G790" s="117"/>
      <c r="H790" s="117"/>
      <c r="I790" s="235"/>
      <c r="J790" s="235"/>
      <c r="K790" s="235"/>
      <c r="L790" s="117"/>
      <c r="M790" s="117"/>
      <c r="N790" s="117"/>
      <c r="O790" s="117"/>
      <c r="P790" s="117"/>
      <c r="Q790" s="117"/>
      <c r="R790" s="117"/>
      <c r="S790" s="117"/>
      <c r="T790" s="117"/>
      <c r="U790" s="117"/>
      <c r="V790" s="117"/>
      <c r="W790" s="117"/>
      <c r="X790" s="117"/>
      <c r="Y790" s="117"/>
      <c r="Z790" s="117"/>
      <c r="AA790" s="117"/>
    </row>
    <row r="791" spans="1:27" ht="14.4">
      <c r="A791" s="117"/>
      <c r="B791" s="117"/>
      <c r="C791" s="117"/>
      <c r="D791" s="117"/>
      <c r="E791" s="117"/>
      <c r="F791" s="117"/>
      <c r="G791" s="117"/>
      <c r="H791" s="117"/>
      <c r="I791" s="235"/>
      <c r="J791" s="235"/>
      <c r="K791" s="235"/>
      <c r="L791" s="117"/>
      <c r="M791" s="117"/>
      <c r="N791" s="117"/>
      <c r="O791" s="117"/>
      <c r="P791" s="117"/>
      <c r="Q791" s="117"/>
      <c r="R791" s="117"/>
      <c r="S791" s="117"/>
      <c r="T791" s="117"/>
      <c r="U791" s="117"/>
      <c r="V791" s="117"/>
      <c r="W791" s="117"/>
      <c r="X791" s="117"/>
      <c r="Y791" s="117"/>
      <c r="Z791" s="117"/>
      <c r="AA791" s="117"/>
    </row>
    <row r="792" spans="1:27" ht="14.4">
      <c r="A792" s="117"/>
      <c r="B792" s="117"/>
      <c r="C792" s="117"/>
      <c r="D792" s="117"/>
      <c r="E792" s="117"/>
      <c r="F792" s="117"/>
      <c r="G792" s="117"/>
      <c r="H792" s="117"/>
      <c r="I792" s="235"/>
      <c r="J792" s="235"/>
      <c r="K792" s="235"/>
      <c r="L792" s="117"/>
      <c r="M792" s="117"/>
      <c r="N792" s="117"/>
      <c r="O792" s="117"/>
      <c r="P792" s="117"/>
      <c r="Q792" s="117"/>
      <c r="R792" s="117"/>
      <c r="S792" s="117"/>
      <c r="T792" s="117"/>
      <c r="U792" s="117"/>
      <c r="V792" s="117"/>
      <c r="W792" s="117"/>
      <c r="X792" s="117"/>
      <c r="Y792" s="117"/>
      <c r="Z792" s="117"/>
      <c r="AA792" s="117"/>
    </row>
    <row r="793" spans="1:27" ht="14.4">
      <c r="A793" s="117"/>
      <c r="B793" s="117"/>
      <c r="C793" s="117"/>
      <c r="D793" s="117"/>
      <c r="E793" s="117"/>
      <c r="F793" s="117"/>
      <c r="G793" s="117"/>
      <c r="H793" s="117"/>
      <c r="I793" s="235"/>
      <c r="J793" s="235"/>
      <c r="K793" s="235"/>
      <c r="L793" s="117"/>
      <c r="M793" s="117"/>
      <c r="N793" s="117"/>
      <c r="O793" s="117"/>
      <c r="P793" s="117"/>
      <c r="Q793" s="117"/>
      <c r="R793" s="117"/>
      <c r="S793" s="117"/>
      <c r="T793" s="117"/>
      <c r="U793" s="117"/>
      <c r="V793" s="117"/>
      <c r="W793" s="117"/>
      <c r="X793" s="117"/>
      <c r="Y793" s="117"/>
      <c r="Z793" s="117"/>
      <c r="AA793" s="117"/>
    </row>
    <row r="794" spans="1:27" ht="14.4">
      <c r="A794" s="117"/>
      <c r="B794" s="117"/>
      <c r="C794" s="117"/>
      <c r="D794" s="117"/>
      <c r="E794" s="117"/>
      <c r="F794" s="117"/>
      <c r="G794" s="117"/>
      <c r="H794" s="117"/>
      <c r="I794" s="235"/>
      <c r="J794" s="235"/>
      <c r="K794" s="235"/>
      <c r="L794" s="117"/>
      <c r="M794" s="117"/>
      <c r="N794" s="117"/>
      <c r="O794" s="117"/>
      <c r="P794" s="117"/>
      <c r="Q794" s="117"/>
      <c r="R794" s="117"/>
      <c r="S794" s="117"/>
      <c r="T794" s="117"/>
      <c r="U794" s="117"/>
      <c r="V794" s="117"/>
      <c r="W794" s="117"/>
      <c r="X794" s="117"/>
      <c r="Y794" s="117"/>
      <c r="Z794" s="117"/>
      <c r="AA794" s="117"/>
    </row>
    <row r="795" spans="1:27" ht="14.4">
      <c r="A795" s="117"/>
      <c r="B795" s="117"/>
      <c r="C795" s="117"/>
      <c r="D795" s="117"/>
      <c r="E795" s="117"/>
      <c r="F795" s="117"/>
      <c r="G795" s="117"/>
      <c r="H795" s="117"/>
      <c r="I795" s="235"/>
      <c r="J795" s="235"/>
      <c r="K795" s="235"/>
      <c r="L795" s="117"/>
      <c r="M795" s="117"/>
      <c r="N795" s="117"/>
      <c r="O795" s="117"/>
      <c r="P795" s="117"/>
      <c r="Q795" s="117"/>
      <c r="R795" s="117"/>
      <c r="S795" s="117"/>
      <c r="T795" s="117"/>
      <c r="U795" s="117"/>
      <c r="V795" s="117"/>
      <c r="W795" s="117"/>
      <c r="X795" s="117"/>
      <c r="Y795" s="117"/>
      <c r="Z795" s="117"/>
      <c r="AA795" s="117"/>
    </row>
    <row r="796" spans="1:27" ht="14.4">
      <c r="A796" s="117"/>
      <c r="B796" s="117"/>
      <c r="C796" s="117"/>
      <c r="D796" s="117"/>
      <c r="E796" s="117"/>
      <c r="F796" s="117"/>
      <c r="G796" s="117"/>
      <c r="H796" s="117"/>
      <c r="I796" s="235"/>
      <c r="J796" s="235"/>
      <c r="K796" s="235"/>
      <c r="L796" s="117"/>
      <c r="M796" s="117"/>
      <c r="N796" s="117"/>
      <c r="O796" s="117"/>
      <c r="P796" s="117"/>
      <c r="Q796" s="117"/>
      <c r="R796" s="117"/>
      <c r="S796" s="117"/>
      <c r="T796" s="117"/>
      <c r="U796" s="117"/>
      <c r="V796" s="117"/>
      <c r="W796" s="117"/>
      <c r="X796" s="117"/>
      <c r="Y796" s="117"/>
      <c r="Z796" s="117"/>
      <c r="AA796" s="117"/>
    </row>
    <row r="797" spans="1:27" ht="14.4">
      <c r="A797" s="117"/>
      <c r="B797" s="117"/>
      <c r="C797" s="117"/>
      <c r="D797" s="117"/>
      <c r="E797" s="117"/>
      <c r="F797" s="117"/>
      <c r="G797" s="117"/>
      <c r="H797" s="117"/>
      <c r="I797" s="235"/>
      <c r="J797" s="235"/>
      <c r="K797" s="235"/>
      <c r="L797" s="117"/>
      <c r="M797" s="117"/>
      <c r="N797" s="117"/>
      <c r="O797" s="117"/>
      <c r="P797" s="117"/>
      <c r="Q797" s="117"/>
      <c r="R797" s="117"/>
      <c r="S797" s="117"/>
      <c r="T797" s="117"/>
      <c r="U797" s="117"/>
      <c r="V797" s="117"/>
      <c r="W797" s="117"/>
      <c r="X797" s="117"/>
      <c r="Y797" s="117"/>
      <c r="Z797" s="117"/>
      <c r="AA797" s="117"/>
    </row>
    <row r="798" spans="1:27" ht="14.4">
      <c r="A798" s="117"/>
      <c r="B798" s="117"/>
      <c r="C798" s="117"/>
      <c r="D798" s="117"/>
      <c r="E798" s="117"/>
      <c r="F798" s="117"/>
      <c r="G798" s="117"/>
      <c r="H798" s="117"/>
      <c r="I798" s="235"/>
      <c r="J798" s="235"/>
      <c r="K798" s="235"/>
      <c r="L798" s="117"/>
      <c r="M798" s="117"/>
      <c r="N798" s="117"/>
      <c r="O798" s="117"/>
      <c r="P798" s="117"/>
      <c r="Q798" s="117"/>
      <c r="R798" s="117"/>
      <c r="S798" s="117"/>
      <c r="T798" s="117"/>
      <c r="U798" s="117"/>
      <c r="V798" s="117"/>
      <c r="W798" s="117"/>
      <c r="X798" s="117"/>
      <c r="Y798" s="117"/>
      <c r="Z798" s="117"/>
      <c r="AA798" s="117"/>
    </row>
    <row r="799" spans="1:27" ht="14.4">
      <c r="A799" s="117"/>
      <c r="B799" s="117"/>
      <c r="C799" s="117"/>
      <c r="D799" s="117"/>
      <c r="E799" s="117"/>
      <c r="F799" s="117"/>
      <c r="G799" s="117"/>
      <c r="H799" s="117"/>
      <c r="I799" s="235"/>
      <c r="J799" s="235"/>
      <c r="K799" s="235"/>
      <c r="L799" s="117"/>
      <c r="M799" s="117"/>
      <c r="N799" s="117"/>
      <c r="O799" s="117"/>
      <c r="P799" s="117"/>
      <c r="Q799" s="117"/>
      <c r="R799" s="117"/>
      <c r="S799" s="117"/>
      <c r="T799" s="117"/>
      <c r="U799" s="117"/>
      <c r="V799" s="117"/>
      <c r="W799" s="117"/>
      <c r="X799" s="117"/>
      <c r="Y799" s="117"/>
      <c r="Z799" s="117"/>
      <c r="AA799" s="117"/>
    </row>
    <row r="800" spans="1:27" ht="14.4">
      <c r="A800" s="117"/>
      <c r="B800" s="117"/>
      <c r="C800" s="117"/>
      <c r="D800" s="117"/>
      <c r="E800" s="117"/>
      <c r="F800" s="117"/>
      <c r="G800" s="117"/>
      <c r="H800" s="117"/>
      <c r="I800" s="235"/>
      <c r="J800" s="235"/>
      <c r="K800" s="235"/>
      <c r="L800" s="117"/>
      <c r="M800" s="117"/>
      <c r="N800" s="117"/>
      <c r="O800" s="117"/>
      <c r="P800" s="117"/>
      <c r="Q800" s="117"/>
      <c r="R800" s="117"/>
      <c r="S800" s="117"/>
      <c r="T800" s="117"/>
      <c r="U800" s="117"/>
      <c r="V800" s="117"/>
      <c r="W800" s="117"/>
      <c r="X800" s="117"/>
      <c r="Y800" s="117"/>
      <c r="Z800" s="117"/>
      <c r="AA800" s="117"/>
    </row>
    <row r="801" spans="1:27" ht="14.4">
      <c r="A801" s="117"/>
      <c r="B801" s="117"/>
      <c r="C801" s="117"/>
      <c r="D801" s="117"/>
      <c r="E801" s="117"/>
      <c r="F801" s="117"/>
      <c r="G801" s="117"/>
      <c r="H801" s="117"/>
      <c r="I801" s="235"/>
      <c r="J801" s="235"/>
      <c r="K801" s="235"/>
      <c r="L801" s="117"/>
      <c r="M801" s="117"/>
      <c r="N801" s="117"/>
      <c r="O801" s="117"/>
      <c r="P801" s="117"/>
      <c r="Q801" s="117"/>
      <c r="R801" s="117"/>
      <c r="S801" s="117"/>
      <c r="T801" s="117"/>
      <c r="U801" s="117"/>
      <c r="V801" s="117"/>
      <c r="W801" s="117"/>
      <c r="X801" s="117"/>
      <c r="Y801" s="117"/>
      <c r="Z801" s="117"/>
      <c r="AA801" s="117"/>
    </row>
    <row r="802" spans="1:27" ht="14.4">
      <c r="A802" s="117"/>
      <c r="B802" s="117"/>
      <c r="C802" s="117"/>
      <c r="D802" s="117"/>
      <c r="E802" s="117"/>
      <c r="F802" s="117"/>
      <c r="G802" s="117"/>
      <c r="H802" s="117"/>
      <c r="I802" s="235"/>
      <c r="J802" s="235"/>
      <c r="K802" s="235"/>
      <c r="L802" s="117"/>
      <c r="M802" s="117"/>
      <c r="N802" s="117"/>
      <c r="O802" s="117"/>
      <c r="P802" s="117"/>
      <c r="Q802" s="117"/>
      <c r="R802" s="117"/>
      <c r="S802" s="117"/>
      <c r="T802" s="117"/>
      <c r="U802" s="117"/>
      <c r="V802" s="117"/>
      <c r="W802" s="117"/>
      <c r="X802" s="117"/>
      <c r="Y802" s="117"/>
      <c r="Z802" s="117"/>
      <c r="AA802" s="117"/>
    </row>
    <row r="803" spans="1:27" ht="14.4">
      <c r="A803" s="117"/>
      <c r="B803" s="117"/>
      <c r="C803" s="117"/>
      <c r="D803" s="117"/>
      <c r="E803" s="117"/>
      <c r="F803" s="117"/>
      <c r="G803" s="117"/>
      <c r="H803" s="117"/>
      <c r="I803" s="235"/>
      <c r="J803" s="235"/>
      <c r="K803" s="235"/>
      <c r="L803" s="117"/>
      <c r="M803" s="117"/>
      <c r="N803" s="117"/>
      <c r="O803" s="117"/>
      <c r="P803" s="117"/>
      <c r="Q803" s="117"/>
      <c r="R803" s="117"/>
      <c r="S803" s="117"/>
      <c r="T803" s="117"/>
      <c r="U803" s="117"/>
      <c r="V803" s="117"/>
      <c r="W803" s="117"/>
      <c r="X803" s="117"/>
      <c r="Y803" s="117"/>
      <c r="Z803" s="117"/>
      <c r="AA803" s="117"/>
    </row>
    <row r="804" spans="1:27" ht="14.4">
      <c r="A804" s="117"/>
      <c r="B804" s="117"/>
      <c r="C804" s="117"/>
      <c r="D804" s="117"/>
      <c r="E804" s="117"/>
      <c r="F804" s="117"/>
      <c r="G804" s="117"/>
      <c r="H804" s="117"/>
      <c r="I804" s="235"/>
      <c r="J804" s="235"/>
      <c r="K804" s="235"/>
      <c r="L804" s="117"/>
      <c r="M804" s="117"/>
      <c r="N804" s="117"/>
      <c r="O804" s="117"/>
      <c r="P804" s="117"/>
      <c r="Q804" s="117"/>
      <c r="R804" s="117"/>
      <c r="S804" s="117"/>
      <c r="T804" s="117"/>
      <c r="U804" s="117"/>
      <c r="V804" s="117"/>
      <c r="W804" s="117"/>
      <c r="X804" s="117"/>
      <c r="Y804" s="117"/>
      <c r="Z804" s="117"/>
      <c r="AA804" s="117"/>
    </row>
    <row r="805" spans="1:27" ht="14.4">
      <c r="A805" s="117"/>
      <c r="B805" s="117"/>
      <c r="C805" s="117"/>
      <c r="D805" s="117"/>
      <c r="E805" s="117"/>
      <c r="F805" s="117"/>
      <c r="G805" s="117"/>
      <c r="H805" s="117"/>
      <c r="I805" s="235"/>
      <c r="J805" s="235"/>
      <c r="K805" s="235"/>
      <c r="L805" s="117"/>
      <c r="M805" s="117"/>
      <c r="N805" s="117"/>
      <c r="O805" s="117"/>
      <c r="P805" s="117"/>
      <c r="Q805" s="117"/>
      <c r="R805" s="117"/>
      <c r="S805" s="117"/>
      <c r="T805" s="117"/>
      <c r="U805" s="117"/>
      <c r="V805" s="117"/>
      <c r="W805" s="117"/>
      <c r="X805" s="117"/>
      <c r="Y805" s="117"/>
      <c r="Z805" s="117"/>
      <c r="AA805" s="117"/>
    </row>
    <row r="806" spans="1:27" ht="14.4">
      <c r="A806" s="117"/>
      <c r="B806" s="117"/>
      <c r="C806" s="117"/>
      <c r="D806" s="117"/>
      <c r="E806" s="117"/>
      <c r="F806" s="117"/>
      <c r="G806" s="117"/>
      <c r="H806" s="117"/>
      <c r="I806" s="235"/>
      <c r="J806" s="235"/>
      <c r="K806" s="235"/>
      <c r="L806" s="117"/>
      <c r="M806" s="117"/>
      <c r="N806" s="117"/>
      <c r="O806" s="117"/>
      <c r="P806" s="117"/>
      <c r="Q806" s="117"/>
      <c r="R806" s="117"/>
      <c r="S806" s="117"/>
      <c r="T806" s="117"/>
      <c r="U806" s="117"/>
      <c r="V806" s="117"/>
      <c r="W806" s="117"/>
      <c r="X806" s="117"/>
      <c r="Y806" s="117"/>
      <c r="Z806" s="117"/>
      <c r="AA806" s="117"/>
    </row>
    <row r="807" spans="1:27" ht="14.4">
      <c r="A807" s="117"/>
      <c r="B807" s="117"/>
      <c r="C807" s="117"/>
      <c r="D807" s="117"/>
      <c r="E807" s="117"/>
      <c r="F807" s="117"/>
      <c r="G807" s="117"/>
      <c r="H807" s="117"/>
      <c r="I807" s="235"/>
      <c r="J807" s="235"/>
      <c r="K807" s="235"/>
      <c r="L807" s="117"/>
      <c r="M807" s="117"/>
      <c r="N807" s="117"/>
      <c r="O807" s="117"/>
      <c r="P807" s="117"/>
      <c r="Q807" s="117"/>
      <c r="R807" s="117"/>
      <c r="S807" s="117"/>
      <c r="T807" s="117"/>
      <c r="U807" s="117"/>
      <c r="V807" s="117"/>
      <c r="W807" s="117"/>
      <c r="X807" s="117"/>
      <c r="Y807" s="117"/>
      <c r="Z807" s="117"/>
      <c r="AA807" s="117"/>
    </row>
    <row r="808" spans="1:27" ht="14.4">
      <c r="A808" s="117"/>
      <c r="B808" s="117"/>
      <c r="C808" s="117"/>
      <c r="D808" s="117"/>
      <c r="E808" s="117"/>
      <c r="F808" s="117"/>
      <c r="G808" s="117"/>
      <c r="H808" s="117"/>
      <c r="I808" s="235"/>
      <c r="J808" s="235"/>
      <c r="K808" s="235"/>
      <c r="L808" s="117"/>
      <c r="M808" s="117"/>
      <c r="N808" s="117"/>
      <c r="O808" s="117"/>
      <c r="P808" s="117"/>
      <c r="Q808" s="117"/>
      <c r="R808" s="117"/>
      <c r="S808" s="117"/>
      <c r="T808" s="117"/>
      <c r="U808" s="117"/>
      <c r="V808" s="117"/>
      <c r="W808" s="117"/>
      <c r="X808" s="117"/>
      <c r="Y808" s="117"/>
      <c r="Z808" s="117"/>
      <c r="AA808" s="117"/>
    </row>
    <row r="809" spans="1:27" ht="14.4">
      <c r="A809" s="117"/>
      <c r="B809" s="117"/>
      <c r="C809" s="117"/>
      <c r="D809" s="117"/>
      <c r="E809" s="117"/>
      <c r="F809" s="117"/>
      <c r="G809" s="117"/>
      <c r="H809" s="117"/>
      <c r="I809" s="235"/>
      <c r="J809" s="235"/>
      <c r="K809" s="235"/>
      <c r="L809" s="117"/>
      <c r="M809" s="117"/>
      <c r="N809" s="117"/>
      <c r="O809" s="117"/>
      <c r="P809" s="117"/>
      <c r="Q809" s="117"/>
      <c r="R809" s="117"/>
      <c r="S809" s="117"/>
      <c r="T809" s="117"/>
      <c r="U809" s="117"/>
      <c r="V809" s="117"/>
      <c r="W809" s="117"/>
      <c r="X809" s="117"/>
      <c r="Y809" s="117"/>
      <c r="Z809" s="117"/>
      <c r="AA809" s="117"/>
    </row>
    <row r="810" spans="1:27" ht="14.4">
      <c r="A810" s="117"/>
      <c r="B810" s="117"/>
      <c r="C810" s="117"/>
      <c r="D810" s="117"/>
      <c r="E810" s="117"/>
      <c r="F810" s="117"/>
      <c r="G810" s="117"/>
      <c r="H810" s="117"/>
      <c r="I810" s="235"/>
      <c r="J810" s="235"/>
      <c r="K810" s="235"/>
      <c r="L810" s="117"/>
      <c r="M810" s="117"/>
      <c r="N810" s="117"/>
      <c r="O810" s="117"/>
      <c r="P810" s="117"/>
      <c r="Q810" s="117"/>
      <c r="R810" s="117"/>
      <c r="S810" s="117"/>
      <c r="T810" s="117"/>
      <c r="U810" s="117"/>
      <c r="V810" s="117"/>
      <c r="W810" s="117"/>
      <c r="X810" s="117"/>
      <c r="Y810" s="117"/>
      <c r="Z810" s="117"/>
      <c r="AA810" s="117"/>
    </row>
    <row r="811" spans="1:27" ht="14.4">
      <c r="A811" s="117"/>
      <c r="B811" s="117"/>
      <c r="C811" s="117"/>
      <c r="D811" s="117"/>
      <c r="E811" s="117"/>
      <c r="F811" s="117"/>
      <c r="G811" s="117"/>
      <c r="H811" s="117"/>
      <c r="I811" s="235"/>
      <c r="J811" s="235"/>
      <c r="K811" s="235"/>
      <c r="L811" s="117"/>
      <c r="M811" s="117"/>
      <c r="N811" s="117"/>
      <c r="O811" s="117"/>
      <c r="P811" s="117"/>
      <c r="Q811" s="117"/>
      <c r="R811" s="117"/>
      <c r="S811" s="117"/>
      <c r="T811" s="117"/>
      <c r="U811" s="117"/>
      <c r="V811" s="117"/>
      <c r="W811" s="117"/>
      <c r="X811" s="117"/>
      <c r="Y811" s="117"/>
      <c r="Z811" s="117"/>
      <c r="AA811" s="117"/>
    </row>
    <row r="812" spans="1:27" ht="14.4">
      <c r="A812" s="117"/>
      <c r="B812" s="117"/>
      <c r="C812" s="117"/>
      <c r="D812" s="117"/>
      <c r="E812" s="117"/>
      <c r="F812" s="117"/>
      <c r="G812" s="117"/>
      <c r="H812" s="117"/>
      <c r="I812" s="235"/>
      <c r="J812" s="235"/>
      <c r="K812" s="235"/>
      <c r="L812" s="117"/>
      <c r="M812" s="117"/>
      <c r="N812" s="117"/>
      <c r="O812" s="117"/>
      <c r="P812" s="117"/>
      <c r="Q812" s="117"/>
      <c r="R812" s="117"/>
      <c r="S812" s="117"/>
      <c r="T812" s="117"/>
      <c r="U812" s="117"/>
      <c r="V812" s="117"/>
      <c r="W812" s="117"/>
      <c r="X812" s="117"/>
      <c r="Y812" s="117"/>
      <c r="Z812" s="117"/>
      <c r="AA812" s="117"/>
    </row>
    <row r="813" spans="1:27" ht="14.4">
      <c r="A813" s="117"/>
      <c r="B813" s="117"/>
      <c r="C813" s="117"/>
      <c r="D813" s="117"/>
      <c r="E813" s="117"/>
      <c r="F813" s="117"/>
      <c r="G813" s="117"/>
      <c r="H813" s="117"/>
      <c r="I813" s="235"/>
      <c r="J813" s="235"/>
      <c r="K813" s="235"/>
      <c r="L813" s="117"/>
      <c r="M813" s="117"/>
      <c r="N813" s="117"/>
      <c r="O813" s="117"/>
      <c r="P813" s="117"/>
      <c r="Q813" s="117"/>
      <c r="R813" s="117"/>
      <c r="S813" s="117"/>
      <c r="T813" s="117"/>
      <c r="U813" s="117"/>
      <c r="V813" s="117"/>
      <c r="W813" s="117"/>
      <c r="X813" s="117"/>
      <c r="Y813" s="117"/>
      <c r="Z813" s="117"/>
      <c r="AA813" s="117"/>
    </row>
    <row r="814" spans="1:27" ht="14.4">
      <c r="A814" s="117"/>
      <c r="B814" s="117"/>
      <c r="C814" s="117"/>
      <c r="D814" s="117"/>
      <c r="E814" s="117"/>
      <c r="F814" s="117"/>
      <c r="G814" s="117"/>
      <c r="H814" s="117"/>
      <c r="I814" s="235"/>
      <c r="J814" s="235"/>
      <c r="K814" s="235"/>
      <c r="L814" s="117"/>
      <c r="M814" s="117"/>
      <c r="N814" s="117"/>
      <c r="O814" s="117"/>
      <c r="P814" s="117"/>
      <c r="Q814" s="117"/>
      <c r="R814" s="117"/>
      <c r="S814" s="117"/>
      <c r="T814" s="117"/>
      <c r="U814" s="117"/>
      <c r="V814" s="117"/>
      <c r="W814" s="117"/>
      <c r="X814" s="117"/>
      <c r="Y814" s="117"/>
      <c r="Z814" s="117"/>
      <c r="AA814" s="117"/>
    </row>
    <row r="815" spans="1:27" ht="14.4">
      <c r="A815" s="117"/>
      <c r="B815" s="117"/>
      <c r="C815" s="117"/>
      <c r="D815" s="117"/>
      <c r="E815" s="117"/>
      <c r="F815" s="117"/>
      <c r="G815" s="117"/>
      <c r="H815" s="117"/>
      <c r="I815" s="235"/>
      <c r="J815" s="235"/>
      <c r="K815" s="235"/>
      <c r="L815" s="117"/>
      <c r="M815" s="117"/>
      <c r="N815" s="117"/>
      <c r="O815" s="117"/>
      <c r="P815" s="117"/>
      <c r="Q815" s="117"/>
      <c r="R815" s="117"/>
      <c r="S815" s="117"/>
      <c r="T815" s="117"/>
      <c r="U815" s="117"/>
      <c r="V815" s="117"/>
      <c r="W815" s="117"/>
      <c r="X815" s="117"/>
      <c r="Y815" s="117"/>
      <c r="Z815" s="117"/>
      <c r="AA815" s="117"/>
    </row>
    <row r="816" spans="1:27" ht="14.4">
      <c r="A816" s="117"/>
      <c r="B816" s="117"/>
      <c r="C816" s="117"/>
      <c r="D816" s="117"/>
      <c r="E816" s="117"/>
      <c r="F816" s="117"/>
      <c r="G816" s="117"/>
      <c r="H816" s="117"/>
      <c r="I816" s="235"/>
      <c r="J816" s="235"/>
      <c r="K816" s="235"/>
      <c r="L816" s="117"/>
      <c r="M816" s="117"/>
      <c r="N816" s="117"/>
      <c r="O816" s="117"/>
      <c r="P816" s="117"/>
      <c r="Q816" s="117"/>
      <c r="R816" s="117"/>
      <c r="S816" s="117"/>
      <c r="T816" s="117"/>
      <c r="U816" s="117"/>
      <c r="V816" s="117"/>
      <c r="W816" s="117"/>
      <c r="X816" s="117"/>
      <c r="Y816" s="117"/>
      <c r="Z816" s="117"/>
      <c r="AA816" s="117"/>
    </row>
    <row r="817" spans="1:27" ht="14.4">
      <c r="A817" s="117"/>
      <c r="B817" s="117"/>
      <c r="C817" s="117"/>
      <c r="D817" s="117"/>
      <c r="E817" s="117"/>
      <c r="F817" s="117"/>
      <c r="G817" s="117"/>
      <c r="H817" s="117"/>
      <c r="I817" s="235"/>
      <c r="J817" s="235"/>
      <c r="K817" s="235"/>
      <c r="L817" s="117"/>
      <c r="M817" s="117"/>
      <c r="N817" s="117"/>
      <c r="O817" s="117"/>
      <c r="P817" s="117"/>
      <c r="Q817" s="117"/>
      <c r="R817" s="117"/>
      <c r="S817" s="117"/>
      <c r="T817" s="117"/>
      <c r="U817" s="117"/>
      <c r="V817" s="117"/>
      <c r="W817" s="117"/>
      <c r="X817" s="117"/>
      <c r="Y817" s="117"/>
      <c r="Z817" s="117"/>
      <c r="AA817" s="117"/>
    </row>
    <row r="818" spans="1:27" ht="14.4">
      <c r="A818" s="117"/>
      <c r="B818" s="117"/>
      <c r="C818" s="117"/>
      <c r="D818" s="117"/>
      <c r="E818" s="117"/>
      <c r="F818" s="117"/>
      <c r="G818" s="117"/>
      <c r="H818" s="117"/>
      <c r="I818" s="235"/>
      <c r="J818" s="235"/>
      <c r="K818" s="235"/>
      <c r="L818" s="117"/>
      <c r="M818" s="117"/>
      <c r="N818" s="117"/>
      <c r="O818" s="117"/>
      <c r="P818" s="117"/>
      <c r="Q818" s="117"/>
      <c r="R818" s="117"/>
      <c r="S818" s="117"/>
      <c r="T818" s="117"/>
      <c r="U818" s="117"/>
      <c r="V818" s="117"/>
      <c r="W818" s="117"/>
      <c r="X818" s="117"/>
      <c r="Y818" s="117"/>
      <c r="Z818" s="117"/>
      <c r="AA818" s="117"/>
    </row>
    <row r="819" spans="1:27" ht="14.4">
      <c r="A819" s="117"/>
      <c r="B819" s="117"/>
      <c r="C819" s="117"/>
      <c r="D819" s="117"/>
      <c r="E819" s="117"/>
      <c r="F819" s="117"/>
      <c r="G819" s="117"/>
      <c r="H819" s="117"/>
      <c r="I819" s="235"/>
      <c r="J819" s="235"/>
      <c r="K819" s="235"/>
      <c r="L819" s="117"/>
      <c r="M819" s="117"/>
      <c r="N819" s="117"/>
      <c r="O819" s="117"/>
      <c r="P819" s="117"/>
      <c r="Q819" s="117"/>
      <c r="R819" s="117"/>
      <c r="S819" s="117"/>
      <c r="T819" s="117"/>
      <c r="U819" s="117"/>
      <c r="V819" s="117"/>
      <c r="W819" s="117"/>
      <c r="X819" s="117"/>
      <c r="Y819" s="117"/>
      <c r="Z819" s="117"/>
      <c r="AA819" s="117"/>
    </row>
    <row r="820" spans="1:27" ht="14.4">
      <c r="A820" s="117"/>
      <c r="B820" s="117"/>
      <c r="C820" s="117"/>
      <c r="D820" s="117"/>
      <c r="E820" s="117"/>
      <c r="F820" s="117"/>
      <c r="G820" s="117"/>
      <c r="H820" s="117"/>
      <c r="I820" s="235"/>
      <c r="J820" s="235"/>
      <c r="K820" s="235"/>
      <c r="L820" s="117"/>
      <c r="M820" s="117"/>
      <c r="N820" s="117"/>
      <c r="O820" s="117"/>
      <c r="P820" s="117"/>
      <c r="Q820" s="117"/>
      <c r="R820" s="117"/>
      <c r="S820" s="117"/>
      <c r="T820" s="117"/>
      <c r="U820" s="117"/>
      <c r="V820" s="117"/>
      <c r="W820" s="117"/>
      <c r="X820" s="117"/>
      <c r="Y820" s="117"/>
      <c r="Z820" s="117"/>
      <c r="AA820" s="117"/>
    </row>
    <row r="821" spans="1:27" ht="14.4">
      <c r="A821" s="117"/>
      <c r="B821" s="117"/>
      <c r="C821" s="117"/>
      <c r="D821" s="117"/>
      <c r="E821" s="117"/>
      <c r="F821" s="117"/>
      <c r="G821" s="117"/>
      <c r="H821" s="117"/>
      <c r="I821" s="235"/>
      <c r="J821" s="235"/>
      <c r="K821" s="235"/>
      <c r="L821" s="117"/>
      <c r="M821" s="117"/>
      <c r="N821" s="117"/>
      <c r="O821" s="117"/>
      <c r="P821" s="117"/>
      <c r="Q821" s="117"/>
      <c r="R821" s="117"/>
      <c r="S821" s="117"/>
      <c r="T821" s="117"/>
      <c r="U821" s="117"/>
      <c r="V821" s="117"/>
      <c r="W821" s="117"/>
      <c r="X821" s="117"/>
      <c r="Y821" s="117"/>
      <c r="Z821" s="117"/>
      <c r="AA821" s="117"/>
    </row>
    <row r="822" spans="1:27" ht="14.4">
      <c r="A822" s="117"/>
      <c r="B822" s="117"/>
      <c r="C822" s="117"/>
      <c r="D822" s="117"/>
      <c r="E822" s="117"/>
      <c r="F822" s="117"/>
      <c r="G822" s="117"/>
      <c r="H822" s="117"/>
      <c r="I822" s="235"/>
      <c r="J822" s="235"/>
      <c r="K822" s="235"/>
      <c r="L822" s="117"/>
      <c r="M822" s="117"/>
      <c r="N822" s="117"/>
      <c r="O822" s="117"/>
      <c r="P822" s="117"/>
      <c r="Q822" s="117"/>
      <c r="R822" s="117"/>
      <c r="S822" s="117"/>
      <c r="T822" s="117"/>
      <c r="U822" s="117"/>
      <c r="V822" s="117"/>
      <c r="W822" s="117"/>
      <c r="X822" s="117"/>
      <c r="Y822" s="117"/>
      <c r="Z822" s="117"/>
      <c r="AA822" s="117"/>
    </row>
    <row r="823" spans="1:27" ht="14.4">
      <c r="A823" s="117"/>
      <c r="B823" s="117"/>
      <c r="C823" s="117"/>
      <c r="D823" s="117"/>
      <c r="E823" s="117"/>
      <c r="F823" s="117"/>
      <c r="G823" s="117"/>
      <c r="H823" s="117"/>
      <c r="I823" s="235"/>
      <c r="J823" s="235"/>
      <c r="K823" s="235"/>
      <c r="L823" s="117"/>
      <c r="M823" s="117"/>
      <c r="N823" s="117"/>
      <c r="O823" s="117"/>
      <c r="P823" s="117"/>
      <c r="Q823" s="117"/>
      <c r="R823" s="117"/>
      <c r="S823" s="117"/>
      <c r="T823" s="117"/>
      <c r="U823" s="117"/>
      <c r="V823" s="117"/>
      <c r="W823" s="117"/>
      <c r="X823" s="117"/>
      <c r="Y823" s="117"/>
      <c r="Z823" s="117"/>
      <c r="AA823" s="117"/>
    </row>
    <row r="824" spans="1:27" ht="14.4">
      <c r="A824" s="117"/>
      <c r="B824" s="117"/>
      <c r="C824" s="117"/>
      <c r="D824" s="117"/>
      <c r="E824" s="117"/>
      <c r="F824" s="117"/>
      <c r="G824" s="117"/>
      <c r="H824" s="117"/>
      <c r="I824" s="235"/>
      <c r="J824" s="235"/>
      <c r="K824" s="235"/>
      <c r="L824" s="117"/>
      <c r="M824" s="117"/>
      <c r="N824" s="117"/>
      <c r="O824" s="117"/>
      <c r="P824" s="117"/>
      <c r="Q824" s="117"/>
      <c r="R824" s="117"/>
      <c r="S824" s="117"/>
      <c r="T824" s="117"/>
      <c r="U824" s="117"/>
      <c r="V824" s="117"/>
      <c r="W824" s="117"/>
      <c r="X824" s="117"/>
      <c r="Y824" s="117"/>
      <c r="Z824" s="117"/>
      <c r="AA824" s="117"/>
    </row>
    <row r="825" spans="1:27" ht="14.4">
      <c r="A825" s="117"/>
      <c r="B825" s="117"/>
      <c r="C825" s="117"/>
      <c r="D825" s="117"/>
      <c r="E825" s="117"/>
      <c r="F825" s="117"/>
      <c r="G825" s="117"/>
      <c r="H825" s="117"/>
      <c r="I825" s="235"/>
      <c r="J825" s="235"/>
      <c r="K825" s="235"/>
      <c r="L825" s="117"/>
      <c r="M825" s="117"/>
      <c r="N825" s="117"/>
      <c r="O825" s="117"/>
      <c r="P825" s="117"/>
      <c r="Q825" s="117"/>
      <c r="R825" s="117"/>
      <c r="S825" s="117"/>
      <c r="T825" s="117"/>
      <c r="U825" s="117"/>
      <c r="V825" s="117"/>
      <c r="W825" s="117"/>
      <c r="X825" s="117"/>
      <c r="Y825" s="117"/>
      <c r="Z825" s="117"/>
      <c r="AA825" s="117"/>
    </row>
    <row r="826" spans="1:27" ht="14.4">
      <c r="A826" s="117"/>
      <c r="B826" s="117"/>
      <c r="C826" s="117"/>
      <c r="D826" s="117"/>
      <c r="E826" s="117"/>
      <c r="F826" s="117"/>
      <c r="G826" s="117"/>
      <c r="H826" s="117"/>
      <c r="I826" s="235"/>
      <c r="J826" s="235"/>
      <c r="K826" s="235"/>
      <c r="L826" s="117"/>
      <c r="M826" s="117"/>
      <c r="N826" s="117"/>
      <c r="O826" s="117"/>
      <c r="P826" s="117"/>
      <c r="Q826" s="117"/>
      <c r="R826" s="117"/>
      <c r="S826" s="117"/>
      <c r="T826" s="117"/>
      <c r="U826" s="117"/>
      <c r="V826" s="117"/>
      <c r="W826" s="117"/>
      <c r="X826" s="117"/>
      <c r="Y826" s="117"/>
      <c r="Z826" s="117"/>
      <c r="AA826" s="117"/>
    </row>
    <row r="827" spans="1:27" ht="14.4">
      <c r="A827" s="117"/>
      <c r="B827" s="117"/>
      <c r="C827" s="117"/>
      <c r="D827" s="117"/>
      <c r="E827" s="117"/>
      <c r="F827" s="117"/>
      <c r="G827" s="117"/>
      <c r="H827" s="117"/>
      <c r="I827" s="235"/>
      <c r="J827" s="235"/>
      <c r="K827" s="235"/>
      <c r="L827" s="117"/>
      <c r="M827" s="117"/>
      <c r="N827" s="117"/>
      <c r="O827" s="117"/>
      <c r="P827" s="117"/>
      <c r="Q827" s="117"/>
      <c r="R827" s="117"/>
      <c r="S827" s="117"/>
      <c r="T827" s="117"/>
      <c r="U827" s="117"/>
      <c r="V827" s="117"/>
      <c r="W827" s="117"/>
      <c r="X827" s="117"/>
      <c r="Y827" s="117"/>
      <c r="Z827" s="117"/>
      <c r="AA827" s="117"/>
    </row>
    <row r="828" spans="1:27" ht="14.4">
      <c r="A828" s="117"/>
      <c r="B828" s="117"/>
      <c r="C828" s="117"/>
      <c r="D828" s="117"/>
      <c r="E828" s="117"/>
      <c r="F828" s="117"/>
      <c r="G828" s="117"/>
      <c r="H828" s="117"/>
      <c r="I828" s="235"/>
      <c r="J828" s="235"/>
      <c r="K828" s="235"/>
      <c r="L828" s="117"/>
      <c r="M828" s="117"/>
      <c r="N828" s="117"/>
      <c r="O828" s="117"/>
      <c r="P828" s="117"/>
      <c r="Q828" s="117"/>
      <c r="R828" s="117"/>
      <c r="S828" s="117"/>
      <c r="T828" s="117"/>
      <c r="U828" s="117"/>
      <c r="V828" s="117"/>
      <c r="W828" s="117"/>
      <c r="X828" s="117"/>
      <c r="Y828" s="117"/>
      <c r="Z828" s="117"/>
      <c r="AA828" s="117"/>
    </row>
    <row r="829" spans="1:27" ht="14.4">
      <c r="A829" s="117"/>
      <c r="B829" s="117"/>
      <c r="C829" s="117"/>
      <c r="D829" s="117"/>
      <c r="E829" s="117"/>
      <c r="F829" s="117"/>
      <c r="G829" s="117"/>
      <c r="H829" s="117"/>
      <c r="I829" s="235"/>
      <c r="J829" s="235"/>
      <c r="K829" s="235"/>
      <c r="L829" s="117"/>
      <c r="M829" s="117"/>
      <c r="N829" s="117"/>
      <c r="O829" s="117"/>
      <c r="P829" s="117"/>
      <c r="Q829" s="117"/>
      <c r="R829" s="117"/>
      <c r="S829" s="117"/>
      <c r="T829" s="117"/>
      <c r="U829" s="117"/>
      <c r="V829" s="117"/>
      <c r="W829" s="117"/>
      <c r="X829" s="117"/>
      <c r="Y829" s="117"/>
      <c r="Z829" s="117"/>
      <c r="AA829" s="117"/>
    </row>
    <row r="830" spans="1:27" ht="14.4">
      <c r="A830" s="117"/>
      <c r="B830" s="117"/>
      <c r="C830" s="117"/>
      <c r="D830" s="117"/>
      <c r="E830" s="117"/>
      <c r="F830" s="117"/>
      <c r="G830" s="117"/>
      <c r="H830" s="117"/>
      <c r="I830" s="235"/>
      <c r="J830" s="235"/>
      <c r="K830" s="235"/>
      <c r="L830" s="117"/>
      <c r="M830" s="117"/>
      <c r="N830" s="117"/>
      <c r="O830" s="117"/>
      <c r="P830" s="117"/>
      <c r="Q830" s="117"/>
      <c r="R830" s="117"/>
      <c r="S830" s="117"/>
      <c r="T830" s="117"/>
      <c r="U830" s="117"/>
      <c r="V830" s="117"/>
      <c r="W830" s="117"/>
      <c r="X830" s="117"/>
      <c r="Y830" s="117"/>
      <c r="Z830" s="117"/>
      <c r="AA830" s="117"/>
    </row>
    <row r="831" spans="1:27" ht="14.4">
      <c r="A831" s="117"/>
      <c r="B831" s="117"/>
      <c r="C831" s="117"/>
      <c r="D831" s="117"/>
      <c r="E831" s="117"/>
      <c r="F831" s="117"/>
      <c r="G831" s="117"/>
      <c r="H831" s="117"/>
      <c r="I831" s="235"/>
      <c r="J831" s="235"/>
      <c r="K831" s="235"/>
      <c r="L831" s="117"/>
      <c r="M831" s="117"/>
      <c r="N831" s="117"/>
      <c r="O831" s="117"/>
      <c r="P831" s="117"/>
      <c r="Q831" s="117"/>
      <c r="R831" s="117"/>
      <c r="S831" s="117"/>
      <c r="T831" s="117"/>
      <c r="U831" s="117"/>
      <c r="V831" s="117"/>
      <c r="W831" s="117"/>
      <c r="X831" s="117"/>
      <c r="Y831" s="117"/>
      <c r="Z831" s="117"/>
      <c r="AA831" s="117"/>
    </row>
    <row r="832" spans="1:27" ht="14.4">
      <c r="A832" s="117"/>
      <c r="B832" s="117"/>
      <c r="C832" s="117"/>
      <c r="D832" s="117"/>
      <c r="E832" s="117"/>
      <c r="F832" s="117"/>
      <c r="G832" s="117"/>
      <c r="H832" s="117"/>
      <c r="I832" s="235"/>
      <c r="J832" s="235"/>
      <c r="K832" s="235"/>
      <c r="L832" s="117"/>
      <c r="M832" s="117"/>
      <c r="N832" s="117"/>
      <c r="O832" s="117"/>
      <c r="P832" s="117"/>
      <c r="Q832" s="117"/>
      <c r="R832" s="117"/>
      <c r="S832" s="117"/>
      <c r="T832" s="117"/>
      <c r="U832" s="117"/>
      <c r="V832" s="117"/>
      <c r="W832" s="117"/>
      <c r="X832" s="117"/>
      <c r="Y832" s="117"/>
      <c r="Z832" s="117"/>
      <c r="AA832" s="117"/>
    </row>
    <row r="833" spans="1:27" ht="14.4">
      <c r="A833" s="117"/>
      <c r="B833" s="117"/>
      <c r="C833" s="117"/>
      <c r="D833" s="117"/>
      <c r="E833" s="117"/>
      <c r="F833" s="117"/>
      <c r="G833" s="117"/>
      <c r="H833" s="117"/>
      <c r="I833" s="235"/>
      <c r="J833" s="235"/>
      <c r="K833" s="235"/>
      <c r="L833" s="117"/>
      <c r="M833" s="117"/>
      <c r="N833" s="117"/>
      <c r="O833" s="117"/>
      <c r="P833" s="117"/>
      <c r="Q833" s="117"/>
      <c r="R833" s="117"/>
      <c r="S833" s="117"/>
      <c r="T833" s="117"/>
      <c r="U833" s="117"/>
      <c r="V833" s="117"/>
      <c r="W833" s="117"/>
      <c r="X833" s="117"/>
      <c r="Y833" s="117"/>
      <c r="Z833" s="117"/>
      <c r="AA833" s="117"/>
    </row>
    <row r="834" spans="1:27" ht="14.4">
      <c r="A834" s="117"/>
      <c r="B834" s="117"/>
      <c r="C834" s="117"/>
      <c r="D834" s="117"/>
      <c r="E834" s="117"/>
      <c r="F834" s="117"/>
      <c r="G834" s="117"/>
      <c r="H834" s="117"/>
      <c r="I834" s="235"/>
      <c r="J834" s="235"/>
      <c r="K834" s="235"/>
      <c r="L834" s="117"/>
      <c r="M834" s="117"/>
      <c r="N834" s="117"/>
      <c r="O834" s="117"/>
      <c r="P834" s="117"/>
      <c r="Q834" s="117"/>
      <c r="R834" s="117"/>
      <c r="S834" s="117"/>
      <c r="T834" s="117"/>
      <c r="U834" s="117"/>
      <c r="V834" s="117"/>
      <c r="W834" s="117"/>
      <c r="X834" s="117"/>
      <c r="Y834" s="117"/>
      <c r="Z834" s="117"/>
      <c r="AA834" s="117"/>
    </row>
    <row r="835" spans="1:27" ht="14.4">
      <c r="A835" s="117"/>
      <c r="B835" s="117"/>
      <c r="C835" s="117"/>
      <c r="D835" s="117"/>
      <c r="E835" s="117"/>
      <c r="F835" s="117"/>
      <c r="G835" s="117"/>
      <c r="H835" s="117"/>
      <c r="I835" s="235"/>
      <c r="J835" s="235"/>
      <c r="K835" s="235"/>
      <c r="L835" s="117"/>
      <c r="M835" s="117"/>
      <c r="N835" s="117"/>
      <c r="O835" s="117"/>
      <c r="P835" s="117"/>
      <c r="Q835" s="117"/>
      <c r="R835" s="117"/>
      <c r="S835" s="117"/>
      <c r="T835" s="117"/>
      <c r="U835" s="117"/>
      <c r="V835" s="117"/>
      <c r="W835" s="117"/>
      <c r="X835" s="117"/>
      <c r="Y835" s="117"/>
      <c r="Z835" s="117"/>
      <c r="AA835" s="117"/>
    </row>
    <row r="836" spans="1:27" ht="14.4">
      <c r="A836" s="117"/>
      <c r="B836" s="117"/>
      <c r="C836" s="117"/>
      <c r="D836" s="117"/>
      <c r="E836" s="117"/>
      <c r="F836" s="117"/>
      <c r="G836" s="117"/>
      <c r="H836" s="117"/>
      <c r="I836" s="235"/>
      <c r="J836" s="235"/>
      <c r="K836" s="235"/>
      <c r="L836" s="117"/>
      <c r="M836" s="117"/>
      <c r="N836" s="117"/>
      <c r="O836" s="117"/>
      <c r="P836" s="117"/>
      <c r="Q836" s="117"/>
      <c r="R836" s="117"/>
      <c r="S836" s="117"/>
      <c r="T836" s="117"/>
      <c r="U836" s="117"/>
      <c r="V836" s="117"/>
      <c r="W836" s="117"/>
      <c r="X836" s="117"/>
      <c r="Y836" s="117"/>
      <c r="Z836" s="117"/>
      <c r="AA836" s="117"/>
    </row>
    <row r="837" spans="1:27" ht="14.4">
      <c r="A837" s="117"/>
      <c r="B837" s="117"/>
      <c r="C837" s="117"/>
      <c r="D837" s="117"/>
      <c r="E837" s="117"/>
      <c r="F837" s="117"/>
      <c r="G837" s="117"/>
      <c r="H837" s="117"/>
      <c r="I837" s="235"/>
      <c r="J837" s="235"/>
      <c r="K837" s="235"/>
      <c r="L837" s="117"/>
      <c r="M837" s="117"/>
      <c r="N837" s="117"/>
      <c r="O837" s="117"/>
      <c r="P837" s="117"/>
      <c r="Q837" s="117"/>
      <c r="R837" s="117"/>
      <c r="S837" s="117"/>
      <c r="T837" s="117"/>
      <c r="U837" s="117"/>
      <c r="V837" s="117"/>
      <c r="W837" s="117"/>
      <c r="X837" s="117"/>
      <c r="Y837" s="117"/>
      <c r="Z837" s="117"/>
      <c r="AA837" s="117"/>
    </row>
    <row r="838" spans="1:27" ht="14.4">
      <c r="A838" s="117"/>
      <c r="B838" s="117"/>
      <c r="C838" s="117"/>
      <c r="D838" s="117"/>
      <c r="E838" s="117"/>
      <c r="F838" s="117"/>
      <c r="G838" s="117"/>
      <c r="H838" s="117"/>
      <c r="I838" s="235"/>
      <c r="J838" s="235"/>
      <c r="K838" s="235"/>
      <c r="L838" s="117"/>
      <c r="M838" s="117"/>
      <c r="N838" s="117"/>
      <c r="O838" s="117"/>
      <c r="P838" s="117"/>
      <c r="Q838" s="117"/>
      <c r="R838" s="117"/>
      <c r="S838" s="117"/>
      <c r="T838" s="117"/>
      <c r="U838" s="117"/>
      <c r="V838" s="117"/>
      <c r="W838" s="117"/>
      <c r="X838" s="117"/>
      <c r="Y838" s="117"/>
      <c r="Z838" s="117"/>
      <c r="AA838" s="117"/>
    </row>
    <row r="839" spans="1:27" ht="14.4">
      <c r="A839" s="117"/>
      <c r="B839" s="117"/>
      <c r="C839" s="117"/>
      <c r="D839" s="117"/>
      <c r="E839" s="117"/>
      <c r="F839" s="117"/>
      <c r="G839" s="117"/>
      <c r="H839" s="117"/>
      <c r="I839" s="235"/>
      <c r="J839" s="235"/>
      <c r="K839" s="235"/>
      <c r="L839" s="117"/>
      <c r="M839" s="117"/>
      <c r="N839" s="117"/>
      <c r="O839" s="117"/>
      <c r="P839" s="117"/>
      <c r="Q839" s="117"/>
      <c r="R839" s="117"/>
      <c r="S839" s="117"/>
      <c r="T839" s="117"/>
      <c r="U839" s="117"/>
      <c r="V839" s="117"/>
      <c r="W839" s="117"/>
      <c r="X839" s="117"/>
      <c r="Y839" s="117"/>
      <c r="Z839" s="117"/>
      <c r="AA839" s="117"/>
    </row>
    <row r="840" spans="1:27" ht="14.4">
      <c r="A840" s="117"/>
      <c r="B840" s="117"/>
      <c r="C840" s="117"/>
      <c r="D840" s="117"/>
      <c r="E840" s="117"/>
      <c r="F840" s="117"/>
      <c r="G840" s="117"/>
      <c r="H840" s="117"/>
      <c r="I840" s="235"/>
      <c r="J840" s="235"/>
      <c r="K840" s="235"/>
      <c r="L840" s="117"/>
      <c r="M840" s="117"/>
      <c r="N840" s="117"/>
      <c r="O840" s="117"/>
      <c r="P840" s="117"/>
      <c r="Q840" s="117"/>
      <c r="R840" s="117"/>
      <c r="S840" s="117"/>
      <c r="T840" s="117"/>
      <c r="U840" s="117"/>
      <c r="V840" s="117"/>
      <c r="W840" s="117"/>
      <c r="X840" s="117"/>
      <c r="Y840" s="117"/>
      <c r="Z840" s="117"/>
      <c r="AA840" s="117"/>
    </row>
    <row r="841" spans="1:27" ht="14.4">
      <c r="A841" s="117"/>
      <c r="B841" s="117"/>
      <c r="C841" s="117"/>
      <c r="D841" s="117"/>
      <c r="E841" s="117"/>
      <c r="F841" s="117"/>
      <c r="G841" s="117"/>
      <c r="H841" s="117"/>
      <c r="I841" s="235"/>
      <c r="J841" s="235"/>
      <c r="K841" s="235"/>
      <c r="L841" s="117"/>
      <c r="M841" s="117"/>
      <c r="N841" s="117"/>
      <c r="O841" s="117"/>
      <c r="P841" s="117"/>
      <c r="Q841" s="117"/>
      <c r="R841" s="117"/>
      <c r="S841" s="117"/>
      <c r="T841" s="117"/>
      <c r="U841" s="117"/>
      <c r="V841" s="117"/>
      <c r="W841" s="117"/>
      <c r="X841" s="117"/>
      <c r="Y841" s="117"/>
      <c r="Z841" s="117"/>
      <c r="AA841" s="117"/>
    </row>
    <row r="842" spans="1:27" ht="14.4">
      <c r="A842" s="117"/>
      <c r="B842" s="117"/>
      <c r="C842" s="117"/>
      <c r="D842" s="117"/>
      <c r="E842" s="117"/>
      <c r="F842" s="117"/>
      <c r="G842" s="117"/>
      <c r="H842" s="117"/>
      <c r="I842" s="235"/>
      <c r="J842" s="235"/>
      <c r="K842" s="235"/>
      <c r="L842" s="117"/>
      <c r="M842" s="117"/>
      <c r="N842" s="117"/>
      <c r="O842" s="117"/>
      <c r="P842" s="117"/>
      <c r="Q842" s="117"/>
      <c r="R842" s="117"/>
      <c r="S842" s="117"/>
      <c r="T842" s="117"/>
      <c r="U842" s="117"/>
      <c r="V842" s="117"/>
      <c r="W842" s="117"/>
      <c r="X842" s="117"/>
      <c r="Y842" s="117"/>
      <c r="Z842" s="117"/>
      <c r="AA842" s="117"/>
    </row>
    <row r="843" spans="1:27" ht="14.4">
      <c r="A843" s="117"/>
      <c r="B843" s="117"/>
      <c r="C843" s="117"/>
      <c r="D843" s="117"/>
      <c r="E843" s="117"/>
      <c r="F843" s="117"/>
      <c r="G843" s="117"/>
      <c r="H843" s="117"/>
      <c r="I843" s="235"/>
      <c r="J843" s="235"/>
      <c r="K843" s="235"/>
      <c r="L843" s="117"/>
      <c r="M843" s="117"/>
      <c r="N843" s="117"/>
      <c r="O843" s="117"/>
      <c r="P843" s="117"/>
      <c r="Q843" s="117"/>
      <c r="R843" s="117"/>
      <c r="S843" s="117"/>
      <c r="T843" s="117"/>
      <c r="U843" s="117"/>
      <c r="V843" s="117"/>
      <c r="W843" s="117"/>
      <c r="X843" s="117"/>
      <c r="Y843" s="117"/>
      <c r="Z843" s="117"/>
      <c r="AA843" s="117"/>
    </row>
    <row r="844" spans="1:27" ht="14.4">
      <c r="A844" s="117"/>
      <c r="B844" s="117"/>
      <c r="C844" s="117"/>
      <c r="D844" s="117"/>
      <c r="E844" s="117"/>
      <c r="F844" s="117"/>
      <c r="G844" s="117"/>
      <c r="H844" s="117"/>
      <c r="I844" s="235"/>
      <c r="J844" s="235"/>
      <c r="K844" s="235"/>
      <c r="L844" s="117"/>
      <c r="M844" s="117"/>
      <c r="N844" s="117"/>
      <c r="O844" s="117"/>
      <c r="P844" s="117"/>
      <c r="Q844" s="117"/>
      <c r="R844" s="117"/>
      <c r="S844" s="117"/>
      <c r="T844" s="117"/>
      <c r="U844" s="117"/>
      <c r="V844" s="117"/>
      <c r="W844" s="117"/>
      <c r="X844" s="117"/>
      <c r="Y844" s="117"/>
      <c r="Z844" s="117"/>
      <c r="AA844" s="117"/>
    </row>
    <row r="845" spans="1:27" ht="14.4">
      <c r="A845" s="117"/>
      <c r="B845" s="117"/>
      <c r="C845" s="117"/>
      <c r="D845" s="117"/>
      <c r="E845" s="117"/>
      <c r="F845" s="117"/>
      <c r="G845" s="117"/>
      <c r="H845" s="117"/>
      <c r="I845" s="235"/>
      <c r="J845" s="235"/>
      <c r="K845" s="235"/>
      <c r="L845" s="117"/>
      <c r="M845" s="117"/>
      <c r="N845" s="117"/>
      <c r="O845" s="117"/>
      <c r="P845" s="117"/>
      <c r="Q845" s="117"/>
      <c r="R845" s="117"/>
      <c r="S845" s="117"/>
      <c r="T845" s="117"/>
      <c r="U845" s="117"/>
      <c r="V845" s="117"/>
      <c r="W845" s="117"/>
      <c r="X845" s="117"/>
      <c r="Y845" s="117"/>
      <c r="Z845" s="117"/>
      <c r="AA845" s="117"/>
    </row>
    <row r="846" spans="1:27" ht="14.4">
      <c r="A846" s="117"/>
      <c r="B846" s="117"/>
      <c r="C846" s="117"/>
      <c r="D846" s="117"/>
      <c r="E846" s="117"/>
      <c r="F846" s="117"/>
      <c r="G846" s="117"/>
      <c r="H846" s="117"/>
      <c r="I846" s="235"/>
      <c r="J846" s="235"/>
      <c r="K846" s="235"/>
      <c r="L846" s="117"/>
      <c r="M846" s="117"/>
      <c r="N846" s="117"/>
      <c r="O846" s="117"/>
      <c r="P846" s="117"/>
      <c r="Q846" s="117"/>
      <c r="R846" s="117"/>
      <c r="S846" s="117"/>
      <c r="T846" s="117"/>
      <c r="U846" s="117"/>
      <c r="V846" s="117"/>
      <c r="W846" s="117"/>
      <c r="X846" s="117"/>
      <c r="Y846" s="117"/>
      <c r="Z846" s="117"/>
      <c r="AA846" s="117"/>
    </row>
    <row r="847" spans="1:27" ht="14.4">
      <c r="A847" s="117"/>
      <c r="B847" s="117"/>
      <c r="C847" s="117"/>
      <c r="D847" s="117"/>
      <c r="E847" s="117"/>
      <c r="F847" s="117"/>
      <c r="G847" s="117"/>
      <c r="H847" s="117"/>
      <c r="I847" s="235"/>
      <c r="J847" s="235"/>
      <c r="K847" s="235"/>
      <c r="L847" s="117"/>
      <c r="M847" s="117"/>
      <c r="N847" s="117"/>
      <c r="O847" s="117"/>
      <c r="P847" s="117"/>
      <c r="Q847" s="117"/>
      <c r="R847" s="117"/>
      <c r="S847" s="117"/>
      <c r="T847" s="117"/>
      <c r="U847" s="117"/>
      <c r="V847" s="117"/>
      <c r="W847" s="117"/>
      <c r="X847" s="117"/>
      <c r="Y847" s="117"/>
      <c r="Z847" s="117"/>
      <c r="AA847" s="117"/>
    </row>
    <row r="848" spans="1:27" ht="14.4">
      <c r="A848" s="117"/>
      <c r="B848" s="117"/>
      <c r="C848" s="117"/>
      <c r="D848" s="117"/>
      <c r="E848" s="117"/>
      <c r="F848" s="117"/>
      <c r="G848" s="117"/>
      <c r="H848" s="117"/>
      <c r="I848" s="235"/>
      <c r="J848" s="235"/>
      <c r="K848" s="235"/>
      <c r="L848" s="117"/>
      <c r="M848" s="117"/>
      <c r="N848" s="117"/>
      <c r="O848" s="117"/>
      <c r="P848" s="117"/>
      <c r="Q848" s="117"/>
      <c r="R848" s="117"/>
      <c r="S848" s="117"/>
      <c r="T848" s="117"/>
      <c r="U848" s="117"/>
      <c r="V848" s="117"/>
      <c r="W848" s="117"/>
      <c r="X848" s="117"/>
      <c r="Y848" s="117"/>
      <c r="Z848" s="117"/>
      <c r="AA848" s="117"/>
    </row>
    <row r="849" spans="1:27" ht="14.4">
      <c r="A849" s="117"/>
      <c r="B849" s="117"/>
      <c r="C849" s="117"/>
      <c r="D849" s="117"/>
      <c r="E849" s="117"/>
      <c r="F849" s="117"/>
      <c r="G849" s="117"/>
      <c r="H849" s="117"/>
      <c r="I849" s="235"/>
      <c r="J849" s="235"/>
      <c r="K849" s="235"/>
      <c r="L849" s="117"/>
      <c r="M849" s="117"/>
      <c r="N849" s="117"/>
      <c r="O849" s="117"/>
      <c r="P849" s="117"/>
      <c r="Q849" s="117"/>
      <c r="R849" s="117"/>
      <c r="S849" s="117"/>
      <c r="T849" s="117"/>
      <c r="U849" s="117"/>
      <c r="V849" s="117"/>
      <c r="W849" s="117"/>
      <c r="X849" s="117"/>
      <c r="Y849" s="117"/>
      <c r="Z849" s="117"/>
      <c r="AA849" s="117"/>
    </row>
    <row r="850" spans="1:27" ht="14.4">
      <c r="A850" s="117"/>
      <c r="B850" s="117"/>
      <c r="C850" s="117"/>
      <c r="D850" s="117"/>
      <c r="E850" s="117"/>
      <c r="F850" s="117"/>
      <c r="G850" s="117"/>
      <c r="H850" s="117"/>
      <c r="I850" s="235"/>
      <c r="J850" s="235"/>
      <c r="K850" s="235"/>
      <c r="L850" s="117"/>
      <c r="M850" s="117"/>
      <c r="N850" s="117"/>
      <c r="O850" s="117"/>
      <c r="P850" s="117"/>
      <c r="Q850" s="117"/>
      <c r="R850" s="117"/>
      <c r="S850" s="117"/>
      <c r="T850" s="117"/>
      <c r="U850" s="117"/>
      <c r="V850" s="117"/>
      <c r="W850" s="117"/>
      <c r="X850" s="117"/>
      <c r="Y850" s="117"/>
      <c r="Z850" s="117"/>
      <c r="AA850" s="117"/>
    </row>
    <row r="851" spans="1:27" ht="14.4">
      <c r="A851" s="117"/>
      <c r="B851" s="117"/>
      <c r="C851" s="117"/>
      <c r="D851" s="117"/>
      <c r="E851" s="117"/>
      <c r="F851" s="117"/>
      <c r="G851" s="117"/>
      <c r="H851" s="117"/>
      <c r="I851" s="235"/>
      <c r="J851" s="235"/>
      <c r="K851" s="235"/>
      <c r="L851" s="117"/>
      <c r="M851" s="117"/>
      <c r="N851" s="117"/>
      <c r="O851" s="117"/>
      <c r="P851" s="117"/>
      <c r="Q851" s="117"/>
      <c r="R851" s="117"/>
      <c r="S851" s="117"/>
      <c r="T851" s="117"/>
      <c r="U851" s="117"/>
      <c r="V851" s="117"/>
      <c r="W851" s="117"/>
      <c r="X851" s="117"/>
      <c r="Y851" s="117"/>
      <c r="Z851" s="117"/>
      <c r="AA851" s="117"/>
    </row>
    <row r="852" spans="1:27" ht="14.4">
      <c r="A852" s="117"/>
      <c r="B852" s="117"/>
      <c r="C852" s="117"/>
      <c r="D852" s="117"/>
      <c r="E852" s="117"/>
      <c r="F852" s="117"/>
      <c r="G852" s="117"/>
      <c r="H852" s="117"/>
      <c r="I852" s="235"/>
      <c r="J852" s="235"/>
      <c r="K852" s="235"/>
      <c r="L852" s="117"/>
      <c r="M852" s="117"/>
      <c r="N852" s="117"/>
      <c r="O852" s="117"/>
      <c r="P852" s="117"/>
      <c r="Q852" s="117"/>
      <c r="R852" s="117"/>
      <c r="S852" s="117"/>
      <c r="T852" s="117"/>
      <c r="U852" s="117"/>
      <c r="V852" s="117"/>
      <c r="W852" s="117"/>
      <c r="X852" s="117"/>
      <c r="Y852" s="117"/>
      <c r="Z852" s="117"/>
      <c r="AA852" s="117"/>
    </row>
    <row r="853" spans="1:27" ht="14.4">
      <c r="A853" s="117"/>
      <c r="B853" s="117"/>
      <c r="C853" s="117"/>
      <c r="D853" s="117"/>
      <c r="E853" s="117"/>
      <c r="F853" s="117"/>
      <c r="G853" s="117"/>
      <c r="H853" s="117"/>
      <c r="I853" s="235"/>
      <c r="J853" s="235"/>
      <c r="K853" s="235"/>
      <c r="L853" s="117"/>
      <c r="M853" s="117"/>
      <c r="N853" s="117"/>
      <c r="O853" s="117"/>
      <c r="P853" s="117"/>
      <c r="Q853" s="117"/>
      <c r="R853" s="117"/>
      <c r="S853" s="117"/>
      <c r="T853" s="117"/>
      <c r="U853" s="117"/>
      <c r="V853" s="117"/>
      <c r="W853" s="117"/>
      <c r="X853" s="117"/>
      <c r="Y853" s="117"/>
      <c r="Z853" s="117"/>
      <c r="AA853" s="117"/>
    </row>
    <row r="854" spans="1:27" ht="14.4">
      <c r="A854" s="117"/>
      <c r="B854" s="117"/>
      <c r="C854" s="117"/>
      <c r="D854" s="117"/>
      <c r="E854" s="117"/>
      <c r="F854" s="117"/>
      <c r="G854" s="117"/>
      <c r="H854" s="117"/>
      <c r="I854" s="235"/>
      <c r="J854" s="235"/>
      <c r="K854" s="235"/>
      <c r="L854" s="117"/>
      <c r="M854" s="117"/>
      <c r="N854" s="117"/>
      <c r="O854" s="117"/>
      <c r="P854" s="117"/>
      <c r="Q854" s="117"/>
      <c r="R854" s="117"/>
      <c r="S854" s="117"/>
      <c r="T854" s="117"/>
      <c r="U854" s="117"/>
      <c r="V854" s="117"/>
      <c r="W854" s="117"/>
      <c r="X854" s="117"/>
      <c r="Y854" s="117"/>
      <c r="Z854" s="117"/>
      <c r="AA854" s="117"/>
    </row>
    <row r="855" spans="1:27" ht="14.4">
      <c r="A855" s="117"/>
      <c r="B855" s="117"/>
      <c r="C855" s="117"/>
      <c r="D855" s="117"/>
      <c r="E855" s="117"/>
      <c r="F855" s="117"/>
      <c r="G855" s="117"/>
      <c r="H855" s="117"/>
      <c r="I855" s="235"/>
      <c r="J855" s="235"/>
      <c r="K855" s="235"/>
      <c r="L855" s="117"/>
      <c r="M855" s="117"/>
      <c r="N855" s="117"/>
      <c r="O855" s="117"/>
      <c r="P855" s="117"/>
      <c r="Q855" s="117"/>
      <c r="R855" s="117"/>
      <c r="S855" s="117"/>
      <c r="T855" s="117"/>
      <c r="U855" s="117"/>
      <c r="V855" s="117"/>
      <c r="W855" s="117"/>
      <c r="X855" s="117"/>
      <c r="Y855" s="117"/>
      <c r="Z855" s="117"/>
      <c r="AA855" s="117"/>
    </row>
    <row r="856" spans="1:27" ht="14.4">
      <c r="A856" s="117"/>
      <c r="B856" s="117"/>
      <c r="C856" s="117"/>
      <c r="D856" s="117"/>
      <c r="E856" s="117"/>
      <c r="F856" s="117"/>
      <c r="G856" s="117"/>
      <c r="H856" s="117"/>
      <c r="I856" s="235"/>
      <c r="J856" s="235"/>
      <c r="K856" s="235"/>
      <c r="L856" s="117"/>
      <c r="M856" s="117"/>
      <c r="N856" s="117"/>
      <c r="O856" s="117"/>
      <c r="P856" s="117"/>
      <c r="Q856" s="117"/>
      <c r="R856" s="117"/>
      <c r="S856" s="117"/>
      <c r="T856" s="117"/>
      <c r="U856" s="117"/>
      <c r="V856" s="117"/>
      <c r="W856" s="117"/>
      <c r="X856" s="117"/>
      <c r="Y856" s="117"/>
      <c r="Z856" s="117"/>
      <c r="AA856" s="117"/>
    </row>
    <row r="857" spans="1:27" ht="14.4">
      <c r="A857" s="117"/>
      <c r="B857" s="117"/>
      <c r="C857" s="117"/>
      <c r="D857" s="117"/>
      <c r="E857" s="117"/>
      <c r="F857" s="117"/>
      <c r="G857" s="117"/>
      <c r="H857" s="117"/>
      <c r="I857" s="235"/>
      <c r="J857" s="235"/>
      <c r="K857" s="235"/>
      <c r="L857" s="117"/>
      <c r="M857" s="117"/>
      <c r="N857" s="117"/>
      <c r="O857" s="117"/>
      <c r="P857" s="117"/>
      <c r="Q857" s="117"/>
      <c r="R857" s="117"/>
      <c r="S857" s="117"/>
      <c r="T857" s="117"/>
      <c r="U857" s="117"/>
      <c r="V857" s="117"/>
      <c r="W857" s="117"/>
      <c r="X857" s="117"/>
      <c r="Y857" s="117"/>
      <c r="Z857" s="117"/>
      <c r="AA857" s="117"/>
    </row>
    <row r="858" spans="1:27" ht="14.4">
      <c r="A858" s="117"/>
      <c r="B858" s="117"/>
      <c r="C858" s="117"/>
      <c r="D858" s="117"/>
      <c r="E858" s="117"/>
      <c r="F858" s="117"/>
      <c r="G858" s="117"/>
      <c r="H858" s="117"/>
      <c r="I858" s="235"/>
      <c r="J858" s="235"/>
      <c r="K858" s="235"/>
      <c r="L858" s="117"/>
      <c r="M858" s="117"/>
      <c r="N858" s="117"/>
      <c r="O858" s="117"/>
      <c r="P858" s="117"/>
      <c r="Q858" s="117"/>
      <c r="R858" s="117"/>
      <c r="S858" s="117"/>
      <c r="T858" s="117"/>
      <c r="U858" s="117"/>
      <c r="V858" s="117"/>
      <c r="W858" s="117"/>
      <c r="X858" s="117"/>
      <c r="Y858" s="117"/>
      <c r="Z858" s="117"/>
      <c r="AA858" s="117"/>
    </row>
    <row r="859" spans="1:27" ht="14.4">
      <c r="A859" s="117"/>
      <c r="B859" s="117"/>
      <c r="C859" s="117"/>
      <c r="D859" s="117"/>
      <c r="E859" s="117"/>
      <c r="F859" s="117"/>
      <c r="G859" s="117"/>
      <c r="H859" s="117"/>
      <c r="I859" s="235"/>
      <c r="J859" s="235"/>
      <c r="K859" s="235"/>
      <c r="L859" s="117"/>
      <c r="M859" s="117"/>
      <c r="N859" s="117"/>
      <c r="O859" s="117"/>
      <c r="P859" s="117"/>
      <c r="Q859" s="117"/>
      <c r="R859" s="117"/>
      <c r="S859" s="117"/>
      <c r="T859" s="117"/>
      <c r="U859" s="117"/>
      <c r="V859" s="117"/>
      <c r="W859" s="117"/>
      <c r="X859" s="117"/>
      <c r="Y859" s="117"/>
      <c r="Z859" s="117"/>
      <c r="AA859" s="117"/>
    </row>
    <row r="860" spans="1:27" ht="14.4">
      <c r="A860" s="117"/>
      <c r="B860" s="117"/>
      <c r="C860" s="117"/>
      <c r="D860" s="117"/>
      <c r="E860" s="117"/>
      <c r="F860" s="117"/>
      <c r="G860" s="117"/>
      <c r="H860" s="117"/>
      <c r="I860" s="235"/>
      <c r="J860" s="235"/>
      <c r="K860" s="235"/>
      <c r="L860" s="117"/>
      <c r="M860" s="117"/>
      <c r="N860" s="117"/>
      <c r="O860" s="117"/>
      <c r="P860" s="117"/>
      <c r="Q860" s="117"/>
      <c r="R860" s="117"/>
      <c r="S860" s="117"/>
      <c r="T860" s="117"/>
      <c r="U860" s="117"/>
      <c r="V860" s="117"/>
      <c r="W860" s="117"/>
      <c r="X860" s="117"/>
      <c r="Y860" s="117"/>
      <c r="Z860" s="117"/>
      <c r="AA860" s="117"/>
    </row>
    <row r="861" spans="1:27" ht="14.4">
      <c r="A861" s="117"/>
      <c r="B861" s="117"/>
      <c r="C861" s="117"/>
      <c r="D861" s="117"/>
      <c r="E861" s="117"/>
      <c r="F861" s="117"/>
      <c r="G861" s="117"/>
      <c r="H861" s="117"/>
      <c r="I861" s="235"/>
      <c r="J861" s="235"/>
      <c r="K861" s="235"/>
      <c r="L861" s="117"/>
      <c r="M861" s="117"/>
      <c r="N861" s="117"/>
      <c r="O861" s="117"/>
      <c r="P861" s="117"/>
      <c r="Q861" s="117"/>
      <c r="R861" s="117"/>
      <c r="S861" s="117"/>
      <c r="T861" s="117"/>
      <c r="U861" s="117"/>
      <c r="V861" s="117"/>
      <c r="W861" s="117"/>
      <c r="X861" s="117"/>
      <c r="Y861" s="117"/>
      <c r="Z861" s="117"/>
      <c r="AA861" s="117"/>
    </row>
    <row r="862" spans="1:27" ht="14.4">
      <c r="A862" s="117"/>
      <c r="B862" s="117"/>
      <c r="C862" s="117"/>
      <c r="D862" s="117"/>
      <c r="E862" s="117"/>
      <c r="F862" s="117"/>
      <c r="G862" s="117"/>
      <c r="H862" s="117"/>
      <c r="I862" s="235"/>
      <c r="J862" s="235"/>
      <c r="K862" s="235"/>
      <c r="L862" s="117"/>
      <c r="M862" s="117"/>
      <c r="N862" s="117"/>
      <c r="O862" s="117"/>
      <c r="P862" s="117"/>
      <c r="Q862" s="117"/>
      <c r="R862" s="117"/>
      <c r="S862" s="117"/>
      <c r="T862" s="117"/>
      <c r="U862" s="117"/>
      <c r="V862" s="117"/>
      <c r="W862" s="117"/>
      <c r="X862" s="117"/>
      <c r="Y862" s="117"/>
      <c r="Z862" s="117"/>
      <c r="AA862" s="117"/>
    </row>
    <row r="863" spans="1:27" ht="14.4">
      <c r="A863" s="117"/>
      <c r="B863" s="117"/>
      <c r="C863" s="117"/>
      <c r="D863" s="117"/>
      <c r="E863" s="117"/>
      <c r="F863" s="117"/>
      <c r="G863" s="117"/>
      <c r="H863" s="117"/>
      <c r="I863" s="235"/>
      <c r="J863" s="235"/>
      <c r="K863" s="235"/>
      <c r="L863" s="117"/>
      <c r="M863" s="117"/>
      <c r="N863" s="117"/>
      <c r="O863" s="117"/>
      <c r="P863" s="117"/>
      <c r="Q863" s="117"/>
      <c r="R863" s="117"/>
      <c r="S863" s="117"/>
      <c r="T863" s="117"/>
      <c r="U863" s="117"/>
      <c r="V863" s="117"/>
      <c r="W863" s="117"/>
      <c r="X863" s="117"/>
      <c r="Y863" s="117"/>
      <c r="Z863" s="117"/>
      <c r="AA863" s="117"/>
    </row>
    <row r="864" spans="1:27" ht="14.4">
      <c r="A864" s="117"/>
      <c r="B864" s="117"/>
      <c r="C864" s="117"/>
      <c r="D864" s="117"/>
      <c r="E864" s="117"/>
      <c r="F864" s="117"/>
      <c r="G864" s="117"/>
      <c r="H864" s="117"/>
      <c r="I864" s="235"/>
      <c r="J864" s="235"/>
      <c r="K864" s="235"/>
      <c r="L864" s="117"/>
      <c r="M864" s="117"/>
      <c r="N864" s="117"/>
      <c r="O864" s="117"/>
      <c r="P864" s="117"/>
      <c r="Q864" s="117"/>
      <c r="R864" s="117"/>
      <c r="S864" s="117"/>
      <c r="T864" s="117"/>
      <c r="U864" s="117"/>
      <c r="V864" s="117"/>
      <c r="W864" s="117"/>
      <c r="X864" s="117"/>
      <c r="Y864" s="117"/>
      <c r="Z864" s="117"/>
      <c r="AA864" s="117"/>
    </row>
    <row r="865" spans="1:27" ht="14.4">
      <c r="A865" s="117"/>
      <c r="B865" s="117"/>
      <c r="C865" s="117"/>
      <c r="D865" s="117"/>
      <c r="E865" s="117"/>
      <c r="F865" s="117"/>
      <c r="G865" s="117"/>
      <c r="H865" s="117"/>
      <c r="I865" s="235"/>
      <c r="J865" s="235"/>
      <c r="K865" s="235"/>
      <c r="L865" s="117"/>
      <c r="M865" s="117"/>
      <c r="N865" s="117"/>
      <c r="O865" s="117"/>
      <c r="P865" s="117"/>
      <c r="Q865" s="117"/>
      <c r="R865" s="117"/>
      <c r="S865" s="117"/>
      <c r="T865" s="117"/>
      <c r="U865" s="117"/>
      <c r="V865" s="117"/>
      <c r="W865" s="117"/>
      <c r="X865" s="117"/>
      <c r="Y865" s="117"/>
      <c r="Z865" s="117"/>
      <c r="AA865" s="117"/>
    </row>
    <row r="866" spans="1:27" ht="14.4">
      <c r="A866" s="117"/>
      <c r="B866" s="117"/>
      <c r="C866" s="117"/>
      <c r="D866" s="117"/>
      <c r="E866" s="117"/>
      <c r="F866" s="117"/>
      <c r="G866" s="117"/>
      <c r="H866" s="117"/>
      <c r="I866" s="235"/>
      <c r="J866" s="235"/>
      <c r="K866" s="235"/>
      <c r="L866" s="117"/>
      <c r="M866" s="117"/>
      <c r="N866" s="117"/>
      <c r="O866" s="117"/>
      <c r="P866" s="117"/>
      <c r="Q866" s="117"/>
      <c r="R866" s="117"/>
      <c r="S866" s="117"/>
      <c r="T866" s="117"/>
      <c r="U866" s="117"/>
      <c r="V866" s="117"/>
      <c r="W866" s="117"/>
      <c r="X866" s="117"/>
      <c r="Y866" s="117"/>
      <c r="Z866" s="117"/>
      <c r="AA866" s="117"/>
    </row>
    <row r="867" spans="1:27" ht="14.4">
      <c r="A867" s="117"/>
      <c r="B867" s="117"/>
      <c r="C867" s="117"/>
      <c r="D867" s="117"/>
      <c r="E867" s="117"/>
      <c r="F867" s="117"/>
      <c r="G867" s="117"/>
      <c r="H867" s="117"/>
      <c r="I867" s="235"/>
      <c r="J867" s="235"/>
      <c r="K867" s="235"/>
      <c r="L867" s="117"/>
      <c r="M867" s="117"/>
      <c r="N867" s="117"/>
      <c r="O867" s="117"/>
      <c r="P867" s="117"/>
      <c r="Q867" s="117"/>
      <c r="R867" s="117"/>
      <c r="S867" s="117"/>
      <c r="T867" s="117"/>
      <c r="U867" s="117"/>
      <c r="V867" s="117"/>
      <c r="W867" s="117"/>
      <c r="X867" s="117"/>
      <c r="Y867" s="117"/>
      <c r="Z867" s="117"/>
      <c r="AA867" s="117"/>
    </row>
    <row r="868" spans="1:27" ht="14.4">
      <c r="A868" s="117"/>
      <c r="B868" s="117"/>
      <c r="C868" s="117"/>
      <c r="D868" s="117"/>
      <c r="E868" s="117"/>
      <c r="F868" s="117"/>
      <c r="G868" s="117"/>
      <c r="H868" s="117"/>
      <c r="I868" s="235"/>
      <c r="J868" s="235"/>
      <c r="K868" s="235"/>
      <c r="L868" s="117"/>
      <c r="M868" s="117"/>
      <c r="N868" s="117"/>
      <c r="O868" s="117"/>
      <c r="P868" s="117"/>
      <c r="Q868" s="117"/>
      <c r="R868" s="117"/>
      <c r="S868" s="117"/>
      <c r="T868" s="117"/>
      <c r="U868" s="117"/>
      <c r="V868" s="117"/>
      <c r="W868" s="117"/>
      <c r="X868" s="117"/>
      <c r="Y868" s="117"/>
      <c r="Z868" s="117"/>
      <c r="AA868" s="117"/>
    </row>
    <row r="869" spans="1:27" ht="14.4">
      <c r="A869" s="117"/>
      <c r="B869" s="117"/>
      <c r="C869" s="117"/>
      <c r="D869" s="117"/>
      <c r="E869" s="117"/>
      <c r="F869" s="117"/>
      <c r="G869" s="117"/>
      <c r="H869" s="117"/>
      <c r="I869" s="235"/>
      <c r="J869" s="235"/>
      <c r="K869" s="235"/>
      <c r="L869" s="117"/>
      <c r="M869" s="117"/>
      <c r="N869" s="117"/>
      <c r="O869" s="117"/>
      <c r="P869" s="117"/>
      <c r="Q869" s="117"/>
      <c r="R869" s="117"/>
      <c r="S869" s="117"/>
      <c r="T869" s="117"/>
      <c r="U869" s="117"/>
      <c r="V869" s="117"/>
      <c r="W869" s="117"/>
      <c r="X869" s="117"/>
      <c r="Y869" s="117"/>
      <c r="Z869" s="117"/>
      <c r="AA869" s="117"/>
    </row>
    <row r="870" spans="1:27" ht="14.4">
      <c r="A870" s="117"/>
      <c r="B870" s="117"/>
      <c r="C870" s="117"/>
      <c r="D870" s="117"/>
      <c r="E870" s="117"/>
      <c r="F870" s="117"/>
      <c r="G870" s="117"/>
      <c r="H870" s="117"/>
      <c r="I870" s="235"/>
      <c r="J870" s="235"/>
      <c r="K870" s="235"/>
      <c r="L870" s="117"/>
      <c r="M870" s="117"/>
      <c r="N870" s="117"/>
      <c r="O870" s="117"/>
      <c r="P870" s="117"/>
      <c r="Q870" s="117"/>
      <c r="R870" s="117"/>
      <c r="S870" s="117"/>
      <c r="T870" s="117"/>
      <c r="U870" s="117"/>
      <c r="V870" s="117"/>
      <c r="W870" s="117"/>
      <c r="X870" s="117"/>
      <c r="Y870" s="117"/>
      <c r="Z870" s="117"/>
      <c r="AA870" s="117"/>
    </row>
    <row r="871" spans="1:27" ht="14.4">
      <c r="A871" s="117"/>
      <c r="B871" s="117"/>
      <c r="C871" s="117"/>
      <c r="D871" s="117"/>
      <c r="E871" s="117"/>
      <c r="F871" s="117"/>
      <c r="G871" s="117"/>
      <c r="H871" s="117"/>
      <c r="I871" s="235"/>
      <c r="J871" s="235"/>
      <c r="K871" s="235"/>
      <c r="L871" s="117"/>
      <c r="M871" s="117"/>
      <c r="N871" s="117"/>
      <c r="O871" s="117"/>
      <c r="P871" s="117"/>
      <c r="Q871" s="117"/>
      <c r="R871" s="117"/>
      <c r="S871" s="117"/>
      <c r="T871" s="117"/>
      <c r="U871" s="117"/>
      <c r="V871" s="117"/>
      <c r="W871" s="117"/>
      <c r="X871" s="117"/>
      <c r="Y871" s="117"/>
      <c r="Z871" s="117"/>
      <c r="AA871" s="117"/>
    </row>
    <row r="872" spans="1:27" ht="14.4">
      <c r="A872" s="117"/>
      <c r="B872" s="117"/>
      <c r="C872" s="117"/>
      <c r="D872" s="117"/>
      <c r="E872" s="117"/>
      <c r="F872" s="117"/>
      <c r="G872" s="117"/>
      <c r="H872" s="117"/>
      <c r="I872" s="235"/>
      <c r="J872" s="235"/>
      <c r="K872" s="235"/>
      <c r="L872" s="117"/>
      <c r="M872" s="117"/>
      <c r="N872" s="117"/>
      <c r="O872" s="117"/>
      <c r="P872" s="117"/>
      <c r="Q872" s="117"/>
      <c r="R872" s="117"/>
      <c r="S872" s="117"/>
      <c r="T872" s="117"/>
      <c r="U872" s="117"/>
      <c r="V872" s="117"/>
      <c r="W872" s="117"/>
      <c r="X872" s="117"/>
      <c r="Y872" s="117"/>
      <c r="Z872" s="117"/>
      <c r="AA872" s="117"/>
    </row>
    <row r="873" spans="1:27" ht="14.4">
      <c r="A873" s="117"/>
      <c r="B873" s="117"/>
      <c r="C873" s="117"/>
      <c r="D873" s="117"/>
      <c r="E873" s="117"/>
      <c r="F873" s="117"/>
      <c r="G873" s="117"/>
      <c r="H873" s="117"/>
      <c r="I873" s="235"/>
      <c r="J873" s="235"/>
      <c r="K873" s="235"/>
      <c r="L873" s="117"/>
      <c r="M873" s="117"/>
      <c r="N873" s="117"/>
      <c r="O873" s="117"/>
      <c r="P873" s="117"/>
      <c r="Q873" s="117"/>
      <c r="R873" s="117"/>
      <c r="S873" s="117"/>
      <c r="T873" s="117"/>
      <c r="U873" s="117"/>
      <c r="V873" s="117"/>
      <c r="W873" s="117"/>
      <c r="X873" s="117"/>
      <c r="Y873" s="117"/>
      <c r="Z873" s="117"/>
      <c r="AA873" s="117"/>
    </row>
    <row r="874" spans="1:27" ht="14.4">
      <c r="A874" s="117"/>
      <c r="B874" s="117"/>
      <c r="C874" s="117"/>
      <c r="D874" s="117"/>
      <c r="E874" s="117"/>
      <c r="F874" s="117"/>
      <c r="G874" s="117"/>
      <c r="H874" s="117"/>
      <c r="I874" s="235"/>
      <c r="J874" s="235"/>
      <c r="K874" s="235"/>
      <c r="L874" s="117"/>
      <c r="M874" s="117"/>
      <c r="N874" s="117"/>
      <c r="O874" s="117"/>
      <c r="P874" s="117"/>
      <c r="Q874" s="117"/>
      <c r="R874" s="117"/>
      <c r="S874" s="117"/>
      <c r="T874" s="117"/>
      <c r="U874" s="117"/>
      <c r="V874" s="117"/>
      <c r="W874" s="117"/>
      <c r="X874" s="117"/>
      <c r="Y874" s="117"/>
      <c r="Z874" s="117"/>
      <c r="AA874" s="117"/>
    </row>
    <row r="875" spans="1:27" ht="14.4">
      <c r="A875" s="117"/>
      <c r="B875" s="117"/>
      <c r="C875" s="117"/>
      <c r="D875" s="117"/>
      <c r="E875" s="117"/>
      <c r="F875" s="117"/>
      <c r="G875" s="117"/>
      <c r="H875" s="117"/>
      <c r="I875" s="235"/>
      <c r="J875" s="235"/>
      <c r="K875" s="235"/>
      <c r="L875" s="117"/>
      <c r="M875" s="117"/>
      <c r="N875" s="117"/>
      <c r="O875" s="117"/>
      <c r="P875" s="117"/>
      <c r="Q875" s="117"/>
      <c r="R875" s="117"/>
      <c r="S875" s="117"/>
      <c r="T875" s="117"/>
      <c r="U875" s="117"/>
      <c r="V875" s="117"/>
      <c r="W875" s="117"/>
      <c r="X875" s="117"/>
      <c r="Y875" s="117"/>
      <c r="Z875" s="117"/>
      <c r="AA875" s="117"/>
    </row>
    <row r="876" spans="1:27" ht="14.4">
      <c r="A876" s="117"/>
      <c r="B876" s="117"/>
      <c r="C876" s="117"/>
      <c r="D876" s="117"/>
      <c r="E876" s="117"/>
      <c r="F876" s="117"/>
      <c r="G876" s="117"/>
      <c r="H876" s="117"/>
      <c r="I876" s="235"/>
      <c r="J876" s="235"/>
      <c r="K876" s="235"/>
      <c r="L876" s="117"/>
      <c r="M876" s="117"/>
      <c r="N876" s="117"/>
      <c r="O876" s="117"/>
      <c r="P876" s="117"/>
      <c r="Q876" s="117"/>
      <c r="R876" s="117"/>
      <c r="S876" s="117"/>
      <c r="T876" s="117"/>
      <c r="U876" s="117"/>
      <c r="V876" s="117"/>
      <c r="W876" s="117"/>
      <c r="X876" s="117"/>
      <c r="Y876" s="117"/>
      <c r="Z876" s="117"/>
      <c r="AA876" s="117"/>
    </row>
    <row r="877" spans="1:27" ht="14.4">
      <c r="A877" s="117"/>
      <c r="B877" s="117"/>
      <c r="C877" s="117"/>
      <c r="D877" s="117"/>
      <c r="E877" s="117"/>
      <c r="F877" s="117"/>
      <c r="G877" s="117"/>
      <c r="H877" s="117"/>
      <c r="I877" s="235"/>
      <c r="J877" s="235"/>
      <c r="K877" s="235"/>
      <c r="L877" s="117"/>
      <c r="M877" s="117"/>
      <c r="N877" s="117"/>
      <c r="O877" s="117"/>
      <c r="P877" s="117"/>
      <c r="Q877" s="117"/>
      <c r="R877" s="117"/>
      <c r="S877" s="117"/>
      <c r="T877" s="117"/>
      <c r="U877" s="117"/>
      <c r="V877" s="117"/>
      <c r="W877" s="117"/>
      <c r="X877" s="117"/>
      <c r="Y877" s="117"/>
      <c r="Z877" s="117"/>
      <c r="AA877" s="117"/>
    </row>
    <row r="878" spans="1:27" ht="14.4">
      <c r="A878" s="117"/>
      <c r="B878" s="117"/>
      <c r="C878" s="117"/>
      <c r="D878" s="117"/>
      <c r="E878" s="117"/>
      <c r="F878" s="117"/>
      <c r="G878" s="117"/>
      <c r="H878" s="117"/>
      <c r="I878" s="235"/>
      <c r="J878" s="235"/>
      <c r="K878" s="235"/>
      <c r="L878" s="117"/>
      <c r="M878" s="117"/>
      <c r="N878" s="117"/>
      <c r="O878" s="117"/>
      <c r="P878" s="117"/>
      <c r="Q878" s="117"/>
      <c r="R878" s="117"/>
      <c r="S878" s="117"/>
      <c r="T878" s="117"/>
      <c r="U878" s="117"/>
      <c r="V878" s="117"/>
      <c r="W878" s="117"/>
      <c r="X878" s="117"/>
      <c r="Y878" s="117"/>
      <c r="Z878" s="117"/>
      <c r="AA878" s="117"/>
    </row>
    <row r="879" spans="1:27" ht="14.4">
      <c r="A879" s="117"/>
      <c r="B879" s="117"/>
      <c r="C879" s="117"/>
      <c r="D879" s="117"/>
      <c r="E879" s="117"/>
      <c r="F879" s="117"/>
      <c r="G879" s="117"/>
      <c r="H879" s="117"/>
      <c r="I879" s="235"/>
      <c r="J879" s="235"/>
      <c r="K879" s="235"/>
      <c r="L879" s="117"/>
      <c r="M879" s="117"/>
      <c r="N879" s="117"/>
      <c r="O879" s="117"/>
      <c r="P879" s="117"/>
      <c r="Q879" s="117"/>
      <c r="R879" s="117"/>
      <c r="S879" s="117"/>
      <c r="T879" s="117"/>
      <c r="U879" s="117"/>
      <c r="V879" s="117"/>
      <c r="W879" s="117"/>
      <c r="X879" s="117"/>
      <c r="Y879" s="117"/>
      <c r="Z879" s="117"/>
      <c r="AA879" s="117"/>
    </row>
    <row r="880" spans="1:27" ht="14.4">
      <c r="A880" s="117"/>
      <c r="B880" s="117"/>
      <c r="C880" s="117"/>
      <c r="D880" s="117"/>
      <c r="E880" s="117"/>
      <c r="F880" s="117"/>
      <c r="G880" s="117"/>
      <c r="H880" s="117"/>
      <c r="I880" s="235"/>
      <c r="J880" s="235"/>
      <c r="K880" s="235"/>
      <c r="L880" s="117"/>
      <c r="M880" s="117"/>
      <c r="N880" s="117"/>
      <c r="O880" s="117"/>
      <c r="P880" s="117"/>
      <c r="Q880" s="117"/>
      <c r="R880" s="117"/>
      <c r="S880" s="117"/>
      <c r="T880" s="117"/>
      <c r="U880" s="117"/>
      <c r="V880" s="117"/>
      <c r="W880" s="117"/>
      <c r="X880" s="117"/>
      <c r="Y880" s="117"/>
      <c r="Z880" s="117"/>
      <c r="AA880" s="117"/>
    </row>
    <row r="881" spans="1:27" ht="14.4">
      <c r="A881" s="117"/>
      <c r="B881" s="117"/>
      <c r="C881" s="117"/>
      <c r="D881" s="117"/>
      <c r="E881" s="117"/>
      <c r="F881" s="117"/>
      <c r="G881" s="117"/>
      <c r="H881" s="117"/>
      <c r="I881" s="235"/>
      <c r="J881" s="235"/>
      <c r="K881" s="235"/>
      <c r="L881" s="117"/>
      <c r="M881" s="117"/>
      <c r="N881" s="117"/>
      <c r="O881" s="117"/>
      <c r="P881" s="117"/>
      <c r="Q881" s="117"/>
      <c r="R881" s="117"/>
      <c r="S881" s="117"/>
      <c r="T881" s="117"/>
      <c r="U881" s="117"/>
      <c r="V881" s="117"/>
      <c r="W881" s="117"/>
      <c r="X881" s="117"/>
      <c r="Y881" s="117"/>
      <c r="Z881" s="117"/>
      <c r="AA881" s="117"/>
    </row>
    <row r="882" spans="1:27" ht="14.4">
      <c r="A882" s="117"/>
      <c r="B882" s="117"/>
      <c r="C882" s="117"/>
      <c r="D882" s="117"/>
      <c r="E882" s="117"/>
      <c r="F882" s="117"/>
      <c r="G882" s="117"/>
      <c r="H882" s="117"/>
      <c r="I882" s="235"/>
      <c r="J882" s="235"/>
      <c r="K882" s="235"/>
      <c r="L882" s="117"/>
      <c r="M882" s="117"/>
      <c r="N882" s="117"/>
      <c r="O882" s="117"/>
      <c r="P882" s="117"/>
      <c r="Q882" s="117"/>
      <c r="R882" s="117"/>
      <c r="S882" s="117"/>
      <c r="T882" s="117"/>
      <c r="U882" s="117"/>
      <c r="V882" s="117"/>
      <c r="W882" s="117"/>
      <c r="X882" s="117"/>
      <c r="Y882" s="117"/>
      <c r="Z882" s="117"/>
      <c r="AA882" s="117"/>
    </row>
    <row r="883" spans="1:27" ht="14.4">
      <c r="A883" s="117"/>
      <c r="B883" s="117"/>
      <c r="C883" s="117"/>
      <c r="D883" s="117"/>
      <c r="E883" s="117"/>
      <c r="F883" s="117"/>
      <c r="G883" s="117"/>
      <c r="H883" s="117"/>
      <c r="I883" s="235"/>
      <c r="J883" s="235"/>
      <c r="K883" s="235"/>
      <c r="L883" s="117"/>
      <c r="M883" s="117"/>
      <c r="N883" s="117"/>
      <c r="O883" s="117"/>
      <c r="P883" s="117"/>
      <c r="Q883" s="117"/>
      <c r="R883" s="117"/>
      <c r="S883" s="117"/>
      <c r="T883" s="117"/>
      <c r="U883" s="117"/>
      <c r="V883" s="117"/>
      <c r="W883" s="117"/>
      <c r="X883" s="117"/>
      <c r="Y883" s="117"/>
      <c r="Z883" s="117"/>
      <c r="AA883" s="117"/>
    </row>
    <row r="884" spans="1:27" ht="14.4">
      <c r="A884" s="117"/>
      <c r="B884" s="117"/>
      <c r="C884" s="117"/>
      <c r="D884" s="117"/>
      <c r="E884" s="117"/>
      <c r="F884" s="117"/>
      <c r="G884" s="117"/>
      <c r="H884" s="117"/>
      <c r="I884" s="235"/>
      <c r="J884" s="235"/>
      <c r="K884" s="235"/>
      <c r="L884" s="117"/>
      <c r="M884" s="117"/>
      <c r="N884" s="117"/>
      <c r="O884" s="117"/>
      <c r="P884" s="117"/>
      <c r="Q884" s="117"/>
      <c r="R884" s="117"/>
      <c r="S884" s="117"/>
      <c r="T884" s="117"/>
      <c r="U884" s="117"/>
      <c r="V884" s="117"/>
      <c r="W884" s="117"/>
      <c r="X884" s="117"/>
      <c r="Y884" s="117"/>
      <c r="Z884" s="117"/>
      <c r="AA884" s="117"/>
    </row>
    <row r="885" spans="1:27" ht="14.4">
      <c r="A885" s="117"/>
      <c r="B885" s="117"/>
      <c r="C885" s="117"/>
      <c r="D885" s="117"/>
      <c r="E885" s="117"/>
      <c r="F885" s="117"/>
      <c r="G885" s="117"/>
      <c r="H885" s="117"/>
      <c r="I885" s="235"/>
      <c r="J885" s="235"/>
      <c r="K885" s="235"/>
      <c r="L885" s="117"/>
      <c r="M885" s="117"/>
      <c r="N885" s="117"/>
      <c r="O885" s="117"/>
      <c r="P885" s="117"/>
      <c r="Q885" s="117"/>
      <c r="R885" s="117"/>
      <c r="S885" s="117"/>
      <c r="T885" s="117"/>
      <c r="U885" s="117"/>
      <c r="V885" s="117"/>
      <c r="W885" s="117"/>
      <c r="X885" s="117"/>
      <c r="Y885" s="117"/>
      <c r="Z885" s="117"/>
      <c r="AA885" s="117"/>
    </row>
    <row r="886" spans="1:27" ht="14.4">
      <c r="A886" s="117"/>
      <c r="B886" s="117"/>
      <c r="C886" s="117"/>
      <c r="D886" s="117"/>
      <c r="E886" s="117"/>
      <c r="F886" s="117"/>
      <c r="G886" s="117"/>
      <c r="H886" s="117"/>
      <c r="I886" s="235"/>
      <c r="J886" s="235"/>
      <c r="K886" s="235"/>
      <c r="L886" s="117"/>
      <c r="M886" s="117"/>
      <c r="N886" s="117"/>
      <c r="O886" s="117"/>
      <c r="P886" s="117"/>
      <c r="Q886" s="117"/>
      <c r="R886" s="117"/>
      <c r="S886" s="117"/>
      <c r="T886" s="117"/>
      <c r="U886" s="117"/>
      <c r="V886" s="117"/>
      <c r="W886" s="117"/>
      <c r="X886" s="117"/>
      <c r="Y886" s="117"/>
      <c r="Z886" s="117"/>
      <c r="AA886" s="117"/>
    </row>
    <row r="887" spans="1:27" ht="14.4">
      <c r="A887" s="117"/>
      <c r="B887" s="117"/>
      <c r="C887" s="117"/>
      <c r="D887" s="117"/>
      <c r="E887" s="117"/>
      <c r="F887" s="117"/>
      <c r="G887" s="117"/>
      <c r="H887" s="117"/>
      <c r="I887" s="235"/>
      <c r="J887" s="235"/>
      <c r="K887" s="235"/>
      <c r="L887" s="117"/>
      <c r="M887" s="117"/>
      <c r="N887" s="117"/>
      <c r="O887" s="117"/>
      <c r="P887" s="117"/>
      <c r="Q887" s="117"/>
      <c r="R887" s="117"/>
      <c r="S887" s="117"/>
      <c r="T887" s="117"/>
      <c r="U887" s="117"/>
      <c r="V887" s="117"/>
      <c r="W887" s="117"/>
      <c r="X887" s="117"/>
      <c r="Y887" s="117"/>
      <c r="Z887" s="117"/>
      <c r="AA887" s="117"/>
    </row>
    <row r="888" spans="1:27" ht="14.4">
      <c r="A888" s="117"/>
      <c r="B888" s="117"/>
      <c r="C888" s="117"/>
      <c r="D888" s="117"/>
      <c r="E888" s="117"/>
      <c r="F888" s="117"/>
      <c r="G888" s="117"/>
      <c r="H888" s="117"/>
      <c r="I888" s="235"/>
      <c r="J888" s="235"/>
      <c r="K888" s="235"/>
      <c r="L888" s="117"/>
      <c r="M888" s="117"/>
      <c r="N888" s="117"/>
      <c r="O888" s="117"/>
      <c r="P888" s="117"/>
      <c r="Q888" s="117"/>
      <c r="R888" s="117"/>
      <c r="S888" s="117"/>
      <c r="T888" s="117"/>
      <c r="U888" s="117"/>
      <c r="V888" s="117"/>
      <c r="W888" s="117"/>
      <c r="X888" s="117"/>
      <c r="Y888" s="117"/>
      <c r="Z888" s="117"/>
      <c r="AA888" s="117"/>
    </row>
    <row r="889" spans="1:27" ht="14.4">
      <c r="A889" s="117"/>
      <c r="B889" s="117"/>
      <c r="C889" s="117"/>
      <c r="D889" s="117"/>
      <c r="E889" s="117"/>
      <c r="F889" s="117"/>
      <c r="G889" s="117"/>
      <c r="H889" s="117"/>
      <c r="I889" s="235"/>
      <c r="J889" s="235"/>
      <c r="K889" s="235"/>
      <c r="L889" s="117"/>
      <c r="M889" s="117"/>
      <c r="N889" s="117"/>
      <c r="O889" s="117"/>
      <c r="P889" s="117"/>
      <c r="Q889" s="117"/>
      <c r="R889" s="117"/>
      <c r="S889" s="117"/>
      <c r="T889" s="117"/>
      <c r="U889" s="117"/>
      <c r="V889" s="117"/>
      <c r="W889" s="117"/>
      <c r="X889" s="117"/>
      <c r="Y889" s="117"/>
      <c r="Z889" s="117"/>
      <c r="AA889" s="117"/>
    </row>
    <row r="890" spans="1:27" ht="14.4">
      <c r="A890" s="117"/>
      <c r="B890" s="117"/>
      <c r="C890" s="117"/>
      <c r="D890" s="117"/>
      <c r="E890" s="117"/>
      <c r="F890" s="117"/>
      <c r="G890" s="117"/>
      <c r="H890" s="117"/>
      <c r="I890" s="235"/>
      <c r="J890" s="235"/>
      <c r="K890" s="235"/>
      <c r="L890" s="117"/>
      <c r="M890" s="117"/>
      <c r="N890" s="117"/>
      <c r="O890" s="117"/>
      <c r="P890" s="117"/>
      <c r="Q890" s="117"/>
      <c r="R890" s="117"/>
      <c r="S890" s="117"/>
      <c r="T890" s="117"/>
      <c r="U890" s="117"/>
      <c r="V890" s="117"/>
      <c r="W890" s="117"/>
      <c r="X890" s="117"/>
      <c r="Y890" s="117"/>
      <c r="Z890" s="117"/>
      <c r="AA890" s="117"/>
    </row>
    <row r="891" spans="1:27" ht="14.4">
      <c r="A891" s="117"/>
      <c r="B891" s="117"/>
      <c r="C891" s="117"/>
      <c r="D891" s="117"/>
      <c r="E891" s="117"/>
      <c r="F891" s="117"/>
      <c r="G891" s="117"/>
      <c r="H891" s="117"/>
      <c r="I891" s="235"/>
      <c r="J891" s="235"/>
      <c r="K891" s="235"/>
      <c r="L891" s="117"/>
      <c r="M891" s="117"/>
      <c r="N891" s="117"/>
      <c r="O891" s="117"/>
      <c r="P891" s="117"/>
      <c r="Q891" s="117"/>
      <c r="R891" s="117"/>
      <c r="S891" s="117"/>
      <c r="T891" s="117"/>
      <c r="U891" s="117"/>
      <c r="V891" s="117"/>
      <c r="W891" s="117"/>
      <c r="X891" s="117"/>
      <c r="Y891" s="117"/>
      <c r="Z891" s="117"/>
      <c r="AA891" s="117"/>
    </row>
    <row r="892" spans="1:27" ht="14.4">
      <c r="A892" s="117"/>
      <c r="B892" s="117"/>
      <c r="C892" s="117"/>
      <c r="D892" s="117"/>
      <c r="E892" s="117"/>
      <c r="F892" s="117"/>
      <c r="G892" s="117"/>
      <c r="H892" s="117"/>
      <c r="I892" s="235"/>
      <c r="J892" s="235"/>
      <c r="K892" s="235"/>
      <c r="L892" s="117"/>
      <c r="M892" s="117"/>
      <c r="N892" s="117"/>
      <c r="O892" s="117"/>
      <c r="P892" s="117"/>
      <c r="Q892" s="117"/>
      <c r="R892" s="117"/>
      <c r="S892" s="117"/>
      <c r="T892" s="117"/>
      <c r="U892" s="117"/>
      <c r="V892" s="117"/>
      <c r="W892" s="117"/>
      <c r="X892" s="117"/>
      <c r="Y892" s="117"/>
      <c r="Z892" s="117"/>
      <c r="AA892" s="117"/>
    </row>
    <row r="893" spans="1:27" ht="14.4">
      <c r="A893" s="117"/>
      <c r="B893" s="117"/>
      <c r="C893" s="117"/>
      <c r="D893" s="117"/>
      <c r="E893" s="117"/>
      <c r="F893" s="117"/>
      <c r="G893" s="117"/>
      <c r="H893" s="117"/>
      <c r="I893" s="235"/>
      <c r="J893" s="235"/>
      <c r="K893" s="235"/>
      <c r="L893" s="117"/>
      <c r="M893" s="117"/>
      <c r="N893" s="117"/>
      <c r="O893" s="117"/>
      <c r="P893" s="117"/>
      <c r="Q893" s="117"/>
      <c r="R893" s="117"/>
      <c r="S893" s="117"/>
      <c r="T893" s="117"/>
      <c r="U893" s="117"/>
      <c r="V893" s="117"/>
      <c r="W893" s="117"/>
      <c r="X893" s="117"/>
      <c r="Y893" s="117"/>
      <c r="Z893" s="117"/>
      <c r="AA893" s="117"/>
    </row>
    <row r="894" spans="1:27" ht="14.4">
      <c r="A894" s="117"/>
      <c r="B894" s="117"/>
      <c r="C894" s="117"/>
      <c r="D894" s="117"/>
      <c r="E894" s="117"/>
      <c r="F894" s="117"/>
      <c r="G894" s="117"/>
      <c r="H894" s="117"/>
      <c r="I894" s="235"/>
      <c r="J894" s="235"/>
      <c r="K894" s="235"/>
      <c r="L894" s="117"/>
      <c r="M894" s="117"/>
      <c r="N894" s="117"/>
      <c r="O894" s="117"/>
      <c r="P894" s="117"/>
      <c r="Q894" s="117"/>
      <c r="R894" s="117"/>
      <c r="S894" s="117"/>
      <c r="T894" s="117"/>
      <c r="U894" s="117"/>
      <c r="V894" s="117"/>
      <c r="W894" s="117"/>
      <c r="X894" s="117"/>
      <c r="Y894" s="117"/>
      <c r="Z894" s="117"/>
      <c r="AA894" s="117"/>
    </row>
    <row r="895" spans="1:27" ht="14.4">
      <c r="A895" s="117"/>
      <c r="B895" s="117"/>
      <c r="C895" s="117"/>
      <c r="D895" s="117"/>
      <c r="E895" s="117"/>
      <c r="F895" s="117"/>
      <c r="G895" s="117"/>
      <c r="H895" s="117"/>
      <c r="I895" s="235"/>
      <c r="J895" s="235"/>
      <c r="K895" s="235"/>
      <c r="L895" s="117"/>
      <c r="M895" s="117"/>
      <c r="N895" s="117"/>
      <c r="O895" s="117"/>
      <c r="P895" s="117"/>
      <c r="Q895" s="117"/>
      <c r="R895" s="117"/>
      <c r="S895" s="117"/>
      <c r="T895" s="117"/>
      <c r="U895" s="117"/>
      <c r="V895" s="117"/>
      <c r="W895" s="117"/>
      <c r="X895" s="117"/>
      <c r="Y895" s="117"/>
      <c r="Z895" s="117"/>
      <c r="AA895" s="117"/>
    </row>
    <row r="896" spans="1:27" ht="14.4">
      <c r="A896" s="117"/>
      <c r="B896" s="117"/>
      <c r="C896" s="117"/>
      <c r="D896" s="117"/>
      <c r="E896" s="117"/>
      <c r="F896" s="117"/>
      <c r="G896" s="117"/>
      <c r="H896" s="117"/>
      <c r="I896" s="235"/>
      <c r="J896" s="235"/>
      <c r="K896" s="235"/>
      <c r="L896" s="117"/>
      <c r="M896" s="117"/>
      <c r="N896" s="117"/>
      <c r="O896" s="117"/>
      <c r="P896" s="117"/>
      <c r="Q896" s="117"/>
      <c r="R896" s="117"/>
      <c r="S896" s="117"/>
      <c r="T896" s="117"/>
      <c r="U896" s="117"/>
      <c r="V896" s="117"/>
      <c r="W896" s="117"/>
      <c r="X896" s="117"/>
      <c r="Y896" s="117"/>
      <c r="Z896" s="117"/>
      <c r="AA896" s="117"/>
    </row>
    <row r="897" spans="1:27" ht="14.4">
      <c r="A897" s="117"/>
      <c r="B897" s="117"/>
      <c r="C897" s="117"/>
      <c r="D897" s="117"/>
      <c r="E897" s="117"/>
      <c r="F897" s="117"/>
      <c r="G897" s="117"/>
      <c r="H897" s="117"/>
      <c r="I897" s="235"/>
      <c r="J897" s="235"/>
      <c r="K897" s="235"/>
      <c r="L897" s="117"/>
      <c r="M897" s="117"/>
      <c r="N897" s="117"/>
      <c r="O897" s="117"/>
      <c r="P897" s="117"/>
      <c r="Q897" s="117"/>
      <c r="R897" s="117"/>
      <c r="S897" s="117"/>
      <c r="T897" s="117"/>
      <c r="U897" s="117"/>
      <c r="V897" s="117"/>
      <c r="W897" s="117"/>
      <c r="X897" s="117"/>
      <c r="Y897" s="117"/>
      <c r="Z897" s="117"/>
      <c r="AA897" s="117"/>
    </row>
    <row r="898" spans="1:27" ht="14.4">
      <c r="A898" s="117"/>
      <c r="B898" s="117"/>
      <c r="C898" s="117"/>
      <c r="D898" s="117"/>
      <c r="E898" s="117"/>
      <c r="F898" s="117"/>
      <c r="G898" s="117"/>
      <c r="H898" s="117"/>
      <c r="I898" s="235"/>
      <c r="J898" s="235"/>
      <c r="K898" s="235"/>
      <c r="L898" s="117"/>
      <c r="M898" s="117"/>
      <c r="N898" s="117"/>
      <c r="O898" s="117"/>
      <c r="P898" s="117"/>
      <c r="Q898" s="117"/>
      <c r="R898" s="117"/>
      <c r="S898" s="117"/>
      <c r="T898" s="117"/>
      <c r="U898" s="117"/>
      <c r="V898" s="117"/>
      <c r="W898" s="117"/>
      <c r="X898" s="117"/>
      <c r="Y898" s="117"/>
      <c r="Z898" s="117"/>
      <c r="AA898" s="117"/>
    </row>
    <row r="899" spans="1:27" ht="14.4">
      <c r="A899" s="117"/>
      <c r="B899" s="117"/>
      <c r="C899" s="117"/>
      <c r="D899" s="117"/>
      <c r="E899" s="117"/>
      <c r="F899" s="117"/>
      <c r="G899" s="117"/>
      <c r="H899" s="117"/>
      <c r="I899" s="235"/>
      <c r="J899" s="235"/>
      <c r="K899" s="235"/>
      <c r="L899" s="117"/>
      <c r="M899" s="117"/>
      <c r="N899" s="117"/>
      <c r="O899" s="117"/>
      <c r="P899" s="117"/>
      <c r="Q899" s="117"/>
      <c r="R899" s="117"/>
      <c r="S899" s="117"/>
      <c r="T899" s="117"/>
      <c r="U899" s="117"/>
      <c r="V899" s="117"/>
      <c r="W899" s="117"/>
      <c r="X899" s="117"/>
      <c r="Y899" s="117"/>
      <c r="Z899" s="117"/>
      <c r="AA899" s="117"/>
    </row>
    <row r="900" spans="1:27" ht="14.4">
      <c r="A900" s="117"/>
      <c r="B900" s="117"/>
      <c r="C900" s="117"/>
      <c r="D900" s="117"/>
      <c r="E900" s="117"/>
      <c r="F900" s="117"/>
      <c r="G900" s="117"/>
      <c r="H900" s="117"/>
      <c r="I900" s="235"/>
      <c r="J900" s="235"/>
      <c r="K900" s="235"/>
      <c r="L900" s="117"/>
      <c r="M900" s="117"/>
      <c r="N900" s="117"/>
      <c r="O900" s="117"/>
      <c r="P900" s="117"/>
      <c r="Q900" s="117"/>
      <c r="R900" s="117"/>
      <c r="S900" s="117"/>
      <c r="T900" s="117"/>
      <c r="U900" s="117"/>
      <c r="V900" s="117"/>
      <c r="W900" s="117"/>
      <c r="X900" s="117"/>
      <c r="Y900" s="117"/>
      <c r="Z900" s="117"/>
      <c r="AA900" s="117"/>
    </row>
    <row r="901" spans="1:27" ht="14.4">
      <c r="A901" s="117"/>
      <c r="B901" s="117"/>
      <c r="C901" s="117"/>
      <c r="D901" s="117"/>
      <c r="E901" s="117"/>
      <c r="F901" s="117"/>
      <c r="G901" s="117"/>
      <c r="H901" s="117"/>
      <c r="I901" s="235"/>
      <c r="J901" s="235"/>
      <c r="K901" s="235"/>
      <c r="L901" s="117"/>
      <c r="M901" s="117"/>
      <c r="N901" s="117"/>
      <c r="O901" s="117"/>
      <c r="P901" s="117"/>
      <c r="Q901" s="117"/>
      <c r="R901" s="117"/>
      <c r="S901" s="117"/>
      <c r="T901" s="117"/>
      <c r="U901" s="117"/>
      <c r="V901" s="117"/>
      <c r="W901" s="117"/>
      <c r="X901" s="117"/>
      <c r="Y901" s="117"/>
      <c r="Z901" s="117"/>
      <c r="AA901" s="117"/>
    </row>
    <row r="902" spans="1:27" ht="14.4">
      <c r="A902" s="117"/>
      <c r="B902" s="117"/>
      <c r="C902" s="117"/>
      <c r="D902" s="117"/>
      <c r="E902" s="117"/>
      <c r="F902" s="117"/>
      <c r="G902" s="117"/>
      <c r="H902" s="117"/>
      <c r="I902" s="235"/>
      <c r="J902" s="235"/>
      <c r="K902" s="235"/>
      <c r="L902" s="117"/>
      <c r="M902" s="117"/>
      <c r="N902" s="117"/>
      <c r="O902" s="117"/>
      <c r="P902" s="117"/>
      <c r="Q902" s="117"/>
      <c r="R902" s="117"/>
      <c r="S902" s="117"/>
      <c r="T902" s="117"/>
      <c r="U902" s="117"/>
      <c r="V902" s="117"/>
      <c r="W902" s="117"/>
      <c r="X902" s="117"/>
      <c r="Y902" s="117"/>
      <c r="Z902" s="117"/>
      <c r="AA902" s="117"/>
    </row>
    <row r="903" spans="1:27" ht="14.4">
      <c r="A903" s="117"/>
      <c r="B903" s="117"/>
      <c r="C903" s="117"/>
      <c r="D903" s="117"/>
      <c r="E903" s="117"/>
      <c r="F903" s="117"/>
      <c r="G903" s="117"/>
      <c r="H903" s="117"/>
      <c r="I903" s="235"/>
      <c r="J903" s="235"/>
      <c r="K903" s="235"/>
      <c r="L903" s="117"/>
      <c r="M903" s="117"/>
      <c r="N903" s="117"/>
      <c r="O903" s="117"/>
      <c r="P903" s="117"/>
      <c r="Q903" s="117"/>
      <c r="R903" s="117"/>
      <c r="S903" s="117"/>
      <c r="T903" s="117"/>
      <c r="U903" s="117"/>
      <c r="V903" s="117"/>
      <c r="W903" s="117"/>
      <c r="X903" s="117"/>
      <c r="Y903" s="117"/>
      <c r="Z903" s="117"/>
      <c r="AA903" s="117"/>
    </row>
    <row r="904" spans="1:27" ht="14.4">
      <c r="A904" s="117"/>
      <c r="B904" s="117"/>
      <c r="C904" s="117"/>
      <c r="D904" s="117"/>
      <c r="E904" s="117"/>
      <c r="F904" s="117"/>
      <c r="G904" s="117"/>
      <c r="H904" s="117"/>
      <c r="I904" s="235"/>
      <c r="J904" s="235"/>
      <c r="K904" s="235"/>
      <c r="L904" s="117"/>
      <c r="M904" s="117"/>
      <c r="N904" s="117"/>
      <c r="O904" s="117"/>
      <c r="P904" s="117"/>
      <c r="Q904" s="117"/>
      <c r="R904" s="117"/>
      <c r="S904" s="117"/>
      <c r="T904" s="117"/>
      <c r="U904" s="117"/>
      <c r="V904" s="117"/>
      <c r="W904" s="117"/>
      <c r="X904" s="117"/>
      <c r="Y904" s="117"/>
      <c r="Z904" s="117"/>
      <c r="AA904" s="117"/>
    </row>
    <row r="905" spans="1:27" ht="14.4">
      <c r="A905" s="117"/>
      <c r="B905" s="117"/>
      <c r="C905" s="117"/>
      <c r="D905" s="117"/>
      <c r="E905" s="117"/>
      <c r="F905" s="117"/>
      <c r="G905" s="117"/>
      <c r="H905" s="117"/>
      <c r="I905" s="235"/>
      <c r="J905" s="235"/>
      <c r="K905" s="235"/>
      <c r="L905" s="117"/>
      <c r="M905" s="117"/>
      <c r="N905" s="117"/>
      <c r="O905" s="117"/>
      <c r="P905" s="117"/>
      <c r="Q905" s="117"/>
      <c r="R905" s="117"/>
      <c r="S905" s="117"/>
      <c r="T905" s="117"/>
      <c r="U905" s="117"/>
      <c r="V905" s="117"/>
      <c r="W905" s="117"/>
      <c r="X905" s="117"/>
      <c r="Y905" s="117"/>
      <c r="Z905" s="117"/>
      <c r="AA905" s="117"/>
    </row>
    <row r="906" spans="1:27" ht="14.4">
      <c r="A906" s="117"/>
      <c r="B906" s="117"/>
      <c r="C906" s="117"/>
      <c r="D906" s="117"/>
      <c r="E906" s="117"/>
      <c r="F906" s="117"/>
      <c r="G906" s="117"/>
      <c r="H906" s="117"/>
      <c r="I906" s="235"/>
      <c r="J906" s="235"/>
      <c r="K906" s="235"/>
      <c r="L906" s="117"/>
      <c r="M906" s="117"/>
      <c r="N906" s="117"/>
      <c r="O906" s="117"/>
      <c r="P906" s="117"/>
      <c r="Q906" s="117"/>
      <c r="R906" s="117"/>
      <c r="S906" s="117"/>
      <c r="T906" s="117"/>
      <c r="U906" s="117"/>
      <c r="V906" s="117"/>
      <c r="W906" s="117"/>
      <c r="X906" s="117"/>
      <c r="Y906" s="117"/>
      <c r="Z906" s="117"/>
      <c r="AA906" s="117"/>
    </row>
    <row r="907" spans="1:27" ht="14.4">
      <c r="A907" s="117"/>
      <c r="B907" s="117"/>
      <c r="C907" s="117"/>
      <c r="D907" s="117"/>
      <c r="E907" s="117"/>
      <c r="F907" s="117"/>
      <c r="G907" s="117"/>
      <c r="H907" s="117"/>
      <c r="I907" s="235"/>
      <c r="J907" s="235"/>
      <c r="K907" s="235"/>
      <c r="L907" s="117"/>
      <c r="M907" s="117"/>
      <c r="N907" s="117"/>
      <c r="O907" s="117"/>
      <c r="P907" s="117"/>
      <c r="Q907" s="117"/>
      <c r="R907" s="117"/>
      <c r="S907" s="117"/>
      <c r="T907" s="117"/>
      <c r="U907" s="117"/>
      <c r="V907" s="117"/>
      <c r="W907" s="117"/>
      <c r="X907" s="117"/>
      <c r="Y907" s="117"/>
      <c r="Z907" s="117"/>
      <c r="AA907" s="117"/>
    </row>
    <row r="908" spans="1:27" ht="14.4">
      <c r="A908" s="117"/>
      <c r="B908" s="117"/>
      <c r="C908" s="117"/>
      <c r="D908" s="117"/>
      <c r="E908" s="117"/>
      <c r="F908" s="117"/>
      <c r="G908" s="117"/>
      <c r="H908" s="117"/>
      <c r="I908" s="235"/>
      <c r="J908" s="235"/>
      <c r="K908" s="235"/>
      <c r="L908" s="117"/>
      <c r="M908" s="117"/>
      <c r="N908" s="117"/>
      <c r="O908" s="117"/>
      <c r="P908" s="117"/>
      <c r="Q908" s="117"/>
      <c r="R908" s="117"/>
      <c r="S908" s="117"/>
      <c r="T908" s="117"/>
      <c r="U908" s="117"/>
      <c r="V908" s="117"/>
      <c r="W908" s="117"/>
      <c r="X908" s="117"/>
      <c r="Y908" s="117"/>
      <c r="Z908" s="117"/>
      <c r="AA908" s="117"/>
    </row>
    <row r="909" spans="1:27" ht="14.4">
      <c r="A909" s="117"/>
      <c r="B909" s="117"/>
      <c r="C909" s="117"/>
      <c r="D909" s="117"/>
      <c r="E909" s="117"/>
      <c r="F909" s="117"/>
      <c r="G909" s="117"/>
      <c r="H909" s="117"/>
      <c r="I909" s="235"/>
      <c r="J909" s="235"/>
      <c r="K909" s="235"/>
      <c r="L909" s="117"/>
      <c r="M909" s="117"/>
      <c r="N909" s="117"/>
      <c r="O909" s="117"/>
      <c r="P909" s="117"/>
      <c r="Q909" s="117"/>
      <c r="R909" s="117"/>
      <c r="S909" s="117"/>
      <c r="T909" s="117"/>
      <c r="U909" s="117"/>
      <c r="V909" s="117"/>
      <c r="W909" s="117"/>
      <c r="X909" s="117"/>
      <c r="Y909" s="117"/>
      <c r="Z909" s="117"/>
      <c r="AA909" s="117"/>
    </row>
    <row r="910" spans="1:27" ht="14.4">
      <c r="A910" s="117"/>
      <c r="B910" s="117"/>
      <c r="C910" s="117"/>
      <c r="D910" s="117"/>
      <c r="E910" s="117"/>
      <c r="F910" s="117"/>
      <c r="G910" s="117"/>
      <c r="H910" s="117"/>
      <c r="I910" s="235"/>
      <c r="J910" s="235"/>
      <c r="K910" s="235"/>
      <c r="L910" s="117"/>
      <c r="M910" s="117"/>
      <c r="N910" s="117"/>
      <c r="O910" s="117"/>
      <c r="P910" s="117"/>
      <c r="Q910" s="117"/>
      <c r="R910" s="117"/>
      <c r="S910" s="117"/>
      <c r="T910" s="117"/>
      <c r="U910" s="117"/>
      <c r="V910" s="117"/>
      <c r="W910" s="117"/>
      <c r="X910" s="117"/>
      <c r="Y910" s="117"/>
      <c r="Z910" s="117"/>
      <c r="AA910" s="117"/>
    </row>
    <row r="911" spans="1:27" ht="14.4">
      <c r="A911" s="117"/>
      <c r="B911" s="117"/>
      <c r="C911" s="117"/>
      <c r="D911" s="117"/>
      <c r="E911" s="117"/>
      <c r="F911" s="117"/>
      <c r="G911" s="117"/>
      <c r="H911" s="117"/>
      <c r="I911" s="235"/>
      <c r="J911" s="235"/>
      <c r="K911" s="235"/>
      <c r="L911" s="117"/>
      <c r="M911" s="117"/>
      <c r="N911" s="117"/>
      <c r="O911" s="117"/>
      <c r="P911" s="117"/>
      <c r="Q911" s="117"/>
      <c r="R911" s="117"/>
      <c r="S911" s="117"/>
      <c r="T911" s="117"/>
      <c r="U911" s="117"/>
      <c r="V911" s="117"/>
      <c r="W911" s="117"/>
      <c r="X911" s="117"/>
      <c r="Y911" s="117"/>
      <c r="Z911" s="117"/>
      <c r="AA911" s="117"/>
    </row>
    <row r="912" spans="1:27" ht="14.4">
      <c r="A912" s="117"/>
      <c r="B912" s="117"/>
      <c r="C912" s="117"/>
      <c r="D912" s="117"/>
      <c r="E912" s="117"/>
      <c r="F912" s="117"/>
      <c r="G912" s="117"/>
      <c r="H912" s="117"/>
      <c r="I912" s="235"/>
      <c r="J912" s="235"/>
      <c r="K912" s="235"/>
      <c r="L912" s="117"/>
      <c r="M912" s="117"/>
      <c r="N912" s="117"/>
      <c r="O912" s="117"/>
      <c r="P912" s="117"/>
      <c r="Q912" s="117"/>
      <c r="R912" s="117"/>
      <c r="S912" s="117"/>
      <c r="T912" s="117"/>
      <c r="U912" s="117"/>
      <c r="V912" s="117"/>
      <c r="W912" s="117"/>
      <c r="X912" s="117"/>
      <c r="Y912" s="117"/>
      <c r="Z912" s="117"/>
      <c r="AA912" s="117"/>
    </row>
    <row r="913" spans="1:27" ht="14.4">
      <c r="A913" s="117"/>
      <c r="B913" s="117"/>
      <c r="C913" s="117"/>
      <c r="D913" s="117"/>
      <c r="E913" s="117"/>
      <c r="F913" s="117"/>
      <c r="G913" s="117"/>
      <c r="H913" s="117"/>
      <c r="I913" s="235"/>
      <c r="J913" s="235"/>
      <c r="K913" s="235"/>
      <c r="L913" s="117"/>
      <c r="M913" s="117"/>
      <c r="N913" s="117"/>
      <c r="O913" s="117"/>
      <c r="P913" s="117"/>
      <c r="Q913" s="117"/>
      <c r="R913" s="117"/>
      <c r="S913" s="117"/>
      <c r="T913" s="117"/>
      <c r="U913" s="117"/>
      <c r="V913" s="117"/>
      <c r="W913" s="117"/>
      <c r="X913" s="117"/>
      <c r="Y913" s="117"/>
      <c r="Z913" s="117"/>
      <c r="AA913" s="117"/>
    </row>
    <row r="914" spans="1:27" ht="14.4">
      <c r="A914" s="117"/>
      <c r="B914" s="117"/>
      <c r="C914" s="117"/>
      <c r="D914" s="117"/>
      <c r="E914" s="117"/>
      <c r="F914" s="117"/>
      <c r="G914" s="117"/>
      <c r="H914" s="117"/>
      <c r="I914" s="235"/>
      <c r="J914" s="235"/>
      <c r="K914" s="235"/>
      <c r="L914" s="117"/>
      <c r="M914" s="117"/>
      <c r="N914" s="117"/>
      <c r="O914" s="117"/>
      <c r="P914" s="117"/>
      <c r="Q914" s="117"/>
      <c r="R914" s="117"/>
      <c r="S914" s="117"/>
      <c r="T914" s="117"/>
      <c r="U914" s="117"/>
      <c r="V914" s="117"/>
      <c r="W914" s="117"/>
      <c r="X914" s="117"/>
      <c r="Y914" s="117"/>
      <c r="Z914" s="117"/>
      <c r="AA914" s="117"/>
    </row>
    <row r="915" spans="1:27" ht="14.4">
      <c r="A915" s="117"/>
      <c r="B915" s="117"/>
      <c r="C915" s="117"/>
      <c r="D915" s="117"/>
      <c r="E915" s="117"/>
      <c r="F915" s="117"/>
      <c r="G915" s="117"/>
      <c r="H915" s="117"/>
      <c r="I915" s="235"/>
      <c r="J915" s="235"/>
      <c r="K915" s="235"/>
      <c r="L915" s="117"/>
      <c r="M915" s="117"/>
      <c r="N915" s="117"/>
      <c r="O915" s="117"/>
      <c r="P915" s="117"/>
      <c r="Q915" s="117"/>
      <c r="R915" s="117"/>
      <c r="S915" s="117"/>
      <c r="T915" s="117"/>
      <c r="U915" s="117"/>
      <c r="V915" s="117"/>
      <c r="W915" s="117"/>
      <c r="X915" s="117"/>
      <c r="Y915" s="117"/>
      <c r="Z915" s="117"/>
      <c r="AA915" s="117"/>
    </row>
    <row r="916" spans="1:27" ht="14.4">
      <c r="A916" s="117"/>
      <c r="B916" s="117"/>
      <c r="C916" s="117"/>
      <c r="D916" s="117"/>
      <c r="E916" s="117"/>
      <c r="F916" s="117"/>
      <c r="G916" s="117"/>
      <c r="H916" s="117"/>
      <c r="I916" s="235"/>
      <c r="J916" s="235"/>
      <c r="K916" s="235"/>
      <c r="L916" s="117"/>
      <c r="M916" s="117"/>
      <c r="N916" s="117"/>
      <c r="O916" s="117"/>
      <c r="P916" s="117"/>
      <c r="Q916" s="117"/>
      <c r="R916" s="117"/>
      <c r="S916" s="117"/>
      <c r="T916" s="117"/>
      <c r="U916" s="117"/>
      <c r="V916" s="117"/>
      <c r="W916" s="117"/>
      <c r="X916" s="117"/>
      <c r="Y916" s="117"/>
      <c r="Z916" s="117"/>
      <c r="AA916" s="117"/>
    </row>
    <row r="917" spans="1:27" ht="14.4">
      <c r="A917" s="117"/>
      <c r="B917" s="117"/>
      <c r="C917" s="117"/>
      <c r="D917" s="117"/>
      <c r="E917" s="117"/>
      <c r="F917" s="117"/>
      <c r="G917" s="117"/>
      <c r="H917" s="117"/>
      <c r="I917" s="235"/>
      <c r="J917" s="235"/>
      <c r="K917" s="235"/>
      <c r="L917" s="117"/>
      <c r="M917" s="117"/>
      <c r="N917" s="117"/>
      <c r="O917" s="117"/>
      <c r="P917" s="117"/>
      <c r="Q917" s="117"/>
      <c r="R917" s="117"/>
      <c r="S917" s="117"/>
      <c r="T917" s="117"/>
      <c r="U917" s="117"/>
      <c r="V917" s="117"/>
      <c r="W917" s="117"/>
      <c r="X917" s="117"/>
      <c r="Y917" s="117"/>
      <c r="Z917" s="117"/>
      <c r="AA917" s="117"/>
    </row>
    <row r="918" spans="1:27" ht="14.4">
      <c r="A918" s="117"/>
      <c r="B918" s="117"/>
      <c r="C918" s="117"/>
      <c r="D918" s="117"/>
      <c r="E918" s="117"/>
      <c r="F918" s="117"/>
      <c r="G918" s="117"/>
      <c r="H918" s="117"/>
      <c r="I918" s="235"/>
      <c r="J918" s="235"/>
      <c r="K918" s="235"/>
      <c r="L918" s="117"/>
      <c r="M918" s="117"/>
      <c r="N918" s="117"/>
      <c r="O918" s="117"/>
      <c r="P918" s="117"/>
      <c r="Q918" s="117"/>
      <c r="R918" s="117"/>
      <c r="S918" s="117"/>
      <c r="T918" s="117"/>
      <c r="U918" s="117"/>
      <c r="V918" s="117"/>
      <c r="W918" s="117"/>
      <c r="X918" s="117"/>
      <c r="Y918" s="117"/>
      <c r="Z918" s="117"/>
      <c r="AA918" s="117"/>
    </row>
    <row r="919" spans="1:27" ht="14.4">
      <c r="A919" s="117"/>
      <c r="B919" s="117"/>
      <c r="C919" s="117"/>
      <c r="D919" s="117"/>
      <c r="E919" s="117"/>
      <c r="F919" s="117"/>
      <c r="G919" s="117"/>
      <c r="H919" s="117"/>
      <c r="I919" s="235"/>
      <c r="J919" s="235"/>
      <c r="K919" s="235"/>
      <c r="L919" s="117"/>
      <c r="M919" s="117"/>
      <c r="N919" s="117"/>
      <c r="O919" s="117"/>
      <c r="P919" s="117"/>
      <c r="Q919" s="117"/>
      <c r="R919" s="117"/>
      <c r="S919" s="117"/>
      <c r="T919" s="117"/>
      <c r="U919" s="117"/>
      <c r="V919" s="117"/>
      <c r="W919" s="117"/>
      <c r="X919" s="117"/>
      <c r="Y919" s="117"/>
      <c r="Z919" s="117"/>
      <c r="AA919" s="117"/>
    </row>
    <row r="920" spans="1:27" ht="14.4">
      <c r="A920" s="117"/>
      <c r="B920" s="117"/>
      <c r="C920" s="117"/>
      <c r="D920" s="117"/>
      <c r="E920" s="117"/>
      <c r="F920" s="117"/>
      <c r="G920" s="117"/>
      <c r="H920" s="117"/>
      <c r="I920" s="235"/>
      <c r="J920" s="235"/>
      <c r="K920" s="235"/>
      <c r="L920" s="117"/>
      <c r="M920" s="117"/>
      <c r="N920" s="117"/>
      <c r="O920" s="117"/>
      <c r="P920" s="117"/>
      <c r="Q920" s="117"/>
      <c r="R920" s="117"/>
      <c r="S920" s="117"/>
      <c r="T920" s="117"/>
      <c r="U920" s="117"/>
      <c r="V920" s="117"/>
      <c r="W920" s="117"/>
      <c r="X920" s="117"/>
      <c r="Y920" s="117"/>
      <c r="Z920" s="117"/>
      <c r="AA920" s="117"/>
    </row>
    <row r="921" spans="1:27" ht="14.4">
      <c r="A921" s="117"/>
      <c r="B921" s="117"/>
      <c r="C921" s="117"/>
      <c r="D921" s="117"/>
      <c r="E921" s="117"/>
      <c r="F921" s="117"/>
      <c r="G921" s="117"/>
      <c r="H921" s="117"/>
      <c r="I921" s="235"/>
      <c r="J921" s="235"/>
      <c r="K921" s="235"/>
      <c r="L921" s="117"/>
      <c r="M921" s="117"/>
      <c r="N921" s="117"/>
      <c r="O921" s="117"/>
      <c r="P921" s="117"/>
      <c r="Q921" s="117"/>
      <c r="R921" s="117"/>
      <c r="S921" s="117"/>
      <c r="T921" s="117"/>
      <c r="U921" s="117"/>
      <c r="V921" s="117"/>
      <c r="W921" s="117"/>
      <c r="X921" s="117"/>
      <c r="Y921" s="117"/>
      <c r="Z921" s="117"/>
      <c r="AA921" s="117"/>
    </row>
    <row r="922" spans="1:27" ht="14.4">
      <c r="A922" s="117"/>
      <c r="B922" s="117"/>
      <c r="C922" s="117"/>
      <c r="D922" s="117"/>
      <c r="E922" s="117"/>
      <c r="F922" s="117"/>
      <c r="G922" s="117"/>
      <c r="H922" s="117"/>
      <c r="I922" s="235"/>
      <c r="J922" s="235"/>
      <c r="K922" s="235"/>
      <c r="L922" s="117"/>
      <c r="M922" s="117"/>
      <c r="N922" s="117"/>
      <c r="O922" s="117"/>
      <c r="P922" s="117"/>
      <c r="Q922" s="117"/>
      <c r="R922" s="117"/>
      <c r="S922" s="117"/>
      <c r="T922" s="117"/>
      <c r="U922" s="117"/>
      <c r="V922" s="117"/>
      <c r="W922" s="117"/>
      <c r="X922" s="117"/>
      <c r="Y922" s="117"/>
      <c r="Z922" s="117"/>
      <c r="AA922" s="117"/>
    </row>
    <row r="923" spans="1:27" ht="14.4">
      <c r="A923" s="117"/>
      <c r="B923" s="117"/>
      <c r="C923" s="117"/>
      <c r="D923" s="117"/>
      <c r="E923" s="117"/>
      <c r="F923" s="117"/>
      <c r="G923" s="117"/>
      <c r="H923" s="117"/>
      <c r="I923" s="235"/>
      <c r="J923" s="235"/>
      <c r="K923" s="235"/>
      <c r="L923" s="117"/>
      <c r="M923" s="117"/>
      <c r="N923" s="117"/>
      <c r="O923" s="117"/>
      <c r="P923" s="117"/>
      <c r="Q923" s="117"/>
      <c r="R923" s="117"/>
      <c r="S923" s="117"/>
      <c r="T923" s="117"/>
      <c r="U923" s="117"/>
      <c r="V923" s="117"/>
      <c r="W923" s="117"/>
      <c r="X923" s="117"/>
      <c r="Y923" s="117"/>
      <c r="Z923" s="117"/>
      <c r="AA923" s="117"/>
    </row>
    <row r="924" spans="1:27" ht="14.4">
      <c r="A924" s="117"/>
      <c r="B924" s="117"/>
      <c r="C924" s="117"/>
      <c r="D924" s="117"/>
      <c r="E924" s="117"/>
      <c r="F924" s="117"/>
      <c r="G924" s="117"/>
      <c r="H924" s="117"/>
      <c r="I924" s="235"/>
      <c r="J924" s="235"/>
      <c r="K924" s="235"/>
      <c r="L924" s="117"/>
      <c r="M924" s="117"/>
      <c r="N924" s="117"/>
      <c r="O924" s="117"/>
      <c r="P924" s="117"/>
      <c r="Q924" s="117"/>
      <c r="R924" s="117"/>
      <c r="S924" s="117"/>
      <c r="T924" s="117"/>
      <c r="U924" s="117"/>
      <c r="V924" s="117"/>
      <c r="W924" s="117"/>
      <c r="X924" s="117"/>
      <c r="Y924" s="117"/>
      <c r="Z924" s="117"/>
      <c r="AA924" s="117"/>
    </row>
    <row r="925" spans="1:27" ht="14.4">
      <c r="A925" s="117"/>
      <c r="B925" s="117"/>
      <c r="C925" s="117"/>
      <c r="D925" s="117"/>
      <c r="E925" s="117"/>
      <c r="F925" s="117"/>
      <c r="G925" s="117"/>
      <c r="H925" s="117"/>
      <c r="I925" s="235"/>
      <c r="J925" s="235"/>
      <c r="K925" s="235"/>
      <c r="L925" s="117"/>
      <c r="M925" s="117"/>
      <c r="N925" s="117"/>
      <c r="O925" s="117"/>
      <c r="P925" s="117"/>
      <c r="Q925" s="117"/>
      <c r="R925" s="117"/>
      <c r="S925" s="117"/>
      <c r="T925" s="117"/>
      <c r="U925" s="117"/>
      <c r="V925" s="117"/>
      <c r="W925" s="117"/>
      <c r="X925" s="117"/>
      <c r="Y925" s="117"/>
      <c r="Z925" s="117"/>
      <c r="AA925" s="117"/>
    </row>
    <row r="926" spans="1:27" ht="14.4">
      <c r="A926" s="117"/>
      <c r="B926" s="117"/>
      <c r="C926" s="117"/>
      <c r="D926" s="117"/>
      <c r="E926" s="117"/>
      <c r="F926" s="117"/>
      <c r="G926" s="117"/>
      <c r="H926" s="117"/>
      <c r="I926" s="235"/>
      <c r="J926" s="235"/>
      <c r="K926" s="235"/>
      <c r="L926" s="117"/>
      <c r="M926" s="117"/>
      <c r="N926" s="117"/>
      <c r="O926" s="117"/>
      <c r="P926" s="117"/>
      <c r="Q926" s="117"/>
      <c r="R926" s="117"/>
      <c r="S926" s="117"/>
      <c r="T926" s="117"/>
      <c r="U926" s="117"/>
      <c r="V926" s="117"/>
      <c r="W926" s="117"/>
      <c r="X926" s="117"/>
      <c r="Y926" s="117"/>
      <c r="Z926" s="117"/>
      <c r="AA926" s="117"/>
    </row>
    <row r="927" spans="1:27" ht="14.4">
      <c r="A927" s="117"/>
      <c r="B927" s="117"/>
      <c r="C927" s="117"/>
      <c r="D927" s="117"/>
      <c r="E927" s="117"/>
      <c r="F927" s="117"/>
      <c r="G927" s="117"/>
      <c r="H927" s="117"/>
      <c r="I927" s="235"/>
      <c r="J927" s="235"/>
      <c r="K927" s="235"/>
      <c r="L927" s="117"/>
      <c r="M927" s="117"/>
      <c r="N927" s="117"/>
      <c r="O927" s="117"/>
      <c r="P927" s="117"/>
      <c r="Q927" s="117"/>
      <c r="R927" s="117"/>
      <c r="S927" s="117"/>
      <c r="T927" s="117"/>
      <c r="U927" s="117"/>
      <c r="V927" s="117"/>
      <c r="W927" s="117"/>
      <c r="X927" s="117"/>
      <c r="Y927" s="117"/>
      <c r="Z927" s="117"/>
      <c r="AA927" s="117"/>
    </row>
    <row r="928" spans="1:27" ht="14.4">
      <c r="A928" s="117"/>
      <c r="B928" s="117"/>
      <c r="C928" s="117"/>
      <c r="D928" s="117"/>
      <c r="E928" s="117"/>
      <c r="F928" s="117"/>
      <c r="G928" s="117"/>
      <c r="H928" s="117"/>
      <c r="I928" s="235"/>
      <c r="J928" s="235"/>
      <c r="K928" s="235"/>
      <c r="L928" s="117"/>
      <c r="M928" s="117"/>
      <c r="N928" s="117"/>
      <c r="O928" s="117"/>
      <c r="P928" s="117"/>
      <c r="Q928" s="117"/>
      <c r="R928" s="117"/>
      <c r="S928" s="117"/>
      <c r="T928" s="117"/>
      <c r="U928" s="117"/>
      <c r="V928" s="117"/>
      <c r="W928" s="117"/>
      <c r="X928" s="117"/>
      <c r="Y928" s="117"/>
      <c r="Z928" s="117"/>
      <c r="AA928" s="117"/>
    </row>
    <row r="929" spans="1:27" ht="14.4">
      <c r="A929" s="117"/>
      <c r="B929" s="117"/>
      <c r="C929" s="117"/>
      <c r="D929" s="117"/>
      <c r="E929" s="117"/>
      <c r="F929" s="117"/>
      <c r="G929" s="117"/>
      <c r="H929" s="117"/>
      <c r="I929" s="235"/>
      <c r="J929" s="235"/>
      <c r="K929" s="235"/>
      <c r="L929" s="117"/>
      <c r="M929" s="117"/>
      <c r="N929" s="117"/>
      <c r="O929" s="117"/>
      <c r="P929" s="117"/>
      <c r="Q929" s="117"/>
      <c r="R929" s="117"/>
      <c r="S929" s="117"/>
      <c r="T929" s="117"/>
      <c r="U929" s="117"/>
      <c r="V929" s="117"/>
      <c r="W929" s="117"/>
      <c r="X929" s="117"/>
      <c r="Y929" s="117"/>
      <c r="Z929" s="117"/>
      <c r="AA929" s="117"/>
    </row>
    <row r="930" spans="1:27" ht="14.4">
      <c r="A930" s="117"/>
      <c r="B930" s="117"/>
      <c r="C930" s="117"/>
      <c r="D930" s="117"/>
      <c r="E930" s="117"/>
      <c r="F930" s="117"/>
      <c r="G930" s="117"/>
      <c r="H930" s="117"/>
      <c r="I930" s="235"/>
      <c r="J930" s="235"/>
      <c r="K930" s="235"/>
      <c r="L930" s="117"/>
      <c r="M930" s="117"/>
      <c r="N930" s="117"/>
      <c r="O930" s="117"/>
      <c r="P930" s="117"/>
      <c r="Q930" s="117"/>
      <c r="R930" s="117"/>
      <c r="S930" s="117"/>
      <c r="T930" s="117"/>
      <c r="U930" s="117"/>
      <c r="V930" s="117"/>
      <c r="W930" s="117"/>
      <c r="X930" s="117"/>
      <c r="Y930" s="117"/>
      <c r="Z930" s="117"/>
      <c r="AA930" s="117"/>
    </row>
    <row r="931" spans="1:27" ht="14.4">
      <c r="A931" s="117"/>
      <c r="B931" s="117"/>
      <c r="C931" s="117"/>
      <c r="D931" s="117"/>
      <c r="E931" s="117"/>
      <c r="F931" s="117"/>
      <c r="G931" s="117"/>
      <c r="H931" s="117"/>
      <c r="I931" s="235"/>
      <c r="J931" s="235"/>
      <c r="K931" s="235"/>
      <c r="L931" s="117"/>
      <c r="M931" s="117"/>
      <c r="N931" s="117"/>
      <c r="O931" s="117"/>
      <c r="P931" s="117"/>
      <c r="Q931" s="117"/>
      <c r="R931" s="117"/>
      <c r="S931" s="117"/>
      <c r="T931" s="117"/>
      <c r="U931" s="117"/>
      <c r="V931" s="117"/>
      <c r="W931" s="117"/>
      <c r="X931" s="117"/>
      <c r="Y931" s="117"/>
      <c r="Z931" s="117"/>
      <c r="AA931" s="117"/>
    </row>
    <row r="932" spans="1:27" ht="14.4">
      <c r="A932" s="117"/>
      <c r="B932" s="117"/>
      <c r="C932" s="117"/>
      <c r="D932" s="117"/>
      <c r="E932" s="117"/>
      <c r="F932" s="117"/>
      <c r="G932" s="117"/>
      <c r="H932" s="117"/>
      <c r="I932" s="235"/>
      <c r="J932" s="235"/>
      <c r="K932" s="235"/>
      <c r="L932" s="117"/>
      <c r="M932" s="117"/>
      <c r="N932" s="117"/>
      <c r="O932" s="117"/>
      <c r="P932" s="117"/>
      <c r="Q932" s="117"/>
      <c r="R932" s="117"/>
      <c r="S932" s="117"/>
      <c r="T932" s="117"/>
      <c r="U932" s="117"/>
      <c r="V932" s="117"/>
      <c r="W932" s="117"/>
      <c r="X932" s="117"/>
      <c r="Y932" s="117"/>
      <c r="Z932" s="117"/>
      <c r="AA932" s="117"/>
    </row>
  </sheetData>
  <autoFilter ref="A1:Q112" xr:uid="{00000000-0009-0000-0000-00000E000000}">
    <filterColumn colId="16">
      <filters>
        <filter val="1,200.00"/>
        <filter val="1,440.00"/>
        <filter val="1,600.00"/>
        <filter val="1,760.00"/>
        <filter val="1,920.00"/>
        <filter val="2,080.00"/>
        <filter val="2,400.00"/>
        <filter val="2,800.00"/>
        <filter val="3,200.00"/>
        <filter val="4,800.00"/>
        <filter val="5,120.00"/>
        <filter val="640.00"/>
        <filter val="800.00"/>
        <filter val="960.00"/>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outlinePr summaryBelow="0" summaryRight="0"/>
  </sheetPr>
  <dimension ref="A1:AA931"/>
  <sheetViews>
    <sheetView workbookViewId="0">
      <selection activeCell="P1" sqref="A1:AA931"/>
    </sheetView>
  </sheetViews>
  <sheetFormatPr defaultColWidth="14.44140625" defaultRowHeight="15" customHeight="1"/>
  <cols>
    <col min="1" max="1" width="9.44140625" customWidth="1"/>
    <col min="2" max="2" width="10.33203125" customWidth="1"/>
    <col min="3" max="3" width="14.44140625" customWidth="1"/>
    <col min="4" max="4" width="14" customWidth="1"/>
    <col min="5" max="5" width="23.88671875" customWidth="1"/>
    <col min="6" max="6" width="24.6640625" customWidth="1"/>
    <col min="7" max="8" width="9.109375" customWidth="1"/>
    <col min="9" max="9" width="15.88671875" customWidth="1"/>
    <col min="10" max="10" width="13" customWidth="1"/>
    <col min="11" max="11" width="8" customWidth="1"/>
    <col min="12" max="12" width="10.6640625" customWidth="1"/>
    <col min="13" max="13" width="12.44140625" customWidth="1"/>
    <col min="14" max="14" width="12.33203125" customWidth="1"/>
    <col min="15" max="15" width="13.88671875" customWidth="1"/>
    <col min="16" max="16" width="15.88671875" customWidth="1"/>
    <col min="17" max="17" width="8.5546875" customWidth="1"/>
    <col min="20" max="20" width="12" customWidth="1"/>
    <col min="21" max="21" width="21.5546875" customWidth="1"/>
  </cols>
  <sheetData>
    <row r="1" spans="1:27" ht="14.4">
      <c r="A1" s="281" t="s">
        <v>160</v>
      </c>
      <c r="B1" s="281" t="s">
        <v>1</v>
      </c>
      <c r="C1" s="282" t="s">
        <v>4</v>
      </c>
      <c r="D1" s="282" t="s">
        <v>161</v>
      </c>
      <c r="E1" s="281" t="s">
        <v>162</v>
      </c>
      <c r="F1" s="281" t="s">
        <v>163</v>
      </c>
      <c r="G1" s="352" t="s">
        <v>15</v>
      </c>
      <c r="H1" s="353" t="s">
        <v>174</v>
      </c>
      <c r="I1" s="283" t="s">
        <v>1100</v>
      </c>
      <c r="J1" s="283" t="s">
        <v>959</v>
      </c>
      <c r="K1" s="283" t="s">
        <v>960</v>
      </c>
      <c r="L1" s="283" t="s">
        <v>447</v>
      </c>
      <c r="M1" s="283" t="s">
        <v>931</v>
      </c>
      <c r="N1" s="283" t="s">
        <v>11</v>
      </c>
      <c r="O1" s="283" t="s">
        <v>1146</v>
      </c>
      <c r="P1" s="355" t="s">
        <v>1147</v>
      </c>
      <c r="Q1" s="283" t="s">
        <v>962</v>
      </c>
      <c r="R1" s="182"/>
      <c r="S1" s="182"/>
      <c r="T1" s="363" t="s">
        <v>1</v>
      </c>
      <c r="U1" s="364" t="s">
        <v>1151</v>
      </c>
      <c r="V1" s="182"/>
      <c r="W1" s="182"/>
      <c r="X1" s="182"/>
      <c r="Y1" s="182"/>
      <c r="Z1" s="182"/>
      <c r="AA1" s="182"/>
    </row>
    <row r="2" spans="1:27" ht="14.4" hidden="1">
      <c r="A2" s="44"/>
      <c r="B2" s="44" t="s">
        <v>231</v>
      </c>
      <c r="C2" s="249" t="s">
        <v>232</v>
      </c>
      <c r="D2" s="44" t="s">
        <v>233</v>
      </c>
      <c r="E2" s="69" t="s">
        <v>234</v>
      </c>
      <c r="F2" s="69" t="s">
        <v>235</v>
      </c>
      <c r="G2" s="205">
        <f>VLOOKUP(B2,'Margin Calculation'!F:Y,20,0)</f>
        <v>1311.1911936000001</v>
      </c>
      <c r="H2" s="205">
        <f>VLOOKUP(B2,'Margin Calculation'!F:Z,21,0)</f>
        <v>1547.205608448</v>
      </c>
      <c r="I2" s="182" t="e">
        <f t="shared" ref="I2:I111" si="0">Q2*2%</f>
        <v>#N/A</v>
      </c>
      <c r="J2" s="182" t="e">
        <f t="shared" ref="J2:J111" si="1">Q2*10%</f>
        <v>#N/A</v>
      </c>
      <c r="K2" s="182" t="e">
        <f t="shared" ref="K2:K111" si="2">Q2*5%</f>
        <v>#N/A</v>
      </c>
      <c r="L2" s="182" t="e">
        <f t="shared" ref="L2:L111" si="3">Q2*3%</f>
        <v>#N/A</v>
      </c>
      <c r="M2" s="182" t="e">
        <f t="shared" ref="M2:M111" si="4">G2+I2+J2+K2+L2</f>
        <v>#N/A</v>
      </c>
      <c r="N2" s="182" t="e">
        <f t="shared" ref="N2:N111" si="5">Q2-(Q2/1.118)</f>
        <v>#N/A</v>
      </c>
      <c r="O2" s="182" t="e">
        <f t="shared" ref="O2:O111" si="6">Q2-M2-N2</f>
        <v>#N/A</v>
      </c>
      <c r="P2" s="184" t="e">
        <f t="shared" ref="P2:P111" si="7">O2/Q2</f>
        <v>#N/A</v>
      </c>
      <c r="Q2" s="182" t="e">
        <f t="shared" ref="Q2:Q111" si="8">VLOOKUP(B2,T:U,2,0)</f>
        <v>#N/A</v>
      </c>
      <c r="R2" s="182"/>
      <c r="S2" s="182"/>
      <c r="T2" s="365" t="s">
        <v>792</v>
      </c>
      <c r="U2" s="366">
        <v>675</v>
      </c>
      <c r="V2" s="182"/>
      <c r="W2" s="182"/>
      <c r="X2" s="182"/>
      <c r="Y2" s="182"/>
      <c r="Z2" s="182"/>
      <c r="AA2" s="182"/>
    </row>
    <row r="3" spans="1:27" ht="14.4" hidden="1">
      <c r="A3" s="44"/>
      <c r="B3" s="44" t="s">
        <v>240</v>
      </c>
      <c r="C3" s="249" t="s">
        <v>241</v>
      </c>
      <c r="D3" s="44" t="s">
        <v>242</v>
      </c>
      <c r="E3" s="69" t="s">
        <v>234</v>
      </c>
      <c r="F3" s="69" t="s">
        <v>235</v>
      </c>
      <c r="G3" s="205">
        <f>VLOOKUP(B3,'Margin Calculation'!F:Y,20,0)</f>
        <v>1066.3371935999999</v>
      </c>
      <c r="H3" s="205">
        <f>VLOOKUP(B3,'Margin Calculation'!F:Z,21,0)</f>
        <v>1258.2778884479999</v>
      </c>
      <c r="I3" s="182" t="e">
        <f t="shared" si="0"/>
        <v>#N/A</v>
      </c>
      <c r="J3" s="182" t="e">
        <f t="shared" si="1"/>
        <v>#N/A</v>
      </c>
      <c r="K3" s="182" t="e">
        <f t="shared" si="2"/>
        <v>#N/A</v>
      </c>
      <c r="L3" s="182" t="e">
        <f t="shared" si="3"/>
        <v>#N/A</v>
      </c>
      <c r="M3" s="182" t="e">
        <f t="shared" si="4"/>
        <v>#N/A</v>
      </c>
      <c r="N3" s="182" t="e">
        <f t="shared" si="5"/>
        <v>#N/A</v>
      </c>
      <c r="O3" s="182" t="e">
        <f t="shared" si="6"/>
        <v>#N/A</v>
      </c>
      <c r="P3" s="184" t="e">
        <f t="shared" si="7"/>
        <v>#N/A</v>
      </c>
      <c r="Q3" s="182" t="e">
        <f t="shared" si="8"/>
        <v>#N/A</v>
      </c>
      <c r="R3" s="182"/>
      <c r="S3" s="182"/>
      <c r="T3" s="365" t="s">
        <v>874</v>
      </c>
      <c r="U3" s="366">
        <v>555.75</v>
      </c>
      <c r="V3" s="182"/>
      <c r="W3" s="182"/>
      <c r="X3" s="182"/>
      <c r="Y3" s="182"/>
      <c r="Z3" s="182"/>
      <c r="AA3" s="182"/>
    </row>
    <row r="4" spans="1:27" ht="14.4" hidden="1">
      <c r="A4" s="44"/>
      <c r="B4" s="44" t="s">
        <v>246</v>
      </c>
      <c r="C4" s="249" t="s">
        <v>247</v>
      </c>
      <c r="D4" s="44" t="s">
        <v>248</v>
      </c>
      <c r="E4" s="69" t="s">
        <v>234</v>
      </c>
      <c r="F4" s="69" t="s">
        <v>249</v>
      </c>
      <c r="G4" s="205">
        <f>VLOOKUP(B4,'Margin Calculation'!F:Y,20,0)</f>
        <v>1521.9733235294116</v>
      </c>
      <c r="H4" s="205">
        <f>VLOOKUP(B4,'Margin Calculation'!F:Z,21,0)</f>
        <v>1795.9285217647055</v>
      </c>
      <c r="I4" s="182" t="e">
        <f t="shared" si="0"/>
        <v>#N/A</v>
      </c>
      <c r="J4" s="182" t="e">
        <f t="shared" si="1"/>
        <v>#N/A</v>
      </c>
      <c r="K4" s="182" t="e">
        <f t="shared" si="2"/>
        <v>#N/A</v>
      </c>
      <c r="L4" s="182" t="e">
        <f t="shared" si="3"/>
        <v>#N/A</v>
      </c>
      <c r="M4" s="182" t="e">
        <f t="shared" si="4"/>
        <v>#N/A</v>
      </c>
      <c r="N4" s="182" t="e">
        <f t="shared" si="5"/>
        <v>#N/A</v>
      </c>
      <c r="O4" s="182" t="e">
        <f t="shared" si="6"/>
        <v>#N/A</v>
      </c>
      <c r="P4" s="184" t="e">
        <f t="shared" si="7"/>
        <v>#N/A</v>
      </c>
      <c r="Q4" s="182" t="e">
        <f t="shared" si="8"/>
        <v>#N/A</v>
      </c>
      <c r="R4" s="182"/>
      <c r="S4" s="182"/>
      <c r="T4" s="365" t="s">
        <v>675</v>
      </c>
      <c r="U4" s="366">
        <v>1105</v>
      </c>
      <c r="V4" s="182"/>
      <c r="W4" s="182"/>
      <c r="X4" s="182"/>
      <c r="Y4" s="182"/>
      <c r="Z4" s="182"/>
      <c r="AA4" s="182"/>
    </row>
    <row r="5" spans="1:27" ht="14.4">
      <c r="A5" s="44" t="s">
        <v>934</v>
      </c>
      <c r="B5" s="44" t="s">
        <v>253</v>
      </c>
      <c r="C5" s="249" t="s">
        <v>254</v>
      </c>
      <c r="D5" s="44" t="s">
        <v>255</v>
      </c>
      <c r="E5" s="69" t="s">
        <v>256</v>
      </c>
      <c r="F5" s="69" t="s">
        <v>257</v>
      </c>
      <c r="G5" s="205">
        <f>VLOOKUP(B5,'Margin Calculation'!F:Y,20,0)</f>
        <v>355.33344600000004</v>
      </c>
      <c r="H5" s="205">
        <f>VLOOKUP(B5,'Margin Calculation'!F:Z,21,0)</f>
        <v>397.97345952000006</v>
      </c>
      <c r="I5" s="179">
        <f t="shared" si="0"/>
        <v>11.984999999999999</v>
      </c>
      <c r="J5" s="179">
        <f t="shared" si="1"/>
        <v>59.925000000000004</v>
      </c>
      <c r="K5" s="179">
        <f t="shared" si="2"/>
        <v>29.962500000000002</v>
      </c>
      <c r="L5" s="179">
        <f t="shared" si="3"/>
        <v>17.977499999999999</v>
      </c>
      <c r="M5" s="179">
        <f t="shared" si="4"/>
        <v>475.18344600000006</v>
      </c>
      <c r="N5" s="179">
        <f t="shared" si="5"/>
        <v>63.248211091234452</v>
      </c>
      <c r="O5" s="179">
        <f t="shared" si="6"/>
        <v>60.818342908765487</v>
      </c>
      <c r="P5" s="184">
        <f t="shared" si="7"/>
        <v>0.10149076830832789</v>
      </c>
      <c r="Q5" s="179">
        <f t="shared" si="8"/>
        <v>599.25</v>
      </c>
      <c r="R5" s="182"/>
      <c r="S5" s="182"/>
      <c r="T5" s="365" t="s">
        <v>520</v>
      </c>
      <c r="U5" s="366">
        <v>1050</v>
      </c>
      <c r="V5" s="182"/>
      <c r="W5" s="182"/>
      <c r="X5" s="182"/>
      <c r="Y5" s="182"/>
      <c r="Z5" s="182"/>
      <c r="AA5" s="182"/>
    </row>
    <row r="6" spans="1:27" ht="14.4" hidden="1">
      <c r="A6" s="44"/>
      <c r="B6" s="44" t="s">
        <v>262</v>
      </c>
      <c r="C6" s="249" t="s">
        <v>263</v>
      </c>
      <c r="D6" s="44" t="s">
        <v>264</v>
      </c>
      <c r="E6" s="69" t="s">
        <v>256</v>
      </c>
      <c r="F6" s="69" t="s">
        <v>257</v>
      </c>
      <c r="G6" s="205">
        <f>VLOOKUP(B6,'Margin Calculation'!F:Y,20,0)</f>
        <v>355.33344600000004</v>
      </c>
      <c r="H6" s="205">
        <f>VLOOKUP(B6,'Margin Calculation'!F:Z,21,0)</f>
        <v>397.97345952000006</v>
      </c>
      <c r="I6" s="182" t="e">
        <f t="shared" si="0"/>
        <v>#N/A</v>
      </c>
      <c r="J6" s="182" t="e">
        <f t="shared" si="1"/>
        <v>#N/A</v>
      </c>
      <c r="K6" s="182" t="e">
        <f t="shared" si="2"/>
        <v>#N/A</v>
      </c>
      <c r="L6" s="182" t="e">
        <f t="shared" si="3"/>
        <v>#N/A</v>
      </c>
      <c r="M6" s="182" t="e">
        <f t="shared" si="4"/>
        <v>#N/A</v>
      </c>
      <c r="N6" s="182" t="e">
        <f t="shared" si="5"/>
        <v>#N/A</v>
      </c>
      <c r="O6" s="182" t="e">
        <f t="shared" si="6"/>
        <v>#N/A</v>
      </c>
      <c r="P6" s="184" t="e">
        <f t="shared" si="7"/>
        <v>#N/A</v>
      </c>
      <c r="Q6" s="182" t="e">
        <f t="shared" si="8"/>
        <v>#N/A</v>
      </c>
      <c r="R6" s="182"/>
      <c r="S6" s="182"/>
      <c r="T6" s="365" t="s">
        <v>570</v>
      </c>
      <c r="U6" s="366">
        <v>1500</v>
      </c>
      <c r="V6" s="182"/>
      <c r="W6" s="182"/>
      <c r="X6" s="182"/>
      <c r="Y6" s="182"/>
      <c r="Z6" s="182"/>
      <c r="AA6" s="182"/>
    </row>
    <row r="7" spans="1:27" ht="14.4" hidden="1">
      <c r="A7" s="44"/>
      <c r="B7" s="44" t="s">
        <v>267</v>
      </c>
      <c r="C7" s="249" t="s">
        <v>268</v>
      </c>
      <c r="D7" s="44" t="s">
        <v>269</v>
      </c>
      <c r="E7" s="69" t="s">
        <v>256</v>
      </c>
      <c r="F7" s="69" t="s">
        <v>257</v>
      </c>
      <c r="G7" s="205">
        <f>VLOOKUP(B7,'Margin Calculation'!F:Y,20,0)</f>
        <v>355.33344600000004</v>
      </c>
      <c r="H7" s="205">
        <f>VLOOKUP(B7,'Margin Calculation'!F:Z,21,0)</f>
        <v>397.97345952000006</v>
      </c>
      <c r="I7" s="182" t="e">
        <f t="shared" si="0"/>
        <v>#N/A</v>
      </c>
      <c r="J7" s="182" t="e">
        <f t="shared" si="1"/>
        <v>#N/A</v>
      </c>
      <c r="K7" s="182" t="e">
        <f t="shared" si="2"/>
        <v>#N/A</v>
      </c>
      <c r="L7" s="182" t="e">
        <f t="shared" si="3"/>
        <v>#N/A</v>
      </c>
      <c r="M7" s="182" t="e">
        <f t="shared" si="4"/>
        <v>#N/A</v>
      </c>
      <c r="N7" s="182" t="e">
        <f t="shared" si="5"/>
        <v>#N/A</v>
      </c>
      <c r="O7" s="182" t="e">
        <f t="shared" si="6"/>
        <v>#N/A</v>
      </c>
      <c r="P7" s="184" t="e">
        <f t="shared" si="7"/>
        <v>#N/A</v>
      </c>
      <c r="Q7" s="182" t="e">
        <f t="shared" si="8"/>
        <v>#N/A</v>
      </c>
      <c r="R7" s="182"/>
      <c r="S7" s="182"/>
      <c r="T7" s="365" t="s">
        <v>688</v>
      </c>
      <c r="U7" s="366">
        <v>1350</v>
      </c>
      <c r="V7" s="182"/>
      <c r="W7" s="182"/>
      <c r="X7" s="182"/>
      <c r="Y7" s="182"/>
      <c r="Z7" s="182"/>
      <c r="AA7" s="182"/>
    </row>
    <row r="8" spans="1:27" ht="14.4" hidden="1">
      <c r="A8" s="43"/>
      <c r="B8" s="43" t="s">
        <v>311</v>
      </c>
      <c r="C8" s="75" t="s">
        <v>312</v>
      </c>
      <c r="D8" s="43" t="s">
        <v>313</v>
      </c>
      <c r="E8" s="69" t="s">
        <v>314</v>
      </c>
      <c r="F8" s="69" t="s">
        <v>315</v>
      </c>
      <c r="G8" s="205">
        <f>VLOOKUP(B8,'Margin Calculation'!F:Y,20,0)</f>
        <v>911.25499500000001</v>
      </c>
      <c r="H8" s="205">
        <f>VLOOKUP(B8,'Margin Calculation'!F:Z,21,0)</f>
        <v>1075.2808940999998</v>
      </c>
      <c r="I8" s="182" t="e">
        <f t="shared" si="0"/>
        <v>#N/A</v>
      </c>
      <c r="J8" s="182" t="e">
        <f t="shared" si="1"/>
        <v>#N/A</v>
      </c>
      <c r="K8" s="182" t="e">
        <f t="shared" si="2"/>
        <v>#N/A</v>
      </c>
      <c r="L8" s="182" t="e">
        <f t="shared" si="3"/>
        <v>#N/A</v>
      </c>
      <c r="M8" s="182" t="e">
        <f t="shared" si="4"/>
        <v>#N/A</v>
      </c>
      <c r="N8" s="182" t="e">
        <f t="shared" si="5"/>
        <v>#N/A</v>
      </c>
      <c r="O8" s="182" t="e">
        <f t="shared" si="6"/>
        <v>#N/A</v>
      </c>
      <c r="P8" s="184" t="e">
        <f t="shared" si="7"/>
        <v>#N/A</v>
      </c>
      <c r="Q8" s="182" t="e">
        <f t="shared" si="8"/>
        <v>#N/A</v>
      </c>
      <c r="R8" s="182"/>
      <c r="S8" s="182"/>
      <c r="T8" s="365" t="s">
        <v>543</v>
      </c>
      <c r="U8" s="366">
        <v>900</v>
      </c>
      <c r="V8" s="182"/>
      <c r="W8" s="182"/>
      <c r="X8" s="182"/>
      <c r="Y8" s="182"/>
      <c r="Z8" s="182"/>
      <c r="AA8" s="182"/>
    </row>
    <row r="9" spans="1:27" ht="14.4" hidden="1">
      <c r="A9" s="43"/>
      <c r="B9" s="43" t="s">
        <v>324</v>
      </c>
      <c r="C9" s="75" t="s">
        <v>325</v>
      </c>
      <c r="D9" s="43" t="s">
        <v>326</v>
      </c>
      <c r="E9" s="69" t="s">
        <v>234</v>
      </c>
      <c r="F9" s="69" t="s">
        <v>235</v>
      </c>
      <c r="G9" s="205">
        <f>VLOOKUP(B9,'Margin Calculation'!F:Y,20,0)</f>
        <v>1278.2511936000001</v>
      </c>
      <c r="H9" s="205">
        <f>VLOOKUP(B9,'Margin Calculation'!F:Z,21,0)</f>
        <v>1508.3364084479999</v>
      </c>
      <c r="I9" s="182" t="e">
        <f t="shared" si="0"/>
        <v>#N/A</v>
      </c>
      <c r="J9" s="182" t="e">
        <f t="shared" si="1"/>
        <v>#N/A</v>
      </c>
      <c r="K9" s="182" t="e">
        <f t="shared" si="2"/>
        <v>#N/A</v>
      </c>
      <c r="L9" s="182" t="e">
        <f t="shared" si="3"/>
        <v>#N/A</v>
      </c>
      <c r="M9" s="182" t="e">
        <f t="shared" si="4"/>
        <v>#N/A</v>
      </c>
      <c r="N9" s="182" t="e">
        <f t="shared" si="5"/>
        <v>#N/A</v>
      </c>
      <c r="O9" s="182" t="e">
        <f t="shared" si="6"/>
        <v>#N/A</v>
      </c>
      <c r="P9" s="184" t="e">
        <f t="shared" si="7"/>
        <v>#N/A</v>
      </c>
      <c r="Q9" s="182" t="e">
        <f t="shared" si="8"/>
        <v>#N/A</v>
      </c>
      <c r="R9" s="182"/>
      <c r="S9" s="182"/>
      <c r="T9" s="365" t="s">
        <v>651</v>
      </c>
      <c r="U9" s="366">
        <v>1650</v>
      </c>
      <c r="V9" s="182"/>
      <c r="W9" s="182"/>
      <c r="X9" s="182"/>
      <c r="Y9" s="182"/>
      <c r="Z9" s="182"/>
      <c r="AA9" s="182"/>
    </row>
    <row r="10" spans="1:27" ht="14.4" hidden="1">
      <c r="A10" s="44"/>
      <c r="B10" s="44" t="s">
        <v>402</v>
      </c>
      <c r="C10" s="44" t="s">
        <v>403</v>
      </c>
      <c r="D10" s="44" t="s">
        <v>404</v>
      </c>
      <c r="E10" s="69" t="s">
        <v>314</v>
      </c>
      <c r="F10" s="69" t="s">
        <v>315</v>
      </c>
      <c r="G10" s="205">
        <f>VLOOKUP(B10,'Margin Calculation'!F:Y,20,0)</f>
        <v>165.75408000000002</v>
      </c>
      <c r="H10" s="205">
        <f>VLOOKUP(B10,'Margin Calculation'!F:Z,21,0)</f>
        <v>195.58981439999999</v>
      </c>
      <c r="I10" s="182" t="e">
        <f t="shared" si="0"/>
        <v>#N/A</v>
      </c>
      <c r="J10" s="182" t="e">
        <f t="shared" si="1"/>
        <v>#N/A</v>
      </c>
      <c r="K10" s="182" t="e">
        <f t="shared" si="2"/>
        <v>#N/A</v>
      </c>
      <c r="L10" s="182" t="e">
        <f t="shared" si="3"/>
        <v>#N/A</v>
      </c>
      <c r="M10" s="182" t="e">
        <f t="shared" si="4"/>
        <v>#N/A</v>
      </c>
      <c r="N10" s="182" t="e">
        <f t="shared" si="5"/>
        <v>#N/A</v>
      </c>
      <c r="O10" s="182" t="e">
        <f t="shared" si="6"/>
        <v>#N/A</v>
      </c>
      <c r="P10" s="184" t="e">
        <f t="shared" si="7"/>
        <v>#N/A</v>
      </c>
      <c r="Q10" s="182" t="e">
        <f t="shared" si="8"/>
        <v>#N/A</v>
      </c>
      <c r="R10" s="182"/>
      <c r="S10" s="182"/>
      <c r="T10" s="365" t="s">
        <v>434</v>
      </c>
      <c r="U10" s="366">
        <v>750</v>
      </c>
      <c r="V10" s="182"/>
      <c r="W10" s="182"/>
      <c r="X10" s="182"/>
      <c r="Y10" s="182"/>
      <c r="Z10" s="182"/>
      <c r="AA10" s="182"/>
    </row>
    <row r="11" spans="1:27" ht="14.4">
      <c r="A11" s="44" t="s">
        <v>934</v>
      </c>
      <c r="B11" s="44" t="s">
        <v>406</v>
      </c>
      <c r="C11" s="44" t="s">
        <v>407</v>
      </c>
      <c r="D11" s="44" t="s">
        <v>408</v>
      </c>
      <c r="E11" s="69" t="s">
        <v>314</v>
      </c>
      <c r="F11" s="69" t="s">
        <v>315</v>
      </c>
      <c r="G11" s="205">
        <f>VLOOKUP(B11,'Margin Calculation'!F:Y,20,0)</f>
        <v>251.99100000000001</v>
      </c>
      <c r="H11" s="205">
        <f>VLOOKUP(B11,'Margin Calculation'!F:Z,21,0)</f>
        <v>297.34938</v>
      </c>
      <c r="I11" s="179">
        <f t="shared" si="0"/>
        <v>7.5</v>
      </c>
      <c r="J11" s="179">
        <f t="shared" si="1"/>
        <v>37.5</v>
      </c>
      <c r="K11" s="179">
        <f t="shared" si="2"/>
        <v>18.75</v>
      </c>
      <c r="L11" s="179">
        <f t="shared" si="3"/>
        <v>11.25</v>
      </c>
      <c r="M11" s="179">
        <f t="shared" si="4"/>
        <v>326.99099999999999</v>
      </c>
      <c r="N11" s="179">
        <f t="shared" si="5"/>
        <v>39.579606440071586</v>
      </c>
      <c r="O11" s="179">
        <f t="shared" si="6"/>
        <v>8.4293935599284282</v>
      </c>
      <c r="P11" s="184">
        <f t="shared" si="7"/>
        <v>2.247838282647581E-2</v>
      </c>
      <c r="Q11" s="179">
        <f t="shared" si="8"/>
        <v>375</v>
      </c>
      <c r="R11" s="182"/>
      <c r="S11" s="182"/>
      <c r="T11" s="365" t="s">
        <v>599</v>
      </c>
      <c r="U11" s="366">
        <v>1650</v>
      </c>
      <c r="V11" s="182"/>
      <c r="W11" s="182"/>
      <c r="X11" s="182"/>
      <c r="Y11" s="182"/>
      <c r="Z11" s="182"/>
      <c r="AA11" s="182"/>
    </row>
    <row r="12" spans="1:27" ht="14.4" hidden="1">
      <c r="A12" s="44"/>
      <c r="B12" s="44" t="s">
        <v>411</v>
      </c>
      <c r="C12" s="44" t="s">
        <v>412</v>
      </c>
      <c r="D12" s="44" t="s">
        <v>413</v>
      </c>
      <c r="E12" s="69" t="s">
        <v>314</v>
      </c>
      <c r="F12" s="69" t="s">
        <v>315</v>
      </c>
      <c r="G12" s="205">
        <f>VLOOKUP(B12,'Margin Calculation'!F:Y,20,0)</f>
        <v>251.99100000000001</v>
      </c>
      <c r="H12" s="205">
        <f>VLOOKUP(B12,'Margin Calculation'!F:Z,21,0)</f>
        <v>297.34938</v>
      </c>
      <c r="I12" s="182" t="e">
        <f t="shared" si="0"/>
        <v>#N/A</v>
      </c>
      <c r="J12" s="182" t="e">
        <f t="shared" si="1"/>
        <v>#N/A</v>
      </c>
      <c r="K12" s="182" t="e">
        <f t="shared" si="2"/>
        <v>#N/A</v>
      </c>
      <c r="L12" s="182" t="e">
        <f t="shared" si="3"/>
        <v>#N/A</v>
      </c>
      <c r="M12" s="182" t="e">
        <f t="shared" si="4"/>
        <v>#N/A</v>
      </c>
      <c r="N12" s="182" t="e">
        <f t="shared" si="5"/>
        <v>#N/A</v>
      </c>
      <c r="O12" s="182" t="e">
        <f t="shared" si="6"/>
        <v>#N/A</v>
      </c>
      <c r="P12" s="184" t="e">
        <f t="shared" si="7"/>
        <v>#N/A</v>
      </c>
      <c r="Q12" s="182" t="e">
        <f t="shared" si="8"/>
        <v>#N/A</v>
      </c>
      <c r="R12" s="182"/>
      <c r="S12" s="182"/>
      <c r="T12" s="365" t="s">
        <v>508</v>
      </c>
      <c r="U12" s="366">
        <v>1125</v>
      </c>
      <c r="V12" s="182"/>
      <c r="W12" s="182"/>
      <c r="X12" s="182"/>
      <c r="Y12" s="182"/>
      <c r="Z12" s="182"/>
      <c r="AA12" s="182"/>
    </row>
    <row r="13" spans="1:27" ht="14.4" hidden="1">
      <c r="A13" s="69"/>
      <c r="B13" s="69" t="s">
        <v>418</v>
      </c>
      <c r="C13" s="75" t="s">
        <v>419</v>
      </c>
      <c r="D13" s="44" t="s">
        <v>420</v>
      </c>
      <c r="E13" s="69" t="s">
        <v>234</v>
      </c>
      <c r="F13" s="69" t="s">
        <v>249</v>
      </c>
      <c r="G13" s="205">
        <f>VLOOKUP(B13,'Margin Calculation'!F:Y,20,0)</f>
        <v>1159.1586</v>
      </c>
      <c r="H13" s="205">
        <f>VLOOKUP(B13,'Margin Calculation'!F:Z,21,0)</f>
        <v>1367.8071479999999</v>
      </c>
      <c r="I13" s="182" t="e">
        <f t="shared" si="0"/>
        <v>#N/A</v>
      </c>
      <c r="J13" s="182" t="e">
        <f t="shared" si="1"/>
        <v>#N/A</v>
      </c>
      <c r="K13" s="182" t="e">
        <f t="shared" si="2"/>
        <v>#N/A</v>
      </c>
      <c r="L13" s="182" t="e">
        <f t="shared" si="3"/>
        <v>#N/A</v>
      </c>
      <c r="M13" s="182" t="e">
        <f t="shared" si="4"/>
        <v>#N/A</v>
      </c>
      <c r="N13" s="182" t="e">
        <f t="shared" si="5"/>
        <v>#N/A</v>
      </c>
      <c r="O13" s="182" t="e">
        <f t="shared" si="6"/>
        <v>#N/A</v>
      </c>
      <c r="P13" s="184" t="e">
        <f t="shared" si="7"/>
        <v>#N/A</v>
      </c>
      <c r="Q13" s="182" t="e">
        <f t="shared" si="8"/>
        <v>#N/A</v>
      </c>
      <c r="R13" s="182"/>
      <c r="S13" s="182"/>
      <c r="T13" s="365" t="s">
        <v>700</v>
      </c>
      <c r="U13" s="366">
        <v>1875</v>
      </c>
      <c r="V13" s="182"/>
      <c r="W13" s="182"/>
      <c r="X13" s="182"/>
      <c r="Y13" s="182"/>
      <c r="Z13" s="182"/>
      <c r="AA13" s="182"/>
    </row>
    <row r="14" spans="1:27" ht="14.4">
      <c r="A14" s="44" t="s">
        <v>934</v>
      </c>
      <c r="B14" s="69" t="s">
        <v>424</v>
      </c>
      <c r="C14" s="75" t="s">
        <v>425</v>
      </c>
      <c r="D14" s="44" t="s">
        <v>426</v>
      </c>
      <c r="E14" s="69" t="s">
        <v>234</v>
      </c>
      <c r="F14" s="69" t="s">
        <v>249</v>
      </c>
      <c r="G14" s="205">
        <f>VLOOKUP(B14,'Margin Calculation'!F:Y,20,0)</f>
        <v>957.84120000000019</v>
      </c>
      <c r="H14" s="205">
        <f>VLOOKUP(B14,'Margin Calculation'!F:Z,21,0)</f>
        <v>1130.2526160000002</v>
      </c>
      <c r="I14" s="179">
        <f t="shared" si="0"/>
        <v>52.5</v>
      </c>
      <c r="J14" s="179">
        <f t="shared" si="1"/>
        <v>262.5</v>
      </c>
      <c r="K14" s="179">
        <f t="shared" si="2"/>
        <v>131.25</v>
      </c>
      <c r="L14" s="179">
        <f t="shared" si="3"/>
        <v>78.75</v>
      </c>
      <c r="M14" s="179">
        <f t="shared" si="4"/>
        <v>1482.8412000000003</v>
      </c>
      <c r="N14" s="179">
        <f t="shared" si="5"/>
        <v>277.05724508050116</v>
      </c>
      <c r="O14" s="179">
        <f t="shared" si="6"/>
        <v>865.10155491949854</v>
      </c>
      <c r="P14" s="184">
        <f t="shared" si="7"/>
        <v>0.32956249711218993</v>
      </c>
      <c r="Q14" s="179">
        <f t="shared" si="8"/>
        <v>2625</v>
      </c>
      <c r="R14" s="182"/>
      <c r="S14" s="182"/>
      <c r="T14" s="365" t="s">
        <v>406</v>
      </c>
      <c r="U14" s="366">
        <v>375</v>
      </c>
      <c r="V14" s="182"/>
      <c r="W14" s="182"/>
      <c r="X14" s="182"/>
      <c r="Y14" s="182"/>
      <c r="Z14" s="182"/>
      <c r="AA14" s="182"/>
    </row>
    <row r="15" spans="1:27" ht="14.4">
      <c r="A15" s="44" t="s">
        <v>934</v>
      </c>
      <c r="B15" s="69" t="s">
        <v>434</v>
      </c>
      <c r="C15" s="75" t="s">
        <v>435</v>
      </c>
      <c r="D15" s="271" t="s">
        <v>436</v>
      </c>
      <c r="E15" s="69" t="s">
        <v>314</v>
      </c>
      <c r="F15" s="69" t="s">
        <v>437</v>
      </c>
      <c r="G15" s="205">
        <f>VLOOKUP(B15,'Margin Calculation'!F:Y,20,0)</f>
        <v>456.50304000000006</v>
      </c>
      <c r="H15" s="205">
        <f>VLOOKUP(B15,'Margin Calculation'!F:Z,21,0)</f>
        <v>538.67358720000004</v>
      </c>
      <c r="I15" s="179">
        <f t="shared" si="0"/>
        <v>15</v>
      </c>
      <c r="J15" s="179">
        <f t="shared" si="1"/>
        <v>75</v>
      </c>
      <c r="K15" s="179">
        <f t="shared" si="2"/>
        <v>37.5</v>
      </c>
      <c r="L15" s="179">
        <f t="shared" si="3"/>
        <v>22.5</v>
      </c>
      <c r="M15" s="179">
        <f t="shared" si="4"/>
        <v>606.50304000000006</v>
      </c>
      <c r="N15" s="179">
        <f t="shared" si="5"/>
        <v>79.159212880143173</v>
      </c>
      <c r="O15" s="179">
        <f t="shared" si="6"/>
        <v>64.337747119856772</v>
      </c>
      <c r="P15" s="184">
        <f t="shared" si="7"/>
        <v>8.578366282647569E-2</v>
      </c>
      <c r="Q15" s="179">
        <f t="shared" si="8"/>
        <v>750</v>
      </c>
      <c r="R15" s="182"/>
      <c r="S15" s="182"/>
      <c r="T15" s="365" t="s">
        <v>621</v>
      </c>
      <c r="U15" s="366">
        <v>1125</v>
      </c>
      <c r="V15" s="182"/>
      <c r="W15" s="182"/>
      <c r="X15" s="182"/>
      <c r="Y15" s="182"/>
      <c r="Z15" s="182"/>
      <c r="AA15" s="182"/>
    </row>
    <row r="16" spans="1:27" ht="14.4" hidden="1">
      <c r="A16" s="69"/>
      <c r="B16" s="69" t="s">
        <v>441</v>
      </c>
      <c r="C16" s="75" t="s">
        <v>442</v>
      </c>
      <c r="D16" s="271" t="s">
        <v>443</v>
      </c>
      <c r="E16" s="69" t="s">
        <v>314</v>
      </c>
      <c r="F16" s="69" t="s">
        <v>444</v>
      </c>
      <c r="G16" s="205">
        <f>VLOOKUP(B16,'Margin Calculation'!F:Y,20,0)</f>
        <v>443.50416000000001</v>
      </c>
      <c r="H16" s="205">
        <f>VLOOKUP(B16,'Margin Calculation'!F:Z,21,0)</f>
        <v>523.33490879999999</v>
      </c>
      <c r="I16" s="182" t="e">
        <f t="shared" si="0"/>
        <v>#N/A</v>
      </c>
      <c r="J16" s="182" t="e">
        <f t="shared" si="1"/>
        <v>#N/A</v>
      </c>
      <c r="K16" s="182" t="e">
        <f t="shared" si="2"/>
        <v>#N/A</v>
      </c>
      <c r="L16" s="182" t="e">
        <f t="shared" si="3"/>
        <v>#N/A</v>
      </c>
      <c r="M16" s="182" t="e">
        <f t="shared" si="4"/>
        <v>#N/A</v>
      </c>
      <c r="N16" s="182" t="e">
        <f t="shared" si="5"/>
        <v>#N/A</v>
      </c>
      <c r="O16" s="182" t="e">
        <f t="shared" si="6"/>
        <v>#N/A</v>
      </c>
      <c r="P16" s="184" t="e">
        <f t="shared" si="7"/>
        <v>#N/A</v>
      </c>
      <c r="Q16" s="182" t="e">
        <f t="shared" si="8"/>
        <v>#N/A</v>
      </c>
      <c r="R16" s="182"/>
      <c r="S16" s="182"/>
      <c r="T16" s="365" t="s">
        <v>468</v>
      </c>
      <c r="U16" s="366">
        <v>1200</v>
      </c>
      <c r="V16" s="182"/>
      <c r="W16" s="182"/>
      <c r="X16" s="182"/>
      <c r="Y16" s="182"/>
      <c r="Z16" s="182"/>
      <c r="AA16" s="182"/>
    </row>
    <row r="17" spans="1:27" ht="14.4">
      <c r="A17" s="44" t="s">
        <v>934</v>
      </c>
      <c r="B17" s="69" t="s">
        <v>448</v>
      </c>
      <c r="C17" s="75" t="s">
        <v>449</v>
      </c>
      <c r="D17" s="271" t="s">
        <v>450</v>
      </c>
      <c r="E17" s="69" t="s">
        <v>314</v>
      </c>
      <c r="F17" s="69" t="s">
        <v>444</v>
      </c>
      <c r="G17" s="205">
        <f>VLOOKUP(B17,'Margin Calculation'!F:Y,20,0)</f>
        <v>520.78140000000008</v>
      </c>
      <c r="H17" s="205">
        <f>VLOOKUP(B17,'Margin Calculation'!F:Z,21,0)</f>
        <v>614.52205200000003</v>
      </c>
      <c r="I17" s="179">
        <f t="shared" si="0"/>
        <v>19.5</v>
      </c>
      <c r="J17" s="179">
        <f t="shared" si="1"/>
        <v>97.5</v>
      </c>
      <c r="K17" s="179">
        <f t="shared" si="2"/>
        <v>48.75</v>
      </c>
      <c r="L17" s="179">
        <f t="shared" si="3"/>
        <v>29.25</v>
      </c>
      <c r="M17" s="179">
        <f t="shared" si="4"/>
        <v>715.78140000000008</v>
      </c>
      <c r="N17" s="179">
        <f t="shared" si="5"/>
        <v>102.90697674418618</v>
      </c>
      <c r="O17" s="179">
        <f t="shared" si="6"/>
        <v>156.31162325581374</v>
      </c>
      <c r="P17" s="184">
        <f t="shared" si="7"/>
        <v>0.1603196135957064</v>
      </c>
      <c r="Q17" s="179">
        <f t="shared" si="8"/>
        <v>975</v>
      </c>
      <c r="R17" s="182"/>
      <c r="S17" s="182"/>
      <c r="T17" s="365" t="s">
        <v>562</v>
      </c>
      <c r="U17" s="366">
        <v>975</v>
      </c>
      <c r="V17" s="182"/>
      <c r="W17" s="182"/>
      <c r="X17" s="182"/>
      <c r="Y17" s="182"/>
      <c r="Z17" s="182"/>
      <c r="AA17" s="182"/>
    </row>
    <row r="18" spans="1:27" ht="14.4" hidden="1">
      <c r="A18" s="102"/>
      <c r="B18" s="102" t="s">
        <v>454</v>
      </c>
      <c r="C18" s="75" t="s">
        <v>455</v>
      </c>
      <c r="D18" s="271" t="s">
        <v>456</v>
      </c>
      <c r="E18" s="69" t="s">
        <v>234</v>
      </c>
      <c r="F18" s="69" t="s">
        <v>235</v>
      </c>
      <c r="G18" s="205">
        <f>VLOOKUP(B18,'Margin Calculation'!F:Y,20,0)</f>
        <v>839.97</v>
      </c>
      <c r="H18" s="205">
        <f>VLOOKUP(B18,'Margin Calculation'!F:Z,21,0)</f>
        <v>991.16459999999995</v>
      </c>
      <c r="I18" s="182" t="e">
        <f t="shared" si="0"/>
        <v>#N/A</v>
      </c>
      <c r="J18" s="182" t="e">
        <f t="shared" si="1"/>
        <v>#N/A</v>
      </c>
      <c r="K18" s="182" t="e">
        <f t="shared" si="2"/>
        <v>#N/A</v>
      </c>
      <c r="L18" s="182" t="e">
        <f t="shared" si="3"/>
        <v>#N/A</v>
      </c>
      <c r="M18" s="182" t="e">
        <f t="shared" si="4"/>
        <v>#N/A</v>
      </c>
      <c r="N18" s="182" t="e">
        <f t="shared" si="5"/>
        <v>#N/A</v>
      </c>
      <c r="O18" s="182" t="e">
        <f t="shared" si="6"/>
        <v>#N/A</v>
      </c>
      <c r="P18" s="184" t="e">
        <f t="shared" si="7"/>
        <v>#N/A</v>
      </c>
      <c r="Q18" s="182" t="e">
        <f t="shared" si="8"/>
        <v>#N/A</v>
      </c>
      <c r="R18" s="182"/>
      <c r="S18" s="182"/>
      <c r="T18" s="365" t="s">
        <v>500</v>
      </c>
      <c r="U18" s="366">
        <v>750</v>
      </c>
      <c r="V18" s="182"/>
      <c r="W18" s="182"/>
      <c r="X18" s="182"/>
      <c r="Y18" s="182"/>
      <c r="Z18" s="182"/>
      <c r="AA18" s="182"/>
    </row>
    <row r="19" spans="1:27" ht="14.4" hidden="1">
      <c r="A19" s="69"/>
      <c r="B19" s="69" t="s">
        <v>458</v>
      </c>
      <c r="C19" s="249"/>
      <c r="D19" s="271" t="s">
        <v>459</v>
      </c>
      <c r="E19" s="69" t="s">
        <v>234</v>
      </c>
      <c r="F19" s="69" t="s">
        <v>235</v>
      </c>
      <c r="G19" s="205">
        <f>VLOOKUP(B19,'Margin Calculation'!F:Y,20,0)</f>
        <v>414.3852</v>
      </c>
      <c r="H19" s="205">
        <f>VLOOKUP(B19,'Margin Calculation'!F:Z,21,0)</f>
        <v>488.97453599999994</v>
      </c>
      <c r="I19" s="182" t="e">
        <f t="shared" si="0"/>
        <v>#N/A</v>
      </c>
      <c r="J19" s="182" t="e">
        <f t="shared" si="1"/>
        <v>#N/A</v>
      </c>
      <c r="K19" s="182" t="e">
        <f t="shared" si="2"/>
        <v>#N/A</v>
      </c>
      <c r="L19" s="182" t="e">
        <f t="shared" si="3"/>
        <v>#N/A</v>
      </c>
      <c r="M19" s="182" t="e">
        <f t="shared" si="4"/>
        <v>#N/A</v>
      </c>
      <c r="N19" s="182" t="e">
        <f t="shared" si="5"/>
        <v>#N/A</v>
      </c>
      <c r="O19" s="182" t="e">
        <f t="shared" si="6"/>
        <v>#N/A</v>
      </c>
      <c r="P19" s="184" t="e">
        <f t="shared" si="7"/>
        <v>#N/A</v>
      </c>
      <c r="Q19" s="182" t="e">
        <f t="shared" si="8"/>
        <v>#N/A</v>
      </c>
      <c r="R19" s="182"/>
      <c r="S19" s="182"/>
      <c r="T19" s="365" t="s">
        <v>504</v>
      </c>
      <c r="U19" s="366">
        <v>1425</v>
      </c>
      <c r="V19" s="182"/>
      <c r="W19" s="182"/>
      <c r="X19" s="182"/>
      <c r="Y19" s="182"/>
      <c r="Z19" s="182"/>
      <c r="AA19" s="182"/>
    </row>
    <row r="20" spans="1:27" ht="14.4">
      <c r="A20" s="44" t="s">
        <v>934</v>
      </c>
      <c r="B20" s="69" t="s">
        <v>462</v>
      </c>
      <c r="C20" s="341" t="s">
        <v>463</v>
      </c>
      <c r="D20" s="271" t="s">
        <v>464</v>
      </c>
      <c r="E20" s="69" t="s">
        <v>314</v>
      </c>
      <c r="F20" s="69" t="s">
        <v>465</v>
      </c>
      <c r="G20" s="205">
        <f>VLOOKUP(B20,'Margin Calculation'!F:Y,20,0)</f>
        <v>615.97800000000007</v>
      </c>
      <c r="H20" s="205">
        <f>VLOOKUP(B20,'Margin Calculation'!F:Z,21,0)</f>
        <v>726.85404000000005</v>
      </c>
      <c r="I20" s="179">
        <f t="shared" si="0"/>
        <v>24</v>
      </c>
      <c r="J20" s="179">
        <f t="shared" si="1"/>
        <v>120</v>
      </c>
      <c r="K20" s="179">
        <f t="shared" si="2"/>
        <v>60</v>
      </c>
      <c r="L20" s="179">
        <f t="shared" si="3"/>
        <v>36</v>
      </c>
      <c r="M20" s="179">
        <f t="shared" si="4"/>
        <v>855.97800000000007</v>
      </c>
      <c r="N20" s="179">
        <f t="shared" si="5"/>
        <v>126.65474060822908</v>
      </c>
      <c r="O20" s="179">
        <f t="shared" si="6"/>
        <v>217.36725939177086</v>
      </c>
      <c r="P20" s="184">
        <f t="shared" si="7"/>
        <v>0.18113938282647571</v>
      </c>
      <c r="Q20" s="179">
        <f t="shared" si="8"/>
        <v>1200</v>
      </c>
      <c r="R20" s="182"/>
      <c r="S20" s="182"/>
      <c r="T20" s="365" t="s">
        <v>659</v>
      </c>
      <c r="U20" s="366">
        <v>1875</v>
      </c>
      <c r="V20" s="182"/>
      <c r="W20" s="182"/>
      <c r="X20" s="182"/>
      <c r="Y20" s="182"/>
      <c r="Z20" s="182"/>
      <c r="AA20" s="182"/>
    </row>
    <row r="21" spans="1:27" ht="14.4">
      <c r="A21" s="44" t="s">
        <v>934</v>
      </c>
      <c r="B21" s="69" t="s">
        <v>468</v>
      </c>
      <c r="C21" s="341" t="s">
        <v>469</v>
      </c>
      <c r="D21" s="271" t="s">
        <v>470</v>
      </c>
      <c r="E21" s="69" t="s">
        <v>314</v>
      </c>
      <c r="F21" s="69" t="s">
        <v>465</v>
      </c>
      <c r="G21" s="205">
        <f>VLOOKUP(B21,'Margin Calculation'!F:Y,20,0)</f>
        <v>559.9799999999999</v>
      </c>
      <c r="H21" s="205">
        <f>VLOOKUP(B21,'Margin Calculation'!F:Z,21,0)</f>
        <v>660.77639999999985</v>
      </c>
      <c r="I21" s="179">
        <f t="shared" si="0"/>
        <v>24</v>
      </c>
      <c r="J21" s="179">
        <f t="shared" si="1"/>
        <v>120</v>
      </c>
      <c r="K21" s="179">
        <f t="shared" si="2"/>
        <v>60</v>
      </c>
      <c r="L21" s="179">
        <f t="shared" si="3"/>
        <v>36</v>
      </c>
      <c r="M21" s="179">
        <f t="shared" si="4"/>
        <v>799.9799999999999</v>
      </c>
      <c r="N21" s="179">
        <f t="shared" si="5"/>
        <v>126.65474060822908</v>
      </c>
      <c r="O21" s="179">
        <f t="shared" si="6"/>
        <v>273.36525939177102</v>
      </c>
      <c r="P21" s="184">
        <f t="shared" si="7"/>
        <v>0.22780438282647586</v>
      </c>
      <c r="Q21" s="179">
        <f t="shared" si="8"/>
        <v>1200</v>
      </c>
      <c r="R21" s="182"/>
      <c r="S21" s="182"/>
      <c r="T21" s="365" t="s">
        <v>424</v>
      </c>
      <c r="U21" s="366">
        <v>2625</v>
      </c>
      <c r="V21" s="182"/>
      <c r="W21" s="182"/>
      <c r="X21" s="182"/>
      <c r="Y21" s="182"/>
      <c r="Z21" s="182"/>
      <c r="AA21" s="182"/>
    </row>
    <row r="22" spans="1:27" ht="14.4" hidden="1">
      <c r="A22" s="44"/>
      <c r="B22" s="44" t="s">
        <v>485</v>
      </c>
      <c r="C22" s="249"/>
      <c r="D22" s="69" t="s">
        <v>486</v>
      </c>
      <c r="E22" s="69" t="s">
        <v>234</v>
      </c>
      <c r="F22" s="69" t="s">
        <v>235</v>
      </c>
      <c r="G22" s="205">
        <f>VLOOKUP(B22,'Margin Calculation'!F:Y,20,0)</f>
        <v>321.42851999999999</v>
      </c>
      <c r="H22" s="205">
        <f>VLOOKUP(B22,'Margin Calculation'!F:Z,21,0)</f>
        <v>379.28565359999999</v>
      </c>
      <c r="I22" s="182" t="e">
        <f t="shared" si="0"/>
        <v>#N/A</v>
      </c>
      <c r="J22" s="182" t="e">
        <f t="shared" si="1"/>
        <v>#N/A</v>
      </c>
      <c r="K22" s="182" t="e">
        <f t="shared" si="2"/>
        <v>#N/A</v>
      </c>
      <c r="L22" s="182" t="e">
        <f t="shared" si="3"/>
        <v>#N/A</v>
      </c>
      <c r="M22" s="182" t="e">
        <f t="shared" si="4"/>
        <v>#N/A</v>
      </c>
      <c r="N22" s="182" t="e">
        <f t="shared" si="5"/>
        <v>#N/A</v>
      </c>
      <c r="O22" s="182" t="e">
        <f t="shared" si="6"/>
        <v>#N/A</v>
      </c>
      <c r="P22" s="184" t="e">
        <f t="shared" si="7"/>
        <v>#N/A</v>
      </c>
      <c r="Q22" s="182" t="e">
        <f t="shared" si="8"/>
        <v>#N/A</v>
      </c>
      <c r="R22" s="182"/>
      <c r="S22" s="182"/>
      <c r="T22" s="365" t="s">
        <v>253</v>
      </c>
      <c r="U22" s="366">
        <v>599.25</v>
      </c>
      <c r="V22" s="182"/>
      <c r="W22" s="182"/>
      <c r="X22" s="182"/>
      <c r="Y22" s="182"/>
      <c r="Z22" s="182"/>
      <c r="AA22" s="182"/>
    </row>
    <row r="23" spans="1:27" ht="14.4" hidden="1">
      <c r="A23" s="44"/>
      <c r="B23" s="44" t="s">
        <v>488</v>
      </c>
      <c r="C23" s="249"/>
      <c r="D23" s="69" t="s">
        <v>489</v>
      </c>
      <c r="E23" s="69" t="s">
        <v>234</v>
      </c>
      <c r="F23" s="69" t="s">
        <v>235</v>
      </c>
      <c r="G23" s="205">
        <f>VLOOKUP(B23,'Margin Calculation'!F:Y,20,0)</f>
        <v>331.50816000000003</v>
      </c>
      <c r="H23" s="205">
        <f>VLOOKUP(B23,'Margin Calculation'!F:Z,21,0)</f>
        <v>391.17962879999999</v>
      </c>
      <c r="I23" s="182" t="e">
        <f t="shared" si="0"/>
        <v>#N/A</v>
      </c>
      <c r="J23" s="182" t="e">
        <f t="shared" si="1"/>
        <v>#N/A</v>
      </c>
      <c r="K23" s="182" t="e">
        <f t="shared" si="2"/>
        <v>#N/A</v>
      </c>
      <c r="L23" s="182" t="e">
        <f t="shared" si="3"/>
        <v>#N/A</v>
      </c>
      <c r="M23" s="182" t="e">
        <f t="shared" si="4"/>
        <v>#N/A</v>
      </c>
      <c r="N23" s="182" t="e">
        <f t="shared" si="5"/>
        <v>#N/A</v>
      </c>
      <c r="O23" s="182" t="e">
        <f t="shared" si="6"/>
        <v>#N/A</v>
      </c>
      <c r="P23" s="184" t="e">
        <f t="shared" si="7"/>
        <v>#N/A</v>
      </c>
      <c r="Q23" s="182" t="e">
        <f t="shared" si="8"/>
        <v>#N/A</v>
      </c>
      <c r="R23" s="182"/>
      <c r="S23" s="182"/>
      <c r="T23" s="365" t="s">
        <v>632</v>
      </c>
      <c r="U23" s="366">
        <v>900</v>
      </c>
      <c r="V23" s="182"/>
      <c r="W23" s="182"/>
      <c r="X23" s="182"/>
      <c r="Y23" s="182"/>
      <c r="Z23" s="182"/>
      <c r="AA23" s="182"/>
    </row>
    <row r="24" spans="1:27" ht="14.4" hidden="1">
      <c r="A24" s="102"/>
      <c r="B24" s="102" t="s">
        <v>491</v>
      </c>
      <c r="C24" s="249" t="s">
        <v>492</v>
      </c>
      <c r="D24" s="271" t="s">
        <v>493</v>
      </c>
      <c r="E24" s="69" t="s">
        <v>234</v>
      </c>
      <c r="F24" s="69" t="s">
        <v>249</v>
      </c>
      <c r="G24" s="205">
        <f>VLOOKUP(B24,'Margin Calculation'!F:Y,20,0)</f>
        <v>1959.93</v>
      </c>
      <c r="H24" s="205">
        <f>VLOOKUP(B24,'Margin Calculation'!F:Z,21,0)</f>
        <v>2312.7174</v>
      </c>
      <c r="I24" s="182" t="e">
        <f t="shared" si="0"/>
        <v>#N/A</v>
      </c>
      <c r="J24" s="182" t="e">
        <f t="shared" si="1"/>
        <v>#N/A</v>
      </c>
      <c r="K24" s="182" t="e">
        <f t="shared" si="2"/>
        <v>#N/A</v>
      </c>
      <c r="L24" s="182" t="e">
        <f t="shared" si="3"/>
        <v>#N/A</v>
      </c>
      <c r="M24" s="182" t="e">
        <f t="shared" si="4"/>
        <v>#N/A</v>
      </c>
      <c r="N24" s="182" t="e">
        <f t="shared" si="5"/>
        <v>#N/A</v>
      </c>
      <c r="O24" s="182" t="e">
        <f t="shared" si="6"/>
        <v>#N/A</v>
      </c>
      <c r="P24" s="184" t="e">
        <f t="shared" si="7"/>
        <v>#N/A</v>
      </c>
      <c r="Q24" s="182" t="e">
        <f t="shared" si="8"/>
        <v>#N/A</v>
      </c>
      <c r="R24" s="182"/>
      <c r="S24" s="182"/>
      <c r="T24" s="365" t="s">
        <v>462</v>
      </c>
      <c r="U24" s="366">
        <v>1200</v>
      </c>
      <c r="V24" s="182"/>
      <c r="W24" s="182"/>
      <c r="X24" s="182"/>
      <c r="Y24" s="182"/>
      <c r="Z24" s="182"/>
      <c r="AA24" s="182"/>
    </row>
    <row r="25" spans="1:27" ht="14.4" hidden="1">
      <c r="A25" s="102"/>
      <c r="B25" s="102" t="s">
        <v>496</v>
      </c>
      <c r="C25" s="249" t="s">
        <v>497</v>
      </c>
      <c r="D25" s="271" t="s">
        <v>498</v>
      </c>
      <c r="E25" s="69" t="s">
        <v>234</v>
      </c>
      <c r="F25" s="69" t="s">
        <v>249</v>
      </c>
      <c r="G25" s="205">
        <f>VLOOKUP(B25,'Margin Calculation'!F:Y,20,0)</f>
        <v>3303.8820000000001</v>
      </c>
      <c r="H25" s="205">
        <f>VLOOKUP(B25,'Margin Calculation'!F:Z,21,0)</f>
        <v>3898.5807599999998</v>
      </c>
      <c r="I25" s="182" t="e">
        <f t="shared" si="0"/>
        <v>#N/A</v>
      </c>
      <c r="J25" s="182" t="e">
        <f t="shared" si="1"/>
        <v>#N/A</v>
      </c>
      <c r="K25" s="182" t="e">
        <f t="shared" si="2"/>
        <v>#N/A</v>
      </c>
      <c r="L25" s="182" t="e">
        <f t="shared" si="3"/>
        <v>#N/A</v>
      </c>
      <c r="M25" s="182" t="e">
        <f t="shared" si="4"/>
        <v>#N/A</v>
      </c>
      <c r="N25" s="182" t="e">
        <f t="shared" si="5"/>
        <v>#N/A</v>
      </c>
      <c r="O25" s="182" t="e">
        <f t="shared" si="6"/>
        <v>#N/A</v>
      </c>
      <c r="P25" s="184" t="e">
        <f t="shared" si="7"/>
        <v>#N/A</v>
      </c>
      <c r="Q25" s="182" t="e">
        <f t="shared" si="8"/>
        <v>#N/A</v>
      </c>
      <c r="R25" s="182"/>
      <c r="S25" s="182"/>
      <c r="T25" s="365" t="s">
        <v>448</v>
      </c>
      <c r="U25" s="366">
        <v>975</v>
      </c>
      <c r="V25" s="182"/>
      <c r="W25" s="182"/>
      <c r="X25" s="182"/>
      <c r="Y25" s="182"/>
      <c r="Z25" s="182"/>
      <c r="AA25" s="182"/>
    </row>
    <row r="26" spans="1:27" ht="14.4">
      <c r="A26" s="44" t="s">
        <v>934</v>
      </c>
      <c r="B26" s="69" t="s">
        <v>500</v>
      </c>
      <c r="C26" s="249" t="s">
        <v>501</v>
      </c>
      <c r="D26" s="44" t="s">
        <v>459</v>
      </c>
      <c r="E26" s="69" t="s">
        <v>234</v>
      </c>
      <c r="F26" s="69" t="s">
        <v>235</v>
      </c>
      <c r="G26" s="205">
        <f>VLOOKUP(B26,'Margin Calculation'!F:Y,20,0)</f>
        <v>380.78639999999996</v>
      </c>
      <c r="H26" s="205">
        <f>VLOOKUP(B26,'Margin Calculation'!F:Z,21,0)</f>
        <v>449.32795199999993</v>
      </c>
      <c r="I26" s="179">
        <f t="shared" si="0"/>
        <v>15</v>
      </c>
      <c r="J26" s="179">
        <f t="shared" si="1"/>
        <v>75</v>
      </c>
      <c r="K26" s="179">
        <f t="shared" si="2"/>
        <v>37.5</v>
      </c>
      <c r="L26" s="179">
        <f t="shared" si="3"/>
        <v>22.5</v>
      </c>
      <c r="M26" s="179">
        <f t="shared" si="4"/>
        <v>530.78639999999996</v>
      </c>
      <c r="N26" s="179">
        <f t="shared" si="5"/>
        <v>79.159212880143173</v>
      </c>
      <c r="O26" s="179">
        <f t="shared" si="6"/>
        <v>140.05438711985687</v>
      </c>
      <c r="P26" s="184">
        <f t="shared" si="7"/>
        <v>0.18673918282647584</v>
      </c>
      <c r="Q26" s="179">
        <f t="shared" si="8"/>
        <v>750</v>
      </c>
      <c r="R26" s="182"/>
      <c r="S26" s="182"/>
      <c r="T26" s="365" t="s">
        <v>538</v>
      </c>
      <c r="U26" s="366">
        <v>750</v>
      </c>
      <c r="V26" s="182"/>
      <c r="W26" s="182"/>
      <c r="X26" s="182"/>
      <c r="Y26" s="182"/>
      <c r="Z26" s="182"/>
      <c r="AA26" s="182"/>
    </row>
    <row r="27" spans="1:27" ht="14.4">
      <c r="A27" s="44" t="s">
        <v>934</v>
      </c>
      <c r="B27" s="102" t="s">
        <v>504</v>
      </c>
      <c r="C27" s="341" t="s">
        <v>505</v>
      </c>
      <c r="D27" s="44" t="s">
        <v>506</v>
      </c>
      <c r="E27" s="69" t="s">
        <v>234</v>
      </c>
      <c r="F27" s="69" t="s">
        <v>235</v>
      </c>
      <c r="G27" s="205">
        <f>VLOOKUP(B27,'Margin Calculation'!F:Y,20,0)</f>
        <v>761.57279999999992</v>
      </c>
      <c r="H27" s="205">
        <f>VLOOKUP(B27,'Margin Calculation'!F:Z,21,0)</f>
        <v>898.65590399999985</v>
      </c>
      <c r="I27" s="179">
        <f t="shared" si="0"/>
        <v>28.5</v>
      </c>
      <c r="J27" s="179">
        <f t="shared" si="1"/>
        <v>142.5</v>
      </c>
      <c r="K27" s="179">
        <f t="shared" si="2"/>
        <v>71.25</v>
      </c>
      <c r="L27" s="179">
        <f t="shared" si="3"/>
        <v>42.75</v>
      </c>
      <c r="M27" s="179">
        <f t="shared" si="4"/>
        <v>1046.5727999999999</v>
      </c>
      <c r="N27" s="179">
        <f t="shared" si="5"/>
        <v>150.40250447227208</v>
      </c>
      <c r="O27" s="179">
        <f t="shared" si="6"/>
        <v>228.024695527728</v>
      </c>
      <c r="P27" s="184">
        <f t="shared" si="7"/>
        <v>0.16001733019489683</v>
      </c>
      <c r="Q27" s="179">
        <f t="shared" si="8"/>
        <v>1425</v>
      </c>
      <c r="R27" s="182"/>
      <c r="S27" s="182"/>
      <c r="T27" s="365" t="s">
        <v>580</v>
      </c>
      <c r="U27" s="366">
        <v>2250</v>
      </c>
      <c r="V27" s="182"/>
      <c r="W27" s="182"/>
      <c r="X27" s="182"/>
      <c r="Y27" s="182"/>
      <c r="Z27" s="182"/>
      <c r="AA27" s="182"/>
    </row>
    <row r="28" spans="1:27" ht="14.4">
      <c r="A28" s="44" t="s">
        <v>934</v>
      </c>
      <c r="B28" s="69" t="s">
        <v>508</v>
      </c>
      <c r="C28" s="341" t="s">
        <v>509</v>
      </c>
      <c r="D28" s="44" t="s">
        <v>481</v>
      </c>
      <c r="E28" s="69" t="s">
        <v>314</v>
      </c>
      <c r="F28" s="69" t="s">
        <v>465</v>
      </c>
      <c r="G28" s="205">
        <f>VLOOKUP(B28,'Margin Calculation'!F:Y,20,0)</f>
        <v>655.17660000000001</v>
      </c>
      <c r="H28" s="205">
        <f>VLOOKUP(B28,'Margin Calculation'!F:Z,21,0)</f>
        <v>773.10838799999999</v>
      </c>
      <c r="I28" s="179">
        <f t="shared" si="0"/>
        <v>22.5</v>
      </c>
      <c r="J28" s="179">
        <f t="shared" si="1"/>
        <v>112.5</v>
      </c>
      <c r="K28" s="179">
        <f t="shared" si="2"/>
        <v>56.25</v>
      </c>
      <c r="L28" s="179">
        <f t="shared" si="3"/>
        <v>33.75</v>
      </c>
      <c r="M28" s="179">
        <f t="shared" si="4"/>
        <v>880.17660000000001</v>
      </c>
      <c r="N28" s="179">
        <f t="shared" si="5"/>
        <v>118.73881932021482</v>
      </c>
      <c r="O28" s="179">
        <f t="shared" si="6"/>
        <v>126.08458067978518</v>
      </c>
      <c r="P28" s="184">
        <f t="shared" si="7"/>
        <v>0.11207518282647572</v>
      </c>
      <c r="Q28" s="179">
        <f t="shared" si="8"/>
        <v>1125</v>
      </c>
      <c r="R28" s="182"/>
      <c r="S28" s="182"/>
      <c r="T28" s="182"/>
      <c r="U28" s="182"/>
      <c r="V28" s="182"/>
      <c r="W28" s="182"/>
      <c r="X28" s="182"/>
      <c r="Y28" s="182"/>
      <c r="Z28" s="182"/>
      <c r="AA28" s="182"/>
    </row>
    <row r="29" spans="1:27" ht="14.4" hidden="1">
      <c r="A29" s="102"/>
      <c r="B29" s="102" t="s">
        <v>512</v>
      </c>
      <c r="C29" s="249" t="s">
        <v>513</v>
      </c>
      <c r="D29" s="44" t="s">
        <v>514</v>
      </c>
      <c r="E29" s="69" t="s">
        <v>314</v>
      </c>
      <c r="F29" s="69" t="s">
        <v>465</v>
      </c>
      <c r="G29" s="205">
        <f>VLOOKUP(B29,'Margin Calculation'!F:Y,20,0)</f>
        <v>458.541</v>
      </c>
      <c r="H29" s="205">
        <f>VLOOKUP(B29,'Margin Calculation'!F:Z,21,0)</f>
        <v>513.56592000000001</v>
      </c>
      <c r="I29" s="182" t="e">
        <f t="shared" si="0"/>
        <v>#N/A</v>
      </c>
      <c r="J29" s="182" t="e">
        <f t="shared" si="1"/>
        <v>#N/A</v>
      </c>
      <c r="K29" s="182" t="e">
        <f t="shared" si="2"/>
        <v>#N/A</v>
      </c>
      <c r="L29" s="182" t="e">
        <f t="shared" si="3"/>
        <v>#N/A</v>
      </c>
      <c r="M29" s="182" t="e">
        <f t="shared" si="4"/>
        <v>#N/A</v>
      </c>
      <c r="N29" s="182" t="e">
        <f t="shared" si="5"/>
        <v>#N/A</v>
      </c>
      <c r="O29" s="182" t="e">
        <f t="shared" si="6"/>
        <v>#N/A</v>
      </c>
      <c r="P29" s="184" t="e">
        <f t="shared" si="7"/>
        <v>#N/A</v>
      </c>
      <c r="Q29" s="182" t="e">
        <f t="shared" si="8"/>
        <v>#N/A</v>
      </c>
      <c r="R29" s="182"/>
      <c r="S29" s="182"/>
      <c r="T29" s="182"/>
      <c r="U29" s="182"/>
      <c r="V29" s="182"/>
      <c r="W29" s="182"/>
      <c r="X29" s="182"/>
      <c r="Y29" s="182"/>
      <c r="Z29" s="182"/>
      <c r="AA29" s="182"/>
    </row>
    <row r="30" spans="1:27" ht="14.4">
      <c r="A30" s="44" t="s">
        <v>934</v>
      </c>
      <c r="B30" s="69" t="s">
        <v>520</v>
      </c>
      <c r="C30" s="249" t="s">
        <v>521</v>
      </c>
      <c r="D30" s="44" t="s">
        <v>522</v>
      </c>
      <c r="E30" s="69" t="s">
        <v>314</v>
      </c>
      <c r="F30" s="69" t="s">
        <v>465</v>
      </c>
      <c r="G30" s="205">
        <f>VLOOKUP(B30,'Margin Calculation'!F:Y,20,0)</f>
        <v>611.38800000000003</v>
      </c>
      <c r="H30" s="205">
        <f>VLOOKUP(B30,'Margin Calculation'!F:Z,21,0)</f>
        <v>684.75456000000008</v>
      </c>
      <c r="I30" s="179">
        <f t="shared" si="0"/>
        <v>21</v>
      </c>
      <c r="J30" s="179">
        <f t="shared" si="1"/>
        <v>105</v>
      </c>
      <c r="K30" s="179">
        <f t="shared" si="2"/>
        <v>52.5</v>
      </c>
      <c r="L30" s="179">
        <f t="shared" si="3"/>
        <v>31.5</v>
      </c>
      <c r="M30" s="179">
        <f t="shared" si="4"/>
        <v>821.38800000000003</v>
      </c>
      <c r="N30" s="179">
        <f t="shared" si="5"/>
        <v>110.82289803220044</v>
      </c>
      <c r="O30" s="179">
        <f t="shared" si="6"/>
        <v>117.78910196779952</v>
      </c>
      <c r="P30" s="184">
        <f t="shared" si="7"/>
        <v>0.11218009711219003</v>
      </c>
      <c r="Q30" s="179">
        <f t="shared" si="8"/>
        <v>1050</v>
      </c>
      <c r="R30" s="182"/>
      <c r="S30" s="182"/>
      <c r="T30" s="182"/>
      <c r="U30" s="182"/>
      <c r="V30" s="182"/>
      <c r="W30" s="182"/>
      <c r="X30" s="182"/>
      <c r="Y30" s="182"/>
      <c r="Z30" s="182"/>
      <c r="AA30" s="182"/>
    </row>
    <row r="31" spans="1:27" ht="14.4" hidden="1">
      <c r="A31" s="69"/>
      <c r="B31" s="69" t="s">
        <v>525</v>
      </c>
      <c r="C31" s="249" t="s">
        <v>526</v>
      </c>
      <c r="D31" s="44" t="s">
        <v>527</v>
      </c>
      <c r="E31" s="69" t="s">
        <v>314</v>
      </c>
      <c r="F31" s="69" t="s">
        <v>315</v>
      </c>
      <c r="G31" s="205">
        <f>VLOOKUP(B31,'Margin Calculation'!F:Y,20,0)</f>
        <v>346.06763999999998</v>
      </c>
      <c r="H31" s="205">
        <f>VLOOKUP(B31,'Margin Calculation'!F:Z,21,0)</f>
        <v>408.35981519999996</v>
      </c>
      <c r="I31" s="182" t="e">
        <f t="shared" si="0"/>
        <v>#N/A</v>
      </c>
      <c r="J31" s="182" t="e">
        <f t="shared" si="1"/>
        <v>#N/A</v>
      </c>
      <c r="K31" s="182" t="e">
        <f t="shared" si="2"/>
        <v>#N/A</v>
      </c>
      <c r="L31" s="182" t="e">
        <f t="shared" si="3"/>
        <v>#N/A</v>
      </c>
      <c r="M31" s="182" t="e">
        <f t="shared" si="4"/>
        <v>#N/A</v>
      </c>
      <c r="N31" s="182" t="e">
        <f t="shared" si="5"/>
        <v>#N/A</v>
      </c>
      <c r="O31" s="182" t="e">
        <f t="shared" si="6"/>
        <v>#N/A</v>
      </c>
      <c r="P31" s="184" t="e">
        <f t="shared" si="7"/>
        <v>#N/A</v>
      </c>
      <c r="Q31" s="182" t="e">
        <f t="shared" si="8"/>
        <v>#N/A</v>
      </c>
      <c r="R31" s="182"/>
      <c r="S31" s="182"/>
      <c r="T31" s="182"/>
      <c r="U31" s="182"/>
      <c r="V31" s="182"/>
      <c r="W31" s="182"/>
      <c r="X31" s="182"/>
      <c r="Y31" s="182"/>
      <c r="Z31" s="182"/>
      <c r="AA31" s="182"/>
    </row>
    <row r="32" spans="1:27" ht="14.4" hidden="1">
      <c r="A32" s="69"/>
      <c r="B32" s="69" t="s">
        <v>529</v>
      </c>
      <c r="C32" s="249" t="s">
        <v>530</v>
      </c>
      <c r="D32" s="44" t="s">
        <v>531</v>
      </c>
      <c r="E32" s="69" t="s">
        <v>314</v>
      </c>
      <c r="F32" s="69" t="s">
        <v>315</v>
      </c>
      <c r="G32" s="205">
        <f>VLOOKUP(B32,'Margin Calculation'!F:Y,20,0)</f>
        <v>352.78740000000005</v>
      </c>
      <c r="H32" s="205">
        <f>VLOOKUP(B32,'Margin Calculation'!F:Z,21,0)</f>
        <v>416.28913200000005</v>
      </c>
      <c r="I32" s="182" t="e">
        <f t="shared" si="0"/>
        <v>#N/A</v>
      </c>
      <c r="J32" s="182" t="e">
        <f t="shared" si="1"/>
        <v>#N/A</v>
      </c>
      <c r="K32" s="182" t="e">
        <f t="shared" si="2"/>
        <v>#N/A</v>
      </c>
      <c r="L32" s="182" t="e">
        <f t="shared" si="3"/>
        <v>#N/A</v>
      </c>
      <c r="M32" s="182" t="e">
        <f t="shared" si="4"/>
        <v>#N/A</v>
      </c>
      <c r="N32" s="182" t="e">
        <f t="shared" si="5"/>
        <v>#N/A</v>
      </c>
      <c r="O32" s="182" t="e">
        <f t="shared" si="6"/>
        <v>#N/A</v>
      </c>
      <c r="P32" s="184" t="e">
        <f t="shared" si="7"/>
        <v>#N/A</v>
      </c>
      <c r="Q32" s="182" t="e">
        <f t="shared" si="8"/>
        <v>#N/A</v>
      </c>
      <c r="R32" s="182"/>
      <c r="S32" s="182"/>
      <c r="T32" s="182"/>
      <c r="U32" s="182"/>
      <c r="V32" s="182"/>
      <c r="W32" s="182"/>
      <c r="X32" s="182"/>
      <c r="Y32" s="182"/>
      <c r="Z32" s="182"/>
      <c r="AA32" s="182"/>
    </row>
    <row r="33" spans="1:27" ht="14.4" hidden="1">
      <c r="A33" s="69"/>
      <c r="B33" s="69" t="s">
        <v>533</v>
      </c>
      <c r="C33" s="249" t="s">
        <v>534</v>
      </c>
      <c r="D33" s="44" t="s">
        <v>535</v>
      </c>
      <c r="E33" s="69" t="s">
        <v>234</v>
      </c>
      <c r="F33" s="69" t="s">
        <v>235</v>
      </c>
      <c r="G33" s="205">
        <f>VLOOKUP(B33,'Margin Calculation'!F:Y,20,0)</f>
        <v>352.56708000000003</v>
      </c>
      <c r="H33" s="205">
        <f>VLOOKUP(B33,'Margin Calculation'!F:Z,21,0)</f>
        <v>394.87512960000009</v>
      </c>
      <c r="I33" s="182" t="e">
        <f t="shared" si="0"/>
        <v>#N/A</v>
      </c>
      <c r="J33" s="182" t="e">
        <f t="shared" si="1"/>
        <v>#N/A</v>
      </c>
      <c r="K33" s="182" t="e">
        <f t="shared" si="2"/>
        <v>#N/A</v>
      </c>
      <c r="L33" s="182" t="e">
        <f t="shared" si="3"/>
        <v>#N/A</v>
      </c>
      <c r="M33" s="182" t="e">
        <f t="shared" si="4"/>
        <v>#N/A</v>
      </c>
      <c r="N33" s="182" t="e">
        <f t="shared" si="5"/>
        <v>#N/A</v>
      </c>
      <c r="O33" s="182" t="e">
        <f t="shared" si="6"/>
        <v>#N/A</v>
      </c>
      <c r="P33" s="184" t="e">
        <f t="shared" si="7"/>
        <v>#N/A</v>
      </c>
      <c r="Q33" s="182" t="e">
        <f t="shared" si="8"/>
        <v>#N/A</v>
      </c>
      <c r="R33" s="182"/>
      <c r="S33" s="182"/>
      <c r="T33" s="182"/>
      <c r="U33" s="182"/>
      <c r="V33" s="182"/>
      <c r="W33" s="182"/>
      <c r="X33" s="182"/>
      <c r="Y33" s="182"/>
      <c r="Z33" s="182"/>
      <c r="AA33" s="182"/>
    </row>
    <row r="34" spans="1:27" ht="14.4">
      <c r="A34" s="44" t="s">
        <v>934</v>
      </c>
      <c r="B34" s="102" t="s">
        <v>538</v>
      </c>
      <c r="C34" s="341" t="s">
        <v>539</v>
      </c>
      <c r="D34" s="44" t="s">
        <v>483</v>
      </c>
      <c r="E34" s="69" t="s">
        <v>314</v>
      </c>
      <c r="F34" s="69" t="s">
        <v>465</v>
      </c>
      <c r="G34" s="205">
        <f>VLOOKUP(B34,'Margin Calculation'!F:Y,20,0)</f>
        <v>379.66644000000002</v>
      </c>
      <c r="H34" s="205">
        <f>VLOOKUP(B34,'Margin Calculation'!F:Z,21,0)</f>
        <v>448.00639919999998</v>
      </c>
      <c r="I34" s="179">
        <f t="shared" si="0"/>
        <v>15</v>
      </c>
      <c r="J34" s="179">
        <f t="shared" si="1"/>
        <v>75</v>
      </c>
      <c r="K34" s="179">
        <f t="shared" si="2"/>
        <v>37.5</v>
      </c>
      <c r="L34" s="179">
        <f t="shared" si="3"/>
        <v>22.5</v>
      </c>
      <c r="M34" s="179">
        <f t="shared" si="4"/>
        <v>529.66643999999997</v>
      </c>
      <c r="N34" s="179">
        <f t="shared" si="5"/>
        <v>79.159212880143173</v>
      </c>
      <c r="O34" s="179">
        <f t="shared" si="6"/>
        <v>141.17434711985686</v>
      </c>
      <c r="P34" s="184">
        <f t="shared" si="7"/>
        <v>0.18823246282647582</v>
      </c>
      <c r="Q34" s="179">
        <f t="shared" si="8"/>
        <v>750</v>
      </c>
      <c r="R34" s="182"/>
      <c r="S34" s="182"/>
      <c r="T34" s="182"/>
      <c r="U34" s="182"/>
      <c r="V34" s="182"/>
      <c r="W34" s="182"/>
      <c r="X34" s="182"/>
      <c r="Y34" s="182"/>
      <c r="Z34" s="182"/>
      <c r="AA34" s="182"/>
    </row>
    <row r="35" spans="1:27" ht="14.4">
      <c r="A35" s="44" t="s">
        <v>934</v>
      </c>
      <c r="B35" s="102" t="s">
        <v>543</v>
      </c>
      <c r="C35" s="249" t="s">
        <v>544</v>
      </c>
      <c r="D35" s="44" t="s">
        <v>545</v>
      </c>
      <c r="E35" s="69" t="s">
        <v>314</v>
      </c>
      <c r="F35" s="69" t="s">
        <v>465</v>
      </c>
      <c r="G35" s="205">
        <f>VLOOKUP(B35,'Margin Calculation'!F:Y,20,0)</f>
        <v>611.38800000000003</v>
      </c>
      <c r="H35" s="205">
        <f>VLOOKUP(B35,'Margin Calculation'!F:Z,21,0)</f>
        <v>721.43784000000005</v>
      </c>
      <c r="I35" s="179">
        <f t="shared" si="0"/>
        <v>18</v>
      </c>
      <c r="J35" s="179">
        <f t="shared" si="1"/>
        <v>90</v>
      </c>
      <c r="K35" s="179">
        <f t="shared" si="2"/>
        <v>45</v>
      </c>
      <c r="L35" s="179">
        <f t="shared" si="3"/>
        <v>27</v>
      </c>
      <c r="M35" s="179">
        <f t="shared" si="4"/>
        <v>791.38800000000003</v>
      </c>
      <c r="N35" s="179">
        <f t="shared" si="5"/>
        <v>94.991055456171807</v>
      </c>
      <c r="O35" s="179">
        <f t="shared" si="6"/>
        <v>13.620944543828159</v>
      </c>
      <c r="P35" s="184">
        <f t="shared" si="7"/>
        <v>1.5134382826475732E-2</v>
      </c>
      <c r="Q35" s="179">
        <f t="shared" si="8"/>
        <v>900</v>
      </c>
      <c r="R35" s="182"/>
      <c r="S35" s="182"/>
      <c r="T35" s="182"/>
      <c r="U35" s="182"/>
      <c r="V35" s="182"/>
      <c r="W35" s="182"/>
      <c r="X35" s="182"/>
      <c r="Y35" s="182"/>
      <c r="Z35" s="182"/>
      <c r="AA35" s="182"/>
    </row>
    <row r="36" spans="1:27" ht="14.4" hidden="1">
      <c r="A36" s="69"/>
      <c r="B36" s="69" t="s">
        <v>552</v>
      </c>
      <c r="C36" s="249" t="s">
        <v>553</v>
      </c>
      <c r="D36" s="44" t="s">
        <v>554</v>
      </c>
      <c r="E36" s="69" t="s">
        <v>314</v>
      </c>
      <c r="F36" s="69" t="s">
        <v>437</v>
      </c>
      <c r="G36" s="205">
        <f>VLOOKUP(B36,'Margin Calculation'!F:Y,20,0)</f>
        <v>320.9787</v>
      </c>
      <c r="H36" s="205">
        <f>VLOOKUP(B36,'Margin Calculation'!F:Z,21,0)</f>
        <v>378.75486599999999</v>
      </c>
      <c r="I36" s="182" t="e">
        <f t="shared" si="0"/>
        <v>#N/A</v>
      </c>
      <c r="J36" s="182" t="e">
        <f t="shared" si="1"/>
        <v>#N/A</v>
      </c>
      <c r="K36" s="182" t="e">
        <f t="shared" si="2"/>
        <v>#N/A</v>
      </c>
      <c r="L36" s="182" t="e">
        <f t="shared" si="3"/>
        <v>#N/A</v>
      </c>
      <c r="M36" s="182" t="e">
        <f t="shared" si="4"/>
        <v>#N/A</v>
      </c>
      <c r="N36" s="182" t="e">
        <f t="shared" si="5"/>
        <v>#N/A</v>
      </c>
      <c r="O36" s="182" t="e">
        <f t="shared" si="6"/>
        <v>#N/A</v>
      </c>
      <c r="P36" s="184" t="e">
        <f t="shared" si="7"/>
        <v>#N/A</v>
      </c>
      <c r="Q36" s="182" t="e">
        <f t="shared" si="8"/>
        <v>#N/A</v>
      </c>
      <c r="R36" s="182"/>
      <c r="S36" s="182"/>
      <c r="T36" s="182"/>
      <c r="U36" s="182"/>
      <c r="V36" s="182"/>
      <c r="W36" s="182"/>
      <c r="X36" s="182"/>
      <c r="Y36" s="182"/>
      <c r="Z36" s="182"/>
      <c r="AA36" s="182"/>
    </row>
    <row r="37" spans="1:27" ht="14.4" hidden="1">
      <c r="A37" s="44"/>
      <c r="B37" s="44" t="s">
        <v>557</v>
      </c>
      <c r="C37" s="44" t="s">
        <v>558</v>
      </c>
      <c r="D37" s="43" t="s">
        <v>559</v>
      </c>
      <c r="E37" s="69" t="s">
        <v>304</v>
      </c>
      <c r="F37" s="69" t="s">
        <v>304</v>
      </c>
      <c r="G37" s="205">
        <f>VLOOKUP(B37,'Margin Calculation'!F:Y,20,0)</f>
        <v>447.18074999999999</v>
      </c>
      <c r="H37" s="205">
        <f>VLOOKUP(B37,'Margin Calculation'!F:Z,21,0)</f>
        <v>527.67328499999996</v>
      </c>
      <c r="I37" s="182" t="e">
        <f t="shared" si="0"/>
        <v>#N/A</v>
      </c>
      <c r="J37" s="182" t="e">
        <f t="shared" si="1"/>
        <v>#N/A</v>
      </c>
      <c r="K37" s="182" t="e">
        <f t="shared" si="2"/>
        <v>#N/A</v>
      </c>
      <c r="L37" s="182" t="e">
        <f t="shared" si="3"/>
        <v>#N/A</v>
      </c>
      <c r="M37" s="182" t="e">
        <f t="shared" si="4"/>
        <v>#N/A</v>
      </c>
      <c r="N37" s="182" t="e">
        <f t="shared" si="5"/>
        <v>#N/A</v>
      </c>
      <c r="O37" s="182" t="e">
        <f t="shared" si="6"/>
        <v>#N/A</v>
      </c>
      <c r="P37" s="184" t="e">
        <f t="shared" si="7"/>
        <v>#N/A</v>
      </c>
      <c r="Q37" s="182" t="e">
        <f t="shared" si="8"/>
        <v>#N/A</v>
      </c>
      <c r="R37" s="182"/>
      <c r="S37" s="182"/>
      <c r="T37" s="182"/>
      <c r="U37" s="182"/>
      <c r="V37" s="182"/>
      <c r="W37" s="182"/>
      <c r="X37" s="182"/>
      <c r="Y37" s="182"/>
      <c r="Z37" s="182"/>
      <c r="AA37" s="182"/>
    </row>
    <row r="38" spans="1:27" ht="14.4">
      <c r="A38" s="44" t="s">
        <v>934</v>
      </c>
      <c r="B38" s="44" t="s">
        <v>562</v>
      </c>
      <c r="C38" s="75" t="s">
        <v>563</v>
      </c>
      <c r="D38" s="43" t="s">
        <v>564</v>
      </c>
      <c r="E38" s="69" t="s">
        <v>314</v>
      </c>
      <c r="F38" s="69" t="s">
        <v>315</v>
      </c>
      <c r="G38" s="205">
        <f>VLOOKUP(B38,'Margin Calculation'!F:Y,20,0)</f>
        <v>577.89936</v>
      </c>
      <c r="H38" s="205">
        <f>VLOOKUP(B38,'Margin Calculation'!F:Z,21,0)</f>
        <v>681.92124479999995</v>
      </c>
      <c r="I38" s="179">
        <f t="shared" si="0"/>
        <v>19.5</v>
      </c>
      <c r="J38" s="179">
        <f t="shared" si="1"/>
        <v>97.5</v>
      </c>
      <c r="K38" s="179">
        <f t="shared" si="2"/>
        <v>48.75</v>
      </c>
      <c r="L38" s="179">
        <f t="shared" si="3"/>
        <v>29.25</v>
      </c>
      <c r="M38" s="179">
        <f t="shared" si="4"/>
        <v>772.89936</v>
      </c>
      <c r="N38" s="179">
        <f t="shared" si="5"/>
        <v>102.90697674418618</v>
      </c>
      <c r="O38" s="179">
        <f t="shared" si="6"/>
        <v>99.193663255813817</v>
      </c>
      <c r="P38" s="184">
        <f t="shared" si="7"/>
        <v>0.10173709051878341</v>
      </c>
      <c r="Q38" s="179">
        <f t="shared" si="8"/>
        <v>975</v>
      </c>
      <c r="R38" s="182"/>
      <c r="S38" s="182"/>
      <c r="T38" s="182"/>
      <c r="U38" s="182"/>
      <c r="V38" s="182"/>
      <c r="W38" s="182"/>
      <c r="X38" s="182"/>
      <c r="Y38" s="182"/>
      <c r="Z38" s="182"/>
      <c r="AA38" s="182"/>
    </row>
    <row r="39" spans="1:27" ht="14.4">
      <c r="A39" s="44" t="s">
        <v>934</v>
      </c>
      <c r="B39" s="44" t="s">
        <v>570</v>
      </c>
      <c r="C39" s="75" t="s">
        <v>571</v>
      </c>
      <c r="D39" s="43" t="s">
        <v>572</v>
      </c>
      <c r="E39" s="69" t="s">
        <v>314</v>
      </c>
      <c r="F39" s="69" t="s">
        <v>437</v>
      </c>
      <c r="G39" s="205">
        <f>VLOOKUP(B39,'Margin Calculation'!F:Y,20,0)</f>
        <v>744.77340000000015</v>
      </c>
      <c r="H39" s="205">
        <f>VLOOKUP(B39,'Margin Calculation'!F:Z,21,0)</f>
        <v>878.83261200000015</v>
      </c>
      <c r="I39" s="179">
        <f t="shared" si="0"/>
        <v>30</v>
      </c>
      <c r="J39" s="179">
        <f t="shared" si="1"/>
        <v>150</v>
      </c>
      <c r="K39" s="179">
        <f t="shared" si="2"/>
        <v>75</v>
      </c>
      <c r="L39" s="179">
        <f t="shared" si="3"/>
        <v>45</v>
      </c>
      <c r="M39" s="179">
        <f t="shared" si="4"/>
        <v>1044.7734</v>
      </c>
      <c r="N39" s="179">
        <f t="shared" si="5"/>
        <v>158.31842576028635</v>
      </c>
      <c r="O39" s="179">
        <f t="shared" si="6"/>
        <v>296.90817423971362</v>
      </c>
      <c r="P39" s="184">
        <f t="shared" si="7"/>
        <v>0.19793878282647576</v>
      </c>
      <c r="Q39" s="179">
        <f t="shared" si="8"/>
        <v>1500</v>
      </c>
      <c r="R39" s="182"/>
      <c r="S39" s="182"/>
      <c r="T39" s="182"/>
      <c r="U39" s="182"/>
      <c r="V39" s="182"/>
      <c r="W39" s="182"/>
      <c r="X39" s="182"/>
      <c r="Y39" s="182"/>
      <c r="Z39" s="182"/>
      <c r="AA39" s="182"/>
    </row>
    <row r="40" spans="1:27" ht="14.4" hidden="1">
      <c r="A40" s="44"/>
      <c r="B40" s="44" t="s">
        <v>575</v>
      </c>
      <c r="C40" s="75" t="s">
        <v>576</v>
      </c>
      <c r="D40" s="43" t="s">
        <v>577</v>
      </c>
      <c r="E40" s="69" t="s">
        <v>314</v>
      </c>
      <c r="F40" s="69" t="s">
        <v>465</v>
      </c>
      <c r="G40" s="205">
        <f>VLOOKUP(B40,'Margin Calculation'!F:Y,20,0)</f>
        <v>710.05464000000006</v>
      </c>
      <c r="H40" s="205">
        <f>VLOOKUP(B40,'Margin Calculation'!F:Z,21,0)</f>
        <v>837.86447520000002</v>
      </c>
      <c r="I40" s="182" t="e">
        <f t="shared" si="0"/>
        <v>#N/A</v>
      </c>
      <c r="J40" s="182" t="e">
        <f t="shared" si="1"/>
        <v>#N/A</v>
      </c>
      <c r="K40" s="182" t="e">
        <f t="shared" si="2"/>
        <v>#N/A</v>
      </c>
      <c r="L40" s="182" t="e">
        <f t="shared" si="3"/>
        <v>#N/A</v>
      </c>
      <c r="M40" s="182" t="e">
        <f t="shared" si="4"/>
        <v>#N/A</v>
      </c>
      <c r="N40" s="182" t="e">
        <f t="shared" si="5"/>
        <v>#N/A</v>
      </c>
      <c r="O40" s="182" t="e">
        <f t="shared" si="6"/>
        <v>#N/A</v>
      </c>
      <c r="P40" s="184" t="e">
        <f t="shared" si="7"/>
        <v>#N/A</v>
      </c>
      <c r="Q40" s="182" t="e">
        <f t="shared" si="8"/>
        <v>#N/A</v>
      </c>
      <c r="R40" s="182"/>
      <c r="S40" s="182"/>
      <c r="T40" s="182"/>
      <c r="U40" s="182"/>
      <c r="V40" s="182"/>
      <c r="W40" s="182"/>
      <c r="X40" s="182"/>
      <c r="Y40" s="182"/>
      <c r="Z40" s="182"/>
      <c r="AA40" s="182"/>
    </row>
    <row r="41" spans="1:27" ht="14.4">
      <c r="A41" s="44" t="s">
        <v>934</v>
      </c>
      <c r="B41" s="44" t="s">
        <v>580</v>
      </c>
      <c r="C41" s="75" t="s">
        <v>581</v>
      </c>
      <c r="D41" s="43" t="s">
        <v>582</v>
      </c>
      <c r="E41" s="69" t="s">
        <v>314</v>
      </c>
      <c r="F41" s="69" t="s">
        <v>465</v>
      </c>
      <c r="G41" s="205">
        <f>VLOOKUP(B41,'Margin Calculation'!F:Y,20,0)</f>
        <v>827.65044</v>
      </c>
      <c r="H41" s="205">
        <f>VLOOKUP(B41,'Margin Calculation'!F:Z,21,0)</f>
        <v>976.62751919999994</v>
      </c>
      <c r="I41" s="179">
        <f t="shared" si="0"/>
        <v>45</v>
      </c>
      <c r="J41" s="179">
        <f t="shared" si="1"/>
        <v>225</v>
      </c>
      <c r="K41" s="179">
        <f t="shared" si="2"/>
        <v>112.5</v>
      </c>
      <c r="L41" s="179">
        <f t="shared" si="3"/>
        <v>67.5</v>
      </c>
      <c r="M41" s="179">
        <f t="shared" si="4"/>
        <v>1277.6504399999999</v>
      </c>
      <c r="N41" s="179">
        <f t="shared" si="5"/>
        <v>237.47763864042963</v>
      </c>
      <c r="O41" s="179">
        <f t="shared" si="6"/>
        <v>734.87192135957048</v>
      </c>
      <c r="P41" s="184">
        <f t="shared" si="7"/>
        <v>0.32660974282647576</v>
      </c>
      <c r="Q41" s="179">
        <f t="shared" si="8"/>
        <v>2250</v>
      </c>
      <c r="R41" s="182"/>
      <c r="S41" s="182"/>
      <c r="T41" s="182"/>
      <c r="U41" s="182"/>
      <c r="V41" s="182"/>
      <c r="W41" s="182"/>
      <c r="X41" s="182"/>
      <c r="Y41" s="182"/>
      <c r="Z41" s="182"/>
      <c r="AA41" s="182"/>
    </row>
    <row r="42" spans="1:27" ht="14.4" hidden="1">
      <c r="A42" s="44"/>
      <c r="B42" s="44" t="s">
        <v>584</v>
      </c>
      <c r="C42" s="75" t="s">
        <v>585</v>
      </c>
      <c r="D42" s="43" t="s">
        <v>586</v>
      </c>
      <c r="E42" s="69" t="s">
        <v>234</v>
      </c>
      <c r="F42" s="69" t="s">
        <v>249</v>
      </c>
      <c r="G42" s="205">
        <f>VLOOKUP(B42,'Margin Calculation'!F:Y,20,0)</f>
        <v>1151.4474000000002</v>
      </c>
      <c r="H42" s="205">
        <f>VLOOKUP(B42,'Margin Calculation'!F:Z,21,0)</f>
        <v>1358.7079320000003</v>
      </c>
      <c r="I42" s="182" t="e">
        <f t="shared" si="0"/>
        <v>#N/A</v>
      </c>
      <c r="J42" s="182" t="e">
        <f t="shared" si="1"/>
        <v>#N/A</v>
      </c>
      <c r="K42" s="182" t="e">
        <f t="shared" si="2"/>
        <v>#N/A</v>
      </c>
      <c r="L42" s="182" t="e">
        <f t="shared" si="3"/>
        <v>#N/A</v>
      </c>
      <c r="M42" s="182" t="e">
        <f t="shared" si="4"/>
        <v>#N/A</v>
      </c>
      <c r="N42" s="182" t="e">
        <f t="shared" si="5"/>
        <v>#N/A</v>
      </c>
      <c r="O42" s="182" t="e">
        <f t="shared" si="6"/>
        <v>#N/A</v>
      </c>
      <c r="P42" s="184" t="e">
        <f t="shared" si="7"/>
        <v>#N/A</v>
      </c>
      <c r="Q42" s="182" t="e">
        <f t="shared" si="8"/>
        <v>#N/A</v>
      </c>
      <c r="R42" s="182"/>
      <c r="S42" s="182"/>
      <c r="T42" s="182"/>
      <c r="U42" s="182"/>
      <c r="V42" s="182"/>
      <c r="W42" s="182"/>
      <c r="X42" s="182"/>
      <c r="Y42" s="182"/>
      <c r="Z42" s="182"/>
      <c r="AA42" s="182"/>
    </row>
    <row r="43" spans="1:27" ht="14.4" hidden="1">
      <c r="A43" s="44"/>
      <c r="B43" s="44" t="s">
        <v>589</v>
      </c>
      <c r="C43" s="75" t="s">
        <v>590</v>
      </c>
      <c r="D43" s="43" t="s">
        <v>591</v>
      </c>
      <c r="E43" s="69" t="s">
        <v>314</v>
      </c>
      <c r="F43" s="69" t="s">
        <v>437</v>
      </c>
      <c r="G43" s="205">
        <f>VLOOKUP(B43,'Margin Calculation'!F:Y,20,0)</f>
        <v>540.05939999999998</v>
      </c>
      <c r="H43" s="205">
        <f>VLOOKUP(B43,'Margin Calculation'!F:Z,21,0)</f>
        <v>637.27009199999998</v>
      </c>
      <c r="I43" s="182" t="e">
        <f t="shared" si="0"/>
        <v>#N/A</v>
      </c>
      <c r="J43" s="182" t="e">
        <f t="shared" si="1"/>
        <v>#N/A</v>
      </c>
      <c r="K43" s="182" t="e">
        <f t="shared" si="2"/>
        <v>#N/A</v>
      </c>
      <c r="L43" s="182" t="e">
        <f t="shared" si="3"/>
        <v>#N/A</v>
      </c>
      <c r="M43" s="182" t="e">
        <f t="shared" si="4"/>
        <v>#N/A</v>
      </c>
      <c r="N43" s="182" t="e">
        <f t="shared" si="5"/>
        <v>#N/A</v>
      </c>
      <c r="O43" s="182" t="e">
        <f t="shared" si="6"/>
        <v>#N/A</v>
      </c>
      <c r="P43" s="184" t="e">
        <f t="shared" si="7"/>
        <v>#N/A</v>
      </c>
      <c r="Q43" s="182" t="e">
        <f t="shared" si="8"/>
        <v>#N/A</v>
      </c>
      <c r="R43" s="182"/>
      <c r="S43" s="182"/>
      <c r="T43" s="182"/>
      <c r="U43" s="182"/>
      <c r="V43" s="182"/>
      <c r="W43" s="182"/>
      <c r="X43" s="182"/>
      <c r="Y43" s="182"/>
      <c r="Z43" s="182"/>
      <c r="AA43" s="182"/>
    </row>
    <row r="44" spans="1:27" ht="14.4" hidden="1">
      <c r="A44" s="44"/>
      <c r="B44" s="44" t="s">
        <v>594</v>
      </c>
      <c r="C44" s="75" t="s">
        <v>595</v>
      </c>
      <c r="D44" s="43" t="s">
        <v>596</v>
      </c>
      <c r="E44" s="69" t="s">
        <v>314</v>
      </c>
      <c r="F44" s="69" t="s">
        <v>437</v>
      </c>
      <c r="G44" s="205">
        <f>VLOOKUP(B44,'Margin Calculation'!F:Y,20,0)</f>
        <v>864.54944999999998</v>
      </c>
      <c r="H44" s="205">
        <f>VLOOKUP(B44,'Margin Calculation'!F:Z,21,0)</f>
        <v>1020.1683509999999</v>
      </c>
      <c r="I44" s="182" t="e">
        <f t="shared" si="0"/>
        <v>#N/A</v>
      </c>
      <c r="J44" s="182" t="e">
        <f t="shared" si="1"/>
        <v>#N/A</v>
      </c>
      <c r="K44" s="182" t="e">
        <f t="shared" si="2"/>
        <v>#N/A</v>
      </c>
      <c r="L44" s="182" t="e">
        <f t="shared" si="3"/>
        <v>#N/A</v>
      </c>
      <c r="M44" s="182" t="e">
        <f t="shared" si="4"/>
        <v>#N/A</v>
      </c>
      <c r="N44" s="182" t="e">
        <f t="shared" si="5"/>
        <v>#N/A</v>
      </c>
      <c r="O44" s="182" t="e">
        <f t="shared" si="6"/>
        <v>#N/A</v>
      </c>
      <c r="P44" s="184" t="e">
        <f t="shared" si="7"/>
        <v>#N/A</v>
      </c>
      <c r="Q44" s="182" t="e">
        <f t="shared" si="8"/>
        <v>#N/A</v>
      </c>
      <c r="R44" s="182"/>
      <c r="S44" s="182"/>
      <c r="T44" s="182"/>
      <c r="U44" s="182"/>
      <c r="V44" s="182"/>
      <c r="W44" s="182"/>
      <c r="X44" s="182"/>
      <c r="Y44" s="182"/>
      <c r="Z44" s="182"/>
      <c r="AA44" s="182"/>
    </row>
    <row r="45" spans="1:27" ht="14.4">
      <c r="A45" s="44" t="s">
        <v>934</v>
      </c>
      <c r="B45" s="44" t="s">
        <v>599</v>
      </c>
      <c r="C45" s="75" t="s">
        <v>600</v>
      </c>
      <c r="D45" s="43" t="s">
        <v>601</v>
      </c>
      <c r="E45" s="69" t="s">
        <v>234</v>
      </c>
      <c r="F45" s="69" t="s">
        <v>249</v>
      </c>
      <c r="G45" s="205">
        <f>VLOOKUP(B45,'Margin Calculation'!F:Y,20,0)</f>
        <v>845.75340000000006</v>
      </c>
      <c r="H45" s="205">
        <f>VLOOKUP(B45,'Margin Calculation'!F:Z,21,0)</f>
        <v>997.989012</v>
      </c>
      <c r="I45" s="179">
        <f t="shared" si="0"/>
        <v>33</v>
      </c>
      <c r="J45" s="179">
        <f t="shared" si="1"/>
        <v>165</v>
      </c>
      <c r="K45" s="179">
        <f t="shared" si="2"/>
        <v>82.5</v>
      </c>
      <c r="L45" s="179">
        <f t="shared" si="3"/>
        <v>49.5</v>
      </c>
      <c r="M45" s="179">
        <f t="shared" si="4"/>
        <v>1175.7534000000001</v>
      </c>
      <c r="N45" s="179">
        <f t="shared" si="5"/>
        <v>174.15026833631509</v>
      </c>
      <c r="O45" s="179">
        <f t="shared" si="6"/>
        <v>300.09633166368485</v>
      </c>
      <c r="P45" s="184">
        <f t="shared" si="7"/>
        <v>0.18187656464465748</v>
      </c>
      <c r="Q45" s="179">
        <f t="shared" si="8"/>
        <v>1650</v>
      </c>
      <c r="R45" s="182"/>
      <c r="S45" s="182"/>
      <c r="T45" s="182"/>
      <c r="U45" s="182"/>
      <c r="V45" s="182"/>
      <c r="W45" s="182"/>
      <c r="X45" s="182"/>
      <c r="Y45" s="182"/>
      <c r="Z45" s="182"/>
      <c r="AA45" s="182"/>
    </row>
    <row r="46" spans="1:27" ht="14.4" hidden="1">
      <c r="A46" s="44"/>
      <c r="B46" s="44" t="s">
        <v>603</v>
      </c>
      <c r="C46" s="75" t="s">
        <v>604</v>
      </c>
      <c r="D46" s="43" t="s">
        <v>605</v>
      </c>
      <c r="E46" s="69" t="s">
        <v>234</v>
      </c>
      <c r="F46" s="69" t="s">
        <v>249</v>
      </c>
      <c r="G46" s="205">
        <f>VLOOKUP(B46,'Margin Calculation'!F:Y,20,0)</f>
        <v>1040.4428399999999</v>
      </c>
      <c r="H46" s="205">
        <f>VLOOKUP(B46,'Margin Calculation'!F:Z,21,0)</f>
        <v>1227.7225511999998</v>
      </c>
      <c r="I46" s="182" t="e">
        <f t="shared" si="0"/>
        <v>#N/A</v>
      </c>
      <c r="J46" s="182" t="e">
        <f t="shared" si="1"/>
        <v>#N/A</v>
      </c>
      <c r="K46" s="182" t="e">
        <f t="shared" si="2"/>
        <v>#N/A</v>
      </c>
      <c r="L46" s="182" t="e">
        <f t="shared" si="3"/>
        <v>#N/A</v>
      </c>
      <c r="M46" s="182" t="e">
        <f t="shared" si="4"/>
        <v>#N/A</v>
      </c>
      <c r="N46" s="182" t="e">
        <f t="shared" si="5"/>
        <v>#N/A</v>
      </c>
      <c r="O46" s="182" t="e">
        <f t="shared" si="6"/>
        <v>#N/A</v>
      </c>
      <c r="P46" s="184" t="e">
        <f t="shared" si="7"/>
        <v>#N/A</v>
      </c>
      <c r="Q46" s="182" t="e">
        <f t="shared" si="8"/>
        <v>#N/A</v>
      </c>
      <c r="R46" s="182"/>
      <c r="S46" s="182"/>
      <c r="T46" s="182"/>
      <c r="U46" s="182"/>
      <c r="V46" s="182"/>
      <c r="W46" s="182"/>
      <c r="X46" s="182"/>
      <c r="Y46" s="182"/>
      <c r="Z46" s="182"/>
      <c r="AA46" s="182"/>
    </row>
    <row r="47" spans="1:27" ht="14.4" hidden="1">
      <c r="A47" s="44"/>
      <c r="B47" s="44" t="s">
        <v>608</v>
      </c>
      <c r="C47" s="44" t="s">
        <v>609</v>
      </c>
      <c r="D47" s="43" t="s">
        <v>610</v>
      </c>
      <c r="E47" s="69" t="s">
        <v>234</v>
      </c>
      <c r="F47" s="69" t="s">
        <v>249</v>
      </c>
      <c r="G47" s="205">
        <f>VLOOKUP(B47,'Margin Calculation'!F:Y,20,0)</f>
        <v>1205.0769600000001</v>
      </c>
      <c r="H47" s="205">
        <f>VLOOKUP(B47,'Margin Calculation'!F:Z,21,0)</f>
        <v>1421.9908128</v>
      </c>
      <c r="I47" s="182" t="e">
        <f t="shared" si="0"/>
        <v>#N/A</v>
      </c>
      <c r="J47" s="182" t="e">
        <f t="shared" si="1"/>
        <v>#N/A</v>
      </c>
      <c r="K47" s="182" t="e">
        <f t="shared" si="2"/>
        <v>#N/A</v>
      </c>
      <c r="L47" s="182" t="e">
        <f t="shared" si="3"/>
        <v>#N/A</v>
      </c>
      <c r="M47" s="182" t="e">
        <f t="shared" si="4"/>
        <v>#N/A</v>
      </c>
      <c r="N47" s="182" t="e">
        <f t="shared" si="5"/>
        <v>#N/A</v>
      </c>
      <c r="O47" s="182" t="e">
        <f t="shared" si="6"/>
        <v>#N/A</v>
      </c>
      <c r="P47" s="184" t="e">
        <f t="shared" si="7"/>
        <v>#N/A</v>
      </c>
      <c r="Q47" s="182" t="e">
        <f t="shared" si="8"/>
        <v>#N/A</v>
      </c>
      <c r="R47" s="182"/>
      <c r="S47" s="182"/>
      <c r="T47" s="182"/>
      <c r="U47" s="182"/>
      <c r="V47" s="182"/>
      <c r="W47" s="182"/>
      <c r="X47" s="182"/>
      <c r="Y47" s="182"/>
      <c r="Z47" s="182"/>
      <c r="AA47" s="182"/>
    </row>
    <row r="48" spans="1:27" ht="14.4" hidden="1">
      <c r="A48" s="44"/>
      <c r="B48" s="44" t="s">
        <v>615</v>
      </c>
      <c r="C48" s="44" t="s">
        <v>616</v>
      </c>
      <c r="D48" s="43" t="s">
        <v>617</v>
      </c>
      <c r="E48" s="69" t="s">
        <v>314</v>
      </c>
      <c r="F48" s="69" t="s">
        <v>618</v>
      </c>
      <c r="G48" s="205">
        <f>VLOOKUP(B48,'Margin Calculation'!F:Y,20,0)</f>
        <v>478.92060000000009</v>
      </c>
      <c r="H48" s="205">
        <f>VLOOKUP(B48,'Margin Calculation'!F:Z,21,0)</f>
        <v>536.39107200000012</v>
      </c>
      <c r="I48" s="182" t="e">
        <f t="shared" si="0"/>
        <v>#N/A</v>
      </c>
      <c r="J48" s="182" t="e">
        <f t="shared" si="1"/>
        <v>#N/A</v>
      </c>
      <c r="K48" s="182" t="e">
        <f t="shared" si="2"/>
        <v>#N/A</v>
      </c>
      <c r="L48" s="182" t="e">
        <f t="shared" si="3"/>
        <v>#N/A</v>
      </c>
      <c r="M48" s="182" t="e">
        <f t="shared" si="4"/>
        <v>#N/A</v>
      </c>
      <c r="N48" s="182" t="e">
        <f t="shared" si="5"/>
        <v>#N/A</v>
      </c>
      <c r="O48" s="182" t="e">
        <f t="shared" si="6"/>
        <v>#N/A</v>
      </c>
      <c r="P48" s="184" t="e">
        <f t="shared" si="7"/>
        <v>#N/A</v>
      </c>
      <c r="Q48" s="182" t="e">
        <f t="shared" si="8"/>
        <v>#N/A</v>
      </c>
      <c r="R48" s="182"/>
      <c r="S48" s="182"/>
      <c r="T48" s="182"/>
      <c r="U48" s="182"/>
      <c r="V48" s="182"/>
      <c r="W48" s="182"/>
      <c r="X48" s="182"/>
      <c r="Y48" s="182"/>
      <c r="Z48" s="182"/>
      <c r="AA48" s="182"/>
    </row>
    <row r="49" spans="1:27" ht="14.4">
      <c r="A49" s="44" t="s">
        <v>934</v>
      </c>
      <c r="B49" s="44" t="s">
        <v>621</v>
      </c>
      <c r="C49" s="44" t="s">
        <v>622</v>
      </c>
      <c r="D49" s="43" t="s">
        <v>623</v>
      </c>
      <c r="E49" s="69" t="s">
        <v>314</v>
      </c>
      <c r="F49" s="69" t="s">
        <v>618</v>
      </c>
      <c r="G49" s="205">
        <f>VLOOKUP(B49,'Margin Calculation'!F:Y,20,0)</f>
        <v>478.92060000000009</v>
      </c>
      <c r="H49" s="205">
        <f>VLOOKUP(B49,'Margin Calculation'!F:Z,21,0)</f>
        <v>536.39107200000012</v>
      </c>
      <c r="I49" s="179">
        <f t="shared" si="0"/>
        <v>22.5</v>
      </c>
      <c r="J49" s="179">
        <f t="shared" si="1"/>
        <v>112.5</v>
      </c>
      <c r="K49" s="179">
        <f t="shared" si="2"/>
        <v>56.25</v>
      </c>
      <c r="L49" s="179">
        <f t="shared" si="3"/>
        <v>33.75</v>
      </c>
      <c r="M49" s="179">
        <f t="shared" si="4"/>
        <v>703.92060000000015</v>
      </c>
      <c r="N49" s="179">
        <f t="shared" si="5"/>
        <v>118.73881932021482</v>
      </c>
      <c r="O49" s="179">
        <f t="shared" si="6"/>
        <v>302.34058067978503</v>
      </c>
      <c r="P49" s="184">
        <f t="shared" si="7"/>
        <v>0.26874718282647558</v>
      </c>
      <c r="Q49" s="179">
        <f t="shared" si="8"/>
        <v>1125</v>
      </c>
      <c r="R49" s="182"/>
      <c r="S49" s="182"/>
      <c r="T49" s="182"/>
      <c r="U49" s="182"/>
      <c r="V49" s="182"/>
      <c r="W49" s="182"/>
      <c r="X49" s="182"/>
      <c r="Y49" s="182"/>
      <c r="Z49" s="182"/>
      <c r="AA49" s="182"/>
    </row>
    <row r="50" spans="1:27" ht="14.4" hidden="1">
      <c r="A50" s="44"/>
      <c r="B50" s="44" t="s">
        <v>625</v>
      </c>
      <c r="C50" s="75" t="s">
        <v>626</v>
      </c>
      <c r="D50" s="43" t="s">
        <v>627</v>
      </c>
      <c r="E50" s="69" t="s">
        <v>628</v>
      </c>
      <c r="F50" s="69" t="s">
        <v>629</v>
      </c>
      <c r="G50" s="205">
        <f>VLOOKUP(B50,'Margin Calculation'!F:Y,20,0)</f>
        <v>1063.2964499999998</v>
      </c>
      <c r="H50" s="205">
        <f>VLOOKUP(B50,'Margin Calculation'!F:Z,21,0)</f>
        <v>1254.6898109999997</v>
      </c>
      <c r="I50" s="182" t="e">
        <f t="shared" si="0"/>
        <v>#N/A</v>
      </c>
      <c r="J50" s="182" t="e">
        <f t="shared" si="1"/>
        <v>#N/A</v>
      </c>
      <c r="K50" s="182" t="e">
        <f t="shared" si="2"/>
        <v>#N/A</v>
      </c>
      <c r="L50" s="182" t="e">
        <f t="shared" si="3"/>
        <v>#N/A</v>
      </c>
      <c r="M50" s="182" t="e">
        <f t="shared" si="4"/>
        <v>#N/A</v>
      </c>
      <c r="N50" s="182" t="e">
        <f t="shared" si="5"/>
        <v>#N/A</v>
      </c>
      <c r="O50" s="182" t="e">
        <f t="shared" si="6"/>
        <v>#N/A</v>
      </c>
      <c r="P50" s="184" t="e">
        <f t="shared" si="7"/>
        <v>#N/A</v>
      </c>
      <c r="Q50" s="182" t="e">
        <f t="shared" si="8"/>
        <v>#N/A</v>
      </c>
      <c r="R50" s="182"/>
      <c r="S50" s="182"/>
      <c r="T50" s="182"/>
      <c r="U50" s="182"/>
      <c r="V50" s="182"/>
      <c r="W50" s="182"/>
      <c r="X50" s="182"/>
      <c r="Y50" s="182"/>
      <c r="Z50" s="182"/>
      <c r="AA50" s="182"/>
    </row>
    <row r="51" spans="1:27" ht="14.4">
      <c r="A51" s="44" t="s">
        <v>934</v>
      </c>
      <c r="B51" s="44" t="s">
        <v>632</v>
      </c>
      <c r="C51" s="75" t="s">
        <v>633</v>
      </c>
      <c r="D51" s="43" t="s">
        <v>634</v>
      </c>
      <c r="E51" s="69" t="s">
        <v>314</v>
      </c>
      <c r="F51" s="69" t="s">
        <v>444</v>
      </c>
      <c r="G51" s="205">
        <f>VLOOKUP(B51,'Margin Calculation'!F:Y,20,0)</f>
        <v>414.3852</v>
      </c>
      <c r="H51" s="205">
        <f>VLOOKUP(B51,'Margin Calculation'!F:Z,21,0)</f>
        <v>488.97453599999994</v>
      </c>
      <c r="I51" s="179">
        <f t="shared" si="0"/>
        <v>18</v>
      </c>
      <c r="J51" s="179">
        <f t="shared" si="1"/>
        <v>90</v>
      </c>
      <c r="K51" s="179">
        <f t="shared" si="2"/>
        <v>45</v>
      </c>
      <c r="L51" s="179">
        <f t="shared" si="3"/>
        <v>27</v>
      </c>
      <c r="M51" s="179">
        <f t="shared" si="4"/>
        <v>594.38519999999994</v>
      </c>
      <c r="N51" s="179">
        <f t="shared" si="5"/>
        <v>94.991055456171807</v>
      </c>
      <c r="O51" s="179">
        <f t="shared" si="6"/>
        <v>210.62374454382825</v>
      </c>
      <c r="P51" s="184">
        <f t="shared" si="7"/>
        <v>0.23402638282647584</v>
      </c>
      <c r="Q51" s="179">
        <f t="shared" si="8"/>
        <v>900</v>
      </c>
      <c r="R51" s="182"/>
      <c r="S51" s="182"/>
      <c r="T51" s="182"/>
      <c r="U51" s="182"/>
      <c r="V51" s="182"/>
      <c r="W51" s="182"/>
      <c r="X51" s="182"/>
      <c r="Y51" s="182"/>
      <c r="Z51" s="182"/>
      <c r="AA51" s="182"/>
    </row>
    <row r="52" spans="1:27" ht="14.4" hidden="1">
      <c r="A52" s="44"/>
      <c r="B52" s="44" t="s">
        <v>947</v>
      </c>
      <c r="C52" s="75" t="s">
        <v>938</v>
      </c>
      <c r="D52" s="43" t="s">
        <v>639</v>
      </c>
      <c r="E52" s="43" t="s">
        <v>249</v>
      </c>
      <c r="F52" s="43"/>
      <c r="G52" s="182" t="e">
        <f>VLOOKUP(B52,'Margin Calculation'!F:Y,20,0)</f>
        <v>#N/A</v>
      </c>
      <c r="H52" s="182" t="e">
        <f>VLOOKUP(B52,'Margin Calculation'!F:Z,21,0)</f>
        <v>#N/A</v>
      </c>
      <c r="I52" s="182" t="e">
        <f t="shared" si="0"/>
        <v>#N/A</v>
      </c>
      <c r="J52" s="182" t="e">
        <f t="shared" si="1"/>
        <v>#N/A</v>
      </c>
      <c r="K52" s="182" t="e">
        <f t="shared" si="2"/>
        <v>#N/A</v>
      </c>
      <c r="L52" s="182" t="e">
        <f t="shared" si="3"/>
        <v>#N/A</v>
      </c>
      <c r="M52" s="182" t="e">
        <f t="shared" si="4"/>
        <v>#N/A</v>
      </c>
      <c r="N52" s="182" t="e">
        <f t="shared" si="5"/>
        <v>#N/A</v>
      </c>
      <c r="O52" s="182" t="e">
        <f t="shared" si="6"/>
        <v>#N/A</v>
      </c>
      <c r="P52" s="184" t="e">
        <f t="shared" si="7"/>
        <v>#N/A</v>
      </c>
      <c r="Q52" s="182" t="e">
        <f t="shared" si="8"/>
        <v>#N/A</v>
      </c>
      <c r="R52" s="182"/>
      <c r="S52" s="182"/>
      <c r="T52" s="182"/>
      <c r="U52" s="182"/>
      <c r="V52" s="182"/>
      <c r="W52" s="182"/>
      <c r="X52" s="182"/>
      <c r="Y52" s="182"/>
      <c r="Z52" s="182"/>
      <c r="AA52" s="182"/>
    </row>
    <row r="53" spans="1:27" ht="14.4" hidden="1">
      <c r="A53" s="44"/>
      <c r="B53" s="44" t="s">
        <v>642</v>
      </c>
      <c r="C53" s="75" t="s">
        <v>643</v>
      </c>
      <c r="D53" s="43" t="s">
        <v>644</v>
      </c>
      <c r="E53" s="69" t="s">
        <v>314</v>
      </c>
      <c r="F53" s="69" t="s">
        <v>437</v>
      </c>
      <c r="G53" s="205">
        <f>VLOOKUP(B53,'Margin Calculation'!F:Y,20,0)</f>
        <v>509.48999999999995</v>
      </c>
      <c r="H53" s="205">
        <f>VLOOKUP(B53,'Margin Calculation'!F:Z,21,0)</f>
        <v>601.19819999999993</v>
      </c>
      <c r="I53" s="182" t="e">
        <f t="shared" si="0"/>
        <v>#N/A</v>
      </c>
      <c r="J53" s="182" t="e">
        <f t="shared" si="1"/>
        <v>#N/A</v>
      </c>
      <c r="K53" s="182" t="e">
        <f t="shared" si="2"/>
        <v>#N/A</v>
      </c>
      <c r="L53" s="182" t="e">
        <f t="shared" si="3"/>
        <v>#N/A</v>
      </c>
      <c r="M53" s="182" t="e">
        <f t="shared" si="4"/>
        <v>#N/A</v>
      </c>
      <c r="N53" s="182" t="e">
        <f t="shared" si="5"/>
        <v>#N/A</v>
      </c>
      <c r="O53" s="182" t="e">
        <f t="shared" si="6"/>
        <v>#N/A</v>
      </c>
      <c r="P53" s="184" t="e">
        <f t="shared" si="7"/>
        <v>#N/A</v>
      </c>
      <c r="Q53" s="182" t="e">
        <f t="shared" si="8"/>
        <v>#N/A</v>
      </c>
      <c r="R53" s="182"/>
      <c r="S53" s="182"/>
      <c r="T53" s="182"/>
      <c r="U53" s="182"/>
      <c r="V53" s="182"/>
      <c r="W53" s="182"/>
      <c r="X53" s="182"/>
      <c r="Y53" s="182"/>
      <c r="Z53" s="182"/>
      <c r="AA53" s="182"/>
    </row>
    <row r="54" spans="1:27" ht="14.4" hidden="1">
      <c r="A54" s="44"/>
      <c r="B54" s="44" t="s">
        <v>646</v>
      </c>
      <c r="C54" s="75" t="s">
        <v>647</v>
      </c>
      <c r="D54" s="43" t="s">
        <v>648</v>
      </c>
      <c r="E54" s="69" t="s">
        <v>628</v>
      </c>
      <c r="F54" s="69" t="s">
        <v>629</v>
      </c>
      <c r="G54" s="205">
        <f>VLOOKUP(B54,'Margin Calculation'!F:Y,20,0)</f>
        <v>695.61449999999991</v>
      </c>
      <c r="H54" s="205">
        <f>VLOOKUP(B54,'Margin Calculation'!F:Z,21,0)</f>
        <v>820.82510999999988</v>
      </c>
      <c r="I54" s="182" t="e">
        <f t="shared" si="0"/>
        <v>#N/A</v>
      </c>
      <c r="J54" s="182" t="e">
        <f t="shared" si="1"/>
        <v>#N/A</v>
      </c>
      <c r="K54" s="182" t="e">
        <f t="shared" si="2"/>
        <v>#N/A</v>
      </c>
      <c r="L54" s="182" t="e">
        <f t="shared" si="3"/>
        <v>#N/A</v>
      </c>
      <c r="M54" s="182" t="e">
        <f t="shared" si="4"/>
        <v>#N/A</v>
      </c>
      <c r="N54" s="182" t="e">
        <f t="shared" si="5"/>
        <v>#N/A</v>
      </c>
      <c r="O54" s="182" t="e">
        <f t="shared" si="6"/>
        <v>#N/A</v>
      </c>
      <c r="P54" s="184" t="e">
        <f t="shared" si="7"/>
        <v>#N/A</v>
      </c>
      <c r="Q54" s="182" t="e">
        <f t="shared" si="8"/>
        <v>#N/A</v>
      </c>
      <c r="R54" s="182"/>
      <c r="S54" s="182"/>
      <c r="T54" s="182"/>
      <c r="U54" s="182"/>
      <c r="V54" s="182"/>
      <c r="W54" s="182"/>
      <c r="X54" s="182"/>
      <c r="Y54" s="182"/>
      <c r="Z54" s="182"/>
      <c r="AA54" s="182"/>
    </row>
    <row r="55" spans="1:27" ht="14.4">
      <c r="A55" s="44" t="s">
        <v>934</v>
      </c>
      <c r="B55" s="44" t="s">
        <v>651</v>
      </c>
      <c r="C55" s="75" t="s">
        <v>652</v>
      </c>
      <c r="D55" s="43" t="s">
        <v>653</v>
      </c>
      <c r="E55" s="69" t="s">
        <v>628</v>
      </c>
      <c r="F55" s="69" t="s">
        <v>629</v>
      </c>
      <c r="G55" s="205">
        <f>VLOOKUP(B55,'Margin Calculation'!F:Y,20,0)</f>
        <v>695.61449999999991</v>
      </c>
      <c r="H55" s="205">
        <f>VLOOKUP(B55,'Margin Calculation'!F:Z,21,0)</f>
        <v>820.82510999999988</v>
      </c>
      <c r="I55" s="179">
        <f t="shared" si="0"/>
        <v>33</v>
      </c>
      <c r="J55" s="179">
        <f t="shared" si="1"/>
        <v>165</v>
      </c>
      <c r="K55" s="179">
        <f t="shared" si="2"/>
        <v>82.5</v>
      </c>
      <c r="L55" s="179">
        <f t="shared" si="3"/>
        <v>49.5</v>
      </c>
      <c r="M55" s="179">
        <f t="shared" si="4"/>
        <v>1025.6144999999999</v>
      </c>
      <c r="N55" s="179">
        <f t="shared" si="5"/>
        <v>174.15026833631509</v>
      </c>
      <c r="O55" s="179">
        <f t="shared" si="6"/>
        <v>450.235231663685</v>
      </c>
      <c r="P55" s="184">
        <f t="shared" si="7"/>
        <v>0.27286983737193032</v>
      </c>
      <c r="Q55" s="179">
        <f t="shared" si="8"/>
        <v>1650</v>
      </c>
      <c r="R55" s="182"/>
      <c r="S55" s="182"/>
      <c r="T55" s="182"/>
      <c r="U55" s="182"/>
      <c r="V55" s="182"/>
      <c r="W55" s="182"/>
      <c r="X55" s="182"/>
      <c r="Y55" s="182"/>
      <c r="Z55" s="182"/>
      <c r="AA55" s="182"/>
    </row>
    <row r="56" spans="1:27" ht="14.4" hidden="1">
      <c r="A56" s="44"/>
      <c r="B56" s="44" t="s">
        <v>655</v>
      </c>
      <c r="C56" s="75" t="s">
        <v>656</v>
      </c>
      <c r="D56" s="43" t="s">
        <v>657</v>
      </c>
      <c r="E56" s="69" t="s">
        <v>628</v>
      </c>
      <c r="F56" s="69" t="s">
        <v>629</v>
      </c>
      <c r="G56" s="205">
        <f>VLOOKUP(B56,'Margin Calculation'!F:Y,20,0)</f>
        <v>936.09836999999993</v>
      </c>
      <c r="H56" s="205">
        <f>VLOOKUP(B56,'Margin Calculation'!F:Z,21,0)</f>
        <v>1104.5960765999998</v>
      </c>
      <c r="I56" s="182" t="e">
        <f t="shared" si="0"/>
        <v>#N/A</v>
      </c>
      <c r="J56" s="182" t="e">
        <f t="shared" si="1"/>
        <v>#N/A</v>
      </c>
      <c r="K56" s="182" t="e">
        <f t="shared" si="2"/>
        <v>#N/A</v>
      </c>
      <c r="L56" s="182" t="e">
        <f t="shared" si="3"/>
        <v>#N/A</v>
      </c>
      <c r="M56" s="182" t="e">
        <f t="shared" si="4"/>
        <v>#N/A</v>
      </c>
      <c r="N56" s="182" t="e">
        <f t="shared" si="5"/>
        <v>#N/A</v>
      </c>
      <c r="O56" s="182" t="e">
        <f t="shared" si="6"/>
        <v>#N/A</v>
      </c>
      <c r="P56" s="184" t="e">
        <f t="shared" si="7"/>
        <v>#N/A</v>
      </c>
      <c r="Q56" s="182" t="e">
        <f t="shared" si="8"/>
        <v>#N/A</v>
      </c>
      <c r="R56" s="182"/>
      <c r="S56" s="182"/>
      <c r="T56" s="182"/>
      <c r="U56" s="182"/>
      <c r="V56" s="182"/>
      <c r="W56" s="182"/>
      <c r="X56" s="182"/>
      <c r="Y56" s="182"/>
      <c r="Z56" s="182"/>
      <c r="AA56" s="182"/>
    </row>
    <row r="57" spans="1:27" ht="14.4">
      <c r="A57" s="44" t="s">
        <v>934</v>
      </c>
      <c r="B57" s="44" t="s">
        <v>659</v>
      </c>
      <c r="C57" s="75" t="s">
        <v>660</v>
      </c>
      <c r="D57" s="43" t="s">
        <v>661</v>
      </c>
      <c r="E57" s="69" t="s">
        <v>234</v>
      </c>
      <c r="F57" s="69" t="s">
        <v>249</v>
      </c>
      <c r="G57" s="205">
        <f>VLOOKUP(B57,'Margin Calculation'!F:Y,20,0)</f>
        <v>753.73308000000009</v>
      </c>
      <c r="H57" s="205">
        <f>VLOOKUP(B57,'Margin Calculation'!F:Z,21,0)</f>
        <v>889.40503440000009</v>
      </c>
      <c r="I57" s="179">
        <f t="shared" si="0"/>
        <v>37.5</v>
      </c>
      <c r="J57" s="179">
        <f t="shared" si="1"/>
        <v>187.5</v>
      </c>
      <c r="K57" s="179">
        <f t="shared" si="2"/>
        <v>93.75</v>
      </c>
      <c r="L57" s="179">
        <f t="shared" si="3"/>
        <v>56.25</v>
      </c>
      <c r="M57" s="179">
        <f t="shared" si="4"/>
        <v>1128.73308</v>
      </c>
      <c r="N57" s="179">
        <f t="shared" si="5"/>
        <v>197.89803220035787</v>
      </c>
      <c r="O57" s="179">
        <f t="shared" si="6"/>
        <v>548.36888779964215</v>
      </c>
      <c r="P57" s="184">
        <f t="shared" si="7"/>
        <v>0.29246340682647581</v>
      </c>
      <c r="Q57" s="179">
        <f t="shared" si="8"/>
        <v>1875</v>
      </c>
      <c r="R57" s="182"/>
      <c r="S57" s="182"/>
      <c r="T57" s="182"/>
      <c r="U57" s="182"/>
      <c r="V57" s="182"/>
      <c r="W57" s="182"/>
      <c r="X57" s="182"/>
      <c r="Y57" s="182"/>
      <c r="Z57" s="182"/>
      <c r="AA57" s="182"/>
    </row>
    <row r="58" spans="1:27" ht="14.4" hidden="1">
      <c r="A58" s="44"/>
      <c r="B58" s="44" t="s">
        <v>663</v>
      </c>
      <c r="C58" s="75" t="s">
        <v>664</v>
      </c>
      <c r="D58" s="43" t="s">
        <v>665</v>
      </c>
      <c r="E58" s="69" t="s">
        <v>314</v>
      </c>
      <c r="F58" s="69" t="s">
        <v>444</v>
      </c>
      <c r="G58" s="205">
        <f>VLOOKUP(B58,'Margin Calculation'!F:Y,20,0)</f>
        <v>1119.9599999999998</v>
      </c>
      <c r="H58" s="205">
        <f>VLOOKUP(B58,'Margin Calculation'!F:Z,21,0)</f>
        <v>1321.5527999999997</v>
      </c>
      <c r="I58" s="182" t="e">
        <f t="shared" si="0"/>
        <v>#N/A</v>
      </c>
      <c r="J58" s="182" t="e">
        <f t="shared" si="1"/>
        <v>#N/A</v>
      </c>
      <c r="K58" s="182" t="e">
        <f t="shared" si="2"/>
        <v>#N/A</v>
      </c>
      <c r="L58" s="182" t="e">
        <f t="shared" si="3"/>
        <v>#N/A</v>
      </c>
      <c r="M58" s="182" t="e">
        <f t="shared" si="4"/>
        <v>#N/A</v>
      </c>
      <c r="N58" s="182" t="e">
        <f t="shared" si="5"/>
        <v>#N/A</v>
      </c>
      <c r="O58" s="182" t="e">
        <f t="shared" si="6"/>
        <v>#N/A</v>
      </c>
      <c r="P58" s="184" t="e">
        <f t="shared" si="7"/>
        <v>#N/A</v>
      </c>
      <c r="Q58" s="182" t="e">
        <f t="shared" si="8"/>
        <v>#N/A</v>
      </c>
      <c r="R58" s="182"/>
      <c r="S58" s="182"/>
      <c r="T58" s="182"/>
      <c r="U58" s="182"/>
      <c r="V58" s="182"/>
      <c r="W58" s="182"/>
      <c r="X58" s="182"/>
      <c r="Y58" s="182"/>
      <c r="Z58" s="182"/>
      <c r="AA58" s="182"/>
    </row>
    <row r="59" spans="1:27" ht="14.4" hidden="1">
      <c r="A59" s="44"/>
      <c r="B59" s="44" t="s">
        <v>668</v>
      </c>
      <c r="C59" s="75" t="s">
        <v>669</v>
      </c>
      <c r="D59" s="43" t="s">
        <v>670</v>
      </c>
      <c r="E59" s="43" t="s">
        <v>671</v>
      </c>
      <c r="F59" s="43"/>
      <c r="G59" s="205">
        <f>VLOOKUP(B59,'Margin Calculation'!F:Y,20,0)</f>
        <v>582.37919999999997</v>
      </c>
      <c r="H59" s="205">
        <f>VLOOKUP(B59,'Margin Calculation'!F:Z,21,0)</f>
        <v>687.20745599999998</v>
      </c>
      <c r="I59" s="182" t="e">
        <f t="shared" si="0"/>
        <v>#N/A</v>
      </c>
      <c r="J59" s="182" t="e">
        <f t="shared" si="1"/>
        <v>#N/A</v>
      </c>
      <c r="K59" s="182" t="e">
        <f t="shared" si="2"/>
        <v>#N/A</v>
      </c>
      <c r="L59" s="182" t="e">
        <f t="shared" si="3"/>
        <v>#N/A</v>
      </c>
      <c r="M59" s="182" t="e">
        <f t="shared" si="4"/>
        <v>#N/A</v>
      </c>
      <c r="N59" s="182" t="e">
        <f t="shared" si="5"/>
        <v>#N/A</v>
      </c>
      <c r="O59" s="182" t="e">
        <f t="shared" si="6"/>
        <v>#N/A</v>
      </c>
      <c r="P59" s="184" t="e">
        <f t="shared" si="7"/>
        <v>#N/A</v>
      </c>
      <c r="Q59" s="182" t="e">
        <f t="shared" si="8"/>
        <v>#N/A</v>
      </c>
      <c r="R59" s="182"/>
      <c r="S59" s="182"/>
      <c r="T59" s="182"/>
      <c r="U59" s="182"/>
      <c r="V59" s="182"/>
      <c r="W59" s="182"/>
      <c r="X59" s="182"/>
      <c r="Y59" s="182"/>
      <c r="Z59" s="182"/>
      <c r="AA59" s="182"/>
    </row>
    <row r="60" spans="1:27" ht="14.4">
      <c r="A60" s="44" t="s">
        <v>934</v>
      </c>
      <c r="B60" s="44" t="s">
        <v>675</v>
      </c>
      <c r="C60" s="75" t="s">
        <v>676</v>
      </c>
      <c r="D60" s="43" t="s">
        <v>677</v>
      </c>
      <c r="E60" s="43" t="s">
        <v>314</v>
      </c>
      <c r="F60" s="43"/>
      <c r="G60" s="205">
        <f>VLOOKUP(B60,'Margin Calculation'!F:Y,20,0)</f>
        <v>509.58179999999999</v>
      </c>
      <c r="H60" s="205">
        <f>VLOOKUP(B60,'Margin Calculation'!F:Z,21,0)</f>
        <v>601.30652399999997</v>
      </c>
      <c r="I60" s="179">
        <f t="shared" si="0"/>
        <v>22.1</v>
      </c>
      <c r="J60" s="179">
        <f t="shared" si="1"/>
        <v>110.5</v>
      </c>
      <c r="K60" s="179">
        <f t="shared" si="2"/>
        <v>55.25</v>
      </c>
      <c r="L60" s="179">
        <f t="shared" si="3"/>
        <v>33.15</v>
      </c>
      <c r="M60" s="179">
        <f t="shared" si="4"/>
        <v>730.58179999999993</v>
      </c>
      <c r="N60" s="179">
        <f t="shared" si="5"/>
        <v>116.62790697674427</v>
      </c>
      <c r="O60" s="179">
        <f t="shared" si="6"/>
        <v>257.7902930232558</v>
      </c>
      <c r="P60" s="184">
        <f t="shared" si="7"/>
        <v>0.23329438282647583</v>
      </c>
      <c r="Q60" s="179">
        <f t="shared" si="8"/>
        <v>1105</v>
      </c>
      <c r="R60" s="182"/>
      <c r="S60" s="182"/>
      <c r="T60" s="182"/>
      <c r="U60" s="182"/>
      <c r="V60" s="182"/>
      <c r="W60" s="182"/>
      <c r="X60" s="182"/>
      <c r="Y60" s="182"/>
      <c r="Z60" s="182"/>
      <c r="AA60" s="182"/>
    </row>
    <row r="61" spans="1:27" ht="14.4" hidden="1">
      <c r="A61" s="44"/>
      <c r="B61" s="44" t="s">
        <v>679</v>
      </c>
      <c r="C61" s="75" t="s">
        <v>680</v>
      </c>
      <c r="D61" s="43" t="s">
        <v>681</v>
      </c>
      <c r="E61" s="43" t="s">
        <v>314</v>
      </c>
      <c r="F61" s="43"/>
      <c r="G61" s="205">
        <f>VLOOKUP(B61,'Margin Calculation'!F:Y,20,0)</f>
        <v>394.22592000000003</v>
      </c>
      <c r="H61" s="205">
        <f>VLOOKUP(B61,'Margin Calculation'!F:Z,21,0)</f>
        <v>465.1865856</v>
      </c>
      <c r="I61" s="182" t="e">
        <f t="shared" si="0"/>
        <v>#N/A</v>
      </c>
      <c r="J61" s="182" t="e">
        <f t="shared" si="1"/>
        <v>#N/A</v>
      </c>
      <c r="K61" s="182" t="e">
        <f t="shared" si="2"/>
        <v>#N/A</v>
      </c>
      <c r="L61" s="182" t="e">
        <f t="shared" si="3"/>
        <v>#N/A</v>
      </c>
      <c r="M61" s="182" t="e">
        <f t="shared" si="4"/>
        <v>#N/A</v>
      </c>
      <c r="N61" s="182" t="e">
        <f t="shared" si="5"/>
        <v>#N/A</v>
      </c>
      <c r="O61" s="182" t="e">
        <f t="shared" si="6"/>
        <v>#N/A</v>
      </c>
      <c r="P61" s="184" t="e">
        <f t="shared" si="7"/>
        <v>#N/A</v>
      </c>
      <c r="Q61" s="182" t="e">
        <f t="shared" si="8"/>
        <v>#N/A</v>
      </c>
      <c r="R61" s="182"/>
      <c r="S61" s="182"/>
      <c r="T61" s="182"/>
      <c r="U61" s="182"/>
      <c r="V61" s="182"/>
      <c r="W61" s="182"/>
      <c r="X61" s="182"/>
      <c r="Y61" s="182"/>
      <c r="Z61" s="182"/>
      <c r="AA61" s="182"/>
    </row>
    <row r="62" spans="1:27" ht="14.4" hidden="1">
      <c r="A62" s="44"/>
      <c r="B62" s="44" t="s">
        <v>683</v>
      </c>
      <c r="C62" s="75" t="s">
        <v>684</v>
      </c>
      <c r="D62" s="43" t="s">
        <v>685</v>
      </c>
      <c r="E62" s="69" t="s">
        <v>234</v>
      </c>
      <c r="F62" s="69" t="s">
        <v>671</v>
      </c>
      <c r="G62" s="205">
        <f>VLOOKUP(B62,'Margin Calculation'!F:Y,20,0)</f>
        <v>811.97099999999989</v>
      </c>
      <c r="H62" s="205">
        <f>VLOOKUP(B62,'Margin Calculation'!F:Z,21,0)</f>
        <v>958.12577999999985</v>
      </c>
      <c r="I62" s="182" t="e">
        <f t="shared" si="0"/>
        <v>#N/A</v>
      </c>
      <c r="J62" s="182" t="e">
        <f t="shared" si="1"/>
        <v>#N/A</v>
      </c>
      <c r="K62" s="182" t="e">
        <f t="shared" si="2"/>
        <v>#N/A</v>
      </c>
      <c r="L62" s="182" t="e">
        <f t="shared" si="3"/>
        <v>#N/A</v>
      </c>
      <c r="M62" s="182" t="e">
        <f t="shared" si="4"/>
        <v>#N/A</v>
      </c>
      <c r="N62" s="182" t="e">
        <f t="shared" si="5"/>
        <v>#N/A</v>
      </c>
      <c r="O62" s="182" t="e">
        <f t="shared" si="6"/>
        <v>#N/A</v>
      </c>
      <c r="P62" s="184" t="e">
        <f t="shared" si="7"/>
        <v>#N/A</v>
      </c>
      <c r="Q62" s="182" t="e">
        <f t="shared" si="8"/>
        <v>#N/A</v>
      </c>
      <c r="R62" s="182"/>
      <c r="S62" s="182"/>
      <c r="T62" s="182"/>
      <c r="U62" s="182"/>
      <c r="V62" s="182"/>
      <c r="W62" s="182"/>
      <c r="X62" s="182"/>
      <c r="Y62" s="182"/>
      <c r="Z62" s="182"/>
      <c r="AA62" s="182"/>
    </row>
    <row r="63" spans="1:27" ht="14.4">
      <c r="A63" s="44" t="s">
        <v>934</v>
      </c>
      <c r="B63" s="44" t="s">
        <v>688</v>
      </c>
      <c r="C63" s="75" t="s">
        <v>689</v>
      </c>
      <c r="D63" s="43" t="s">
        <v>690</v>
      </c>
      <c r="E63" s="69" t="s">
        <v>234</v>
      </c>
      <c r="F63" s="69" t="s">
        <v>671</v>
      </c>
      <c r="G63" s="205">
        <f>VLOOKUP(B63,'Margin Calculation'!F:Y,20,0)</f>
        <v>811.97099999999989</v>
      </c>
      <c r="H63" s="205">
        <f>VLOOKUP(B63,'Margin Calculation'!F:Z,21,0)</f>
        <v>958.12577999999985</v>
      </c>
      <c r="I63" s="179">
        <f t="shared" si="0"/>
        <v>27</v>
      </c>
      <c r="J63" s="179">
        <f t="shared" si="1"/>
        <v>135</v>
      </c>
      <c r="K63" s="179">
        <f t="shared" si="2"/>
        <v>67.5</v>
      </c>
      <c r="L63" s="179">
        <f t="shared" si="3"/>
        <v>40.5</v>
      </c>
      <c r="M63" s="179">
        <f t="shared" si="4"/>
        <v>1081.971</v>
      </c>
      <c r="N63" s="179">
        <f t="shared" si="5"/>
        <v>142.48658318425782</v>
      </c>
      <c r="O63" s="179">
        <f t="shared" si="6"/>
        <v>125.54241681574217</v>
      </c>
      <c r="P63" s="184">
        <f t="shared" si="7"/>
        <v>9.299438282647568E-2</v>
      </c>
      <c r="Q63" s="179">
        <f t="shared" si="8"/>
        <v>1350</v>
      </c>
      <c r="R63" s="182"/>
      <c r="S63" s="182"/>
      <c r="T63" s="182"/>
      <c r="U63" s="182"/>
      <c r="V63" s="182"/>
      <c r="W63" s="182"/>
      <c r="X63" s="182"/>
      <c r="Y63" s="182"/>
      <c r="Z63" s="182"/>
      <c r="AA63" s="182"/>
    </row>
    <row r="64" spans="1:27" ht="14.4" hidden="1">
      <c r="A64" s="44"/>
      <c r="B64" s="44" t="s">
        <v>695</v>
      </c>
      <c r="C64" s="44" t="s">
        <v>696</v>
      </c>
      <c r="D64" s="43" t="s">
        <v>697</v>
      </c>
      <c r="E64" s="69" t="s">
        <v>314</v>
      </c>
      <c r="F64" s="69" t="s">
        <v>465</v>
      </c>
      <c r="G64" s="205">
        <f>VLOOKUP(B64,'Margin Calculation'!F:Y,20,0)</f>
        <v>931.80672000000004</v>
      </c>
      <c r="H64" s="205">
        <f>VLOOKUP(B64,'Margin Calculation'!F:Z,21,0)</f>
        <v>1099.5319296</v>
      </c>
      <c r="I64" s="182" t="e">
        <f t="shared" si="0"/>
        <v>#N/A</v>
      </c>
      <c r="J64" s="182" t="e">
        <f t="shared" si="1"/>
        <v>#N/A</v>
      </c>
      <c r="K64" s="182" t="e">
        <f t="shared" si="2"/>
        <v>#N/A</v>
      </c>
      <c r="L64" s="182" t="e">
        <f t="shared" si="3"/>
        <v>#N/A</v>
      </c>
      <c r="M64" s="182" t="e">
        <f t="shared" si="4"/>
        <v>#N/A</v>
      </c>
      <c r="N64" s="182" t="e">
        <f t="shared" si="5"/>
        <v>#N/A</v>
      </c>
      <c r="O64" s="182" t="e">
        <f t="shared" si="6"/>
        <v>#N/A</v>
      </c>
      <c r="P64" s="184" t="e">
        <f t="shared" si="7"/>
        <v>#N/A</v>
      </c>
      <c r="Q64" s="182" t="e">
        <f t="shared" si="8"/>
        <v>#N/A</v>
      </c>
      <c r="R64" s="182"/>
      <c r="S64" s="182"/>
      <c r="T64" s="182"/>
      <c r="U64" s="182"/>
      <c r="V64" s="182"/>
      <c r="W64" s="182"/>
      <c r="X64" s="182"/>
      <c r="Y64" s="182"/>
      <c r="Z64" s="182"/>
      <c r="AA64" s="182"/>
    </row>
    <row r="65" spans="1:27" ht="14.4">
      <c r="A65" s="44" t="s">
        <v>934</v>
      </c>
      <c r="B65" s="44" t="s">
        <v>700</v>
      </c>
      <c r="C65" s="75" t="s">
        <v>701</v>
      </c>
      <c r="D65" s="43" t="s">
        <v>702</v>
      </c>
      <c r="E65" s="69" t="s">
        <v>314</v>
      </c>
      <c r="F65" s="69" t="s">
        <v>465</v>
      </c>
      <c r="G65" s="205">
        <f>VLOOKUP(B65,'Margin Calculation'!F:Y,20,0)</f>
        <v>724.61412000000007</v>
      </c>
      <c r="H65" s="205">
        <f>VLOOKUP(B65,'Margin Calculation'!F:Z,21,0)</f>
        <v>855.04466160000004</v>
      </c>
      <c r="I65" s="179">
        <f t="shared" si="0"/>
        <v>37.5</v>
      </c>
      <c r="J65" s="179">
        <f t="shared" si="1"/>
        <v>187.5</v>
      </c>
      <c r="K65" s="179">
        <f t="shared" si="2"/>
        <v>93.75</v>
      </c>
      <c r="L65" s="179">
        <f t="shared" si="3"/>
        <v>56.25</v>
      </c>
      <c r="M65" s="179">
        <f t="shared" si="4"/>
        <v>1099.6141200000002</v>
      </c>
      <c r="N65" s="179">
        <f t="shared" si="5"/>
        <v>197.89803220035787</v>
      </c>
      <c r="O65" s="179">
        <f t="shared" si="6"/>
        <v>577.48784779964194</v>
      </c>
      <c r="P65" s="184">
        <f t="shared" si="7"/>
        <v>0.30799351882647569</v>
      </c>
      <c r="Q65" s="179">
        <f t="shared" si="8"/>
        <v>1875</v>
      </c>
      <c r="R65" s="182"/>
      <c r="S65" s="182"/>
      <c r="T65" s="182"/>
      <c r="U65" s="182"/>
      <c r="V65" s="182"/>
      <c r="W65" s="182"/>
      <c r="X65" s="182"/>
      <c r="Y65" s="182"/>
      <c r="Z65" s="182"/>
      <c r="AA65" s="182"/>
    </row>
    <row r="66" spans="1:27" ht="14.4" hidden="1">
      <c r="A66" s="44"/>
      <c r="B66" s="44" t="s">
        <v>704</v>
      </c>
      <c r="C66" s="75" t="s">
        <v>705</v>
      </c>
      <c r="D66" s="43" t="s">
        <v>706</v>
      </c>
      <c r="E66" s="69" t="s">
        <v>234</v>
      </c>
      <c r="F66" s="69" t="s">
        <v>249</v>
      </c>
      <c r="G66" s="205">
        <f>VLOOKUP(B66,'Margin Calculation'!F:Y,20,0)</f>
        <v>2239.9199999999996</v>
      </c>
      <c r="H66" s="205">
        <f>VLOOKUP(B66,'Margin Calculation'!F:Z,21,0)</f>
        <v>2643.1055999999994</v>
      </c>
      <c r="I66" s="182" t="e">
        <f t="shared" si="0"/>
        <v>#N/A</v>
      </c>
      <c r="J66" s="182" t="e">
        <f t="shared" si="1"/>
        <v>#N/A</v>
      </c>
      <c r="K66" s="182" t="e">
        <f t="shared" si="2"/>
        <v>#N/A</v>
      </c>
      <c r="L66" s="182" t="e">
        <f t="shared" si="3"/>
        <v>#N/A</v>
      </c>
      <c r="M66" s="182" t="e">
        <f t="shared" si="4"/>
        <v>#N/A</v>
      </c>
      <c r="N66" s="182" t="e">
        <f t="shared" si="5"/>
        <v>#N/A</v>
      </c>
      <c r="O66" s="182" t="e">
        <f t="shared" si="6"/>
        <v>#N/A</v>
      </c>
      <c r="P66" s="184" t="e">
        <f t="shared" si="7"/>
        <v>#N/A</v>
      </c>
      <c r="Q66" s="182" t="e">
        <f t="shared" si="8"/>
        <v>#N/A</v>
      </c>
      <c r="R66" s="182"/>
      <c r="S66" s="182"/>
      <c r="T66" s="182"/>
      <c r="U66" s="182"/>
      <c r="V66" s="182"/>
      <c r="W66" s="182"/>
      <c r="X66" s="182"/>
      <c r="Y66" s="182"/>
      <c r="Z66" s="182"/>
      <c r="AA66" s="182"/>
    </row>
    <row r="67" spans="1:27" ht="14.4" hidden="1">
      <c r="A67" s="44"/>
      <c r="B67" s="44" t="s">
        <v>712</v>
      </c>
      <c r="C67" s="75" t="s">
        <v>1129</v>
      </c>
      <c r="D67" s="43" t="s">
        <v>714</v>
      </c>
      <c r="E67" s="69" t="s">
        <v>234</v>
      </c>
      <c r="F67" s="69" t="s">
        <v>249</v>
      </c>
      <c r="G67" s="205">
        <f>VLOOKUP(B67,'Margin Calculation'!F:Y,20,0)</f>
        <v>988.92468000000008</v>
      </c>
      <c r="H67" s="205">
        <f>VLOOKUP(B67,'Margin Calculation'!F:Z,21,0)</f>
        <v>1166.9311224</v>
      </c>
      <c r="I67" s="182" t="e">
        <f t="shared" si="0"/>
        <v>#N/A</v>
      </c>
      <c r="J67" s="182" t="e">
        <f t="shared" si="1"/>
        <v>#N/A</v>
      </c>
      <c r="K67" s="182" t="e">
        <f t="shared" si="2"/>
        <v>#N/A</v>
      </c>
      <c r="L67" s="182" t="e">
        <f t="shared" si="3"/>
        <v>#N/A</v>
      </c>
      <c r="M67" s="182" t="e">
        <f t="shared" si="4"/>
        <v>#N/A</v>
      </c>
      <c r="N67" s="182" t="e">
        <f t="shared" si="5"/>
        <v>#N/A</v>
      </c>
      <c r="O67" s="182" t="e">
        <f t="shared" si="6"/>
        <v>#N/A</v>
      </c>
      <c r="P67" s="184" t="e">
        <f t="shared" si="7"/>
        <v>#N/A</v>
      </c>
      <c r="Q67" s="182" t="e">
        <f t="shared" si="8"/>
        <v>#N/A</v>
      </c>
      <c r="R67" s="182"/>
      <c r="S67" s="182"/>
      <c r="T67" s="182"/>
      <c r="U67" s="182"/>
      <c r="V67" s="182"/>
      <c r="W67" s="182"/>
      <c r="X67" s="182"/>
      <c r="Y67" s="182"/>
      <c r="Z67" s="182"/>
      <c r="AA67" s="182"/>
    </row>
    <row r="68" spans="1:27" ht="14.4" hidden="1">
      <c r="A68" s="44"/>
      <c r="B68" s="44" t="s">
        <v>717</v>
      </c>
      <c r="C68" s="75" t="s">
        <v>718</v>
      </c>
      <c r="D68" s="43" t="s">
        <v>719</v>
      </c>
      <c r="E68" s="69" t="s">
        <v>234</v>
      </c>
      <c r="F68" s="69" t="s">
        <v>249</v>
      </c>
      <c r="G68" s="205">
        <f>VLOOKUP(B68,'Margin Calculation'!F:Y,20,0)</f>
        <v>1047.1625999999999</v>
      </c>
      <c r="H68" s="205">
        <f>VLOOKUP(B68,'Margin Calculation'!F:Z,21,0)</f>
        <v>1235.6518679999997</v>
      </c>
      <c r="I68" s="182" t="e">
        <f t="shared" si="0"/>
        <v>#N/A</v>
      </c>
      <c r="J68" s="182" t="e">
        <f t="shared" si="1"/>
        <v>#N/A</v>
      </c>
      <c r="K68" s="182" t="e">
        <f t="shared" si="2"/>
        <v>#N/A</v>
      </c>
      <c r="L68" s="182" t="e">
        <f t="shared" si="3"/>
        <v>#N/A</v>
      </c>
      <c r="M68" s="182" t="e">
        <f t="shared" si="4"/>
        <v>#N/A</v>
      </c>
      <c r="N68" s="182" t="e">
        <f t="shared" si="5"/>
        <v>#N/A</v>
      </c>
      <c r="O68" s="182" t="e">
        <f t="shared" si="6"/>
        <v>#N/A</v>
      </c>
      <c r="P68" s="184" t="e">
        <f t="shared" si="7"/>
        <v>#N/A</v>
      </c>
      <c r="Q68" s="182" t="e">
        <f t="shared" si="8"/>
        <v>#N/A</v>
      </c>
      <c r="R68" s="182"/>
      <c r="S68" s="182"/>
      <c r="T68" s="182"/>
      <c r="U68" s="182"/>
      <c r="V68" s="182"/>
      <c r="W68" s="182"/>
      <c r="X68" s="182"/>
      <c r="Y68" s="182"/>
      <c r="Z68" s="182"/>
      <c r="AA68" s="182"/>
    </row>
    <row r="69" spans="1:27" ht="14.4" hidden="1">
      <c r="A69" s="44"/>
      <c r="B69" s="44" t="s">
        <v>720</v>
      </c>
      <c r="C69" s="75" t="s">
        <v>721</v>
      </c>
      <c r="D69" s="43" t="s">
        <v>722</v>
      </c>
      <c r="E69" s="43" t="s">
        <v>314</v>
      </c>
      <c r="F69" s="43"/>
      <c r="G69" s="205">
        <f>VLOOKUP(B69,'Margin Calculation'!F:Y,20,0)</f>
        <v>611.38800000000003</v>
      </c>
      <c r="H69" s="205">
        <f>VLOOKUP(B69,'Margin Calculation'!F:Z,21,0)</f>
        <v>721.43784000000005</v>
      </c>
      <c r="I69" s="182" t="e">
        <f t="shared" si="0"/>
        <v>#N/A</v>
      </c>
      <c r="J69" s="182" t="e">
        <f t="shared" si="1"/>
        <v>#N/A</v>
      </c>
      <c r="K69" s="182" t="e">
        <f t="shared" si="2"/>
        <v>#N/A</v>
      </c>
      <c r="L69" s="182" t="e">
        <f t="shared" si="3"/>
        <v>#N/A</v>
      </c>
      <c r="M69" s="182" t="e">
        <f t="shared" si="4"/>
        <v>#N/A</v>
      </c>
      <c r="N69" s="182" t="e">
        <f t="shared" si="5"/>
        <v>#N/A</v>
      </c>
      <c r="O69" s="182" t="e">
        <f t="shared" si="6"/>
        <v>#N/A</v>
      </c>
      <c r="P69" s="184" t="e">
        <f t="shared" si="7"/>
        <v>#N/A</v>
      </c>
      <c r="Q69" s="182" t="e">
        <f t="shared" si="8"/>
        <v>#N/A</v>
      </c>
      <c r="R69" s="182"/>
      <c r="S69" s="182"/>
      <c r="T69" s="182"/>
      <c r="U69" s="182"/>
      <c r="V69" s="182"/>
      <c r="W69" s="182"/>
      <c r="X69" s="182"/>
      <c r="Y69" s="182"/>
      <c r="Z69" s="182"/>
      <c r="AA69" s="182"/>
    </row>
    <row r="70" spans="1:27" ht="14.4" hidden="1">
      <c r="A70" s="44"/>
      <c r="B70" s="44" t="s">
        <v>724</v>
      </c>
      <c r="C70" s="44" t="s">
        <v>725</v>
      </c>
      <c r="D70" s="43" t="s">
        <v>726</v>
      </c>
      <c r="E70" s="43" t="s">
        <v>314</v>
      </c>
      <c r="F70" s="43"/>
      <c r="G70" s="205">
        <f>VLOOKUP(B70,'Margin Calculation'!F:Y,20,0)</f>
        <v>458.541</v>
      </c>
      <c r="H70" s="205">
        <f>VLOOKUP(B70,'Margin Calculation'!F:Z,21,0)</f>
        <v>541.07837999999992</v>
      </c>
      <c r="I70" s="182" t="e">
        <f t="shared" si="0"/>
        <v>#N/A</v>
      </c>
      <c r="J70" s="182" t="e">
        <f t="shared" si="1"/>
        <v>#N/A</v>
      </c>
      <c r="K70" s="182" t="e">
        <f t="shared" si="2"/>
        <v>#N/A</v>
      </c>
      <c r="L70" s="182" t="e">
        <f t="shared" si="3"/>
        <v>#N/A</v>
      </c>
      <c r="M70" s="182" t="e">
        <f t="shared" si="4"/>
        <v>#N/A</v>
      </c>
      <c r="N70" s="182" t="e">
        <f t="shared" si="5"/>
        <v>#N/A</v>
      </c>
      <c r="O70" s="182" t="e">
        <f t="shared" si="6"/>
        <v>#N/A</v>
      </c>
      <c r="P70" s="184" t="e">
        <f t="shared" si="7"/>
        <v>#N/A</v>
      </c>
      <c r="Q70" s="182" t="e">
        <f t="shared" si="8"/>
        <v>#N/A</v>
      </c>
      <c r="R70" s="182"/>
      <c r="S70" s="182"/>
      <c r="T70" s="182"/>
      <c r="U70" s="182"/>
      <c r="V70" s="182"/>
      <c r="W70" s="182"/>
      <c r="X70" s="182"/>
      <c r="Y70" s="182"/>
      <c r="Z70" s="182"/>
      <c r="AA70" s="182"/>
    </row>
    <row r="71" spans="1:27" ht="14.4" hidden="1">
      <c r="A71" s="44"/>
      <c r="B71" s="44" t="s">
        <v>728</v>
      </c>
      <c r="C71" s="75" t="s">
        <v>729</v>
      </c>
      <c r="D71" s="43" t="s">
        <v>730</v>
      </c>
      <c r="E71" s="69" t="s">
        <v>314</v>
      </c>
      <c r="F71" s="69" t="s">
        <v>465</v>
      </c>
      <c r="G71" s="205">
        <f>VLOOKUP(B71,'Margin Calculation'!F:Y,20,0)</f>
        <v>1120.8779999999999</v>
      </c>
      <c r="H71" s="205">
        <f>VLOOKUP(B71,'Margin Calculation'!F:Z,21,0)</f>
        <v>1322.6360399999999</v>
      </c>
      <c r="I71" s="182" t="e">
        <f t="shared" si="0"/>
        <v>#N/A</v>
      </c>
      <c r="J71" s="182" t="e">
        <f t="shared" si="1"/>
        <v>#N/A</v>
      </c>
      <c r="K71" s="182" t="e">
        <f t="shared" si="2"/>
        <v>#N/A</v>
      </c>
      <c r="L71" s="182" t="e">
        <f t="shared" si="3"/>
        <v>#N/A</v>
      </c>
      <c r="M71" s="182" t="e">
        <f t="shared" si="4"/>
        <v>#N/A</v>
      </c>
      <c r="N71" s="182" t="e">
        <f t="shared" si="5"/>
        <v>#N/A</v>
      </c>
      <c r="O71" s="182" t="e">
        <f t="shared" si="6"/>
        <v>#N/A</v>
      </c>
      <c r="P71" s="184" t="e">
        <f t="shared" si="7"/>
        <v>#N/A</v>
      </c>
      <c r="Q71" s="182" t="e">
        <f t="shared" si="8"/>
        <v>#N/A</v>
      </c>
      <c r="R71" s="182"/>
      <c r="S71" s="182"/>
      <c r="T71" s="182"/>
      <c r="U71" s="182"/>
      <c r="V71" s="182"/>
      <c r="W71" s="182"/>
      <c r="X71" s="182"/>
      <c r="Y71" s="182"/>
      <c r="Z71" s="182"/>
      <c r="AA71" s="182"/>
    </row>
    <row r="72" spans="1:27" ht="14.4" hidden="1">
      <c r="A72" s="44"/>
      <c r="B72" s="44" t="s">
        <v>732</v>
      </c>
      <c r="C72" s="44" t="s">
        <v>733</v>
      </c>
      <c r="D72" s="43" t="s">
        <v>734</v>
      </c>
      <c r="E72" s="69" t="s">
        <v>314</v>
      </c>
      <c r="F72" s="69" t="s">
        <v>437</v>
      </c>
      <c r="G72" s="205">
        <f>VLOOKUP(B72,'Margin Calculation'!F:Y,20,0)</f>
        <v>601.19820000000004</v>
      </c>
      <c r="H72" s="205">
        <f>VLOOKUP(B72,'Margin Calculation'!F:Z,21,0)</f>
        <v>709.41387599999996</v>
      </c>
      <c r="I72" s="182" t="e">
        <f t="shared" si="0"/>
        <v>#N/A</v>
      </c>
      <c r="J72" s="182" t="e">
        <f t="shared" si="1"/>
        <v>#N/A</v>
      </c>
      <c r="K72" s="182" t="e">
        <f t="shared" si="2"/>
        <v>#N/A</v>
      </c>
      <c r="L72" s="182" t="e">
        <f t="shared" si="3"/>
        <v>#N/A</v>
      </c>
      <c r="M72" s="182" t="e">
        <f t="shared" si="4"/>
        <v>#N/A</v>
      </c>
      <c r="N72" s="182" t="e">
        <f t="shared" si="5"/>
        <v>#N/A</v>
      </c>
      <c r="O72" s="182" t="e">
        <f t="shared" si="6"/>
        <v>#N/A</v>
      </c>
      <c r="P72" s="184" t="e">
        <f t="shared" si="7"/>
        <v>#N/A</v>
      </c>
      <c r="Q72" s="182" t="e">
        <f t="shared" si="8"/>
        <v>#N/A</v>
      </c>
      <c r="R72" s="182"/>
      <c r="S72" s="182"/>
      <c r="T72" s="182"/>
      <c r="U72" s="182"/>
      <c r="V72" s="182"/>
      <c r="W72" s="182"/>
      <c r="X72" s="182"/>
      <c r="Y72" s="182"/>
      <c r="Z72" s="182"/>
      <c r="AA72" s="182"/>
    </row>
    <row r="73" spans="1:27" ht="14.4" hidden="1">
      <c r="A73" s="44"/>
      <c r="B73" s="44" t="s">
        <v>736</v>
      </c>
      <c r="C73" s="75" t="s">
        <v>737</v>
      </c>
      <c r="D73" s="43" t="s">
        <v>738</v>
      </c>
      <c r="E73" s="69" t="s">
        <v>314</v>
      </c>
      <c r="F73" s="69" t="s">
        <v>465</v>
      </c>
      <c r="G73" s="205">
        <f>VLOOKUP(B73,'Margin Calculation'!F:Y,20,0)</f>
        <v>1034.2646999999999</v>
      </c>
      <c r="H73" s="205">
        <f>VLOOKUP(B73,'Margin Calculation'!F:Z,21,0)</f>
        <v>1220.4323459999998</v>
      </c>
      <c r="I73" s="182" t="e">
        <f t="shared" si="0"/>
        <v>#N/A</v>
      </c>
      <c r="J73" s="182" t="e">
        <f t="shared" si="1"/>
        <v>#N/A</v>
      </c>
      <c r="K73" s="182" t="e">
        <f t="shared" si="2"/>
        <v>#N/A</v>
      </c>
      <c r="L73" s="182" t="e">
        <f t="shared" si="3"/>
        <v>#N/A</v>
      </c>
      <c r="M73" s="182" t="e">
        <f t="shared" si="4"/>
        <v>#N/A</v>
      </c>
      <c r="N73" s="182" t="e">
        <f t="shared" si="5"/>
        <v>#N/A</v>
      </c>
      <c r="O73" s="182" t="e">
        <f t="shared" si="6"/>
        <v>#N/A</v>
      </c>
      <c r="P73" s="184" t="e">
        <f t="shared" si="7"/>
        <v>#N/A</v>
      </c>
      <c r="Q73" s="182" t="e">
        <f t="shared" si="8"/>
        <v>#N/A</v>
      </c>
      <c r="R73" s="182"/>
      <c r="S73" s="182"/>
      <c r="T73" s="182"/>
      <c r="U73" s="182"/>
      <c r="V73" s="182"/>
      <c r="W73" s="182"/>
      <c r="X73" s="182"/>
      <c r="Y73" s="182"/>
      <c r="Z73" s="182"/>
      <c r="AA73" s="182"/>
    </row>
    <row r="74" spans="1:27" ht="14.4" hidden="1">
      <c r="A74" s="44"/>
      <c r="B74" s="44" t="s">
        <v>740</v>
      </c>
      <c r="C74" s="75" t="s">
        <v>741</v>
      </c>
      <c r="D74" s="43" t="s">
        <v>742</v>
      </c>
      <c r="E74" s="43" t="s">
        <v>249</v>
      </c>
      <c r="F74" s="43"/>
      <c r="G74" s="205">
        <f>VLOOKUP(B74,'Margin Calculation'!F:Y,20,0)</f>
        <v>917.08199999999999</v>
      </c>
      <c r="H74" s="205">
        <f>VLOOKUP(B74,'Margin Calculation'!F:Z,21,0)</f>
        <v>1082.1567599999998</v>
      </c>
      <c r="I74" s="182" t="e">
        <f t="shared" si="0"/>
        <v>#N/A</v>
      </c>
      <c r="J74" s="182" t="e">
        <f t="shared" si="1"/>
        <v>#N/A</v>
      </c>
      <c r="K74" s="182" t="e">
        <f t="shared" si="2"/>
        <v>#N/A</v>
      </c>
      <c r="L74" s="182" t="e">
        <f t="shared" si="3"/>
        <v>#N/A</v>
      </c>
      <c r="M74" s="182" t="e">
        <f t="shared" si="4"/>
        <v>#N/A</v>
      </c>
      <c r="N74" s="182" t="e">
        <f t="shared" si="5"/>
        <v>#N/A</v>
      </c>
      <c r="O74" s="182" t="e">
        <f t="shared" si="6"/>
        <v>#N/A</v>
      </c>
      <c r="P74" s="184" t="e">
        <f t="shared" si="7"/>
        <v>#N/A</v>
      </c>
      <c r="Q74" s="182" t="e">
        <f t="shared" si="8"/>
        <v>#N/A</v>
      </c>
      <c r="R74" s="182"/>
      <c r="S74" s="182"/>
      <c r="T74" s="182"/>
      <c r="U74" s="182"/>
      <c r="V74" s="182"/>
      <c r="W74" s="182"/>
      <c r="X74" s="182"/>
      <c r="Y74" s="182"/>
      <c r="Z74" s="182"/>
      <c r="AA74" s="182"/>
    </row>
    <row r="75" spans="1:27" ht="14.4" hidden="1">
      <c r="A75" s="44"/>
      <c r="B75" s="44" t="s">
        <v>744</v>
      </c>
      <c r="C75" s="75" t="s">
        <v>745</v>
      </c>
      <c r="D75" s="43" t="s">
        <v>746</v>
      </c>
      <c r="E75" s="69" t="s">
        <v>314</v>
      </c>
      <c r="F75" s="69" t="s">
        <v>618</v>
      </c>
      <c r="G75" s="205">
        <f>VLOOKUP(B75,'Margin Calculation'!F:Y,20,0)</f>
        <v>855.94319999999993</v>
      </c>
      <c r="H75" s="205">
        <f>VLOOKUP(B75,'Margin Calculation'!F:Z,21,0)</f>
        <v>1010.0129759999999</v>
      </c>
      <c r="I75" s="182" t="e">
        <f t="shared" si="0"/>
        <v>#N/A</v>
      </c>
      <c r="J75" s="182" t="e">
        <f t="shared" si="1"/>
        <v>#N/A</v>
      </c>
      <c r="K75" s="182" t="e">
        <f t="shared" si="2"/>
        <v>#N/A</v>
      </c>
      <c r="L75" s="182" t="e">
        <f t="shared" si="3"/>
        <v>#N/A</v>
      </c>
      <c r="M75" s="182" t="e">
        <f t="shared" si="4"/>
        <v>#N/A</v>
      </c>
      <c r="N75" s="182" t="e">
        <f t="shared" si="5"/>
        <v>#N/A</v>
      </c>
      <c r="O75" s="182" t="e">
        <f t="shared" si="6"/>
        <v>#N/A</v>
      </c>
      <c r="P75" s="184" t="e">
        <f t="shared" si="7"/>
        <v>#N/A</v>
      </c>
      <c r="Q75" s="182" t="e">
        <f t="shared" si="8"/>
        <v>#N/A</v>
      </c>
      <c r="R75" s="182"/>
      <c r="S75" s="182"/>
      <c r="T75" s="182"/>
      <c r="U75" s="182"/>
      <c r="V75" s="182"/>
      <c r="W75" s="182"/>
      <c r="X75" s="182"/>
      <c r="Y75" s="182"/>
      <c r="Z75" s="182"/>
      <c r="AA75" s="182"/>
    </row>
    <row r="76" spans="1:27" ht="14.4" hidden="1">
      <c r="A76" s="44"/>
      <c r="B76" s="44" t="s">
        <v>749</v>
      </c>
      <c r="C76" s="75" t="s">
        <v>750</v>
      </c>
      <c r="D76" s="43" t="s">
        <v>751</v>
      </c>
      <c r="E76" s="69" t="s">
        <v>314</v>
      </c>
      <c r="F76" s="69" t="s">
        <v>618</v>
      </c>
      <c r="G76" s="205">
        <f>VLOOKUP(B76,'Margin Calculation'!F:Y,20,0)</f>
        <v>881.41770000000008</v>
      </c>
      <c r="H76" s="205">
        <f>VLOOKUP(B76,'Margin Calculation'!F:Z,21,0)</f>
        <v>1040.0728860000002</v>
      </c>
      <c r="I76" s="182" t="e">
        <f t="shared" si="0"/>
        <v>#N/A</v>
      </c>
      <c r="J76" s="182" t="e">
        <f t="shared" si="1"/>
        <v>#N/A</v>
      </c>
      <c r="K76" s="182" t="e">
        <f t="shared" si="2"/>
        <v>#N/A</v>
      </c>
      <c r="L76" s="182" t="e">
        <f t="shared" si="3"/>
        <v>#N/A</v>
      </c>
      <c r="M76" s="182" t="e">
        <f t="shared" si="4"/>
        <v>#N/A</v>
      </c>
      <c r="N76" s="182" t="e">
        <f t="shared" si="5"/>
        <v>#N/A</v>
      </c>
      <c r="O76" s="182" t="e">
        <f t="shared" si="6"/>
        <v>#N/A</v>
      </c>
      <c r="P76" s="184" t="e">
        <f t="shared" si="7"/>
        <v>#N/A</v>
      </c>
      <c r="Q76" s="182" t="e">
        <f t="shared" si="8"/>
        <v>#N/A</v>
      </c>
      <c r="R76" s="182"/>
      <c r="S76" s="182"/>
      <c r="T76" s="182"/>
      <c r="U76" s="182"/>
      <c r="V76" s="182"/>
      <c r="W76" s="182"/>
      <c r="X76" s="182"/>
      <c r="Y76" s="182"/>
      <c r="Z76" s="182"/>
      <c r="AA76" s="182"/>
    </row>
    <row r="77" spans="1:27" ht="14.4" hidden="1">
      <c r="A77" s="44"/>
      <c r="B77" s="44" t="s">
        <v>753</v>
      </c>
      <c r="C77" s="75" t="s">
        <v>754</v>
      </c>
      <c r="D77" s="43" t="s">
        <v>138</v>
      </c>
      <c r="E77" s="43" t="s">
        <v>800</v>
      </c>
      <c r="F77" s="43"/>
      <c r="G77" s="205">
        <f>VLOOKUP(B77,'Margin Calculation'!F:Y,20,0)</f>
        <v>1528.47</v>
      </c>
      <c r="H77" s="205">
        <f>VLOOKUP(B77,'Margin Calculation'!F:Z,21,0)</f>
        <v>1803.5945999999999</v>
      </c>
      <c r="I77" s="182" t="e">
        <f t="shared" si="0"/>
        <v>#N/A</v>
      </c>
      <c r="J77" s="182" t="e">
        <f t="shared" si="1"/>
        <v>#N/A</v>
      </c>
      <c r="K77" s="182" t="e">
        <f t="shared" si="2"/>
        <v>#N/A</v>
      </c>
      <c r="L77" s="182" t="e">
        <f t="shared" si="3"/>
        <v>#N/A</v>
      </c>
      <c r="M77" s="182" t="e">
        <f t="shared" si="4"/>
        <v>#N/A</v>
      </c>
      <c r="N77" s="182" t="e">
        <f t="shared" si="5"/>
        <v>#N/A</v>
      </c>
      <c r="O77" s="182" t="e">
        <f t="shared" si="6"/>
        <v>#N/A</v>
      </c>
      <c r="P77" s="184" t="e">
        <f t="shared" si="7"/>
        <v>#N/A</v>
      </c>
      <c r="Q77" s="182" t="e">
        <f t="shared" si="8"/>
        <v>#N/A</v>
      </c>
      <c r="R77" s="182"/>
      <c r="S77" s="182"/>
      <c r="T77" s="182"/>
      <c r="U77" s="182"/>
      <c r="V77" s="182"/>
      <c r="W77" s="182"/>
      <c r="X77" s="182"/>
      <c r="Y77" s="182"/>
      <c r="Z77" s="182"/>
      <c r="AA77" s="182"/>
    </row>
    <row r="78" spans="1:27" ht="14.4" hidden="1">
      <c r="A78" s="44"/>
      <c r="B78" s="44" t="s">
        <v>756</v>
      </c>
      <c r="C78" s="75" t="s">
        <v>757</v>
      </c>
      <c r="D78" s="43" t="s">
        <v>758</v>
      </c>
      <c r="E78" s="43" t="s">
        <v>800</v>
      </c>
      <c r="F78" s="43"/>
      <c r="G78" s="205">
        <f>VLOOKUP(B78,'Margin Calculation'!F:Y,20,0)</f>
        <v>733.66560000000004</v>
      </c>
      <c r="H78" s="205">
        <f>VLOOKUP(B78,'Margin Calculation'!F:Z,21,0)</f>
        <v>865.72540800000002</v>
      </c>
      <c r="I78" s="182" t="e">
        <f t="shared" si="0"/>
        <v>#N/A</v>
      </c>
      <c r="J78" s="182" t="e">
        <f t="shared" si="1"/>
        <v>#N/A</v>
      </c>
      <c r="K78" s="182" t="e">
        <f t="shared" si="2"/>
        <v>#N/A</v>
      </c>
      <c r="L78" s="182" t="e">
        <f t="shared" si="3"/>
        <v>#N/A</v>
      </c>
      <c r="M78" s="182" t="e">
        <f t="shared" si="4"/>
        <v>#N/A</v>
      </c>
      <c r="N78" s="182" t="e">
        <f t="shared" si="5"/>
        <v>#N/A</v>
      </c>
      <c r="O78" s="182" t="e">
        <f t="shared" si="6"/>
        <v>#N/A</v>
      </c>
      <c r="P78" s="184" t="e">
        <f t="shared" si="7"/>
        <v>#N/A</v>
      </c>
      <c r="Q78" s="182" t="e">
        <f t="shared" si="8"/>
        <v>#N/A</v>
      </c>
      <c r="R78" s="182"/>
      <c r="S78" s="182"/>
      <c r="T78" s="182"/>
      <c r="U78" s="182"/>
      <c r="V78" s="182"/>
      <c r="W78" s="182"/>
      <c r="X78" s="182"/>
      <c r="Y78" s="182"/>
      <c r="Z78" s="182"/>
      <c r="AA78" s="182"/>
    </row>
    <row r="79" spans="1:27" ht="14.4" hidden="1">
      <c r="A79" s="44"/>
      <c r="B79" s="44" t="s">
        <v>760</v>
      </c>
      <c r="C79" s="75" t="s">
        <v>761</v>
      </c>
      <c r="D79" s="43" t="s">
        <v>762</v>
      </c>
      <c r="E79" s="43" t="s">
        <v>800</v>
      </c>
      <c r="F79" s="43"/>
      <c r="G79" s="205">
        <f>VLOOKUP(B79,'Margin Calculation'!F:Y,20,0)</f>
        <v>611.38800000000003</v>
      </c>
      <c r="H79" s="205">
        <f>VLOOKUP(B79,'Margin Calculation'!F:Z,21,0)</f>
        <v>721.43784000000005</v>
      </c>
      <c r="I79" s="182" t="e">
        <f t="shared" si="0"/>
        <v>#N/A</v>
      </c>
      <c r="J79" s="182" t="e">
        <f t="shared" si="1"/>
        <v>#N/A</v>
      </c>
      <c r="K79" s="182" t="e">
        <f t="shared" si="2"/>
        <v>#N/A</v>
      </c>
      <c r="L79" s="182" t="e">
        <f t="shared" si="3"/>
        <v>#N/A</v>
      </c>
      <c r="M79" s="182" t="e">
        <f t="shared" si="4"/>
        <v>#N/A</v>
      </c>
      <c r="N79" s="182" t="e">
        <f t="shared" si="5"/>
        <v>#N/A</v>
      </c>
      <c r="O79" s="182" t="e">
        <f t="shared" si="6"/>
        <v>#N/A</v>
      </c>
      <c r="P79" s="184" t="e">
        <f t="shared" si="7"/>
        <v>#N/A</v>
      </c>
      <c r="Q79" s="182" t="e">
        <f t="shared" si="8"/>
        <v>#N/A</v>
      </c>
      <c r="R79" s="182"/>
      <c r="S79" s="182"/>
      <c r="T79" s="182"/>
      <c r="U79" s="182"/>
      <c r="V79" s="182"/>
      <c r="W79" s="182"/>
      <c r="X79" s="182"/>
      <c r="Y79" s="182"/>
      <c r="Z79" s="182"/>
      <c r="AA79" s="182"/>
    </row>
    <row r="80" spans="1:27" ht="14.4" hidden="1">
      <c r="A80" s="44"/>
      <c r="B80" s="44" t="s">
        <v>764</v>
      </c>
      <c r="C80" s="75" t="s">
        <v>765</v>
      </c>
      <c r="D80" s="43" t="s">
        <v>766</v>
      </c>
      <c r="E80" s="69" t="s">
        <v>314</v>
      </c>
      <c r="F80" s="69" t="s">
        <v>618</v>
      </c>
      <c r="G80" s="205">
        <f>VLOOKUP(B80,'Margin Calculation'!F:Y,20,0)</f>
        <v>1222.7760000000001</v>
      </c>
      <c r="H80" s="205">
        <f>VLOOKUP(B80,'Margin Calculation'!F:Z,21,0)</f>
        <v>1442.8756800000001</v>
      </c>
      <c r="I80" s="182" t="e">
        <f t="shared" si="0"/>
        <v>#N/A</v>
      </c>
      <c r="J80" s="182" t="e">
        <f t="shared" si="1"/>
        <v>#N/A</v>
      </c>
      <c r="K80" s="182" t="e">
        <f t="shared" si="2"/>
        <v>#N/A</v>
      </c>
      <c r="L80" s="182" t="e">
        <f t="shared" si="3"/>
        <v>#N/A</v>
      </c>
      <c r="M80" s="182" t="e">
        <f t="shared" si="4"/>
        <v>#N/A</v>
      </c>
      <c r="N80" s="182" t="e">
        <f t="shared" si="5"/>
        <v>#N/A</v>
      </c>
      <c r="O80" s="182" t="e">
        <f t="shared" si="6"/>
        <v>#N/A</v>
      </c>
      <c r="P80" s="184" t="e">
        <f t="shared" si="7"/>
        <v>#N/A</v>
      </c>
      <c r="Q80" s="182" t="e">
        <f t="shared" si="8"/>
        <v>#N/A</v>
      </c>
      <c r="R80" s="182"/>
      <c r="S80" s="182"/>
      <c r="T80" s="182"/>
      <c r="U80" s="182"/>
      <c r="V80" s="182"/>
      <c r="W80" s="182"/>
      <c r="X80" s="182"/>
      <c r="Y80" s="182"/>
      <c r="Z80" s="182"/>
      <c r="AA80" s="182"/>
    </row>
    <row r="81" spans="1:27" ht="14.4" hidden="1">
      <c r="A81" s="44"/>
      <c r="B81" s="44" t="s">
        <v>954</v>
      </c>
      <c r="C81" s="75" t="s">
        <v>769</v>
      </c>
      <c r="D81" s="43" t="s">
        <v>770</v>
      </c>
      <c r="E81" s="69" t="s">
        <v>314</v>
      </c>
      <c r="F81" s="69" t="s">
        <v>618</v>
      </c>
      <c r="G81" s="182" t="e">
        <f>VLOOKUP(B81,'Margin Calculation'!F:Y,20,0)</f>
        <v>#N/A</v>
      </c>
      <c r="H81" s="182" t="e">
        <f>VLOOKUP(B81,'Margin Calculation'!F:Z,21,0)</f>
        <v>#N/A</v>
      </c>
      <c r="I81" s="182" t="e">
        <f t="shared" si="0"/>
        <v>#N/A</v>
      </c>
      <c r="J81" s="182" t="e">
        <f t="shared" si="1"/>
        <v>#N/A</v>
      </c>
      <c r="K81" s="182" t="e">
        <f t="shared" si="2"/>
        <v>#N/A</v>
      </c>
      <c r="L81" s="182" t="e">
        <f t="shared" si="3"/>
        <v>#N/A</v>
      </c>
      <c r="M81" s="182" t="e">
        <f t="shared" si="4"/>
        <v>#N/A</v>
      </c>
      <c r="N81" s="182" t="e">
        <f t="shared" si="5"/>
        <v>#N/A</v>
      </c>
      <c r="O81" s="182" t="e">
        <f t="shared" si="6"/>
        <v>#N/A</v>
      </c>
      <c r="P81" s="184" t="e">
        <f t="shared" si="7"/>
        <v>#N/A</v>
      </c>
      <c r="Q81" s="182" t="e">
        <f t="shared" si="8"/>
        <v>#N/A</v>
      </c>
      <c r="R81" s="182"/>
      <c r="S81" s="182"/>
      <c r="T81" s="182"/>
      <c r="U81" s="182"/>
      <c r="V81" s="182"/>
      <c r="W81" s="182"/>
      <c r="X81" s="182"/>
      <c r="Y81" s="182"/>
      <c r="Z81" s="182"/>
      <c r="AA81" s="182"/>
    </row>
    <row r="82" spans="1:27" ht="14.4" hidden="1">
      <c r="A82" s="44"/>
      <c r="B82" s="44" t="s">
        <v>772</v>
      </c>
      <c r="C82" s="75" t="s">
        <v>773</v>
      </c>
      <c r="D82" s="43" t="s">
        <v>133</v>
      </c>
      <c r="E82" s="69" t="s">
        <v>314</v>
      </c>
      <c r="F82" s="69" t="s">
        <v>618</v>
      </c>
      <c r="G82" s="205">
        <f>VLOOKUP(B82,'Margin Calculation'!F:Y,20,0)</f>
        <v>628.71066000000008</v>
      </c>
      <c r="H82" s="205">
        <f>VLOOKUP(B82,'Margin Calculation'!F:Z,21,0)</f>
        <v>741.87857880000001</v>
      </c>
      <c r="I82" s="182" t="e">
        <f t="shared" si="0"/>
        <v>#N/A</v>
      </c>
      <c r="J82" s="182" t="e">
        <f t="shared" si="1"/>
        <v>#N/A</v>
      </c>
      <c r="K82" s="182" t="e">
        <f t="shared" si="2"/>
        <v>#N/A</v>
      </c>
      <c r="L82" s="182" t="e">
        <f t="shared" si="3"/>
        <v>#N/A</v>
      </c>
      <c r="M82" s="182" t="e">
        <f t="shared" si="4"/>
        <v>#N/A</v>
      </c>
      <c r="N82" s="182" t="e">
        <f t="shared" si="5"/>
        <v>#N/A</v>
      </c>
      <c r="O82" s="182" t="e">
        <f t="shared" si="6"/>
        <v>#N/A</v>
      </c>
      <c r="P82" s="184" t="e">
        <f t="shared" si="7"/>
        <v>#N/A</v>
      </c>
      <c r="Q82" s="182" t="e">
        <f t="shared" si="8"/>
        <v>#N/A</v>
      </c>
      <c r="R82" s="182"/>
      <c r="S82" s="182"/>
      <c r="T82" s="182"/>
      <c r="U82" s="182"/>
      <c r="V82" s="182"/>
      <c r="W82" s="182"/>
      <c r="X82" s="182"/>
      <c r="Y82" s="182"/>
      <c r="Z82" s="182"/>
      <c r="AA82" s="182"/>
    </row>
    <row r="83" spans="1:27" ht="14.4" hidden="1">
      <c r="A83" s="44"/>
      <c r="B83" s="44" t="s">
        <v>775</v>
      </c>
      <c r="C83" s="75" t="s">
        <v>776</v>
      </c>
      <c r="D83" s="43" t="s">
        <v>777</v>
      </c>
      <c r="E83" s="69" t="s">
        <v>314</v>
      </c>
      <c r="F83" s="69" t="s">
        <v>618</v>
      </c>
      <c r="G83" s="205">
        <f>VLOOKUP(B83,'Margin Calculation'!F:Y,20,0)</f>
        <v>946.84235999999999</v>
      </c>
      <c r="H83" s="205">
        <f>VLOOKUP(B83,'Margin Calculation'!F:Z,21,0)</f>
        <v>1117.2739847999999</v>
      </c>
      <c r="I83" s="182" t="e">
        <f t="shared" si="0"/>
        <v>#N/A</v>
      </c>
      <c r="J83" s="182" t="e">
        <f t="shared" si="1"/>
        <v>#N/A</v>
      </c>
      <c r="K83" s="182" t="e">
        <f t="shared" si="2"/>
        <v>#N/A</v>
      </c>
      <c r="L83" s="182" t="e">
        <f t="shared" si="3"/>
        <v>#N/A</v>
      </c>
      <c r="M83" s="182" t="e">
        <f t="shared" si="4"/>
        <v>#N/A</v>
      </c>
      <c r="N83" s="182" t="e">
        <f t="shared" si="5"/>
        <v>#N/A</v>
      </c>
      <c r="O83" s="182" t="e">
        <f t="shared" si="6"/>
        <v>#N/A</v>
      </c>
      <c r="P83" s="184" t="e">
        <f t="shared" si="7"/>
        <v>#N/A</v>
      </c>
      <c r="Q83" s="182" t="e">
        <f t="shared" si="8"/>
        <v>#N/A</v>
      </c>
      <c r="R83" s="182"/>
      <c r="S83" s="182"/>
      <c r="T83" s="182"/>
      <c r="U83" s="182"/>
      <c r="V83" s="182"/>
      <c r="W83" s="182"/>
      <c r="X83" s="182"/>
      <c r="Y83" s="182"/>
      <c r="Z83" s="182"/>
      <c r="AA83" s="182"/>
    </row>
    <row r="84" spans="1:27" ht="14.4" hidden="1">
      <c r="A84" s="44"/>
      <c r="B84" s="44" t="s">
        <v>779</v>
      </c>
      <c r="C84" s="75" t="s">
        <v>780</v>
      </c>
      <c r="D84" s="43" t="s">
        <v>781</v>
      </c>
      <c r="E84" s="69" t="s">
        <v>234</v>
      </c>
      <c r="F84" s="69" t="s">
        <v>249</v>
      </c>
      <c r="G84" s="205">
        <f>VLOOKUP(B84,'Margin Calculation'!F:Y,20,0)</f>
        <v>754.04520000000002</v>
      </c>
      <c r="H84" s="205">
        <f>VLOOKUP(B84,'Margin Calculation'!F:Z,21,0)</f>
        <v>889.77333599999997</v>
      </c>
      <c r="I84" s="182" t="e">
        <f t="shared" si="0"/>
        <v>#N/A</v>
      </c>
      <c r="J84" s="182" t="e">
        <f t="shared" si="1"/>
        <v>#N/A</v>
      </c>
      <c r="K84" s="182" t="e">
        <f t="shared" si="2"/>
        <v>#N/A</v>
      </c>
      <c r="L84" s="182" t="e">
        <f t="shared" si="3"/>
        <v>#N/A</v>
      </c>
      <c r="M84" s="182" t="e">
        <f t="shared" si="4"/>
        <v>#N/A</v>
      </c>
      <c r="N84" s="182" t="e">
        <f t="shared" si="5"/>
        <v>#N/A</v>
      </c>
      <c r="O84" s="182" t="e">
        <f t="shared" si="6"/>
        <v>#N/A</v>
      </c>
      <c r="P84" s="184" t="e">
        <f t="shared" si="7"/>
        <v>#N/A</v>
      </c>
      <c r="Q84" s="182" t="e">
        <f t="shared" si="8"/>
        <v>#N/A</v>
      </c>
      <c r="R84" s="182"/>
      <c r="S84" s="182"/>
      <c r="T84" s="182"/>
      <c r="U84" s="182"/>
      <c r="V84" s="182"/>
      <c r="W84" s="182"/>
      <c r="X84" s="182"/>
      <c r="Y84" s="182"/>
      <c r="Z84" s="182"/>
      <c r="AA84" s="182"/>
    </row>
    <row r="85" spans="1:27" ht="14.4" hidden="1">
      <c r="A85" s="69"/>
      <c r="B85" s="69" t="s">
        <v>783</v>
      </c>
      <c r="C85" s="75" t="s">
        <v>784</v>
      </c>
      <c r="D85" s="44" t="s">
        <v>785</v>
      </c>
      <c r="E85" s="44" t="s">
        <v>786</v>
      </c>
      <c r="F85" s="44"/>
      <c r="G85" s="205">
        <f>VLOOKUP(B85,'Margin Calculation'!F:Y,20,0)</f>
        <v>1209.5568000000001</v>
      </c>
      <c r="H85" s="205">
        <f>VLOOKUP(B85,'Margin Calculation'!F:Z,21,0)</f>
        <v>1427.277024</v>
      </c>
      <c r="I85" s="182" t="e">
        <f t="shared" si="0"/>
        <v>#N/A</v>
      </c>
      <c r="J85" s="182" t="e">
        <f t="shared" si="1"/>
        <v>#N/A</v>
      </c>
      <c r="K85" s="182" t="e">
        <f t="shared" si="2"/>
        <v>#N/A</v>
      </c>
      <c r="L85" s="182" t="e">
        <f t="shared" si="3"/>
        <v>#N/A</v>
      </c>
      <c r="M85" s="182" t="e">
        <f t="shared" si="4"/>
        <v>#N/A</v>
      </c>
      <c r="N85" s="182" t="e">
        <f t="shared" si="5"/>
        <v>#N/A</v>
      </c>
      <c r="O85" s="182" t="e">
        <f t="shared" si="6"/>
        <v>#N/A</v>
      </c>
      <c r="P85" s="184" t="e">
        <f t="shared" si="7"/>
        <v>#N/A</v>
      </c>
      <c r="Q85" s="182" t="e">
        <f t="shared" si="8"/>
        <v>#N/A</v>
      </c>
      <c r="R85" s="182"/>
      <c r="S85" s="182"/>
      <c r="T85" s="182"/>
      <c r="U85" s="182"/>
      <c r="V85" s="182"/>
      <c r="W85" s="182"/>
      <c r="X85" s="182"/>
      <c r="Y85" s="182"/>
      <c r="Z85" s="182"/>
      <c r="AA85" s="182"/>
    </row>
    <row r="86" spans="1:27" ht="14.4" hidden="1">
      <c r="A86" s="69"/>
      <c r="B86" s="69" t="s">
        <v>788</v>
      </c>
      <c r="C86" s="75" t="s">
        <v>789</v>
      </c>
      <c r="D86" s="44" t="s">
        <v>790</v>
      </c>
      <c r="E86" s="44" t="s">
        <v>671</v>
      </c>
      <c r="F86" s="44"/>
      <c r="G86" s="205">
        <f>VLOOKUP(B86,'Margin Calculation'!F:Y,20,0)</f>
        <v>2855.8980000000001</v>
      </c>
      <c r="H86" s="205">
        <f>VLOOKUP(B86,'Margin Calculation'!F:Z,21,0)</f>
        <v>3369.95964</v>
      </c>
      <c r="I86" s="182" t="e">
        <f t="shared" si="0"/>
        <v>#N/A</v>
      </c>
      <c r="J86" s="182" t="e">
        <f t="shared" si="1"/>
        <v>#N/A</v>
      </c>
      <c r="K86" s="182" t="e">
        <f t="shared" si="2"/>
        <v>#N/A</v>
      </c>
      <c r="L86" s="182" t="e">
        <f t="shared" si="3"/>
        <v>#N/A</v>
      </c>
      <c r="M86" s="182" t="e">
        <f t="shared" si="4"/>
        <v>#N/A</v>
      </c>
      <c r="N86" s="182" t="e">
        <f t="shared" si="5"/>
        <v>#N/A</v>
      </c>
      <c r="O86" s="182" t="e">
        <f t="shared" si="6"/>
        <v>#N/A</v>
      </c>
      <c r="P86" s="184" t="e">
        <f t="shared" si="7"/>
        <v>#N/A</v>
      </c>
      <c r="Q86" s="182" t="e">
        <f t="shared" si="8"/>
        <v>#N/A</v>
      </c>
      <c r="R86" s="182"/>
      <c r="S86" s="182"/>
      <c r="T86" s="182"/>
      <c r="U86" s="182"/>
      <c r="V86" s="182"/>
      <c r="W86" s="182"/>
      <c r="X86" s="182"/>
      <c r="Y86" s="182"/>
      <c r="Z86" s="182"/>
      <c r="AA86" s="182"/>
    </row>
    <row r="87" spans="1:27" ht="14.4">
      <c r="A87" s="44" t="s">
        <v>934</v>
      </c>
      <c r="B87" s="69" t="s">
        <v>792</v>
      </c>
      <c r="C87" s="75" t="s">
        <v>793</v>
      </c>
      <c r="D87" s="43" t="s">
        <v>794</v>
      </c>
      <c r="E87" s="43" t="s">
        <v>795</v>
      </c>
      <c r="F87" s="43"/>
      <c r="G87" s="205">
        <f>VLOOKUP(B87,'Margin Calculation'!F:Y,20,0)</f>
        <v>318.06864000000002</v>
      </c>
      <c r="H87" s="205">
        <f>VLOOKUP(B87,'Margin Calculation'!F:Z,21,0)</f>
        <v>375.32099520000003</v>
      </c>
      <c r="I87" s="179">
        <f t="shared" si="0"/>
        <v>13.5</v>
      </c>
      <c r="J87" s="179">
        <f t="shared" si="1"/>
        <v>67.5</v>
      </c>
      <c r="K87" s="179">
        <f t="shared" si="2"/>
        <v>33.75</v>
      </c>
      <c r="L87" s="179">
        <f t="shared" si="3"/>
        <v>20.25</v>
      </c>
      <c r="M87" s="179">
        <f t="shared" si="4"/>
        <v>453.06864000000002</v>
      </c>
      <c r="N87" s="179">
        <f t="shared" si="5"/>
        <v>71.243291592128912</v>
      </c>
      <c r="O87" s="179">
        <f t="shared" si="6"/>
        <v>150.68806840787107</v>
      </c>
      <c r="P87" s="184">
        <f t="shared" si="7"/>
        <v>0.22324158282647566</v>
      </c>
      <c r="Q87" s="179">
        <f t="shared" si="8"/>
        <v>675</v>
      </c>
      <c r="R87" s="182"/>
      <c r="S87" s="182"/>
      <c r="T87" s="182"/>
      <c r="U87" s="182"/>
      <c r="V87" s="182"/>
      <c r="W87" s="182"/>
      <c r="X87" s="182"/>
      <c r="Y87" s="182"/>
      <c r="Z87" s="182"/>
      <c r="AA87" s="182"/>
    </row>
    <row r="88" spans="1:27" ht="14.4" hidden="1">
      <c r="A88" s="44"/>
      <c r="B88" s="44" t="s">
        <v>797</v>
      </c>
      <c r="C88" s="75" t="s">
        <v>798</v>
      </c>
      <c r="D88" s="43" t="s">
        <v>799</v>
      </c>
      <c r="E88" s="43" t="s">
        <v>800</v>
      </c>
      <c r="F88" s="43"/>
      <c r="G88" s="205">
        <f>VLOOKUP(B88,'Margin Calculation'!F:Y,20,0)</f>
        <v>815.18400000000008</v>
      </c>
      <c r="H88" s="205">
        <f>VLOOKUP(B88,'Margin Calculation'!F:Z,21,0)</f>
        <v>961.91712000000007</v>
      </c>
      <c r="I88" s="182" t="e">
        <f t="shared" si="0"/>
        <v>#N/A</v>
      </c>
      <c r="J88" s="182" t="e">
        <f t="shared" si="1"/>
        <v>#N/A</v>
      </c>
      <c r="K88" s="182" t="e">
        <f t="shared" si="2"/>
        <v>#N/A</v>
      </c>
      <c r="L88" s="182" t="e">
        <f t="shared" si="3"/>
        <v>#N/A</v>
      </c>
      <c r="M88" s="182" t="e">
        <f t="shared" si="4"/>
        <v>#N/A</v>
      </c>
      <c r="N88" s="182" t="e">
        <f t="shared" si="5"/>
        <v>#N/A</v>
      </c>
      <c r="O88" s="182" t="e">
        <f t="shared" si="6"/>
        <v>#N/A</v>
      </c>
      <c r="P88" s="184" t="e">
        <f t="shared" si="7"/>
        <v>#N/A</v>
      </c>
      <c r="Q88" s="182" t="e">
        <f t="shared" si="8"/>
        <v>#N/A</v>
      </c>
      <c r="R88" s="182"/>
      <c r="S88" s="182"/>
      <c r="T88" s="182"/>
      <c r="U88" s="182"/>
      <c r="V88" s="182"/>
      <c r="W88" s="182"/>
      <c r="X88" s="182"/>
      <c r="Y88" s="182"/>
      <c r="Z88" s="182"/>
      <c r="AA88" s="182"/>
    </row>
    <row r="89" spans="1:27" ht="14.4" hidden="1">
      <c r="A89" s="44"/>
      <c r="B89" s="44" t="s">
        <v>802</v>
      </c>
      <c r="C89" s="75" t="s">
        <v>803</v>
      </c>
      <c r="D89" s="43" t="s">
        <v>804</v>
      </c>
      <c r="E89" s="43" t="s">
        <v>800</v>
      </c>
      <c r="F89" s="43"/>
      <c r="G89" s="205">
        <f>VLOOKUP(B89,'Margin Calculation'!F:Y,20,0)</f>
        <v>804.99420000000009</v>
      </c>
      <c r="H89" s="205">
        <f>VLOOKUP(B89,'Margin Calculation'!F:Z,21,0)</f>
        <v>949.89315600000009</v>
      </c>
      <c r="I89" s="182" t="e">
        <f t="shared" si="0"/>
        <v>#N/A</v>
      </c>
      <c r="J89" s="182" t="e">
        <f t="shared" si="1"/>
        <v>#N/A</v>
      </c>
      <c r="K89" s="182" t="e">
        <f t="shared" si="2"/>
        <v>#N/A</v>
      </c>
      <c r="L89" s="182" t="e">
        <f t="shared" si="3"/>
        <v>#N/A</v>
      </c>
      <c r="M89" s="182" t="e">
        <f t="shared" si="4"/>
        <v>#N/A</v>
      </c>
      <c r="N89" s="182" t="e">
        <f t="shared" si="5"/>
        <v>#N/A</v>
      </c>
      <c r="O89" s="182" t="e">
        <f t="shared" si="6"/>
        <v>#N/A</v>
      </c>
      <c r="P89" s="184" t="e">
        <f t="shared" si="7"/>
        <v>#N/A</v>
      </c>
      <c r="Q89" s="182" t="e">
        <f t="shared" si="8"/>
        <v>#N/A</v>
      </c>
      <c r="R89" s="182"/>
      <c r="S89" s="182"/>
      <c r="T89" s="182"/>
      <c r="U89" s="182"/>
      <c r="V89" s="182"/>
      <c r="W89" s="182"/>
      <c r="X89" s="182"/>
      <c r="Y89" s="182"/>
      <c r="Z89" s="182"/>
      <c r="AA89" s="182"/>
    </row>
    <row r="90" spans="1:27" ht="14.4" hidden="1">
      <c r="A90" s="44"/>
      <c r="B90" s="44" t="s">
        <v>806</v>
      </c>
      <c r="C90" s="75" t="s">
        <v>807</v>
      </c>
      <c r="D90" s="43" t="s">
        <v>808</v>
      </c>
      <c r="E90" s="43" t="s">
        <v>800</v>
      </c>
      <c r="F90" s="43"/>
      <c r="G90" s="205">
        <f>VLOOKUP(B90,'Margin Calculation'!F:Y,20,0)</f>
        <v>983.31569999999999</v>
      </c>
      <c r="H90" s="205">
        <f>VLOOKUP(B90,'Margin Calculation'!F:Z,21,0)</f>
        <v>1160.3125259999999</v>
      </c>
      <c r="I90" s="182" t="e">
        <f t="shared" si="0"/>
        <v>#N/A</v>
      </c>
      <c r="J90" s="182" t="e">
        <f t="shared" si="1"/>
        <v>#N/A</v>
      </c>
      <c r="K90" s="182" t="e">
        <f t="shared" si="2"/>
        <v>#N/A</v>
      </c>
      <c r="L90" s="182" t="e">
        <f t="shared" si="3"/>
        <v>#N/A</v>
      </c>
      <c r="M90" s="182" t="e">
        <f t="shared" si="4"/>
        <v>#N/A</v>
      </c>
      <c r="N90" s="182" t="e">
        <f t="shared" si="5"/>
        <v>#N/A</v>
      </c>
      <c r="O90" s="182" t="e">
        <f t="shared" si="6"/>
        <v>#N/A</v>
      </c>
      <c r="P90" s="184" t="e">
        <f t="shared" si="7"/>
        <v>#N/A</v>
      </c>
      <c r="Q90" s="182" t="e">
        <f t="shared" si="8"/>
        <v>#N/A</v>
      </c>
      <c r="R90" s="182"/>
      <c r="S90" s="182"/>
      <c r="T90" s="182"/>
      <c r="U90" s="182"/>
      <c r="V90" s="182"/>
      <c r="W90" s="182"/>
      <c r="X90" s="182"/>
      <c r="Y90" s="182"/>
      <c r="Z90" s="182"/>
      <c r="AA90" s="182"/>
    </row>
    <row r="91" spans="1:27" ht="14.4" hidden="1">
      <c r="A91" s="44"/>
      <c r="B91" s="44" t="s">
        <v>810</v>
      </c>
      <c r="C91" s="249" t="s">
        <v>811</v>
      </c>
      <c r="D91" s="44" t="s">
        <v>812</v>
      </c>
      <c r="E91" s="44" t="s">
        <v>813</v>
      </c>
      <c r="F91" s="44"/>
      <c r="G91" s="205">
        <f>VLOOKUP(B91,'Margin Calculation'!F:Y,20,0)</f>
        <v>429.92094600000001</v>
      </c>
      <c r="H91" s="205">
        <f>VLOOKUP(B91,'Margin Calculation'!F:Z,21,0)</f>
        <v>481.51145952000007</v>
      </c>
      <c r="I91" s="182" t="e">
        <f t="shared" si="0"/>
        <v>#N/A</v>
      </c>
      <c r="J91" s="182" t="e">
        <f t="shared" si="1"/>
        <v>#N/A</v>
      </c>
      <c r="K91" s="182" t="e">
        <f t="shared" si="2"/>
        <v>#N/A</v>
      </c>
      <c r="L91" s="182" t="e">
        <f t="shared" si="3"/>
        <v>#N/A</v>
      </c>
      <c r="M91" s="182" t="e">
        <f t="shared" si="4"/>
        <v>#N/A</v>
      </c>
      <c r="N91" s="182" t="e">
        <f t="shared" si="5"/>
        <v>#N/A</v>
      </c>
      <c r="O91" s="182" t="e">
        <f t="shared" si="6"/>
        <v>#N/A</v>
      </c>
      <c r="P91" s="184" t="e">
        <f t="shared" si="7"/>
        <v>#N/A</v>
      </c>
      <c r="Q91" s="182" t="e">
        <f t="shared" si="8"/>
        <v>#N/A</v>
      </c>
      <c r="R91" s="182"/>
      <c r="S91" s="182"/>
      <c r="T91" s="182"/>
      <c r="U91" s="182"/>
      <c r="V91" s="182"/>
      <c r="W91" s="182"/>
      <c r="X91" s="182"/>
      <c r="Y91" s="182"/>
      <c r="Z91" s="182"/>
      <c r="AA91" s="182"/>
    </row>
    <row r="92" spans="1:27" ht="14.4" hidden="1">
      <c r="A92" s="44"/>
      <c r="B92" s="44" t="s">
        <v>815</v>
      </c>
      <c r="C92" s="249" t="s">
        <v>816</v>
      </c>
      <c r="D92" s="44" t="s">
        <v>817</v>
      </c>
      <c r="E92" s="44" t="s">
        <v>813</v>
      </c>
      <c r="F92" s="44"/>
      <c r="G92" s="205">
        <f>VLOOKUP(B92,'Margin Calculation'!F:Y,20,0)</f>
        <v>429.92094600000001</v>
      </c>
      <c r="H92" s="205">
        <f>VLOOKUP(B92,'Margin Calculation'!F:Z,21,0)</f>
        <v>481.51145952000007</v>
      </c>
      <c r="I92" s="182" t="e">
        <f t="shared" si="0"/>
        <v>#N/A</v>
      </c>
      <c r="J92" s="182" t="e">
        <f t="shared" si="1"/>
        <v>#N/A</v>
      </c>
      <c r="K92" s="182" t="e">
        <f t="shared" si="2"/>
        <v>#N/A</v>
      </c>
      <c r="L92" s="182" t="e">
        <f t="shared" si="3"/>
        <v>#N/A</v>
      </c>
      <c r="M92" s="182" t="e">
        <f t="shared" si="4"/>
        <v>#N/A</v>
      </c>
      <c r="N92" s="182" t="e">
        <f t="shared" si="5"/>
        <v>#N/A</v>
      </c>
      <c r="O92" s="182" t="e">
        <f t="shared" si="6"/>
        <v>#N/A</v>
      </c>
      <c r="P92" s="184" t="e">
        <f t="shared" si="7"/>
        <v>#N/A</v>
      </c>
      <c r="Q92" s="182" t="e">
        <f t="shared" si="8"/>
        <v>#N/A</v>
      </c>
      <c r="R92" s="182"/>
      <c r="S92" s="182"/>
      <c r="T92" s="182"/>
      <c r="U92" s="182"/>
      <c r="V92" s="182"/>
      <c r="W92" s="182"/>
      <c r="X92" s="182"/>
      <c r="Y92" s="182"/>
      <c r="Z92" s="182"/>
      <c r="AA92" s="182"/>
    </row>
    <row r="93" spans="1:27" ht="14.4" hidden="1">
      <c r="A93" s="44"/>
      <c r="B93" s="44" t="s">
        <v>819</v>
      </c>
      <c r="C93" s="249" t="s">
        <v>820</v>
      </c>
      <c r="D93" s="44" t="s">
        <v>821</v>
      </c>
      <c r="E93" s="44" t="s">
        <v>234</v>
      </c>
      <c r="F93" s="44"/>
      <c r="G93" s="205">
        <f>VLOOKUP(B93,'Margin Calculation'!F:Y,20,0)</f>
        <v>8295.4063129764709</v>
      </c>
      <c r="H93" s="205">
        <f>VLOOKUP(B93,'Margin Calculation'!F:Z,21,0)</f>
        <v>9290.8550705336474</v>
      </c>
      <c r="I93" s="182" t="e">
        <f t="shared" si="0"/>
        <v>#N/A</v>
      </c>
      <c r="J93" s="182" t="e">
        <f t="shared" si="1"/>
        <v>#N/A</v>
      </c>
      <c r="K93" s="182" t="e">
        <f t="shared" si="2"/>
        <v>#N/A</v>
      </c>
      <c r="L93" s="182" t="e">
        <f t="shared" si="3"/>
        <v>#N/A</v>
      </c>
      <c r="M93" s="182" t="e">
        <f t="shared" si="4"/>
        <v>#N/A</v>
      </c>
      <c r="N93" s="182" t="e">
        <f t="shared" si="5"/>
        <v>#N/A</v>
      </c>
      <c r="O93" s="182" t="e">
        <f t="shared" si="6"/>
        <v>#N/A</v>
      </c>
      <c r="P93" s="184" t="e">
        <f t="shared" si="7"/>
        <v>#N/A</v>
      </c>
      <c r="Q93" s="182" t="e">
        <f t="shared" si="8"/>
        <v>#N/A</v>
      </c>
      <c r="R93" s="182"/>
      <c r="S93" s="182"/>
      <c r="T93" s="182"/>
      <c r="U93" s="182"/>
      <c r="V93" s="182"/>
      <c r="W93" s="182"/>
      <c r="X93" s="182"/>
      <c r="Y93" s="182"/>
      <c r="Z93" s="182"/>
      <c r="AA93" s="182"/>
    </row>
    <row r="94" spans="1:27" ht="14.4" hidden="1">
      <c r="A94" s="44"/>
      <c r="B94" s="44" t="s">
        <v>823</v>
      </c>
      <c r="C94" s="249" t="s">
        <v>824</v>
      </c>
      <c r="D94" s="44" t="s">
        <v>825</v>
      </c>
      <c r="E94" s="44" t="s">
        <v>234</v>
      </c>
      <c r="F94" s="44"/>
      <c r="G94" s="205">
        <f>VLOOKUP(B94,'Margin Calculation'!F:Y,20,0)</f>
        <v>5177.8063129764714</v>
      </c>
      <c r="H94" s="205">
        <f>VLOOKUP(B94,'Margin Calculation'!F:Z,21,0)</f>
        <v>5799.1430705336488</v>
      </c>
      <c r="I94" s="182" t="e">
        <f t="shared" si="0"/>
        <v>#N/A</v>
      </c>
      <c r="J94" s="182" t="e">
        <f t="shared" si="1"/>
        <v>#N/A</v>
      </c>
      <c r="K94" s="182" t="e">
        <f t="shared" si="2"/>
        <v>#N/A</v>
      </c>
      <c r="L94" s="182" t="e">
        <f t="shared" si="3"/>
        <v>#N/A</v>
      </c>
      <c r="M94" s="182" t="e">
        <f t="shared" si="4"/>
        <v>#N/A</v>
      </c>
      <c r="N94" s="182" t="e">
        <f t="shared" si="5"/>
        <v>#N/A</v>
      </c>
      <c r="O94" s="182" t="e">
        <f t="shared" si="6"/>
        <v>#N/A</v>
      </c>
      <c r="P94" s="184" t="e">
        <f t="shared" si="7"/>
        <v>#N/A</v>
      </c>
      <c r="Q94" s="182" t="e">
        <f t="shared" si="8"/>
        <v>#N/A</v>
      </c>
      <c r="R94" s="182"/>
      <c r="S94" s="182"/>
      <c r="T94" s="182"/>
      <c r="U94" s="182"/>
      <c r="V94" s="182"/>
      <c r="W94" s="182"/>
      <c r="X94" s="182"/>
      <c r="Y94" s="182"/>
      <c r="Z94" s="182"/>
      <c r="AA94" s="182"/>
    </row>
    <row r="95" spans="1:27" ht="14.4" hidden="1">
      <c r="A95" s="44"/>
      <c r="B95" s="44" t="s">
        <v>827</v>
      </c>
      <c r="C95" s="249" t="s">
        <v>828</v>
      </c>
      <c r="D95" s="44" t="s">
        <v>829</v>
      </c>
      <c r="E95" s="44" t="s">
        <v>234</v>
      </c>
      <c r="F95" s="44"/>
      <c r="G95" s="205">
        <f>VLOOKUP(B95,'Margin Calculation'!F:Y,20,0)</f>
        <v>674.89533656470587</v>
      </c>
      <c r="H95" s="205">
        <f>VLOOKUP(B95,'Margin Calculation'!F:Z,21,0)</f>
        <v>755.88277695247064</v>
      </c>
      <c r="I95" s="182" t="e">
        <f t="shared" si="0"/>
        <v>#N/A</v>
      </c>
      <c r="J95" s="182" t="e">
        <f t="shared" si="1"/>
        <v>#N/A</v>
      </c>
      <c r="K95" s="182" t="e">
        <f t="shared" si="2"/>
        <v>#N/A</v>
      </c>
      <c r="L95" s="182" t="e">
        <f t="shared" si="3"/>
        <v>#N/A</v>
      </c>
      <c r="M95" s="182" t="e">
        <f t="shared" si="4"/>
        <v>#N/A</v>
      </c>
      <c r="N95" s="182" t="e">
        <f t="shared" si="5"/>
        <v>#N/A</v>
      </c>
      <c r="O95" s="182" t="e">
        <f t="shared" si="6"/>
        <v>#N/A</v>
      </c>
      <c r="P95" s="184" t="e">
        <f t="shared" si="7"/>
        <v>#N/A</v>
      </c>
      <c r="Q95" s="182" t="e">
        <f t="shared" si="8"/>
        <v>#N/A</v>
      </c>
      <c r="R95" s="182"/>
      <c r="S95" s="182"/>
      <c r="T95" s="182"/>
      <c r="U95" s="182"/>
      <c r="V95" s="182"/>
      <c r="W95" s="182"/>
      <c r="X95" s="182"/>
      <c r="Y95" s="182"/>
      <c r="Z95" s="182"/>
      <c r="AA95" s="182"/>
    </row>
    <row r="96" spans="1:27" ht="14.4" hidden="1">
      <c r="A96" s="44"/>
      <c r="B96" s="44" t="s">
        <v>831</v>
      </c>
      <c r="C96" s="249" t="s">
        <v>832</v>
      </c>
      <c r="D96" s="44" t="s">
        <v>833</v>
      </c>
      <c r="E96" s="44" t="s">
        <v>234</v>
      </c>
      <c r="F96" s="44"/>
      <c r="G96" s="205">
        <f>VLOOKUP(B96,'Margin Calculation'!F:Y,20,0)</f>
        <v>674.89533656470587</v>
      </c>
      <c r="H96" s="205">
        <f>VLOOKUP(B96,'Margin Calculation'!F:Z,21,0)</f>
        <v>755.88277695247064</v>
      </c>
      <c r="I96" s="182" t="e">
        <f t="shared" si="0"/>
        <v>#N/A</v>
      </c>
      <c r="J96" s="182" t="e">
        <f t="shared" si="1"/>
        <v>#N/A</v>
      </c>
      <c r="K96" s="182" t="e">
        <f t="shared" si="2"/>
        <v>#N/A</v>
      </c>
      <c r="L96" s="182" t="e">
        <f t="shared" si="3"/>
        <v>#N/A</v>
      </c>
      <c r="M96" s="182" t="e">
        <f t="shared" si="4"/>
        <v>#N/A</v>
      </c>
      <c r="N96" s="182" t="e">
        <f t="shared" si="5"/>
        <v>#N/A</v>
      </c>
      <c r="O96" s="182" t="e">
        <f t="shared" si="6"/>
        <v>#N/A</v>
      </c>
      <c r="P96" s="184" t="e">
        <f t="shared" si="7"/>
        <v>#N/A</v>
      </c>
      <c r="Q96" s="182" t="e">
        <f t="shared" si="8"/>
        <v>#N/A</v>
      </c>
      <c r="R96" s="182"/>
      <c r="S96" s="182"/>
      <c r="T96" s="182"/>
      <c r="U96" s="182"/>
      <c r="V96" s="182"/>
      <c r="W96" s="182"/>
      <c r="X96" s="182"/>
      <c r="Y96" s="182"/>
      <c r="Z96" s="182"/>
      <c r="AA96" s="182"/>
    </row>
    <row r="97" spans="1:27" ht="14.4" hidden="1">
      <c r="A97" s="44"/>
      <c r="B97" s="44" t="s">
        <v>835</v>
      </c>
      <c r="C97" s="75" t="s">
        <v>836</v>
      </c>
      <c r="D97" s="43" t="s">
        <v>837</v>
      </c>
      <c r="E97" s="43" t="s">
        <v>800</v>
      </c>
      <c r="F97" s="43"/>
      <c r="G97" s="205">
        <f>VLOOKUP(B97,'Margin Calculation'!F:Y,20,0)</f>
        <v>662.33699999999999</v>
      </c>
      <c r="H97" s="205">
        <f>VLOOKUP(B97,'Margin Calculation'!F:Z,21,0)</f>
        <v>781.55765999999994</v>
      </c>
      <c r="I97" s="182" t="e">
        <f t="shared" si="0"/>
        <v>#N/A</v>
      </c>
      <c r="J97" s="182" t="e">
        <f t="shared" si="1"/>
        <v>#N/A</v>
      </c>
      <c r="K97" s="182" t="e">
        <f t="shared" si="2"/>
        <v>#N/A</v>
      </c>
      <c r="L97" s="182" t="e">
        <f t="shared" si="3"/>
        <v>#N/A</v>
      </c>
      <c r="M97" s="182" t="e">
        <f t="shared" si="4"/>
        <v>#N/A</v>
      </c>
      <c r="N97" s="182" t="e">
        <f t="shared" si="5"/>
        <v>#N/A</v>
      </c>
      <c r="O97" s="182" t="e">
        <f t="shared" si="6"/>
        <v>#N/A</v>
      </c>
      <c r="P97" s="184" t="e">
        <f t="shared" si="7"/>
        <v>#N/A</v>
      </c>
      <c r="Q97" s="182" t="e">
        <f t="shared" si="8"/>
        <v>#N/A</v>
      </c>
      <c r="R97" s="182"/>
      <c r="S97" s="182"/>
      <c r="T97" s="182"/>
      <c r="U97" s="182"/>
      <c r="V97" s="182"/>
      <c r="W97" s="182"/>
      <c r="X97" s="182"/>
      <c r="Y97" s="182"/>
      <c r="Z97" s="182"/>
      <c r="AA97" s="182"/>
    </row>
    <row r="98" spans="1:27" ht="14.4" hidden="1">
      <c r="A98" s="44"/>
      <c r="B98" s="44" t="s">
        <v>839</v>
      </c>
      <c r="C98" s="75" t="s">
        <v>840</v>
      </c>
      <c r="D98" s="43" t="s">
        <v>841</v>
      </c>
      <c r="E98" s="43" t="s">
        <v>800</v>
      </c>
      <c r="F98" s="43"/>
      <c r="G98" s="205">
        <f>VLOOKUP(B98,'Margin Calculation'!F:Y,20,0)</f>
        <v>367.85177999999996</v>
      </c>
      <c r="H98" s="205">
        <f>VLOOKUP(B98,'Margin Calculation'!F:Z,21,0)</f>
        <v>434.06510039999995</v>
      </c>
      <c r="I98" s="182" t="e">
        <f t="shared" si="0"/>
        <v>#N/A</v>
      </c>
      <c r="J98" s="182" t="e">
        <f t="shared" si="1"/>
        <v>#N/A</v>
      </c>
      <c r="K98" s="182" t="e">
        <f t="shared" si="2"/>
        <v>#N/A</v>
      </c>
      <c r="L98" s="182" t="e">
        <f t="shared" si="3"/>
        <v>#N/A</v>
      </c>
      <c r="M98" s="182" t="e">
        <f t="shared" si="4"/>
        <v>#N/A</v>
      </c>
      <c r="N98" s="182" t="e">
        <f t="shared" si="5"/>
        <v>#N/A</v>
      </c>
      <c r="O98" s="182" t="e">
        <f t="shared" si="6"/>
        <v>#N/A</v>
      </c>
      <c r="P98" s="184" t="e">
        <f t="shared" si="7"/>
        <v>#N/A</v>
      </c>
      <c r="Q98" s="182" t="e">
        <f t="shared" si="8"/>
        <v>#N/A</v>
      </c>
      <c r="R98" s="182"/>
      <c r="S98" s="182"/>
      <c r="T98" s="182"/>
      <c r="U98" s="182"/>
      <c r="V98" s="182"/>
      <c r="W98" s="182"/>
      <c r="X98" s="182"/>
      <c r="Y98" s="182"/>
      <c r="Z98" s="182"/>
      <c r="AA98" s="182"/>
    </row>
    <row r="99" spans="1:27" ht="14.4" hidden="1">
      <c r="A99" s="44"/>
      <c r="B99" s="44" t="s">
        <v>843</v>
      </c>
      <c r="C99" s="75" t="s">
        <v>844</v>
      </c>
      <c r="D99" s="43" t="s">
        <v>845</v>
      </c>
      <c r="E99" s="43" t="s">
        <v>800</v>
      </c>
      <c r="F99" s="43"/>
      <c r="G99" s="205">
        <f>VLOOKUP(B99,'Margin Calculation'!F:Y,20,0)</f>
        <v>830.46870000000001</v>
      </c>
      <c r="H99" s="205">
        <f>VLOOKUP(B99,'Margin Calculation'!F:Z,21,0)</f>
        <v>979.95306599999992</v>
      </c>
      <c r="I99" s="182" t="e">
        <f t="shared" si="0"/>
        <v>#N/A</v>
      </c>
      <c r="J99" s="182" t="e">
        <f t="shared" si="1"/>
        <v>#N/A</v>
      </c>
      <c r="K99" s="182" t="e">
        <f t="shared" si="2"/>
        <v>#N/A</v>
      </c>
      <c r="L99" s="182" t="e">
        <f t="shared" si="3"/>
        <v>#N/A</v>
      </c>
      <c r="M99" s="182" t="e">
        <f t="shared" si="4"/>
        <v>#N/A</v>
      </c>
      <c r="N99" s="182" t="e">
        <f t="shared" si="5"/>
        <v>#N/A</v>
      </c>
      <c r="O99" s="182" t="e">
        <f t="shared" si="6"/>
        <v>#N/A</v>
      </c>
      <c r="P99" s="184" t="e">
        <f t="shared" si="7"/>
        <v>#N/A</v>
      </c>
      <c r="Q99" s="182" t="e">
        <f t="shared" si="8"/>
        <v>#N/A</v>
      </c>
      <c r="R99" s="182"/>
      <c r="S99" s="182"/>
      <c r="T99" s="182"/>
      <c r="U99" s="182"/>
      <c r="V99" s="182"/>
      <c r="W99" s="182"/>
      <c r="X99" s="182"/>
      <c r="Y99" s="182"/>
      <c r="Z99" s="182"/>
      <c r="AA99" s="182"/>
    </row>
    <row r="100" spans="1:27" ht="14.4" hidden="1">
      <c r="A100" s="44"/>
      <c r="B100" s="44" t="s">
        <v>847</v>
      </c>
      <c r="C100" s="75" t="s">
        <v>848</v>
      </c>
      <c r="D100" s="43" t="s">
        <v>849</v>
      </c>
      <c r="E100" s="43" t="s">
        <v>800</v>
      </c>
      <c r="F100" s="43"/>
      <c r="G100" s="205">
        <f>VLOOKUP(B100,'Margin Calculation'!F:Y,20,0)</f>
        <v>5278.3163999999997</v>
      </c>
      <c r="H100" s="205">
        <f>VLOOKUP(B100,'Margin Calculation'!F:Z,21,0)</f>
        <v>6228.4133519999996</v>
      </c>
      <c r="I100" s="182" t="e">
        <f t="shared" si="0"/>
        <v>#N/A</v>
      </c>
      <c r="J100" s="182" t="e">
        <f t="shared" si="1"/>
        <v>#N/A</v>
      </c>
      <c r="K100" s="182" t="e">
        <f t="shared" si="2"/>
        <v>#N/A</v>
      </c>
      <c r="L100" s="182" t="e">
        <f t="shared" si="3"/>
        <v>#N/A</v>
      </c>
      <c r="M100" s="182" t="e">
        <f t="shared" si="4"/>
        <v>#N/A</v>
      </c>
      <c r="N100" s="182" t="e">
        <f t="shared" si="5"/>
        <v>#N/A</v>
      </c>
      <c r="O100" s="182" t="e">
        <f t="shared" si="6"/>
        <v>#N/A</v>
      </c>
      <c r="P100" s="184" t="e">
        <f t="shared" si="7"/>
        <v>#N/A</v>
      </c>
      <c r="Q100" s="182" t="e">
        <f t="shared" si="8"/>
        <v>#N/A</v>
      </c>
      <c r="R100" s="182"/>
      <c r="S100" s="182"/>
      <c r="T100" s="182"/>
      <c r="U100" s="182"/>
      <c r="V100" s="182"/>
      <c r="W100" s="182"/>
      <c r="X100" s="182"/>
      <c r="Y100" s="182"/>
      <c r="Z100" s="182"/>
      <c r="AA100" s="182"/>
    </row>
    <row r="101" spans="1:27" ht="14.4" hidden="1">
      <c r="A101" s="44"/>
      <c r="B101" s="44" t="s">
        <v>851</v>
      </c>
      <c r="C101" s="75" t="s">
        <v>852</v>
      </c>
      <c r="D101" s="43" t="s">
        <v>853</v>
      </c>
      <c r="E101" s="43" t="s">
        <v>800</v>
      </c>
      <c r="F101" s="43"/>
      <c r="G101" s="205">
        <f>VLOOKUP(B101,'Margin Calculation'!F:Y,20,0)</f>
        <v>2751.2459999999996</v>
      </c>
      <c r="H101" s="205">
        <f>VLOOKUP(B101,'Margin Calculation'!F:Z,21,0)</f>
        <v>3246.4702799999995</v>
      </c>
      <c r="I101" s="182" t="e">
        <f t="shared" si="0"/>
        <v>#N/A</v>
      </c>
      <c r="J101" s="182" t="e">
        <f t="shared" si="1"/>
        <v>#N/A</v>
      </c>
      <c r="K101" s="182" t="e">
        <f t="shared" si="2"/>
        <v>#N/A</v>
      </c>
      <c r="L101" s="182" t="e">
        <f t="shared" si="3"/>
        <v>#N/A</v>
      </c>
      <c r="M101" s="182" t="e">
        <f t="shared" si="4"/>
        <v>#N/A</v>
      </c>
      <c r="N101" s="182" t="e">
        <f t="shared" si="5"/>
        <v>#N/A</v>
      </c>
      <c r="O101" s="182" t="e">
        <f t="shared" si="6"/>
        <v>#N/A</v>
      </c>
      <c r="P101" s="184" t="e">
        <f t="shared" si="7"/>
        <v>#N/A</v>
      </c>
      <c r="Q101" s="182" t="e">
        <f t="shared" si="8"/>
        <v>#N/A</v>
      </c>
      <c r="R101" s="182"/>
      <c r="S101" s="182"/>
      <c r="T101" s="182"/>
      <c r="U101" s="182"/>
      <c r="V101" s="182"/>
      <c r="W101" s="182"/>
      <c r="X101" s="182"/>
      <c r="Y101" s="182"/>
      <c r="Z101" s="182"/>
      <c r="AA101" s="182"/>
    </row>
    <row r="102" spans="1:27" ht="14.4" hidden="1">
      <c r="A102" s="44"/>
      <c r="B102" s="44" t="s">
        <v>855</v>
      </c>
      <c r="C102" s="75" t="s">
        <v>856</v>
      </c>
      <c r="D102" s="43" t="s">
        <v>857</v>
      </c>
      <c r="E102" s="43" t="s">
        <v>800</v>
      </c>
      <c r="F102" s="43"/>
      <c r="G102" s="205">
        <f>VLOOKUP(B102,'Margin Calculation'!F:Y,20,0)</f>
        <v>815.18400000000008</v>
      </c>
      <c r="H102" s="205">
        <f>VLOOKUP(B102,'Margin Calculation'!F:Z,21,0)</f>
        <v>961.91712000000007</v>
      </c>
      <c r="I102" s="182" t="e">
        <f t="shared" si="0"/>
        <v>#N/A</v>
      </c>
      <c r="J102" s="182" t="e">
        <f t="shared" si="1"/>
        <v>#N/A</v>
      </c>
      <c r="K102" s="182" t="e">
        <f t="shared" si="2"/>
        <v>#N/A</v>
      </c>
      <c r="L102" s="182" t="e">
        <f t="shared" si="3"/>
        <v>#N/A</v>
      </c>
      <c r="M102" s="182" t="e">
        <f t="shared" si="4"/>
        <v>#N/A</v>
      </c>
      <c r="N102" s="182" t="e">
        <f t="shared" si="5"/>
        <v>#N/A</v>
      </c>
      <c r="O102" s="182" t="e">
        <f t="shared" si="6"/>
        <v>#N/A</v>
      </c>
      <c r="P102" s="184" t="e">
        <f t="shared" si="7"/>
        <v>#N/A</v>
      </c>
      <c r="Q102" s="182" t="e">
        <f t="shared" si="8"/>
        <v>#N/A</v>
      </c>
      <c r="R102" s="182"/>
      <c r="S102" s="182"/>
      <c r="T102" s="182"/>
      <c r="U102" s="182"/>
      <c r="V102" s="182"/>
      <c r="W102" s="182"/>
      <c r="X102" s="182"/>
      <c r="Y102" s="182"/>
      <c r="Z102" s="182"/>
      <c r="AA102" s="182"/>
    </row>
    <row r="103" spans="1:27" ht="14.4" hidden="1">
      <c r="A103" s="44"/>
      <c r="B103" s="44" t="s">
        <v>859</v>
      </c>
      <c r="C103" s="249" t="s">
        <v>860</v>
      </c>
      <c r="D103" s="44" t="s">
        <v>861</v>
      </c>
      <c r="E103" s="44" t="s">
        <v>234</v>
      </c>
      <c r="F103" s="44"/>
      <c r="G103" s="205">
        <f>VLOOKUP(B103,'Margin Calculation'!F:Y,20,0)</f>
        <v>1783.2150000000001</v>
      </c>
      <c r="H103" s="205">
        <f>VLOOKUP(B103,'Margin Calculation'!F:Z,21,0)</f>
        <v>2104.1937000000003</v>
      </c>
      <c r="I103" s="182" t="e">
        <f t="shared" si="0"/>
        <v>#N/A</v>
      </c>
      <c r="J103" s="182" t="e">
        <f t="shared" si="1"/>
        <v>#N/A</v>
      </c>
      <c r="K103" s="182" t="e">
        <f t="shared" si="2"/>
        <v>#N/A</v>
      </c>
      <c r="L103" s="182" t="e">
        <f t="shared" si="3"/>
        <v>#N/A</v>
      </c>
      <c r="M103" s="182" t="e">
        <f t="shared" si="4"/>
        <v>#N/A</v>
      </c>
      <c r="N103" s="182" t="e">
        <f t="shared" si="5"/>
        <v>#N/A</v>
      </c>
      <c r="O103" s="182" t="e">
        <f t="shared" si="6"/>
        <v>#N/A</v>
      </c>
      <c r="P103" s="184" t="e">
        <f t="shared" si="7"/>
        <v>#N/A</v>
      </c>
      <c r="Q103" s="182" t="e">
        <f t="shared" si="8"/>
        <v>#N/A</v>
      </c>
      <c r="R103" s="182"/>
      <c r="S103" s="182"/>
      <c r="T103" s="182"/>
      <c r="U103" s="182"/>
      <c r="V103" s="182"/>
      <c r="W103" s="182"/>
      <c r="X103" s="182"/>
      <c r="Y103" s="182"/>
      <c r="Z103" s="182"/>
      <c r="AA103" s="182"/>
    </row>
    <row r="104" spans="1:27" ht="14.4" hidden="1">
      <c r="A104" s="44"/>
      <c r="B104" s="44" t="s">
        <v>863</v>
      </c>
      <c r="C104" s="44" t="s">
        <v>864</v>
      </c>
      <c r="D104" s="44" t="s">
        <v>865</v>
      </c>
      <c r="E104" s="44" t="s">
        <v>314</v>
      </c>
      <c r="F104" s="44"/>
      <c r="G104" s="205">
        <f>VLOOKUP(B104,'Margin Calculation'!F:Y,20,0)</f>
        <v>1007.9640000000001</v>
      </c>
      <c r="H104" s="205">
        <f>VLOOKUP(B104,'Margin Calculation'!F:Z,21,0)</f>
        <v>1189.39752</v>
      </c>
      <c r="I104" s="182" t="e">
        <f t="shared" si="0"/>
        <v>#N/A</v>
      </c>
      <c r="J104" s="182" t="e">
        <f t="shared" si="1"/>
        <v>#N/A</v>
      </c>
      <c r="K104" s="182" t="e">
        <f t="shared" si="2"/>
        <v>#N/A</v>
      </c>
      <c r="L104" s="182" t="e">
        <f t="shared" si="3"/>
        <v>#N/A</v>
      </c>
      <c r="M104" s="182" t="e">
        <f t="shared" si="4"/>
        <v>#N/A</v>
      </c>
      <c r="N104" s="182" t="e">
        <f t="shared" si="5"/>
        <v>#N/A</v>
      </c>
      <c r="O104" s="182" t="e">
        <f t="shared" si="6"/>
        <v>#N/A</v>
      </c>
      <c r="P104" s="184" t="e">
        <f t="shared" si="7"/>
        <v>#N/A</v>
      </c>
      <c r="Q104" s="182" t="e">
        <f t="shared" si="8"/>
        <v>#N/A</v>
      </c>
      <c r="R104" s="182"/>
      <c r="S104" s="182"/>
      <c r="T104" s="182"/>
      <c r="U104" s="182"/>
      <c r="V104" s="182"/>
      <c r="W104" s="182"/>
      <c r="X104" s="182"/>
      <c r="Y104" s="182"/>
      <c r="Z104" s="182"/>
      <c r="AA104" s="182"/>
    </row>
    <row r="105" spans="1:27" ht="14.4" hidden="1">
      <c r="A105" s="140"/>
      <c r="B105" s="140" t="s">
        <v>867</v>
      </c>
      <c r="C105" s="140"/>
      <c r="D105" s="140" t="s">
        <v>868</v>
      </c>
      <c r="E105" s="212" t="s">
        <v>234</v>
      </c>
      <c r="F105" s="212" t="s">
        <v>249</v>
      </c>
      <c r="G105" s="205">
        <f>VLOOKUP(B105,'Margin Calculation'!F:Y,20,0)</f>
        <v>1406.1924000000001</v>
      </c>
      <c r="H105" s="205">
        <f>VLOOKUP(B105,'Margin Calculation'!F:Z,21,0)</f>
        <v>1659.3070320000002</v>
      </c>
      <c r="I105" s="182" t="e">
        <f t="shared" si="0"/>
        <v>#N/A</v>
      </c>
      <c r="J105" s="182" t="e">
        <f t="shared" si="1"/>
        <v>#N/A</v>
      </c>
      <c r="K105" s="182" t="e">
        <f t="shared" si="2"/>
        <v>#N/A</v>
      </c>
      <c r="L105" s="182" t="e">
        <f t="shared" si="3"/>
        <v>#N/A</v>
      </c>
      <c r="M105" s="182" t="e">
        <f t="shared" si="4"/>
        <v>#N/A</v>
      </c>
      <c r="N105" s="182" t="e">
        <f t="shared" si="5"/>
        <v>#N/A</v>
      </c>
      <c r="O105" s="182" t="e">
        <f t="shared" si="6"/>
        <v>#N/A</v>
      </c>
      <c r="P105" s="184" t="e">
        <f t="shared" si="7"/>
        <v>#N/A</v>
      </c>
      <c r="Q105" s="182" t="e">
        <f t="shared" si="8"/>
        <v>#N/A</v>
      </c>
      <c r="R105" s="182"/>
      <c r="S105" s="182"/>
      <c r="T105" s="182"/>
      <c r="U105" s="182"/>
      <c r="V105" s="182"/>
      <c r="W105" s="182"/>
      <c r="X105" s="182"/>
      <c r="Y105" s="182"/>
      <c r="Z105" s="182"/>
      <c r="AA105" s="182"/>
    </row>
    <row r="106" spans="1:27" ht="14.4" hidden="1">
      <c r="A106" s="69"/>
      <c r="B106" s="69" t="s">
        <v>870</v>
      </c>
      <c r="C106" s="75" t="s">
        <v>871</v>
      </c>
      <c r="D106" s="43" t="s">
        <v>872</v>
      </c>
      <c r="E106" s="43" t="s">
        <v>795</v>
      </c>
      <c r="F106" s="43"/>
      <c r="G106" s="205">
        <f>VLOOKUP(B106,'Margin Calculation'!F:Y,20,0)</f>
        <v>346.06763999999998</v>
      </c>
      <c r="H106" s="205">
        <f>VLOOKUP(B106,'Margin Calculation'!F:Z,21,0)</f>
        <v>408.35981519999996</v>
      </c>
      <c r="I106" s="182" t="e">
        <f t="shared" si="0"/>
        <v>#N/A</v>
      </c>
      <c r="J106" s="182" t="e">
        <f t="shared" si="1"/>
        <v>#N/A</v>
      </c>
      <c r="K106" s="182" t="e">
        <f t="shared" si="2"/>
        <v>#N/A</v>
      </c>
      <c r="L106" s="182" t="e">
        <f t="shared" si="3"/>
        <v>#N/A</v>
      </c>
      <c r="M106" s="182" t="e">
        <f t="shared" si="4"/>
        <v>#N/A</v>
      </c>
      <c r="N106" s="182" t="e">
        <f t="shared" si="5"/>
        <v>#N/A</v>
      </c>
      <c r="O106" s="182" t="e">
        <f t="shared" si="6"/>
        <v>#N/A</v>
      </c>
      <c r="P106" s="184" t="e">
        <f t="shared" si="7"/>
        <v>#N/A</v>
      </c>
      <c r="Q106" s="182" t="e">
        <f t="shared" si="8"/>
        <v>#N/A</v>
      </c>
      <c r="R106" s="182"/>
      <c r="S106" s="182"/>
      <c r="T106" s="182"/>
      <c r="U106" s="182"/>
      <c r="V106" s="182"/>
      <c r="W106" s="182"/>
      <c r="X106" s="182"/>
      <c r="Y106" s="182"/>
      <c r="Z106" s="182"/>
      <c r="AA106" s="182"/>
    </row>
    <row r="107" spans="1:27" ht="14.4">
      <c r="A107" s="44" t="s">
        <v>934</v>
      </c>
      <c r="B107" s="69" t="s">
        <v>874</v>
      </c>
      <c r="C107" s="75" t="s">
        <v>875</v>
      </c>
      <c r="D107" s="43" t="s">
        <v>876</v>
      </c>
      <c r="E107" s="212" t="s">
        <v>234</v>
      </c>
      <c r="F107" s="43" t="s">
        <v>671</v>
      </c>
      <c r="G107" s="205">
        <f>VLOOKUP(B107,'Margin Calculation'!F:Y,20,0)</f>
        <v>275</v>
      </c>
      <c r="H107" s="205">
        <f>VLOOKUP(B107,'Margin Calculation'!F:Z,21,0)</f>
        <v>324.5</v>
      </c>
      <c r="I107" s="179">
        <f t="shared" si="0"/>
        <v>11.115</v>
      </c>
      <c r="J107" s="179">
        <f t="shared" si="1"/>
        <v>55.575000000000003</v>
      </c>
      <c r="K107" s="179">
        <f t="shared" si="2"/>
        <v>27.787500000000001</v>
      </c>
      <c r="L107" s="179">
        <f t="shared" si="3"/>
        <v>16.672499999999999</v>
      </c>
      <c r="M107" s="179">
        <f t="shared" si="4"/>
        <v>386.15000000000003</v>
      </c>
      <c r="N107" s="179">
        <f t="shared" si="5"/>
        <v>58.656976744186068</v>
      </c>
      <c r="O107" s="179">
        <f t="shared" si="6"/>
        <v>110.9430232558139</v>
      </c>
      <c r="P107" s="184">
        <f t="shared" si="7"/>
        <v>0.19962757221019145</v>
      </c>
      <c r="Q107" s="179">
        <f t="shared" si="8"/>
        <v>555.75</v>
      </c>
      <c r="R107" s="182"/>
      <c r="S107" s="182"/>
      <c r="T107" s="182"/>
      <c r="U107" s="182"/>
      <c r="V107" s="182"/>
      <c r="W107" s="182"/>
      <c r="X107" s="182"/>
      <c r="Y107" s="182"/>
      <c r="Z107" s="182"/>
      <c r="AA107" s="182"/>
    </row>
    <row r="108" spans="1:27" ht="14.4" hidden="1">
      <c r="A108" s="182"/>
      <c r="B108" s="182" t="s">
        <v>879</v>
      </c>
      <c r="C108" s="367"/>
      <c r="D108" s="182" t="s">
        <v>881</v>
      </c>
      <c r="E108" s="212" t="s">
        <v>234</v>
      </c>
      <c r="F108" s="43" t="s">
        <v>671</v>
      </c>
      <c r="G108" s="205">
        <f>VLOOKUP(B108,'Margin Calculation'!F:Y,20,0)</f>
        <v>221.75208000000001</v>
      </c>
      <c r="H108" s="205">
        <f>VLOOKUP(B108,'Margin Calculation'!F:Z,21,0)</f>
        <v>261.6674544</v>
      </c>
      <c r="I108" s="182" t="e">
        <f t="shared" si="0"/>
        <v>#N/A</v>
      </c>
      <c r="J108" s="182" t="e">
        <f t="shared" si="1"/>
        <v>#N/A</v>
      </c>
      <c r="K108" s="182" t="e">
        <f t="shared" si="2"/>
        <v>#N/A</v>
      </c>
      <c r="L108" s="182" t="e">
        <f t="shared" si="3"/>
        <v>#N/A</v>
      </c>
      <c r="M108" s="182" t="e">
        <f t="shared" si="4"/>
        <v>#N/A</v>
      </c>
      <c r="N108" s="182" t="e">
        <f t="shared" si="5"/>
        <v>#N/A</v>
      </c>
      <c r="O108" s="182" t="e">
        <f t="shared" si="6"/>
        <v>#N/A</v>
      </c>
      <c r="P108" s="184" t="e">
        <f t="shared" si="7"/>
        <v>#N/A</v>
      </c>
      <c r="Q108" s="182" t="e">
        <f t="shared" si="8"/>
        <v>#N/A</v>
      </c>
      <c r="R108" s="182"/>
      <c r="S108" s="182"/>
      <c r="T108" s="182"/>
      <c r="U108" s="182"/>
      <c r="V108" s="182"/>
      <c r="W108" s="182"/>
      <c r="X108" s="182"/>
      <c r="Y108" s="182"/>
      <c r="Z108" s="182"/>
      <c r="AA108" s="182"/>
    </row>
    <row r="109" spans="1:27" ht="14.4" hidden="1">
      <c r="A109" s="182"/>
      <c r="B109" s="182" t="s">
        <v>884</v>
      </c>
      <c r="C109" s="367"/>
      <c r="D109" s="182" t="s">
        <v>886</v>
      </c>
      <c r="E109" s="212" t="s">
        <v>234</v>
      </c>
      <c r="F109" s="43" t="s">
        <v>671</v>
      </c>
      <c r="G109" s="205">
        <f>VLOOKUP(B109,'Margin Calculation'!F:Y,20,0)</f>
        <v>251.99100000000001</v>
      </c>
      <c r="H109" s="205">
        <f>VLOOKUP(B109,'Margin Calculation'!F:Z,21,0)</f>
        <v>297.34938</v>
      </c>
      <c r="I109" s="182" t="e">
        <f t="shared" si="0"/>
        <v>#N/A</v>
      </c>
      <c r="J109" s="182" t="e">
        <f t="shared" si="1"/>
        <v>#N/A</v>
      </c>
      <c r="K109" s="182" t="e">
        <f t="shared" si="2"/>
        <v>#N/A</v>
      </c>
      <c r="L109" s="182" t="e">
        <f t="shared" si="3"/>
        <v>#N/A</v>
      </c>
      <c r="M109" s="182" t="e">
        <f t="shared" si="4"/>
        <v>#N/A</v>
      </c>
      <c r="N109" s="182" t="e">
        <f t="shared" si="5"/>
        <v>#N/A</v>
      </c>
      <c r="O109" s="182" t="e">
        <f t="shared" si="6"/>
        <v>#N/A</v>
      </c>
      <c r="P109" s="184" t="e">
        <f t="shared" si="7"/>
        <v>#N/A</v>
      </c>
      <c r="Q109" s="182" t="e">
        <f t="shared" si="8"/>
        <v>#N/A</v>
      </c>
      <c r="R109" s="182"/>
      <c r="S109" s="182"/>
      <c r="T109" s="182"/>
      <c r="U109" s="182"/>
      <c r="V109" s="182"/>
      <c r="W109" s="182"/>
      <c r="X109" s="182"/>
      <c r="Y109" s="182"/>
      <c r="Z109" s="182"/>
      <c r="AA109" s="182"/>
    </row>
    <row r="110" spans="1:27" ht="14.4" hidden="1">
      <c r="A110" s="182"/>
      <c r="B110" s="182" t="s">
        <v>889</v>
      </c>
      <c r="C110" s="367"/>
      <c r="D110" s="182" t="s">
        <v>891</v>
      </c>
      <c r="E110" s="212" t="s">
        <v>234</v>
      </c>
      <c r="F110" s="43" t="s">
        <v>671</v>
      </c>
      <c r="G110" s="205">
        <f>VLOOKUP(B110,'Margin Calculation'!F:Y,20,0)</f>
        <v>1114.3602000000001</v>
      </c>
      <c r="H110" s="205">
        <f>VLOOKUP(B110,'Margin Calculation'!F:Z,21,0)</f>
        <v>1314.9450360000001</v>
      </c>
      <c r="I110" s="182" t="e">
        <f t="shared" si="0"/>
        <v>#N/A</v>
      </c>
      <c r="J110" s="182" t="e">
        <f t="shared" si="1"/>
        <v>#N/A</v>
      </c>
      <c r="K110" s="182" t="e">
        <f t="shared" si="2"/>
        <v>#N/A</v>
      </c>
      <c r="L110" s="182" t="e">
        <f t="shared" si="3"/>
        <v>#N/A</v>
      </c>
      <c r="M110" s="182" t="e">
        <f t="shared" si="4"/>
        <v>#N/A</v>
      </c>
      <c r="N110" s="182" t="e">
        <f t="shared" si="5"/>
        <v>#N/A</v>
      </c>
      <c r="O110" s="182" t="e">
        <f t="shared" si="6"/>
        <v>#N/A</v>
      </c>
      <c r="P110" s="184" t="e">
        <f t="shared" si="7"/>
        <v>#N/A</v>
      </c>
      <c r="Q110" s="182" t="e">
        <f t="shared" si="8"/>
        <v>#N/A</v>
      </c>
      <c r="R110" s="182"/>
      <c r="S110" s="182"/>
      <c r="T110" s="182"/>
      <c r="U110" s="182"/>
      <c r="V110" s="182"/>
      <c r="W110" s="182"/>
      <c r="X110" s="182"/>
      <c r="Y110" s="182"/>
      <c r="Z110" s="182"/>
      <c r="AA110" s="182"/>
    </row>
    <row r="111" spans="1:27" ht="14.4" hidden="1">
      <c r="A111" s="182"/>
      <c r="B111" s="182" t="s">
        <v>895</v>
      </c>
      <c r="C111" s="367"/>
      <c r="D111" s="182" t="s">
        <v>897</v>
      </c>
      <c r="E111" s="69" t="s">
        <v>234</v>
      </c>
      <c r="F111" s="69" t="s">
        <v>235</v>
      </c>
      <c r="G111" s="205">
        <f>VLOOKUP(B111,'Margin Calculation'!F:Y,20,0)</f>
        <v>123.1956</v>
      </c>
      <c r="H111" s="205">
        <f>VLOOKUP(B111,'Margin Calculation'!F:Z,21,0)</f>
        <v>145.37080799999998</v>
      </c>
      <c r="I111" s="182" t="e">
        <f t="shared" si="0"/>
        <v>#N/A</v>
      </c>
      <c r="J111" s="182" t="e">
        <f t="shared" si="1"/>
        <v>#N/A</v>
      </c>
      <c r="K111" s="182" t="e">
        <f t="shared" si="2"/>
        <v>#N/A</v>
      </c>
      <c r="L111" s="182" t="e">
        <f t="shared" si="3"/>
        <v>#N/A</v>
      </c>
      <c r="M111" s="182" t="e">
        <f t="shared" si="4"/>
        <v>#N/A</v>
      </c>
      <c r="N111" s="182" t="e">
        <f t="shared" si="5"/>
        <v>#N/A</v>
      </c>
      <c r="O111" s="182" t="e">
        <f t="shared" si="6"/>
        <v>#N/A</v>
      </c>
      <c r="P111" s="184" t="e">
        <f t="shared" si="7"/>
        <v>#N/A</v>
      </c>
      <c r="Q111" s="182" t="e">
        <f t="shared" si="8"/>
        <v>#N/A</v>
      </c>
      <c r="R111" s="182"/>
      <c r="S111" s="182"/>
      <c r="T111" s="182"/>
      <c r="U111" s="182"/>
      <c r="V111" s="182"/>
      <c r="W111" s="182"/>
      <c r="X111" s="182"/>
      <c r="Y111" s="182"/>
      <c r="Z111" s="182"/>
      <c r="AA111" s="182"/>
    </row>
    <row r="112" spans="1:27" ht="14.4">
      <c r="A112" s="182"/>
      <c r="B112" s="182"/>
      <c r="C112" s="182"/>
      <c r="D112" s="182"/>
      <c r="E112" s="182"/>
      <c r="F112" s="182"/>
      <c r="G112" s="182"/>
      <c r="H112" s="182"/>
      <c r="I112" s="182"/>
      <c r="J112" s="182"/>
      <c r="K112" s="182"/>
      <c r="L112" s="182"/>
      <c r="M112" s="179"/>
      <c r="N112" s="179"/>
      <c r="O112" s="179"/>
      <c r="P112" s="182"/>
      <c r="Q112" s="182"/>
      <c r="R112" s="182"/>
      <c r="S112" s="182"/>
      <c r="T112" s="182"/>
      <c r="U112" s="182"/>
      <c r="V112" s="182"/>
      <c r="W112" s="182"/>
      <c r="X112" s="182"/>
      <c r="Y112" s="182"/>
      <c r="Z112" s="182"/>
      <c r="AA112" s="182"/>
    </row>
    <row r="113" spans="1:27" ht="14.4">
      <c r="A113" s="182"/>
      <c r="B113" s="182"/>
      <c r="C113" s="182"/>
      <c r="D113" s="182"/>
      <c r="E113" s="182"/>
      <c r="F113" s="182"/>
      <c r="G113" s="182"/>
      <c r="H113" s="182"/>
      <c r="I113" s="182"/>
      <c r="J113" s="182"/>
      <c r="K113" s="182"/>
      <c r="L113" s="182"/>
      <c r="M113" s="179"/>
      <c r="N113" s="179"/>
      <c r="O113" s="179"/>
      <c r="P113" s="182"/>
      <c r="Q113" s="182"/>
      <c r="R113" s="182"/>
      <c r="S113" s="182"/>
      <c r="T113" s="182"/>
      <c r="U113" s="182"/>
      <c r="V113" s="182"/>
      <c r="W113" s="182"/>
      <c r="X113" s="182"/>
      <c r="Y113" s="182"/>
      <c r="Z113" s="182"/>
      <c r="AA113" s="182"/>
    </row>
    <row r="114" spans="1:27" ht="14.4">
      <c r="A114" s="182"/>
      <c r="B114" s="182"/>
      <c r="C114" s="182"/>
      <c r="D114" s="182"/>
      <c r="E114" s="182"/>
      <c r="F114" s="182"/>
      <c r="G114" s="182"/>
      <c r="H114" s="182"/>
      <c r="I114" s="182"/>
      <c r="J114" s="182"/>
      <c r="K114" s="182"/>
      <c r="L114" s="182"/>
      <c r="M114" s="179"/>
      <c r="N114" s="179"/>
      <c r="O114" s="179"/>
      <c r="P114" s="182"/>
      <c r="Q114" s="182"/>
      <c r="R114" s="182"/>
      <c r="S114" s="182"/>
      <c r="T114" s="182"/>
      <c r="U114" s="182"/>
      <c r="V114" s="182"/>
      <c r="W114" s="182"/>
      <c r="X114" s="182"/>
      <c r="Y114" s="182"/>
      <c r="Z114" s="182"/>
      <c r="AA114" s="182"/>
    </row>
    <row r="115" spans="1:27" ht="14.4">
      <c r="A115" s="182"/>
      <c r="B115" s="182"/>
      <c r="C115" s="182"/>
      <c r="D115" s="182"/>
      <c r="E115" s="182"/>
      <c r="F115" s="182"/>
      <c r="G115" s="182"/>
      <c r="H115" s="182"/>
      <c r="I115" s="182"/>
      <c r="J115" s="182"/>
      <c r="K115" s="182"/>
      <c r="L115" s="182"/>
      <c r="M115" s="179"/>
      <c r="N115" s="179"/>
      <c r="O115" s="179"/>
      <c r="P115" s="182"/>
      <c r="Q115" s="182"/>
      <c r="R115" s="182"/>
      <c r="S115" s="182"/>
      <c r="T115" s="182"/>
      <c r="U115" s="182"/>
      <c r="V115" s="182"/>
      <c r="W115" s="182"/>
      <c r="X115" s="182"/>
      <c r="Y115" s="182"/>
      <c r="Z115" s="182"/>
      <c r="AA115" s="182"/>
    </row>
    <row r="116" spans="1:27" ht="14.4">
      <c r="A116" s="182"/>
      <c r="B116" s="182"/>
      <c r="C116" s="182"/>
      <c r="D116" s="182"/>
      <c r="E116" s="182"/>
      <c r="F116" s="182"/>
      <c r="G116" s="182"/>
      <c r="H116" s="182"/>
      <c r="I116" s="182"/>
      <c r="J116" s="182"/>
      <c r="K116" s="182"/>
      <c r="L116" s="182"/>
      <c r="M116" s="179"/>
      <c r="N116" s="179"/>
      <c r="O116" s="179"/>
      <c r="P116" s="182"/>
      <c r="Q116" s="182"/>
      <c r="R116" s="182"/>
      <c r="S116" s="182"/>
      <c r="T116" s="182"/>
      <c r="U116" s="182"/>
      <c r="V116" s="182"/>
      <c r="W116" s="182"/>
      <c r="X116" s="182"/>
      <c r="Y116" s="182"/>
      <c r="Z116" s="182"/>
      <c r="AA116" s="182"/>
    </row>
    <row r="117" spans="1:27" ht="14.4">
      <c r="A117" s="182"/>
      <c r="B117" s="182"/>
      <c r="C117" s="182"/>
      <c r="D117" s="182"/>
      <c r="E117" s="182"/>
      <c r="F117" s="182"/>
      <c r="G117" s="182"/>
      <c r="H117" s="182"/>
      <c r="I117" s="182"/>
      <c r="J117" s="182"/>
      <c r="K117" s="182"/>
      <c r="L117" s="182"/>
      <c r="M117" s="179"/>
      <c r="N117" s="179"/>
      <c r="O117" s="179"/>
      <c r="P117" s="182"/>
      <c r="Q117" s="182"/>
      <c r="R117" s="182"/>
      <c r="S117" s="182"/>
      <c r="T117" s="182"/>
      <c r="U117" s="182"/>
      <c r="V117" s="182"/>
      <c r="W117" s="182"/>
      <c r="X117" s="182"/>
      <c r="Y117" s="182"/>
      <c r="Z117" s="182"/>
      <c r="AA117" s="182"/>
    </row>
    <row r="118" spans="1:27" ht="14.4">
      <c r="A118" s="182"/>
      <c r="B118" s="182"/>
      <c r="C118" s="182"/>
      <c r="D118" s="182"/>
      <c r="E118" s="182"/>
      <c r="F118" s="182"/>
      <c r="G118" s="182"/>
      <c r="H118" s="182"/>
      <c r="I118" s="182"/>
      <c r="J118" s="182"/>
      <c r="K118" s="182"/>
      <c r="L118" s="182"/>
      <c r="M118" s="179"/>
      <c r="N118" s="179"/>
      <c r="O118" s="179"/>
      <c r="P118" s="182"/>
      <c r="Q118" s="182"/>
      <c r="R118" s="182"/>
      <c r="S118" s="182"/>
      <c r="T118" s="182"/>
      <c r="U118" s="182"/>
      <c r="V118" s="182"/>
      <c r="W118" s="182"/>
      <c r="X118" s="182"/>
      <c r="Y118" s="182"/>
      <c r="Z118" s="182"/>
      <c r="AA118" s="182"/>
    </row>
    <row r="119" spans="1:27" ht="14.4">
      <c r="A119" s="182"/>
      <c r="B119" s="182"/>
      <c r="C119" s="182"/>
      <c r="D119" s="182"/>
      <c r="E119" s="182"/>
      <c r="F119" s="182"/>
      <c r="G119" s="182"/>
      <c r="H119" s="182"/>
      <c r="I119" s="182"/>
      <c r="J119" s="182"/>
      <c r="K119" s="182"/>
      <c r="L119" s="182"/>
      <c r="M119" s="179"/>
      <c r="N119" s="179"/>
      <c r="O119" s="179"/>
      <c r="P119" s="182"/>
      <c r="Q119" s="182"/>
      <c r="R119" s="182"/>
      <c r="S119" s="182"/>
      <c r="T119" s="182"/>
      <c r="U119" s="182"/>
      <c r="V119" s="182"/>
      <c r="W119" s="182"/>
      <c r="X119" s="182"/>
      <c r="Y119" s="182"/>
      <c r="Z119" s="182"/>
      <c r="AA119" s="182"/>
    </row>
    <row r="120" spans="1:27" ht="14.4">
      <c r="A120" s="182"/>
      <c r="B120" s="182"/>
      <c r="C120" s="182"/>
      <c r="D120" s="182"/>
      <c r="E120" s="182"/>
      <c r="F120" s="182"/>
      <c r="G120" s="182"/>
      <c r="H120" s="182"/>
      <c r="I120" s="182"/>
      <c r="J120" s="182"/>
      <c r="K120" s="182"/>
      <c r="L120" s="182"/>
      <c r="M120" s="179"/>
      <c r="N120" s="179"/>
      <c r="O120" s="179"/>
      <c r="P120" s="182"/>
      <c r="Q120" s="182"/>
      <c r="R120" s="182"/>
      <c r="S120" s="182"/>
      <c r="T120" s="182"/>
      <c r="U120" s="182"/>
      <c r="V120" s="182"/>
      <c r="W120" s="182"/>
      <c r="X120" s="182"/>
      <c r="Y120" s="182"/>
      <c r="Z120" s="182"/>
      <c r="AA120" s="182"/>
    </row>
    <row r="121" spans="1:27" ht="14.4">
      <c r="A121" s="182"/>
      <c r="B121" s="182"/>
      <c r="C121" s="182"/>
      <c r="D121" s="182"/>
      <c r="E121" s="182"/>
      <c r="F121" s="182"/>
      <c r="G121" s="182"/>
      <c r="H121" s="182"/>
      <c r="I121" s="182"/>
      <c r="J121" s="182"/>
      <c r="K121" s="182"/>
      <c r="L121" s="182"/>
      <c r="M121" s="179"/>
      <c r="N121" s="179"/>
      <c r="O121" s="179"/>
      <c r="P121" s="182"/>
      <c r="Q121" s="182"/>
      <c r="R121" s="182"/>
      <c r="S121" s="182"/>
      <c r="T121" s="182"/>
      <c r="U121" s="182"/>
      <c r="V121" s="182"/>
      <c r="W121" s="182"/>
      <c r="X121" s="182"/>
      <c r="Y121" s="182"/>
      <c r="Z121" s="182"/>
      <c r="AA121" s="182"/>
    </row>
    <row r="122" spans="1:27" ht="14.4">
      <c r="A122" s="182"/>
      <c r="B122" s="182"/>
      <c r="C122" s="182"/>
      <c r="D122" s="182"/>
      <c r="E122" s="182"/>
      <c r="F122" s="182"/>
      <c r="G122" s="182"/>
      <c r="H122" s="182"/>
      <c r="I122" s="182"/>
      <c r="J122" s="182"/>
      <c r="K122" s="182"/>
      <c r="L122" s="182"/>
      <c r="M122" s="179"/>
      <c r="N122" s="179"/>
      <c r="O122" s="179"/>
      <c r="P122" s="182"/>
      <c r="Q122" s="182"/>
      <c r="R122" s="182"/>
      <c r="S122" s="182"/>
      <c r="T122" s="182"/>
      <c r="U122" s="182"/>
      <c r="V122" s="182"/>
      <c r="W122" s="182"/>
      <c r="X122" s="182"/>
      <c r="Y122" s="182"/>
      <c r="Z122" s="182"/>
      <c r="AA122" s="182"/>
    </row>
    <row r="123" spans="1:27" ht="14.4">
      <c r="A123" s="182"/>
      <c r="B123" s="182"/>
      <c r="C123" s="182"/>
      <c r="D123" s="182"/>
      <c r="E123" s="182"/>
      <c r="F123" s="182"/>
      <c r="G123" s="182"/>
      <c r="H123" s="182"/>
      <c r="I123" s="182"/>
      <c r="J123" s="182"/>
      <c r="K123" s="182"/>
      <c r="L123" s="182"/>
      <c r="M123" s="179"/>
      <c r="N123" s="179"/>
      <c r="O123" s="179"/>
      <c r="P123" s="182"/>
      <c r="Q123" s="182"/>
      <c r="R123" s="182"/>
      <c r="S123" s="182"/>
      <c r="T123" s="182"/>
      <c r="U123" s="182"/>
      <c r="V123" s="182"/>
      <c r="W123" s="182"/>
      <c r="X123" s="182"/>
      <c r="Y123" s="182"/>
      <c r="Z123" s="182"/>
      <c r="AA123" s="182"/>
    </row>
    <row r="124" spans="1:27" ht="14.4">
      <c r="A124" s="182"/>
      <c r="B124" s="182"/>
      <c r="C124" s="182"/>
      <c r="D124" s="182"/>
      <c r="E124" s="182"/>
      <c r="F124" s="182"/>
      <c r="G124" s="182"/>
      <c r="H124" s="182"/>
      <c r="I124" s="182"/>
      <c r="J124" s="182"/>
      <c r="K124" s="182"/>
      <c r="L124" s="182"/>
      <c r="M124" s="179"/>
      <c r="N124" s="179"/>
      <c r="O124" s="179"/>
      <c r="P124" s="182"/>
      <c r="Q124" s="182"/>
      <c r="R124" s="182"/>
      <c r="S124" s="182"/>
      <c r="T124" s="182"/>
      <c r="U124" s="182"/>
      <c r="V124" s="182"/>
      <c r="W124" s="182"/>
      <c r="X124" s="182"/>
      <c r="Y124" s="182"/>
      <c r="Z124" s="182"/>
      <c r="AA124" s="182"/>
    </row>
    <row r="125" spans="1:27" ht="14.4">
      <c r="A125" s="182"/>
      <c r="B125" s="182"/>
      <c r="C125" s="182"/>
      <c r="D125" s="182"/>
      <c r="E125" s="182"/>
      <c r="F125" s="182"/>
      <c r="G125" s="182"/>
      <c r="H125" s="182"/>
      <c r="I125" s="182"/>
      <c r="J125" s="182"/>
      <c r="K125" s="182"/>
      <c r="L125" s="182"/>
      <c r="M125" s="179"/>
      <c r="N125" s="179"/>
      <c r="O125" s="179"/>
      <c r="P125" s="182"/>
      <c r="Q125" s="182"/>
      <c r="R125" s="182"/>
      <c r="S125" s="182"/>
      <c r="T125" s="182"/>
      <c r="U125" s="182"/>
      <c r="V125" s="182"/>
      <c r="W125" s="182"/>
      <c r="X125" s="182"/>
      <c r="Y125" s="182"/>
      <c r="Z125" s="182"/>
      <c r="AA125" s="182"/>
    </row>
    <row r="126" spans="1:27" ht="14.4">
      <c r="A126" s="182"/>
      <c r="B126" s="182"/>
      <c r="C126" s="182"/>
      <c r="D126" s="182"/>
      <c r="E126" s="182"/>
      <c r="F126" s="182"/>
      <c r="G126" s="182"/>
      <c r="H126" s="182"/>
      <c r="I126" s="182"/>
      <c r="J126" s="182"/>
      <c r="K126" s="182"/>
      <c r="L126" s="182"/>
      <c r="M126" s="179"/>
      <c r="N126" s="179"/>
      <c r="O126" s="179"/>
      <c r="P126" s="182"/>
      <c r="Q126" s="182"/>
      <c r="R126" s="182"/>
      <c r="S126" s="182"/>
      <c r="T126" s="182"/>
      <c r="U126" s="182"/>
      <c r="V126" s="182"/>
      <c r="W126" s="182"/>
      <c r="X126" s="182"/>
      <c r="Y126" s="182"/>
      <c r="Z126" s="182"/>
      <c r="AA126" s="182"/>
    </row>
    <row r="127" spans="1:27" ht="14.4">
      <c r="A127" s="182"/>
      <c r="B127" s="182"/>
      <c r="C127" s="182"/>
      <c r="D127" s="182"/>
      <c r="E127" s="182"/>
      <c r="F127" s="182"/>
      <c r="G127" s="182"/>
      <c r="H127" s="182"/>
      <c r="I127" s="182"/>
      <c r="J127" s="182"/>
      <c r="K127" s="182"/>
      <c r="L127" s="182"/>
      <c r="M127" s="179"/>
      <c r="N127" s="179"/>
      <c r="O127" s="179"/>
      <c r="P127" s="182"/>
      <c r="Q127" s="182"/>
      <c r="R127" s="182"/>
      <c r="S127" s="182"/>
      <c r="T127" s="182"/>
      <c r="U127" s="182"/>
      <c r="V127" s="182"/>
      <c r="W127" s="182"/>
      <c r="X127" s="182"/>
      <c r="Y127" s="182"/>
      <c r="Z127" s="182"/>
      <c r="AA127" s="182"/>
    </row>
    <row r="128" spans="1:27" ht="14.4">
      <c r="A128" s="182"/>
      <c r="B128" s="182"/>
      <c r="C128" s="182"/>
      <c r="D128" s="182"/>
      <c r="E128" s="182"/>
      <c r="F128" s="182"/>
      <c r="G128" s="182"/>
      <c r="H128" s="182"/>
      <c r="I128" s="182"/>
      <c r="J128" s="182"/>
      <c r="K128" s="182"/>
      <c r="L128" s="182"/>
      <c r="M128" s="179"/>
      <c r="N128" s="179"/>
      <c r="O128" s="179"/>
      <c r="P128" s="182"/>
      <c r="Q128" s="182"/>
      <c r="R128" s="182"/>
      <c r="S128" s="182"/>
      <c r="T128" s="182"/>
      <c r="U128" s="182"/>
      <c r="V128" s="182"/>
      <c r="W128" s="182"/>
      <c r="X128" s="182"/>
      <c r="Y128" s="182"/>
      <c r="Z128" s="182"/>
      <c r="AA128" s="182"/>
    </row>
    <row r="129" spans="1:27" ht="14.4">
      <c r="A129" s="182"/>
      <c r="B129" s="182"/>
      <c r="C129" s="182"/>
      <c r="D129" s="182"/>
      <c r="E129" s="182"/>
      <c r="F129" s="182"/>
      <c r="G129" s="182"/>
      <c r="H129" s="182"/>
      <c r="I129" s="182"/>
      <c r="J129" s="182"/>
      <c r="K129" s="182"/>
      <c r="L129" s="182"/>
      <c r="M129" s="179"/>
      <c r="N129" s="179"/>
      <c r="O129" s="179"/>
      <c r="P129" s="182"/>
      <c r="Q129" s="182"/>
      <c r="R129" s="182"/>
      <c r="S129" s="182"/>
      <c r="T129" s="182"/>
      <c r="U129" s="182"/>
      <c r="V129" s="182"/>
      <c r="W129" s="182"/>
      <c r="X129" s="182"/>
      <c r="Y129" s="182"/>
      <c r="Z129" s="182"/>
      <c r="AA129" s="182"/>
    </row>
    <row r="130" spans="1:27" ht="14.4">
      <c r="A130" s="182"/>
      <c r="B130" s="182"/>
      <c r="C130" s="182"/>
      <c r="D130" s="182"/>
      <c r="E130" s="182"/>
      <c r="F130" s="182"/>
      <c r="G130" s="182"/>
      <c r="H130" s="182"/>
      <c r="I130" s="182"/>
      <c r="J130" s="182"/>
      <c r="K130" s="182"/>
      <c r="L130" s="182"/>
      <c r="M130" s="179"/>
      <c r="N130" s="179"/>
      <c r="O130" s="179"/>
      <c r="P130" s="182"/>
      <c r="Q130" s="182"/>
      <c r="R130" s="182"/>
      <c r="S130" s="182"/>
      <c r="T130" s="182"/>
      <c r="U130" s="182"/>
      <c r="V130" s="182"/>
      <c r="W130" s="182"/>
      <c r="X130" s="182"/>
      <c r="Y130" s="182"/>
      <c r="Z130" s="182"/>
      <c r="AA130" s="182"/>
    </row>
    <row r="131" spans="1:27" ht="14.4">
      <c r="A131" s="182"/>
      <c r="B131" s="182"/>
      <c r="C131" s="182"/>
      <c r="D131" s="182"/>
      <c r="E131" s="182"/>
      <c r="F131" s="182"/>
      <c r="G131" s="182"/>
      <c r="H131" s="182"/>
      <c r="I131" s="182"/>
      <c r="J131" s="182"/>
      <c r="K131" s="182"/>
      <c r="L131" s="182"/>
      <c r="M131" s="179"/>
      <c r="N131" s="179"/>
      <c r="O131" s="179"/>
      <c r="P131" s="182"/>
      <c r="Q131" s="182"/>
      <c r="R131" s="182"/>
      <c r="S131" s="182"/>
      <c r="T131" s="182"/>
      <c r="U131" s="182"/>
      <c r="V131" s="182"/>
      <c r="W131" s="182"/>
      <c r="X131" s="182"/>
      <c r="Y131" s="182"/>
      <c r="Z131" s="182"/>
      <c r="AA131" s="182"/>
    </row>
    <row r="132" spans="1:27" ht="14.4">
      <c r="A132" s="182"/>
      <c r="B132" s="182"/>
      <c r="C132" s="182"/>
      <c r="D132" s="182"/>
      <c r="E132" s="182"/>
      <c r="F132" s="182"/>
      <c r="G132" s="182"/>
      <c r="H132" s="182"/>
      <c r="I132" s="182"/>
      <c r="J132" s="182"/>
      <c r="K132" s="182"/>
      <c r="L132" s="182"/>
      <c r="M132" s="179"/>
      <c r="N132" s="179"/>
      <c r="O132" s="179"/>
      <c r="P132" s="182"/>
      <c r="Q132" s="182"/>
      <c r="R132" s="182"/>
      <c r="S132" s="182"/>
      <c r="T132" s="182"/>
      <c r="U132" s="182"/>
      <c r="V132" s="182"/>
      <c r="W132" s="182"/>
      <c r="X132" s="182"/>
      <c r="Y132" s="182"/>
      <c r="Z132" s="182"/>
      <c r="AA132" s="182"/>
    </row>
    <row r="133" spans="1:27" ht="14.4">
      <c r="A133" s="182"/>
      <c r="B133" s="182"/>
      <c r="C133" s="182"/>
      <c r="D133" s="182"/>
      <c r="E133" s="182"/>
      <c r="F133" s="182"/>
      <c r="G133" s="182"/>
      <c r="H133" s="182"/>
      <c r="I133" s="182"/>
      <c r="J133" s="182"/>
      <c r="K133" s="182"/>
      <c r="L133" s="182"/>
      <c r="M133" s="179"/>
      <c r="N133" s="179"/>
      <c r="O133" s="179"/>
      <c r="P133" s="182"/>
      <c r="Q133" s="182"/>
      <c r="R133" s="182"/>
      <c r="S133" s="182"/>
      <c r="T133" s="182"/>
      <c r="U133" s="182"/>
      <c r="V133" s="182"/>
      <c r="W133" s="182"/>
      <c r="X133" s="182"/>
      <c r="Y133" s="182"/>
      <c r="Z133" s="182"/>
      <c r="AA133" s="182"/>
    </row>
    <row r="134" spans="1:27" ht="14.4">
      <c r="A134" s="182"/>
      <c r="B134" s="182"/>
      <c r="C134" s="182"/>
      <c r="D134" s="182"/>
      <c r="E134" s="182"/>
      <c r="F134" s="182"/>
      <c r="G134" s="182"/>
      <c r="H134" s="182"/>
      <c r="I134" s="182"/>
      <c r="J134" s="182"/>
      <c r="K134" s="182"/>
      <c r="L134" s="182"/>
      <c r="M134" s="179"/>
      <c r="N134" s="179"/>
      <c r="O134" s="179"/>
      <c r="P134" s="182"/>
      <c r="Q134" s="182"/>
      <c r="R134" s="182"/>
      <c r="S134" s="182"/>
      <c r="T134" s="182"/>
      <c r="U134" s="182"/>
      <c r="V134" s="182"/>
      <c r="W134" s="182"/>
      <c r="X134" s="182"/>
      <c r="Y134" s="182"/>
      <c r="Z134" s="182"/>
      <c r="AA134" s="182"/>
    </row>
    <row r="135" spans="1:27" ht="14.4">
      <c r="A135" s="182"/>
      <c r="B135" s="182"/>
      <c r="C135" s="182"/>
      <c r="D135" s="182"/>
      <c r="E135" s="182"/>
      <c r="F135" s="182"/>
      <c r="G135" s="182"/>
      <c r="H135" s="182"/>
      <c r="I135" s="182"/>
      <c r="J135" s="182"/>
      <c r="K135" s="182"/>
      <c r="L135" s="182"/>
      <c r="M135" s="179"/>
      <c r="N135" s="179"/>
      <c r="O135" s="179"/>
      <c r="P135" s="182"/>
      <c r="Q135" s="182"/>
      <c r="R135" s="182"/>
      <c r="S135" s="182"/>
      <c r="T135" s="182"/>
      <c r="U135" s="182"/>
      <c r="V135" s="182"/>
      <c r="W135" s="182"/>
      <c r="X135" s="182"/>
      <c r="Y135" s="182"/>
      <c r="Z135" s="182"/>
      <c r="AA135" s="182"/>
    </row>
    <row r="136" spans="1:27" ht="14.4">
      <c r="A136" s="182"/>
      <c r="B136" s="182"/>
      <c r="C136" s="182"/>
      <c r="D136" s="182"/>
      <c r="E136" s="182"/>
      <c r="F136" s="182"/>
      <c r="G136" s="182"/>
      <c r="H136" s="182"/>
      <c r="I136" s="182"/>
      <c r="J136" s="182"/>
      <c r="K136" s="182"/>
      <c r="L136" s="182"/>
      <c r="M136" s="179"/>
      <c r="N136" s="179"/>
      <c r="O136" s="179"/>
      <c r="P136" s="182"/>
      <c r="Q136" s="182"/>
      <c r="R136" s="182"/>
      <c r="S136" s="182"/>
      <c r="T136" s="182"/>
      <c r="U136" s="182"/>
      <c r="V136" s="182"/>
      <c r="W136" s="182"/>
      <c r="X136" s="182"/>
      <c r="Y136" s="182"/>
      <c r="Z136" s="182"/>
      <c r="AA136" s="182"/>
    </row>
    <row r="137" spans="1:27" ht="14.4">
      <c r="A137" s="182"/>
      <c r="B137" s="182"/>
      <c r="C137" s="182"/>
      <c r="D137" s="182"/>
      <c r="E137" s="182"/>
      <c r="F137" s="182"/>
      <c r="G137" s="182"/>
      <c r="H137" s="182"/>
      <c r="I137" s="182"/>
      <c r="J137" s="182"/>
      <c r="K137" s="182"/>
      <c r="L137" s="182"/>
      <c r="M137" s="179"/>
      <c r="N137" s="179"/>
      <c r="O137" s="179"/>
      <c r="P137" s="182"/>
      <c r="Q137" s="182"/>
      <c r="R137" s="182"/>
      <c r="S137" s="182"/>
      <c r="T137" s="182"/>
      <c r="U137" s="182"/>
      <c r="V137" s="182"/>
      <c r="W137" s="182"/>
      <c r="X137" s="182"/>
      <c r="Y137" s="182"/>
      <c r="Z137" s="182"/>
      <c r="AA137" s="182"/>
    </row>
    <row r="138" spans="1:27" ht="14.4">
      <c r="A138" s="182"/>
      <c r="B138" s="182"/>
      <c r="C138" s="182"/>
      <c r="D138" s="182"/>
      <c r="E138" s="182"/>
      <c r="F138" s="182"/>
      <c r="G138" s="182"/>
      <c r="H138" s="182"/>
      <c r="I138" s="182"/>
      <c r="J138" s="182"/>
      <c r="K138" s="182"/>
      <c r="L138" s="182"/>
      <c r="M138" s="179"/>
      <c r="N138" s="179"/>
      <c r="O138" s="179"/>
      <c r="P138" s="182"/>
      <c r="Q138" s="182"/>
      <c r="R138" s="182"/>
      <c r="S138" s="182"/>
      <c r="T138" s="182"/>
      <c r="U138" s="182"/>
      <c r="V138" s="182"/>
      <c r="W138" s="182"/>
      <c r="X138" s="182"/>
      <c r="Y138" s="182"/>
      <c r="Z138" s="182"/>
      <c r="AA138" s="182"/>
    </row>
    <row r="139" spans="1:27" ht="14.4">
      <c r="A139" s="182"/>
      <c r="B139" s="182"/>
      <c r="C139" s="182"/>
      <c r="D139" s="182"/>
      <c r="E139" s="182"/>
      <c r="F139" s="182"/>
      <c r="G139" s="182"/>
      <c r="H139" s="182"/>
      <c r="I139" s="182"/>
      <c r="J139" s="182"/>
      <c r="K139" s="182"/>
      <c r="L139" s="182"/>
      <c r="M139" s="179"/>
      <c r="N139" s="179"/>
      <c r="O139" s="179"/>
      <c r="P139" s="182"/>
      <c r="Q139" s="182"/>
      <c r="R139" s="182"/>
      <c r="S139" s="182"/>
      <c r="T139" s="182"/>
      <c r="U139" s="182"/>
      <c r="V139" s="182"/>
      <c r="W139" s="182"/>
      <c r="X139" s="182"/>
      <c r="Y139" s="182"/>
      <c r="Z139" s="182"/>
      <c r="AA139" s="182"/>
    </row>
    <row r="140" spans="1:27" ht="14.4">
      <c r="A140" s="182"/>
      <c r="B140" s="182"/>
      <c r="C140" s="182"/>
      <c r="D140" s="182"/>
      <c r="E140" s="182"/>
      <c r="F140" s="182"/>
      <c r="G140" s="182"/>
      <c r="H140" s="182"/>
      <c r="I140" s="182"/>
      <c r="J140" s="182"/>
      <c r="K140" s="182"/>
      <c r="L140" s="182"/>
      <c r="M140" s="179"/>
      <c r="N140" s="179"/>
      <c r="O140" s="179"/>
      <c r="P140" s="182"/>
      <c r="Q140" s="182"/>
      <c r="R140" s="182"/>
      <c r="S140" s="182"/>
      <c r="T140" s="182"/>
      <c r="U140" s="182"/>
      <c r="V140" s="182"/>
      <c r="W140" s="182"/>
      <c r="X140" s="182"/>
      <c r="Y140" s="182"/>
      <c r="Z140" s="182"/>
      <c r="AA140" s="182"/>
    </row>
    <row r="141" spans="1:27" ht="14.4">
      <c r="A141" s="182"/>
      <c r="B141" s="182"/>
      <c r="C141" s="182"/>
      <c r="D141" s="182"/>
      <c r="E141" s="182"/>
      <c r="F141" s="182"/>
      <c r="G141" s="182"/>
      <c r="H141" s="182"/>
      <c r="I141" s="182"/>
      <c r="J141" s="182"/>
      <c r="K141" s="182"/>
      <c r="L141" s="182"/>
      <c r="M141" s="179"/>
      <c r="N141" s="179"/>
      <c r="O141" s="179"/>
      <c r="P141" s="182"/>
      <c r="Q141" s="182"/>
      <c r="R141" s="182"/>
      <c r="S141" s="182"/>
      <c r="T141" s="182"/>
      <c r="U141" s="182"/>
      <c r="V141" s="182"/>
      <c r="W141" s="182"/>
      <c r="X141" s="182"/>
      <c r="Y141" s="182"/>
      <c r="Z141" s="182"/>
      <c r="AA141" s="182"/>
    </row>
    <row r="142" spans="1:27" ht="14.4">
      <c r="A142" s="182"/>
      <c r="B142" s="182"/>
      <c r="C142" s="182"/>
      <c r="D142" s="182"/>
      <c r="E142" s="182"/>
      <c r="F142" s="182"/>
      <c r="G142" s="182"/>
      <c r="H142" s="182"/>
      <c r="I142" s="182"/>
      <c r="J142" s="182"/>
      <c r="K142" s="182"/>
      <c r="L142" s="182"/>
      <c r="M142" s="179"/>
      <c r="N142" s="179"/>
      <c r="O142" s="179"/>
      <c r="P142" s="182"/>
      <c r="Q142" s="182"/>
      <c r="R142" s="182"/>
      <c r="S142" s="182"/>
      <c r="T142" s="182"/>
      <c r="U142" s="182"/>
      <c r="V142" s="182"/>
      <c r="W142" s="182"/>
      <c r="X142" s="182"/>
      <c r="Y142" s="182"/>
      <c r="Z142" s="182"/>
      <c r="AA142" s="182"/>
    </row>
    <row r="143" spans="1:27" ht="14.4">
      <c r="A143" s="182"/>
      <c r="B143" s="182"/>
      <c r="C143" s="182"/>
      <c r="D143" s="182"/>
      <c r="E143" s="182"/>
      <c r="F143" s="182"/>
      <c r="G143" s="182"/>
      <c r="H143" s="182"/>
      <c r="I143" s="182"/>
      <c r="J143" s="182"/>
      <c r="K143" s="182"/>
      <c r="L143" s="182"/>
      <c r="M143" s="179"/>
      <c r="N143" s="179"/>
      <c r="O143" s="179"/>
      <c r="P143" s="182"/>
      <c r="Q143" s="182"/>
      <c r="R143" s="182"/>
      <c r="S143" s="182"/>
      <c r="T143" s="182"/>
      <c r="U143" s="182"/>
      <c r="V143" s="182"/>
      <c r="W143" s="182"/>
      <c r="X143" s="182"/>
      <c r="Y143" s="182"/>
      <c r="Z143" s="182"/>
      <c r="AA143" s="182"/>
    </row>
    <row r="144" spans="1:27" ht="14.4">
      <c r="A144" s="182"/>
      <c r="B144" s="182"/>
      <c r="C144" s="182"/>
      <c r="D144" s="182"/>
      <c r="E144" s="182"/>
      <c r="F144" s="182"/>
      <c r="G144" s="182"/>
      <c r="H144" s="182"/>
      <c r="I144" s="182"/>
      <c r="J144" s="182"/>
      <c r="K144" s="182"/>
      <c r="L144" s="182"/>
      <c r="M144" s="179"/>
      <c r="N144" s="179"/>
      <c r="O144" s="179"/>
      <c r="P144" s="182"/>
      <c r="Q144" s="182"/>
      <c r="R144" s="182"/>
      <c r="S144" s="182"/>
      <c r="T144" s="182"/>
      <c r="U144" s="182"/>
      <c r="V144" s="182"/>
      <c r="W144" s="182"/>
      <c r="X144" s="182"/>
      <c r="Y144" s="182"/>
      <c r="Z144" s="182"/>
      <c r="AA144" s="182"/>
    </row>
    <row r="145" spans="1:27" ht="14.4">
      <c r="A145" s="182"/>
      <c r="B145" s="182"/>
      <c r="C145" s="182"/>
      <c r="D145" s="182"/>
      <c r="E145" s="182"/>
      <c r="F145" s="182"/>
      <c r="G145" s="182"/>
      <c r="H145" s="182"/>
      <c r="I145" s="182"/>
      <c r="J145" s="182"/>
      <c r="K145" s="182"/>
      <c r="L145" s="182"/>
      <c r="M145" s="179"/>
      <c r="N145" s="179"/>
      <c r="O145" s="179"/>
      <c r="P145" s="182"/>
      <c r="Q145" s="182"/>
      <c r="R145" s="182"/>
      <c r="S145" s="182"/>
      <c r="T145" s="182"/>
      <c r="U145" s="182"/>
      <c r="V145" s="182"/>
      <c r="W145" s="182"/>
      <c r="X145" s="182"/>
      <c r="Y145" s="182"/>
      <c r="Z145" s="182"/>
      <c r="AA145" s="182"/>
    </row>
    <row r="146" spans="1:27" ht="14.4">
      <c r="A146" s="182"/>
      <c r="B146" s="182"/>
      <c r="C146" s="182"/>
      <c r="D146" s="182"/>
      <c r="E146" s="182"/>
      <c r="F146" s="182"/>
      <c r="G146" s="182"/>
      <c r="H146" s="182"/>
      <c r="I146" s="182"/>
      <c r="J146" s="182"/>
      <c r="K146" s="182"/>
      <c r="L146" s="182"/>
      <c r="M146" s="179"/>
      <c r="N146" s="179"/>
      <c r="O146" s="179"/>
      <c r="P146" s="182"/>
      <c r="Q146" s="182"/>
      <c r="R146" s="182"/>
      <c r="S146" s="182"/>
      <c r="T146" s="182"/>
      <c r="U146" s="182"/>
      <c r="V146" s="182"/>
      <c r="W146" s="182"/>
      <c r="X146" s="182"/>
      <c r="Y146" s="182"/>
      <c r="Z146" s="182"/>
      <c r="AA146" s="182"/>
    </row>
    <row r="147" spans="1:27" ht="14.4">
      <c r="A147" s="182"/>
      <c r="B147" s="182"/>
      <c r="C147" s="182"/>
      <c r="D147" s="182"/>
      <c r="E147" s="182"/>
      <c r="F147" s="182"/>
      <c r="G147" s="182"/>
      <c r="H147" s="182"/>
      <c r="I147" s="182"/>
      <c r="J147" s="182"/>
      <c r="K147" s="182"/>
      <c r="L147" s="182"/>
      <c r="M147" s="179"/>
      <c r="N147" s="179"/>
      <c r="O147" s="179"/>
      <c r="P147" s="182"/>
      <c r="Q147" s="182"/>
      <c r="R147" s="182"/>
      <c r="S147" s="182"/>
      <c r="T147" s="182"/>
      <c r="U147" s="182"/>
      <c r="V147" s="182"/>
      <c r="W147" s="182"/>
      <c r="X147" s="182"/>
      <c r="Y147" s="182"/>
      <c r="Z147" s="182"/>
      <c r="AA147" s="182"/>
    </row>
    <row r="148" spans="1:27" ht="14.4">
      <c r="A148" s="182"/>
      <c r="B148" s="182"/>
      <c r="C148" s="182"/>
      <c r="D148" s="182"/>
      <c r="E148" s="182"/>
      <c r="F148" s="182"/>
      <c r="G148" s="182"/>
      <c r="H148" s="182"/>
      <c r="I148" s="182"/>
      <c r="J148" s="182"/>
      <c r="K148" s="182"/>
      <c r="L148" s="182"/>
      <c r="M148" s="179"/>
      <c r="N148" s="179"/>
      <c r="O148" s="179"/>
      <c r="P148" s="182"/>
      <c r="Q148" s="182"/>
      <c r="R148" s="182"/>
      <c r="S148" s="182"/>
      <c r="T148" s="182"/>
      <c r="U148" s="182"/>
      <c r="V148" s="182"/>
      <c r="W148" s="182"/>
      <c r="X148" s="182"/>
      <c r="Y148" s="182"/>
      <c r="Z148" s="182"/>
      <c r="AA148" s="182"/>
    </row>
    <row r="149" spans="1:27" ht="14.4">
      <c r="A149" s="182"/>
      <c r="B149" s="182"/>
      <c r="C149" s="182"/>
      <c r="D149" s="182"/>
      <c r="E149" s="182"/>
      <c r="F149" s="182"/>
      <c r="G149" s="182"/>
      <c r="H149" s="182"/>
      <c r="I149" s="182"/>
      <c r="J149" s="182"/>
      <c r="K149" s="182"/>
      <c r="L149" s="182"/>
      <c r="M149" s="179"/>
      <c r="N149" s="179"/>
      <c r="O149" s="179"/>
      <c r="P149" s="182"/>
      <c r="Q149" s="182"/>
      <c r="R149" s="182"/>
      <c r="S149" s="182"/>
      <c r="T149" s="182"/>
      <c r="U149" s="182"/>
      <c r="V149" s="182"/>
      <c r="W149" s="182"/>
      <c r="X149" s="182"/>
      <c r="Y149" s="182"/>
      <c r="Z149" s="182"/>
      <c r="AA149" s="182"/>
    </row>
    <row r="150" spans="1:27" ht="14.4">
      <c r="A150" s="182"/>
      <c r="B150" s="182"/>
      <c r="C150" s="182"/>
      <c r="D150" s="182"/>
      <c r="E150" s="182"/>
      <c r="F150" s="182"/>
      <c r="G150" s="182"/>
      <c r="H150" s="182"/>
      <c r="I150" s="182"/>
      <c r="J150" s="182"/>
      <c r="K150" s="182"/>
      <c r="L150" s="182"/>
      <c r="M150" s="179"/>
      <c r="N150" s="179"/>
      <c r="O150" s="179"/>
      <c r="P150" s="182"/>
      <c r="Q150" s="182"/>
      <c r="R150" s="182"/>
      <c r="S150" s="182"/>
      <c r="T150" s="182"/>
      <c r="U150" s="182"/>
      <c r="V150" s="182"/>
      <c r="W150" s="182"/>
      <c r="X150" s="182"/>
      <c r="Y150" s="182"/>
      <c r="Z150" s="182"/>
      <c r="AA150" s="182"/>
    </row>
    <row r="151" spans="1:27" ht="14.4">
      <c r="A151" s="182"/>
      <c r="B151" s="182"/>
      <c r="C151" s="182"/>
      <c r="D151" s="182"/>
      <c r="E151" s="182"/>
      <c r="F151" s="182"/>
      <c r="G151" s="182"/>
      <c r="H151" s="182"/>
      <c r="I151" s="182"/>
      <c r="J151" s="182"/>
      <c r="K151" s="182"/>
      <c r="L151" s="182"/>
      <c r="M151" s="179"/>
      <c r="N151" s="179"/>
      <c r="O151" s="179"/>
      <c r="P151" s="182"/>
      <c r="Q151" s="182"/>
      <c r="R151" s="182"/>
      <c r="S151" s="182"/>
      <c r="T151" s="182"/>
      <c r="U151" s="182"/>
      <c r="V151" s="182"/>
      <c r="W151" s="182"/>
      <c r="X151" s="182"/>
      <c r="Y151" s="182"/>
      <c r="Z151" s="182"/>
      <c r="AA151" s="182"/>
    </row>
    <row r="152" spans="1:27" ht="14.4">
      <c r="A152" s="182"/>
      <c r="B152" s="182"/>
      <c r="C152" s="182"/>
      <c r="D152" s="182"/>
      <c r="E152" s="182"/>
      <c r="F152" s="182"/>
      <c r="G152" s="182"/>
      <c r="H152" s="182"/>
      <c r="I152" s="182"/>
      <c r="J152" s="182"/>
      <c r="K152" s="182"/>
      <c r="L152" s="182"/>
      <c r="M152" s="179"/>
      <c r="N152" s="179"/>
      <c r="O152" s="179"/>
      <c r="P152" s="182"/>
      <c r="Q152" s="182"/>
      <c r="R152" s="182"/>
      <c r="S152" s="182"/>
      <c r="T152" s="182"/>
      <c r="U152" s="182"/>
      <c r="V152" s="182"/>
      <c r="W152" s="182"/>
      <c r="X152" s="182"/>
      <c r="Y152" s="182"/>
      <c r="Z152" s="182"/>
      <c r="AA152" s="182"/>
    </row>
    <row r="153" spans="1:27" ht="14.4">
      <c r="A153" s="182"/>
      <c r="B153" s="182"/>
      <c r="C153" s="182"/>
      <c r="D153" s="182"/>
      <c r="E153" s="182"/>
      <c r="F153" s="182"/>
      <c r="G153" s="182"/>
      <c r="H153" s="182"/>
      <c r="I153" s="182"/>
      <c r="J153" s="182"/>
      <c r="K153" s="182"/>
      <c r="L153" s="182"/>
      <c r="M153" s="179"/>
      <c r="N153" s="179"/>
      <c r="O153" s="179"/>
      <c r="P153" s="182"/>
      <c r="Q153" s="182"/>
      <c r="R153" s="182"/>
      <c r="S153" s="182"/>
      <c r="T153" s="182"/>
      <c r="U153" s="182"/>
      <c r="V153" s="182"/>
      <c r="W153" s="182"/>
      <c r="X153" s="182"/>
      <c r="Y153" s="182"/>
      <c r="Z153" s="182"/>
      <c r="AA153" s="182"/>
    </row>
    <row r="154" spans="1:27" ht="14.4">
      <c r="A154" s="182"/>
      <c r="B154" s="182"/>
      <c r="C154" s="182"/>
      <c r="D154" s="182"/>
      <c r="E154" s="182"/>
      <c r="F154" s="182"/>
      <c r="G154" s="182"/>
      <c r="H154" s="182"/>
      <c r="I154" s="182"/>
      <c r="J154" s="182"/>
      <c r="K154" s="182"/>
      <c r="L154" s="182"/>
      <c r="M154" s="179"/>
      <c r="N154" s="179"/>
      <c r="O154" s="179"/>
      <c r="P154" s="182"/>
      <c r="Q154" s="182"/>
      <c r="R154" s="182"/>
      <c r="S154" s="182"/>
      <c r="T154" s="182"/>
      <c r="U154" s="182"/>
      <c r="V154" s="182"/>
      <c r="W154" s="182"/>
      <c r="X154" s="182"/>
      <c r="Y154" s="182"/>
      <c r="Z154" s="182"/>
      <c r="AA154" s="182"/>
    </row>
    <row r="155" spans="1:27" ht="14.4">
      <c r="A155" s="182"/>
      <c r="B155" s="182"/>
      <c r="C155" s="182"/>
      <c r="D155" s="182"/>
      <c r="E155" s="182"/>
      <c r="F155" s="182"/>
      <c r="G155" s="182"/>
      <c r="H155" s="182"/>
      <c r="I155" s="182"/>
      <c r="J155" s="182"/>
      <c r="K155" s="182"/>
      <c r="L155" s="182"/>
      <c r="M155" s="179"/>
      <c r="N155" s="179"/>
      <c r="O155" s="179"/>
      <c r="P155" s="182"/>
      <c r="Q155" s="182"/>
      <c r="R155" s="182"/>
      <c r="S155" s="182"/>
      <c r="T155" s="182"/>
      <c r="U155" s="182"/>
      <c r="V155" s="182"/>
      <c r="W155" s="182"/>
      <c r="X155" s="182"/>
      <c r="Y155" s="182"/>
      <c r="Z155" s="182"/>
      <c r="AA155" s="182"/>
    </row>
    <row r="156" spans="1:27" ht="14.4">
      <c r="A156" s="182"/>
      <c r="B156" s="182"/>
      <c r="C156" s="182"/>
      <c r="D156" s="182"/>
      <c r="E156" s="182"/>
      <c r="F156" s="182"/>
      <c r="G156" s="182"/>
      <c r="H156" s="182"/>
      <c r="I156" s="182"/>
      <c r="J156" s="182"/>
      <c r="K156" s="182"/>
      <c r="L156" s="182"/>
      <c r="M156" s="179"/>
      <c r="N156" s="179"/>
      <c r="O156" s="179"/>
      <c r="P156" s="182"/>
      <c r="Q156" s="182"/>
      <c r="R156" s="182"/>
      <c r="S156" s="182"/>
      <c r="T156" s="182"/>
      <c r="U156" s="182"/>
      <c r="V156" s="182"/>
      <c r="W156" s="182"/>
      <c r="X156" s="182"/>
      <c r="Y156" s="182"/>
      <c r="Z156" s="182"/>
      <c r="AA156" s="182"/>
    </row>
    <row r="157" spans="1:27" ht="14.4">
      <c r="A157" s="182"/>
      <c r="B157" s="182"/>
      <c r="C157" s="182"/>
      <c r="D157" s="182"/>
      <c r="E157" s="182"/>
      <c r="F157" s="182"/>
      <c r="G157" s="182"/>
      <c r="H157" s="182"/>
      <c r="I157" s="182"/>
      <c r="J157" s="182"/>
      <c r="K157" s="182"/>
      <c r="L157" s="182"/>
      <c r="M157" s="179"/>
      <c r="N157" s="179"/>
      <c r="O157" s="179"/>
      <c r="P157" s="182"/>
      <c r="Q157" s="182"/>
      <c r="R157" s="182"/>
      <c r="S157" s="182"/>
      <c r="T157" s="182"/>
      <c r="U157" s="182"/>
      <c r="V157" s="182"/>
      <c r="W157" s="182"/>
      <c r="X157" s="182"/>
      <c r="Y157" s="182"/>
      <c r="Z157" s="182"/>
      <c r="AA157" s="182"/>
    </row>
    <row r="158" spans="1:27" ht="14.4">
      <c r="A158" s="182"/>
      <c r="B158" s="182"/>
      <c r="C158" s="182"/>
      <c r="D158" s="182"/>
      <c r="E158" s="182"/>
      <c r="F158" s="182"/>
      <c r="G158" s="182"/>
      <c r="H158" s="182"/>
      <c r="I158" s="182"/>
      <c r="J158" s="182"/>
      <c r="K158" s="182"/>
      <c r="L158" s="182"/>
      <c r="M158" s="179"/>
      <c r="N158" s="179"/>
      <c r="O158" s="179"/>
      <c r="P158" s="182"/>
      <c r="Q158" s="182"/>
      <c r="R158" s="182"/>
      <c r="S158" s="182"/>
      <c r="T158" s="182"/>
      <c r="U158" s="182"/>
      <c r="V158" s="182"/>
      <c r="W158" s="182"/>
      <c r="X158" s="182"/>
      <c r="Y158" s="182"/>
      <c r="Z158" s="182"/>
      <c r="AA158" s="182"/>
    </row>
    <row r="159" spans="1:27" ht="14.4">
      <c r="A159" s="182"/>
      <c r="B159" s="182"/>
      <c r="C159" s="182"/>
      <c r="D159" s="182"/>
      <c r="E159" s="182"/>
      <c r="F159" s="182"/>
      <c r="G159" s="182"/>
      <c r="H159" s="182"/>
      <c r="I159" s="182"/>
      <c r="J159" s="182"/>
      <c r="K159" s="182"/>
      <c r="L159" s="182"/>
      <c r="M159" s="179"/>
      <c r="N159" s="179"/>
      <c r="O159" s="179"/>
      <c r="P159" s="182"/>
      <c r="Q159" s="182"/>
      <c r="R159" s="182"/>
      <c r="S159" s="182"/>
      <c r="T159" s="182"/>
      <c r="U159" s="182"/>
      <c r="V159" s="182"/>
      <c r="W159" s="182"/>
      <c r="X159" s="182"/>
      <c r="Y159" s="182"/>
      <c r="Z159" s="182"/>
      <c r="AA159" s="182"/>
    </row>
    <row r="160" spans="1:27" ht="14.4">
      <c r="A160" s="182"/>
      <c r="B160" s="182"/>
      <c r="C160" s="182"/>
      <c r="D160" s="182"/>
      <c r="E160" s="182"/>
      <c r="F160" s="182"/>
      <c r="G160" s="182"/>
      <c r="H160" s="182"/>
      <c r="I160" s="182"/>
      <c r="J160" s="182"/>
      <c r="K160" s="182"/>
      <c r="L160" s="182"/>
      <c r="M160" s="179"/>
      <c r="N160" s="179"/>
      <c r="O160" s="179"/>
      <c r="P160" s="182"/>
      <c r="Q160" s="182"/>
      <c r="R160" s="182"/>
      <c r="S160" s="182"/>
      <c r="T160" s="182"/>
      <c r="U160" s="182"/>
      <c r="V160" s="182"/>
      <c r="W160" s="182"/>
      <c r="X160" s="182"/>
      <c r="Y160" s="182"/>
      <c r="Z160" s="182"/>
      <c r="AA160" s="182"/>
    </row>
    <row r="161" spans="1:27" ht="14.4">
      <c r="A161" s="182"/>
      <c r="B161" s="182"/>
      <c r="C161" s="182"/>
      <c r="D161" s="182"/>
      <c r="E161" s="182"/>
      <c r="F161" s="182"/>
      <c r="G161" s="182"/>
      <c r="H161" s="182"/>
      <c r="I161" s="182"/>
      <c r="J161" s="182"/>
      <c r="K161" s="182"/>
      <c r="L161" s="182"/>
      <c r="M161" s="179"/>
      <c r="N161" s="179"/>
      <c r="O161" s="179"/>
      <c r="P161" s="182"/>
      <c r="Q161" s="182"/>
      <c r="R161" s="182"/>
      <c r="S161" s="182"/>
      <c r="T161" s="182"/>
      <c r="U161" s="182"/>
      <c r="V161" s="182"/>
      <c r="W161" s="182"/>
      <c r="X161" s="182"/>
      <c r="Y161" s="182"/>
      <c r="Z161" s="182"/>
      <c r="AA161" s="182"/>
    </row>
    <row r="162" spans="1:27" ht="14.4">
      <c r="A162" s="182"/>
      <c r="B162" s="182"/>
      <c r="C162" s="182"/>
      <c r="D162" s="182"/>
      <c r="E162" s="182"/>
      <c r="F162" s="182"/>
      <c r="G162" s="182"/>
      <c r="H162" s="182"/>
      <c r="I162" s="182"/>
      <c r="J162" s="182"/>
      <c r="K162" s="182"/>
      <c r="L162" s="182"/>
      <c r="M162" s="179"/>
      <c r="N162" s="179"/>
      <c r="O162" s="179"/>
      <c r="P162" s="182"/>
      <c r="Q162" s="182"/>
      <c r="R162" s="182"/>
      <c r="S162" s="182"/>
      <c r="T162" s="182"/>
      <c r="U162" s="182"/>
      <c r="V162" s="182"/>
      <c r="W162" s="182"/>
      <c r="X162" s="182"/>
      <c r="Y162" s="182"/>
      <c r="Z162" s="182"/>
      <c r="AA162" s="182"/>
    </row>
    <row r="163" spans="1:27" ht="14.4">
      <c r="A163" s="182"/>
      <c r="B163" s="182"/>
      <c r="C163" s="182"/>
      <c r="D163" s="182"/>
      <c r="E163" s="182"/>
      <c r="F163" s="182"/>
      <c r="G163" s="182"/>
      <c r="H163" s="182"/>
      <c r="I163" s="182"/>
      <c r="J163" s="182"/>
      <c r="K163" s="182"/>
      <c r="L163" s="182"/>
      <c r="M163" s="179"/>
      <c r="N163" s="179"/>
      <c r="O163" s="179"/>
      <c r="P163" s="182"/>
      <c r="Q163" s="182"/>
      <c r="R163" s="182"/>
      <c r="S163" s="182"/>
      <c r="T163" s="182"/>
      <c r="U163" s="182"/>
      <c r="V163" s="182"/>
      <c r="W163" s="182"/>
      <c r="X163" s="182"/>
      <c r="Y163" s="182"/>
      <c r="Z163" s="182"/>
      <c r="AA163" s="182"/>
    </row>
    <row r="164" spans="1:27" ht="14.4">
      <c r="A164" s="182"/>
      <c r="B164" s="182"/>
      <c r="C164" s="182"/>
      <c r="D164" s="182"/>
      <c r="E164" s="182"/>
      <c r="F164" s="182"/>
      <c r="G164" s="182"/>
      <c r="H164" s="182"/>
      <c r="I164" s="182"/>
      <c r="J164" s="182"/>
      <c r="K164" s="182"/>
      <c r="L164" s="182"/>
      <c r="M164" s="179"/>
      <c r="N164" s="179"/>
      <c r="O164" s="179"/>
      <c r="P164" s="182"/>
      <c r="Q164" s="182"/>
      <c r="R164" s="182"/>
      <c r="S164" s="182"/>
      <c r="T164" s="182"/>
      <c r="U164" s="182"/>
      <c r="V164" s="182"/>
      <c r="W164" s="182"/>
      <c r="X164" s="182"/>
      <c r="Y164" s="182"/>
      <c r="Z164" s="182"/>
      <c r="AA164" s="182"/>
    </row>
    <row r="165" spans="1:27" ht="14.4">
      <c r="A165" s="182"/>
      <c r="B165" s="182"/>
      <c r="C165" s="182"/>
      <c r="D165" s="182"/>
      <c r="E165" s="182"/>
      <c r="F165" s="182"/>
      <c r="G165" s="182"/>
      <c r="H165" s="182"/>
      <c r="I165" s="182"/>
      <c r="J165" s="182"/>
      <c r="K165" s="182"/>
      <c r="L165" s="182"/>
      <c r="M165" s="179"/>
      <c r="N165" s="179"/>
      <c r="O165" s="179"/>
      <c r="P165" s="182"/>
      <c r="Q165" s="182"/>
      <c r="R165" s="182"/>
      <c r="S165" s="182"/>
      <c r="T165" s="182"/>
      <c r="U165" s="182"/>
      <c r="V165" s="182"/>
      <c r="W165" s="182"/>
      <c r="X165" s="182"/>
      <c r="Y165" s="182"/>
      <c r="Z165" s="182"/>
      <c r="AA165" s="182"/>
    </row>
    <row r="166" spans="1:27" ht="14.4">
      <c r="A166" s="182"/>
      <c r="B166" s="182"/>
      <c r="C166" s="182"/>
      <c r="D166" s="182"/>
      <c r="E166" s="182"/>
      <c r="F166" s="182"/>
      <c r="G166" s="182"/>
      <c r="H166" s="182"/>
      <c r="I166" s="182"/>
      <c r="J166" s="182"/>
      <c r="K166" s="182"/>
      <c r="L166" s="182"/>
      <c r="M166" s="179"/>
      <c r="N166" s="179"/>
      <c r="O166" s="179"/>
      <c r="P166" s="182"/>
      <c r="Q166" s="182"/>
      <c r="R166" s="182"/>
      <c r="S166" s="182"/>
      <c r="T166" s="182"/>
      <c r="U166" s="182"/>
      <c r="V166" s="182"/>
      <c r="W166" s="182"/>
      <c r="X166" s="182"/>
      <c r="Y166" s="182"/>
      <c r="Z166" s="182"/>
      <c r="AA166" s="182"/>
    </row>
    <row r="167" spans="1:27" ht="14.4">
      <c r="A167" s="182"/>
      <c r="B167" s="182"/>
      <c r="C167" s="182"/>
      <c r="D167" s="182"/>
      <c r="E167" s="182"/>
      <c r="F167" s="182"/>
      <c r="G167" s="182"/>
      <c r="H167" s="182"/>
      <c r="I167" s="182"/>
      <c r="J167" s="182"/>
      <c r="K167" s="182"/>
      <c r="L167" s="182"/>
      <c r="M167" s="179"/>
      <c r="N167" s="179"/>
      <c r="O167" s="179"/>
      <c r="P167" s="182"/>
      <c r="Q167" s="182"/>
      <c r="R167" s="182"/>
      <c r="S167" s="182"/>
      <c r="T167" s="182"/>
      <c r="U167" s="182"/>
      <c r="V167" s="182"/>
      <c r="W167" s="182"/>
      <c r="X167" s="182"/>
      <c r="Y167" s="182"/>
      <c r="Z167" s="182"/>
      <c r="AA167" s="182"/>
    </row>
    <row r="168" spans="1:27" ht="14.4">
      <c r="A168" s="182"/>
      <c r="B168" s="182"/>
      <c r="C168" s="182"/>
      <c r="D168" s="182"/>
      <c r="E168" s="182"/>
      <c r="F168" s="182"/>
      <c r="G168" s="182"/>
      <c r="H168" s="182"/>
      <c r="I168" s="182"/>
      <c r="J168" s="182"/>
      <c r="K168" s="182"/>
      <c r="L168" s="182"/>
      <c r="M168" s="179"/>
      <c r="N168" s="179"/>
      <c r="O168" s="179"/>
      <c r="P168" s="182"/>
      <c r="Q168" s="182"/>
      <c r="R168" s="182"/>
      <c r="S168" s="182"/>
      <c r="T168" s="182"/>
      <c r="U168" s="182"/>
      <c r="V168" s="182"/>
      <c r="W168" s="182"/>
      <c r="X168" s="182"/>
      <c r="Y168" s="182"/>
      <c r="Z168" s="182"/>
      <c r="AA168" s="182"/>
    </row>
    <row r="169" spans="1:27" ht="14.4">
      <c r="A169" s="182"/>
      <c r="B169" s="182"/>
      <c r="C169" s="182"/>
      <c r="D169" s="182"/>
      <c r="E169" s="182"/>
      <c r="F169" s="182"/>
      <c r="G169" s="182"/>
      <c r="H169" s="182"/>
      <c r="I169" s="182"/>
      <c r="J169" s="182"/>
      <c r="K169" s="182"/>
      <c r="L169" s="182"/>
      <c r="M169" s="179"/>
      <c r="N169" s="179"/>
      <c r="O169" s="179"/>
      <c r="P169" s="182"/>
      <c r="Q169" s="182"/>
      <c r="R169" s="182"/>
      <c r="S169" s="182"/>
      <c r="T169" s="182"/>
      <c r="U169" s="182"/>
      <c r="V169" s="182"/>
      <c r="W169" s="182"/>
      <c r="X169" s="182"/>
      <c r="Y169" s="182"/>
      <c r="Z169" s="182"/>
      <c r="AA169" s="182"/>
    </row>
    <row r="170" spans="1:27" ht="14.4">
      <c r="A170" s="182"/>
      <c r="B170" s="182"/>
      <c r="C170" s="182"/>
      <c r="D170" s="182"/>
      <c r="E170" s="182"/>
      <c r="F170" s="182"/>
      <c r="G170" s="182"/>
      <c r="H170" s="182"/>
      <c r="I170" s="182"/>
      <c r="J170" s="182"/>
      <c r="K170" s="182"/>
      <c r="L170" s="182"/>
      <c r="M170" s="179"/>
      <c r="N170" s="179"/>
      <c r="O170" s="179"/>
      <c r="P170" s="182"/>
      <c r="Q170" s="182"/>
      <c r="R170" s="182"/>
      <c r="S170" s="182"/>
      <c r="T170" s="182"/>
      <c r="U170" s="182"/>
      <c r="V170" s="182"/>
      <c r="W170" s="182"/>
      <c r="X170" s="182"/>
      <c r="Y170" s="182"/>
      <c r="Z170" s="182"/>
      <c r="AA170" s="182"/>
    </row>
    <row r="171" spans="1:27" ht="14.4">
      <c r="A171" s="182"/>
      <c r="B171" s="182"/>
      <c r="C171" s="182"/>
      <c r="D171" s="182"/>
      <c r="E171" s="182"/>
      <c r="F171" s="182"/>
      <c r="G171" s="182"/>
      <c r="H171" s="182"/>
      <c r="I171" s="182"/>
      <c r="J171" s="182"/>
      <c r="K171" s="182"/>
      <c r="L171" s="182"/>
      <c r="M171" s="179"/>
      <c r="N171" s="179"/>
      <c r="O171" s="179"/>
      <c r="P171" s="182"/>
      <c r="Q171" s="182"/>
      <c r="R171" s="182"/>
      <c r="S171" s="182"/>
      <c r="T171" s="182"/>
      <c r="U171" s="182"/>
      <c r="V171" s="182"/>
      <c r="W171" s="182"/>
      <c r="X171" s="182"/>
      <c r="Y171" s="182"/>
      <c r="Z171" s="182"/>
      <c r="AA171" s="182"/>
    </row>
    <row r="172" spans="1:27" ht="14.4">
      <c r="A172" s="182"/>
      <c r="B172" s="182"/>
      <c r="C172" s="182"/>
      <c r="D172" s="182"/>
      <c r="E172" s="182"/>
      <c r="F172" s="182"/>
      <c r="G172" s="182"/>
      <c r="H172" s="182"/>
      <c r="I172" s="182"/>
      <c r="J172" s="182"/>
      <c r="K172" s="182"/>
      <c r="L172" s="182"/>
      <c r="M172" s="179"/>
      <c r="N172" s="179"/>
      <c r="O172" s="179"/>
      <c r="P172" s="182"/>
      <c r="Q172" s="182"/>
      <c r="R172" s="182"/>
      <c r="S172" s="182"/>
      <c r="T172" s="182"/>
      <c r="U172" s="182"/>
      <c r="V172" s="182"/>
      <c r="W172" s="182"/>
      <c r="X172" s="182"/>
      <c r="Y172" s="182"/>
      <c r="Z172" s="182"/>
      <c r="AA172" s="182"/>
    </row>
    <row r="173" spans="1:27" ht="14.4">
      <c r="A173" s="182"/>
      <c r="B173" s="182"/>
      <c r="C173" s="182"/>
      <c r="D173" s="182"/>
      <c r="E173" s="182"/>
      <c r="F173" s="182"/>
      <c r="G173" s="182"/>
      <c r="H173" s="182"/>
      <c r="I173" s="182"/>
      <c r="J173" s="182"/>
      <c r="K173" s="182"/>
      <c r="L173" s="182"/>
      <c r="M173" s="179"/>
      <c r="N173" s="179"/>
      <c r="O173" s="179"/>
      <c r="P173" s="182"/>
      <c r="Q173" s="182"/>
      <c r="R173" s="182"/>
      <c r="S173" s="182"/>
      <c r="T173" s="182"/>
      <c r="U173" s="182"/>
      <c r="V173" s="182"/>
      <c r="W173" s="182"/>
      <c r="X173" s="182"/>
      <c r="Y173" s="182"/>
      <c r="Z173" s="182"/>
      <c r="AA173" s="182"/>
    </row>
    <row r="174" spans="1:27" ht="14.4">
      <c r="A174" s="182"/>
      <c r="B174" s="182"/>
      <c r="C174" s="182"/>
      <c r="D174" s="182"/>
      <c r="E174" s="182"/>
      <c r="F174" s="182"/>
      <c r="G174" s="182"/>
      <c r="H174" s="182"/>
      <c r="I174" s="182"/>
      <c r="J174" s="182"/>
      <c r="K174" s="182"/>
      <c r="L174" s="182"/>
      <c r="M174" s="179"/>
      <c r="N174" s="179"/>
      <c r="O174" s="179"/>
      <c r="P174" s="182"/>
      <c r="Q174" s="182"/>
      <c r="R174" s="182"/>
      <c r="S174" s="182"/>
      <c r="T174" s="182"/>
      <c r="U174" s="182"/>
      <c r="V174" s="182"/>
      <c r="W174" s="182"/>
      <c r="X174" s="182"/>
      <c r="Y174" s="182"/>
      <c r="Z174" s="182"/>
      <c r="AA174" s="182"/>
    </row>
    <row r="175" spans="1:27" ht="14.4">
      <c r="A175" s="182"/>
      <c r="B175" s="182"/>
      <c r="C175" s="182"/>
      <c r="D175" s="182"/>
      <c r="E175" s="182"/>
      <c r="F175" s="182"/>
      <c r="G175" s="182"/>
      <c r="H175" s="182"/>
      <c r="I175" s="182"/>
      <c r="J175" s="182"/>
      <c r="K175" s="182"/>
      <c r="L175" s="182"/>
      <c r="M175" s="179"/>
      <c r="N175" s="179"/>
      <c r="O175" s="179"/>
      <c r="P175" s="182"/>
      <c r="Q175" s="182"/>
      <c r="R175" s="182"/>
      <c r="S175" s="182"/>
      <c r="T175" s="182"/>
      <c r="U175" s="182"/>
      <c r="V175" s="182"/>
      <c r="W175" s="182"/>
      <c r="X175" s="182"/>
      <c r="Y175" s="182"/>
      <c r="Z175" s="182"/>
      <c r="AA175" s="182"/>
    </row>
    <row r="176" spans="1:27" ht="14.4">
      <c r="A176" s="182"/>
      <c r="B176" s="182"/>
      <c r="C176" s="182"/>
      <c r="D176" s="182"/>
      <c r="E176" s="182"/>
      <c r="F176" s="182"/>
      <c r="G176" s="182"/>
      <c r="H176" s="182"/>
      <c r="I176" s="182"/>
      <c r="J176" s="182"/>
      <c r="K176" s="182"/>
      <c r="L176" s="182"/>
      <c r="M176" s="179"/>
      <c r="N176" s="179"/>
      <c r="O176" s="179"/>
      <c r="P176" s="182"/>
      <c r="Q176" s="182"/>
      <c r="R176" s="182"/>
      <c r="S176" s="182"/>
      <c r="T176" s="182"/>
      <c r="U176" s="182"/>
      <c r="V176" s="182"/>
      <c r="W176" s="182"/>
      <c r="X176" s="182"/>
      <c r="Y176" s="182"/>
      <c r="Z176" s="182"/>
      <c r="AA176" s="182"/>
    </row>
    <row r="177" spans="1:27" ht="14.4">
      <c r="A177" s="182"/>
      <c r="B177" s="182"/>
      <c r="C177" s="182"/>
      <c r="D177" s="182"/>
      <c r="E177" s="182"/>
      <c r="F177" s="182"/>
      <c r="G177" s="182"/>
      <c r="H177" s="182"/>
      <c r="I177" s="182"/>
      <c r="J177" s="182"/>
      <c r="K177" s="182"/>
      <c r="L177" s="182"/>
      <c r="M177" s="179"/>
      <c r="N177" s="179"/>
      <c r="O177" s="179"/>
      <c r="P177" s="182"/>
      <c r="Q177" s="182"/>
      <c r="R177" s="182"/>
      <c r="S177" s="182"/>
      <c r="T177" s="182"/>
      <c r="U177" s="182"/>
      <c r="V177" s="182"/>
      <c r="W177" s="182"/>
      <c r="X177" s="182"/>
      <c r="Y177" s="182"/>
      <c r="Z177" s="182"/>
      <c r="AA177" s="182"/>
    </row>
    <row r="178" spans="1:27" ht="14.4">
      <c r="A178" s="182"/>
      <c r="B178" s="182"/>
      <c r="C178" s="182"/>
      <c r="D178" s="182"/>
      <c r="E178" s="182"/>
      <c r="F178" s="182"/>
      <c r="G178" s="182"/>
      <c r="H178" s="182"/>
      <c r="I178" s="182"/>
      <c r="J178" s="182"/>
      <c r="K178" s="182"/>
      <c r="L178" s="182"/>
      <c r="M178" s="179"/>
      <c r="N178" s="179"/>
      <c r="O178" s="179"/>
      <c r="P178" s="182"/>
      <c r="Q178" s="182"/>
      <c r="R178" s="182"/>
      <c r="S178" s="182"/>
      <c r="T178" s="182"/>
      <c r="U178" s="182"/>
      <c r="V178" s="182"/>
      <c r="W178" s="182"/>
      <c r="X178" s="182"/>
      <c r="Y178" s="182"/>
      <c r="Z178" s="182"/>
      <c r="AA178" s="182"/>
    </row>
    <row r="179" spans="1:27" ht="14.4">
      <c r="A179" s="182"/>
      <c r="B179" s="182"/>
      <c r="C179" s="182"/>
      <c r="D179" s="182"/>
      <c r="E179" s="182"/>
      <c r="F179" s="182"/>
      <c r="G179" s="182"/>
      <c r="H179" s="182"/>
      <c r="I179" s="182"/>
      <c r="J179" s="182"/>
      <c r="K179" s="182"/>
      <c r="L179" s="182"/>
      <c r="M179" s="179"/>
      <c r="N179" s="179"/>
      <c r="O179" s="179"/>
      <c r="P179" s="182"/>
      <c r="Q179" s="182"/>
      <c r="R179" s="182"/>
      <c r="S179" s="182"/>
      <c r="T179" s="182"/>
      <c r="U179" s="182"/>
      <c r="V179" s="182"/>
      <c r="W179" s="182"/>
      <c r="X179" s="182"/>
      <c r="Y179" s="182"/>
      <c r="Z179" s="182"/>
      <c r="AA179" s="182"/>
    </row>
    <row r="180" spans="1:27" ht="14.4">
      <c r="A180" s="182"/>
      <c r="B180" s="182"/>
      <c r="C180" s="182"/>
      <c r="D180" s="182"/>
      <c r="E180" s="182"/>
      <c r="F180" s="182"/>
      <c r="G180" s="182"/>
      <c r="H180" s="182"/>
      <c r="I180" s="182"/>
      <c r="J180" s="182"/>
      <c r="K180" s="182"/>
      <c r="L180" s="182"/>
      <c r="M180" s="179"/>
      <c r="N180" s="179"/>
      <c r="O180" s="179"/>
      <c r="P180" s="182"/>
      <c r="Q180" s="182"/>
      <c r="R180" s="182"/>
      <c r="S180" s="182"/>
      <c r="T180" s="182"/>
      <c r="U180" s="182"/>
      <c r="V180" s="182"/>
      <c r="W180" s="182"/>
      <c r="X180" s="182"/>
      <c r="Y180" s="182"/>
      <c r="Z180" s="182"/>
      <c r="AA180" s="182"/>
    </row>
    <row r="181" spans="1:27" ht="14.4">
      <c r="A181" s="182"/>
      <c r="B181" s="182"/>
      <c r="C181" s="182"/>
      <c r="D181" s="182"/>
      <c r="E181" s="182"/>
      <c r="F181" s="182"/>
      <c r="G181" s="182"/>
      <c r="H181" s="182"/>
      <c r="I181" s="182"/>
      <c r="J181" s="182"/>
      <c r="K181" s="182"/>
      <c r="L181" s="182"/>
      <c r="M181" s="179"/>
      <c r="N181" s="179"/>
      <c r="O181" s="179"/>
      <c r="P181" s="182"/>
      <c r="Q181" s="182"/>
      <c r="R181" s="182"/>
      <c r="S181" s="182"/>
      <c r="T181" s="182"/>
      <c r="U181" s="182"/>
      <c r="V181" s="182"/>
      <c r="W181" s="182"/>
      <c r="X181" s="182"/>
      <c r="Y181" s="182"/>
      <c r="Z181" s="182"/>
      <c r="AA181" s="182"/>
    </row>
    <row r="182" spans="1:27" ht="14.4">
      <c r="A182" s="182"/>
      <c r="B182" s="182"/>
      <c r="C182" s="182"/>
      <c r="D182" s="182"/>
      <c r="E182" s="182"/>
      <c r="F182" s="182"/>
      <c r="G182" s="182"/>
      <c r="H182" s="182"/>
      <c r="I182" s="182"/>
      <c r="J182" s="182"/>
      <c r="K182" s="182"/>
      <c r="L182" s="182"/>
      <c r="M182" s="179"/>
      <c r="N182" s="179"/>
      <c r="O182" s="179"/>
      <c r="P182" s="182"/>
      <c r="Q182" s="182"/>
      <c r="R182" s="182"/>
      <c r="S182" s="182"/>
      <c r="T182" s="182"/>
      <c r="U182" s="182"/>
      <c r="V182" s="182"/>
      <c r="W182" s="182"/>
      <c r="X182" s="182"/>
      <c r="Y182" s="182"/>
      <c r="Z182" s="182"/>
      <c r="AA182" s="182"/>
    </row>
    <row r="183" spans="1:27" ht="14.4">
      <c r="A183" s="182"/>
      <c r="B183" s="182"/>
      <c r="C183" s="182"/>
      <c r="D183" s="182"/>
      <c r="E183" s="182"/>
      <c r="F183" s="182"/>
      <c r="G183" s="182"/>
      <c r="H183" s="182"/>
      <c r="I183" s="182"/>
      <c r="J183" s="182"/>
      <c r="K183" s="182"/>
      <c r="L183" s="182"/>
      <c r="M183" s="179"/>
      <c r="N183" s="179"/>
      <c r="O183" s="179"/>
      <c r="P183" s="182"/>
      <c r="Q183" s="182"/>
      <c r="R183" s="182"/>
      <c r="S183" s="182"/>
      <c r="T183" s="182"/>
      <c r="U183" s="182"/>
      <c r="V183" s="182"/>
      <c r="W183" s="182"/>
      <c r="X183" s="182"/>
      <c r="Y183" s="182"/>
      <c r="Z183" s="182"/>
      <c r="AA183" s="182"/>
    </row>
    <row r="184" spans="1:27" ht="14.4">
      <c r="A184" s="182"/>
      <c r="B184" s="182"/>
      <c r="C184" s="182"/>
      <c r="D184" s="182"/>
      <c r="E184" s="182"/>
      <c r="F184" s="182"/>
      <c r="G184" s="182"/>
      <c r="H184" s="182"/>
      <c r="I184" s="182"/>
      <c r="J184" s="182"/>
      <c r="K184" s="182"/>
      <c r="L184" s="182"/>
      <c r="M184" s="179"/>
      <c r="N184" s="179"/>
      <c r="O184" s="179"/>
      <c r="P184" s="182"/>
      <c r="Q184" s="182"/>
      <c r="R184" s="182"/>
      <c r="S184" s="182"/>
      <c r="T184" s="182"/>
      <c r="U184" s="182"/>
      <c r="V184" s="182"/>
      <c r="W184" s="182"/>
      <c r="X184" s="182"/>
      <c r="Y184" s="182"/>
      <c r="Z184" s="182"/>
      <c r="AA184" s="182"/>
    </row>
    <row r="185" spans="1:27" ht="14.4">
      <c r="A185" s="182"/>
      <c r="B185" s="182"/>
      <c r="C185" s="182"/>
      <c r="D185" s="182"/>
      <c r="E185" s="182"/>
      <c r="F185" s="182"/>
      <c r="G185" s="182"/>
      <c r="H185" s="182"/>
      <c r="I185" s="182"/>
      <c r="J185" s="182"/>
      <c r="K185" s="182"/>
      <c r="L185" s="182"/>
      <c r="M185" s="179"/>
      <c r="N185" s="179"/>
      <c r="O185" s="179"/>
      <c r="P185" s="182"/>
      <c r="Q185" s="182"/>
      <c r="R185" s="182"/>
      <c r="S185" s="182"/>
      <c r="T185" s="182"/>
      <c r="U185" s="182"/>
      <c r="V185" s="182"/>
      <c r="W185" s="182"/>
      <c r="X185" s="182"/>
      <c r="Y185" s="182"/>
      <c r="Z185" s="182"/>
      <c r="AA185" s="182"/>
    </row>
    <row r="186" spans="1:27" ht="14.4">
      <c r="A186" s="182"/>
      <c r="B186" s="182"/>
      <c r="C186" s="182"/>
      <c r="D186" s="182"/>
      <c r="E186" s="182"/>
      <c r="F186" s="182"/>
      <c r="G186" s="182"/>
      <c r="H186" s="182"/>
      <c r="I186" s="182"/>
      <c r="J186" s="182"/>
      <c r="K186" s="182"/>
      <c r="L186" s="182"/>
      <c r="M186" s="179"/>
      <c r="N186" s="179"/>
      <c r="O186" s="179"/>
      <c r="P186" s="182"/>
      <c r="Q186" s="182"/>
      <c r="R186" s="182"/>
      <c r="S186" s="182"/>
      <c r="T186" s="182"/>
      <c r="U186" s="182"/>
      <c r="V186" s="182"/>
      <c r="W186" s="182"/>
      <c r="X186" s="182"/>
      <c r="Y186" s="182"/>
      <c r="Z186" s="182"/>
      <c r="AA186" s="182"/>
    </row>
    <row r="187" spans="1:27" ht="14.4">
      <c r="A187" s="182"/>
      <c r="B187" s="182"/>
      <c r="C187" s="182"/>
      <c r="D187" s="182"/>
      <c r="E187" s="182"/>
      <c r="F187" s="182"/>
      <c r="G187" s="182"/>
      <c r="H187" s="182"/>
      <c r="I187" s="182"/>
      <c r="J187" s="182"/>
      <c r="K187" s="182"/>
      <c r="L187" s="182"/>
      <c r="M187" s="179"/>
      <c r="N187" s="179"/>
      <c r="O187" s="179"/>
      <c r="P187" s="182"/>
      <c r="Q187" s="182"/>
      <c r="R187" s="182"/>
      <c r="S187" s="182"/>
      <c r="T187" s="182"/>
      <c r="U187" s="182"/>
      <c r="V187" s="182"/>
      <c r="W187" s="182"/>
      <c r="X187" s="182"/>
      <c r="Y187" s="182"/>
      <c r="Z187" s="182"/>
      <c r="AA187" s="182"/>
    </row>
    <row r="188" spans="1:27" ht="14.4">
      <c r="A188" s="182"/>
      <c r="B188" s="182"/>
      <c r="C188" s="182"/>
      <c r="D188" s="182"/>
      <c r="E188" s="182"/>
      <c r="F188" s="182"/>
      <c r="G188" s="182"/>
      <c r="H188" s="182"/>
      <c r="I188" s="182"/>
      <c r="J188" s="182"/>
      <c r="K188" s="182"/>
      <c r="L188" s="182"/>
      <c r="M188" s="179"/>
      <c r="N188" s="179"/>
      <c r="O188" s="179"/>
      <c r="P188" s="182"/>
      <c r="Q188" s="182"/>
      <c r="R188" s="182"/>
      <c r="S188" s="182"/>
      <c r="T188" s="182"/>
      <c r="U188" s="182"/>
      <c r="V188" s="182"/>
      <c r="W188" s="182"/>
      <c r="X188" s="182"/>
      <c r="Y188" s="182"/>
      <c r="Z188" s="182"/>
      <c r="AA188" s="182"/>
    </row>
    <row r="189" spans="1:27" ht="14.4">
      <c r="A189" s="182"/>
      <c r="B189" s="182"/>
      <c r="C189" s="182"/>
      <c r="D189" s="182"/>
      <c r="E189" s="182"/>
      <c r="F189" s="182"/>
      <c r="G189" s="182"/>
      <c r="H189" s="182"/>
      <c r="I189" s="182"/>
      <c r="J189" s="182"/>
      <c r="K189" s="182"/>
      <c r="L189" s="182"/>
      <c r="M189" s="179"/>
      <c r="N189" s="179"/>
      <c r="O189" s="179"/>
      <c r="P189" s="182"/>
      <c r="Q189" s="182"/>
      <c r="R189" s="182"/>
      <c r="S189" s="182"/>
      <c r="T189" s="182"/>
      <c r="U189" s="182"/>
      <c r="V189" s="182"/>
      <c r="W189" s="182"/>
      <c r="X189" s="182"/>
      <c r="Y189" s="182"/>
      <c r="Z189" s="182"/>
      <c r="AA189" s="182"/>
    </row>
    <row r="190" spans="1:27" ht="14.4">
      <c r="A190" s="182"/>
      <c r="B190" s="182"/>
      <c r="C190" s="182"/>
      <c r="D190" s="182"/>
      <c r="E190" s="182"/>
      <c r="F190" s="182"/>
      <c r="G190" s="182"/>
      <c r="H190" s="182"/>
      <c r="I190" s="182"/>
      <c r="J190" s="182"/>
      <c r="K190" s="182"/>
      <c r="L190" s="182"/>
      <c r="M190" s="179"/>
      <c r="N190" s="179"/>
      <c r="O190" s="179"/>
      <c r="P190" s="182"/>
      <c r="Q190" s="182"/>
      <c r="R190" s="182"/>
      <c r="S190" s="182"/>
      <c r="T190" s="182"/>
      <c r="U190" s="182"/>
      <c r="V190" s="182"/>
      <c r="W190" s="182"/>
      <c r="X190" s="182"/>
      <c r="Y190" s="182"/>
      <c r="Z190" s="182"/>
      <c r="AA190" s="182"/>
    </row>
    <row r="191" spans="1:27" ht="14.4">
      <c r="A191" s="182"/>
      <c r="B191" s="182"/>
      <c r="C191" s="182"/>
      <c r="D191" s="182"/>
      <c r="E191" s="182"/>
      <c r="F191" s="182"/>
      <c r="G191" s="182"/>
      <c r="H191" s="182"/>
      <c r="I191" s="182"/>
      <c r="J191" s="182"/>
      <c r="K191" s="182"/>
      <c r="L191" s="182"/>
      <c r="M191" s="179"/>
      <c r="N191" s="179"/>
      <c r="O191" s="179"/>
      <c r="P191" s="182"/>
      <c r="Q191" s="182"/>
      <c r="R191" s="182"/>
      <c r="S191" s="182"/>
      <c r="T191" s="182"/>
      <c r="U191" s="182"/>
      <c r="V191" s="182"/>
      <c r="W191" s="182"/>
      <c r="X191" s="182"/>
      <c r="Y191" s="182"/>
      <c r="Z191" s="182"/>
      <c r="AA191" s="182"/>
    </row>
    <row r="192" spans="1:27" ht="14.4">
      <c r="A192" s="182"/>
      <c r="B192" s="182"/>
      <c r="C192" s="182"/>
      <c r="D192" s="182"/>
      <c r="E192" s="182"/>
      <c r="F192" s="182"/>
      <c r="G192" s="182"/>
      <c r="H192" s="182"/>
      <c r="I192" s="182"/>
      <c r="J192" s="182"/>
      <c r="K192" s="182"/>
      <c r="L192" s="182"/>
      <c r="M192" s="179"/>
      <c r="N192" s="179"/>
      <c r="O192" s="179"/>
      <c r="P192" s="182"/>
      <c r="Q192" s="182"/>
      <c r="R192" s="182"/>
      <c r="S192" s="182"/>
      <c r="T192" s="182"/>
      <c r="U192" s="182"/>
      <c r="V192" s="182"/>
      <c r="W192" s="182"/>
      <c r="X192" s="182"/>
      <c r="Y192" s="182"/>
      <c r="Z192" s="182"/>
      <c r="AA192" s="182"/>
    </row>
    <row r="193" spans="1:27" ht="14.4">
      <c r="A193" s="182"/>
      <c r="B193" s="182"/>
      <c r="C193" s="182"/>
      <c r="D193" s="182"/>
      <c r="E193" s="182"/>
      <c r="F193" s="182"/>
      <c r="G193" s="182"/>
      <c r="H193" s="182"/>
      <c r="I193" s="182"/>
      <c r="J193" s="182"/>
      <c r="K193" s="182"/>
      <c r="L193" s="182"/>
      <c r="M193" s="179"/>
      <c r="N193" s="179"/>
      <c r="O193" s="179"/>
      <c r="P193" s="182"/>
      <c r="Q193" s="182"/>
      <c r="R193" s="182"/>
      <c r="S193" s="182"/>
      <c r="T193" s="182"/>
      <c r="U193" s="182"/>
      <c r="V193" s="182"/>
      <c r="W193" s="182"/>
      <c r="X193" s="182"/>
      <c r="Y193" s="182"/>
      <c r="Z193" s="182"/>
      <c r="AA193" s="182"/>
    </row>
    <row r="194" spans="1:27" ht="14.4">
      <c r="A194" s="182"/>
      <c r="B194" s="182"/>
      <c r="C194" s="182"/>
      <c r="D194" s="182"/>
      <c r="E194" s="182"/>
      <c r="F194" s="182"/>
      <c r="G194" s="182"/>
      <c r="H194" s="182"/>
      <c r="I194" s="182"/>
      <c r="J194" s="182"/>
      <c r="K194" s="182"/>
      <c r="L194" s="182"/>
      <c r="M194" s="179"/>
      <c r="N194" s="179"/>
      <c r="O194" s="179"/>
      <c r="P194" s="182"/>
      <c r="Q194" s="182"/>
      <c r="R194" s="182"/>
      <c r="S194" s="182"/>
      <c r="T194" s="182"/>
      <c r="U194" s="182"/>
      <c r="V194" s="182"/>
      <c r="W194" s="182"/>
      <c r="X194" s="182"/>
      <c r="Y194" s="182"/>
      <c r="Z194" s="182"/>
      <c r="AA194" s="182"/>
    </row>
    <row r="195" spans="1:27" ht="14.4">
      <c r="A195" s="182"/>
      <c r="B195" s="182"/>
      <c r="C195" s="182"/>
      <c r="D195" s="182"/>
      <c r="E195" s="182"/>
      <c r="F195" s="182"/>
      <c r="G195" s="182"/>
      <c r="H195" s="182"/>
      <c r="I195" s="182"/>
      <c r="J195" s="182"/>
      <c r="K195" s="182"/>
      <c r="L195" s="182"/>
      <c r="M195" s="179"/>
      <c r="N195" s="179"/>
      <c r="O195" s="179"/>
      <c r="P195" s="182"/>
      <c r="Q195" s="182"/>
      <c r="R195" s="182"/>
      <c r="S195" s="182"/>
      <c r="T195" s="182"/>
      <c r="U195" s="182"/>
      <c r="V195" s="182"/>
      <c r="W195" s="182"/>
      <c r="X195" s="182"/>
      <c r="Y195" s="182"/>
      <c r="Z195" s="182"/>
      <c r="AA195" s="182"/>
    </row>
    <row r="196" spans="1:27" ht="14.4">
      <c r="A196" s="182"/>
      <c r="B196" s="182"/>
      <c r="C196" s="182"/>
      <c r="D196" s="182"/>
      <c r="E196" s="182"/>
      <c r="F196" s="182"/>
      <c r="G196" s="182"/>
      <c r="H196" s="182"/>
      <c r="I196" s="182"/>
      <c r="J196" s="182"/>
      <c r="K196" s="182"/>
      <c r="L196" s="182"/>
      <c r="M196" s="179"/>
      <c r="N196" s="179"/>
      <c r="O196" s="179"/>
      <c r="P196" s="182"/>
      <c r="Q196" s="182"/>
      <c r="R196" s="182"/>
      <c r="S196" s="182"/>
      <c r="T196" s="182"/>
      <c r="U196" s="182"/>
      <c r="V196" s="182"/>
      <c r="W196" s="182"/>
      <c r="X196" s="182"/>
      <c r="Y196" s="182"/>
      <c r="Z196" s="182"/>
      <c r="AA196" s="182"/>
    </row>
    <row r="197" spans="1:27" ht="14.4">
      <c r="A197" s="182"/>
      <c r="B197" s="182"/>
      <c r="C197" s="182"/>
      <c r="D197" s="182"/>
      <c r="E197" s="182"/>
      <c r="F197" s="182"/>
      <c r="G197" s="182"/>
      <c r="H197" s="182"/>
      <c r="I197" s="182"/>
      <c r="J197" s="182"/>
      <c r="K197" s="182"/>
      <c r="L197" s="182"/>
      <c r="M197" s="179"/>
      <c r="N197" s="179"/>
      <c r="O197" s="179"/>
      <c r="P197" s="182"/>
      <c r="Q197" s="182"/>
      <c r="R197" s="182"/>
      <c r="S197" s="182"/>
      <c r="T197" s="182"/>
      <c r="U197" s="182"/>
      <c r="V197" s="182"/>
      <c r="W197" s="182"/>
      <c r="X197" s="182"/>
      <c r="Y197" s="182"/>
      <c r="Z197" s="182"/>
      <c r="AA197" s="182"/>
    </row>
    <row r="198" spans="1:27" ht="14.4">
      <c r="A198" s="182"/>
      <c r="B198" s="182"/>
      <c r="C198" s="182"/>
      <c r="D198" s="182"/>
      <c r="E198" s="182"/>
      <c r="F198" s="182"/>
      <c r="G198" s="182"/>
      <c r="H198" s="182"/>
      <c r="I198" s="182"/>
      <c r="J198" s="182"/>
      <c r="K198" s="182"/>
      <c r="L198" s="182"/>
      <c r="M198" s="179"/>
      <c r="N198" s="179"/>
      <c r="O198" s="179"/>
      <c r="P198" s="182"/>
      <c r="Q198" s="182"/>
      <c r="R198" s="182"/>
      <c r="S198" s="182"/>
      <c r="T198" s="182"/>
      <c r="U198" s="182"/>
      <c r="V198" s="182"/>
      <c r="W198" s="182"/>
      <c r="X198" s="182"/>
      <c r="Y198" s="182"/>
      <c r="Z198" s="182"/>
      <c r="AA198" s="182"/>
    </row>
    <row r="199" spans="1:27" ht="14.4">
      <c r="A199" s="182"/>
      <c r="B199" s="182"/>
      <c r="C199" s="182"/>
      <c r="D199" s="182"/>
      <c r="E199" s="182"/>
      <c r="F199" s="182"/>
      <c r="G199" s="182"/>
      <c r="H199" s="182"/>
      <c r="I199" s="182"/>
      <c r="J199" s="182"/>
      <c r="K199" s="182"/>
      <c r="L199" s="182"/>
      <c r="M199" s="179"/>
      <c r="N199" s="179"/>
      <c r="O199" s="179"/>
      <c r="P199" s="182"/>
      <c r="Q199" s="182"/>
      <c r="R199" s="182"/>
      <c r="S199" s="182"/>
      <c r="T199" s="182"/>
      <c r="U199" s="182"/>
      <c r="V199" s="182"/>
      <c r="W199" s="182"/>
      <c r="X199" s="182"/>
      <c r="Y199" s="182"/>
      <c r="Z199" s="182"/>
      <c r="AA199" s="182"/>
    </row>
    <row r="200" spans="1:27" ht="14.4">
      <c r="A200" s="182"/>
      <c r="B200" s="182"/>
      <c r="C200" s="182"/>
      <c r="D200" s="182"/>
      <c r="E200" s="182"/>
      <c r="F200" s="182"/>
      <c r="G200" s="182"/>
      <c r="H200" s="182"/>
      <c r="I200" s="182"/>
      <c r="J200" s="182"/>
      <c r="K200" s="182"/>
      <c r="L200" s="182"/>
      <c r="M200" s="179"/>
      <c r="N200" s="179"/>
      <c r="O200" s="179"/>
      <c r="P200" s="182"/>
      <c r="Q200" s="182"/>
      <c r="R200" s="182"/>
      <c r="S200" s="182"/>
      <c r="T200" s="182"/>
      <c r="U200" s="182"/>
      <c r="V200" s="182"/>
      <c r="W200" s="182"/>
      <c r="X200" s="182"/>
      <c r="Y200" s="182"/>
      <c r="Z200" s="182"/>
      <c r="AA200" s="182"/>
    </row>
    <row r="201" spans="1:27" ht="14.4">
      <c r="A201" s="182"/>
      <c r="B201" s="182"/>
      <c r="C201" s="182"/>
      <c r="D201" s="182"/>
      <c r="E201" s="182"/>
      <c r="F201" s="182"/>
      <c r="G201" s="182"/>
      <c r="H201" s="182"/>
      <c r="I201" s="182"/>
      <c r="J201" s="182"/>
      <c r="K201" s="182"/>
      <c r="L201" s="182"/>
      <c r="M201" s="179"/>
      <c r="N201" s="179"/>
      <c r="O201" s="179"/>
      <c r="P201" s="182"/>
      <c r="Q201" s="182"/>
      <c r="R201" s="182"/>
      <c r="S201" s="182"/>
      <c r="T201" s="182"/>
      <c r="U201" s="182"/>
      <c r="V201" s="182"/>
      <c r="W201" s="182"/>
      <c r="X201" s="182"/>
      <c r="Y201" s="182"/>
      <c r="Z201" s="182"/>
      <c r="AA201" s="182"/>
    </row>
    <row r="202" spans="1:27" ht="14.4">
      <c r="A202" s="182"/>
      <c r="B202" s="182"/>
      <c r="C202" s="182"/>
      <c r="D202" s="182"/>
      <c r="E202" s="182"/>
      <c r="F202" s="182"/>
      <c r="G202" s="182"/>
      <c r="H202" s="182"/>
      <c r="I202" s="182"/>
      <c r="J202" s="182"/>
      <c r="K202" s="182"/>
      <c r="L202" s="182"/>
      <c r="M202" s="179"/>
      <c r="N202" s="179"/>
      <c r="O202" s="179"/>
      <c r="P202" s="182"/>
      <c r="Q202" s="182"/>
      <c r="R202" s="182"/>
      <c r="S202" s="182"/>
      <c r="T202" s="182"/>
      <c r="U202" s="182"/>
      <c r="V202" s="182"/>
      <c r="W202" s="182"/>
      <c r="X202" s="182"/>
      <c r="Y202" s="182"/>
      <c r="Z202" s="182"/>
      <c r="AA202" s="182"/>
    </row>
    <row r="203" spans="1:27" ht="14.4">
      <c r="A203" s="182"/>
      <c r="B203" s="182"/>
      <c r="C203" s="182"/>
      <c r="D203" s="182"/>
      <c r="E203" s="182"/>
      <c r="F203" s="182"/>
      <c r="G203" s="182"/>
      <c r="H203" s="182"/>
      <c r="I203" s="182"/>
      <c r="J203" s="182"/>
      <c r="K203" s="182"/>
      <c r="L203" s="182"/>
      <c r="M203" s="179"/>
      <c r="N203" s="179"/>
      <c r="O203" s="179"/>
      <c r="P203" s="182"/>
      <c r="Q203" s="182"/>
      <c r="R203" s="182"/>
      <c r="S203" s="182"/>
      <c r="T203" s="182"/>
      <c r="U203" s="182"/>
      <c r="V203" s="182"/>
      <c r="W203" s="182"/>
      <c r="X203" s="182"/>
      <c r="Y203" s="182"/>
      <c r="Z203" s="182"/>
      <c r="AA203" s="182"/>
    </row>
    <row r="204" spans="1:27" ht="14.4">
      <c r="A204" s="182"/>
      <c r="B204" s="182"/>
      <c r="C204" s="182"/>
      <c r="D204" s="182"/>
      <c r="E204" s="182"/>
      <c r="F204" s="182"/>
      <c r="G204" s="182"/>
      <c r="H204" s="182"/>
      <c r="I204" s="182"/>
      <c r="J204" s="182"/>
      <c r="K204" s="182"/>
      <c r="L204" s="182"/>
      <c r="M204" s="179"/>
      <c r="N204" s="179"/>
      <c r="O204" s="179"/>
      <c r="P204" s="182"/>
      <c r="Q204" s="182"/>
      <c r="R204" s="182"/>
      <c r="S204" s="182"/>
      <c r="T204" s="182"/>
      <c r="U204" s="182"/>
      <c r="V204" s="182"/>
      <c r="W204" s="182"/>
      <c r="X204" s="182"/>
      <c r="Y204" s="182"/>
      <c r="Z204" s="182"/>
      <c r="AA204" s="182"/>
    </row>
    <row r="205" spans="1:27" ht="14.4">
      <c r="A205" s="182"/>
      <c r="B205" s="182"/>
      <c r="C205" s="182"/>
      <c r="D205" s="182"/>
      <c r="E205" s="182"/>
      <c r="F205" s="182"/>
      <c r="G205" s="182"/>
      <c r="H205" s="182"/>
      <c r="I205" s="182"/>
      <c r="J205" s="182"/>
      <c r="K205" s="182"/>
      <c r="L205" s="182"/>
      <c r="M205" s="179"/>
      <c r="N205" s="179"/>
      <c r="O205" s="179"/>
      <c r="P205" s="182"/>
      <c r="Q205" s="182"/>
      <c r="R205" s="182"/>
      <c r="S205" s="182"/>
      <c r="T205" s="182"/>
      <c r="U205" s="182"/>
      <c r="V205" s="182"/>
      <c r="W205" s="182"/>
      <c r="X205" s="182"/>
      <c r="Y205" s="182"/>
      <c r="Z205" s="182"/>
      <c r="AA205" s="182"/>
    </row>
    <row r="206" spans="1:27" ht="14.4">
      <c r="A206" s="182"/>
      <c r="B206" s="182"/>
      <c r="C206" s="182"/>
      <c r="D206" s="182"/>
      <c r="E206" s="182"/>
      <c r="F206" s="182"/>
      <c r="G206" s="182"/>
      <c r="H206" s="182"/>
      <c r="I206" s="182"/>
      <c r="J206" s="182"/>
      <c r="K206" s="182"/>
      <c r="L206" s="182"/>
      <c r="M206" s="179"/>
      <c r="N206" s="179"/>
      <c r="O206" s="179"/>
      <c r="P206" s="182"/>
      <c r="Q206" s="182"/>
      <c r="R206" s="182"/>
      <c r="S206" s="182"/>
      <c r="T206" s="182"/>
      <c r="U206" s="182"/>
      <c r="V206" s="182"/>
      <c r="W206" s="182"/>
      <c r="X206" s="182"/>
      <c r="Y206" s="182"/>
      <c r="Z206" s="182"/>
      <c r="AA206" s="182"/>
    </row>
    <row r="207" spans="1:27" ht="14.4">
      <c r="A207" s="182"/>
      <c r="B207" s="182"/>
      <c r="C207" s="182"/>
      <c r="D207" s="182"/>
      <c r="E207" s="182"/>
      <c r="F207" s="182"/>
      <c r="G207" s="182"/>
      <c r="H207" s="182"/>
      <c r="I207" s="182"/>
      <c r="J207" s="182"/>
      <c r="K207" s="182"/>
      <c r="L207" s="182"/>
      <c r="M207" s="179"/>
      <c r="N207" s="179"/>
      <c r="O207" s="179"/>
      <c r="P207" s="182"/>
      <c r="Q207" s="182"/>
      <c r="R207" s="182"/>
      <c r="S207" s="182"/>
      <c r="T207" s="182"/>
      <c r="U207" s="182"/>
      <c r="V207" s="182"/>
      <c r="W207" s="182"/>
      <c r="X207" s="182"/>
      <c r="Y207" s="182"/>
      <c r="Z207" s="182"/>
      <c r="AA207" s="182"/>
    </row>
    <row r="208" spans="1:27" ht="14.4">
      <c r="A208" s="182"/>
      <c r="B208" s="182"/>
      <c r="C208" s="182"/>
      <c r="D208" s="182"/>
      <c r="E208" s="182"/>
      <c r="F208" s="182"/>
      <c r="G208" s="182"/>
      <c r="H208" s="182"/>
      <c r="I208" s="182"/>
      <c r="J208" s="182"/>
      <c r="K208" s="182"/>
      <c r="L208" s="182"/>
      <c r="M208" s="179"/>
      <c r="N208" s="179"/>
      <c r="O208" s="179"/>
      <c r="P208" s="182"/>
      <c r="Q208" s="182"/>
      <c r="R208" s="182"/>
      <c r="S208" s="182"/>
      <c r="T208" s="182"/>
      <c r="U208" s="182"/>
      <c r="V208" s="182"/>
      <c r="W208" s="182"/>
      <c r="X208" s="182"/>
      <c r="Y208" s="182"/>
      <c r="Z208" s="182"/>
      <c r="AA208" s="182"/>
    </row>
    <row r="209" spans="1:27" ht="14.4">
      <c r="A209" s="182"/>
      <c r="B209" s="182"/>
      <c r="C209" s="182"/>
      <c r="D209" s="182"/>
      <c r="E209" s="182"/>
      <c r="F209" s="182"/>
      <c r="G209" s="182"/>
      <c r="H209" s="182"/>
      <c r="I209" s="182"/>
      <c r="J209" s="182"/>
      <c r="K209" s="182"/>
      <c r="L209" s="182"/>
      <c r="M209" s="179"/>
      <c r="N209" s="179"/>
      <c r="O209" s="179"/>
      <c r="P209" s="182"/>
      <c r="Q209" s="182"/>
      <c r="R209" s="182"/>
      <c r="S209" s="182"/>
      <c r="T209" s="182"/>
      <c r="U209" s="182"/>
      <c r="V209" s="182"/>
      <c r="W209" s="182"/>
      <c r="X209" s="182"/>
      <c r="Y209" s="182"/>
      <c r="Z209" s="182"/>
      <c r="AA209" s="182"/>
    </row>
    <row r="210" spans="1:27" ht="14.4">
      <c r="A210" s="182"/>
      <c r="B210" s="182"/>
      <c r="C210" s="182"/>
      <c r="D210" s="182"/>
      <c r="E210" s="182"/>
      <c r="F210" s="182"/>
      <c r="G210" s="182"/>
      <c r="H210" s="182"/>
      <c r="I210" s="182"/>
      <c r="J210" s="182"/>
      <c r="K210" s="182"/>
      <c r="L210" s="182"/>
      <c r="M210" s="179"/>
      <c r="N210" s="179"/>
      <c r="O210" s="179"/>
      <c r="P210" s="182"/>
      <c r="Q210" s="182"/>
      <c r="R210" s="182"/>
      <c r="S210" s="182"/>
      <c r="T210" s="182"/>
      <c r="U210" s="182"/>
      <c r="V210" s="182"/>
      <c r="W210" s="182"/>
      <c r="X210" s="182"/>
      <c r="Y210" s="182"/>
      <c r="Z210" s="182"/>
      <c r="AA210" s="182"/>
    </row>
    <row r="211" spans="1:27" ht="14.4">
      <c r="A211" s="182"/>
      <c r="B211" s="182"/>
      <c r="C211" s="182"/>
      <c r="D211" s="182"/>
      <c r="E211" s="182"/>
      <c r="F211" s="182"/>
      <c r="G211" s="182"/>
      <c r="H211" s="182"/>
      <c r="I211" s="182"/>
      <c r="J211" s="182"/>
      <c r="K211" s="182"/>
      <c r="L211" s="182"/>
      <c r="M211" s="179"/>
      <c r="N211" s="179"/>
      <c r="O211" s="179"/>
      <c r="P211" s="182"/>
      <c r="Q211" s="182"/>
      <c r="R211" s="182"/>
      <c r="S211" s="182"/>
      <c r="T211" s="182"/>
      <c r="U211" s="182"/>
      <c r="V211" s="182"/>
      <c r="W211" s="182"/>
      <c r="X211" s="182"/>
      <c r="Y211" s="182"/>
      <c r="Z211" s="182"/>
      <c r="AA211" s="182"/>
    </row>
    <row r="212" spans="1:27" ht="14.4">
      <c r="A212" s="182"/>
      <c r="B212" s="182"/>
      <c r="C212" s="182"/>
      <c r="D212" s="182"/>
      <c r="E212" s="182"/>
      <c r="F212" s="182"/>
      <c r="G212" s="182"/>
      <c r="H212" s="182"/>
      <c r="I212" s="182"/>
      <c r="J212" s="182"/>
      <c r="K212" s="182"/>
      <c r="L212" s="182"/>
      <c r="M212" s="179"/>
      <c r="N212" s="179"/>
      <c r="O212" s="179"/>
      <c r="P212" s="182"/>
      <c r="Q212" s="182"/>
      <c r="R212" s="182"/>
      <c r="S212" s="182"/>
      <c r="T212" s="182"/>
      <c r="U212" s="182"/>
      <c r="V212" s="182"/>
      <c r="W212" s="182"/>
      <c r="X212" s="182"/>
      <c r="Y212" s="182"/>
      <c r="Z212" s="182"/>
      <c r="AA212" s="182"/>
    </row>
    <row r="213" spans="1:27" ht="14.4">
      <c r="A213" s="182"/>
      <c r="B213" s="182"/>
      <c r="C213" s="182"/>
      <c r="D213" s="182"/>
      <c r="E213" s="182"/>
      <c r="F213" s="182"/>
      <c r="G213" s="182"/>
      <c r="H213" s="182"/>
      <c r="I213" s="182"/>
      <c r="J213" s="182"/>
      <c r="K213" s="182"/>
      <c r="L213" s="182"/>
      <c r="M213" s="179"/>
      <c r="N213" s="179"/>
      <c r="O213" s="179"/>
      <c r="P213" s="182"/>
      <c r="Q213" s="182"/>
      <c r="R213" s="182"/>
      <c r="S213" s="182"/>
      <c r="T213" s="182"/>
      <c r="U213" s="182"/>
      <c r="V213" s="182"/>
      <c r="W213" s="182"/>
      <c r="X213" s="182"/>
      <c r="Y213" s="182"/>
      <c r="Z213" s="182"/>
      <c r="AA213" s="182"/>
    </row>
    <row r="214" spans="1:27" ht="14.4">
      <c r="A214" s="182"/>
      <c r="B214" s="182"/>
      <c r="C214" s="182"/>
      <c r="D214" s="182"/>
      <c r="E214" s="182"/>
      <c r="F214" s="182"/>
      <c r="G214" s="182"/>
      <c r="H214" s="182"/>
      <c r="I214" s="182"/>
      <c r="J214" s="182"/>
      <c r="K214" s="182"/>
      <c r="L214" s="182"/>
      <c r="M214" s="179"/>
      <c r="N214" s="179"/>
      <c r="O214" s="179"/>
      <c r="P214" s="182"/>
      <c r="Q214" s="182"/>
      <c r="R214" s="182"/>
      <c r="S214" s="182"/>
      <c r="T214" s="182"/>
      <c r="U214" s="182"/>
      <c r="V214" s="182"/>
      <c r="W214" s="182"/>
      <c r="X214" s="182"/>
      <c r="Y214" s="182"/>
      <c r="Z214" s="182"/>
      <c r="AA214" s="182"/>
    </row>
    <row r="215" spans="1:27" ht="14.4">
      <c r="A215" s="182"/>
      <c r="B215" s="182"/>
      <c r="C215" s="182"/>
      <c r="D215" s="182"/>
      <c r="E215" s="182"/>
      <c r="F215" s="182"/>
      <c r="G215" s="182"/>
      <c r="H215" s="182"/>
      <c r="I215" s="182"/>
      <c r="J215" s="182"/>
      <c r="K215" s="182"/>
      <c r="L215" s="182"/>
      <c r="M215" s="179"/>
      <c r="N215" s="179"/>
      <c r="O215" s="179"/>
      <c r="P215" s="182"/>
      <c r="Q215" s="182"/>
      <c r="R215" s="182"/>
      <c r="S215" s="182"/>
      <c r="T215" s="182"/>
      <c r="U215" s="182"/>
      <c r="V215" s="182"/>
      <c r="W215" s="182"/>
      <c r="X215" s="182"/>
      <c r="Y215" s="182"/>
      <c r="Z215" s="182"/>
      <c r="AA215" s="182"/>
    </row>
    <row r="216" spans="1:27" ht="14.4">
      <c r="A216" s="182"/>
      <c r="B216" s="182"/>
      <c r="C216" s="182"/>
      <c r="D216" s="182"/>
      <c r="E216" s="182"/>
      <c r="F216" s="182"/>
      <c r="G216" s="182"/>
      <c r="H216" s="182"/>
      <c r="I216" s="182"/>
      <c r="J216" s="182"/>
      <c r="K216" s="182"/>
      <c r="L216" s="182"/>
      <c r="M216" s="179"/>
      <c r="N216" s="179"/>
      <c r="O216" s="179"/>
      <c r="P216" s="182"/>
      <c r="Q216" s="182"/>
      <c r="R216" s="182"/>
      <c r="S216" s="182"/>
      <c r="T216" s="182"/>
      <c r="U216" s="182"/>
      <c r="V216" s="182"/>
      <c r="W216" s="182"/>
      <c r="X216" s="182"/>
      <c r="Y216" s="182"/>
      <c r="Z216" s="182"/>
      <c r="AA216" s="182"/>
    </row>
    <row r="217" spans="1:27" ht="14.4">
      <c r="A217" s="182"/>
      <c r="B217" s="182"/>
      <c r="C217" s="182"/>
      <c r="D217" s="182"/>
      <c r="E217" s="182"/>
      <c r="F217" s="182"/>
      <c r="G217" s="182"/>
      <c r="H217" s="182"/>
      <c r="I217" s="182"/>
      <c r="J217" s="182"/>
      <c r="K217" s="182"/>
      <c r="L217" s="182"/>
      <c r="M217" s="179"/>
      <c r="N217" s="179"/>
      <c r="O217" s="179"/>
      <c r="P217" s="182"/>
      <c r="Q217" s="182"/>
      <c r="R217" s="182"/>
      <c r="S217" s="182"/>
      <c r="T217" s="182"/>
      <c r="U217" s="182"/>
      <c r="V217" s="182"/>
      <c r="W217" s="182"/>
      <c r="X217" s="182"/>
      <c r="Y217" s="182"/>
      <c r="Z217" s="182"/>
      <c r="AA217" s="182"/>
    </row>
    <row r="218" spans="1:27" ht="14.4">
      <c r="A218" s="182"/>
      <c r="B218" s="182"/>
      <c r="C218" s="182"/>
      <c r="D218" s="182"/>
      <c r="E218" s="182"/>
      <c r="F218" s="182"/>
      <c r="G218" s="182"/>
      <c r="H218" s="182"/>
      <c r="I218" s="182"/>
      <c r="J218" s="182"/>
      <c r="K218" s="182"/>
      <c r="L218" s="182"/>
      <c r="M218" s="179"/>
      <c r="N218" s="179"/>
      <c r="O218" s="179"/>
      <c r="P218" s="182"/>
      <c r="Q218" s="182"/>
      <c r="R218" s="182"/>
      <c r="S218" s="182"/>
      <c r="T218" s="182"/>
      <c r="U218" s="182"/>
      <c r="V218" s="182"/>
      <c r="W218" s="182"/>
      <c r="X218" s="182"/>
      <c r="Y218" s="182"/>
      <c r="Z218" s="182"/>
      <c r="AA218" s="182"/>
    </row>
    <row r="219" spans="1:27" ht="14.4">
      <c r="A219" s="182"/>
      <c r="B219" s="182"/>
      <c r="C219" s="182"/>
      <c r="D219" s="182"/>
      <c r="E219" s="182"/>
      <c r="F219" s="182"/>
      <c r="G219" s="182"/>
      <c r="H219" s="182"/>
      <c r="I219" s="182"/>
      <c r="J219" s="182"/>
      <c r="K219" s="182"/>
      <c r="L219" s="182"/>
      <c r="M219" s="179"/>
      <c r="N219" s="179"/>
      <c r="O219" s="179"/>
      <c r="P219" s="182"/>
      <c r="Q219" s="182"/>
      <c r="R219" s="182"/>
      <c r="S219" s="182"/>
      <c r="T219" s="182"/>
      <c r="U219" s="182"/>
      <c r="V219" s="182"/>
      <c r="W219" s="182"/>
      <c r="X219" s="182"/>
      <c r="Y219" s="182"/>
      <c r="Z219" s="182"/>
      <c r="AA219" s="182"/>
    </row>
    <row r="220" spans="1:27" ht="14.4">
      <c r="A220" s="182"/>
      <c r="B220" s="182"/>
      <c r="C220" s="182"/>
      <c r="D220" s="182"/>
      <c r="E220" s="182"/>
      <c r="F220" s="182"/>
      <c r="G220" s="182"/>
      <c r="H220" s="182"/>
      <c r="I220" s="182"/>
      <c r="J220" s="182"/>
      <c r="K220" s="182"/>
      <c r="L220" s="182"/>
      <c r="M220" s="179"/>
      <c r="N220" s="179"/>
      <c r="O220" s="179"/>
      <c r="P220" s="182"/>
      <c r="Q220" s="182"/>
      <c r="R220" s="182"/>
      <c r="S220" s="182"/>
      <c r="T220" s="182"/>
      <c r="U220" s="182"/>
      <c r="V220" s="182"/>
      <c r="W220" s="182"/>
      <c r="X220" s="182"/>
      <c r="Y220" s="182"/>
      <c r="Z220" s="182"/>
      <c r="AA220" s="182"/>
    </row>
    <row r="221" spans="1:27" ht="14.4">
      <c r="A221" s="182"/>
      <c r="B221" s="182"/>
      <c r="C221" s="182"/>
      <c r="D221" s="182"/>
      <c r="E221" s="182"/>
      <c r="F221" s="182"/>
      <c r="G221" s="182"/>
      <c r="H221" s="182"/>
      <c r="I221" s="182"/>
      <c r="J221" s="182"/>
      <c r="K221" s="182"/>
      <c r="L221" s="182"/>
      <c r="M221" s="179"/>
      <c r="N221" s="179"/>
      <c r="O221" s="179"/>
      <c r="P221" s="182"/>
      <c r="Q221" s="182"/>
      <c r="R221" s="182"/>
      <c r="S221" s="182"/>
      <c r="T221" s="182"/>
      <c r="U221" s="182"/>
      <c r="V221" s="182"/>
      <c r="W221" s="182"/>
      <c r="X221" s="182"/>
      <c r="Y221" s="182"/>
      <c r="Z221" s="182"/>
      <c r="AA221" s="182"/>
    </row>
    <row r="222" spans="1:27" ht="14.4">
      <c r="A222" s="182"/>
      <c r="B222" s="182"/>
      <c r="C222" s="182"/>
      <c r="D222" s="182"/>
      <c r="E222" s="182"/>
      <c r="F222" s="182"/>
      <c r="G222" s="182"/>
      <c r="H222" s="182"/>
      <c r="I222" s="182"/>
      <c r="J222" s="182"/>
      <c r="K222" s="182"/>
      <c r="L222" s="182"/>
      <c r="M222" s="179"/>
      <c r="N222" s="179"/>
      <c r="O222" s="179"/>
      <c r="P222" s="182"/>
      <c r="Q222" s="182"/>
      <c r="R222" s="182"/>
      <c r="S222" s="182"/>
      <c r="T222" s="182"/>
      <c r="U222" s="182"/>
      <c r="V222" s="182"/>
      <c r="W222" s="182"/>
      <c r="X222" s="182"/>
      <c r="Y222" s="182"/>
      <c r="Z222" s="182"/>
      <c r="AA222" s="182"/>
    </row>
    <row r="223" spans="1:27" ht="14.4">
      <c r="A223" s="182"/>
      <c r="B223" s="182"/>
      <c r="C223" s="182"/>
      <c r="D223" s="182"/>
      <c r="E223" s="182"/>
      <c r="F223" s="182"/>
      <c r="G223" s="182"/>
      <c r="H223" s="182"/>
      <c r="I223" s="182"/>
      <c r="J223" s="182"/>
      <c r="K223" s="182"/>
      <c r="L223" s="182"/>
      <c r="M223" s="179"/>
      <c r="N223" s="179"/>
      <c r="O223" s="179"/>
      <c r="P223" s="182"/>
      <c r="Q223" s="182"/>
      <c r="R223" s="182"/>
      <c r="S223" s="182"/>
      <c r="T223" s="182"/>
      <c r="U223" s="182"/>
      <c r="V223" s="182"/>
      <c r="W223" s="182"/>
      <c r="X223" s="182"/>
      <c r="Y223" s="182"/>
      <c r="Z223" s="182"/>
      <c r="AA223" s="182"/>
    </row>
    <row r="224" spans="1:27" ht="14.4">
      <c r="A224" s="182"/>
      <c r="B224" s="182"/>
      <c r="C224" s="182"/>
      <c r="D224" s="182"/>
      <c r="E224" s="182"/>
      <c r="F224" s="182"/>
      <c r="G224" s="182"/>
      <c r="H224" s="182"/>
      <c r="I224" s="182"/>
      <c r="J224" s="182"/>
      <c r="K224" s="182"/>
      <c r="L224" s="182"/>
      <c r="M224" s="179"/>
      <c r="N224" s="179"/>
      <c r="O224" s="179"/>
      <c r="P224" s="182"/>
      <c r="Q224" s="182"/>
      <c r="R224" s="182"/>
      <c r="S224" s="182"/>
      <c r="T224" s="182"/>
      <c r="U224" s="182"/>
      <c r="V224" s="182"/>
      <c r="W224" s="182"/>
      <c r="X224" s="182"/>
      <c r="Y224" s="182"/>
      <c r="Z224" s="182"/>
      <c r="AA224" s="182"/>
    </row>
    <row r="225" spans="1:27" ht="14.4">
      <c r="A225" s="182"/>
      <c r="B225" s="182"/>
      <c r="C225" s="182"/>
      <c r="D225" s="182"/>
      <c r="E225" s="182"/>
      <c r="F225" s="182"/>
      <c r="G225" s="182"/>
      <c r="H225" s="182"/>
      <c r="I225" s="182"/>
      <c r="J225" s="182"/>
      <c r="K225" s="182"/>
      <c r="L225" s="182"/>
      <c r="M225" s="179"/>
      <c r="N225" s="179"/>
      <c r="O225" s="179"/>
      <c r="P225" s="182"/>
      <c r="Q225" s="182"/>
      <c r="R225" s="182"/>
      <c r="S225" s="182"/>
      <c r="T225" s="182"/>
      <c r="U225" s="182"/>
      <c r="V225" s="182"/>
      <c r="W225" s="182"/>
      <c r="X225" s="182"/>
      <c r="Y225" s="182"/>
      <c r="Z225" s="182"/>
      <c r="AA225" s="182"/>
    </row>
    <row r="226" spans="1:27" ht="14.4">
      <c r="A226" s="182"/>
      <c r="B226" s="182"/>
      <c r="C226" s="182"/>
      <c r="D226" s="182"/>
      <c r="E226" s="182"/>
      <c r="F226" s="182"/>
      <c r="G226" s="182"/>
      <c r="H226" s="182"/>
      <c r="I226" s="182"/>
      <c r="J226" s="182"/>
      <c r="K226" s="182"/>
      <c r="L226" s="182"/>
      <c r="M226" s="179"/>
      <c r="N226" s="179"/>
      <c r="O226" s="179"/>
      <c r="P226" s="182"/>
      <c r="Q226" s="182"/>
      <c r="R226" s="182"/>
      <c r="S226" s="182"/>
      <c r="T226" s="182"/>
      <c r="U226" s="182"/>
      <c r="V226" s="182"/>
      <c r="W226" s="182"/>
      <c r="X226" s="182"/>
      <c r="Y226" s="182"/>
      <c r="Z226" s="182"/>
      <c r="AA226" s="182"/>
    </row>
    <row r="227" spans="1:27" ht="14.4">
      <c r="A227" s="182"/>
      <c r="B227" s="182"/>
      <c r="C227" s="182"/>
      <c r="D227" s="182"/>
      <c r="E227" s="182"/>
      <c r="F227" s="182"/>
      <c r="G227" s="182"/>
      <c r="H227" s="182"/>
      <c r="I227" s="182"/>
      <c r="J227" s="182"/>
      <c r="K227" s="182"/>
      <c r="L227" s="182"/>
      <c r="M227" s="179"/>
      <c r="N227" s="179"/>
      <c r="O227" s="179"/>
      <c r="P227" s="182"/>
      <c r="Q227" s="182"/>
      <c r="R227" s="182"/>
      <c r="S227" s="182"/>
      <c r="T227" s="182"/>
      <c r="U227" s="182"/>
      <c r="V227" s="182"/>
      <c r="W227" s="182"/>
      <c r="X227" s="182"/>
      <c r="Y227" s="182"/>
      <c r="Z227" s="182"/>
      <c r="AA227" s="182"/>
    </row>
    <row r="228" spans="1:27" ht="14.4">
      <c r="A228" s="182"/>
      <c r="B228" s="182"/>
      <c r="C228" s="182"/>
      <c r="D228" s="182"/>
      <c r="E228" s="182"/>
      <c r="F228" s="182"/>
      <c r="G228" s="182"/>
      <c r="H228" s="182"/>
      <c r="I228" s="182"/>
      <c r="J228" s="182"/>
      <c r="K228" s="182"/>
      <c r="L228" s="182"/>
      <c r="M228" s="179"/>
      <c r="N228" s="179"/>
      <c r="O228" s="179"/>
      <c r="P228" s="182"/>
      <c r="Q228" s="182"/>
      <c r="R228" s="182"/>
      <c r="S228" s="182"/>
      <c r="T228" s="182"/>
      <c r="U228" s="182"/>
      <c r="V228" s="182"/>
      <c r="W228" s="182"/>
      <c r="X228" s="182"/>
      <c r="Y228" s="182"/>
      <c r="Z228" s="182"/>
      <c r="AA228" s="182"/>
    </row>
    <row r="229" spans="1:27" ht="14.4">
      <c r="A229" s="182"/>
      <c r="B229" s="182"/>
      <c r="C229" s="182"/>
      <c r="D229" s="182"/>
      <c r="E229" s="182"/>
      <c r="F229" s="182"/>
      <c r="G229" s="182"/>
      <c r="H229" s="182"/>
      <c r="I229" s="182"/>
      <c r="J229" s="182"/>
      <c r="K229" s="182"/>
      <c r="L229" s="182"/>
      <c r="M229" s="179"/>
      <c r="N229" s="179"/>
      <c r="O229" s="179"/>
      <c r="P229" s="182"/>
      <c r="Q229" s="182"/>
      <c r="R229" s="182"/>
      <c r="S229" s="182"/>
      <c r="T229" s="182"/>
      <c r="U229" s="182"/>
      <c r="V229" s="182"/>
      <c r="W229" s="182"/>
      <c r="X229" s="182"/>
      <c r="Y229" s="182"/>
      <c r="Z229" s="182"/>
      <c r="AA229" s="182"/>
    </row>
    <row r="230" spans="1:27" ht="14.4">
      <c r="A230" s="182"/>
      <c r="B230" s="182"/>
      <c r="C230" s="182"/>
      <c r="D230" s="182"/>
      <c r="E230" s="182"/>
      <c r="F230" s="182"/>
      <c r="G230" s="182"/>
      <c r="H230" s="182"/>
      <c r="I230" s="182"/>
      <c r="J230" s="182"/>
      <c r="K230" s="182"/>
      <c r="L230" s="182"/>
      <c r="M230" s="179"/>
      <c r="N230" s="179"/>
      <c r="O230" s="179"/>
      <c r="P230" s="182"/>
      <c r="Q230" s="182"/>
      <c r="R230" s="182"/>
      <c r="S230" s="182"/>
      <c r="T230" s="182"/>
      <c r="U230" s="182"/>
      <c r="V230" s="182"/>
      <c r="W230" s="182"/>
      <c r="X230" s="182"/>
      <c r="Y230" s="182"/>
      <c r="Z230" s="182"/>
      <c r="AA230" s="182"/>
    </row>
    <row r="231" spans="1:27" ht="14.4">
      <c r="A231" s="182"/>
      <c r="B231" s="182"/>
      <c r="C231" s="182"/>
      <c r="D231" s="182"/>
      <c r="E231" s="182"/>
      <c r="F231" s="182"/>
      <c r="G231" s="182"/>
      <c r="H231" s="182"/>
      <c r="I231" s="182"/>
      <c r="J231" s="182"/>
      <c r="K231" s="182"/>
      <c r="L231" s="182"/>
      <c r="M231" s="179"/>
      <c r="N231" s="179"/>
      <c r="O231" s="179"/>
      <c r="P231" s="182"/>
      <c r="Q231" s="182"/>
      <c r="R231" s="182"/>
      <c r="S231" s="182"/>
      <c r="T231" s="182"/>
      <c r="U231" s="182"/>
      <c r="V231" s="182"/>
      <c r="W231" s="182"/>
      <c r="X231" s="182"/>
      <c r="Y231" s="182"/>
      <c r="Z231" s="182"/>
      <c r="AA231" s="182"/>
    </row>
    <row r="232" spans="1:27" ht="14.4">
      <c r="A232" s="182"/>
      <c r="B232" s="182"/>
      <c r="C232" s="182"/>
      <c r="D232" s="182"/>
      <c r="E232" s="182"/>
      <c r="F232" s="182"/>
      <c r="G232" s="182"/>
      <c r="H232" s="182"/>
      <c r="I232" s="182"/>
      <c r="J232" s="182"/>
      <c r="K232" s="182"/>
      <c r="L232" s="182"/>
      <c r="M232" s="179"/>
      <c r="N232" s="179"/>
      <c r="O232" s="179"/>
      <c r="P232" s="182"/>
      <c r="Q232" s="182"/>
      <c r="R232" s="182"/>
      <c r="S232" s="182"/>
      <c r="T232" s="182"/>
      <c r="U232" s="182"/>
      <c r="V232" s="182"/>
      <c r="W232" s="182"/>
      <c r="X232" s="182"/>
      <c r="Y232" s="182"/>
      <c r="Z232" s="182"/>
      <c r="AA232" s="182"/>
    </row>
    <row r="233" spans="1:27" ht="14.4">
      <c r="A233" s="182"/>
      <c r="B233" s="182"/>
      <c r="C233" s="182"/>
      <c r="D233" s="182"/>
      <c r="E233" s="182"/>
      <c r="F233" s="182"/>
      <c r="G233" s="182"/>
      <c r="H233" s="182"/>
      <c r="I233" s="182"/>
      <c r="J233" s="182"/>
      <c r="K233" s="182"/>
      <c r="L233" s="182"/>
      <c r="M233" s="179"/>
      <c r="N233" s="179"/>
      <c r="O233" s="179"/>
      <c r="P233" s="182"/>
      <c r="Q233" s="182"/>
      <c r="R233" s="182"/>
      <c r="S233" s="182"/>
      <c r="T233" s="182"/>
      <c r="U233" s="182"/>
      <c r="V233" s="182"/>
      <c r="W233" s="182"/>
      <c r="X233" s="182"/>
      <c r="Y233" s="182"/>
      <c r="Z233" s="182"/>
      <c r="AA233" s="182"/>
    </row>
    <row r="234" spans="1:27" ht="14.4">
      <c r="A234" s="182"/>
      <c r="B234" s="182"/>
      <c r="C234" s="182"/>
      <c r="D234" s="182"/>
      <c r="E234" s="182"/>
      <c r="F234" s="182"/>
      <c r="G234" s="182"/>
      <c r="H234" s="182"/>
      <c r="I234" s="182"/>
      <c r="J234" s="182"/>
      <c r="K234" s="182"/>
      <c r="L234" s="182"/>
      <c r="M234" s="179"/>
      <c r="N234" s="179"/>
      <c r="O234" s="179"/>
      <c r="P234" s="182"/>
      <c r="Q234" s="182"/>
      <c r="R234" s="182"/>
      <c r="S234" s="182"/>
      <c r="T234" s="182"/>
      <c r="U234" s="182"/>
      <c r="V234" s="182"/>
      <c r="W234" s="182"/>
      <c r="X234" s="182"/>
      <c r="Y234" s="182"/>
      <c r="Z234" s="182"/>
      <c r="AA234" s="182"/>
    </row>
    <row r="235" spans="1:27" ht="14.4">
      <c r="A235" s="182"/>
      <c r="B235" s="182"/>
      <c r="C235" s="182"/>
      <c r="D235" s="182"/>
      <c r="E235" s="182"/>
      <c r="F235" s="182"/>
      <c r="G235" s="182"/>
      <c r="H235" s="182"/>
      <c r="I235" s="182"/>
      <c r="J235" s="182"/>
      <c r="K235" s="182"/>
      <c r="L235" s="182"/>
      <c r="M235" s="179"/>
      <c r="N235" s="179"/>
      <c r="O235" s="179"/>
      <c r="P235" s="182"/>
      <c r="Q235" s="182"/>
      <c r="R235" s="182"/>
      <c r="S235" s="182"/>
      <c r="T235" s="182"/>
      <c r="U235" s="182"/>
      <c r="V235" s="182"/>
      <c r="W235" s="182"/>
      <c r="X235" s="182"/>
      <c r="Y235" s="182"/>
      <c r="Z235" s="182"/>
      <c r="AA235" s="182"/>
    </row>
    <row r="236" spans="1:27" ht="14.4">
      <c r="A236" s="182"/>
      <c r="B236" s="182"/>
      <c r="C236" s="182"/>
      <c r="D236" s="182"/>
      <c r="E236" s="182"/>
      <c r="F236" s="182"/>
      <c r="G236" s="182"/>
      <c r="H236" s="182"/>
      <c r="I236" s="182"/>
      <c r="J236" s="182"/>
      <c r="K236" s="182"/>
      <c r="L236" s="182"/>
      <c r="M236" s="179"/>
      <c r="N236" s="179"/>
      <c r="O236" s="179"/>
      <c r="P236" s="182"/>
      <c r="Q236" s="182"/>
      <c r="R236" s="182"/>
      <c r="S236" s="182"/>
      <c r="T236" s="182"/>
      <c r="U236" s="182"/>
      <c r="V236" s="182"/>
      <c r="W236" s="182"/>
      <c r="X236" s="182"/>
      <c r="Y236" s="182"/>
      <c r="Z236" s="182"/>
      <c r="AA236" s="182"/>
    </row>
    <row r="237" spans="1:27" ht="14.4">
      <c r="A237" s="182"/>
      <c r="B237" s="182"/>
      <c r="C237" s="182"/>
      <c r="D237" s="182"/>
      <c r="E237" s="182"/>
      <c r="F237" s="182"/>
      <c r="G237" s="182"/>
      <c r="H237" s="182"/>
      <c r="I237" s="182"/>
      <c r="J237" s="182"/>
      <c r="K237" s="182"/>
      <c r="L237" s="182"/>
      <c r="M237" s="179"/>
      <c r="N237" s="179"/>
      <c r="O237" s="179"/>
      <c r="P237" s="182"/>
      <c r="Q237" s="182"/>
      <c r="R237" s="182"/>
      <c r="S237" s="182"/>
      <c r="T237" s="182"/>
      <c r="U237" s="182"/>
      <c r="V237" s="182"/>
      <c r="W237" s="182"/>
      <c r="X237" s="182"/>
      <c r="Y237" s="182"/>
      <c r="Z237" s="182"/>
      <c r="AA237" s="182"/>
    </row>
    <row r="238" spans="1:27" ht="14.4">
      <c r="A238" s="182"/>
      <c r="B238" s="182"/>
      <c r="C238" s="182"/>
      <c r="D238" s="182"/>
      <c r="E238" s="182"/>
      <c r="F238" s="182"/>
      <c r="G238" s="182"/>
      <c r="H238" s="182"/>
      <c r="I238" s="182"/>
      <c r="J238" s="182"/>
      <c r="K238" s="182"/>
      <c r="L238" s="182"/>
      <c r="M238" s="179"/>
      <c r="N238" s="179"/>
      <c r="O238" s="179"/>
      <c r="P238" s="182"/>
      <c r="Q238" s="182"/>
      <c r="R238" s="182"/>
      <c r="S238" s="182"/>
      <c r="T238" s="182"/>
      <c r="U238" s="182"/>
      <c r="V238" s="182"/>
      <c r="W238" s="182"/>
      <c r="X238" s="182"/>
      <c r="Y238" s="182"/>
      <c r="Z238" s="182"/>
      <c r="AA238" s="182"/>
    </row>
    <row r="239" spans="1:27" ht="14.4">
      <c r="A239" s="182"/>
      <c r="B239" s="182"/>
      <c r="C239" s="182"/>
      <c r="D239" s="182"/>
      <c r="E239" s="182"/>
      <c r="F239" s="182"/>
      <c r="G239" s="182"/>
      <c r="H239" s="182"/>
      <c r="I239" s="182"/>
      <c r="J239" s="182"/>
      <c r="K239" s="182"/>
      <c r="L239" s="182"/>
      <c r="M239" s="179"/>
      <c r="N239" s="179"/>
      <c r="O239" s="179"/>
      <c r="P239" s="182"/>
      <c r="Q239" s="182"/>
      <c r="R239" s="182"/>
      <c r="S239" s="182"/>
      <c r="T239" s="182"/>
      <c r="U239" s="182"/>
      <c r="V239" s="182"/>
      <c r="W239" s="182"/>
      <c r="X239" s="182"/>
      <c r="Y239" s="182"/>
      <c r="Z239" s="182"/>
      <c r="AA239" s="182"/>
    </row>
    <row r="240" spans="1:27" ht="14.4">
      <c r="A240" s="182"/>
      <c r="B240" s="182"/>
      <c r="C240" s="182"/>
      <c r="D240" s="182"/>
      <c r="E240" s="182"/>
      <c r="F240" s="182"/>
      <c r="G240" s="182"/>
      <c r="H240" s="182"/>
      <c r="I240" s="182"/>
      <c r="J240" s="182"/>
      <c r="K240" s="182"/>
      <c r="L240" s="182"/>
      <c r="M240" s="179"/>
      <c r="N240" s="179"/>
      <c r="O240" s="179"/>
      <c r="P240" s="182"/>
      <c r="Q240" s="182"/>
      <c r="R240" s="182"/>
      <c r="S240" s="182"/>
      <c r="T240" s="182"/>
      <c r="U240" s="182"/>
      <c r="V240" s="182"/>
      <c r="W240" s="182"/>
      <c r="X240" s="182"/>
      <c r="Y240" s="182"/>
      <c r="Z240" s="182"/>
      <c r="AA240" s="182"/>
    </row>
    <row r="241" spans="1:27" ht="14.4">
      <c r="A241" s="182"/>
      <c r="B241" s="182"/>
      <c r="C241" s="182"/>
      <c r="D241" s="182"/>
      <c r="E241" s="182"/>
      <c r="F241" s="182"/>
      <c r="G241" s="182"/>
      <c r="H241" s="182"/>
      <c r="I241" s="182"/>
      <c r="J241" s="182"/>
      <c r="K241" s="182"/>
      <c r="L241" s="182"/>
      <c r="M241" s="179"/>
      <c r="N241" s="179"/>
      <c r="O241" s="179"/>
      <c r="P241" s="182"/>
      <c r="Q241" s="182"/>
      <c r="R241" s="182"/>
      <c r="S241" s="182"/>
      <c r="T241" s="182"/>
      <c r="U241" s="182"/>
      <c r="V241" s="182"/>
      <c r="W241" s="182"/>
      <c r="X241" s="182"/>
      <c r="Y241" s="182"/>
      <c r="Z241" s="182"/>
      <c r="AA241" s="182"/>
    </row>
    <row r="242" spans="1:27" ht="14.4">
      <c r="A242" s="182"/>
      <c r="B242" s="182"/>
      <c r="C242" s="182"/>
      <c r="D242" s="182"/>
      <c r="E242" s="182"/>
      <c r="F242" s="182"/>
      <c r="G242" s="182"/>
      <c r="H242" s="182"/>
      <c r="I242" s="182"/>
      <c r="J242" s="182"/>
      <c r="K242" s="182"/>
      <c r="L242" s="182"/>
      <c r="M242" s="179"/>
      <c r="N242" s="179"/>
      <c r="O242" s="179"/>
      <c r="P242" s="182"/>
      <c r="Q242" s="182"/>
      <c r="R242" s="182"/>
      <c r="S242" s="182"/>
      <c r="T242" s="182"/>
      <c r="U242" s="182"/>
      <c r="V242" s="182"/>
      <c r="W242" s="182"/>
      <c r="X242" s="182"/>
      <c r="Y242" s="182"/>
      <c r="Z242" s="182"/>
      <c r="AA242" s="182"/>
    </row>
    <row r="243" spans="1:27" ht="14.4">
      <c r="A243" s="182"/>
      <c r="B243" s="182"/>
      <c r="C243" s="182"/>
      <c r="D243" s="182"/>
      <c r="E243" s="182"/>
      <c r="F243" s="182"/>
      <c r="G243" s="182"/>
      <c r="H243" s="182"/>
      <c r="I243" s="182"/>
      <c r="J243" s="182"/>
      <c r="K243" s="182"/>
      <c r="L243" s="182"/>
      <c r="M243" s="179"/>
      <c r="N243" s="179"/>
      <c r="O243" s="179"/>
      <c r="P243" s="182"/>
      <c r="Q243" s="182"/>
      <c r="R243" s="182"/>
      <c r="S243" s="182"/>
      <c r="T243" s="182"/>
      <c r="U243" s="182"/>
      <c r="V243" s="182"/>
      <c r="W243" s="182"/>
      <c r="X243" s="182"/>
      <c r="Y243" s="182"/>
      <c r="Z243" s="182"/>
      <c r="AA243" s="182"/>
    </row>
    <row r="244" spans="1:27" ht="14.4">
      <c r="A244" s="182"/>
      <c r="B244" s="182"/>
      <c r="C244" s="182"/>
      <c r="D244" s="182"/>
      <c r="E244" s="182"/>
      <c r="F244" s="182"/>
      <c r="G244" s="182"/>
      <c r="H244" s="182"/>
      <c r="I244" s="182"/>
      <c r="J244" s="182"/>
      <c r="K244" s="182"/>
      <c r="L244" s="182"/>
      <c r="M244" s="179"/>
      <c r="N244" s="179"/>
      <c r="O244" s="179"/>
      <c r="P244" s="182"/>
      <c r="Q244" s="182"/>
      <c r="R244" s="182"/>
      <c r="S244" s="182"/>
      <c r="T244" s="182"/>
      <c r="U244" s="182"/>
      <c r="V244" s="182"/>
      <c r="W244" s="182"/>
      <c r="X244" s="182"/>
      <c r="Y244" s="182"/>
      <c r="Z244" s="182"/>
      <c r="AA244" s="182"/>
    </row>
    <row r="245" spans="1:27" ht="14.4">
      <c r="A245" s="182"/>
      <c r="B245" s="182"/>
      <c r="C245" s="182"/>
      <c r="D245" s="182"/>
      <c r="E245" s="182"/>
      <c r="F245" s="182"/>
      <c r="G245" s="182"/>
      <c r="H245" s="182"/>
      <c r="I245" s="182"/>
      <c r="J245" s="182"/>
      <c r="K245" s="182"/>
      <c r="L245" s="182"/>
      <c r="M245" s="179"/>
      <c r="N245" s="179"/>
      <c r="O245" s="179"/>
      <c r="P245" s="182"/>
      <c r="Q245" s="182"/>
      <c r="R245" s="182"/>
      <c r="S245" s="182"/>
      <c r="T245" s="182"/>
      <c r="U245" s="182"/>
      <c r="V245" s="182"/>
      <c r="W245" s="182"/>
      <c r="X245" s="182"/>
      <c r="Y245" s="182"/>
      <c r="Z245" s="182"/>
      <c r="AA245" s="182"/>
    </row>
    <row r="246" spans="1:27" ht="14.4">
      <c r="A246" s="182"/>
      <c r="B246" s="182"/>
      <c r="C246" s="182"/>
      <c r="D246" s="182"/>
      <c r="E246" s="182"/>
      <c r="F246" s="182"/>
      <c r="G246" s="182"/>
      <c r="H246" s="182"/>
      <c r="I246" s="182"/>
      <c r="J246" s="182"/>
      <c r="K246" s="182"/>
      <c r="L246" s="182"/>
      <c r="M246" s="179"/>
      <c r="N246" s="179"/>
      <c r="O246" s="179"/>
      <c r="P246" s="182"/>
      <c r="Q246" s="182"/>
      <c r="R246" s="182"/>
      <c r="S246" s="182"/>
      <c r="T246" s="182"/>
      <c r="U246" s="182"/>
      <c r="V246" s="182"/>
      <c r="W246" s="182"/>
      <c r="X246" s="182"/>
      <c r="Y246" s="182"/>
      <c r="Z246" s="182"/>
      <c r="AA246" s="182"/>
    </row>
    <row r="247" spans="1:27" ht="14.4">
      <c r="A247" s="182"/>
      <c r="B247" s="182"/>
      <c r="C247" s="182"/>
      <c r="D247" s="182"/>
      <c r="E247" s="182"/>
      <c r="F247" s="182"/>
      <c r="G247" s="182"/>
      <c r="H247" s="182"/>
      <c r="I247" s="182"/>
      <c r="J247" s="182"/>
      <c r="K247" s="182"/>
      <c r="L247" s="182"/>
      <c r="M247" s="179"/>
      <c r="N247" s="179"/>
      <c r="O247" s="179"/>
      <c r="P247" s="182"/>
      <c r="Q247" s="182"/>
      <c r="R247" s="182"/>
      <c r="S247" s="182"/>
      <c r="T247" s="182"/>
      <c r="U247" s="182"/>
      <c r="V247" s="182"/>
      <c r="W247" s="182"/>
      <c r="X247" s="182"/>
      <c r="Y247" s="182"/>
      <c r="Z247" s="182"/>
      <c r="AA247" s="182"/>
    </row>
    <row r="248" spans="1:27" ht="14.4">
      <c r="A248" s="182"/>
      <c r="B248" s="182"/>
      <c r="C248" s="182"/>
      <c r="D248" s="182"/>
      <c r="E248" s="182"/>
      <c r="F248" s="182"/>
      <c r="G248" s="182"/>
      <c r="H248" s="182"/>
      <c r="I248" s="182"/>
      <c r="J248" s="182"/>
      <c r="K248" s="182"/>
      <c r="L248" s="182"/>
      <c r="M248" s="179"/>
      <c r="N248" s="179"/>
      <c r="O248" s="179"/>
      <c r="P248" s="182"/>
      <c r="Q248" s="182"/>
      <c r="R248" s="182"/>
      <c r="S248" s="182"/>
      <c r="T248" s="182"/>
      <c r="U248" s="182"/>
      <c r="V248" s="182"/>
      <c r="W248" s="182"/>
      <c r="X248" s="182"/>
      <c r="Y248" s="182"/>
      <c r="Z248" s="182"/>
      <c r="AA248" s="182"/>
    </row>
    <row r="249" spans="1:27" ht="14.4">
      <c r="A249" s="182"/>
      <c r="B249" s="182"/>
      <c r="C249" s="182"/>
      <c r="D249" s="182"/>
      <c r="E249" s="182"/>
      <c r="F249" s="182"/>
      <c r="G249" s="182"/>
      <c r="H249" s="182"/>
      <c r="I249" s="182"/>
      <c r="J249" s="182"/>
      <c r="K249" s="182"/>
      <c r="L249" s="182"/>
      <c r="M249" s="179"/>
      <c r="N249" s="179"/>
      <c r="O249" s="179"/>
      <c r="P249" s="182"/>
      <c r="Q249" s="182"/>
      <c r="R249" s="182"/>
      <c r="S249" s="182"/>
      <c r="T249" s="182"/>
      <c r="U249" s="182"/>
      <c r="V249" s="182"/>
      <c r="W249" s="182"/>
      <c r="X249" s="182"/>
      <c r="Y249" s="182"/>
      <c r="Z249" s="182"/>
      <c r="AA249" s="182"/>
    </row>
    <row r="250" spans="1:27" ht="14.4">
      <c r="A250" s="182"/>
      <c r="B250" s="182"/>
      <c r="C250" s="182"/>
      <c r="D250" s="182"/>
      <c r="E250" s="182"/>
      <c r="F250" s="182"/>
      <c r="G250" s="182"/>
      <c r="H250" s="182"/>
      <c r="I250" s="182"/>
      <c r="J250" s="182"/>
      <c r="K250" s="182"/>
      <c r="L250" s="182"/>
      <c r="M250" s="179"/>
      <c r="N250" s="179"/>
      <c r="O250" s="179"/>
      <c r="P250" s="182"/>
      <c r="Q250" s="182"/>
      <c r="R250" s="182"/>
      <c r="S250" s="182"/>
      <c r="T250" s="182"/>
      <c r="U250" s="182"/>
      <c r="V250" s="182"/>
      <c r="W250" s="182"/>
      <c r="X250" s="182"/>
      <c r="Y250" s="182"/>
      <c r="Z250" s="182"/>
      <c r="AA250" s="182"/>
    </row>
    <row r="251" spans="1:27" ht="14.4">
      <c r="A251" s="182"/>
      <c r="B251" s="182"/>
      <c r="C251" s="182"/>
      <c r="D251" s="182"/>
      <c r="E251" s="182"/>
      <c r="F251" s="182"/>
      <c r="G251" s="182"/>
      <c r="H251" s="182"/>
      <c r="I251" s="182"/>
      <c r="J251" s="182"/>
      <c r="K251" s="182"/>
      <c r="L251" s="182"/>
      <c r="M251" s="179"/>
      <c r="N251" s="179"/>
      <c r="O251" s="179"/>
      <c r="P251" s="182"/>
      <c r="Q251" s="182"/>
      <c r="R251" s="182"/>
      <c r="S251" s="182"/>
      <c r="T251" s="182"/>
      <c r="U251" s="182"/>
      <c r="V251" s="182"/>
      <c r="W251" s="182"/>
      <c r="X251" s="182"/>
      <c r="Y251" s="182"/>
      <c r="Z251" s="182"/>
      <c r="AA251" s="182"/>
    </row>
    <row r="252" spans="1:27" ht="14.4">
      <c r="A252" s="182"/>
      <c r="B252" s="182"/>
      <c r="C252" s="182"/>
      <c r="D252" s="182"/>
      <c r="E252" s="182"/>
      <c r="F252" s="182"/>
      <c r="G252" s="182"/>
      <c r="H252" s="182"/>
      <c r="I252" s="182"/>
      <c r="J252" s="182"/>
      <c r="K252" s="182"/>
      <c r="L252" s="182"/>
      <c r="M252" s="179"/>
      <c r="N252" s="179"/>
      <c r="O252" s="179"/>
      <c r="P252" s="182"/>
      <c r="Q252" s="182"/>
      <c r="R252" s="182"/>
      <c r="S252" s="182"/>
      <c r="T252" s="182"/>
      <c r="U252" s="182"/>
      <c r="V252" s="182"/>
      <c r="W252" s="182"/>
      <c r="X252" s="182"/>
      <c r="Y252" s="182"/>
      <c r="Z252" s="182"/>
      <c r="AA252" s="182"/>
    </row>
    <row r="253" spans="1:27" ht="14.4">
      <c r="A253" s="182"/>
      <c r="B253" s="182"/>
      <c r="C253" s="182"/>
      <c r="D253" s="182"/>
      <c r="E253" s="182"/>
      <c r="F253" s="182"/>
      <c r="G253" s="182"/>
      <c r="H253" s="182"/>
      <c r="I253" s="182"/>
      <c r="J253" s="182"/>
      <c r="K253" s="182"/>
      <c r="L253" s="182"/>
      <c r="M253" s="179"/>
      <c r="N253" s="179"/>
      <c r="O253" s="179"/>
      <c r="P253" s="182"/>
      <c r="Q253" s="182"/>
      <c r="R253" s="182"/>
      <c r="S253" s="182"/>
      <c r="T253" s="182"/>
      <c r="U253" s="182"/>
      <c r="V253" s="182"/>
      <c r="W253" s="182"/>
      <c r="X253" s="182"/>
      <c r="Y253" s="182"/>
      <c r="Z253" s="182"/>
      <c r="AA253" s="182"/>
    </row>
    <row r="254" spans="1:27" ht="14.4">
      <c r="A254" s="182"/>
      <c r="B254" s="182"/>
      <c r="C254" s="182"/>
      <c r="D254" s="182"/>
      <c r="E254" s="182"/>
      <c r="F254" s="182"/>
      <c r="G254" s="182"/>
      <c r="H254" s="182"/>
      <c r="I254" s="182"/>
      <c r="J254" s="182"/>
      <c r="K254" s="182"/>
      <c r="L254" s="182"/>
      <c r="M254" s="179"/>
      <c r="N254" s="179"/>
      <c r="O254" s="179"/>
      <c r="P254" s="182"/>
      <c r="Q254" s="182"/>
      <c r="R254" s="182"/>
      <c r="S254" s="182"/>
      <c r="T254" s="182"/>
      <c r="U254" s="182"/>
      <c r="V254" s="182"/>
      <c r="W254" s="182"/>
      <c r="X254" s="182"/>
      <c r="Y254" s="182"/>
      <c r="Z254" s="182"/>
      <c r="AA254" s="182"/>
    </row>
    <row r="255" spans="1:27" ht="14.4">
      <c r="A255" s="182"/>
      <c r="B255" s="182"/>
      <c r="C255" s="182"/>
      <c r="D255" s="182"/>
      <c r="E255" s="182"/>
      <c r="F255" s="182"/>
      <c r="G255" s="182"/>
      <c r="H255" s="182"/>
      <c r="I255" s="182"/>
      <c r="J255" s="182"/>
      <c r="K255" s="182"/>
      <c r="L255" s="182"/>
      <c r="M255" s="179"/>
      <c r="N255" s="179"/>
      <c r="O255" s="179"/>
      <c r="P255" s="182"/>
      <c r="Q255" s="182"/>
      <c r="R255" s="182"/>
      <c r="S255" s="182"/>
      <c r="T255" s="182"/>
      <c r="U255" s="182"/>
      <c r="V255" s="182"/>
      <c r="W255" s="182"/>
      <c r="X255" s="182"/>
      <c r="Y255" s="182"/>
      <c r="Z255" s="182"/>
      <c r="AA255" s="182"/>
    </row>
    <row r="256" spans="1:27" ht="14.4">
      <c r="A256" s="182"/>
      <c r="B256" s="182"/>
      <c r="C256" s="182"/>
      <c r="D256" s="182"/>
      <c r="E256" s="182"/>
      <c r="F256" s="182"/>
      <c r="G256" s="182"/>
      <c r="H256" s="182"/>
      <c r="I256" s="182"/>
      <c r="J256" s="182"/>
      <c r="K256" s="182"/>
      <c r="L256" s="182"/>
      <c r="M256" s="179"/>
      <c r="N256" s="179"/>
      <c r="O256" s="179"/>
      <c r="P256" s="182"/>
      <c r="Q256" s="182"/>
      <c r="R256" s="182"/>
      <c r="S256" s="182"/>
      <c r="T256" s="182"/>
      <c r="U256" s="182"/>
      <c r="V256" s="182"/>
      <c r="W256" s="182"/>
      <c r="X256" s="182"/>
      <c r="Y256" s="182"/>
      <c r="Z256" s="182"/>
      <c r="AA256" s="182"/>
    </row>
    <row r="257" spans="1:27" ht="14.4">
      <c r="A257" s="182"/>
      <c r="B257" s="182"/>
      <c r="C257" s="182"/>
      <c r="D257" s="182"/>
      <c r="E257" s="182"/>
      <c r="F257" s="182"/>
      <c r="G257" s="182"/>
      <c r="H257" s="182"/>
      <c r="I257" s="182"/>
      <c r="J257" s="182"/>
      <c r="K257" s="182"/>
      <c r="L257" s="182"/>
      <c r="M257" s="179"/>
      <c r="N257" s="179"/>
      <c r="O257" s="179"/>
      <c r="P257" s="182"/>
      <c r="Q257" s="182"/>
      <c r="R257" s="182"/>
      <c r="S257" s="182"/>
      <c r="T257" s="182"/>
      <c r="U257" s="182"/>
      <c r="V257" s="182"/>
      <c r="W257" s="182"/>
      <c r="X257" s="182"/>
      <c r="Y257" s="182"/>
      <c r="Z257" s="182"/>
      <c r="AA257" s="182"/>
    </row>
    <row r="258" spans="1:27" ht="14.4">
      <c r="A258" s="182"/>
      <c r="B258" s="182"/>
      <c r="C258" s="182"/>
      <c r="D258" s="182"/>
      <c r="E258" s="182"/>
      <c r="F258" s="182"/>
      <c r="G258" s="182"/>
      <c r="H258" s="182"/>
      <c r="I258" s="182"/>
      <c r="J258" s="182"/>
      <c r="K258" s="182"/>
      <c r="L258" s="182"/>
      <c r="M258" s="179"/>
      <c r="N258" s="179"/>
      <c r="O258" s="179"/>
      <c r="P258" s="182"/>
      <c r="Q258" s="182"/>
      <c r="R258" s="182"/>
      <c r="S258" s="182"/>
      <c r="T258" s="182"/>
      <c r="U258" s="182"/>
      <c r="V258" s="182"/>
      <c r="W258" s="182"/>
      <c r="X258" s="182"/>
      <c r="Y258" s="182"/>
      <c r="Z258" s="182"/>
      <c r="AA258" s="182"/>
    </row>
    <row r="259" spans="1:27" ht="14.4">
      <c r="A259" s="182"/>
      <c r="B259" s="182"/>
      <c r="C259" s="182"/>
      <c r="D259" s="182"/>
      <c r="E259" s="182"/>
      <c r="F259" s="182"/>
      <c r="G259" s="182"/>
      <c r="H259" s="182"/>
      <c r="I259" s="182"/>
      <c r="J259" s="182"/>
      <c r="K259" s="182"/>
      <c r="L259" s="182"/>
      <c r="M259" s="179"/>
      <c r="N259" s="179"/>
      <c r="O259" s="179"/>
      <c r="P259" s="182"/>
      <c r="Q259" s="182"/>
      <c r="R259" s="182"/>
      <c r="S259" s="182"/>
      <c r="T259" s="182"/>
      <c r="U259" s="182"/>
      <c r="V259" s="182"/>
      <c r="W259" s="182"/>
      <c r="X259" s="182"/>
      <c r="Y259" s="182"/>
      <c r="Z259" s="182"/>
      <c r="AA259" s="182"/>
    </row>
    <row r="260" spans="1:27" ht="14.4">
      <c r="A260" s="182"/>
      <c r="B260" s="182"/>
      <c r="C260" s="182"/>
      <c r="D260" s="182"/>
      <c r="E260" s="182"/>
      <c r="F260" s="182"/>
      <c r="G260" s="182"/>
      <c r="H260" s="182"/>
      <c r="I260" s="182"/>
      <c r="J260" s="182"/>
      <c r="K260" s="182"/>
      <c r="L260" s="182"/>
      <c r="M260" s="179"/>
      <c r="N260" s="179"/>
      <c r="O260" s="179"/>
      <c r="P260" s="182"/>
      <c r="Q260" s="182"/>
      <c r="R260" s="182"/>
      <c r="S260" s="182"/>
      <c r="T260" s="182"/>
      <c r="U260" s="182"/>
      <c r="V260" s="182"/>
      <c r="W260" s="182"/>
      <c r="X260" s="182"/>
      <c r="Y260" s="182"/>
      <c r="Z260" s="182"/>
      <c r="AA260" s="182"/>
    </row>
    <row r="261" spans="1:27" ht="14.4">
      <c r="A261" s="182"/>
      <c r="B261" s="182"/>
      <c r="C261" s="182"/>
      <c r="D261" s="182"/>
      <c r="E261" s="182"/>
      <c r="F261" s="182"/>
      <c r="G261" s="182"/>
      <c r="H261" s="182"/>
      <c r="I261" s="182"/>
      <c r="J261" s="182"/>
      <c r="K261" s="182"/>
      <c r="L261" s="182"/>
      <c r="M261" s="179"/>
      <c r="N261" s="179"/>
      <c r="O261" s="179"/>
      <c r="P261" s="182"/>
      <c r="Q261" s="182"/>
      <c r="R261" s="182"/>
      <c r="S261" s="182"/>
      <c r="T261" s="182"/>
      <c r="U261" s="182"/>
      <c r="V261" s="182"/>
      <c r="W261" s="182"/>
      <c r="X261" s="182"/>
      <c r="Y261" s="182"/>
      <c r="Z261" s="182"/>
      <c r="AA261" s="182"/>
    </row>
    <row r="262" spans="1:27" ht="14.4">
      <c r="A262" s="182"/>
      <c r="B262" s="182"/>
      <c r="C262" s="182"/>
      <c r="D262" s="182"/>
      <c r="E262" s="182"/>
      <c r="F262" s="182"/>
      <c r="G262" s="182"/>
      <c r="H262" s="182"/>
      <c r="I262" s="182"/>
      <c r="J262" s="182"/>
      <c r="K262" s="182"/>
      <c r="L262" s="182"/>
      <c r="M262" s="179"/>
      <c r="N262" s="179"/>
      <c r="O262" s="179"/>
      <c r="P262" s="182"/>
      <c r="Q262" s="182"/>
      <c r="R262" s="182"/>
      <c r="S262" s="182"/>
      <c r="T262" s="182"/>
      <c r="U262" s="182"/>
      <c r="V262" s="182"/>
      <c r="W262" s="182"/>
      <c r="X262" s="182"/>
      <c r="Y262" s="182"/>
      <c r="Z262" s="182"/>
      <c r="AA262" s="182"/>
    </row>
    <row r="263" spans="1:27" ht="14.4">
      <c r="A263" s="182"/>
      <c r="B263" s="182"/>
      <c r="C263" s="182"/>
      <c r="D263" s="182"/>
      <c r="E263" s="182"/>
      <c r="F263" s="182"/>
      <c r="G263" s="182"/>
      <c r="H263" s="182"/>
      <c r="I263" s="182"/>
      <c r="J263" s="182"/>
      <c r="K263" s="182"/>
      <c r="L263" s="182"/>
      <c r="M263" s="179"/>
      <c r="N263" s="179"/>
      <c r="O263" s="179"/>
      <c r="P263" s="182"/>
      <c r="Q263" s="182"/>
      <c r="R263" s="182"/>
      <c r="S263" s="182"/>
      <c r="T263" s="182"/>
      <c r="U263" s="182"/>
      <c r="V263" s="182"/>
      <c r="W263" s="182"/>
      <c r="X263" s="182"/>
      <c r="Y263" s="182"/>
      <c r="Z263" s="182"/>
      <c r="AA263" s="182"/>
    </row>
    <row r="264" spans="1:27" ht="14.4">
      <c r="A264" s="182"/>
      <c r="B264" s="182"/>
      <c r="C264" s="182"/>
      <c r="D264" s="182"/>
      <c r="E264" s="182"/>
      <c r="F264" s="182"/>
      <c r="G264" s="182"/>
      <c r="H264" s="182"/>
      <c r="I264" s="182"/>
      <c r="J264" s="182"/>
      <c r="K264" s="182"/>
      <c r="L264" s="182"/>
      <c r="M264" s="179"/>
      <c r="N264" s="179"/>
      <c r="O264" s="179"/>
      <c r="P264" s="182"/>
      <c r="Q264" s="182"/>
      <c r="R264" s="182"/>
      <c r="S264" s="182"/>
      <c r="T264" s="182"/>
      <c r="U264" s="182"/>
      <c r="V264" s="182"/>
      <c r="W264" s="182"/>
      <c r="X264" s="182"/>
      <c r="Y264" s="182"/>
      <c r="Z264" s="182"/>
      <c r="AA264" s="182"/>
    </row>
    <row r="265" spans="1:27" ht="14.4">
      <c r="A265" s="182"/>
      <c r="B265" s="182"/>
      <c r="C265" s="182"/>
      <c r="D265" s="182"/>
      <c r="E265" s="182"/>
      <c r="F265" s="182"/>
      <c r="G265" s="182"/>
      <c r="H265" s="182"/>
      <c r="I265" s="182"/>
      <c r="J265" s="182"/>
      <c r="K265" s="182"/>
      <c r="L265" s="182"/>
      <c r="M265" s="179"/>
      <c r="N265" s="179"/>
      <c r="O265" s="179"/>
      <c r="P265" s="182"/>
      <c r="Q265" s="182"/>
      <c r="R265" s="182"/>
      <c r="S265" s="182"/>
      <c r="T265" s="182"/>
      <c r="U265" s="182"/>
      <c r="V265" s="182"/>
      <c r="W265" s="182"/>
      <c r="X265" s="182"/>
      <c r="Y265" s="182"/>
      <c r="Z265" s="182"/>
      <c r="AA265" s="182"/>
    </row>
    <row r="266" spans="1:27" ht="14.4">
      <c r="A266" s="182"/>
      <c r="B266" s="182"/>
      <c r="C266" s="182"/>
      <c r="D266" s="182"/>
      <c r="E266" s="182"/>
      <c r="F266" s="182"/>
      <c r="G266" s="182"/>
      <c r="H266" s="182"/>
      <c r="I266" s="182"/>
      <c r="J266" s="182"/>
      <c r="K266" s="182"/>
      <c r="L266" s="182"/>
      <c r="M266" s="179"/>
      <c r="N266" s="179"/>
      <c r="O266" s="179"/>
      <c r="P266" s="182"/>
      <c r="Q266" s="182"/>
      <c r="R266" s="182"/>
      <c r="S266" s="182"/>
      <c r="T266" s="182"/>
      <c r="U266" s="182"/>
      <c r="V266" s="182"/>
      <c r="W266" s="182"/>
      <c r="X266" s="182"/>
      <c r="Y266" s="182"/>
      <c r="Z266" s="182"/>
      <c r="AA266" s="182"/>
    </row>
    <row r="267" spans="1:27" ht="14.4">
      <c r="A267" s="182"/>
      <c r="B267" s="182"/>
      <c r="C267" s="182"/>
      <c r="D267" s="182"/>
      <c r="E267" s="182"/>
      <c r="F267" s="182"/>
      <c r="G267" s="182"/>
      <c r="H267" s="182"/>
      <c r="I267" s="182"/>
      <c r="J267" s="182"/>
      <c r="K267" s="182"/>
      <c r="L267" s="182"/>
      <c r="M267" s="179"/>
      <c r="N267" s="179"/>
      <c r="O267" s="179"/>
      <c r="P267" s="182"/>
      <c r="Q267" s="182"/>
      <c r="R267" s="182"/>
      <c r="S267" s="182"/>
      <c r="T267" s="182"/>
      <c r="U267" s="182"/>
      <c r="V267" s="182"/>
      <c r="W267" s="182"/>
      <c r="X267" s="182"/>
      <c r="Y267" s="182"/>
      <c r="Z267" s="182"/>
      <c r="AA267" s="182"/>
    </row>
    <row r="268" spans="1:27" ht="14.4">
      <c r="A268" s="182"/>
      <c r="B268" s="182"/>
      <c r="C268" s="182"/>
      <c r="D268" s="182"/>
      <c r="E268" s="182"/>
      <c r="F268" s="182"/>
      <c r="G268" s="182"/>
      <c r="H268" s="182"/>
      <c r="I268" s="182"/>
      <c r="J268" s="182"/>
      <c r="K268" s="182"/>
      <c r="L268" s="182"/>
      <c r="M268" s="179"/>
      <c r="N268" s="179"/>
      <c r="O268" s="179"/>
      <c r="P268" s="182"/>
      <c r="Q268" s="182"/>
      <c r="R268" s="182"/>
      <c r="S268" s="182"/>
      <c r="T268" s="182"/>
      <c r="U268" s="182"/>
      <c r="V268" s="182"/>
      <c r="W268" s="182"/>
      <c r="X268" s="182"/>
      <c r="Y268" s="182"/>
      <c r="Z268" s="182"/>
      <c r="AA268" s="182"/>
    </row>
    <row r="269" spans="1:27" ht="14.4">
      <c r="A269" s="182"/>
      <c r="B269" s="182"/>
      <c r="C269" s="182"/>
      <c r="D269" s="182"/>
      <c r="E269" s="182"/>
      <c r="F269" s="182"/>
      <c r="G269" s="182"/>
      <c r="H269" s="182"/>
      <c r="I269" s="182"/>
      <c r="J269" s="182"/>
      <c r="K269" s="182"/>
      <c r="L269" s="182"/>
      <c r="M269" s="179"/>
      <c r="N269" s="179"/>
      <c r="O269" s="179"/>
      <c r="P269" s="182"/>
      <c r="Q269" s="182"/>
      <c r="R269" s="182"/>
      <c r="S269" s="182"/>
      <c r="T269" s="182"/>
      <c r="U269" s="182"/>
      <c r="V269" s="182"/>
      <c r="W269" s="182"/>
      <c r="X269" s="182"/>
      <c r="Y269" s="182"/>
      <c r="Z269" s="182"/>
      <c r="AA269" s="182"/>
    </row>
    <row r="270" spans="1:27" ht="14.4">
      <c r="A270" s="182"/>
      <c r="B270" s="182"/>
      <c r="C270" s="182"/>
      <c r="D270" s="182"/>
      <c r="E270" s="182"/>
      <c r="F270" s="182"/>
      <c r="G270" s="182"/>
      <c r="H270" s="182"/>
      <c r="I270" s="182"/>
      <c r="J270" s="182"/>
      <c r="K270" s="182"/>
      <c r="L270" s="182"/>
      <c r="M270" s="179"/>
      <c r="N270" s="179"/>
      <c r="O270" s="179"/>
      <c r="P270" s="182"/>
      <c r="Q270" s="182"/>
      <c r="R270" s="182"/>
      <c r="S270" s="182"/>
      <c r="T270" s="182"/>
      <c r="U270" s="182"/>
      <c r="V270" s="182"/>
      <c r="W270" s="182"/>
      <c r="X270" s="182"/>
      <c r="Y270" s="182"/>
      <c r="Z270" s="182"/>
      <c r="AA270" s="182"/>
    </row>
    <row r="271" spans="1:27" ht="14.4">
      <c r="A271" s="182"/>
      <c r="B271" s="182"/>
      <c r="C271" s="182"/>
      <c r="D271" s="182"/>
      <c r="E271" s="182"/>
      <c r="F271" s="182"/>
      <c r="G271" s="182"/>
      <c r="H271" s="182"/>
      <c r="I271" s="182"/>
      <c r="J271" s="182"/>
      <c r="K271" s="182"/>
      <c r="L271" s="182"/>
      <c r="M271" s="179"/>
      <c r="N271" s="179"/>
      <c r="O271" s="179"/>
      <c r="P271" s="182"/>
      <c r="Q271" s="182"/>
      <c r="R271" s="182"/>
      <c r="S271" s="182"/>
      <c r="T271" s="182"/>
      <c r="U271" s="182"/>
      <c r="V271" s="182"/>
      <c r="W271" s="182"/>
      <c r="X271" s="182"/>
      <c r="Y271" s="182"/>
      <c r="Z271" s="182"/>
      <c r="AA271" s="182"/>
    </row>
    <row r="272" spans="1:27" ht="14.4">
      <c r="A272" s="182"/>
      <c r="B272" s="182"/>
      <c r="C272" s="182"/>
      <c r="D272" s="182"/>
      <c r="E272" s="182"/>
      <c r="F272" s="182"/>
      <c r="G272" s="182"/>
      <c r="H272" s="182"/>
      <c r="I272" s="182"/>
      <c r="J272" s="182"/>
      <c r="K272" s="182"/>
      <c r="L272" s="182"/>
      <c r="M272" s="179"/>
      <c r="N272" s="179"/>
      <c r="O272" s="179"/>
      <c r="P272" s="182"/>
      <c r="Q272" s="182"/>
      <c r="R272" s="182"/>
      <c r="S272" s="182"/>
      <c r="T272" s="182"/>
      <c r="U272" s="182"/>
      <c r="V272" s="182"/>
      <c r="W272" s="182"/>
      <c r="X272" s="182"/>
      <c r="Y272" s="182"/>
      <c r="Z272" s="182"/>
      <c r="AA272" s="182"/>
    </row>
    <row r="273" spans="1:27" ht="14.4">
      <c r="A273" s="182"/>
      <c r="B273" s="182"/>
      <c r="C273" s="182"/>
      <c r="D273" s="182"/>
      <c r="E273" s="182"/>
      <c r="F273" s="182"/>
      <c r="G273" s="182"/>
      <c r="H273" s="182"/>
      <c r="I273" s="182"/>
      <c r="J273" s="182"/>
      <c r="K273" s="182"/>
      <c r="L273" s="182"/>
      <c r="M273" s="179"/>
      <c r="N273" s="179"/>
      <c r="O273" s="179"/>
      <c r="P273" s="182"/>
      <c r="Q273" s="182"/>
      <c r="R273" s="182"/>
      <c r="S273" s="182"/>
      <c r="T273" s="182"/>
      <c r="U273" s="182"/>
      <c r="V273" s="182"/>
      <c r="W273" s="182"/>
      <c r="X273" s="182"/>
      <c r="Y273" s="182"/>
      <c r="Z273" s="182"/>
      <c r="AA273" s="182"/>
    </row>
    <row r="274" spans="1:27" ht="14.4">
      <c r="A274" s="182"/>
      <c r="B274" s="182"/>
      <c r="C274" s="182"/>
      <c r="D274" s="182"/>
      <c r="E274" s="182"/>
      <c r="F274" s="182"/>
      <c r="G274" s="182"/>
      <c r="H274" s="182"/>
      <c r="I274" s="182"/>
      <c r="J274" s="182"/>
      <c r="K274" s="182"/>
      <c r="L274" s="182"/>
      <c r="M274" s="179"/>
      <c r="N274" s="179"/>
      <c r="O274" s="179"/>
      <c r="P274" s="182"/>
      <c r="Q274" s="182"/>
      <c r="R274" s="182"/>
      <c r="S274" s="182"/>
      <c r="T274" s="182"/>
      <c r="U274" s="182"/>
      <c r="V274" s="182"/>
      <c r="W274" s="182"/>
      <c r="X274" s="182"/>
      <c r="Y274" s="182"/>
      <c r="Z274" s="182"/>
      <c r="AA274" s="182"/>
    </row>
    <row r="275" spans="1:27" ht="14.4">
      <c r="A275" s="182"/>
      <c r="B275" s="182"/>
      <c r="C275" s="182"/>
      <c r="D275" s="182"/>
      <c r="E275" s="182"/>
      <c r="F275" s="182"/>
      <c r="G275" s="182"/>
      <c r="H275" s="182"/>
      <c r="I275" s="182"/>
      <c r="J275" s="182"/>
      <c r="K275" s="182"/>
      <c r="L275" s="182"/>
      <c r="M275" s="179"/>
      <c r="N275" s="179"/>
      <c r="O275" s="179"/>
      <c r="P275" s="182"/>
      <c r="Q275" s="182"/>
      <c r="R275" s="182"/>
      <c r="S275" s="182"/>
      <c r="T275" s="182"/>
      <c r="U275" s="182"/>
      <c r="V275" s="182"/>
      <c r="W275" s="182"/>
      <c r="X275" s="182"/>
      <c r="Y275" s="182"/>
      <c r="Z275" s="182"/>
      <c r="AA275" s="182"/>
    </row>
    <row r="276" spans="1:27" ht="14.4">
      <c r="A276" s="182"/>
      <c r="B276" s="182"/>
      <c r="C276" s="182"/>
      <c r="D276" s="182"/>
      <c r="E276" s="182"/>
      <c r="F276" s="182"/>
      <c r="G276" s="182"/>
      <c r="H276" s="182"/>
      <c r="I276" s="182"/>
      <c r="J276" s="182"/>
      <c r="K276" s="182"/>
      <c r="L276" s="182"/>
      <c r="M276" s="179"/>
      <c r="N276" s="179"/>
      <c r="O276" s="179"/>
      <c r="P276" s="182"/>
      <c r="Q276" s="182"/>
      <c r="R276" s="182"/>
      <c r="S276" s="182"/>
      <c r="T276" s="182"/>
      <c r="U276" s="182"/>
      <c r="V276" s="182"/>
      <c r="W276" s="182"/>
      <c r="X276" s="182"/>
      <c r="Y276" s="182"/>
      <c r="Z276" s="182"/>
      <c r="AA276" s="182"/>
    </row>
    <row r="277" spans="1:27" ht="14.4">
      <c r="A277" s="182"/>
      <c r="B277" s="182"/>
      <c r="C277" s="182"/>
      <c r="D277" s="182"/>
      <c r="E277" s="182"/>
      <c r="F277" s="182"/>
      <c r="G277" s="182"/>
      <c r="H277" s="182"/>
      <c r="I277" s="182"/>
      <c r="J277" s="182"/>
      <c r="K277" s="182"/>
      <c r="L277" s="182"/>
      <c r="M277" s="179"/>
      <c r="N277" s="179"/>
      <c r="O277" s="179"/>
      <c r="P277" s="182"/>
      <c r="Q277" s="182"/>
      <c r="R277" s="182"/>
      <c r="S277" s="182"/>
      <c r="T277" s="182"/>
      <c r="U277" s="182"/>
      <c r="V277" s="182"/>
      <c r="W277" s="182"/>
      <c r="X277" s="182"/>
      <c r="Y277" s="182"/>
      <c r="Z277" s="182"/>
      <c r="AA277" s="182"/>
    </row>
    <row r="278" spans="1:27" ht="14.4">
      <c r="A278" s="182"/>
      <c r="B278" s="182"/>
      <c r="C278" s="182"/>
      <c r="D278" s="182"/>
      <c r="E278" s="182"/>
      <c r="F278" s="182"/>
      <c r="G278" s="182"/>
      <c r="H278" s="182"/>
      <c r="I278" s="182"/>
      <c r="J278" s="182"/>
      <c r="K278" s="182"/>
      <c r="L278" s="182"/>
      <c r="M278" s="179"/>
      <c r="N278" s="179"/>
      <c r="O278" s="179"/>
      <c r="P278" s="182"/>
      <c r="Q278" s="182"/>
      <c r="R278" s="182"/>
      <c r="S278" s="182"/>
      <c r="T278" s="182"/>
      <c r="U278" s="182"/>
      <c r="V278" s="182"/>
      <c r="W278" s="182"/>
      <c r="X278" s="182"/>
      <c r="Y278" s="182"/>
      <c r="Z278" s="182"/>
      <c r="AA278" s="182"/>
    </row>
    <row r="279" spans="1:27" ht="14.4">
      <c r="A279" s="182"/>
      <c r="B279" s="182"/>
      <c r="C279" s="182"/>
      <c r="D279" s="182"/>
      <c r="E279" s="182"/>
      <c r="F279" s="182"/>
      <c r="G279" s="182"/>
      <c r="H279" s="182"/>
      <c r="I279" s="182"/>
      <c r="J279" s="182"/>
      <c r="K279" s="182"/>
      <c r="L279" s="182"/>
      <c r="M279" s="179"/>
      <c r="N279" s="179"/>
      <c r="O279" s="179"/>
      <c r="P279" s="182"/>
      <c r="Q279" s="182"/>
      <c r="R279" s="182"/>
      <c r="S279" s="182"/>
      <c r="T279" s="182"/>
      <c r="U279" s="182"/>
      <c r="V279" s="182"/>
      <c r="W279" s="182"/>
      <c r="X279" s="182"/>
      <c r="Y279" s="182"/>
      <c r="Z279" s="182"/>
      <c r="AA279" s="182"/>
    </row>
    <row r="280" spans="1:27" ht="14.4">
      <c r="A280" s="182"/>
      <c r="B280" s="182"/>
      <c r="C280" s="182"/>
      <c r="D280" s="182"/>
      <c r="E280" s="182"/>
      <c r="F280" s="182"/>
      <c r="G280" s="182"/>
      <c r="H280" s="182"/>
      <c r="I280" s="182"/>
      <c r="J280" s="182"/>
      <c r="K280" s="182"/>
      <c r="L280" s="182"/>
      <c r="M280" s="179"/>
      <c r="N280" s="179"/>
      <c r="O280" s="179"/>
      <c r="P280" s="182"/>
      <c r="Q280" s="182"/>
      <c r="R280" s="182"/>
      <c r="S280" s="182"/>
      <c r="T280" s="182"/>
      <c r="U280" s="182"/>
      <c r="V280" s="182"/>
      <c r="W280" s="182"/>
      <c r="X280" s="182"/>
      <c r="Y280" s="182"/>
      <c r="Z280" s="182"/>
      <c r="AA280" s="182"/>
    </row>
    <row r="281" spans="1:27" ht="14.4">
      <c r="A281" s="182"/>
      <c r="B281" s="182"/>
      <c r="C281" s="182"/>
      <c r="D281" s="182"/>
      <c r="E281" s="182"/>
      <c r="F281" s="182"/>
      <c r="G281" s="182"/>
      <c r="H281" s="182"/>
      <c r="I281" s="182"/>
      <c r="J281" s="182"/>
      <c r="K281" s="182"/>
      <c r="L281" s="182"/>
      <c r="M281" s="179"/>
      <c r="N281" s="179"/>
      <c r="O281" s="179"/>
      <c r="P281" s="182"/>
      <c r="Q281" s="182"/>
      <c r="R281" s="182"/>
      <c r="S281" s="182"/>
      <c r="T281" s="182"/>
      <c r="U281" s="182"/>
      <c r="V281" s="182"/>
      <c r="W281" s="182"/>
      <c r="X281" s="182"/>
      <c r="Y281" s="182"/>
      <c r="Z281" s="182"/>
      <c r="AA281" s="182"/>
    </row>
    <row r="282" spans="1:27" ht="14.4">
      <c r="A282" s="182"/>
      <c r="B282" s="182"/>
      <c r="C282" s="182"/>
      <c r="D282" s="182"/>
      <c r="E282" s="182"/>
      <c r="F282" s="182"/>
      <c r="G282" s="182"/>
      <c r="H282" s="182"/>
      <c r="I282" s="182"/>
      <c r="J282" s="182"/>
      <c r="K282" s="182"/>
      <c r="L282" s="182"/>
      <c r="M282" s="179"/>
      <c r="N282" s="179"/>
      <c r="O282" s="179"/>
      <c r="P282" s="182"/>
      <c r="Q282" s="182"/>
      <c r="R282" s="182"/>
      <c r="S282" s="182"/>
      <c r="T282" s="182"/>
      <c r="U282" s="182"/>
      <c r="V282" s="182"/>
      <c r="W282" s="182"/>
      <c r="X282" s="182"/>
      <c r="Y282" s="182"/>
      <c r="Z282" s="182"/>
      <c r="AA282" s="182"/>
    </row>
    <row r="283" spans="1:27" ht="14.4">
      <c r="A283" s="182"/>
      <c r="B283" s="182"/>
      <c r="C283" s="182"/>
      <c r="D283" s="182"/>
      <c r="E283" s="182"/>
      <c r="F283" s="182"/>
      <c r="G283" s="182"/>
      <c r="H283" s="182"/>
      <c r="I283" s="182"/>
      <c r="J283" s="182"/>
      <c r="K283" s="182"/>
      <c r="L283" s="182"/>
      <c r="M283" s="179"/>
      <c r="N283" s="179"/>
      <c r="O283" s="179"/>
      <c r="P283" s="182"/>
      <c r="Q283" s="182"/>
      <c r="R283" s="182"/>
      <c r="S283" s="182"/>
      <c r="T283" s="182"/>
      <c r="U283" s="182"/>
      <c r="V283" s="182"/>
      <c r="W283" s="182"/>
      <c r="X283" s="182"/>
      <c r="Y283" s="182"/>
      <c r="Z283" s="182"/>
      <c r="AA283" s="182"/>
    </row>
    <row r="284" spans="1:27" ht="14.4">
      <c r="A284" s="182"/>
      <c r="B284" s="182"/>
      <c r="C284" s="182"/>
      <c r="D284" s="182"/>
      <c r="E284" s="182"/>
      <c r="F284" s="182"/>
      <c r="G284" s="182"/>
      <c r="H284" s="182"/>
      <c r="I284" s="182"/>
      <c r="J284" s="182"/>
      <c r="K284" s="182"/>
      <c r="L284" s="182"/>
      <c r="M284" s="179"/>
      <c r="N284" s="179"/>
      <c r="O284" s="179"/>
      <c r="P284" s="182"/>
      <c r="Q284" s="182"/>
      <c r="R284" s="182"/>
      <c r="S284" s="182"/>
      <c r="T284" s="182"/>
      <c r="U284" s="182"/>
      <c r="V284" s="182"/>
      <c r="W284" s="182"/>
      <c r="X284" s="182"/>
      <c r="Y284" s="182"/>
      <c r="Z284" s="182"/>
      <c r="AA284" s="182"/>
    </row>
    <row r="285" spans="1:27" ht="14.4">
      <c r="A285" s="182"/>
      <c r="B285" s="182"/>
      <c r="C285" s="182"/>
      <c r="D285" s="182"/>
      <c r="E285" s="182"/>
      <c r="F285" s="182"/>
      <c r="G285" s="182"/>
      <c r="H285" s="182"/>
      <c r="I285" s="182"/>
      <c r="J285" s="182"/>
      <c r="K285" s="182"/>
      <c r="L285" s="182"/>
      <c r="M285" s="179"/>
      <c r="N285" s="179"/>
      <c r="O285" s="179"/>
      <c r="P285" s="182"/>
      <c r="Q285" s="182"/>
      <c r="R285" s="182"/>
      <c r="S285" s="182"/>
      <c r="T285" s="182"/>
      <c r="U285" s="182"/>
      <c r="V285" s="182"/>
      <c r="W285" s="182"/>
      <c r="X285" s="182"/>
      <c r="Y285" s="182"/>
      <c r="Z285" s="182"/>
      <c r="AA285" s="182"/>
    </row>
    <row r="286" spans="1:27" ht="14.4">
      <c r="A286" s="182"/>
      <c r="B286" s="182"/>
      <c r="C286" s="182"/>
      <c r="D286" s="182"/>
      <c r="E286" s="182"/>
      <c r="F286" s="182"/>
      <c r="G286" s="182"/>
      <c r="H286" s="182"/>
      <c r="I286" s="182"/>
      <c r="J286" s="182"/>
      <c r="K286" s="182"/>
      <c r="L286" s="182"/>
      <c r="M286" s="179"/>
      <c r="N286" s="179"/>
      <c r="O286" s="179"/>
      <c r="P286" s="182"/>
      <c r="Q286" s="182"/>
      <c r="R286" s="182"/>
      <c r="S286" s="182"/>
      <c r="T286" s="182"/>
      <c r="U286" s="182"/>
      <c r="V286" s="182"/>
      <c r="W286" s="182"/>
      <c r="X286" s="182"/>
      <c r="Y286" s="182"/>
      <c r="Z286" s="182"/>
      <c r="AA286" s="182"/>
    </row>
    <row r="287" spans="1:27" ht="14.4">
      <c r="A287" s="182"/>
      <c r="B287" s="182"/>
      <c r="C287" s="182"/>
      <c r="D287" s="182"/>
      <c r="E287" s="182"/>
      <c r="F287" s="182"/>
      <c r="G287" s="182"/>
      <c r="H287" s="182"/>
      <c r="I287" s="182"/>
      <c r="J287" s="182"/>
      <c r="K287" s="182"/>
      <c r="L287" s="182"/>
      <c r="M287" s="179"/>
      <c r="N287" s="179"/>
      <c r="O287" s="179"/>
      <c r="P287" s="182"/>
      <c r="Q287" s="182"/>
      <c r="R287" s="182"/>
      <c r="S287" s="182"/>
      <c r="T287" s="182"/>
      <c r="U287" s="182"/>
      <c r="V287" s="182"/>
      <c r="W287" s="182"/>
      <c r="X287" s="182"/>
      <c r="Y287" s="182"/>
      <c r="Z287" s="182"/>
      <c r="AA287" s="182"/>
    </row>
    <row r="288" spans="1:27" ht="14.4">
      <c r="A288" s="182"/>
      <c r="B288" s="182"/>
      <c r="C288" s="182"/>
      <c r="D288" s="182"/>
      <c r="E288" s="182"/>
      <c r="F288" s="182"/>
      <c r="G288" s="182"/>
      <c r="H288" s="182"/>
      <c r="I288" s="182"/>
      <c r="J288" s="182"/>
      <c r="K288" s="182"/>
      <c r="L288" s="182"/>
      <c r="M288" s="179"/>
      <c r="N288" s="179"/>
      <c r="O288" s="179"/>
      <c r="P288" s="182"/>
      <c r="Q288" s="182"/>
      <c r="R288" s="182"/>
      <c r="S288" s="182"/>
      <c r="T288" s="182"/>
      <c r="U288" s="182"/>
      <c r="V288" s="182"/>
      <c r="W288" s="182"/>
      <c r="X288" s="182"/>
      <c r="Y288" s="182"/>
      <c r="Z288" s="182"/>
      <c r="AA288" s="182"/>
    </row>
    <row r="289" spans="1:27" ht="14.4">
      <c r="A289" s="182"/>
      <c r="B289" s="182"/>
      <c r="C289" s="182"/>
      <c r="D289" s="182"/>
      <c r="E289" s="182"/>
      <c r="F289" s="182"/>
      <c r="G289" s="182"/>
      <c r="H289" s="182"/>
      <c r="I289" s="182"/>
      <c r="J289" s="182"/>
      <c r="K289" s="182"/>
      <c r="L289" s="182"/>
      <c r="M289" s="179"/>
      <c r="N289" s="179"/>
      <c r="O289" s="179"/>
      <c r="P289" s="182"/>
      <c r="Q289" s="182"/>
      <c r="R289" s="182"/>
      <c r="S289" s="182"/>
      <c r="T289" s="182"/>
      <c r="U289" s="182"/>
      <c r="V289" s="182"/>
      <c r="W289" s="182"/>
      <c r="X289" s="182"/>
      <c r="Y289" s="182"/>
      <c r="Z289" s="182"/>
      <c r="AA289" s="182"/>
    </row>
    <row r="290" spans="1:27" ht="14.4">
      <c r="A290" s="182"/>
      <c r="B290" s="182"/>
      <c r="C290" s="182"/>
      <c r="D290" s="182"/>
      <c r="E290" s="182"/>
      <c r="F290" s="182"/>
      <c r="G290" s="182"/>
      <c r="H290" s="182"/>
      <c r="I290" s="182"/>
      <c r="J290" s="182"/>
      <c r="K290" s="182"/>
      <c r="L290" s="182"/>
      <c r="M290" s="179"/>
      <c r="N290" s="179"/>
      <c r="O290" s="179"/>
      <c r="P290" s="182"/>
      <c r="Q290" s="182"/>
      <c r="R290" s="182"/>
      <c r="S290" s="182"/>
      <c r="T290" s="182"/>
      <c r="U290" s="182"/>
      <c r="V290" s="182"/>
      <c r="W290" s="182"/>
      <c r="X290" s="182"/>
      <c r="Y290" s="182"/>
      <c r="Z290" s="182"/>
      <c r="AA290" s="182"/>
    </row>
    <row r="291" spans="1:27" ht="14.4">
      <c r="A291" s="182"/>
      <c r="B291" s="182"/>
      <c r="C291" s="182"/>
      <c r="D291" s="182"/>
      <c r="E291" s="182"/>
      <c r="F291" s="182"/>
      <c r="G291" s="182"/>
      <c r="H291" s="182"/>
      <c r="I291" s="182"/>
      <c r="J291" s="182"/>
      <c r="K291" s="182"/>
      <c r="L291" s="182"/>
      <c r="M291" s="179"/>
      <c r="N291" s="179"/>
      <c r="O291" s="179"/>
      <c r="P291" s="182"/>
      <c r="Q291" s="182"/>
      <c r="R291" s="182"/>
      <c r="S291" s="182"/>
      <c r="T291" s="182"/>
      <c r="U291" s="182"/>
      <c r="V291" s="182"/>
      <c r="W291" s="182"/>
      <c r="X291" s="182"/>
      <c r="Y291" s="182"/>
      <c r="Z291" s="182"/>
      <c r="AA291" s="182"/>
    </row>
    <row r="292" spans="1:27" ht="14.4">
      <c r="A292" s="182"/>
      <c r="B292" s="182"/>
      <c r="C292" s="182"/>
      <c r="D292" s="182"/>
      <c r="E292" s="182"/>
      <c r="F292" s="182"/>
      <c r="G292" s="182"/>
      <c r="H292" s="182"/>
      <c r="I292" s="182"/>
      <c r="J292" s="182"/>
      <c r="K292" s="182"/>
      <c r="L292" s="182"/>
      <c r="M292" s="179"/>
      <c r="N292" s="179"/>
      <c r="O292" s="179"/>
      <c r="P292" s="182"/>
      <c r="Q292" s="182"/>
      <c r="R292" s="182"/>
      <c r="S292" s="182"/>
      <c r="T292" s="182"/>
      <c r="U292" s="182"/>
      <c r="V292" s="182"/>
      <c r="W292" s="182"/>
      <c r="X292" s="182"/>
      <c r="Y292" s="182"/>
      <c r="Z292" s="182"/>
      <c r="AA292" s="182"/>
    </row>
    <row r="293" spans="1:27" ht="14.4">
      <c r="A293" s="182"/>
      <c r="B293" s="182"/>
      <c r="C293" s="182"/>
      <c r="D293" s="182"/>
      <c r="E293" s="182"/>
      <c r="F293" s="182"/>
      <c r="G293" s="182"/>
      <c r="H293" s="182"/>
      <c r="I293" s="182"/>
      <c r="J293" s="182"/>
      <c r="K293" s="182"/>
      <c r="L293" s="182"/>
      <c r="M293" s="179"/>
      <c r="N293" s="179"/>
      <c r="O293" s="179"/>
      <c r="P293" s="182"/>
      <c r="Q293" s="182"/>
      <c r="R293" s="182"/>
      <c r="S293" s="182"/>
      <c r="T293" s="182"/>
      <c r="U293" s="182"/>
      <c r="V293" s="182"/>
      <c r="W293" s="182"/>
      <c r="X293" s="182"/>
      <c r="Y293" s="182"/>
      <c r="Z293" s="182"/>
      <c r="AA293" s="182"/>
    </row>
    <row r="294" spans="1:27" ht="14.4">
      <c r="A294" s="182"/>
      <c r="B294" s="182"/>
      <c r="C294" s="182"/>
      <c r="D294" s="182"/>
      <c r="E294" s="182"/>
      <c r="F294" s="182"/>
      <c r="G294" s="182"/>
      <c r="H294" s="182"/>
      <c r="I294" s="182"/>
      <c r="J294" s="182"/>
      <c r="K294" s="182"/>
      <c r="L294" s="182"/>
      <c r="M294" s="179"/>
      <c r="N294" s="179"/>
      <c r="O294" s="179"/>
      <c r="P294" s="182"/>
      <c r="Q294" s="182"/>
      <c r="R294" s="182"/>
      <c r="S294" s="182"/>
      <c r="T294" s="182"/>
      <c r="U294" s="182"/>
      <c r="V294" s="182"/>
      <c r="W294" s="182"/>
      <c r="X294" s="182"/>
      <c r="Y294" s="182"/>
      <c r="Z294" s="182"/>
      <c r="AA294" s="182"/>
    </row>
    <row r="295" spans="1:27" ht="14.4">
      <c r="A295" s="182"/>
      <c r="B295" s="182"/>
      <c r="C295" s="182"/>
      <c r="D295" s="182"/>
      <c r="E295" s="182"/>
      <c r="F295" s="182"/>
      <c r="G295" s="182"/>
      <c r="H295" s="182"/>
      <c r="I295" s="182"/>
      <c r="J295" s="182"/>
      <c r="K295" s="182"/>
      <c r="L295" s="182"/>
      <c r="M295" s="179"/>
      <c r="N295" s="179"/>
      <c r="O295" s="179"/>
      <c r="P295" s="182"/>
      <c r="Q295" s="182"/>
      <c r="R295" s="182"/>
      <c r="S295" s="182"/>
      <c r="T295" s="182"/>
      <c r="U295" s="182"/>
      <c r="V295" s="182"/>
      <c r="W295" s="182"/>
      <c r="X295" s="182"/>
      <c r="Y295" s="182"/>
      <c r="Z295" s="182"/>
      <c r="AA295" s="182"/>
    </row>
    <row r="296" spans="1:27" ht="14.4">
      <c r="A296" s="182"/>
      <c r="B296" s="182"/>
      <c r="C296" s="182"/>
      <c r="D296" s="182"/>
      <c r="E296" s="182"/>
      <c r="F296" s="182"/>
      <c r="G296" s="182"/>
      <c r="H296" s="182"/>
      <c r="I296" s="182"/>
      <c r="J296" s="182"/>
      <c r="K296" s="182"/>
      <c r="L296" s="182"/>
      <c r="M296" s="179"/>
      <c r="N296" s="179"/>
      <c r="O296" s="179"/>
      <c r="P296" s="182"/>
      <c r="Q296" s="182"/>
      <c r="R296" s="182"/>
      <c r="S296" s="182"/>
      <c r="T296" s="182"/>
      <c r="U296" s="182"/>
      <c r="V296" s="182"/>
      <c r="W296" s="182"/>
      <c r="X296" s="182"/>
      <c r="Y296" s="182"/>
      <c r="Z296" s="182"/>
      <c r="AA296" s="182"/>
    </row>
    <row r="297" spans="1:27" ht="14.4">
      <c r="A297" s="182"/>
      <c r="B297" s="182"/>
      <c r="C297" s="182"/>
      <c r="D297" s="182"/>
      <c r="E297" s="182"/>
      <c r="F297" s="182"/>
      <c r="G297" s="182"/>
      <c r="H297" s="182"/>
      <c r="I297" s="182"/>
      <c r="J297" s="182"/>
      <c r="K297" s="182"/>
      <c r="L297" s="182"/>
      <c r="M297" s="179"/>
      <c r="N297" s="179"/>
      <c r="O297" s="179"/>
      <c r="P297" s="182"/>
      <c r="Q297" s="182"/>
      <c r="R297" s="182"/>
      <c r="S297" s="182"/>
      <c r="T297" s="182"/>
      <c r="U297" s="182"/>
      <c r="V297" s="182"/>
      <c r="W297" s="182"/>
      <c r="X297" s="182"/>
      <c r="Y297" s="182"/>
      <c r="Z297" s="182"/>
      <c r="AA297" s="182"/>
    </row>
    <row r="298" spans="1:27" ht="14.4">
      <c r="A298" s="182"/>
      <c r="B298" s="182"/>
      <c r="C298" s="182"/>
      <c r="D298" s="182"/>
      <c r="E298" s="182"/>
      <c r="F298" s="182"/>
      <c r="G298" s="182"/>
      <c r="H298" s="182"/>
      <c r="I298" s="182"/>
      <c r="J298" s="182"/>
      <c r="K298" s="182"/>
      <c r="L298" s="182"/>
      <c r="M298" s="179"/>
      <c r="N298" s="179"/>
      <c r="O298" s="179"/>
      <c r="P298" s="182"/>
      <c r="Q298" s="182"/>
      <c r="R298" s="182"/>
      <c r="S298" s="182"/>
      <c r="T298" s="182"/>
      <c r="U298" s="182"/>
      <c r="V298" s="182"/>
      <c r="W298" s="182"/>
      <c r="X298" s="182"/>
      <c r="Y298" s="182"/>
      <c r="Z298" s="182"/>
      <c r="AA298" s="182"/>
    </row>
    <row r="299" spans="1:27" ht="14.4">
      <c r="A299" s="182"/>
      <c r="B299" s="182"/>
      <c r="C299" s="182"/>
      <c r="D299" s="182"/>
      <c r="E299" s="182"/>
      <c r="F299" s="182"/>
      <c r="G299" s="182"/>
      <c r="H299" s="182"/>
      <c r="I299" s="182"/>
      <c r="J299" s="182"/>
      <c r="K299" s="182"/>
      <c r="L299" s="182"/>
      <c r="M299" s="179"/>
      <c r="N299" s="179"/>
      <c r="O299" s="179"/>
      <c r="P299" s="182"/>
      <c r="Q299" s="182"/>
      <c r="R299" s="182"/>
      <c r="S299" s="182"/>
      <c r="T299" s="182"/>
      <c r="U299" s="182"/>
      <c r="V299" s="182"/>
      <c r="W299" s="182"/>
      <c r="X299" s="182"/>
      <c r="Y299" s="182"/>
      <c r="Z299" s="182"/>
      <c r="AA299" s="182"/>
    </row>
    <row r="300" spans="1:27" ht="14.4">
      <c r="A300" s="182"/>
      <c r="B300" s="182"/>
      <c r="C300" s="182"/>
      <c r="D300" s="182"/>
      <c r="E300" s="182"/>
      <c r="F300" s="182"/>
      <c r="G300" s="182"/>
      <c r="H300" s="182"/>
      <c r="I300" s="182"/>
      <c r="J300" s="182"/>
      <c r="K300" s="182"/>
      <c r="L300" s="182"/>
      <c r="M300" s="179"/>
      <c r="N300" s="179"/>
      <c r="O300" s="179"/>
      <c r="P300" s="182"/>
      <c r="Q300" s="182"/>
      <c r="R300" s="182"/>
      <c r="S300" s="182"/>
      <c r="T300" s="182"/>
      <c r="U300" s="182"/>
      <c r="V300" s="182"/>
      <c r="W300" s="182"/>
      <c r="X300" s="182"/>
      <c r="Y300" s="182"/>
      <c r="Z300" s="182"/>
      <c r="AA300" s="182"/>
    </row>
    <row r="301" spans="1:27" ht="14.4">
      <c r="A301" s="182"/>
      <c r="B301" s="182"/>
      <c r="C301" s="182"/>
      <c r="D301" s="182"/>
      <c r="E301" s="182"/>
      <c r="F301" s="182"/>
      <c r="G301" s="182"/>
      <c r="H301" s="182"/>
      <c r="I301" s="182"/>
      <c r="J301" s="182"/>
      <c r="K301" s="182"/>
      <c r="L301" s="182"/>
      <c r="M301" s="179"/>
      <c r="N301" s="179"/>
      <c r="O301" s="179"/>
      <c r="P301" s="182"/>
      <c r="Q301" s="182"/>
      <c r="R301" s="182"/>
      <c r="S301" s="182"/>
      <c r="T301" s="182"/>
      <c r="U301" s="182"/>
      <c r="V301" s="182"/>
      <c r="W301" s="182"/>
      <c r="X301" s="182"/>
      <c r="Y301" s="182"/>
      <c r="Z301" s="182"/>
      <c r="AA301" s="182"/>
    </row>
    <row r="302" spans="1:27" ht="14.4">
      <c r="A302" s="182"/>
      <c r="B302" s="182"/>
      <c r="C302" s="182"/>
      <c r="D302" s="182"/>
      <c r="E302" s="182"/>
      <c r="F302" s="182"/>
      <c r="G302" s="182"/>
      <c r="H302" s="182"/>
      <c r="I302" s="182"/>
      <c r="J302" s="182"/>
      <c r="K302" s="182"/>
      <c r="L302" s="182"/>
      <c r="M302" s="179"/>
      <c r="N302" s="179"/>
      <c r="O302" s="179"/>
      <c r="P302" s="182"/>
      <c r="Q302" s="182"/>
      <c r="R302" s="182"/>
      <c r="S302" s="182"/>
      <c r="T302" s="182"/>
      <c r="U302" s="182"/>
      <c r="V302" s="182"/>
      <c r="W302" s="182"/>
      <c r="X302" s="182"/>
      <c r="Y302" s="182"/>
      <c r="Z302" s="182"/>
      <c r="AA302" s="182"/>
    </row>
    <row r="303" spans="1:27" ht="14.4">
      <c r="A303" s="182"/>
      <c r="B303" s="182"/>
      <c r="C303" s="182"/>
      <c r="D303" s="182"/>
      <c r="E303" s="182"/>
      <c r="F303" s="182"/>
      <c r="G303" s="182"/>
      <c r="H303" s="182"/>
      <c r="I303" s="182"/>
      <c r="J303" s="182"/>
      <c r="K303" s="182"/>
      <c r="L303" s="182"/>
      <c r="M303" s="179"/>
      <c r="N303" s="179"/>
      <c r="O303" s="179"/>
      <c r="P303" s="182"/>
      <c r="Q303" s="182"/>
      <c r="R303" s="182"/>
      <c r="S303" s="182"/>
      <c r="T303" s="182"/>
      <c r="U303" s="182"/>
      <c r="V303" s="182"/>
      <c r="W303" s="182"/>
      <c r="X303" s="182"/>
      <c r="Y303" s="182"/>
      <c r="Z303" s="182"/>
      <c r="AA303" s="182"/>
    </row>
    <row r="304" spans="1:27" ht="14.4">
      <c r="A304" s="182"/>
      <c r="B304" s="182"/>
      <c r="C304" s="182"/>
      <c r="D304" s="182"/>
      <c r="E304" s="182"/>
      <c r="F304" s="182"/>
      <c r="G304" s="182"/>
      <c r="H304" s="182"/>
      <c r="I304" s="182"/>
      <c r="J304" s="182"/>
      <c r="K304" s="182"/>
      <c r="L304" s="182"/>
      <c r="M304" s="179"/>
      <c r="N304" s="179"/>
      <c r="O304" s="179"/>
      <c r="P304" s="182"/>
      <c r="Q304" s="182"/>
      <c r="R304" s="182"/>
      <c r="S304" s="182"/>
      <c r="T304" s="182"/>
      <c r="U304" s="182"/>
      <c r="V304" s="182"/>
      <c r="W304" s="182"/>
      <c r="X304" s="182"/>
      <c r="Y304" s="182"/>
      <c r="Z304" s="182"/>
      <c r="AA304" s="182"/>
    </row>
    <row r="305" spans="1:27" ht="14.4">
      <c r="A305" s="182"/>
      <c r="B305" s="182"/>
      <c r="C305" s="182"/>
      <c r="D305" s="182"/>
      <c r="E305" s="182"/>
      <c r="F305" s="182"/>
      <c r="G305" s="182"/>
      <c r="H305" s="182"/>
      <c r="I305" s="182"/>
      <c r="J305" s="182"/>
      <c r="K305" s="182"/>
      <c r="L305" s="182"/>
      <c r="M305" s="179"/>
      <c r="N305" s="179"/>
      <c r="O305" s="179"/>
      <c r="P305" s="182"/>
      <c r="Q305" s="182"/>
      <c r="R305" s="182"/>
      <c r="S305" s="182"/>
      <c r="T305" s="182"/>
      <c r="U305" s="182"/>
      <c r="V305" s="182"/>
      <c r="W305" s="182"/>
      <c r="X305" s="182"/>
      <c r="Y305" s="182"/>
      <c r="Z305" s="182"/>
      <c r="AA305" s="182"/>
    </row>
    <row r="306" spans="1:27" ht="14.4">
      <c r="A306" s="182"/>
      <c r="B306" s="182"/>
      <c r="C306" s="182"/>
      <c r="D306" s="182"/>
      <c r="E306" s="182"/>
      <c r="F306" s="182"/>
      <c r="G306" s="182"/>
      <c r="H306" s="182"/>
      <c r="I306" s="182"/>
      <c r="J306" s="182"/>
      <c r="K306" s="182"/>
      <c r="L306" s="182"/>
      <c r="M306" s="179"/>
      <c r="N306" s="179"/>
      <c r="O306" s="179"/>
      <c r="P306" s="182"/>
      <c r="Q306" s="182"/>
      <c r="R306" s="182"/>
      <c r="S306" s="182"/>
      <c r="T306" s="182"/>
      <c r="U306" s="182"/>
      <c r="V306" s="182"/>
      <c r="W306" s="182"/>
      <c r="X306" s="182"/>
      <c r="Y306" s="182"/>
      <c r="Z306" s="182"/>
      <c r="AA306" s="182"/>
    </row>
    <row r="307" spans="1:27" ht="14.4">
      <c r="A307" s="182"/>
      <c r="B307" s="182"/>
      <c r="C307" s="182"/>
      <c r="D307" s="182"/>
      <c r="E307" s="182"/>
      <c r="F307" s="182"/>
      <c r="G307" s="182"/>
      <c r="H307" s="182"/>
      <c r="I307" s="182"/>
      <c r="J307" s="182"/>
      <c r="K307" s="182"/>
      <c r="L307" s="182"/>
      <c r="M307" s="179"/>
      <c r="N307" s="179"/>
      <c r="O307" s="179"/>
      <c r="P307" s="182"/>
      <c r="Q307" s="182"/>
      <c r="R307" s="182"/>
      <c r="S307" s="182"/>
      <c r="T307" s="182"/>
      <c r="U307" s="182"/>
      <c r="V307" s="182"/>
      <c r="W307" s="182"/>
      <c r="X307" s="182"/>
      <c r="Y307" s="182"/>
      <c r="Z307" s="182"/>
      <c r="AA307" s="182"/>
    </row>
    <row r="308" spans="1:27" ht="14.4">
      <c r="A308" s="182"/>
      <c r="B308" s="182"/>
      <c r="C308" s="182"/>
      <c r="D308" s="182"/>
      <c r="E308" s="182"/>
      <c r="F308" s="182"/>
      <c r="G308" s="182"/>
      <c r="H308" s="182"/>
      <c r="I308" s="182"/>
      <c r="J308" s="182"/>
      <c r="K308" s="182"/>
      <c r="L308" s="182"/>
      <c r="M308" s="179"/>
      <c r="N308" s="179"/>
      <c r="O308" s="179"/>
      <c r="P308" s="182"/>
      <c r="Q308" s="182"/>
      <c r="R308" s="182"/>
      <c r="S308" s="182"/>
      <c r="T308" s="182"/>
      <c r="U308" s="182"/>
      <c r="V308" s="182"/>
      <c r="W308" s="182"/>
      <c r="X308" s="182"/>
      <c r="Y308" s="182"/>
      <c r="Z308" s="182"/>
      <c r="AA308" s="182"/>
    </row>
    <row r="309" spans="1:27" ht="14.4">
      <c r="A309" s="182"/>
      <c r="B309" s="182"/>
      <c r="C309" s="182"/>
      <c r="D309" s="182"/>
      <c r="E309" s="182"/>
      <c r="F309" s="182"/>
      <c r="G309" s="182"/>
      <c r="H309" s="182"/>
      <c r="I309" s="182"/>
      <c r="J309" s="182"/>
      <c r="K309" s="182"/>
      <c r="L309" s="182"/>
      <c r="M309" s="179"/>
      <c r="N309" s="179"/>
      <c r="O309" s="179"/>
      <c r="P309" s="182"/>
      <c r="Q309" s="182"/>
      <c r="R309" s="182"/>
      <c r="S309" s="182"/>
      <c r="T309" s="182"/>
      <c r="U309" s="182"/>
      <c r="V309" s="182"/>
      <c r="W309" s="182"/>
      <c r="X309" s="182"/>
      <c r="Y309" s="182"/>
      <c r="Z309" s="182"/>
      <c r="AA309" s="182"/>
    </row>
    <row r="310" spans="1:27" ht="14.4">
      <c r="A310" s="182"/>
      <c r="B310" s="182"/>
      <c r="C310" s="182"/>
      <c r="D310" s="182"/>
      <c r="E310" s="182"/>
      <c r="F310" s="182"/>
      <c r="G310" s="182"/>
      <c r="H310" s="182"/>
      <c r="I310" s="182"/>
      <c r="J310" s="182"/>
      <c r="K310" s="182"/>
      <c r="L310" s="182"/>
      <c r="M310" s="179"/>
      <c r="N310" s="179"/>
      <c r="O310" s="179"/>
      <c r="P310" s="182"/>
      <c r="Q310" s="182"/>
      <c r="R310" s="182"/>
      <c r="S310" s="182"/>
      <c r="T310" s="182"/>
      <c r="U310" s="182"/>
      <c r="V310" s="182"/>
      <c r="W310" s="182"/>
      <c r="X310" s="182"/>
      <c r="Y310" s="182"/>
      <c r="Z310" s="182"/>
      <c r="AA310" s="182"/>
    </row>
    <row r="311" spans="1:27" ht="14.4">
      <c r="A311" s="182"/>
      <c r="B311" s="182"/>
      <c r="C311" s="182"/>
      <c r="D311" s="182"/>
      <c r="E311" s="182"/>
      <c r="F311" s="182"/>
      <c r="G311" s="182"/>
      <c r="H311" s="182"/>
      <c r="I311" s="182"/>
      <c r="J311" s="182"/>
      <c r="K311" s="182"/>
      <c r="L311" s="182"/>
      <c r="M311" s="179"/>
      <c r="N311" s="179"/>
      <c r="O311" s="179"/>
      <c r="P311" s="182"/>
      <c r="Q311" s="182"/>
      <c r="R311" s="182"/>
      <c r="S311" s="182"/>
      <c r="T311" s="182"/>
      <c r="U311" s="182"/>
      <c r="V311" s="182"/>
      <c r="W311" s="182"/>
      <c r="X311" s="182"/>
      <c r="Y311" s="182"/>
      <c r="Z311" s="182"/>
      <c r="AA311" s="182"/>
    </row>
    <row r="312" spans="1:27" ht="14.4">
      <c r="A312" s="182"/>
      <c r="B312" s="182"/>
      <c r="C312" s="182"/>
      <c r="D312" s="182"/>
      <c r="E312" s="182"/>
      <c r="F312" s="182"/>
      <c r="G312" s="182"/>
      <c r="H312" s="182"/>
      <c r="I312" s="182"/>
      <c r="J312" s="182"/>
      <c r="K312" s="182"/>
      <c r="L312" s="182"/>
      <c r="M312" s="179"/>
      <c r="N312" s="179"/>
      <c r="O312" s="179"/>
      <c r="P312" s="182"/>
      <c r="Q312" s="182"/>
      <c r="R312" s="182"/>
      <c r="S312" s="182"/>
      <c r="T312" s="182"/>
      <c r="U312" s="182"/>
      <c r="V312" s="182"/>
      <c r="W312" s="182"/>
      <c r="X312" s="182"/>
      <c r="Y312" s="182"/>
      <c r="Z312" s="182"/>
      <c r="AA312" s="182"/>
    </row>
    <row r="313" spans="1:27" ht="14.4">
      <c r="A313" s="182"/>
      <c r="B313" s="182"/>
      <c r="C313" s="182"/>
      <c r="D313" s="182"/>
      <c r="E313" s="182"/>
      <c r="F313" s="182"/>
      <c r="G313" s="182"/>
      <c r="H313" s="182"/>
      <c r="I313" s="182"/>
      <c r="J313" s="182"/>
      <c r="K313" s="182"/>
      <c r="L313" s="182"/>
      <c r="M313" s="179"/>
      <c r="N313" s="179"/>
      <c r="O313" s="179"/>
      <c r="P313" s="182"/>
      <c r="Q313" s="182"/>
      <c r="R313" s="182"/>
      <c r="S313" s="182"/>
      <c r="T313" s="182"/>
      <c r="U313" s="182"/>
      <c r="V313" s="182"/>
      <c r="W313" s="182"/>
      <c r="X313" s="182"/>
      <c r="Y313" s="182"/>
      <c r="Z313" s="182"/>
      <c r="AA313" s="182"/>
    </row>
    <row r="314" spans="1:27" ht="14.4">
      <c r="A314" s="182"/>
      <c r="B314" s="182"/>
      <c r="C314" s="182"/>
      <c r="D314" s="182"/>
      <c r="E314" s="182"/>
      <c r="F314" s="182"/>
      <c r="G314" s="182"/>
      <c r="H314" s="182"/>
      <c r="I314" s="182"/>
      <c r="J314" s="182"/>
      <c r="K314" s="182"/>
      <c r="L314" s="182"/>
      <c r="M314" s="179"/>
      <c r="N314" s="179"/>
      <c r="O314" s="179"/>
      <c r="P314" s="182"/>
      <c r="Q314" s="182"/>
      <c r="R314" s="182"/>
      <c r="S314" s="182"/>
      <c r="T314" s="182"/>
      <c r="U314" s="182"/>
      <c r="V314" s="182"/>
      <c r="W314" s="182"/>
      <c r="X314" s="182"/>
      <c r="Y314" s="182"/>
      <c r="Z314" s="182"/>
      <c r="AA314" s="182"/>
    </row>
    <row r="315" spans="1:27" ht="14.4">
      <c r="A315" s="182"/>
      <c r="B315" s="182"/>
      <c r="C315" s="182"/>
      <c r="D315" s="182"/>
      <c r="E315" s="182"/>
      <c r="F315" s="182"/>
      <c r="G315" s="182"/>
      <c r="H315" s="182"/>
      <c r="I315" s="182"/>
      <c r="J315" s="182"/>
      <c r="K315" s="182"/>
      <c r="L315" s="182"/>
      <c r="M315" s="179"/>
      <c r="N315" s="179"/>
      <c r="O315" s="179"/>
      <c r="P315" s="182"/>
      <c r="Q315" s="182"/>
      <c r="R315" s="182"/>
      <c r="S315" s="182"/>
      <c r="T315" s="182"/>
      <c r="U315" s="182"/>
      <c r="V315" s="182"/>
      <c r="W315" s="182"/>
      <c r="X315" s="182"/>
      <c r="Y315" s="182"/>
      <c r="Z315" s="182"/>
      <c r="AA315" s="182"/>
    </row>
    <row r="316" spans="1:27" ht="14.4">
      <c r="A316" s="182"/>
      <c r="B316" s="182"/>
      <c r="C316" s="182"/>
      <c r="D316" s="182"/>
      <c r="E316" s="182"/>
      <c r="F316" s="182"/>
      <c r="G316" s="182"/>
      <c r="H316" s="182"/>
      <c r="I316" s="182"/>
      <c r="J316" s="182"/>
      <c r="K316" s="182"/>
      <c r="L316" s="182"/>
      <c r="M316" s="179"/>
      <c r="N316" s="179"/>
      <c r="O316" s="179"/>
      <c r="P316" s="182"/>
      <c r="Q316" s="182"/>
      <c r="R316" s="182"/>
      <c r="S316" s="182"/>
      <c r="T316" s="182"/>
      <c r="U316" s="182"/>
      <c r="V316" s="182"/>
      <c r="W316" s="182"/>
      <c r="X316" s="182"/>
      <c r="Y316" s="182"/>
      <c r="Z316" s="182"/>
      <c r="AA316" s="182"/>
    </row>
    <row r="317" spans="1:27" ht="14.4">
      <c r="A317" s="182"/>
      <c r="B317" s="182"/>
      <c r="C317" s="182"/>
      <c r="D317" s="182"/>
      <c r="E317" s="182"/>
      <c r="F317" s="182"/>
      <c r="G317" s="182"/>
      <c r="H317" s="182"/>
      <c r="I317" s="182"/>
      <c r="J317" s="182"/>
      <c r="K317" s="182"/>
      <c r="L317" s="182"/>
      <c r="M317" s="179"/>
      <c r="N317" s="179"/>
      <c r="O317" s="179"/>
      <c r="P317" s="182"/>
      <c r="Q317" s="182"/>
      <c r="R317" s="182"/>
      <c r="S317" s="182"/>
      <c r="T317" s="182"/>
      <c r="U317" s="182"/>
      <c r="V317" s="182"/>
      <c r="W317" s="182"/>
      <c r="X317" s="182"/>
      <c r="Y317" s="182"/>
      <c r="Z317" s="182"/>
      <c r="AA317" s="182"/>
    </row>
    <row r="318" spans="1:27" ht="14.4">
      <c r="A318" s="182"/>
      <c r="B318" s="182"/>
      <c r="C318" s="182"/>
      <c r="D318" s="182"/>
      <c r="E318" s="182"/>
      <c r="F318" s="182"/>
      <c r="G318" s="182"/>
      <c r="H318" s="182"/>
      <c r="I318" s="182"/>
      <c r="J318" s="182"/>
      <c r="K318" s="182"/>
      <c r="L318" s="182"/>
      <c r="M318" s="179"/>
      <c r="N318" s="179"/>
      <c r="O318" s="179"/>
      <c r="P318" s="182"/>
      <c r="Q318" s="182"/>
      <c r="R318" s="182"/>
      <c r="S318" s="182"/>
      <c r="T318" s="182"/>
      <c r="U318" s="182"/>
      <c r="V318" s="182"/>
      <c r="W318" s="182"/>
      <c r="X318" s="182"/>
      <c r="Y318" s="182"/>
      <c r="Z318" s="182"/>
      <c r="AA318" s="182"/>
    </row>
    <row r="319" spans="1:27" ht="14.4">
      <c r="A319" s="182"/>
      <c r="B319" s="182"/>
      <c r="C319" s="182"/>
      <c r="D319" s="182"/>
      <c r="E319" s="182"/>
      <c r="F319" s="182"/>
      <c r="G319" s="182"/>
      <c r="H319" s="182"/>
      <c r="I319" s="182"/>
      <c r="J319" s="182"/>
      <c r="K319" s="182"/>
      <c r="L319" s="182"/>
      <c r="M319" s="179"/>
      <c r="N319" s="179"/>
      <c r="O319" s="179"/>
      <c r="P319" s="182"/>
      <c r="Q319" s="182"/>
      <c r="R319" s="182"/>
      <c r="S319" s="182"/>
      <c r="T319" s="182"/>
      <c r="U319" s="182"/>
      <c r="V319" s="182"/>
      <c r="W319" s="182"/>
      <c r="X319" s="182"/>
      <c r="Y319" s="182"/>
      <c r="Z319" s="182"/>
      <c r="AA319" s="182"/>
    </row>
    <row r="320" spans="1:27" ht="14.4">
      <c r="A320" s="182"/>
      <c r="B320" s="182"/>
      <c r="C320" s="182"/>
      <c r="D320" s="182"/>
      <c r="E320" s="182"/>
      <c r="F320" s="182"/>
      <c r="G320" s="182"/>
      <c r="H320" s="182"/>
      <c r="I320" s="182"/>
      <c r="J320" s="182"/>
      <c r="K320" s="182"/>
      <c r="L320" s="182"/>
      <c r="M320" s="179"/>
      <c r="N320" s="179"/>
      <c r="O320" s="179"/>
      <c r="P320" s="182"/>
      <c r="Q320" s="182"/>
      <c r="R320" s="182"/>
      <c r="S320" s="182"/>
      <c r="T320" s="182"/>
      <c r="U320" s="182"/>
      <c r="V320" s="182"/>
      <c r="W320" s="182"/>
      <c r="X320" s="182"/>
      <c r="Y320" s="182"/>
      <c r="Z320" s="182"/>
      <c r="AA320" s="182"/>
    </row>
    <row r="321" spans="1:27" ht="14.4">
      <c r="A321" s="182"/>
      <c r="B321" s="182"/>
      <c r="C321" s="182"/>
      <c r="D321" s="182"/>
      <c r="E321" s="182"/>
      <c r="F321" s="182"/>
      <c r="G321" s="182"/>
      <c r="H321" s="182"/>
      <c r="I321" s="182"/>
      <c r="J321" s="182"/>
      <c r="K321" s="182"/>
      <c r="L321" s="182"/>
      <c r="M321" s="179"/>
      <c r="N321" s="179"/>
      <c r="O321" s="179"/>
      <c r="P321" s="182"/>
      <c r="Q321" s="182"/>
      <c r="R321" s="182"/>
      <c r="S321" s="182"/>
      <c r="T321" s="182"/>
      <c r="U321" s="182"/>
      <c r="V321" s="182"/>
      <c r="W321" s="182"/>
      <c r="X321" s="182"/>
      <c r="Y321" s="182"/>
      <c r="Z321" s="182"/>
      <c r="AA321" s="182"/>
    </row>
    <row r="322" spans="1:27" ht="14.4">
      <c r="A322" s="182"/>
      <c r="B322" s="182"/>
      <c r="C322" s="182"/>
      <c r="D322" s="182"/>
      <c r="E322" s="182"/>
      <c r="F322" s="182"/>
      <c r="G322" s="182"/>
      <c r="H322" s="182"/>
      <c r="I322" s="182"/>
      <c r="J322" s="182"/>
      <c r="K322" s="182"/>
      <c r="L322" s="182"/>
      <c r="M322" s="179"/>
      <c r="N322" s="179"/>
      <c r="O322" s="179"/>
      <c r="P322" s="182"/>
      <c r="Q322" s="182"/>
      <c r="R322" s="182"/>
      <c r="S322" s="182"/>
      <c r="T322" s="182"/>
      <c r="U322" s="182"/>
      <c r="V322" s="182"/>
      <c r="W322" s="182"/>
      <c r="X322" s="182"/>
      <c r="Y322" s="182"/>
      <c r="Z322" s="182"/>
      <c r="AA322" s="182"/>
    </row>
    <row r="323" spans="1:27" ht="14.4">
      <c r="A323" s="182"/>
      <c r="B323" s="182"/>
      <c r="C323" s="182"/>
      <c r="D323" s="182"/>
      <c r="E323" s="182"/>
      <c r="F323" s="182"/>
      <c r="G323" s="182"/>
      <c r="H323" s="182"/>
      <c r="I323" s="182"/>
      <c r="J323" s="182"/>
      <c r="K323" s="182"/>
      <c r="L323" s="182"/>
      <c r="M323" s="179"/>
      <c r="N323" s="179"/>
      <c r="O323" s="179"/>
      <c r="P323" s="182"/>
      <c r="Q323" s="182"/>
      <c r="R323" s="182"/>
      <c r="S323" s="182"/>
      <c r="T323" s="182"/>
      <c r="U323" s="182"/>
      <c r="V323" s="182"/>
      <c r="W323" s="182"/>
      <c r="X323" s="182"/>
      <c r="Y323" s="182"/>
      <c r="Z323" s="182"/>
      <c r="AA323" s="182"/>
    </row>
    <row r="324" spans="1:27" ht="14.4">
      <c r="A324" s="182"/>
      <c r="B324" s="182"/>
      <c r="C324" s="182"/>
      <c r="D324" s="182"/>
      <c r="E324" s="182"/>
      <c r="F324" s="182"/>
      <c r="G324" s="182"/>
      <c r="H324" s="182"/>
      <c r="I324" s="182"/>
      <c r="J324" s="182"/>
      <c r="K324" s="182"/>
      <c r="L324" s="182"/>
      <c r="M324" s="179"/>
      <c r="N324" s="179"/>
      <c r="O324" s="179"/>
      <c r="P324" s="182"/>
      <c r="Q324" s="182"/>
      <c r="R324" s="182"/>
      <c r="S324" s="182"/>
      <c r="T324" s="182"/>
      <c r="U324" s="182"/>
      <c r="V324" s="182"/>
      <c r="W324" s="182"/>
      <c r="X324" s="182"/>
      <c r="Y324" s="182"/>
      <c r="Z324" s="182"/>
      <c r="AA324" s="182"/>
    </row>
    <row r="325" spans="1:27" ht="14.4">
      <c r="A325" s="182"/>
      <c r="B325" s="182"/>
      <c r="C325" s="182"/>
      <c r="D325" s="182"/>
      <c r="E325" s="182"/>
      <c r="F325" s="182"/>
      <c r="G325" s="182"/>
      <c r="H325" s="182"/>
      <c r="I325" s="182"/>
      <c r="J325" s="182"/>
      <c r="K325" s="182"/>
      <c r="L325" s="182"/>
      <c r="M325" s="179"/>
      <c r="N325" s="179"/>
      <c r="O325" s="179"/>
      <c r="P325" s="182"/>
      <c r="Q325" s="182"/>
      <c r="R325" s="182"/>
      <c r="S325" s="182"/>
      <c r="T325" s="182"/>
      <c r="U325" s="182"/>
      <c r="V325" s="182"/>
      <c r="W325" s="182"/>
      <c r="X325" s="182"/>
      <c r="Y325" s="182"/>
      <c r="Z325" s="182"/>
      <c r="AA325" s="182"/>
    </row>
    <row r="326" spans="1:27" ht="14.4">
      <c r="A326" s="182"/>
      <c r="B326" s="182"/>
      <c r="C326" s="182"/>
      <c r="D326" s="182"/>
      <c r="E326" s="182"/>
      <c r="F326" s="182"/>
      <c r="G326" s="182"/>
      <c r="H326" s="182"/>
      <c r="I326" s="182"/>
      <c r="J326" s="182"/>
      <c r="K326" s="182"/>
      <c r="L326" s="182"/>
      <c r="M326" s="179"/>
      <c r="N326" s="179"/>
      <c r="O326" s="179"/>
      <c r="P326" s="182"/>
      <c r="Q326" s="182"/>
      <c r="R326" s="182"/>
      <c r="S326" s="182"/>
      <c r="T326" s="182"/>
      <c r="U326" s="182"/>
      <c r="V326" s="182"/>
      <c r="W326" s="182"/>
      <c r="X326" s="182"/>
      <c r="Y326" s="182"/>
      <c r="Z326" s="182"/>
      <c r="AA326" s="182"/>
    </row>
    <row r="327" spans="1:27" ht="14.4">
      <c r="A327" s="182"/>
      <c r="B327" s="182"/>
      <c r="C327" s="182"/>
      <c r="D327" s="182"/>
      <c r="E327" s="182"/>
      <c r="F327" s="182"/>
      <c r="G327" s="182"/>
      <c r="H327" s="182"/>
      <c r="I327" s="182"/>
      <c r="J327" s="182"/>
      <c r="K327" s="182"/>
      <c r="L327" s="182"/>
      <c r="M327" s="179"/>
      <c r="N327" s="179"/>
      <c r="O327" s="179"/>
      <c r="P327" s="182"/>
      <c r="Q327" s="182"/>
      <c r="R327" s="182"/>
      <c r="S327" s="182"/>
      <c r="T327" s="182"/>
      <c r="U327" s="182"/>
      <c r="V327" s="182"/>
      <c r="W327" s="182"/>
      <c r="X327" s="182"/>
      <c r="Y327" s="182"/>
      <c r="Z327" s="182"/>
      <c r="AA327" s="182"/>
    </row>
    <row r="328" spans="1:27" ht="14.4">
      <c r="A328" s="182"/>
      <c r="B328" s="182"/>
      <c r="C328" s="182"/>
      <c r="D328" s="182"/>
      <c r="E328" s="182"/>
      <c r="F328" s="182"/>
      <c r="G328" s="182"/>
      <c r="H328" s="182"/>
      <c r="I328" s="182"/>
      <c r="J328" s="182"/>
      <c r="K328" s="182"/>
      <c r="L328" s="182"/>
      <c r="M328" s="179"/>
      <c r="N328" s="179"/>
      <c r="O328" s="179"/>
      <c r="P328" s="182"/>
      <c r="Q328" s="182"/>
      <c r="R328" s="182"/>
      <c r="S328" s="182"/>
      <c r="T328" s="182"/>
      <c r="U328" s="182"/>
      <c r="V328" s="182"/>
      <c r="W328" s="182"/>
      <c r="X328" s="182"/>
      <c r="Y328" s="182"/>
      <c r="Z328" s="182"/>
      <c r="AA328" s="182"/>
    </row>
    <row r="329" spans="1:27" ht="14.4">
      <c r="A329" s="182"/>
      <c r="B329" s="182"/>
      <c r="C329" s="182"/>
      <c r="D329" s="182"/>
      <c r="E329" s="182"/>
      <c r="F329" s="182"/>
      <c r="G329" s="182"/>
      <c r="H329" s="182"/>
      <c r="I329" s="182"/>
      <c r="J329" s="182"/>
      <c r="K329" s="182"/>
      <c r="L329" s="182"/>
      <c r="M329" s="179"/>
      <c r="N329" s="179"/>
      <c r="O329" s="179"/>
      <c r="P329" s="182"/>
      <c r="Q329" s="182"/>
      <c r="R329" s="182"/>
      <c r="S329" s="182"/>
      <c r="T329" s="182"/>
      <c r="U329" s="182"/>
      <c r="V329" s="182"/>
      <c r="W329" s="182"/>
      <c r="X329" s="182"/>
      <c r="Y329" s="182"/>
      <c r="Z329" s="182"/>
      <c r="AA329" s="182"/>
    </row>
    <row r="330" spans="1:27" ht="14.4">
      <c r="A330" s="182"/>
      <c r="B330" s="182"/>
      <c r="C330" s="182"/>
      <c r="D330" s="182"/>
      <c r="E330" s="182"/>
      <c r="F330" s="182"/>
      <c r="G330" s="182"/>
      <c r="H330" s="182"/>
      <c r="I330" s="182"/>
      <c r="J330" s="182"/>
      <c r="K330" s="182"/>
      <c r="L330" s="182"/>
      <c r="M330" s="179"/>
      <c r="N330" s="179"/>
      <c r="O330" s="179"/>
      <c r="P330" s="182"/>
      <c r="Q330" s="182"/>
      <c r="R330" s="182"/>
      <c r="S330" s="182"/>
      <c r="T330" s="182"/>
      <c r="U330" s="182"/>
      <c r="V330" s="182"/>
      <c r="W330" s="182"/>
      <c r="X330" s="182"/>
      <c r="Y330" s="182"/>
      <c r="Z330" s="182"/>
      <c r="AA330" s="182"/>
    </row>
    <row r="331" spans="1:27" ht="14.4">
      <c r="A331" s="182"/>
      <c r="B331" s="182"/>
      <c r="C331" s="182"/>
      <c r="D331" s="182"/>
      <c r="E331" s="182"/>
      <c r="F331" s="182"/>
      <c r="G331" s="182"/>
      <c r="H331" s="182"/>
      <c r="I331" s="182"/>
      <c r="J331" s="182"/>
      <c r="K331" s="182"/>
      <c r="L331" s="182"/>
      <c r="M331" s="179"/>
      <c r="N331" s="179"/>
      <c r="O331" s="179"/>
      <c r="P331" s="182"/>
      <c r="Q331" s="182"/>
      <c r="R331" s="182"/>
      <c r="S331" s="182"/>
      <c r="T331" s="182"/>
      <c r="U331" s="182"/>
      <c r="V331" s="182"/>
      <c r="W331" s="182"/>
      <c r="X331" s="182"/>
      <c r="Y331" s="182"/>
      <c r="Z331" s="182"/>
      <c r="AA331" s="182"/>
    </row>
    <row r="332" spans="1:27" ht="14.4">
      <c r="A332" s="182"/>
      <c r="B332" s="182"/>
      <c r="C332" s="182"/>
      <c r="D332" s="182"/>
      <c r="E332" s="182"/>
      <c r="F332" s="182"/>
      <c r="G332" s="182"/>
      <c r="H332" s="182"/>
      <c r="I332" s="182"/>
      <c r="J332" s="182"/>
      <c r="K332" s="182"/>
      <c r="L332" s="182"/>
      <c r="M332" s="179"/>
      <c r="N332" s="179"/>
      <c r="O332" s="179"/>
      <c r="P332" s="182"/>
      <c r="Q332" s="182"/>
      <c r="R332" s="182"/>
      <c r="S332" s="182"/>
      <c r="T332" s="182"/>
      <c r="U332" s="182"/>
      <c r="V332" s="182"/>
      <c r="W332" s="182"/>
      <c r="X332" s="182"/>
      <c r="Y332" s="182"/>
      <c r="Z332" s="182"/>
      <c r="AA332" s="182"/>
    </row>
    <row r="333" spans="1:27" ht="14.4">
      <c r="A333" s="182"/>
      <c r="B333" s="182"/>
      <c r="C333" s="182"/>
      <c r="D333" s="182"/>
      <c r="E333" s="182"/>
      <c r="F333" s="182"/>
      <c r="G333" s="182"/>
      <c r="H333" s="182"/>
      <c r="I333" s="182"/>
      <c r="J333" s="182"/>
      <c r="K333" s="182"/>
      <c r="L333" s="182"/>
      <c r="M333" s="179"/>
      <c r="N333" s="179"/>
      <c r="O333" s="179"/>
      <c r="P333" s="182"/>
      <c r="Q333" s="182"/>
      <c r="R333" s="182"/>
      <c r="S333" s="182"/>
      <c r="T333" s="182"/>
      <c r="U333" s="182"/>
      <c r="V333" s="182"/>
      <c r="W333" s="182"/>
      <c r="X333" s="182"/>
      <c r="Y333" s="182"/>
      <c r="Z333" s="182"/>
      <c r="AA333" s="182"/>
    </row>
    <row r="334" spans="1:27" ht="14.4">
      <c r="A334" s="182"/>
      <c r="B334" s="182"/>
      <c r="C334" s="182"/>
      <c r="D334" s="182"/>
      <c r="E334" s="182"/>
      <c r="F334" s="182"/>
      <c r="G334" s="182"/>
      <c r="H334" s="182"/>
      <c r="I334" s="182"/>
      <c r="J334" s="182"/>
      <c r="K334" s="182"/>
      <c r="L334" s="182"/>
      <c r="M334" s="179"/>
      <c r="N334" s="179"/>
      <c r="O334" s="179"/>
      <c r="P334" s="182"/>
      <c r="Q334" s="182"/>
      <c r="R334" s="182"/>
      <c r="S334" s="182"/>
      <c r="T334" s="182"/>
      <c r="U334" s="182"/>
      <c r="V334" s="182"/>
      <c r="W334" s="182"/>
      <c r="X334" s="182"/>
      <c r="Y334" s="182"/>
      <c r="Z334" s="182"/>
      <c r="AA334" s="182"/>
    </row>
    <row r="335" spans="1:27" ht="14.4">
      <c r="A335" s="182"/>
      <c r="B335" s="182"/>
      <c r="C335" s="182"/>
      <c r="D335" s="182"/>
      <c r="E335" s="182"/>
      <c r="F335" s="182"/>
      <c r="G335" s="182"/>
      <c r="H335" s="182"/>
      <c r="I335" s="182"/>
      <c r="J335" s="182"/>
      <c r="K335" s="182"/>
      <c r="L335" s="182"/>
      <c r="M335" s="179"/>
      <c r="N335" s="179"/>
      <c r="O335" s="179"/>
      <c r="P335" s="182"/>
      <c r="Q335" s="182"/>
      <c r="R335" s="182"/>
      <c r="S335" s="182"/>
      <c r="T335" s="182"/>
      <c r="U335" s="182"/>
      <c r="V335" s="182"/>
      <c r="W335" s="182"/>
      <c r="X335" s="182"/>
      <c r="Y335" s="182"/>
      <c r="Z335" s="182"/>
      <c r="AA335" s="182"/>
    </row>
    <row r="336" spans="1:27" ht="14.4">
      <c r="A336" s="182"/>
      <c r="B336" s="182"/>
      <c r="C336" s="182"/>
      <c r="D336" s="182"/>
      <c r="E336" s="182"/>
      <c r="F336" s="182"/>
      <c r="G336" s="182"/>
      <c r="H336" s="182"/>
      <c r="I336" s="182"/>
      <c r="J336" s="182"/>
      <c r="K336" s="182"/>
      <c r="L336" s="182"/>
      <c r="M336" s="179"/>
      <c r="N336" s="179"/>
      <c r="O336" s="179"/>
      <c r="P336" s="182"/>
      <c r="Q336" s="182"/>
      <c r="R336" s="182"/>
      <c r="S336" s="182"/>
      <c r="T336" s="182"/>
      <c r="U336" s="182"/>
      <c r="V336" s="182"/>
      <c r="W336" s="182"/>
      <c r="X336" s="182"/>
      <c r="Y336" s="182"/>
      <c r="Z336" s="182"/>
      <c r="AA336" s="182"/>
    </row>
    <row r="337" spans="1:27" ht="14.4">
      <c r="A337" s="182"/>
      <c r="B337" s="182"/>
      <c r="C337" s="182"/>
      <c r="D337" s="182"/>
      <c r="E337" s="182"/>
      <c r="F337" s="182"/>
      <c r="G337" s="182"/>
      <c r="H337" s="182"/>
      <c r="I337" s="182"/>
      <c r="J337" s="182"/>
      <c r="K337" s="182"/>
      <c r="L337" s="182"/>
      <c r="M337" s="179"/>
      <c r="N337" s="179"/>
      <c r="O337" s="179"/>
      <c r="P337" s="182"/>
      <c r="Q337" s="182"/>
      <c r="R337" s="182"/>
      <c r="S337" s="182"/>
      <c r="T337" s="182"/>
      <c r="U337" s="182"/>
      <c r="V337" s="182"/>
      <c r="W337" s="182"/>
      <c r="X337" s="182"/>
      <c r="Y337" s="182"/>
      <c r="Z337" s="182"/>
      <c r="AA337" s="182"/>
    </row>
    <row r="338" spans="1:27" ht="14.4">
      <c r="A338" s="182"/>
      <c r="B338" s="182"/>
      <c r="C338" s="182"/>
      <c r="D338" s="182"/>
      <c r="E338" s="182"/>
      <c r="F338" s="182"/>
      <c r="G338" s="182"/>
      <c r="H338" s="182"/>
      <c r="I338" s="182"/>
      <c r="J338" s="182"/>
      <c r="K338" s="182"/>
      <c r="L338" s="182"/>
      <c r="M338" s="179"/>
      <c r="N338" s="179"/>
      <c r="O338" s="179"/>
      <c r="P338" s="182"/>
      <c r="Q338" s="182"/>
      <c r="R338" s="182"/>
      <c r="S338" s="182"/>
      <c r="T338" s="182"/>
      <c r="U338" s="182"/>
      <c r="V338" s="182"/>
      <c r="W338" s="182"/>
      <c r="X338" s="182"/>
      <c r="Y338" s="182"/>
      <c r="Z338" s="182"/>
      <c r="AA338" s="182"/>
    </row>
    <row r="339" spans="1:27" ht="14.4">
      <c r="A339" s="182"/>
      <c r="B339" s="182"/>
      <c r="C339" s="182"/>
      <c r="D339" s="182"/>
      <c r="E339" s="182"/>
      <c r="F339" s="182"/>
      <c r="G339" s="182"/>
      <c r="H339" s="182"/>
      <c r="I339" s="182"/>
      <c r="J339" s="182"/>
      <c r="K339" s="182"/>
      <c r="L339" s="182"/>
      <c r="M339" s="179"/>
      <c r="N339" s="179"/>
      <c r="O339" s="179"/>
      <c r="P339" s="182"/>
      <c r="Q339" s="182"/>
      <c r="R339" s="182"/>
      <c r="S339" s="182"/>
      <c r="T339" s="182"/>
      <c r="U339" s="182"/>
      <c r="V339" s="182"/>
      <c r="W339" s="182"/>
      <c r="X339" s="182"/>
      <c r="Y339" s="182"/>
      <c r="Z339" s="182"/>
      <c r="AA339" s="182"/>
    </row>
    <row r="340" spans="1:27" ht="14.4">
      <c r="A340" s="182"/>
      <c r="B340" s="182"/>
      <c r="C340" s="182"/>
      <c r="D340" s="182"/>
      <c r="E340" s="182"/>
      <c r="F340" s="182"/>
      <c r="G340" s="182"/>
      <c r="H340" s="182"/>
      <c r="I340" s="182"/>
      <c r="J340" s="182"/>
      <c r="K340" s="182"/>
      <c r="L340" s="182"/>
      <c r="M340" s="179"/>
      <c r="N340" s="179"/>
      <c r="O340" s="179"/>
      <c r="P340" s="182"/>
      <c r="Q340" s="182"/>
      <c r="R340" s="182"/>
      <c r="S340" s="182"/>
      <c r="T340" s="182"/>
      <c r="U340" s="182"/>
      <c r="V340" s="182"/>
      <c r="W340" s="182"/>
      <c r="X340" s="182"/>
      <c r="Y340" s="182"/>
      <c r="Z340" s="182"/>
      <c r="AA340" s="182"/>
    </row>
    <row r="341" spans="1:27" ht="14.4">
      <c r="A341" s="182"/>
      <c r="B341" s="182"/>
      <c r="C341" s="182"/>
      <c r="D341" s="182"/>
      <c r="E341" s="182"/>
      <c r="F341" s="182"/>
      <c r="G341" s="182"/>
      <c r="H341" s="182"/>
      <c r="I341" s="182"/>
      <c r="J341" s="182"/>
      <c r="K341" s="182"/>
      <c r="L341" s="182"/>
      <c r="M341" s="179"/>
      <c r="N341" s="179"/>
      <c r="O341" s="179"/>
      <c r="P341" s="182"/>
      <c r="Q341" s="182"/>
      <c r="R341" s="182"/>
      <c r="S341" s="182"/>
      <c r="T341" s="182"/>
      <c r="U341" s="182"/>
      <c r="V341" s="182"/>
      <c r="W341" s="182"/>
      <c r="X341" s="182"/>
      <c r="Y341" s="182"/>
      <c r="Z341" s="182"/>
      <c r="AA341" s="182"/>
    </row>
    <row r="342" spans="1:27" ht="14.4">
      <c r="A342" s="182"/>
      <c r="B342" s="182"/>
      <c r="C342" s="182"/>
      <c r="D342" s="182"/>
      <c r="E342" s="182"/>
      <c r="F342" s="182"/>
      <c r="G342" s="182"/>
      <c r="H342" s="182"/>
      <c r="I342" s="182"/>
      <c r="J342" s="182"/>
      <c r="K342" s="182"/>
      <c r="L342" s="182"/>
      <c r="M342" s="179"/>
      <c r="N342" s="179"/>
      <c r="O342" s="179"/>
      <c r="P342" s="182"/>
      <c r="Q342" s="182"/>
      <c r="R342" s="182"/>
      <c r="S342" s="182"/>
      <c r="T342" s="182"/>
      <c r="U342" s="182"/>
      <c r="V342" s="182"/>
      <c r="W342" s="182"/>
      <c r="X342" s="182"/>
      <c r="Y342" s="182"/>
      <c r="Z342" s="182"/>
      <c r="AA342" s="182"/>
    </row>
    <row r="343" spans="1:27" ht="14.4">
      <c r="A343" s="182"/>
      <c r="B343" s="182"/>
      <c r="C343" s="182"/>
      <c r="D343" s="182"/>
      <c r="E343" s="182"/>
      <c r="F343" s="182"/>
      <c r="G343" s="182"/>
      <c r="H343" s="182"/>
      <c r="I343" s="182"/>
      <c r="J343" s="182"/>
      <c r="K343" s="182"/>
      <c r="L343" s="182"/>
      <c r="M343" s="179"/>
      <c r="N343" s="179"/>
      <c r="O343" s="179"/>
      <c r="P343" s="182"/>
      <c r="Q343" s="182"/>
      <c r="R343" s="182"/>
      <c r="S343" s="182"/>
      <c r="T343" s="182"/>
      <c r="U343" s="182"/>
      <c r="V343" s="182"/>
      <c r="W343" s="182"/>
      <c r="X343" s="182"/>
      <c r="Y343" s="182"/>
      <c r="Z343" s="182"/>
      <c r="AA343" s="182"/>
    </row>
    <row r="344" spans="1:27" ht="14.4">
      <c r="A344" s="182"/>
      <c r="B344" s="182"/>
      <c r="C344" s="182"/>
      <c r="D344" s="182"/>
      <c r="E344" s="182"/>
      <c r="F344" s="182"/>
      <c r="G344" s="182"/>
      <c r="H344" s="182"/>
      <c r="I344" s="182"/>
      <c r="J344" s="182"/>
      <c r="K344" s="182"/>
      <c r="L344" s="182"/>
      <c r="M344" s="179"/>
      <c r="N344" s="179"/>
      <c r="O344" s="179"/>
      <c r="P344" s="182"/>
      <c r="Q344" s="182"/>
      <c r="R344" s="182"/>
      <c r="S344" s="182"/>
      <c r="T344" s="182"/>
      <c r="U344" s="182"/>
      <c r="V344" s="182"/>
      <c r="W344" s="182"/>
      <c r="X344" s="182"/>
      <c r="Y344" s="182"/>
      <c r="Z344" s="182"/>
      <c r="AA344" s="182"/>
    </row>
    <row r="345" spans="1:27" ht="14.4">
      <c r="A345" s="182"/>
      <c r="B345" s="182"/>
      <c r="C345" s="182"/>
      <c r="D345" s="182"/>
      <c r="E345" s="182"/>
      <c r="F345" s="182"/>
      <c r="G345" s="182"/>
      <c r="H345" s="182"/>
      <c r="I345" s="182"/>
      <c r="J345" s="182"/>
      <c r="K345" s="182"/>
      <c r="L345" s="182"/>
      <c r="M345" s="179"/>
      <c r="N345" s="179"/>
      <c r="O345" s="179"/>
      <c r="P345" s="182"/>
      <c r="Q345" s="182"/>
      <c r="R345" s="182"/>
      <c r="S345" s="182"/>
      <c r="T345" s="182"/>
      <c r="U345" s="182"/>
      <c r="V345" s="182"/>
      <c r="W345" s="182"/>
      <c r="X345" s="182"/>
      <c r="Y345" s="182"/>
      <c r="Z345" s="182"/>
      <c r="AA345" s="182"/>
    </row>
    <row r="346" spans="1:27" ht="14.4">
      <c r="A346" s="182"/>
      <c r="B346" s="182"/>
      <c r="C346" s="182"/>
      <c r="D346" s="182"/>
      <c r="E346" s="182"/>
      <c r="F346" s="182"/>
      <c r="G346" s="182"/>
      <c r="H346" s="182"/>
      <c r="I346" s="182"/>
      <c r="J346" s="182"/>
      <c r="K346" s="182"/>
      <c r="L346" s="182"/>
      <c r="M346" s="179"/>
      <c r="N346" s="179"/>
      <c r="O346" s="179"/>
      <c r="P346" s="182"/>
      <c r="Q346" s="182"/>
      <c r="R346" s="182"/>
      <c r="S346" s="182"/>
      <c r="T346" s="182"/>
      <c r="U346" s="182"/>
      <c r="V346" s="182"/>
      <c r="W346" s="182"/>
      <c r="X346" s="182"/>
      <c r="Y346" s="182"/>
      <c r="Z346" s="182"/>
      <c r="AA346" s="182"/>
    </row>
    <row r="347" spans="1:27" ht="14.4">
      <c r="A347" s="182"/>
      <c r="B347" s="182"/>
      <c r="C347" s="182"/>
      <c r="D347" s="182"/>
      <c r="E347" s="182"/>
      <c r="F347" s="182"/>
      <c r="G347" s="182"/>
      <c r="H347" s="182"/>
      <c r="I347" s="182"/>
      <c r="J347" s="182"/>
      <c r="K347" s="182"/>
      <c r="L347" s="182"/>
      <c r="M347" s="179"/>
      <c r="N347" s="179"/>
      <c r="O347" s="179"/>
      <c r="P347" s="182"/>
      <c r="Q347" s="182"/>
      <c r="R347" s="182"/>
      <c r="S347" s="182"/>
      <c r="T347" s="182"/>
      <c r="U347" s="182"/>
      <c r="V347" s="182"/>
      <c r="W347" s="182"/>
      <c r="X347" s="182"/>
      <c r="Y347" s="182"/>
      <c r="Z347" s="182"/>
      <c r="AA347" s="182"/>
    </row>
    <row r="348" spans="1:27" ht="14.4">
      <c r="A348" s="182"/>
      <c r="B348" s="182"/>
      <c r="C348" s="182"/>
      <c r="D348" s="182"/>
      <c r="E348" s="182"/>
      <c r="F348" s="182"/>
      <c r="G348" s="182"/>
      <c r="H348" s="182"/>
      <c r="I348" s="182"/>
      <c r="J348" s="182"/>
      <c r="K348" s="182"/>
      <c r="L348" s="182"/>
      <c r="M348" s="179"/>
      <c r="N348" s="179"/>
      <c r="O348" s="179"/>
      <c r="P348" s="182"/>
      <c r="Q348" s="182"/>
      <c r="R348" s="182"/>
      <c r="S348" s="182"/>
      <c r="T348" s="182"/>
      <c r="U348" s="182"/>
      <c r="V348" s="182"/>
      <c r="W348" s="182"/>
      <c r="X348" s="182"/>
      <c r="Y348" s="182"/>
      <c r="Z348" s="182"/>
      <c r="AA348" s="182"/>
    </row>
    <row r="349" spans="1:27" ht="14.4">
      <c r="A349" s="182"/>
      <c r="B349" s="182"/>
      <c r="C349" s="182"/>
      <c r="D349" s="182"/>
      <c r="E349" s="182"/>
      <c r="F349" s="182"/>
      <c r="G349" s="182"/>
      <c r="H349" s="182"/>
      <c r="I349" s="182"/>
      <c r="J349" s="182"/>
      <c r="K349" s="182"/>
      <c r="L349" s="182"/>
      <c r="M349" s="179"/>
      <c r="N349" s="179"/>
      <c r="O349" s="179"/>
      <c r="P349" s="182"/>
      <c r="Q349" s="182"/>
      <c r="R349" s="182"/>
      <c r="S349" s="182"/>
      <c r="T349" s="182"/>
      <c r="U349" s="182"/>
      <c r="V349" s="182"/>
      <c r="W349" s="182"/>
      <c r="X349" s="182"/>
      <c r="Y349" s="182"/>
      <c r="Z349" s="182"/>
      <c r="AA349" s="182"/>
    </row>
    <row r="350" spans="1:27" ht="14.4">
      <c r="A350" s="182"/>
      <c r="B350" s="182"/>
      <c r="C350" s="182"/>
      <c r="D350" s="182"/>
      <c r="E350" s="182"/>
      <c r="F350" s="182"/>
      <c r="G350" s="182"/>
      <c r="H350" s="182"/>
      <c r="I350" s="182"/>
      <c r="J350" s="182"/>
      <c r="K350" s="182"/>
      <c r="L350" s="182"/>
      <c r="M350" s="179"/>
      <c r="N350" s="179"/>
      <c r="O350" s="179"/>
      <c r="P350" s="182"/>
      <c r="Q350" s="182"/>
      <c r="R350" s="182"/>
      <c r="S350" s="182"/>
      <c r="T350" s="182"/>
      <c r="U350" s="182"/>
      <c r="V350" s="182"/>
      <c r="W350" s="182"/>
      <c r="X350" s="182"/>
      <c r="Y350" s="182"/>
      <c r="Z350" s="182"/>
      <c r="AA350" s="182"/>
    </row>
    <row r="351" spans="1:27" ht="14.4">
      <c r="A351" s="182"/>
      <c r="B351" s="182"/>
      <c r="C351" s="182"/>
      <c r="D351" s="182"/>
      <c r="E351" s="182"/>
      <c r="F351" s="182"/>
      <c r="G351" s="182"/>
      <c r="H351" s="182"/>
      <c r="I351" s="182"/>
      <c r="J351" s="182"/>
      <c r="K351" s="182"/>
      <c r="L351" s="182"/>
      <c r="M351" s="179"/>
      <c r="N351" s="179"/>
      <c r="O351" s="179"/>
      <c r="P351" s="182"/>
      <c r="Q351" s="182"/>
      <c r="R351" s="182"/>
      <c r="S351" s="182"/>
      <c r="T351" s="182"/>
      <c r="U351" s="182"/>
      <c r="V351" s="182"/>
      <c r="W351" s="182"/>
      <c r="X351" s="182"/>
      <c r="Y351" s="182"/>
      <c r="Z351" s="182"/>
      <c r="AA351" s="182"/>
    </row>
    <row r="352" spans="1:27" ht="14.4">
      <c r="A352" s="182"/>
      <c r="B352" s="182"/>
      <c r="C352" s="182"/>
      <c r="D352" s="182"/>
      <c r="E352" s="182"/>
      <c r="F352" s="182"/>
      <c r="G352" s="182"/>
      <c r="H352" s="182"/>
      <c r="I352" s="182"/>
      <c r="J352" s="182"/>
      <c r="K352" s="182"/>
      <c r="L352" s="182"/>
      <c r="M352" s="179"/>
      <c r="N352" s="179"/>
      <c r="O352" s="179"/>
      <c r="P352" s="182"/>
      <c r="Q352" s="182"/>
      <c r="R352" s="182"/>
      <c r="S352" s="182"/>
      <c r="T352" s="182"/>
      <c r="U352" s="182"/>
      <c r="V352" s="182"/>
      <c r="W352" s="182"/>
      <c r="X352" s="182"/>
      <c r="Y352" s="182"/>
      <c r="Z352" s="182"/>
      <c r="AA352" s="182"/>
    </row>
    <row r="353" spans="1:27" ht="14.4">
      <c r="A353" s="182"/>
      <c r="B353" s="182"/>
      <c r="C353" s="182"/>
      <c r="D353" s="182"/>
      <c r="E353" s="182"/>
      <c r="F353" s="182"/>
      <c r="G353" s="182"/>
      <c r="H353" s="182"/>
      <c r="I353" s="182"/>
      <c r="J353" s="182"/>
      <c r="K353" s="182"/>
      <c r="L353" s="182"/>
      <c r="M353" s="179"/>
      <c r="N353" s="179"/>
      <c r="O353" s="179"/>
      <c r="P353" s="182"/>
      <c r="Q353" s="182"/>
      <c r="R353" s="182"/>
      <c r="S353" s="182"/>
      <c r="T353" s="182"/>
      <c r="U353" s="182"/>
      <c r="V353" s="182"/>
      <c r="W353" s="182"/>
      <c r="X353" s="182"/>
      <c r="Y353" s="182"/>
      <c r="Z353" s="182"/>
      <c r="AA353" s="182"/>
    </row>
    <row r="354" spans="1:27" ht="14.4">
      <c r="A354" s="182"/>
      <c r="B354" s="182"/>
      <c r="C354" s="182"/>
      <c r="D354" s="182"/>
      <c r="E354" s="182"/>
      <c r="F354" s="182"/>
      <c r="G354" s="182"/>
      <c r="H354" s="182"/>
      <c r="I354" s="182"/>
      <c r="J354" s="182"/>
      <c r="K354" s="182"/>
      <c r="L354" s="182"/>
      <c r="M354" s="179"/>
      <c r="N354" s="179"/>
      <c r="O354" s="179"/>
      <c r="P354" s="182"/>
      <c r="Q354" s="182"/>
      <c r="R354" s="182"/>
      <c r="S354" s="182"/>
      <c r="T354" s="182"/>
      <c r="U354" s="182"/>
      <c r="V354" s="182"/>
      <c r="W354" s="182"/>
      <c r="X354" s="182"/>
      <c r="Y354" s="182"/>
      <c r="Z354" s="182"/>
      <c r="AA354" s="182"/>
    </row>
    <row r="355" spans="1:27" ht="14.4">
      <c r="A355" s="182"/>
      <c r="B355" s="182"/>
      <c r="C355" s="182"/>
      <c r="D355" s="182"/>
      <c r="E355" s="182"/>
      <c r="F355" s="182"/>
      <c r="G355" s="182"/>
      <c r="H355" s="182"/>
      <c r="I355" s="182"/>
      <c r="J355" s="182"/>
      <c r="K355" s="182"/>
      <c r="L355" s="182"/>
      <c r="M355" s="179"/>
      <c r="N355" s="179"/>
      <c r="O355" s="179"/>
      <c r="P355" s="182"/>
      <c r="Q355" s="182"/>
      <c r="R355" s="182"/>
      <c r="S355" s="182"/>
      <c r="T355" s="182"/>
      <c r="U355" s="182"/>
      <c r="V355" s="182"/>
      <c r="W355" s="182"/>
      <c r="X355" s="182"/>
      <c r="Y355" s="182"/>
      <c r="Z355" s="182"/>
      <c r="AA355" s="182"/>
    </row>
    <row r="356" spans="1:27" ht="14.4">
      <c r="A356" s="182"/>
      <c r="B356" s="182"/>
      <c r="C356" s="182"/>
      <c r="D356" s="182"/>
      <c r="E356" s="182"/>
      <c r="F356" s="182"/>
      <c r="G356" s="182"/>
      <c r="H356" s="182"/>
      <c r="I356" s="182"/>
      <c r="J356" s="182"/>
      <c r="K356" s="182"/>
      <c r="L356" s="182"/>
      <c r="M356" s="179"/>
      <c r="N356" s="179"/>
      <c r="O356" s="179"/>
      <c r="P356" s="182"/>
      <c r="Q356" s="182"/>
      <c r="R356" s="182"/>
      <c r="S356" s="182"/>
      <c r="T356" s="182"/>
      <c r="U356" s="182"/>
      <c r="V356" s="182"/>
      <c r="W356" s="182"/>
      <c r="X356" s="182"/>
      <c r="Y356" s="182"/>
      <c r="Z356" s="182"/>
      <c r="AA356" s="182"/>
    </row>
    <row r="357" spans="1:27" ht="14.4">
      <c r="A357" s="182"/>
      <c r="B357" s="182"/>
      <c r="C357" s="182"/>
      <c r="D357" s="182"/>
      <c r="E357" s="182"/>
      <c r="F357" s="182"/>
      <c r="G357" s="182"/>
      <c r="H357" s="182"/>
      <c r="I357" s="182"/>
      <c r="J357" s="182"/>
      <c r="K357" s="182"/>
      <c r="L357" s="182"/>
      <c r="M357" s="179"/>
      <c r="N357" s="179"/>
      <c r="O357" s="179"/>
      <c r="P357" s="182"/>
      <c r="Q357" s="182"/>
      <c r="R357" s="182"/>
      <c r="S357" s="182"/>
      <c r="T357" s="182"/>
      <c r="U357" s="182"/>
      <c r="V357" s="182"/>
      <c r="W357" s="182"/>
      <c r="X357" s="182"/>
      <c r="Y357" s="182"/>
      <c r="Z357" s="182"/>
      <c r="AA357" s="182"/>
    </row>
    <row r="358" spans="1:27" ht="14.4">
      <c r="A358" s="182"/>
      <c r="B358" s="182"/>
      <c r="C358" s="182"/>
      <c r="D358" s="182"/>
      <c r="E358" s="182"/>
      <c r="F358" s="182"/>
      <c r="G358" s="182"/>
      <c r="H358" s="182"/>
      <c r="I358" s="182"/>
      <c r="J358" s="182"/>
      <c r="K358" s="182"/>
      <c r="L358" s="182"/>
      <c r="M358" s="179"/>
      <c r="N358" s="179"/>
      <c r="O358" s="179"/>
      <c r="P358" s="182"/>
      <c r="Q358" s="182"/>
      <c r="R358" s="182"/>
      <c r="S358" s="182"/>
      <c r="T358" s="182"/>
      <c r="U358" s="182"/>
      <c r="V358" s="182"/>
      <c r="W358" s="182"/>
      <c r="X358" s="182"/>
      <c r="Y358" s="182"/>
      <c r="Z358" s="182"/>
      <c r="AA358" s="182"/>
    </row>
    <row r="359" spans="1:27" ht="14.4">
      <c r="A359" s="182"/>
      <c r="B359" s="182"/>
      <c r="C359" s="182"/>
      <c r="D359" s="182"/>
      <c r="E359" s="182"/>
      <c r="F359" s="182"/>
      <c r="G359" s="182"/>
      <c r="H359" s="182"/>
      <c r="I359" s="182"/>
      <c r="J359" s="182"/>
      <c r="K359" s="182"/>
      <c r="L359" s="182"/>
      <c r="M359" s="179"/>
      <c r="N359" s="179"/>
      <c r="O359" s="179"/>
      <c r="P359" s="182"/>
      <c r="Q359" s="182"/>
      <c r="R359" s="182"/>
      <c r="S359" s="182"/>
      <c r="T359" s="182"/>
      <c r="U359" s="182"/>
      <c r="V359" s="182"/>
      <c r="W359" s="182"/>
      <c r="X359" s="182"/>
      <c r="Y359" s="182"/>
      <c r="Z359" s="182"/>
      <c r="AA359" s="182"/>
    </row>
    <row r="360" spans="1:27" ht="14.4">
      <c r="A360" s="182"/>
      <c r="B360" s="182"/>
      <c r="C360" s="182"/>
      <c r="D360" s="182"/>
      <c r="E360" s="182"/>
      <c r="F360" s="182"/>
      <c r="G360" s="182"/>
      <c r="H360" s="182"/>
      <c r="I360" s="182"/>
      <c r="J360" s="182"/>
      <c r="K360" s="182"/>
      <c r="L360" s="182"/>
      <c r="M360" s="179"/>
      <c r="N360" s="179"/>
      <c r="O360" s="179"/>
      <c r="P360" s="182"/>
      <c r="Q360" s="182"/>
      <c r="R360" s="182"/>
      <c r="S360" s="182"/>
      <c r="T360" s="182"/>
      <c r="U360" s="182"/>
      <c r="V360" s="182"/>
      <c r="W360" s="182"/>
      <c r="X360" s="182"/>
      <c r="Y360" s="182"/>
      <c r="Z360" s="182"/>
      <c r="AA360" s="182"/>
    </row>
    <row r="361" spans="1:27" ht="14.4">
      <c r="A361" s="182"/>
      <c r="B361" s="182"/>
      <c r="C361" s="182"/>
      <c r="D361" s="182"/>
      <c r="E361" s="182"/>
      <c r="F361" s="182"/>
      <c r="G361" s="182"/>
      <c r="H361" s="182"/>
      <c r="I361" s="182"/>
      <c r="J361" s="182"/>
      <c r="K361" s="182"/>
      <c r="L361" s="182"/>
      <c r="M361" s="179"/>
      <c r="N361" s="179"/>
      <c r="O361" s="179"/>
      <c r="P361" s="182"/>
      <c r="Q361" s="182"/>
      <c r="R361" s="182"/>
      <c r="S361" s="182"/>
      <c r="T361" s="182"/>
      <c r="U361" s="182"/>
      <c r="V361" s="182"/>
      <c r="W361" s="182"/>
      <c r="X361" s="182"/>
      <c r="Y361" s="182"/>
      <c r="Z361" s="182"/>
      <c r="AA361" s="182"/>
    </row>
    <row r="362" spans="1:27" ht="14.4">
      <c r="A362" s="182"/>
      <c r="B362" s="182"/>
      <c r="C362" s="182"/>
      <c r="D362" s="182"/>
      <c r="E362" s="182"/>
      <c r="F362" s="182"/>
      <c r="G362" s="182"/>
      <c r="H362" s="182"/>
      <c r="I362" s="182"/>
      <c r="J362" s="182"/>
      <c r="K362" s="182"/>
      <c r="L362" s="182"/>
      <c r="M362" s="179"/>
      <c r="N362" s="179"/>
      <c r="O362" s="179"/>
      <c r="P362" s="182"/>
      <c r="Q362" s="182"/>
      <c r="R362" s="182"/>
      <c r="S362" s="182"/>
      <c r="T362" s="182"/>
      <c r="U362" s="182"/>
      <c r="V362" s="182"/>
      <c r="W362" s="182"/>
      <c r="X362" s="182"/>
      <c r="Y362" s="182"/>
      <c r="Z362" s="182"/>
      <c r="AA362" s="182"/>
    </row>
    <row r="363" spans="1:27" ht="14.4">
      <c r="A363" s="182"/>
      <c r="B363" s="182"/>
      <c r="C363" s="182"/>
      <c r="D363" s="182"/>
      <c r="E363" s="182"/>
      <c r="F363" s="182"/>
      <c r="G363" s="182"/>
      <c r="H363" s="182"/>
      <c r="I363" s="182"/>
      <c r="J363" s="182"/>
      <c r="K363" s="182"/>
      <c r="L363" s="182"/>
      <c r="M363" s="179"/>
      <c r="N363" s="179"/>
      <c r="O363" s="179"/>
      <c r="P363" s="182"/>
      <c r="Q363" s="182"/>
      <c r="R363" s="182"/>
      <c r="S363" s="182"/>
      <c r="T363" s="182"/>
      <c r="U363" s="182"/>
      <c r="V363" s="182"/>
      <c r="W363" s="182"/>
      <c r="X363" s="182"/>
      <c r="Y363" s="182"/>
      <c r="Z363" s="182"/>
      <c r="AA363" s="182"/>
    </row>
    <row r="364" spans="1:27" ht="14.4">
      <c r="A364" s="182"/>
      <c r="B364" s="182"/>
      <c r="C364" s="182"/>
      <c r="D364" s="182"/>
      <c r="E364" s="182"/>
      <c r="F364" s="182"/>
      <c r="G364" s="182"/>
      <c r="H364" s="182"/>
      <c r="I364" s="182"/>
      <c r="J364" s="182"/>
      <c r="K364" s="182"/>
      <c r="L364" s="182"/>
      <c r="M364" s="179"/>
      <c r="N364" s="179"/>
      <c r="O364" s="179"/>
      <c r="P364" s="182"/>
      <c r="Q364" s="182"/>
      <c r="R364" s="182"/>
      <c r="S364" s="182"/>
      <c r="T364" s="182"/>
      <c r="U364" s="182"/>
      <c r="V364" s="182"/>
      <c r="W364" s="182"/>
      <c r="X364" s="182"/>
      <c r="Y364" s="182"/>
      <c r="Z364" s="182"/>
      <c r="AA364" s="182"/>
    </row>
    <row r="365" spans="1:27" ht="14.4">
      <c r="A365" s="182"/>
      <c r="B365" s="182"/>
      <c r="C365" s="182"/>
      <c r="D365" s="182"/>
      <c r="E365" s="182"/>
      <c r="F365" s="182"/>
      <c r="G365" s="182"/>
      <c r="H365" s="182"/>
      <c r="I365" s="182"/>
      <c r="J365" s="182"/>
      <c r="K365" s="182"/>
      <c r="L365" s="182"/>
      <c r="M365" s="179"/>
      <c r="N365" s="179"/>
      <c r="O365" s="179"/>
      <c r="P365" s="182"/>
      <c r="Q365" s="182"/>
      <c r="R365" s="182"/>
      <c r="S365" s="182"/>
      <c r="T365" s="182"/>
      <c r="U365" s="182"/>
      <c r="V365" s="182"/>
      <c r="W365" s="182"/>
      <c r="X365" s="182"/>
      <c r="Y365" s="182"/>
      <c r="Z365" s="182"/>
      <c r="AA365" s="182"/>
    </row>
    <row r="366" spans="1:27" ht="14.4">
      <c r="A366" s="182"/>
      <c r="B366" s="182"/>
      <c r="C366" s="182"/>
      <c r="D366" s="182"/>
      <c r="E366" s="182"/>
      <c r="F366" s="182"/>
      <c r="G366" s="182"/>
      <c r="H366" s="182"/>
      <c r="I366" s="182"/>
      <c r="J366" s="182"/>
      <c r="K366" s="182"/>
      <c r="L366" s="182"/>
      <c r="M366" s="179"/>
      <c r="N366" s="179"/>
      <c r="O366" s="179"/>
      <c r="P366" s="182"/>
      <c r="Q366" s="182"/>
      <c r="R366" s="182"/>
      <c r="S366" s="182"/>
      <c r="T366" s="182"/>
      <c r="U366" s="182"/>
      <c r="V366" s="182"/>
      <c r="W366" s="182"/>
      <c r="X366" s="182"/>
      <c r="Y366" s="182"/>
      <c r="Z366" s="182"/>
      <c r="AA366" s="182"/>
    </row>
    <row r="367" spans="1:27" ht="14.4">
      <c r="A367" s="182"/>
      <c r="B367" s="182"/>
      <c r="C367" s="182"/>
      <c r="D367" s="182"/>
      <c r="E367" s="182"/>
      <c r="F367" s="182"/>
      <c r="G367" s="182"/>
      <c r="H367" s="182"/>
      <c r="I367" s="182"/>
      <c r="J367" s="182"/>
      <c r="K367" s="182"/>
      <c r="L367" s="182"/>
      <c r="M367" s="179"/>
      <c r="N367" s="179"/>
      <c r="O367" s="179"/>
      <c r="P367" s="182"/>
      <c r="Q367" s="182"/>
      <c r="R367" s="182"/>
      <c r="S367" s="182"/>
      <c r="T367" s="182"/>
      <c r="U367" s="182"/>
      <c r="V367" s="182"/>
      <c r="W367" s="182"/>
      <c r="X367" s="182"/>
      <c r="Y367" s="182"/>
      <c r="Z367" s="182"/>
      <c r="AA367" s="182"/>
    </row>
    <row r="368" spans="1:27" ht="14.4">
      <c r="A368" s="182"/>
      <c r="B368" s="182"/>
      <c r="C368" s="182"/>
      <c r="D368" s="182"/>
      <c r="E368" s="182"/>
      <c r="F368" s="182"/>
      <c r="G368" s="182"/>
      <c r="H368" s="182"/>
      <c r="I368" s="182"/>
      <c r="J368" s="182"/>
      <c r="K368" s="182"/>
      <c r="L368" s="182"/>
      <c r="M368" s="179"/>
      <c r="N368" s="179"/>
      <c r="O368" s="179"/>
      <c r="P368" s="182"/>
      <c r="Q368" s="182"/>
      <c r="R368" s="182"/>
      <c r="S368" s="182"/>
      <c r="T368" s="182"/>
      <c r="U368" s="182"/>
      <c r="V368" s="182"/>
      <c r="W368" s="182"/>
      <c r="X368" s="182"/>
      <c r="Y368" s="182"/>
      <c r="Z368" s="182"/>
      <c r="AA368" s="182"/>
    </row>
    <row r="369" spans="1:27" ht="14.4">
      <c r="A369" s="182"/>
      <c r="B369" s="182"/>
      <c r="C369" s="182"/>
      <c r="D369" s="182"/>
      <c r="E369" s="182"/>
      <c r="F369" s="182"/>
      <c r="G369" s="182"/>
      <c r="H369" s="182"/>
      <c r="I369" s="182"/>
      <c r="J369" s="182"/>
      <c r="K369" s="182"/>
      <c r="L369" s="182"/>
      <c r="M369" s="179"/>
      <c r="N369" s="179"/>
      <c r="O369" s="179"/>
      <c r="P369" s="182"/>
      <c r="Q369" s="182"/>
      <c r="R369" s="182"/>
      <c r="S369" s="182"/>
      <c r="T369" s="182"/>
      <c r="U369" s="182"/>
      <c r="V369" s="182"/>
      <c r="W369" s="182"/>
      <c r="X369" s="182"/>
      <c r="Y369" s="182"/>
      <c r="Z369" s="182"/>
      <c r="AA369" s="182"/>
    </row>
    <row r="370" spans="1:27" ht="14.4">
      <c r="A370" s="182"/>
      <c r="B370" s="182"/>
      <c r="C370" s="182"/>
      <c r="D370" s="182"/>
      <c r="E370" s="182"/>
      <c r="F370" s="182"/>
      <c r="G370" s="182"/>
      <c r="H370" s="182"/>
      <c r="I370" s="182"/>
      <c r="J370" s="182"/>
      <c r="K370" s="182"/>
      <c r="L370" s="182"/>
      <c r="M370" s="179"/>
      <c r="N370" s="179"/>
      <c r="O370" s="179"/>
      <c r="P370" s="182"/>
      <c r="Q370" s="182"/>
      <c r="R370" s="182"/>
      <c r="S370" s="182"/>
      <c r="T370" s="182"/>
      <c r="U370" s="182"/>
      <c r="V370" s="182"/>
      <c r="W370" s="182"/>
      <c r="X370" s="182"/>
      <c r="Y370" s="182"/>
      <c r="Z370" s="182"/>
      <c r="AA370" s="182"/>
    </row>
    <row r="371" spans="1:27" ht="14.4">
      <c r="A371" s="182"/>
      <c r="B371" s="182"/>
      <c r="C371" s="182"/>
      <c r="D371" s="182"/>
      <c r="E371" s="182"/>
      <c r="F371" s="182"/>
      <c r="G371" s="182"/>
      <c r="H371" s="182"/>
      <c r="I371" s="182"/>
      <c r="J371" s="182"/>
      <c r="K371" s="182"/>
      <c r="L371" s="182"/>
      <c r="M371" s="179"/>
      <c r="N371" s="179"/>
      <c r="O371" s="179"/>
      <c r="P371" s="182"/>
      <c r="Q371" s="182"/>
      <c r="R371" s="182"/>
      <c r="S371" s="182"/>
      <c r="T371" s="182"/>
      <c r="U371" s="182"/>
      <c r="V371" s="182"/>
      <c r="W371" s="182"/>
      <c r="X371" s="182"/>
      <c r="Y371" s="182"/>
      <c r="Z371" s="182"/>
      <c r="AA371" s="182"/>
    </row>
    <row r="372" spans="1:27" ht="14.4">
      <c r="A372" s="182"/>
      <c r="B372" s="182"/>
      <c r="C372" s="182"/>
      <c r="D372" s="182"/>
      <c r="E372" s="182"/>
      <c r="F372" s="182"/>
      <c r="G372" s="182"/>
      <c r="H372" s="182"/>
      <c r="I372" s="182"/>
      <c r="J372" s="182"/>
      <c r="K372" s="182"/>
      <c r="L372" s="182"/>
      <c r="M372" s="179"/>
      <c r="N372" s="179"/>
      <c r="O372" s="179"/>
      <c r="P372" s="182"/>
      <c r="Q372" s="182"/>
      <c r="R372" s="182"/>
      <c r="S372" s="182"/>
      <c r="T372" s="182"/>
      <c r="U372" s="182"/>
      <c r="V372" s="182"/>
      <c r="W372" s="182"/>
      <c r="X372" s="182"/>
      <c r="Y372" s="182"/>
      <c r="Z372" s="182"/>
      <c r="AA372" s="182"/>
    </row>
    <row r="373" spans="1:27" ht="14.4">
      <c r="A373" s="182"/>
      <c r="B373" s="182"/>
      <c r="C373" s="182"/>
      <c r="D373" s="182"/>
      <c r="E373" s="182"/>
      <c r="F373" s="182"/>
      <c r="G373" s="182"/>
      <c r="H373" s="182"/>
      <c r="I373" s="182"/>
      <c r="J373" s="182"/>
      <c r="K373" s="182"/>
      <c r="L373" s="182"/>
      <c r="M373" s="179"/>
      <c r="N373" s="179"/>
      <c r="O373" s="179"/>
      <c r="P373" s="182"/>
      <c r="Q373" s="182"/>
      <c r="R373" s="182"/>
      <c r="S373" s="182"/>
      <c r="T373" s="182"/>
      <c r="U373" s="182"/>
      <c r="V373" s="182"/>
      <c r="W373" s="182"/>
      <c r="X373" s="182"/>
      <c r="Y373" s="182"/>
      <c r="Z373" s="182"/>
      <c r="AA373" s="182"/>
    </row>
    <row r="374" spans="1:27" ht="14.4">
      <c r="A374" s="182"/>
      <c r="B374" s="182"/>
      <c r="C374" s="182"/>
      <c r="D374" s="182"/>
      <c r="E374" s="182"/>
      <c r="F374" s="182"/>
      <c r="G374" s="182"/>
      <c r="H374" s="182"/>
      <c r="I374" s="182"/>
      <c r="J374" s="182"/>
      <c r="K374" s="182"/>
      <c r="L374" s="182"/>
      <c r="M374" s="179"/>
      <c r="N374" s="179"/>
      <c r="O374" s="179"/>
      <c r="P374" s="182"/>
      <c r="Q374" s="182"/>
      <c r="R374" s="182"/>
      <c r="S374" s="182"/>
      <c r="T374" s="182"/>
      <c r="U374" s="182"/>
      <c r="V374" s="182"/>
      <c r="W374" s="182"/>
      <c r="X374" s="182"/>
      <c r="Y374" s="182"/>
      <c r="Z374" s="182"/>
      <c r="AA374" s="182"/>
    </row>
    <row r="375" spans="1:27" ht="14.4">
      <c r="A375" s="182"/>
      <c r="B375" s="182"/>
      <c r="C375" s="182"/>
      <c r="D375" s="182"/>
      <c r="E375" s="182"/>
      <c r="F375" s="182"/>
      <c r="G375" s="182"/>
      <c r="H375" s="182"/>
      <c r="I375" s="182"/>
      <c r="J375" s="182"/>
      <c r="K375" s="182"/>
      <c r="L375" s="182"/>
      <c r="M375" s="179"/>
      <c r="N375" s="179"/>
      <c r="O375" s="179"/>
      <c r="P375" s="182"/>
      <c r="Q375" s="182"/>
      <c r="R375" s="182"/>
      <c r="S375" s="182"/>
      <c r="T375" s="182"/>
      <c r="U375" s="182"/>
      <c r="V375" s="182"/>
      <c r="W375" s="182"/>
      <c r="X375" s="182"/>
      <c r="Y375" s="182"/>
      <c r="Z375" s="182"/>
      <c r="AA375" s="182"/>
    </row>
    <row r="376" spans="1:27" ht="14.4">
      <c r="A376" s="182"/>
      <c r="B376" s="182"/>
      <c r="C376" s="182"/>
      <c r="D376" s="182"/>
      <c r="E376" s="182"/>
      <c r="F376" s="182"/>
      <c r="G376" s="182"/>
      <c r="H376" s="182"/>
      <c r="I376" s="182"/>
      <c r="J376" s="182"/>
      <c r="K376" s="182"/>
      <c r="L376" s="182"/>
      <c r="M376" s="179"/>
      <c r="N376" s="179"/>
      <c r="O376" s="179"/>
      <c r="P376" s="182"/>
      <c r="Q376" s="182"/>
      <c r="R376" s="182"/>
      <c r="S376" s="182"/>
      <c r="T376" s="182"/>
      <c r="U376" s="182"/>
      <c r="V376" s="182"/>
      <c r="W376" s="182"/>
      <c r="X376" s="182"/>
      <c r="Y376" s="182"/>
      <c r="Z376" s="182"/>
      <c r="AA376" s="182"/>
    </row>
    <row r="377" spans="1:27" ht="14.4">
      <c r="A377" s="182"/>
      <c r="B377" s="182"/>
      <c r="C377" s="182"/>
      <c r="D377" s="182"/>
      <c r="E377" s="182"/>
      <c r="F377" s="182"/>
      <c r="G377" s="182"/>
      <c r="H377" s="182"/>
      <c r="I377" s="182"/>
      <c r="J377" s="182"/>
      <c r="K377" s="182"/>
      <c r="L377" s="182"/>
      <c r="M377" s="179"/>
      <c r="N377" s="179"/>
      <c r="O377" s="179"/>
      <c r="P377" s="182"/>
      <c r="Q377" s="182"/>
      <c r="R377" s="182"/>
      <c r="S377" s="182"/>
      <c r="T377" s="182"/>
      <c r="U377" s="182"/>
      <c r="V377" s="182"/>
      <c r="W377" s="182"/>
      <c r="X377" s="182"/>
      <c r="Y377" s="182"/>
      <c r="Z377" s="182"/>
      <c r="AA377" s="182"/>
    </row>
    <row r="378" spans="1:27" ht="14.4">
      <c r="A378" s="182"/>
      <c r="B378" s="182"/>
      <c r="C378" s="182"/>
      <c r="D378" s="182"/>
      <c r="E378" s="182"/>
      <c r="F378" s="182"/>
      <c r="G378" s="182"/>
      <c r="H378" s="182"/>
      <c r="I378" s="182"/>
      <c r="J378" s="182"/>
      <c r="K378" s="182"/>
      <c r="L378" s="182"/>
      <c r="M378" s="179"/>
      <c r="N378" s="179"/>
      <c r="O378" s="179"/>
      <c r="P378" s="182"/>
      <c r="Q378" s="182"/>
      <c r="R378" s="182"/>
      <c r="S378" s="182"/>
      <c r="T378" s="182"/>
      <c r="U378" s="182"/>
      <c r="V378" s="182"/>
      <c r="W378" s="182"/>
      <c r="X378" s="182"/>
      <c r="Y378" s="182"/>
      <c r="Z378" s="182"/>
      <c r="AA378" s="182"/>
    </row>
    <row r="379" spans="1:27" ht="14.4">
      <c r="A379" s="182"/>
      <c r="B379" s="182"/>
      <c r="C379" s="182"/>
      <c r="D379" s="182"/>
      <c r="E379" s="182"/>
      <c r="F379" s="182"/>
      <c r="G379" s="182"/>
      <c r="H379" s="182"/>
      <c r="I379" s="182"/>
      <c r="J379" s="182"/>
      <c r="K379" s="182"/>
      <c r="L379" s="182"/>
      <c r="M379" s="179"/>
      <c r="N379" s="179"/>
      <c r="O379" s="179"/>
      <c r="P379" s="182"/>
      <c r="Q379" s="182"/>
      <c r="R379" s="182"/>
      <c r="S379" s="182"/>
      <c r="T379" s="182"/>
      <c r="U379" s="182"/>
      <c r="V379" s="182"/>
      <c r="W379" s="182"/>
      <c r="X379" s="182"/>
      <c r="Y379" s="182"/>
      <c r="Z379" s="182"/>
      <c r="AA379" s="182"/>
    </row>
    <row r="380" spans="1:27" ht="14.4">
      <c r="A380" s="182"/>
      <c r="B380" s="182"/>
      <c r="C380" s="182"/>
      <c r="D380" s="182"/>
      <c r="E380" s="182"/>
      <c r="F380" s="182"/>
      <c r="G380" s="182"/>
      <c r="H380" s="182"/>
      <c r="I380" s="182"/>
      <c r="J380" s="182"/>
      <c r="K380" s="182"/>
      <c r="L380" s="182"/>
      <c r="M380" s="179"/>
      <c r="N380" s="179"/>
      <c r="O380" s="179"/>
      <c r="P380" s="182"/>
      <c r="Q380" s="182"/>
      <c r="R380" s="182"/>
      <c r="S380" s="182"/>
      <c r="T380" s="182"/>
      <c r="U380" s="182"/>
      <c r="V380" s="182"/>
      <c r="W380" s="182"/>
      <c r="X380" s="182"/>
      <c r="Y380" s="182"/>
      <c r="Z380" s="182"/>
      <c r="AA380" s="182"/>
    </row>
    <row r="381" spans="1:27" ht="14.4">
      <c r="A381" s="182"/>
      <c r="B381" s="182"/>
      <c r="C381" s="182"/>
      <c r="D381" s="182"/>
      <c r="E381" s="182"/>
      <c r="F381" s="182"/>
      <c r="G381" s="182"/>
      <c r="H381" s="182"/>
      <c r="I381" s="182"/>
      <c r="J381" s="182"/>
      <c r="K381" s="182"/>
      <c r="L381" s="182"/>
      <c r="M381" s="179"/>
      <c r="N381" s="179"/>
      <c r="O381" s="179"/>
      <c r="P381" s="182"/>
      <c r="Q381" s="182"/>
      <c r="R381" s="182"/>
      <c r="S381" s="182"/>
      <c r="T381" s="182"/>
      <c r="U381" s="182"/>
      <c r="V381" s="182"/>
      <c r="W381" s="182"/>
      <c r="X381" s="182"/>
      <c r="Y381" s="182"/>
      <c r="Z381" s="182"/>
      <c r="AA381" s="182"/>
    </row>
    <row r="382" spans="1:27" ht="14.4">
      <c r="A382" s="182"/>
      <c r="B382" s="182"/>
      <c r="C382" s="182"/>
      <c r="D382" s="182"/>
      <c r="E382" s="182"/>
      <c r="F382" s="182"/>
      <c r="G382" s="182"/>
      <c r="H382" s="182"/>
      <c r="I382" s="182"/>
      <c r="J382" s="182"/>
      <c r="K382" s="182"/>
      <c r="L382" s="182"/>
      <c r="M382" s="179"/>
      <c r="N382" s="179"/>
      <c r="O382" s="179"/>
      <c r="P382" s="182"/>
      <c r="Q382" s="182"/>
      <c r="R382" s="182"/>
      <c r="S382" s="182"/>
      <c r="T382" s="182"/>
      <c r="U382" s="182"/>
      <c r="V382" s="182"/>
      <c r="W382" s="182"/>
      <c r="X382" s="182"/>
      <c r="Y382" s="182"/>
      <c r="Z382" s="182"/>
      <c r="AA382" s="182"/>
    </row>
    <row r="383" spans="1:27" ht="14.4">
      <c r="A383" s="182"/>
      <c r="B383" s="182"/>
      <c r="C383" s="182"/>
      <c r="D383" s="182"/>
      <c r="E383" s="182"/>
      <c r="F383" s="182"/>
      <c r="G383" s="182"/>
      <c r="H383" s="182"/>
      <c r="I383" s="182"/>
      <c r="J383" s="182"/>
      <c r="K383" s="182"/>
      <c r="L383" s="182"/>
      <c r="M383" s="179"/>
      <c r="N383" s="179"/>
      <c r="O383" s="179"/>
      <c r="P383" s="182"/>
      <c r="Q383" s="182"/>
      <c r="R383" s="182"/>
      <c r="S383" s="182"/>
      <c r="T383" s="182"/>
      <c r="U383" s="182"/>
      <c r="V383" s="182"/>
      <c r="W383" s="182"/>
      <c r="X383" s="182"/>
      <c r="Y383" s="182"/>
      <c r="Z383" s="182"/>
      <c r="AA383" s="182"/>
    </row>
    <row r="384" spans="1:27" ht="14.4">
      <c r="A384" s="182"/>
      <c r="B384" s="182"/>
      <c r="C384" s="182"/>
      <c r="D384" s="182"/>
      <c r="E384" s="182"/>
      <c r="F384" s="182"/>
      <c r="G384" s="182"/>
      <c r="H384" s="182"/>
      <c r="I384" s="182"/>
      <c r="J384" s="182"/>
      <c r="K384" s="182"/>
      <c r="L384" s="182"/>
      <c r="M384" s="179"/>
      <c r="N384" s="179"/>
      <c r="O384" s="179"/>
      <c r="P384" s="182"/>
      <c r="Q384" s="182"/>
      <c r="R384" s="182"/>
      <c r="S384" s="182"/>
      <c r="T384" s="182"/>
      <c r="U384" s="182"/>
      <c r="V384" s="182"/>
      <c r="W384" s="182"/>
      <c r="X384" s="182"/>
      <c r="Y384" s="182"/>
      <c r="Z384" s="182"/>
      <c r="AA384" s="182"/>
    </row>
    <row r="385" spans="1:27" ht="14.4">
      <c r="A385" s="182"/>
      <c r="B385" s="182"/>
      <c r="C385" s="182"/>
      <c r="D385" s="182"/>
      <c r="E385" s="182"/>
      <c r="F385" s="182"/>
      <c r="G385" s="182"/>
      <c r="H385" s="182"/>
      <c r="I385" s="182"/>
      <c r="J385" s="182"/>
      <c r="K385" s="182"/>
      <c r="L385" s="182"/>
      <c r="M385" s="179"/>
      <c r="N385" s="179"/>
      <c r="O385" s="179"/>
      <c r="P385" s="182"/>
      <c r="Q385" s="182"/>
      <c r="R385" s="182"/>
      <c r="S385" s="182"/>
      <c r="T385" s="182"/>
      <c r="U385" s="182"/>
      <c r="V385" s="182"/>
      <c r="W385" s="182"/>
      <c r="X385" s="182"/>
      <c r="Y385" s="182"/>
      <c r="Z385" s="182"/>
      <c r="AA385" s="182"/>
    </row>
    <row r="386" spans="1:27" ht="14.4">
      <c r="A386" s="182"/>
      <c r="B386" s="182"/>
      <c r="C386" s="182"/>
      <c r="D386" s="182"/>
      <c r="E386" s="182"/>
      <c r="F386" s="182"/>
      <c r="G386" s="182"/>
      <c r="H386" s="182"/>
      <c r="I386" s="182"/>
      <c r="J386" s="182"/>
      <c r="K386" s="182"/>
      <c r="L386" s="182"/>
      <c r="M386" s="179"/>
      <c r="N386" s="179"/>
      <c r="O386" s="179"/>
      <c r="P386" s="182"/>
      <c r="Q386" s="182"/>
      <c r="R386" s="182"/>
      <c r="S386" s="182"/>
      <c r="T386" s="182"/>
      <c r="U386" s="182"/>
      <c r="V386" s="182"/>
      <c r="W386" s="182"/>
      <c r="X386" s="182"/>
      <c r="Y386" s="182"/>
      <c r="Z386" s="182"/>
      <c r="AA386" s="182"/>
    </row>
    <row r="387" spans="1:27" ht="14.4">
      <c r="A387" s="182"/>
      <c r="B387" s="182"/>
      <c r="C387" s="182"/>
      <c r="D387" s="182"/>
      <c r="E387" s="182"/>
      <c r="F387" s="182"/>
      <c r="G387" s="182"/>
      <c r="H387" s="182"/>
      <c r="I387" s="182"/>
      <c r="J387" s="182"/>
      <c r="K387" s="182"/>
      <c r="L387" s="182"/>
      <c r="M387" s="179"/>
      <c r="N387" s="179"/>
      <c r="O387" s="179"/>
      <c r="P387" s="182"/>
      <c r="Q387" s="182"/>
      <c r="R387" s="182"/>
      <c r="S387" s="182"/>
      <c r="T387" s="182"/>
      <c r="U387" s="182"/>
      <c r="V387" s="182"/>
      <c r="W387" s="182"/>
      <c r="X387" s="182"/>
      <c r="Y387" s="182"/>
      <c r="Z387" s="182"/>
      <c r="AA387" s="182"/>
    </row>
    <row r="388" spans="1:27" ht="14.4">
      <c r="A388" s="182"/>
      <c r="B388" s="182"/>
      <c r="C388" s="182"/>
      <c r="D388" s="182"/>
      <c r="E388" s="182"/>
      <c r="F388" s="182"/>
      <c r="G388" s="182"/>
      <c r="H388" s="182"/>
      <c r="I388" s="182"/>
      <c r="J388" s="182"/>
      <c r="K388" s="182"/>
      <c r="L388" s="182"/>
      <c r="M388" s="179"/>
      <c r="N388" s="179"/>
      <c r="O388" s="179"/>
      <c r="P388" s="182"/>
      <c r="Q388" s="182"/>
      <c r="R388" s="182"/>
      <c r="S388" s="182"/>
      <c r="T388" s="182"/>
      <c r="U388" s="182"/>
      <c r="V388" s="182"/>
      <c r="W388" s="182"/>
      <c r="X388" s="182"/>
      <c r="Y388" s="182"/>
      <c r="Z388" s="182"/>
      <c r="AA388" s="182"/>
    </row>
    <row r="389" spans="1:27" ht="14.4">
      <c r="A389" s="182"/>
      <c r="B389" s="182"/>
      <c r="C389" s="182"/>
      <c r="D389" s="182"/>
      <c r="E389" s="182"/>
      <c r="F389" s="182"/>
      <c r="G389" s="182"/>
      <c r="H389" s="182"/>
      <c r="I389" s="182"/>
      <c r="J389" s="182"/>
      <c r="K389" s="182"/>
      <c r="L389" s="182"/>
      <c r="M389" s="179"/>
      <c r="N389" s="179"/>
      <c r="O389" s="179"/>
      <c r="P389" s="182"/>
      <c r="Q389" s="182"/>
      <c r="R389" s="182"/>
      <c r="S389" s="182"/>
      <c r="T389" s="182"/>
      <c r="U389" s="182"/>
      <c r="V389" s="182"/>
      <c r="W389" s="182"/>
      <c r="X389" s="182"/>
      <c r="Y389" s="182"/>
      <c r="Z389" s="182"/>
      <c r="AA389" s="182"/>
    </row>
    <row r="390" spans="1:27" ht="14.4">
      <c r="A390" s="182"/>
      <c r="B390" s="182"/>
      <c r="C390" s="182"/>
      <c r="D390" s="182"/>
      <c r="E390" s="182"/>
      <c r="F390" s="182"/>
      <c r="G390" s="182"/>
      <c r="H390" s="182"/>
      <c r="I390" s="182"/>
      <c r="J390" s="182"/>
      <c r="K390" s="182"/>
      <c r="L390" s="182"/>
      <c r="M390" s="179"/>
      <c r="N390" s="179"/>
      <c r="O390" s="179"/>
      <c r="P390" s="182"/>
      <c r="Q390" s="182"/>
      <c r="R390" s="182"/>
      <c r="S390" s="182"/>
      <c r="T390" s="182"/>
      <c r="U390" s="182"/>
      <c r="V390" s="182"/>
      <c r="W390" s="182"/>
      <c r="X390" s="182"/>
      <c r="Y390" s="182"/>
      <c r="Z390" s="182"/>
      <c r="AA390" s="182"/>
    </row>
    <row r="391" spans="1:27" ht="14.4">
      <c r="A391" s="182"/>
      <c r="B391" s="182"/>
      <c r="C391" s="182"/>
      <c r="D391" s="182"/>
      <c r="E391" s="182"/>
      <c r="F391" s="182"/>
      <c r="G391" s="182"/>
      <c r="H391" s="182"/>
      <c r="I391" s="182"/>
      <c r="J391" s="182"/>
      <c r="K391" s="182"/>
      <c r="L391" s="182"/>
      <c r="M391" s="179"/>
      <c r="N391" s="179"/>
      <c r="O391" s="179"/>
      <c r="P391" s="182"/>
      <c r="Q391" s="182"/>
      <c r="R391" s="182"/>
      <c r="S391" s="182"/>
      <c r="T391" s="182"/>
      <c r="U391" s="182"/>
      <c r="V391" s="182"/>
      <c r="W391" s="182"/>
      <c r="X391" s="182"/>
      <c r="Y391" s="182"/>
      <c r="Z391" s="182"/>
      <c r="AA391" s="182"/>
    </row>
    <row r="392" spans="1:27" ht="14.4">
      <c r="A392" s="182"/>
      <c r="B392" s="182"/>
      <c r="C392" s="182"/>
      <c r="D392" s="182"/>
      <c r="E392" s="182"/>
      <c r="F392" s="182"/>
      <c r="G392" s="182"/>
      <c r="H392" s="182"/>
      <c r="I392" s="182"/>
      <c r="J392" s="182"/>
      <c r="K392" s="182"/>
      <c r="L392" s="182"/>
      <c r="M392" s="179"/>
      <c r="N392" s="179"/>
      <c r="O392" s="179"/>
      <c r="P392" s="182"/>
      <c r="Q392" s="182"/>
      <c r="R392" s="182"/>
      <c r="S392" s="182"/>
      <c r="T392" s="182"/>
      <c r="U392" s="182"/>
      <c r="V392" s="182"/>
      <c r="W392" s="182"/>
      <c r="X392" s="182"/>
      <c r="Y392" s="182"/>
      <c r="Z392" s="182"/>
      <c r="AA392" s="182"/>
    </row>
    <row r="393" spans="1:27" ht="14.4">
      <c r="A393" s="182"/>
      <c r="B393" s="182"/>
      <c r="C393" s="182"/>
      <c r="D393" s="182"/>
      <c r="E393" s="182"/>
      <c r="F393" s="182"/>
      <c r="G393" s="182"/>
      <c r="H393" s="182"/>
      <c r="I393" s="182"/>
      <c r="J393" s="182"/>
      <c r="K393" s="182"/>
      <c r="L393" s="182"/>
      <c r="M393" s="179"/>
      <c r="N393" s="179"/>
      <c r="O393" s="179"/>
      <c r="P393" s="182"/>
      <c r="Q393" s="182"/>
      <c r="R393" s="182"/>
      <c r="S393" s="182"/>
      <c r="T393" s="182"/>
      <c r="U393" s="182"/>
      <c r="V393" s="182"/>
      <c r="W393" s="182"/>
      <c r="X393" s="182"/>
      <c r="Y393" s="182"/>
      <c r="Z393" s="182"/>
      <c r="AA393" s="182"/>
    </row>
    <row r="394" spans="1:27" ht="14.4">
      <c r="A394" s="182"/>
      <c r="B394" s="182"/>
      <c r="C394" s="182"/>
      <c r="D394" s="182"/>
      <c r="E394" s="182"/>
      <c r="F394" s="182"/>
      <c r="G394" s="182"/>
      <c r="H394" s="182"/>
      <c r="I394" s="182"/>
      <c r="J394" s="182"/>
      <c r="K394" s="182"/>
      <c r="L394" s="182"/>
      <c r="M394" s="179"/>
      <c r="N394" s="179"/>
      <c r="O394" s="179"/>
      <c r="P394" s="182"/>
      <c r="Q394" s="182"/>
      <c r="R394" s="182"/>
      <c r="S394" s="182"/>
      <c r="T394" s="182"/>
      <c r="U394" s="182"/>
      <c r="V394" s="182"/>
      <c r="W394" s="182"/>
      <c r="X394" s="182"/>
      <c r="Y394" s="182"/>
      <c r="Z394" s="182"/>
      <c r="AA394" s="182"/>
    </row>
    <row r="395" spans="1:27" ht="14.4">
      <c r="A395" s="182"/>
      <c r="B395" s="182"/>
      <c r="C395" s="182"/>
      <c r="D395" s="182"/>
      <c r="E395" s="182"/>
      <c r="F395" s="182"/>
      <c r="G395" s="182"/>
      <c r="H395" s="182"/>
      <c r="I395" s="182"/>
      <c r="J395" s="182"/>
      <c r="K395" s="182"/>
      <c r="L395" s="182"/>
      <c r="M395" s="179"/>
      <c r="N395" s="179"/>
      <c r="O395" s="179"/>
      <c r="P395" s="182"/>
      <c r="Q395" s="182"/>
      <c r="R395" s="182"/>
      <c r="S395" s="182"/>
      <c r="T395" s="182"/>
      <c r="U395" s="182"/>
      <c r="V395" s="182"/>
      <c r="W395" s="182"/>
      <c r="X395" s="182"/>
      <c r="Y395" s="182"/>
      <c r="Z395" s="182"/>
      <c r="AA395" s="182"/>
    </row>
    <row r="396" spans="1:27" ht="14.4">
      <c r="A396" s="182"/>
      <c r="B396" s="182"/>
      <c r="C396" s="182"/>
      <c r="D396" s="182"/>
      <c r="E396" s="182"/>
      <c r="F396" s="182"/>
      <c r="G396" s="182"/>
      <c r="H396" s="182"/>
      <c r="I396" s="182"/>
      <c r="J396" s="182"/>
      <c r="K396" s="182"/>
      <c r="L396" s="182"/>
      <c r="M396" s="179"/>
      <c r="N396" s="179"/>
      <c r="O396" s="179"/>
      <c r="P396" s="182"/>
      <c r="Q396" s="182"/>
      <c r="R396" s="182"/>
      <c r="S396" s="182"/>
      <c r="T396" s="182"/>
      <c r="U396" s="182"/>
      <c r="V396" s="182"/>
      <c r="W396" s="182"/>
      <c r="X396" s="182"/>
      <c r="Y396" s="182"/>
      <c r="Z396" s="182"/>
      <c r="AA396" s="182"/>
    </row>
    <row r="397" spans="1:27" ht="14.4">
      <c r="A397" s="182"/>
      <c r="B397" s="182"/>
      <c r="C397" s="182"/>
      <c r="D397" s="182"/>
      <c r="E397" s="182"/>
      <c r="F397" s="182"/>
      <c r="G397" s="182"/>
      <c r="H397" s="182"/>
      <c r="I397" s="182"/>
      <c r="J397" s="182"/>
      <c r="K397" s="182"/>
      <c r="L397" s="182"/>
      <c r="M397" s="179"/>
      <c r="N397" s="179"/>
      <c r="O397" s="179"/>
      <c r="P397" s="182"/>
      <c r="Q397" s="182"/>
      <c r="R397" s="182"/>
      <c r="S397" s="182"/>
      <c r="T397" s="182"/>
      <c r="U397" s="182"/>
      <c r="V397" s="182"/>
      <c r="W397" s="182"/>
      <c r="X397" s="182"/>
      <c r="Y397" s="182"/>
      <c r="Z397" s="182"/>
      <c r="AA397" s="182"/>
    </row>
    <row r="398" spans="1:27" ht="14.4">
      <c r="A398" s="182"/>
      <c r="B398" s="182"/>
      <c r="C398" s="182"/>
      <c r="D398" s="182"/>
      <c r="E398" s="182"/>
      <c r="F398" s="182"/>
      <c r="G398" s="182"/>
      <c r="H398" s="182"/>
      <c r="I398" s="182"/>
      <c r="J398" s="182"/>
      <c r="K398" s="182"/>
      <c r="L398" s="182"/>
      <c r="M398" s="179"/>
      <c r="N398" s="179"/>
      <c r="O398" s="179"/>
      <c r="P398" s="182"/>
      <c r="Q398" s="182"/>
      <c r="R398" s="182"/>
      <c r="S398" s="182"/>
      <c r="T398" s="182"/>
      <c r="U398" s="182"/>
      <c r="V398" s="182"/>
      <c r="W398" s="182"/>
      <c r="X398" s="182"/>
      <c r="Y398" s="182"/>
      <c r="Z398" s="182"/>
      <c r="AA398" s="182"/>
    </row>
    <row r="399" spans="1:27" ht="14.4">
      <c r="A399" s="182"/>
      <c r="B399" s="182"/>
      <c r="C399" s="182"/>
      <c r="D399" s="182"/>
      <c r="E399" s="182"/>
      <c r="F399" s="182"/>
      <c r="G399" s="182"/>
      <c r="H399" s="182"/>
      <c r="I399" s="182"/>
      <c r="J399" s="182"/>
      <c r="K399" s="182"/>
      <c r="L399" s="182"/>
      <c r="M399" s="179"/>
      <c r="N399" s="179"/>
      <c r="O399" s="179"/>
      <c r="P399" s="182"/>
      <c r="Q399" s="182"/>
      <c r="R399" s="182"/>
      <c r="S399" s="182"/>
      <c r="T399" s="182"/>
      <c r="U399" s="182"/>
      <c r="V399" s="182"/>
      <c r="W399" s="182"/>
      <c r="X399" s="182"/>
      <c r="Y399" s="182"/>
      <c r="Z399" s="182"/>
      <c r="AA399" s="182"/>
    </row>
    <row r="400" spans="1:27" ht="14.4">
      <c r="A400" s="182"/>
      <c r="B400" s="182"/>
      <c r="C400" s="182"/>
      <c r="D400" s="182"/>
      <c r="E400" s="182"/>
      <c r="F400" s="182"/>
      <c r="G400" s="182"/>
      <c r="H400" s="182"/>
      <c r="I400" s="182"/>
      <c r="J400" s="182"/>
      <c r="K400" s="182"/>
      <c r="L400" s="182"/>
      <c r="M400" s="179"/>
      <c r="N400" s="179"/>
      <c r="O400" s="179"/>
      <c r="P400" s="182"/>
      <c r="Q400" s="182"/>
      <c r="R400" s="182"/>
      <c r="S400" s="182"/>
      <c r="T400" s="182"/>
      <c r="U400" s="182"/>
      <c r="V400" s="182"/>
      <c r="W400" s="182"/>
      <c r="X400" s="182"/>
      <c r="Y400" s="182"/>
      <c r="Z400" s="182"/>
      <c r="AA400" s="182"/>
    </row>
    <row r="401" spans="1:27" ht="14.4">
      <c r="A401" s="182"/>
      <c r="B401" s="182"/>
      <c r="C401" s="182"/>
      <c r="D401" s="182"/>
      <c r="E401" s="182"/>
      <c r="F401" s="182"/>
      <c r="G401" s="182"/>
      <c r="H401" s="182"/>
      <c r="I401" s="182"/>
      <c r="J401" s="182"/>
      <c r="K401" s="182"/>
      <c r="L401" s="182"/>
      <c r="M401" s="179"/>
      <c r="N401" s="179"/>
      <c r="O401" s="179"/>
      <c r="P401" s="182"/>
      <c r="Q401" s="182"/>
      <c r="R401" s="182"/>
      <c r="S401" s="182"/>
      <c r="T401" s="182"/>
      <c r="U401" s="182"/>
      <c r="V401" s="182"/>
      <c r="W401" s="182"/>
      <c r="X401" s="182"/>
      <c r="Y401" s="182"/>
      <c r="Z401" s="182"/>
      <c r="AA401" s="182"/>
    </row>
    <row r="402" spans="1:27" ht="14.4">
      <c r="A402" s="182"/>
      <c r="B402" s="182"/>
      <c r="C402" s="182"/>
      <c r="D402" s="182"/>
      <c r="E402" s="182"/>
      <c r="F402" s="182"/>
      <c r="G402" s="182"/>
      <c r="H402" s="182"/>
      <c r="I402" s="182"/>
      <c r="J402" s="182"/>
      <c r="K402" s="182"/>
      <c r="L402" s="182"/>
      <c r="M402" s="179"/>
      <c r="N402" s="179"/>
      <c r="O402" s="179"/>
      <c r="P402" s="182"/>
      <c r="Q402" s="182"/>
      <c r="R402" s="182"/>
      <c r="S402" s="182"/>
      <c r="T402" s="182"/>
      <c r="U402" s="182"/>
      <c r="V402" s="182"/>
      <c r="W402" s="182"/>
      <c r="X402" s="182"/>
      <c r="Y402" s="182"/>
      <c r="Z402" s="182"/>
      <c r="AA402" s="182"/>
    </row>
    <row r="403" spans="1:27" ht="14.4">
      <c r="A403" s="182"/>
      <c r="B403" s="182"/>
      <c r="C403" s="182"/>
      <c r="D403" s="182"/>
      <c r="E403" s="182"/>
      <c r="F403" s="182"/>
      <c r="G403" s="182"/>
      <c r="H403" s="182"/>
      <c r="I403" s="182"/>
      <c r="J403" s="182"/>
      <c r="K403" s="182"/>
      <c r="L403" s="182"/>
      <c r="M403" s="179"/>
      <c r="N403" s="179"/>
      <c r="O403" s="179"/>
      <c r="P403" s="182"/>
      <c r="Q403" s="182"/>
      <c r="R403" s="182"/>
      <c r="S403" s="182"/>
      <c r="T403" s="182"/>
      <c r="U403" s="182"/>
      <c r="V403" s="182"/>
      <c r="W403" s="182"/>
      <c r="X403" s="182"/>
      <c r="Y403" s="182"/>
      <c r="Z403" s="182"/>
      <c r="AA403" s="182"/>
    </row>
    <row r="404" spans="1:27" ht="14.4">
      <c r="A404" s="182"/>
      <c r="B404" s="182"/>
      <c r="C404" s="182"/>
      <c r="D404" s="182"/>
      <c r="E404" s="182"/>
      <c r="F404" s="182"/>
      <c r="G404" s="182"/>
      <c r="H404" s="182"/>
      <c r="I404" s="182"/>
      <c r="J404" s="182"/>
      <c r="K404" s="182"/>
      <c r="L404" s="182"/>
      <c r="M404" s="179"/>
      <c r="N404" s="179"/>
      <c r="O404" s="179"/>
      <c r="P404" s="182"/>
      <c r="Q404" s="182"/>
      <c r="R404" s="182"/>
      <c r="S404" s="182"/>
      <c r="T404" s="182"/>
      <c r="U404" s="182"/>
      <c r="V404" s="182"/>
      <c r="W404" s="182"/>
      <c r="X404" s="182"/>
      <c r="Y404" s="182"/>
      <c r="Z404" s="182"/>
      <c r="AA404" s="182"/>
    </row>
    <row r="405" spans="1:27" ht="14.4">
      <c r="A405" s="182"/>
      <c r="B405" s="182"/>
      <c r="C405" s="182"/>
      <c r="D405" s="182"/>
      <c r="E405" s="182"/>
      <c r="F405" s="182"/>
      <c r="G405" s="182"/>
      <c r="H405" s="182"/>
      <c r="I405" s="182"/>
      <c r="J405" s="182"/>
      <c r="K405" s="182"/>
      <c r="L405" s="182"/>
      <c r="M405" s="179"/>
      <c r="N405" s="179"/>
      <c r="O405" s="179"/>
      <c r="P405" s="182"/>
      <c r="Q405" s="182"/>
      <c r="R405" s="182"/>
      <c r="S405" s="182"/>
      <c r="T405" s="182"/>
      <c r="U405" s="182"/>
      <c r="V405" s="182"/>
      <c r="W405" s="182"/>
      <c r="X405" s="182"/>
      <c r="Y405" s="182"/>
      <c r="Z405" s="182"/>
      <c r="AA405" s="182"/>
    </row>
    <row r="406" spans="1:27" ht="14.4">
      <c r="A406" s="182"/>
      <c r="B406" s="182"/>
      <c r="C406" s="182"/>
      <c r="D406" s="182"/>
      <c r="E406" s="182"/>
      <c r="F406" s="182"/>
      <c r="G406" s="182"/>
      <c r="H406" s="182"/>
      <c r="I406" s="182"/>
      <c r="J406" s="182"/>
      <c r="K406" s="182"/>
      <c r="L406" s="182"/>
      <c r="M406" s="179"/>
      <c r="N406" s="179"/>
      <c r="O406" s="179"/>
      <c r="P406" s="182"/>
      <c r="Q406" s="182"/>
      <c r="R406" s="182"/>
      <c r="S406" s="182"/>
      <c r="T406" s="182"/>
      <c r="U406" s="182"/>
      <c r="V406" s="182"/>
      <c r="W406" s="182"/>
      <c r="X406" s="182"/>
      <c r="Y406" s="182"/>
      <c r="Z406" s="182"/>
      <c r="AA406" s="182"/>
    </row>
    <row r="407" spans="1:27" ht="14.4">
      <c r="A407" s="182"/>
      <c r="B407" s="182"/>
      <c r="C407" s="182"/>
      <c r="D407" s="182"/>
      <c r="E407" s="182"/>
      <c r="F407" s="182"/>
      <c r="G407" s="182"/>
      <c r="H407" s="182"/>
      <c r="I407" s="182"/>
      <c r="J407" s="182"/>
      <c r="K407" s="182"/>
      <c r="L407" s="182"/>
      <c r="M407" s="179"/>
      <c r="N407" s="179"/>
      <c r="O407" s="179"/>
      <c r="P407" s="182"/>
      <c r="Q407" s="182"/>
      <c r="R407" s="182"/>
      <c r="S407" s="182"/>
      <c r="T407" s="182"/>
      <c r="U407" s="182"/>
      <c r="V407" s="182"/>
      <c r="W407" s="182"/>
      <c r="X407" s="182"/>
      <c r="Y407" s="182"/>
      <c r="Z407" s="182"/>
      <c r="AA407" s="182"/>
    </row>
    <row r="408" spans="1:27" ht="14.4">
      <c r="A408" s="182"/>
      <c r="B408" s="182"/>
      <c r="C408" s="182"/>
      <c r="D408" s="182"/>
      <c r="E408" s="182"/>
      <c r="F408" s="182"/>
      <c r="G408" s="182"/>
      <c r="H408" s="182"/>
      <c r="I408" s="182"/>
      <c r="J408" s="182"/>
      <c r="K408" s="182"/>
      <c r="L408" s="182"/>
      <c r="M408" s="179"/>
      <c r="N408" s="179"/>
      <c r="O408" s="179"/>
      <c r="P408" s="182"/>
      <c r="Q408" s="182"/>
      <c r="R408" s="182"/>
      <c r="S408" s="182"/>
      <c r="T408" s="182"/>
      <c r="U408" s="182"/>
      <c r="V408" s="182"/>
      <c r="W408" s="182"/>
      <c r="X408" s="182"/>
      <c r="Y408" s="182"/>
      <c r="Z408" s="182"/>
      <c r="AA408" s="182"/>
    </row>
    <row r="409" spans="1:27" ht="14.4">
      <c r="A409" s="182"/>
      <c r="B409" s="182"/>
      <c r="C409" s="182"/>
      <c r="D409" s="182"/>
      <c r="E409" s="182"/>
      <c r="F409" s="182"/>
      <c r="G409" s="182"/>
      <c r="H409" s="182"/>
      <c r="I409" s="182"/>
      <c r="J409" s="182"/>
      <c r="K409" s="182"/>
      <c r="L409" s="182"/>
      <c r="M409" s="179"/>
      <c r="N409" s="179"/>
      <c r="O409" s="179"/>
      <c r="P409" s="182"/>
      <c r="Q409" s="182"/>
      <c r="R409" s="182"/>
      <c r="S409" s="182"/>
      <c r="T409" s="182"/>
      <c r="U409" s="182"/>
      <c r="V409" s="182"/>
      <c r="W409" s="182"/>
      <c r="X409" s="182"/>
      <c r="Y409" s="182"/>
      <c r="Z409" s="182"/>
      <c r="AA409" s="182"/>
    </row>
    <row r="410" spans="1:27" ht="14.4">
      <c r="A410" s="182"/>
      <c r="B410" s="182"/>
      <c r="C410" s="182"/>
      <c r="D410" s="182"/>
      <c r="E410" s="182"/>
      <c r="F410" s="182"/>
      <c r="G410" s="182"/>
      <c r="H410" s="182"/>
      <c r="I410" s="182"/>
      <c r="J410" s="182"/>
      <c r="K410" s="182"/>
      <c r="L410" s="182"/>
      <c r="M410" s="179"/>
      <c r="N410" s="179"/>
      <c r="O410" s="179"/>
      <c r="P410" s="182"/>
      <c r="Q410" s="182"/>
      <c r="R410" s="182"/>
      <c r="S410" s="182"/>
      <c r="T410" s="182"/>
      <c r="U410" s="182"/>
      <c r="V410" s="182"/>
      <c r="W410" s="182"/>
      <c r="X410" s="182"/>
      <c r="Y410" s="182"/>
      <c r="Z410" s="182"/>
      <c r="AA410" s="182"/>
    </row>
    <row r="411" spans="1:27" ht="14.4">
      <c r="A411" s="182"/>
      <c r="B411" s="182"/>
      <c r="C411" s="182"/>
      <c r="D411" s="182"/>
      <c r="E411" s="182"/>
      <c r="F411" s="182"/>
      <c r="G411" s="182"/>
      <c r="H411" s="182"/>
      <c r="I411" s="182"/>
      <c r="J411" s="182"/>
      <c r="K411" s="182"/>
      <c r="L411" s="182"/>
      <c r="M411" s="179"/>
      <c r="N411" s="179"/>
      <c r="O411" s="179"/>
      <c r="P411" s="182"/>
      <c r="Q411" s="182"/>
      <c r="R411" s="182"/>
      <c r="S411" s="182"/>
      <c r="T411" s="182"/>
      <c r="U411" s="182"/>
      <c r="V411" s="182"/>
      <c r="W411" s="182"/>
      <c r="X411" s="182"/>
      <c r="Y411" s="182"/>
      <c r="Z411" s="182"/>
      <c r="AA411" s="182"/>
    </row>
    <row r="412" spans="1:27" ht="14.4">
      <c r="A412" s="182"/>
      <c r="B412" s="182"/>
      <c r="C412" s="182"/>
      <c r="D412" s="182"/>
      <c r="E412" s="182"/>
      <c r="F412" s="182"/>
      <c r="G412" s="182"/>
      <c r="H412" s="182"/>
      <c r="I412" s="182"/>
      <c r="J412" s="182"/>
      <c r="K412" s="182"/>
      <c r="L412" s="182"/>
      <c r="M412" s="179"/>
      <c r="N412" s="179"/>
      <c r="O412" s="179"/>
      <c r="P412" s="182"/>
      <c r="Q412" s="182"/>
      <c r="R412" s="182"/>
      <c r="S412" s="182"/>
      <c r="T412" s="182"/>
      <c r="U412" s="182"/>
      <c r="V412" s="182"/>
      <c r="W412" s="182"/>
      <c r="X412" s="182"/>
      <c r="Y412" s="182"/>
      <c r="Z412" s="182"/>
      <c r="AA412" s="182"/>
    </row>
    <row r="413" spans="1:27" ht="14.4">
      <c r="A413" s="182"/>
      <c r="B413" s="182"/>
      <c r="C413" s="182"/>
      <c r="D413" s="182"/>
      <c r="E413" s="182"/>
      <c r="F413" s="182"/>
      <c r="G413" s="182"/>
      <c r="H413" s="182"/>
      <c r="I413" s="182"/>
      <c r="J413" s="182"/>
      <c r="K413" s="182"/>
      <c r="L413" s="182"/>
      <c r="M413" s="179"/>
      <c r="N413" s="179"/>
      <c r="O413" s="179"/>
      <c r="P413" s="182"/>
      <c r="Q413" s="182"/>
      <c r="R413" s="182"/>
      <c r="S413" s="182"/>
      <c r="T413" s="182"/>
      <c r="U413" s="182"/>
      <c r="V413" s="182"/>
      <c r="W413" s="182"/>
      <c r="X413" s="182"/>
      <c r="Y413" s="182"/>
      <c r="Z413" s="182"/>
      <c r="AA413" s="182"/>
    </row>
    <row r="414" spans="1:27" ht="14.4">
      <c r="A414" s="182"/>
      <c r="B414" s="182"/>
      <c r="C414" s="182"/>
      <c r="D414" s="182"/>
      <c r="E414" s="182"/>
      <c r="F414" s="182"/>
      <c r="G414" s="182"/>
      <c r="H414" s="182"/>
      <c r="I414" s="182"/>
      <c r="J414" s="182"/>
      <c r="K414" s="182"/>
      <c r="L414" s="182"/>
      <c r="M414" s="179"/>
      <c r="N414" s="179"/>
      <c r="O414" s="179"/>
      <c r="P414" s="182"/>
      <c r="Q414" s="182"/>
      <c r="R414" s="182"/>
      <c r="S414" s="182"/>
      <c r="T414" s="182"/>
      <c r="U414" s="182"/>
      <c r="V414" s="182"/>
      <c r="W414" s="182"/>
      <c r="X414" s="182"/>
      <c r="Y414" s="182"/>
      <c r="Z414" s="182"/>
      <c r="AA414" s="182"/>
    </row>
    <row r="415" spans="1:27" ht="14.4">
      <c r="A415" s="182"/>
      <c r="B415" s="182"/>
      <c r="C415" s="182"/>
      <c r="D415" s="182"/>
      <c r="E415" s="182"/>
      <c r="F415" s="182"/>
      <c r="G415" s="182"/>
      <c r="H415" s="182"/>
      <c r="I415" s="182"/>
      <c r="J415" s="182"/>
      <c r="K415" s="182"/>
      <c r="L415" s="182"/>
      <c r="M415" s="179"/>
      <c r="N415" s="179"/>
      <c r="O415" s="179"/>
      <c r="P415" s="182"/>
      <c r="Q415" s="182"/>
      <c r="R415" s="182"/>
      <c r="S415" s="182"/>
      <c r="T415" s="182"/>
      <c r="U415" s="182"/>
      <c r="V415" s="182"/>
      <c r="W415" s="182"/>
      <c r="X415" s="182"/>
      <c r="Y415" s="182"/>
      <c r="Z415" s="182"/>
      <c r="AA415" s="182"/>
    </row>
    <row r="416" spans="1:27" ht="14.4">
      <c r="A416" s="182"/>
      <c r="B416" s="182"/>
      <c r="C416" s="182"/>
      <c r="D416" s="182"/>
      <c r="E416" s="182"/>
      <c r="F416" s="182"/>
      <c r="G416" s="182"/>
      <c r="H416" s="182"/>
      <c r="I416" s="182"/>
      <c r="J416" s="182"/>
      <c r="K416" s="182"/>
      <c r="L416" s="182"/>
      <c r="M416" s="179"/>
      <c r="N416" s="179"/>
      <c r="O416" s="179"/>
      <c r="P416" s="182"/>
      <c r="Q416" s="182"/>
      <c r="R416" s="182"/>
      <c r="S416" s="182"/>
      <c r="T416" s="182"/>
      <c r="U416" s="182"/>
      <c r="V416" s="182"/>
      <c r="W416" s="182"/>
      <c r="X416" s="182"/>
      <c r="Y416" s="182"/>
      <c r="Z416" s="182"/>
      <c r="AA416" s="182"/>
    </row>
    <row r="417" spans="1:27" ht="14.4">
      <c r="A417" s="182"/>
      <c r="B417" s="182"/>
      <c r="C417" s="182"/>
      <c r="D417" s="182"/>
      <c r="E417" s="182"/>
      <c r="F417" s="182"/>
      <c r="G417" s="182"/>
      <c r="H417" s="182"/>
      <c r="I417" s="182"/>
      <c r="J417" s="182"/>
      <c r="K417" s="182"/>
      <c r="L417" s="182"/>
      <c r="M417" s="179"/>
      <c r="N417" s="179"/>
      <c r="O417" s="179"/>
      <c r="P417" s="182"/>
      <c r="Q417" s="182"/>
      <c r="R417" s="182"/>
      <c r="S417" s="182"/>
      <c r="T417" s="182"/>
      <c r="U417" s="182"/>
      <c r="V417" s="182"/>
      <c r="W417" s="182"/>
      <c r="X417" s="182"/>
      <c r="Y417" s="182"/>
      <c r="Z417" s="182"/>
      <c r="AA417" s="182"/>
    </row>
    <row r="418" spans="1:27" ht="14.4">
      <c r="A418" s="182"/>
      <c r="B418" s="182"/>
      <c r="C418" s="182"/>
      <c r="D418" s="182"/>
      <c r="E418" s="182"/>
      <c r="F418" s="182"/>
      <c r="G418" s="182"/>
      <c r="H418" s="182"/>
      <c r="I418" s="182"/>
      <c r="J418" s="182"/>
      <c r="K418" s="182"/>
      <c r="L418" s="182"/>
      <c r="M418" s="179"/>
      <c r="N418" s="179"/>
      <c r="O418" s="179"/>
      <c r="P418" s="182"/>
      <c r="Q418" s="182"/>
      <c r="R418" s="182"/>
      <c r="S418" s="182"/>
      <c r="T418" s="182"/>
      <c r="U418" s="182"/>
      <c r="V418" s="182"/>
      <c r="W418" s="182"/>
      <c r="X418" s="182"/>
      <c r="Y418" s="182"/>
      <c r="Z418" s="182"/>
      <c r="AA418" s="182"/>
    </row>
    <row r="419" spans="1:27" ht="14.4">
      <c r="A419" s="182"/>
      <c r="B419" s="182"/>
      <c r="C419" s="182"/>
      <c r="D419" s="182"/>
      <c r="E419" s="182"/>
      <c r="F419" s="182"/>
      <c r="G419" s="182"/>
      <c r="H419" s="182"/>
      <c r="I419" s="182"/>
      <c r="J419" s="182"/>
      <c r="K419" s="182"/>
      <c r="L419" s="182"/>
      <c r="M419" s="179"/>
      <c r="N419" s="179"/>
      <c r="O419" s="179"/>
      <c r="P419" s="182"/>
      <c r="Q419" s="182"/>
      <c r="R419" s="182"/>
      <c r="S419" s="182"/>
      <c r="T419" s="182"/>
      <c r="U419" s="182"/>
      <c r="V419" s="182"/>
      <c r="W419" s="182"/>
      <c r="X419" s="182"/>
      <c r="Y419" s="182"/>
      <c r="Z419" s="182"/>
      <c r="AA419" s="182"/>
    </row>
    <row r="420" spans="1:27" ht="14.4">
      <c r="A420" s="182"/>
      <c r="B420" s="182"/>
      <c r="C420" s="182"/>
      <c r="D420" s="182"/>
      <c r="E420" s="182"/>
      <c r="F420" s="182"/>
      <c r="G420" s="182"/>
      <c r="H420" s="182"/>
      <c r="I420" s="182"/>
      <c r="J420" s="182"/>
      <c r="K420" s="182"/>
      <c r="L420" s="182"/>
      <c r="M420" s="179"/>
      <c r="N420" s="179"/>
      <c r="O420" s="179"/>
      <c r="P420" s="182"/>
      <c r="Q420" s="182"/>
      <c r="R420" s="182"/>
      <c r="S420" s="182"/>
      <c r="T420" s="182"/>
      <c r="U420" s="182"/>
      <c r="V420" s="182"/>
      <c r="W420" s="182"/>
      <c r="X420" s="182"/>
      <c r="Y420" s="182"/>
      <c r="Z420" s="182"/>
      <c r="AA420" s="182"/>
    </row>
    <row r="421" spans="1:27" ht="14.4">
      <c r="A421" s="182"/>
      <c r="B421" s="182"/>
      <c r="C421" s="182"/>
      <c r="D421" s="182"/>
      <c r="E421" s="182"/>
      <c r="F421" s="182"/>
      <c r="G421" s="182"/>
      <c r="H421" s="182"/>
      <c r="I421" s="182"/>
      <c r="J421" s="182"/>
      <c r="K421" s="182"/>
      <c r="L421" s="182"/>
      <c r="M421" s="179"/>
      <c r="N421" s="179"/>
      <c r="O421" s="179"/>
      <c r="P421" s="182"/>
      <c r="Q421" s="182"/>
      <c r="R421" s="182"/>
      <c r="S421" s="182"/>
      <c r="T421" s="182"/>
      <c r="U421" s="182"/>
      <c r="V421" s="182"/>
      <c r="W421" s="182"/>
      <c r="X421" s="182"/>
      <c r="Y421" s="182"/>
      <c r="Z421" s="182"/>
      <c r="AA421" s="182"/>
    </row>
    <row r="422" spans="1:27" ht="14.4">
      <c r="A422" s="182"/>
      <c r="B422" s="182"/>
      <c r="C422" s="182"/>
      <c r="D422" s="182"/>
      <c r="E422" s="182"/>
      <c r="F422" s="182"/>
      <c r="G422" s="182"/>
      <c r="H422" s="182"/>
      <c r="I422" s="182"/>
      <c r="J422" s="182"/>
      <c r="K422" s="182"/>
      <c r="L422" s="182"/>
      <c r="M422" s="179"/>
      <c r="N422" s="179"/>
      <c r="O422" s="179"/>
      <c r="P422" s="182"/>
      <c r="Q422" s="182"/>
      <c r="R422" s="182"/>
      <c r="S422" s="182"/>
      <c r="T422" s="182"/>
      <c r="U422" s="182"/>
      <c r="V422" s="182"/>
      <c r="W422" s="182"/>
      <c r="X422" s="182"/>
      <c r="Y422" s="182"/>
      <c r="Z422" s="182"/>
      <c r="AA422" s="182"/>
    </row>
    <row r="423" spans="1:27" ht="14.4">
      <c r="A423" s="182"/>
      <c r="B423" s="182"/>
      <c r="C423" s="182"/>
      <c r="D423" s="182"/>
      <c r="E423" s="182"/>
      <c r="F423" s="182"/>
      <c r="G423" s="182"/>
      <c r="H423" s="182"/>
      <c r="I423" s="182"/>
      <c r="J423" s="182"/>
      <c r="K423" s="182"/>
      <c r="L423" s="182"/>
      <c r="M423" s="179"/>
      <c r="N423" s="179"/>
      <c r="O423" s="179"/>
      <c r="P423" s="182"/>
      <c r="Q423" s="182"/>
      <c r="R423" s="182"/>
      <c r="S423" s="182"/>
      <c r="T423" s="182"/>
      <c r="U423" s="182"/>
      <c r="V423" s="182"/>
      <c r="W423" s="182"/>
      <c r="X423" s="182"/>
      <c r="Y423" s="182"/>
      <c r="Z423" s="182"/>
      <c r="AA423" s="182"/>
    </row>
    <row r="424" spans="1:27" ht="14.4">
      <c r="A424" s="182"/>
      <c r="B424" s="182"/>
      <c r="C424" s="182"/>
      <c r="D424" s="182"/>
      <c r="E424" s="182"/>
      <c r="F424" s="182"/>
      <c r="G424" s="182"/>
      <c r="H424" s="182"/>
      <c r="I424" s="182"/>
      <c r="J424" s="182"/>
      <c r="K424" s="182"/>
      <c r="L424" s="182"/>
      <c r="M424" s="179"/>
      <c r="N424" s="179"/>
      <c r="O424" s="179"/>
      <c r="P424" s="182"/>
      <c r="Q424" s="182"/>
      <c r="R424" s="182"/>
      <c r="S424" s="182"/>
      <c r="T424" s="182"/>
      <c r="U424" s="182"/>
      <c r="V424" s="182"/>
      <c r="W424" s="182"/>
      <c r="X424" s="182"/>
      <c r="Y424" s="182"/>
      <c r="Z424" s="182"/>
      <c r="AA424" s="182"/>
    </row>
    <row r="425" spans="1:27" ht="14.4">
      <c r="A425" s="182"/>
      <c r="B425" s="182"/>
      <c r="C425" s="182"/>
      <c r="D425" s="182"/>
      <c r="E425" s="182"/>
      <c r="F425" s="182"/>
      <c r="G425" s="182"/>
      <c r="H425" s="182"/>
      <c r="I425" s="182"/>
      <c r="J425" s="182"/>
      <c r="K425" s="182"/>
      <c r="L425" s="182"/>
      <c r="M425" s="179"/>
      <c r="N425" s="179"/>
      <c r="O425" s="179"/>
      <c r="P425" s="182"/>
      <c r="Q425" s="182"/>
      <c r="R425" s="182"/>
      <c r="S425" s="182"/>
      <c r="T425" s="182"/>
      <c r="U425" s="182"/>
      <c r="V425" s="182"/>
      <c r="W425" s="182"/>
      <c r="X425" s="182"/>
      <c r="Y425" s="182"/>
      <c r="Z425" s="182"/>
      <c r="AA425" s="182"/>
    </row>
    <row r="426" spans="1:27" ht="14.4">
      <c r="A426" s="182"/>
      <c r="B426" s="182"/>
      <c r="C426" s="182"/>
      <c r="D426" s="182"/>
      <c r="E426" s="182"/>
      <c r="F426" s="182"/>
      <c r="G426" s="182"/>
      <c r="H426" s="182"/>
      <c r="I426" s="182"/>
      <c r="J426" s="182"/>
      <c r="K426" s="182"/>
      <c r="L426" s="182"/>
      <c r="M426" s="179"/>
      <c r="N426" s="179"/>
      <c r="O426" s="179"/>
      <c r="P426" s="182"/>
      <c r="Q426" s="182"/>
      <c r="R426" s="182"/>
      <c r="S426" s="182"/>
      <c r="T426" s="182"/>
      <c r="U426" s="182"/>
      <c r="V426" s="182"/>
      <c r="W426" s="182"/>
      <c r="X426" s="182"/>
      <c r="Y426" s="182"/>
      <c r="Z426" s="182"/>
      <c r="AA426" s="182"/>
    </row>
    <row r="427" spans="1:27" ht="14.4">
      <c r="A427" s="182"/>
      <c r="B427" s="182"/>
      <c r="C427" s="182"/>
      <c r="D427" s="182"/>
      <c r="E427" s="182"/>
      <c r="F427" s="182"/>
      <c r="G427" s="182"/>
      <c r="H427" s="182"/>
      <c r="I427" s="182"/>
      <c r="J427" s="182"/>
      <c r="K427" s="182"/>
      <c r="L427" s="182"/>
      <c r="M427" s="179"/>
      <c r="N427" s="179"/>
      <c r="O427" s="179"/>
      <c r="P427" s="182"/>
      <c r="Q427" s="182"/>
      <c r="R427" s="182"/>
      <c r="S427" s="182"/>
      <c r="T427" s="182"/>
      <c r="U427" s="182"/>
      <c r="V427" s="182"/>
      <c r="W427" s="182"/>
      <c r="X427" s="182"/>
      <c r="Y427" s="182"/>
      <c r="Z427" s="182"/>
      <c r="AA427" s="182"/>
    </row>
    <row r="428" spans="1:27" ht="14.4">
      <c r="A428" s="182"/>
      <c r="B428" s="182"/>
      <c r="C428" s="182"/>
      <c r="D428" s="182"/>
      <c r="E428" s="182"/>
      <c r="F428" s="182"/>
      <c r="G428" s="182"/>
      <c r="H428" s="182"/>
      <c r="I428" s="182"/>
      <c r="J428" s="182"/>
      <c r="K428" s="182"/>
      <c r="L428" s="182"/>
      <c r="M428" s="179"/>
      <c r="N428" s="179"/>
      <c r="O428" s="179"/>
      <c r="P428" s="182"/>
      <c r="Q428" s="182"/>
      <c r="R428" s="182"/>
      <c r="S428" s="182"/>
      <c r="T428" s="182"/>
      <c r="U428" s="182"/>
      <c r="V428" s="182"/>
      <c r="W428" s="182"/>
      <c r="X428" s="182"/>
      <c r="Y428" s="182"/>
      <c r="Z428" s="182"/>
      <c r="AA428" s="182"/>
    </row>
    <row r="429" spans="1:27" ht="14.4">
      <c r="A429" s="182"/>
      <c r="B429" s="182"/>
      <c r="C429" s="182"/>
      <c r="D429" s="182"/>
      <c r="E429" s="182"/>
      <c r="F429" s="182"/>
      <c r="G429" s="182"/>
      <c r="H429" s="182"/>
      <c r="I429" s="182"/>
      <c r="J429" s="182"/>
      <c r="K429" s="182"/>
      <c r="L429" s="182"/>
      <c r="M429" s="179"/>
      <c r="N429" s="179"/>
      <c r="O429" s="179"/>
      <c r="P429" s="182"/>
      <c r="Q429" s="182"/>
      <c r="R429" s="182"/>
      <c r="S429" s="182"/>
      <c r="T429" s="182"/>
      <c r="U429" s="182"/>
      <c r="V429" s="182"/>
      <c r="W429" s="182"/>
      <c r="X429" s="182"/>
      <c r="Y429" s="182"/>
      <c r="Z429" s="182"/>
      <c r="AA429" s="182"/>
    </row>
    <row r="430" spans="1:27" ht="14.4">
      <c r="A430" s="182"/>
      <c r="B430" s="182"/>
      <c r="C430" s="182"/>
      <c r="D430" s="182"/>
      <c r="E430" s="182"/>
      <c r="F430" s="182"/>
      <c r="G430" s="182"/>
      <c r="H430" s="182"/>
      <c r="I430" s="182"/>
      <c r="J430" s="182"/>
      <c r="K430" s="182"/>
      <c r="L430" s="182"/>
      <c r="M430" s="179"/>
      <c r="N430" s="179"/>
      <c r="O430" s="179"/>
      <c r="P430" s="182"/>
      <c r="Q430" s="182"/>
      <c r="R430" s="182"/>
      <c r="S430" s="182"/>
      <c r="T430" s="182"/>
      <c r="U430" s="182"/>
      <c r="V430" s="182"/>
      <c r="W430" s="182"/>
      <c r="X430" s="182"/>
      <c r="Y430" s="182"/>
      <c r="Z430" s="182"/>
      <c r="AA430" s="182"/>
    </row>
    <row r="431" spans="1:27" ht="14.4">
      <c r="A431" s="182"/>
      <c r="B431" s="182"/>
      <c r="C431" s="182"/>
      <c r="D431" s="182"/>
      <c r="E431" s="182"/>
      <c r="F431" s="182"/>
      <c r="G431" s="182"/>
      <c r="H431" s="182"/>
      <c r="I431" s="182"/>
      <c r="J431" s="182"/>
      <c r="K431" s="182"/>
      <c r="L431" s="182"/>
      <c r="M431" s="179"/>
      <c r="N431" s="179"/>
      <c r="O431" s="179"/>
      <c r="P431" s="182"/>
      <c r="Q431" s="182"/>
      <c r="R431" s="182"/>
      <c r="S431" s="182"/>
      <c r="T431" s="182"/>
      <c r="U431" s="182"/>
      <c r="V431" s="182"/>
      <c r="W431" s="182"/>
      <c r="X431" s="182"/>
      <c r="Y431" s="182"/>
      <c r="Z431" s="182"/>
      <c r="AA431" s="182"/>
    </row>
    <row r="432" spans="1:27" ht="14.4">
      <c r="A432" s="182"/>
      <c r="B432" s="182"/>
      <c r="C432" s="182"/>
      <c r="D432" s="182"/>
      <c r="E432" s="182"/>
      <c r="F432" s="182"/>
      <c r="G432" s="182"/>
      <c r="H432" s="182"/>
      <c r="I432" s="182"/>
      <c r="J432" s="182"/>
      <c r="K432" s="182"/>
      <c r="L432" s="182"/>
      <c r="M432" s="179"/>
      <c r="N432" s="179"/>
      <c r="O432" s="179"/>
      <c r="P432" s="182"/>
      <c r="Q432" s="182"/>
      <c r="R432" s="182"/>
      <c r="S432" s="182"/>
      <c r="T432" s="182"/>
      <c r="U432" s="182"/>
      <c r="V432" s="182"/>
      <c r="W432" s="182"/>
      <c r="X432" s="182"/>
      <c r="Y432" s="182"/>
      <c r="Z432" s="182"/>
      <c r="AA432" s="182"/>
    </row>
    <row r="433" spans="1:27" ht="14.4">
      <c r="A433" s="182"/>
      <c r="B433" s="182"/>
      <c r="C433" s="182"/>
      <c r="D433" s="182"/>
      <c r="E433" s="182"/>
      <c r="F433" s="182"/>
      <c r="G433" s="182"/>
      <c r="H433" s="182"/>
      <c r="I433" s="182"/>
      <c r="J433" s="182"/>
      <c r="K433" s="182"/>
      <c r="L433" s="182"/>
      <c r="M433" s="179"/>
      <c r="N433" s="179"/>
      <c r="O433" s="179"/>
      <c r="P433" s="182"/>
      <c r="Q433" s="182"/>
      <c r="R433" s="182"/>
      <c r="S433" s="182"/>
      <c r="T433" s="182"/>
      <c r="U433" s="182"/>
      <c r="V433" s="182"/>
      <c r="W433" s="182"/>
      <c r="X433" s="182"/>
      <c r="Y433" s="182"/>
      <c r="Z433" s="182"/>
      <c r="AA433" s="182"/>
    </row>
    <row r="434" spans="1:27" ht="14.4">
      <c r="A434" s="182"/>
      <c r="B434" s="182"/>
      <c r="C434" s="182"/>
      <c r="D434" s="182"/>
      <c r="E434" s="182"/>
      <c r="F434" s="182"/>
      <c r="G434" s="182"/>
      <c r="H434" s="182"/>
      <c r="I434" s="182"/>
      <c r="J434" s="182"/>
      <c r="K434" s="182"/>
      <c r="L434" s="182"/>
      <c r="M434" s="179"/>
      <c r="N434" s="179"/>
      <c r="O434" s="179"/>
      <c r="P434" s="182"/>
      <c r="Q434" s="182"/>
      <c r="R434" s="182"/>
      <c r="S434" s="182"/>
      <c r="T434" s="182"/>
      <c r="U434" s="182"/>
      <c r="V434" s="182"/>
      <c r="W434" s="182"/>
      <c r="X434" s="182"/>
      <c r="Y434" s="182"/>
      <c r="Z434" s="182"/>
      <c r="AA434" s="182"/>
    </row>
    <row r="435" spans="1:27" ht="14.4">
      <c r="A435" s="182"/>
      <c r="B435" s="182"/>
      <c r="C435" s="182"/>
      <c r="D435" s="182"/>
      <c r="E435" s="182"/>
      <c r="F435" s="182"/>
      <c r="G435" s="182"/>
      <c r="H435" s="182"/>
      <c r="I435" s="182"/>
      <c r="J435" s="182"/>
      <c r="K435" s="182"/>
      <c r="L435" s="182"/>
      <c r="M435" s="179"/>
      <c r="N435" s="179"/>
      <c r="O435" s="179"/>
      <c r="P435" s="182"/>
      <c r="Q435" s="182"/>
      <c r="R435" s="182"/>
      <c r="S435" s="182"/>
      <c r="T435" s="182"/>
      <c r="U435" s="182"/>
      <c r="V435" s="182"/>
      <c r="W435" s="182"/>
      <c r="X435" s="182"/>
      <c r="Y435" s="182"/>
      <c r="Z435" s="182"/>
      <c r="AA435" s="182"/>
    </row>
    <row r="436" spans="1:27" ht="14.4">
      <c r="A436" s="182"/>
      <c r="B436" s="182"/>
      <c r="C436" s="182"/>
      <c r="D436" s="182"/>
      <c r="E436" s="182"/>
      <c r="F436" s="182"/>
      <c r="G436" s="182"/>
      <c r="H436" s="182"/>
      <c r="I436" s="182"/>
      <c r="J436" s="182"/>
      <c r="K436" s="182"/>
      <c r="L436" s="182"/>
      <c r="M436" s="179"/>
      <c r="N436" s="179"/>
      <c r="O436" s="179"/>
      <c r="P436" s="182"/>
      <c r="Q436" s="182"/>
      <c r="R436" s="182"/>
      <c r="S436" s="182"/>
      <c r="T436" s="182"/>
      <c r="U436" s="182"/>
      <c r="V436" s="182"/>
      <c r="W436" s="182"/>
      <c r="X436" s="182"/>
      <c r="Y436" s="182"/>
      <c r="Z436" s="182"/>
      <c r="AA436" s="182"/>
    </row>
    <row r="437" spans="1:27" ht="14.4">
      <c r="A437" s="182"/>
      <c r="B437" s="182"/>
      <c r="C437" s="182"/>
      <c r="D437" s="182"/>
      <c r="E437" s="182"/>
      <c r="F437" s="182"/>
      <c r="G437" s="182"/>
      <c r="H437" s="182"/>
      <c r="I437" s="182"/>
      <c r="J437" s="182"/>
      <c r="K437" s="182"/>
      <c r="L437" s="182"/>
      <c r="M437" s="179"/>
      <c r="N437" s="179"/>
      <c r="O437" s="179"/>
      <c r="P437" s="182"/>
      <c r="Q437" s="182"/>
      <c r="R437" s="182"/>
      <c r="S437" s="182"/>
      <c r="T437" s="182"/>
      <c r="U437" s="182"/>
      <c r="V437" s="182"/>
      <c r="W437" s="182"/>
      <c r="X437" s="182"/>
      <c r="Y437" s="182"/>
      <c r="Z437" s="182"/>
      <c r="AA437" s="182"/>
    </row>
    <row r="438" spans="1:27" ht="14.4">
      <c r="A438" s="182"/>
      <c r="B438" s="182"/>
      <c r="C438" s="182"/>
      <c r="D438" s="182"/>
      <c r="E438" s="182"/>
      <c r="F438" s="182"/>
      <c r="G438" s="182"/>
      <c r="H438" s="182"/>
      <c r="I438" s="182"/>
      <c r="J438" s="182"/>
      <c r="K438" s="182"/>
      <c r="L438" s="182"/>
      <c r="M438" s="179"/>
      <c r="N438" s="179"/>
      <c r="O438" s="179"/>
      <c r="P438" s="182"/>
      <c r="Q438" s="182"/>
      <c r="R438" s="182"/>
      <c r="S438" s="182"/>
      <c r="T438" s="182"/>
      <c r="U438" s="182"/>
      <c r="V438" s="182"/>
      <c r="W438" s="182"/>
      <c r="X438" s="182"/>
      <c r="Y438" s="182"/>
      <c r="Z438" s="182"/>
      <c r="AA438" s="182"/>
    </row>
    <row r="439" spans="1:27" ht="14.4">
      <c r="A439" s="182"/>
      <c r="B439" s="182"/>
      <c r="C439" s="182"/>
      <c r="D439" s="182"/>
      <c r="E439" s="182"/>
      <c r="F439" s="182"/>
      <c r="G439" s="182"/>
      <c r="H439" s="182"/>
      <c r="I439" s="182"/>
      <c r="J439" s="182"/>
      <c r="K439" s="182"/>
      <c r="L439" s="182"/>
      <c r="M439" s="179"/>
      <c r="N439" s="179"/>
      <c r="O439" s="179"/>
      <c r="P439" s="182"/>
      <c r="Q439" s="182"/>
      <c r="R439" s="182"/>
      <c r="S439" s="182"/>
      <c r="T439" s="182"/>
      <c r="U439" s="182"/>
      <c r="V439" s="182"/>
      <c r="W439" s="182"/>
      <c r="X439" s="182"/>
      <c r="Y439" s="182"/>
      <c r="Z439" s="182"/>
      <c r="AA439" s="182"/>
    </row>
    <row r="440" spans="1:27" ht="14.4">
      <c r="A440" s="182"/>
      <c r="B440" s="182"/>
      <c r="C440" s="182"/>
      <c r="D440" s="182"/>
      <c r="E440" s="182"/>
      <c r="F440" s="182"/>
      <c r="G440" s="182"/>
      <c r="H440" s="182"/>
      <c r="I440" s="182"/>
      <c r="J440" s="182"/>
      <c r="K440" s="182"/>
      <c r="L440" s="182"/>
      <c r="M440" s="179"/>
      <c r="N440" s="179"/>
      <c r="O440" s="179"/>
      <c r="P440" s="182"/>
      <c r="Q440" s="182"/>
      <c r="R440" s="182"/>
      <c r="S440" s="182"/>
      <c r="T440" s="182"/>
      <c r="U440" s="182"/>
      <c r="V440" s="182"/>
      <c r="W440" s="182"/>
      <c r="X440" s="182"/>
      <c r="Y440" s="182"/>
      <c r="Z440" s="182"/>
      <c r="AA440" s="182"/>
    </row>
    <row r="441" spans="1:27" ht="14.4">
      <c r="A441" s="182"/>
      <c r="B441" s="182"/>
      <c r="C441" s="182"/>
      <c r="D441" s="182"/>
      <c r="E441" s="182"/>
      <c r="F441" s="182"/>
      <c r="G441" s="182"/>
      <c r="H441" s="182"/>
      <c r="I441" s="182"/>
      <c r="J441" s="182"/>
      <c r="K441" s="182"/>
      <c r="L441" s="182"/>
      <c r="M441" s="179"/>
      <c r="N441" s="179"/>
      <c r="O441" s="179"/>
      <c r="P441" s="182"/>
      <c r="Q441" s="182"/>
      <c r="R441" s="182"/>
      <c r="S441" s="182"/>
      <c r="T441" s="182"/>
      <c r="U441" s="182"/>
      <c r="V441" s="182"/>
      <c r="W441" s="182"/>
      <c r="X441" s="182"/>
      <c r="Y441" s="182"/>
      <c r="Z441" s="182"/>
      <c r="AA441" s="182"/>
    </row>
    <row r="442" spans="1:27" ht="14.4">
      <c r="A442" s="182"/>
      <c r="B442" s="182"/>
      <c r="C442" s="182"/>
      <c r="D442" s="182"/>
      <c r="E442" s="182"/>
      <c r="F442" s="182"/>
      <c r="G442" s="182"/>
      <c r="H442" s="182"/>
      <c r="I442" s="182"/>
      <c r="J442" s="182"/>
      <c r="K442" s="182"/>
      <c r="L442" s="182"/>
      <c r="M442" s="179"/>
      <c r="N442" s="179"/>
      <c r="O442" s="179"/>
      <c r="P442" s="182"/>
      <c r="Q442" s="182"/>
      <c r="R442" s="182"/>
      <c r="S442" s="182"/>
      <c r="T442" s="182"/>
      <c r="U442" s="182"/>
      <c r="V442" s="182"/>
      <c r="W442" s="182"/>
      <c r="X442" s="182"/>
      <c r="Y442" s="182"/>
      <c r="Z442" s="182"/>
      <c r="AA442" s="182"/>
    </row>
    <row r="443" spans="1:27" ht="14.4">
      <c r="A443" s="182"/>
      <c r="B443" s="182"/>
      <c r="C443" s="182"/>
      <c r="D443" s="182"/>
      <c r="E443" s="182"/>
      <c r="F443" s="182"/>
      <c r="G443" s="182"/>
      <c r="H443" s="182"/>
      <c r="I443" s="182"/>
      <c r="J443" s="182"/>
      <c r="K443" s="182"/>
      <c r="L443" s="182"/>
      <c r="M443" s="179"/>
      <c r="N443" s="179"/>
      <c r="O443" s="179"/>
      <c r="P443" s="182"/>
      <c r="Q443" s="182"/>
      <c r="R443" s="182"/>
      <c r="S443" s="182"/>
      <c r="T443" s="182"/>
      <c r="U443" s="182"/>
      <c r="V443" s="182"/>
      <c r="W443" s="182"/>
      <c r="X443" s="182"/>
      <c r="Y443" s="182"/>
      <c r="Z443" s="182"/>
      <c r="AA443" s="182"/>
    </row>
    <row r="444" spans="1:27" ht="14.4">
      <c r="A444" s="182"/>
      <c r="B444" s="182"/>
      <c r="C444" s="182"/>
      <c r="D444" s="182"/>
      <c r="E444" s="182"/>
      <c r="F444" s="182"/>
      <c r="G444" s="182"/>
      <c r="H444" s="182"/>
      <c r="I444" s="182"/>
      <c r="J444" s="182"/>
      <c r="K444" s="182"/>
      <c r="L444" s="182"/>
      <c r="M444" s="179"/>
      <c r="N444" s="179"/>
      <c r="O444" s="179"/>
      <c r="P444" s="182"/>
      <c r="Q444" s="182"/>
      <c r="R444" s="182"/>
      <c r="S444" s="182"/>
      <c r="T444" s="182"/>
      <c r="U444" s="182"/>
      <c r="V444" s="182"/>
      <c r="W444" s="182"/>
      <c r="X444" s="182"/>
      <c r="Y444" s="182"/>
      <c r="Z444" s="182"/>
      <c r="AA444" s="182"/>
    </row>
    <row r="445" spans="1:27" ht="14.4">
      <c r="A445" s="182"/>
      <c r="B445" s="182"/>
      <c r="C445" s="182"/>
      <c r="D445" s="182"/>
      <c r="E445" s="182"/>
      <c r="F445" s="182"/>
      <c r="G445" s="182"/>
      <c r="H445" s="182"/>
      <c r="I445" s="182"/>
      <c r="J445" s="182"/>
      <c r="K445" s="182"/>
      <c r="L445" s="182"/>
      <c r="M445" s="179"/>
      <c r="N445" s="179"/>
      <c r="O445" s="179"/>
      <c r="P445" s="182"/>
      <c r="Q445" s="182"/>
      <c r="R445" s="182"/>
      <c r="S445" s="182"/>
      <c r="T445" s="182"/>
      <c r="U445" s="182"/>
      <c r="V445" s="182"/>
      <c r="W445" s="182"/>
      <c r="X445" s="182"/>
      <c r="Y445" s="182"/>
      <c r="Z445" s="182"/>
      <c r="AA445" s="182"/>
    </row>
    <row r="446" spans="1:27" ht="14.4">
      <c r="A446" s="182"/>
      <c r="B446" s="182"/>
      <c r="C446" s="182"/>
      <c r="D446" s="182"/>
      <c r="E446" s="182"/>
      <c r="F446" s="182"/>
      <c r="G446" s="182"/>
      <c r="H446" s="182"/>
      <c r="I446" s="182"/>
      <c r="J446" s="182"/>
      <c r="K446" s="182"/>
      <c r="L446" s="182"/>
      <c r="M446" s="179"/>
      <c r="N446" s="179"/>
      <c r="O446" s="179"/>
      <c r="P446" s="182"/>
      <c r="Q446" s="182"/>
      <c r="R446" s="182"/>
      <c r="S446" s="182"/>
      <c r="T446" s="182"/>
      <c r="U446" s="182"/>
      <c r="V446" s="182"/>
      <c r="W446" s="182"/>
      <c r="X446" s="182"/>
      <c r="Y446" s="182"/>
      <c r="Z446" s="182"/>
      <c r="AA446" s="182"/>
    </row>
    <row r="447" spans="1:27" ht="14.4">
      <c r="A447" s="182"/>
      <c r="B447" s="182"/>
      <c r="C447" s="182"/>
      <c r="D447" s="182"/>
      <c r="E447" s="182"/>
      <c r="F447" s="182"/>
      <c r="G447" s="182"/>
      <c r="H447" s="182"/>
      <c r="I447" s="182"/>
      <c r="J447" s="182"/>
      <c r="K447" s="182"/>
      <c r="L447" s="182"/>
      <c r="M447" s="179"/>
      <c r="N447" s="179"/>
      <c r="O447" s="179"/>
      <c r="P447" s="182"/>
      <c r="Q447" s="182"/>
      <c r="R447" s="182"/>
      <c r="S447" s="182"/>
      <c r="T447" s="182"/>
      <c r="U447" s="182"/>
      <c r="V447" s="182"/>
      <c r="W447" s="182"/>
      <c r="X447" s="182"/>
      <c r="Y447" s="182"/>
      <c r="Z447" s="182"/>
      <c r="AA447" s="182"/>
    </row>
    <row r="448" spans="1:27" ht="14.4">
      <c r="A448" s="182"/>
      <c r="B448" s="182"/>
      <c r="C448" s="182"/>
      <c r="D448" s="182"/>
      <c r="E448" s="182"/>
      <c r="F448" s="182"/>
      <c r="G448" s="182"/>
      <c r="H448" s="182"/>
      <c r="I448" s="182"/>
      <c r="J448" s="182"/>
      <c r="K448" s="182"/>
      <c r="L448" s="182"/>
      <c r="M448" s="179"/>
      <c r="N448" s="179"/>
      <c r="O448" s="179"/>
      <c r="P448" s="182"/>
      <c r="Q448" s="182"/>
      <c r="R448" s="182"/>
      <c r="S448" s="182"/>
      <c r="T448" s="182"/>
      <c r="U448" s="182"/>
      <c r="V448" s="182"/>
      <c r="W448" s="182"/>
      <c r="X448" s="182"/>
      <c r="Y448" s="182"/>
      <c r="Z448" s="182"/>
      <c r="AA448" s="182"/>
    </row>
    <row r="449" spans="1:27" ht="14.4">
      <c r="A449" s="182"/>
      <c r="B449" s="182"/>
      <c r="C449" s="182"/>
      <c r="D449" s="182"/>
      <c r="E449" s="182"/>
      <c r="F449" s="182"/>
      <c r="G449" s="182"/>
      <c r="H449" s="182"/>
      <c r="I449" s="182"/>
      <c r="J449" s="182"/>
      <c r="K449" s="182"/>
      <c r="L449" s="182"/>
      <c r="M449" s="179"/>
      <c r="N449" s="179"/>
      <c r="O449" s="179"/>
      <c r="P449" s="182"/>
      <c r="Q449" s="182"/>
      <c r="R449" s="182"/>
      <c r="S449" s="182"/>
      <c r="T449" s="182"/>
      <c r="U449" s="182"/>
      <c r="V449" s="182"/>
      <c r="W449" s="182"/>
      <c r="X449" s="182"/>
      <c r="Y449" s="182"/>
      <c r="Z449" s="182"/>
      <c r="AA449" s="182"/>
    </row>
    <row r="450" spans="1:27" ht="14.4">
      <c r="A450" s="182"/>
      <c r="B450" s="182"/>
      <c r="C450" s="182"/>
      <c r="D450" s="182"/>
      <c r="E450" s="182"/>
      <c r="F450" s="182"/>
      <c r="G450" s="182"/>
      <c r="H450" s="182"/>
      <c r="I450" s="182"/>
      <c r="J450" s="182"/>
      <c r="K450" s="182"/>
      <c r="L450" s="182"/>
      <c r="M450" s="179"/>
      <c r="N450" s="179"/>
      <c r="O450" s="179"/>
      <c r="P450" s="182"/>
      <c r="Q450" s="182"/>
      <c r="R450" s="182"/>
      <c r="S450" s="182"/>
      <c r="T450" s="182"/>
      <c r="U450" s="182"/>
      <c r="V450" s="182"/>
      <c r="W450" s="182"/>
      <c r="X450" s="182"/>
      <c r="Y450" s="182"/>
      <c r="Z450" s="182"/>
      <c r="AA450" s="182"/>
    </row>
    <row r="451" spans="1:27" ht="14.4">
      <c r="A451" s="182"/>
      <c r="B451" s="182"/>
      <c r="C451" s="182"/>
      <c r="D451" s="182"/>
      <c r="E451" s="182"/>
      <c r="F451" s="182"/>
      <c r="G451" s="182"/>
      <c r="H451" s="182"/>
      <c r="I451" s="182"/>
      <c r="J451" s="182"/>
      <c r="K451" s="182"/>
      <c r="L451" s="182"/>
      <c r="M451" s="179"/>
      <c r="N451" s="179"/>
      <c r="O451" s="179"/>
      <c r="P451" s="182"/>
      <c r="Q451" s="182"/>
      <c r="R451" s="182"/>
      <c r="S451" s="182"/>
      <c r="T451" s="182"/>
      <c r="U451" s="182"/>
      <c r="V451" s="182"/>
      <c r="W451" s="182"/>
      <c r="X451" s="182"/>
      <c r="Y451" s="182"/>
      <c r="Z451" s="182"/>
      <c r="AA451" s="182"/>
    </row>
    <row r="452" spans="1:27" ht="14.4">
      <c r="A452" s="182"/>
      <c r="B452" s="182"/>
      <c r="C452" s="182"/>
      <c r="D452" s="182"/>
      <c r="E452" s="182"/>
      <c r="F452" s="182"/>
      <c r="G452" s="182"/>
      <c r="H452" s="182"/>
      <c r="I452" s="182"/>
      <c r="J452" s="182"/>
      <c r="K452" s="182"/>
      <c r="L452" s="182"/>
      <c r="M452" s="179"/>
      <c r="N452" s="179"/>
      <c r="O452" s="179"/>
      <c r="P452" s="182"/>
      <c r="Q452" s="182"/>
      <c r="R452" s="182"/>
      <c r="S452" s="182"/>
      <c r="T452" s="182"/>
      <c r="U452" s="182"/>
      <c r="V452" s="182"/>
      <c r="W452" s="182"/>
      <c r="X452" s="182"/>
      <c r="Y452" s="182"/>
      <c r="Z452" s="182"/>
      <c r="AA452" s="182"/>
    </row>
    <row r="453" spans="1:27" ht="14.4">
      <c r="A453" s="182"/>
      <c r="B453" s="182"/>
      <c r="C453" s="182"/>
      <c r="D453" s="182"/>
      <c r="E453" s="182"/>
      <c r="F453" s="182"/>
      <c r="G453" s="182"/>
      <c r="H453" s="182"/>
      <c r="I453" s="182"/>
      <c r="J453" s="182"/>
      <c r="K453" s="182"/>
      <c r="L453" s="182"/>
      <c r="M453" s="179"/>
      <c r="N453" s="179"/>
      <c r="O453" s="179"/>
      <c r="P453" s="182"/>
      <c r="Q453" s="182"/>
      <c r="R453" s="182"/>
      <c r="S453" s="182"/>
      <c r="T453" s="182"/>
      <c r="U453" s="182"/>
      <c r="V453" s="182"/>
      <c r="W453" s="182"/>
      <c r="X453" s="182"/>
      <c r="Y453" s="182"/>
      <c r="Z453" s="182"/>
      <c r="AA453" s="182"/>
    </row>
    <row r="454" spans="1:27" ht="14.4">
      <c r="A454" s="182"/>
      <c r="B454" s="182"/>
      <c r="C454" s="182"/>
      <c r="D454" s="182"/>
      <c r="E454" s="182"/>
      <c r="F454" s="182"/>
      <c r="G454" s="182"/>
      <c r="H454" s="182"/>
      <c r="I454" s="182"/>
      <c r="J454" s="182"/>
      <c r="K454" s="182"/>
      <c r="L454" s="182"/>
      <c r="M454" s="179"/>
      <c r="N454" s="179"/>
      <c r="O454" s="179"/>
      <c r="P454" s="182"/>
      <c r="Q454" s="182"/>
      <c r="R454" s="182"/>
      <c r="S454" s="182"/>
      <c r="T454" s="182"/>
      <c r="U454" s="182"/>
      <c r="V454" s="182"/>
      <c r="W454" s="182"/>
      <c r="X454" s="182"/>
      <c r="Y454" s="182"/>
      <c r="Z454" s="182"/>
      <c r="AA454" s="182"/>
    </row>
    <row r="455" spans="1:27" ht="14.4">
      <c r="A455" s="182"/>
      <c r="B455" s="182"/>
      <c r="C455" s="182"/>
      <c r="D455" s="182"/>
      <c r="E455" s="182"/>
      <c r="F455" s="182"/>
      <c r="G455" s="182"/>
      <c r="H455" s="182"/>
      <c r="I455" s="182"/>
      <c r="J455" s="182"/>
      <c r="K455" s="182"/>
      <c r="L455" s="182"/>
      <c r="M455" s="179"/>
      <c r="N455" s="179"/>
      <c r="O455" s="179"/>
      <c r="P455" s="182"/>
      <c r="Q455" s="182"/>
      <c r="R455" s="182"/>
      <c r="S455" s="182"/>
      <c r="T455" s="182"/>
      <c r="U455" s="182"/>
      <c r="V455" s="182"/>
      <c r="W455" s="182"/>
      <c r="X455" s="182"/>
      <c r="Y455" s="182"/>
      <c r="Z455" s="182"/>
      <c r="AA455" s="182"/>
    </row>
    <row r="456" spans="1:27" ht="14.4">
      <c r="A456" s="182"/>
      <c r="B456" s="182"/>
      <c r="C456" s="182"/>
      <c r="D456" s="182"/>
      <c r="E456" s="182"/>
      <c r="F456" s="182"/>
      <c r="G456" s="182"/>
      <c r="H456" s="182"/>
      <c r="I456" s="182"/>
      <c r="J456" s="182"/>
      <c r="K456" s="182"/>
      <c r="L456" s="182"/>
      <c r="M456" s="179"/>
      <c r="N456" s="179"/>
      <c r="O456" s="179"/>
      <c r="P456" s="182"/>
      <c r="Q456" s="182"/>
      <c r="R456" s="182"/>
      <c r="S456" s="182"/>
      <c r="T456" s="182"/>
      <c r="U456" s="182"/>
      <c r="V456" s="182"/>
      <c r="W456" s="182"/>
      <c r="X456" s="182"/>
      <c r="Y456" s="182"/>
      <c r="Z456" s="182"/>
      <c r="AA456" s="182"/>
    </row>
    <row r="457" spans="1:27" ht="14.4">
      <c r="A457" s="182"/>
      <c r="B457" s="182"/>
      <c r="C457" s="182"/>
      <c r="D457" s="182"/>
      <c r="E457" s="182"/>
      <c r="F457" s="182"/>
      <c r="G457" s="182"/>
      <c r="H457" s="182"/>
      <c r="I457" s="182"/>
      <c r="J457" s="182"/>
      <c r="K457" s="182"/>
      <c r="L457" s="182"/>
      <c r="M457" s="179"/>
      <c r="N457" s="179"/>
      <c r="O457" s="179"/>
      <c r="P457" s="182"/>
      <c r="Q457" s="182"/>
      <c r="R457" s="182"/>
      <c r="S457" s="182"/>
      <c r="T457" s="182"/>
      <c r="U457" s="182"/>
      <c r="V457" s="182"/>
      <c r="W457" s="182"/>
      <c r="X457" s="182"/>
      <c r="Y457" s="182"/>
      <c r="Z457" s="182"/>
      <c r="AA457" s="182"/>
    </row>
    <row r="458" spans="1:27" ht="14.4">
      <c r="A458" s="182"/>
      <c r="B458" s="182"/>
      <c r="C458" s="182"/>
      <c r="D458" s="182"/>
      <c r="E458" s="182"/>
      <c r="F458" s="182"/>
      <c r="G458" s="182"/>
      <c r="H458" s="182"/>
      <c r="I458" s="182"/>
      <c r="J458" s="182"/>
      <c r="K458" s="182"/>
      <c r="L458" s="182"/>
      <c r="M458" s="179"/>
      <c r="N458" s="179"/>
      <c r="O458" s="179"/>
      <c r="P458" s="182"/>
      <c r="Q458" s="182"/>
      <c r="R458" s="182"/>
      <c r="S458" s="182"/>
      <c r="T458" s="182"/>
      <c r="U458" s="182"/>
      <c r="V458" s="182"/>
      <c r="W458" s="182"/>
      <c r="X458" s="182"/>
      <c r="Y458" s="182"/>
      <c r="Z458" s="182"/>
      <c r="AA458" s="182"/>
    </row>
    <row r="459" spans="1:27" ht="14.4">
      <c r="A459" s="182"/>
      <c r="B459" s="182"/>
      <c r="C459" s="182"/>
      <c r="D459" s="182"/>
      <c r="E459" s="182"/>
      <c r="F459" s="182"/>
      <c r="G459" s="182"/>
      <c r="H459" s="182"/>
      <c r="I459" s="182"/>
      <c r="J459" s="182"/>
      <c r="K459" s="182"/>
      <c r="L459" s="182"/>
      <c r="M459" s="179"/>
      <c r="N459" s="179"/>
      <c r="O459" s="179"/>
      <c r="P459" s="182"/>
      <c r="Q459" s="182"/>
      <c r="R459" s="182"/>
      <c r="S459" s="182"/>
      <c r="T459" s="182"/>
      <c r="U459" s="182"/>
      <c r="V459" s="182"/>
      <c r="W459" s="182"/>
      <c r="X459" s="182"/>
      <c r="Y459" s="182"/>
      <c r="Z459" s="182"/>
      <c r="AA459" s="182"/>
    </row>
    <row r="460" spans="1:27" ht="14.4">
      <c r="A460" s="182"/>
      <c r="B460" s="182"/>
      <c r="C460" s="182"/>
      <c r="D460" s="182"/>
      <c r="E460" s="182"/>
      <c r="F460" s="182"/>
      <c r="G460" s="182"/>
      <c r="H460" s="182"/>
      <c r="I460" s="182"/>
      <c r="J460" s="182"/>
      <c r="K460" s="182"/>
      <c r="L460" s="182"/>
      <c r="M460" s="179"/>
      <c r="N460" s="179"/>
      <c r="O460" s="179"/>
      <c r="P460" s="182"/>
      <c r="Q460" s="182"/>
      <c r="R460" s="182"/>
      <c r="S460" s="182"/>
      <c r="T460" s="182"/>
      <c r="U460" s="182"/>
      <c r="V460" s="182"/>
      <c r="W460" s="182"/>
      <c r="X460" s="182"/>
      <c r="Y460" s="182"/>
      <c r="Z460" s="182"/>
      <c r="AA460" s="182"/>
    </row>
    <row r="461" spans="1:27" ht="14.4">
      <c r="A461" s="182"/>
      <c r="B461" s="182"/>
      <c r="C461" s="182"/>
      <c r="D461" s="182"/>
      <c r="E461" s="182"/>
      <c r="F461" s="182"/>
      <c r="G461" s="182"/>
      <c r="H461" s="182"/>
      <c r="I461" s="182"/>
      <c r="J461" s="182"/>
      <c r="K461" s="182"/>
      <c r="L461" s="182"/>
      <c r="M461" s="179"/>
      <c r="N461" s="179"/>
      <c r="O461" s="179"/>
      <c r="P461" s="182"/>
      <c r="Q461" s="182"/>
      <c r="R461" s="182"/>
      <c r="S461" s="182"/>
      <c r="T461" s="182"/>
      <c r="U461" s="182"/>
      <c r="V461" s="182"/>
      <c r="W461" s="182"/>
      <c r="X461" s="182"/>
      <c r="Y461" s="182"/>
      <c r="Z461" s="182"/>
      <c r="AA461" s="182"/>
    </row>
    <row r="462" spans="1:27" ht="14.4">
      <c r="A462" s="182"/>
      <c r="B462" s="182"/>
      <c r="C462" s="182"/>
      <c r="D462" s="182"/>
      <c r="E462" s="182"/>
      <c r="F462" s="182"/>
      <c r="G462" s="182"/>
      <c r="H462" s="182"/>
      <c r="I462" s="182"/>
      <c r="J462" s="182"/>
      <c r="K462" s="182"/>
      <c r="L462" s="182"/>
      <c r="M462" s="179"/>
      <c r="N462" s="179"/>
      <c r="O462" s="179"/>
      <c r="P462" s="182"/>
      <c r="Q462" s="182"/>
      <c r="R462" s="182"/>
      <c r="S462" s="182"/>
      <c r="T462" s="182"/>
      <c r="U462" s="182"/>
      <c r="V462" s="182"/>
      <c r="W462" s="182"/>
      <c r="X462" s="182"/>
      <c r="Y462" s="182"/>
      <c r="Z462" s="182"/>
      <c r="AA462" s="182"/>
    </row>
    <row r="463" spans="1:27" ht="14.4">
      <c r="A463" s="182"/>
      <c r="B463" s="182"/>
      <c r="C463" s="182"/>
      <c r="D463" s="182"/>
      <c r="E463" s="182"/>
      <c r="F463" s="182"/>
      <c r="G463" s="182"/>
      <c r="H463" s="182"/>
      <c r="I463" s="182"/>
      <c r="J463" s="182"/>
      <c r="K463" s="182"/>
      <c r="L463" s="182"/>
      <c r="M463" s="179"/>
      <c r="N463" s="179"/>
      <c r="O463" s="179"/>
      <c r="P463" s="182"/>
      <c r="Q463" s="182"/>
      <c r="R463" s="182"/>
      <c r="S463" s="182"/>
      <c r="T463" s="182"/>
      <c r="U463" s="182"/>
      <c r="V463" s="182"/>
      <c r="W463" s="182"/>
      <c r="X463" s="182"/>
      <c r="Y463" s="182"/>
      <c r="Z463" s="182"/>
      <c r="AA463" s="182"/>
    </row>
    <row r="464" spans="1:27" ht="14.4">
      <c r="A464" s="182"/>
      <c r="B464" s="182"/>
      <c r="C464" s="182"/>
      <c r="D464" s="182"/>
      <c r="E464" s="182"/>
      <c r="F464" s="182"/>
      <c r="G464" s="182"/>
      <c r="H464" s="182"/>
      <c r="I464" s="182"/>
      <c r="J464" s="182"/>
      <c r="K464" s="182"/>
      <c r="L464" s="182"/>
      <c r="M464" s="179"/>
      <c r="N464" s="179"/>
      <c r="O464" s="179"/>
      <c r="P464" s="182"/>
      <c r="Q464" s="182"/>
      <c r="R464" s="182"/>
      <c r="S464" s="182"/>
      <c r="T464" s="182"/>
      <c r="U464" s="182"/>
      <c r="V464" s="182"/>
      <c r="W464" s="182"/>
      <c r="X464" s="182"/>
      <c r="Y464" s="182"/>
      <c r="Z464" s="182"/>
      <c r="AA464" s="182"/>
    </row>
    <row r="465" spans="1:27" ht="14.4">
      <c r="A465" s="182"/>
      <c r="B465" s="182"/>
      <c r="C465" s="182"/>
      <c r="D465" s="182"/>
      <c r="E465" s="182"/>
      <c r="F465" s="182"/>
      <c r="G465" s="182"/>
      <c r="H465" s="182"/>
      <c r="I465" s="182"/>
      <c r="J465" s="182"/>
      <c r="K465" s="182"/>
      <c r="L465" s="182"/>
      <c r="M465" s="179"/>
      <c r="N465" s="179"/>
      <c r="O465" s="179"/>
      <c r="P465" s="182"/>
      <c r="Q465" s="182"/>
      <c r="R465" s="182"/>
      <c r="S465" s="182"/>
      <c r="T465" s="182"/>
      <c r="U465" s="182"/>
      <c r="V465" s="182"/>
      <c r="W465" s="182"/>
      <c r="X465" s="182"/>
      <c r="Y465" s="182"/>
      <c r="Z465" s="182"/>
      <c r="AA465" s="182"/>
    </row>
    <row r="466" spans="1:27" ht="14.4">
      <c r="A466" s="182"/>
      <c r="B466" s="182"/>
      <c r="C466" s="182"/>
      <c r="D466" s="182"/>
      <c r="E466" s="182"/>
      <c r="F466" s="182"/>
      <c r="G466" s="182"/>
      <c r="H466" s="182"/>
      <c r="I466" s="182"/>
      <c r="J466" s="182"/>
      <c r="K466" s="182"/>
      <c r="L466" s="182"/>
      <c r="M466" s="179"/>
      <c r="N466" s="179"/>
      <c r="O466" s="179"/>
      <c r="P466" s="182"/>
      <c r="Q466" s="182"/>
      <c r="R466" s="182"/>
      <c r="S466" s="182"/>
      <c r="T466" s="182"/>
      <c r="U466" s="182"/>
      <c r="V466" s="182"/>
      <c r="W466" s="182"/>
      <c r="X466" s="182"/>
      <c r="Y466" s="182"/>
      <c r="Z466" s="182"/>
      <c r="AA466" s="182"/>
    </row>
    <row r="467" spans="1:27" ht="14.4">
      <c r="A467" s="182"/>
      <c r="B467" s="182"/>
      <c r="C467" s="182"/>
      <c r="D467" s="182"/>
      <c r="E467" s="182"/>
      <c r="F467" s="182"/>
      <c r="G467" s="182"/>
      <c r="H467" s="182"/>
      <c r="I467" s="182"/>
      <c r="J467" s="182"/>
      <c r="K467" s="182"/>
      <c r="L467" s="182"/>
      <c r="M467" s="179"/>
      <c r="N467" s="179"/>
      <c r="O467" s="179"/>
      <c r="P467" s="182"/>
      <c r="Q467" s="182"/>
      <c r="R467" s="182"/>
      <c r="S467" s="182"/>
      <c r="T467" s="182"/>
      <c r="U467" s="182"/>
      <c r="V467" s="182"/>
      <c r="W467" s="182"/>
      <c r="X467" s="182"/>
      <c r="Y467" s="182"/>
      <c r="Z467" s="182"/>
      <c r="AA467" s="182"/>
    </row>
    <row r="468" spans="1:27" ht="14.4">
      <c r="A468" s="182"/>
      <c r="B468" s="182"/>
      <c r="C468" s="182"/>
      <c r="D468" s="182"/>
      <c r="E468" s="182"/>
      <c r="F468" s="182"/>
      <c r="G468" s="182"/>
      <c r="H468" s="182"/>
      <c r="I468" s="182"/>
      <c r="J468" s="182"/>
      <c r="K468" s="182"/>
      <c r="L468" s="182"/>
      <c r="M468" s="179"/>
      <c r="N468" s="179"/>
      <c r="O468" s="179"/>
      <c r="P468" s="182"/>
      <c r="Q468" s="182"/>
      <c r="R468" s="182"/>
      <c r="S468" s="182"/>
      <c r="T468" s="182"/>
      <c r="U468" s="182"/>
      <c r="V468" s="182"/>
      <c r="W468" s="182"/>
      <c r="X468" s="182"/>
      <c r="Y468" s="182"/>
      <c r="Z468" s="182"/>
      <c r="AA468" s="182"/>
    </row>
    <row r="469" spans="1:27" ht="14.4">
      <c r="A469" s="182"/>
      <c r="B469" s="182"/>
      <c r="C469" s="182"/>
      <c r="D469" s="182"/>
      <c r="E469" s="182"/>
      <c r="F469" s="182"/>
      <c r="G469" s="182"/>
      <c r="H469" s="182"/>
      <c r="I469" s="182"/>
      <c r="J469" s="182"/>
      <c r="K469" s="182"/>
      <c r="L469" s="182"/>
      <c r="M469" s="179"/>
      <c r="N469" s="179"/>
      <c r="O469" s="179"/>
      <c r="P469" s="182"/>
      <c r="Q469" s="182"/>
      <c r="R469" s="182"/>
      <c r="S469" s="182"/>
      <c r="T469" s="182"/>
      <c r="U469" s="182"/>
      <c r="V469" s="182"/>
      <c r="W469" s="182"/>
      <c r="X469" s="182"/>
      <c r="Y469" s="182"/>
      <c r="Z469" s="182"/>
      <c r="AA469" s="182"/>
    </row>
    <row r="470" spans="1:27" ht="14.4">
      <c r="A470" s="182"/>
      <c r="B470" s="182"/>
      <c r="C470" s="182"/>
      <c r="D470" s="182"/>
      <c r="E470" s="182"/>
      <c r="F470" s="182"/>
      <c r="G470" s="182"/>
      <c r="H470" s="182"/>
      <c r="I470" s="182"/>
      <c r="J470" s="182"/>
      <c r="K470" s="182"/>
      <c r="L470" s="182"/>
      <c r="M470" s="179"/>
      <c r="N470" s="179"/>
      <c r="O470" s="179"/>
      <c r="P470" s="182"/>
      <c r="Q470" s="182"/>
      <c r="R470" s="182"/>
      <c r="S470" s="182"/>
      <c r="T470" s="182"/>
      <c r="U470" s="182"/>
      <c r="V470" s="182"/>
      <c r="W470" s="182"/>
      <c r="X470" s="182"/>
      <c r="Y470" s="182"/>
      <c r="Z470" s="182"/>
      <c r="AA470" s="182"/>
    </row>
    <row r="471" spans="1:27" ht="14.4">
      <c r="A471" s="182"/>
      <c r="B471" s="182"/>
      <c r="C471" s="182"/>
      <c r="D471" s="182"/>
      <c r="E471" s="182"/>
      <c r="F471" s="182"/>
      <c r="G471" s="182"/>
      <c r="H471" s="182"/>
      <c r="I471" s="182"/>
      <c r="J471" s="182"/>
      <c r="K471" s="182"/>
      <c r="L471" s="182"/>
      <c r="M471" s="179"/>
      <c r="N471" s="179"/>
      <c r="O471" s="179"/>
      <c r="P471" s="182"/>
      <c r="Q471" s="182"/>
      <c r="R471" s="182"/>
      <c r="S471" s="182"/>
      <c r="T471" s="182"/>
      <c r="U471" s="182"/>
      <c r="V471" s="182"/>
      <c r="W471" s="182"/>
      <c r="X471" s="182"/>
      <c r="Y471" s="182"/>
      <c r="Z471" s="182"/>
      <c r="AA471" s="182"/>
    </row>
    <row r="472" spans="1:27" ht="14.4">
      <c r="A472" s="182"/>
      <c r="B472" s="182"/>
      <c r="C472" s="182"/>
      <c r="D472" s="182"/>
      <c r="E472" s="182"/>
      <c r="F472" s="182"/>
      <c r="G472" s="182"/>
      <c r="H472" s="182"/>
      <c r="I472" s="182"/>
      <c r="J472" s="182"/>
      <c r="K472" s="182"/>
      <c r="L472" s="182"/>
      <c r="M472" s="179"/>
      <c r="N472" s="179"/>
      <c r="O472" s="179"/>
      <c r="P472" s="182"/>
      <c r="Q472" s="182"/>
      <c r="R472" s="182"/>
      <c r="S472" s="182"/>
      <c r="T472" s="182"/>
      <c r="U472" s="182"/>
      <c r="V472" s="182"/>
      <c r="W472" s="182"/>
      <c r="X472" s="182"/>
      <c r="Y472" s="182"/>
      <c r="Z472" s="182"/>
      <c r="AA472" s="182"/>
    </row>
    <row r="473" spans="1:27" ht="14.4">
      <c r="A473" s="182"/>
      <c r="B473" s="182"/>
      <c r="C473" s="182"/>
      <c r="D473" s="182"/>
      <c r="E473" s="182"/>
      <c r="F473" s="182"/>
      <c r="G473" s="182"/>
      <c r="H473" s="182"/>
      <c r="I473" s="182"/>
      <c r="J473" s="182"/>
      <c r="K473" s="182"/>
      <c r="L473" s="182"/>
      <c r="M473" s="179"/>
      <c r="N473" s="179"/>
      <c r="O473" s="179"/>
      <c r="P473" s="182"/>
      <c r="Q473" s="182"/>
      <c r="R473" s="182"/>
      <c r="S473" s="182"/>
      <c r="T473" s="182"/>
      <c r="U473" s="182"/>
      <c r="V473" s="182"/>
      <c r="W473" s="182"/>
      <c r="X473" s="182"/>
      <c r="Y473" s="182"/>
      <c r="Z473" s="182"/>
      <c r="AA473" s="182"/>
    </row>
    <row r="474" spans="1:27" ht="14.4">
      <c r="A474" s="182"/>
      <c r="B474" s="182"/>
      <c r="C474" s="182"/>
      <c r="D474" s="182"/>
      <c r="E474" s="182"/>
      <c r="F474" s="182"/>
      <c r="G474" s="182"/>
      <c r="H474" s="182"/>
      <c r="I474" s="182"/>
      <c r="J474" s="182"/>
      <c r="K474" s="182"/>
      <c r="L474" s="182"/>
      <c r="M474" s="179"/>
      <c r="N474" s="179"/>
      <c r="O474" s="179"/>
      <c r="P474" s="182"/>
      <c r="Q474" s="182"/>
      <c r="R474" s="182"/>
      <c r="S474" s="182"/>
      <c r="T474" s="182"/>
      <c r="U474" s="182"/>
      <c r="V474" s="182"/>
      <c r="W474" s="182"/>
      <c r="X474" s="182"/>
      <c r="Y474" s="182"/>
      <c r="Z474" s="182"/>
      <c r="AA474" s="182"/>
    </row>
    <row r="475" spans="1:27" ht="14.4">
      <c r="A475" s="182"/>
      <c r="B475" s="182"/>
      <c r="C475" s="182"/>
      <c r="D475" s="182"/>
      <c r="E475" s="182"/>
      <c r="F475" s="182"/>
      <c r="G475" s="182"/>
      <c r="H475" s="182"/>
      <c r="I475" s="182"/>
      <c r="J475" s="182"/>
      <c r="K475" s="182"/>
      <c r="L475" s="182"/>
      <c r="M475" s="179"/>
      <c r="N475" s="179"/>
      <c r="O475" s="179"/>
      <c r="P475" s="182"/>
      <c r="Q475" s="182"/>
      <c r="R475" s="182"/>
      <c r="S475" s="182"/>
      <c r="T475" s="182"/>
      <c r="U475" s="182"/>
      <c r="V475" s="182"/>
      <c r="W475" s="182"/>
      <c r="X475" s="182"/>
      <c r="Y475" s="182"/>
      <c r="Z475" s="182"/>
      <c r="AA475" s="182"/>
    </row>
    <row r="476" spans="1:27" ht="14.4">
      <c r="A476" s="182"/>
      <c r="B476" s="182"/>
      <c r="C476" s="182"/>
      <c r="D476" s="182"/>
      <c r="E476" s="182"/>
      <c r="F476" s="182"/>
      <c r="G476" s="182"/>
      <c r="H476" s="182"/>
      <c r="I476" s="182"/>
      <c r="J476" s="182"/>
      <c r="K476" s="182"/>
      <c r="L476" s="182"/>
      <c r="M476" s="179"/>
      <c r="N476" s="179"/>
      <c r="O476" s="179"/>
      <c r="P476" s="182"/>
      <c r="Q476" s="182"/>
      <c r="R476" s="182"/>
      <c r="S476" s="182"/>
      <c r="T476" s="182"/>
      <c r="U476" s="182"/>
      <c r="V476" s="182"/>
      <c r="W476" s="182"/>
      <c r="X476" s="182"/>
      <c r="Y476" s="182"/>
      <c r="Z476" s="182"/>
      <c r="AA476" s="182"/>
    </row>
    <row r="477" spans="1:27" ht="14.4">
      <c r="A477" s="182"/>
      <c r="B477" s="182"/>
      <c r="C477" s="182"/>
      <c r="D477" s="182"/>
      <c r="E477" s="182"/>
      <c r="F477" s="182"/>
      <c r="G477" s="182"/>
      <c r="H477" s="182"/>
      <c r="I477" s="182"/>
      <c r="J477" s="182"/>
      <c r="K477" s="182"/>
      <c r="L477" s="182"/>
      <c r="M477" s="179"/>
      <c r="N477" s="179"/>
      <c r="O477" s="179"/>
      <c r="P477" s="182"/>
      <c r="Q477" s="182"/>
      <c r="R477" s="182"/>
      <c r="S477" s="182"/>
      <c r="T477" s="182"/>
      <c r="U477" s="182"/>
      <c r="V477" s="182"/>
      <c r="W477" s="182"/>
      <c r="X477" s="182"/>
      <c r="Y477" s="182"/>
      <c r="Z477" s="182"/>
      <c r="AA477" s="182"/>
    </row>
    <row r="478" spans="1:27" ht="14.4">
      <c r="A478" s="182"/>
      <c r="B478" s="182"/>
      <c r="C478" s="182"/>
      <c r="D478" s="182"/>
      <c r="E478" s="182"/>
      <c r="F478" s="182"/>
      <c r="G478" s="182"/>
      <c r="H478" s="182"/>
      <c r="I478" s="182"/>
      <c r="J478" s="182"/>
      <c r="K478" s="182"/>
      <c r="L478" s="182"/>
      <c r="M478" s="179"/>
      <c r="N478" s="179"/>
      <c r="O478" s="179"/>
      <c r="P478" s="182"/>
      <c r="Q478" s="182"/>
      <c r="R478" s="182"/>
      <c r="S478" s="182"/>
      <c r="T478" s="182"/>
      <c r="U478" s="182"/>
      <c r="V478" s="182"/>
      <c r="W478" s="182"/>
      <c r="X478" s="182"/>
      <c r="Y478" s="182"/>
      <c r="Z478" s="182"/>
      <c r="AA478" s="182"/>
    </row>
    <row r="479" spans="1:27" ht="14.4">
      <c r="A479" s="182"/>
      <c r="B479" s="182"/>
      <c r="C479" s="182"/>
      <c r="D479" s="182"/>
      <c r="E479" s="182"/>
      <c r="F479" s="182"/>
      <c r="G479" s="182"/>
      <c r="H479" s="182"/>
      <c r="I479" s="182"/>
      <c r="J479" s="182"/>
      <c r="K479" s="182"/>
      <c r="L479" s="182"/>
      <c r="M479" s="179"/>
      <c r="N479" s="179"/>
      <c r="O479" s="179"/>
      <c r="P479" s="182"/>
      <c r="Q479" s="182"/>
      <c r="R479" s="182"/>
      <c r="S479" s="182"/>
      <c r="T479" s="182"/>
      <c r="U479" s="182"/>
      <c r="V479" s="182"/>
      <c r="W479" s="182"/>
      <c r="X479" s="182"/>
      <c r="Y479" s="182"/>
      <c r="Z479" s="182"/>
      <c r="AA479" s="182"/>
    </row>
    <row r="480" spans="1:27" ht="14.4">
      <c r="A480" s="182"/>
      <c r="B480" s="182"/>
      <c r="C480" s="182"/>
      <c r="D480" s="182"/>
      <c r="E480" s="182"/>
      <c r="F480" s="182"/>
      <c r="G480" s="182"/>
      <c r="H480" s="182"/>
      <c r="I480" s="182"/>
      <c r="J480" s="182"/>
      <c r="K480" s="182"/>
      <c r="L480" s="182"/>
      <c r="M480" s="179"/>
      <c r="N480" s="179"/>
      <c r="O480" s="179"/>
      <c r="P480" s="182"/>
      <c r="Q480" s="182"/>
      <c r="R480" s="182"/>
      <c r="S480" s="182"/>
      <c r="T480" s="182"/>
      <c r="U480" s="182"/>
      <c r="V480" s="182"/>
      <c r="W480" s="182"/>
      <c r="X480" s="182"/>
      <c r="Y480" s="182"/>
      <c r="Z480" s="182"/>
      <c r="AA480" s="182"/>
    </row>
    <row r="481" spans="1:27" ht="14.4">
      <c r="A481" s="182"/>
      <c r="B481" s="182"/>
      <c r="C481" s="182"/>
      <c r="D481" s="182"/>
      <c r="E481" s="182"/>
      <c r="F481" s="182"/>
      <c r="G481" s="182"/>
      <c r="H481" s="182"/>
      <c r="I481" s="182"/>
      <c r="J481" s="182"/>
      <c r="K481" s="182"/>
      <c r="L481" s="182"/>
      <c r="M481" s="179"/>
      <c r="N481" s="179"/>
      <c r="O481" s="179"/>
      <c r="P481" s="182"/>
      <c r="Q481" s="182"/>
      <c r="R481" s="182"/>
      <c r="S481" s="182"/>
      <c r="T481" s="182"/>
      <c r="U481" s="182"/>
      <c r="V481" s="182"/>
      <c r="W481" s="182"/>
      <c r="X481" s="182"/>
      <c r="Y481" s="182"/>
      <c r="Z481" s="182"/>
      <c r="AA481" s="182"/>
    </row>
    <row r="482" spans="1:27" ht="14.4">
      <c r="A482" s="182"/>
      <c r="B482" s="182"/>
      <c r="C482" s="182"/>
      <c r="D482" s="182"/>
      <c r="E482" s="182"/>
      <c r="F482" s="182"/>
      <c r="G482" s="182"/>
      <c r="H482" s="182"/>
      <c r="I482" s="182"/>
      <c r="J482" s="182"/>
      <c r="K482" s="182"/>
      <c r="L482" s="182"/>
      <c r="M482" s="179"/>
      <c r="N482" s="179"/>
      <c r="O482" s="179"/>
      <c r="P482" s="182"/>
      <c r="Q482" s="182"/>
      <c r="R482" s="182"/>
      <c r="S482" s="182"/>
      <c r="T482" s="182"/>
      <c r="U482" s="182"/>
      <c r="V482" s="182"/>
      <c r="W482" s="182"/>
      <c r="X482" s="182"/>
      <c r="Y482" s="182"/>
      <c r="Z482" s="182"/>
      <c r="AA482" s="182"/>
    </row>
    <row r="483" spans="1:27" ht="14.4">
      <c r="A483" s="182"/>
      <c r="B483" s="182"/>
      <c r="C483" s="182"/>
      <c r="D483" s="182"/>
      <c r="E483" s="182"/>
      <c r="F483" s="182"/>
      <c r="G483" s="182"/>
      <c r="H483" s="182"/>
      <c r="I483" s="182"/>
      <c r="J483" s="182"/>
      <c r="K483" s="182"/>
      <c r="L483" s="182"/>
      <c r="M483" s="179"/>
      <c r="N483" s="179"/>
      <c r="O483" s="179"/>
      <c r="P483" s="182"/>
      <c r="Q483" s="182"/>
      <c r="R483" s="182"/>
      <c r="S483" s="182"/>
      <c r="T483" s="182"/>
      <c r="U483" s="182"/>
      <c r="V483" s="182"/>
      <c r="W483" s="182"/>
      <c r="X483" s="182"/>
      <c r="Y483" s="182"/>
      <c r="Z483" s="182"/>
      <c r="AA483" s="182"/>
    </row>
    <row r="484" spans="1:27" ht="14.4">
      <c r="A484" s="182"/>
      <c r="B484" s="182"/>
      <c r="C484" s="182"/>
      <c r="D484" s="182"/>
      <c r="E484" s="182"/>
      <c r="F484" s="182"/>
      <c r="G484" s="182"/>
      <c r="H484" s="182"/>
      <c r="I484" s="182"/>
      <c r="J484" s="182"/>
      <c r="K484" s="182"/>
      <c r="L484" s="182"/>
      <c r="M484" s="179"/>
      <c r="N484" s="179"/>
      <c r="O484" s="179"/>
      <c r="P484" s="182"/>
      <c r="Q484" s="182"/>
      <c r="R484" s="182"/>
      <c r="S484" s="182"/>
      <c r="T484" s="182"/>
      <c r="U484" s="182"/>
      <c r="V484" s="182"/>
      <c r="W484" s="182"/>
      <c r="X484" s="182"/>
      <c r="Y484" s="182"/>
      <c r="Z484" s="182"/>
      <c r="AA484" s="182"/>
    </row>
    <row r="485" spans="1:27" ht="14.4">
      <c r="A485" s="182"/>
      <c r="B485" s="182"/>
      <c r="C485" s="182"/>
      <c r="D485" s="182"/>
      <c r="E485" s="182"/>
      <c r="F485" s="182"/>
      <c r="G485" s="182"/>
      <c r="H485" s="182"/>
      <c r="I485" s="182"/>
      <c r="J485" s="182"/>
      <c r="K485" s="182"/>
      <c r="L485" s="182"/>
      <c r="M485" s="179"/>
      <c r="N485" s="179"/>
      <c r="O485" s="179"/>
      <c r="P485" s="182"/>
      <c r="Q485" s="182"/>
      <c r="R485" s="182"/>
      <c r="S485" s="182"/>
      <c r="T485" s="182"/>
      <c r="U485" s="182"/>
      <c r="V485" s="182"/>
      <c r="W485" s="182"/>
      <c r="X485" s="182"/>
      <c r="Y485" s="182"/>
      <c r="Z485" s="182"/>
      <c r="AA485" s="182"/>
    </row>
    <row r="486" spans="1:27" ht="14.4">
      <c r="A486" s="182"/>
      <c r="B486" s="182"/>
      <c r="C486" s="182"/>
      <c r="D486" s="182"/>
      <c r="E486" s="182"/>
      <c r="F486" s="182"/>
      <c r="G486" s="182"/>
      <c r="H486" s="182"/>
      <c r="I486" s="182"/>
      <c r="J486" s="182"/>
      <c r="K486" s="182"/>
      <c r="L486" s="182"/>
      <c r="M486" s="179"/>
      <c r="N486" s="179"/>
      <c r="O486" s="179"/>
      <c r="P486" s="182"/>
      <c r="Q486" s="182"/>
      <c r="R486" s="182"/>
      <c r="S486" s="182"/>
      <c r="T486" s="182"/>
      <c r="U486" s="182"/>
      <c r="V486" s="182"/>
      <c r="W486" s="182"/>
      <c r="X486" s="182"/>
      <c r="Y486" s="182"/>
      <c r="Z486" s="182"/>
      <c r="AA486" s="182"/>
    </row>
    <row r="487" spans="1:27" ht="14.4">
      <c r="A487" s="182"/>
      <c r="B487" s="182"/>
      <c r="C487" s="182"/>
      <c r="D487" s="182"/>
      <c r="E487" s="182"/>
      <c r="F487" s="182"/>
      <c r="G487" s="182"/>
      <c r="H487" s="182"/>
      <c r="I487" s="182"/>
      <c r="J487" s="182"/>
      <c r="K487" s="182"/>
      <c r="L487" s="182"/>
      <c r="M487" s="179"/>
      <c r="N487" s="179"/>
      <c r="O487" s="179"/>
      <c r="P487" s="182"/>
      <c r="Q487" s="182"/>
      <c r="R487" s="182"/>
      <c r="S487" s="182"/>
      <c r="T487" s="182"/>
      <c r="U487" s="182"/>
      <c r="V487" s="182"/>
      <c r="W487" s="182"/>
      <c r="X487" s="182"/>
      <c r="Y487" s="182"/>
      <c r="Z487" s="182"/>
      <c r="AA487" s="182"/>
    </row>
    <row r="488" spans="1:27" ht="14.4">
      <c r="A488" s="182"/>
      <c r="B488" s="182"/>
      <c r="C488" s="182"/>
      <c r="D488" s="182"/>
      <c r="E488" s="182"/>
      <c r="F488" s="182"/>
      <c r="G488" s="182"/>
      <c r="H488" s="182"/>
      <c r="I488" s="182"/>
      <c r="J488" s="182"/>
      <c r="K488" s="182"/>
      <c r="L488" s="182"/>
      <c r="M488" s="179"/>
      <c r="N488" s="179"/>
      <c r="O488" s="179"/>
      <c r="P488" s="182"/>
      <c r="Q488" s="182"/>
      <c r="R488" s="182"/>
      <c r="S488" s="182"/>
      <c r="T488" s="182"/>
      <c r="U488" s="182"/>
      <c r="V488" s="182"/>
      <c r="W488" s="182"/>
      <c r="X488" s="182"/>
      <c r="Y488" s="182"/>
      <c r="Z488" s="182"/>
      <c r="AA488" s="182"/>
    </row>
    <row r="489" spans="1:27" ht="14.4">
      <c r="A489" s="182"/>
      <c r="B489" s="182"/>
      <c r="C489" s="182"/>
      <c r="D489" s="182"/>
      <c r="E489" s="182"/>
      <c r="F489" s="182"/>
      <c r="G489" s="182"/>
      <c r="H489" s="182"/>
      <c r="I489" s="182"/>
      <c r="J489" s="182"/>
      <c r="K489" s="182"/>
      <c r="L489" s="182"/>
      <c r="M489" s="179"/>
      <c r="N489" s="179"/>
      <c r="O489" s="179"/>
      <c r="P489" s="182"/>
      <c r="Q489" s="182"/>
      <c r="R489" s="182"/>
      <c r="S489" s="182"/>
      <c r="T489" s="182"/>
      <c r="U489" s="182"/>
      <c r="V489" s="182"/>
      <c r="W489" s="182"/>
      <c r="X489" s="182"/>
      <c r="Y489" s="182"/>
      <c r="Z489" s="182"/>
      <c r="AA489" s="182"/>
    </row>
    <row r="490" spans="1:27" ht="14.4">
      <c r="A490" s="182"/>
      <c r="B490" s="182"/>
      <c r="C490" s="182"/>
      <c r="D490" s="182"/>
      <c r="E490" s="182"/>
      <c r="F490" s="182"/>
      <c r="G490" s="182"/>
      <c r="H490" s="182"/>
      <c r="I490" s="182"/>
      <c r="J490" s="182"/>
      <c r="K490" s="182"/>
      <c r="L490" s="182"/>
      <c r="M490" s="179"/>
      <c r="N490" s="179"/>
      <c r="O490" s="179"/>
      <c r="P490" s="182"/>
      <c r="Q490" s="182"/>
      <c r="R490" s="182"/>
      <c r="S490" s="182"/>
      <c r="T490" s="182"/>
      <c r="U490" s="182"/>
      <c r="V490" s="182"/>
      <c r="W490" s="182"/>
      <c r="X490" s="182"/>
      <c r="Y490" s="182"/>
      <c r="Z490" s="182"/>
      <c r="AA490" s="182"/>
    </row>
    <row r="491" spans="1:27" ht="14.4">
      <c r="A491" s="182"/>
      <c r="B491" s="182"/>
      <c r="C491" s="182"/>
      <c r="D491" s="182"/>
      <c r="E491" s="182"/>
      <c r="F491" s="182"/>
      <c r="G491" s="182"/>
      <c r="H491" s="182"/>
      <c r="I491" s="182"/>
      <c r="J491" s="182"/>
      <c r="K491" s="182"/>
      <c r="L491" s="182"/>
      <c r="M491" s="179"/>
      <c r="N491" s="179"/>
      <c r="O491" s="179"/>
      <c r="P491" s="182"/>
      <c r="Q491" s="182"/>
      <c r="R491" s="182"/>
      <c r="S491" s="182"/>
      <c r="T491" s="182"/>
      <c r="U491" s="182"/>
      <c r="V491" s="182"/>
      <c r="W491" s="182"/>
      <c r="X491" s="182"/>
      <c r="Y491" s="182"/>
      <c r="Z491" s="182"/>
      <c r="AA491" s="182"/>
    </row>
    <row r="492" spans="1:27" ht="14.4">
      <c r="A492" s="182"/>
      <c r="B492" s="182"/>
      <c r="C492" s="182"/>
      <c r="D492" s="182"/>
      <c r="E492" s="182"/>
      <c r="F492" s="182"/>
      <c r="G492" s="182"/>
      <c r="H492" s="182"/>
      <c r="I492" s="182"/>
      <c r="J492" s="182"/>
      <c r="K492" s="182"/>
      <c r="L492" s="182"/>
      <c r="M492" s="179"/>
      <c r="N492" s="179"/>
      <c r="O492" s="179"/>
      <c r="P492" s="182"/>
      <c r="Q492" s="182"/>
      <c r="R492" s="182"/>
      <c r="S492" s="182"/>
      <c r="T492" s="182"/>
      <c r="U492" s="182"/>
      <c r="V492" s="182"/>
      <c r="W492" s="182"/>
      <c r="X492" s="182"/>
      <c r="Y492" s="182"/>
      <c r="Z492" s="182"/>
      <c r="AA492" s="182"/>
    </row>
    <row r="493" spans="1:27" ht="14.4">
      <c r="A493" s="182"/>
      <c r="B493" s="182"/>
      <c r="C493" s="182"/>
      <c r="D493" s="182"/>
      <c r="E493" s="182"/>
      <c r="F493" s="182"/>
      <c r="G493" s="182"/>
      <c r="H493" s="182"/>
      <c r="I493" s="182"/>
      <c r="J493" s="182"/>
      <c r="K493" s="182"/>
      <c r="L493" s="182"/>
      <c r="M493" s="179"/>
      <c r="N493" s="179"/>
      <c r="O493" s="179"/>
      <c r="P493" s="182"/>
      <c r="Q493" s="182"/>
      <c r="R493" s="182"/>
      <c r="S493" s="182"/>
      <c r="T493" s="182"/>
      <c r="U493" s="182"/>
      <c r="V493" s="182"/>
      <c r="W493" s="182"/>
      <c r="X493" s="182"/>
      <c r="Y493" s="182"/>
      <c r="Z493" s="182"/>
      <c r="AA493" s="182"/>
    </row>
    <row r="494" spans="1:27" ht="14.4">
      <c r="A494" s="182"/>
      <c r="B494" s="182"/>
      <c r="C494" s="182"/>
      <c r="D494" s="182"/>
      <c r="E494" s="182"/>
      <c r="F494" s="182"/>
      <c r="G494" s="182"/>
      <c r="H494" s="182"/>
      <c r="I494" s="182"/>
      <c r="J494" s="182"/>
      <c r="K494" s="182"/>
      <c r="L494" s="182"/>
      <c r="M494" s="179"/>
      <c r="N494" s="179"/>
      <c r="O494" s="179"/>
      <c r="P494" s="182"/>
      <c r="Q494" s="182"/>
      <c r="R494" s="182"/>
      <c r="S494" s="182"/>
      <c r="T494" s="182"/>
      <c r="U494" s="182"/>
      <c r="V494" s="182"/>
      <c r="W494" s="182"/>
      <c r="X494" s="182"/>
      <c r="Y494" s="182"/>
      <c r="Z494" s="182"/>
      <c r="AA494" s="182"/>
    </row>
    <row r="495" spans="1:27" ht="14.4">
      <c r="A495" s="182"/>
      <c r="B495" s="182"/>
      <c r="C495" s="182"/>
      <c r="D495" s="182"/>
      <c r="E495" s="182"/>
      <c r="F495" s="182"/>
      <c r="G495" s="182"/>
      <c r="H495" s="182"/>
      <c r="I495" s="182"/>
      <c r="J495" s="182"/>
      <c r="K495" s="182"/>
      <c r="L495" s="182"/>
      <c r="M495" s="179"/>
      <c r="N495" s="179"/>
      <c r="O495" s="179"/>
      <c r="P495" s="182"/>
      <c r="Q495" s="182"/>
      <c r="R495" s="182"/>
      <c r="S495" s="182"/>
      <c r="T495" s="182"/>
      <c r="U495" s="182"/>
      <c r="V495" s="182"/>
      <c r="W495" s="182"/>
      <c r="X495" s="182"/>
      <c r="Y495" s="182"/>
      <c r="Z495" s="182"/>
      <c r="AA495" s="182"/>
    </row>
    <row r="496" spans="1:27" ht="14.4">
      <c r="A496" s="182"/>
      <c r="B496" s="182"/>
      <c r="C496" s="182"/>
      <c r="D496" s="182"/>
      <c r="E496" s="182"/>
      <c r="F496" s="182"/>
      <c r="G496" s="182"/>
      <c r="H496" s="182"/>
      <c r="I496" s="182"/>
      <c r="J496" s="182"/>
      <c r="K496" s="182"/>
      <c r="L496" s="182"/>
      <c r="M496" s="179"/>
      <c r="N496" s="179"/>
      <c r="O496" s="179"/>
      <c r="P496" s="182"/>
      <c r="Q496" s="182"/>
      <c r="R496" s="182"/>
      <c r="S496" s="182"/>
      <c r="T496" s="182"/>
      <c r="U496" s="182"/>
      <c r="V496" s="182"/>
      <c r="W496" s="182"/>
      <c r="X496" s="182"/>
      <c r="Y496" s="182"/>
      <c r="Z496" s="182"/>
      <c r="AA496" s="182"/>
    </row>
    <row r="497" spans="1:27" ht="14.4">
      <c r="A497" s="182"/>
      <c r="B497" s="182"/>
      <c r="C497" s="182"/>
      <c r="D497" s="182"/>
      <c r="E497" s="182"/>
      <c r="F497" s="182"/>
      <c r="G497" s="182"/>
      <c r="H497" s="182"/>
      <c r="I497" s="182"/>
      <c r="J497" s="182"/>
      <c r="K497" s="182"/>
      <c r="L497" s="182"/>
      <c r="M497" s="179"/>
      <c r="N497" s="179"/>
      <c r="O497" s="179"/>
      <c r="P497" s="182"/>
      <c r="Q497" s="182"/>
      <c r="R497" s="182"/>
      <c r="S497" s="182"/>
      <c r="T497" s="182"/>
      <c r="U497" s="182"/>
      <c r="V497" s="182"/>
      <c r="W497" s="182"/>
      <c r="X497" s="182"/>
      <c r="Y497" s="182"/>
      <c r="Z497" s="182"/>
      <c r="AA497" s="182"/>
    </row>
    <row r="498" spans="1:27" ht="14.4">
      <c r="A498" s="182"/>
      <c r="B498" s="182"/>
      <c r="C498" s="182"/>
      <c r="D498" s="182"/>
      <c r="E498" s="182"/>
      <c r="F498" s="182"/>
      <c r="G498" s="182"/>
      <c r="H498" s="182"/>
      <c r="I498" s="182"/>
      <c r="J498" s="182"/>
      <c r="K498" s="182"/>
      <c r="L498" s="182"/>
      <c r="M498" s="179"/>
      <c r="N498" s="179"/>
      <c r="O498" s="179"/>
      <c r="P498" s="182"/>
      <c r="Q498" s="182"/>
      <c r="R498" s="182"/>
      <c r="S498" s="182"/>
      <c r="T498" s="182"/>
      <c r="U498" s="182"/>
      <c r="V498" s="182"/>
      <c r="W498" s="182"/>
      <c r="X498" s="182"/>
      <c r="Y498" s="182"/>
      <c r="Z498" s="182"/>
      <c r="AA498" s="182"/>
    </row>
    <row r="499" spans="1:27" ht="14.4">
      <c r="A499" s="182"/>
      <c r="B499" s="182"/>
      <c r="C499" s="182"/>
      <c r="D499" s="182"/>
      <c r="E499" s="182"/>
      <c r="F499" s="182"/>
      <c r="G499" s="182"/>
      <c r="H499" s="182"/>
      <c r="I499" s="182"/>
      <c r="J499" s="182"/>
      <c r="K499" s="182"/>
      <c r="L499" s="182"/>
      <c r="M499" s="179"/>
      <c r="N499" s="179"/>
      <c r="O499" s="179"/>
      <c r="P499" s="182"/>
      <c r="Q499" s="182"/>
      <c r="R499" s="182"/>
      <c r="S499" s="182"/>
      <c r="T499" s="182"/>
      <c r="U499" s="182"/>
      <c r="V499" s="182"/>
      <c r="W499" s="182"/>
      <c r="X499" s="182"/>
      <c r="Y499" s="182"/>
      <c r="Z499" s="182"/>
      <c r="AA499" s="182"/>
    </row>
    <row r="500" spans="1:27" ht="14.4">
      <c r="A500" s="182"/>
      <c r="B500" s="182"/>
      <c r="C500" s="182"/>
      <c r="D500" s="182"/>
      <c r="E500" s="182"/>
      <c r="F500" s="182"/>
      <c r="G500" s="182"/>
      <c r="H500" s="182"/>
      <c r="I500" s="182"/>
      <c r="J500" s="182"/>
      <c r="K500" s="182"/>
      <c r="L500" s="182"/>
      <c r="M500" s="179"/>
      <c r="N500" s="179"/>
      <c r="O500" s="179"/>
      <c r="P500" s="182"/>
      <c r="Q500" s="182"/>
      <c r="R500" s="182"/>
      <c r="S500" s="182"/>
      <c r="T500" s="182"/>
      <c r="U500" s="182"/>
      <c r="V500" s="182"/>
      <c r="W500" s="182"/>
      <c r="X500" s="182"/>
      <c r="Y500" s="182"/>
      <c r="Z500" s="182"/>
      <c r="AA500" s="182"/>
    </row>
    <row r="501" spans="1:27" ht="14.4">
      <c r="A501" s="182"/>
      <c r="B501" s="182"/>
      <c r="C501" s="182"/>
      <c r="D501" s="182"/>
      <c r="E501" s="182"/>
      <c r="F501" s="182"/>
      <c r="G501" s="182"/>
      <c r="H501" s="182"/>
      <c r="I501" s="182"/>
      <c r="J501" s="182"/>
      <c r="K501" s="182"/>
      <c r="L501" s="182"/>
      <c r="M501" s="179"/>
      <c r="N501" s="179"/>
      <c r="O501" s="179"/>
      <c r="P501" s="182"/>
      <c r="Q501" s="182"/>
      <c r="R501" s="182"/>
      <c r="S501" s="182"/>
      <c r="T501" s="182"/>
      <c r="U501" s="182"/>
      <c r="V501" s="182"/>
      <c r="W501" s="182"/>
      <c r="X501" s="182"/>
      <c r="Y501" s="182"/>
      <c r="Z501" s="182"/>
      <c r="AA501" s="182"/>
    </row>
    <row r="502" spans="1:27" ht="14.4">
      <c r="A502" s="182"/>
      <c r="B502" s="182"/>
      <c r="C502" s="182"/>
      <c r="D502" s="182"/>
      <c r="E502" s="182"/>
      <c r="F502" s="182"/>
      <c r="G502" s="182"/>
      <c r="H502" s="182"/>
      <c r="I502" s="182"/>
      <c r="J502" s="182"/>
      <c r="K502" s="182"/>
      <c r="L502" s="182"/>
      <c r="M502" s="179"/>
      <c r="N502" s="179"/>
      <c r="O502" s="179"/>
      <c r="P502" s="182"/>
      <c r="Q502" s="182"/>
      <c r="R502" s="182"/>
      <c r="S502" s="182"/>
      <c r="T502" s="182"/>
      <c r="U502" s="182"/>
      <c r="V502" s="182"/>
      <c r="W502" s="182"/>
      <c r="X502" s="182"/>
      <c r="Y502" s="182"/>
      <c r="Z502" s="182"/>
      <c r="AA502" s="182"/>
    </row>
    <row r="503" spans="1:27" ht="14.4">
      <c r="A503" s="182"/>
      <c r="B503" s="182"/>
      <c r="C503" s="182"/>
      <c r="D503" s="182"/>
      <c r="E503" s="182"/>
      <c r="F503" s="182"/>
      <c r="G503" s="182"/>
      <c r="H503" s="182"/>
      <c r="I503" s="182"/>
      <c r="J503" s="182"/>
      <c r="K503" s="182"/>
      <c r="L503" s="182"/>
      <c r="M503" s="179"/>
      <c r="N503" s="179"/>
      <c r="O503" s="179"/>
      <c r="P503" s="182"/>
      <c r="Q503" s="182"/>
      <c r="R503" s="182"/>
      <c r="S503" s="182"/>
      <c r="T503" s="182"/>
      <c r="U503" s="182"/>
      <c r="V503" s="182"/>
      <c r="W503" s="182"/>
      <c r="X503" s="182"/>
      <c r="Y503" s="182"/>
      <c r="Z503" s="182"/>
      <c r="AA503" s="182"/>
    </row>
    <row r="504" spans="1:27" ht="14.4">
      <c r="A504" s="182"/>
      <c r="B504" s="182"/>
      <c r="C504" s="182"/>
      <c r="D504" s="182"/>
      <c r="E504" s="182"/>
      <c r="F504" s="182"/>
      <c r="G504" s="182"/>
      <c r="H504" s="182"/>
      <c r="I504" s="182"/>
      <c r="J504" s="182"/>
      <c r="K504" s="182"/>
      <c r="L504" s="182"/>
      <c r="M504" s="179"/>
      <c r="N504" s="179"/>
      <c r="O504" s="179"/>
      <c r="P504" s="182"/>
      <c r="Q504" s="182"/>
      <c r="R504" s="182"/>
      <c r="S504" s="182"/>
      <c r="T504" s="182"/>
      <c r="U504" s="182"/>
      <c r="V504" s="182"/>
      <c r="W504" s="182"/>
      <c r="X504" s="182"/>
      <c r="Y504" s="182"/>
      <c r="Z504" s="182"/>
      <c r="AA504" s="182"/>
    </row>
    <row r="505" spans="1:27" ht="14.4">
      <c r="A505" s="182"/>
      <c r="B505" s="182"/>
      <c r="C505" s="182"/>
      <c r="D505" s="182"/>
      <c r="E505" s="182"/>
      <c r="F505" s="182"/>
      <c r="G505" s="182"/>
      <c r="H505" s="182"/>
      <c r="I505" s="182"/>
      <c r="J505" s="182"/>
      <c r="K505" s="182"/>
      <c r="L505" s="182"/>
      <c r="M505" s="179"/>
      <c r="N505" s="179"/>
      <c r="O505" s="179"/>
      <c r="P505" s="182"/>
      <c r="Q505" s="182"/>
      <c r="R505" s="182"/>
      <c r="S505" s="182"/>
      <c r="T505" s="182"/>
      <c r="U505" s="182"/>
      <c r="V505" s="182"/>
      <c r="W505" s="182"/>
      <c r="X505" s="182"/>
      <c r="Y505" s="182"/>
      <c r="Z505" s="182"/>
      <c r="AA505" s="182"/>
    </row>
    <row r="506" spans="1:27" ht="14.4">
      <c r="A506" s="182"/>
      <c r="B506" s="182"/>
      <c r="C506" s="182"/>
      <c r="D506" s="182"/>
      <c r="E506" s="182"/>
      <c r="F506" s="182"/>
      <c r="G506" s="182"/>
      <c r="H506" s="182"/>
      <c r="I506" s="182"/>
      <c r="J506" s="182"/>
      <c r="K506" s="182"/>
      <c r="L506" s="182"/>
      <c r="M506" s="179"/>
      <c r="N506" s="179"/>
      <c r="O506" s="179"/>
      <c r="P506" s="182"/>
      <c r="Q506" s="182"/>
      <c r="R506" s="182"/>
      <c r="S506" s="182"/>
      <c r="T506" s="182"/>
      <c r="U506" s="182"/>
      <c r="V506" s="182"/>
      <c r="W506" s="182"/>
      <c r="X506" s="182"/>
      <c r="Y506" s="182"/>
      <c r="Z506" s="182"/>
      <c r="AA506" s="182"/>
    </row>
    <row r="507" spans="1:27" ht="14.4">
      <c r="A507" s="182"/>
      <c r="B507" s="182"/>
      <c r="C507" s="182"/>
      <c r="D507" s="182"/>
      <c r="E507" s="182"/>
      <c r="F507" s="182"/>
      <c r="G507" s="182"/>
      <c r="H507" s="182"/>
      <c r="I507" s="182"/>
      <c r="J507" s="182"/>
      <c r="K507" s="182"/>
      <c r="L507" s="182"/>
      <c r="M507" s="179"/>
      <c r="N507" s="179"/>
      <c r="O507" s="179"/>
      <c r="P507" s="182"/>
      <c r="Q507" s="182"/>
      <c r="R507" s="182"/>
      <c r="S507" s="182"/>
      <c r="T507" s="182"/>
      <c r="U507" s="182"/>
      <c r="V507" s="182"/>
      <c r="W507" s="182"/>
      <c r="X507" s="182"/>
      <c r="Y507" s="182"/>
      <c r="Z507" s="182"/>
      <c r="AA507" s="182"/>
    </row>
    <row r="508" spans="1:27" ht="14.4">
      <c r="A508" s="182"/>
      <c r="B508" s="182"/>
      <c r="C508" s="182"/>
      <c r="D508" s="182"/>
      <c r="E508" s="182"/>
      <c r="F508" s="182"/>
      <c r="G508" s="182"/>
      <c r="H508" s="182"/>
      <c r="I508" s="182"/>
      <c r="J508" s="182"/>
      <c r="K508" s="182"/>
      <c r="L508" s="182"/>
      <c r="M508" s="179"/>
      <c r="N508" s="179"/>
      <c r="O508" s="179"/>
      <c r="P508" s="182"/>
      <c r="Q508" s="182"/>
      <c r="R508" s="182"/>
      <c r="S508" s="182"/>
      <c r="T508" s="182"/>
      <c r="U508" s="182"/>
      <c r="V508" s="182"/>
      <c r="W508" s="182"/>
      <c r="X508" s="182"/>
      <c r="Y508" s="182"/>
      <c r="Z508" s="182"/>
      <c r="AA508" s="182"/>
    </row>
    <row r="509" spans="1:27" ht="14.4">
      <c r="A509" s="182"/>
      <c r="B509" s="182"/>
      <c r="C509" s="182"/>
      <c r="D509" s="182"/>
      <c r="E509" s="182"/>
      <c r="F509" s="182"/>
      <c r="G509" s="182"/>
      <c r="H509" s="182"/>
      <c r="I509" s="182"/>
      <c r="J509" s="182"/>
      <c r="K509" s="182"/>
      <c r="L509" s="182"/>
      <c r="M509" s="179"/>
      <c r="N509" s="179"/>
      <c r="O509" s="179"/>
      <c r="P509" s="182"/>
      <c r="Q509" s="182"/>
      <c r="R509" s="182"/>
      <c r="S509" s="182"/>
      <c r="T509" s="182"/>
      <c r="U509" s="182"/>
      <c r="V509" s="182"/>
      <c r="W509" s="182"/>
      <c r="X509" s="182"/>
      <c r="Y509" s="182"/>
      <c r="Z509" s="182"/>
      <c r="AA509" s="182"/>
    </row>
    <row r="510" spans="1:27" ht="14.4">
      <c r="A510" s="182"/>
      <c r="B510" s="182"/>
      <c r="C510" s="182"/>
      <c r="D510" s="182"/>
      <c r="E510" s="182"/>
      <c r="F510" s="182"/>
      <c r="G510" s="182"/>
      <c r="H510" s="182"/>
      <c r="I510" s="182"/>
      <c r="J510" s="182"/>
      <c r="K510" s="182"/>
      <c r="L510" s="182"/>
      <c r="M510" s="179"/>
      <c r="N510" s="179"/>
      <c r="O510" s="179"/>
      <c r="P510" s="182"/>
      <c r="Q510" s="182"/>
      <c r="R510" s="182"/>
      <c r="S510" s="182"/>
      <c r="T510" s="182"/>
      <c r="U510" s="182"/>
      <c r="V510" s="182"/>
      <c r="W510" s="182"/>
      <c r="X510" s="182"/>
      <c r="Y510" s="182"/>
      <c r="Z510" s="182"/>
      <c r="AA510" s="182"/>
    </row>
    <row r="511" spans="1:27" ht="14.4">
      <c r="A511" s="182"/>
      <c r="B511" s="182"/>
      <c r="C511" s="182"/>
      <c r="D511" s="182"/>
      <c r="E511" s="182"/>
      <c r="F511" s="182"/>
      <c r="G511" s="182"/>
      <c r="H511" s="182"/>
      <c r="I511" s="182"/>
      <c r="J511" s="182"/>
      <c r="K511" s="182"/>
      <c r="L511" s="182"/>
      <c r="M511" s="179"/>
      <c r="N511" s="179"/>
      <c r="O511" s="179"/>
      <c r="P511" s="182"/>
      <c r="Q511" s="182"/>
      <c r="R511" s="182"/>
      <c r="S511" s="182"/>
      <c r="T511" s="182"/>
      <c r="U511" s="182"/>
      <c r="V511" s="182"/>
      <c r="W511" s="182"/>
      <c r="X511" s="182"/>
      <c r="Y511" s="182"/>
      <c r="Z511" s="182"/>
      <c r="AA511" s="182"/>
    </row>
    <row r="512" spans="1:27" ht="14.4">
      <c r="A512" s="182"/>
      <c r="B512" s="182"/>
      <c r="C512" s="182"/>
      <c r="D512" s="182"/>
      <c r="E512" s="182"/>
      <c r="F512" s="182"/>
      <c r="G512" s="182"/>
      <c r="H512" s="182"/>
      <c r="I512" s="182"/>
      <c r="J512" s="182"/>
      <c r="K512" s="182"/>
      <c r="L512" s="182"/>
      <c r="M512" s="179"/>
      <c r="N512" s="179"/>
      <c r="O512" s="179"/>
      <c r="P512" s="182"/>
      <c r="Q512" s="182"/>
      <c r="R512" s="182"/>
      <c r="S512" s="182"/>
      <c r="T512" s="182"/>
      <c r="U512" s="182"/>
      <c r="V512" s="182"/>
      <c r="W512" s="182"/>
      <c r="X512" s="182"/>
      <c r="Y512" s="182"/>
      <c r="Z512" s="182"/>
      <c r="AA512" s="182"/>
    </row>
    <row r="513" spans="1:27" ht="14.4">
      <c r="A513" s="182"/>
      <c r="B513" s="182"/>
      <c r="C513" s="182"/>
      <c r="D513" s="182"/>
      <c r="E513" s="182"/>
      <c r="F513" s="182"/>
      <c r="G513" s="182"/>
      <c r="H513" s="182"/>
      <c r="I513" s="182"/>
      <c r="J513" s="182"/>
      <c r="K513" s="182"/>
      <c r="L513" s="182"/>
      <c r="M513" s="179"/>
      <c r="N513" s="179"/>
      <c r="O513" s="179"/>
      <c r="P513" s="182"/>
      <c r="Q513" s="182"/>
      <c r="R513" s="182"/>
      <c r="S513" s="182"/>
      <c r="T513" s="182"/>
      <c r="U513" s="182"/>
      <c r="V513" s="182"/>
      <c r="W513" s="182"/>
      <c r="X513" s="182"/>
      <c r="Y513" s="182"/>
      <c r="Z513" s="182"/>
      <c r="AA513" s="182"/>
    </row>
    <row r="514" spans="1:27" ht="14.4">
      <c r="A514" s="182"/>
      <c r="B514" s="182"/>
      <c r="C514" s="182"/>
      <c r="D514" s="182"/>
      <c r="E514" s="182"/>
      <c r="F514" s="182"/>
      <c r="G514" s="182"/>
      <c r="H514" s="182"/>
      <c r="I514" s="182"/>
      <c r="J514" s="182"/>
      <c r="K514" s="182"/>
      <c r="L514" s="182"/>
      <c r="M514" s="179"/>
      <c r="N514" s="179"/>
      <c r="O514" s="179"/>
      <c r="P514" s="182"/>
      <c r="Q514" s="182"/>
      <c r="R514" s="182"/>
      <c r="S514" s="182"/>
      <c r="T514" s="182"/>
      <c r="U514" s="182"/>
      <c r="V514" s="182"/>
      <c r="W514" s="182"/>
      <c r="X514" s="182"/>
      <c r="Y514" s="182"/>
      <c r="Z514" s="182"/>
      <c r="AA514" s="182"/>
    </row>
    <row r="515" spans="1:27" ht="14.4">
      <c r="A515" s="182"/>
      <c r="B515" s="182"/>
      <c r="C515" s="182"/>
      <c r="D515" s="182"/>
      <c r="E515" s="182"/>
      <c r="F515" s="182"/>
      <c r="G515" s="182"/>
      <c r="H515" s="182"/>
      <c r="I515" s="182"/>
      <c r="J515" s="182"/>
      <c r="K515" s="182"/>
      <c r="L515" s="182"/>
      <c r="M515" s="179"/>
      <c r="N515" s="179"/>
      <c r="O515" s="179"/>
      <c r="P515" s="182"/>
      <c r="Q515" s="182"/>
      <c r="R515" s="182"/>
      <c r="S515" s="182"/>
      <c r="T515" s="182"/>
      <c r="U515" s="182"/>
      <c r="V515" s="182"/>
      <c r="W515" s="182"/>
      <c r="X515" s="182"/>
      <c r="Y515" s="182"/>
      <c r="Z515" s="182"/>
      <c r="AA515" s="182"/>
    </row>
    <row r="516" spans="1:27" ht="14.4">
      <c r="A516" s="182"/>
      <c r="B516" s="182"/>
      <c r="C516" s="182"/>
      <c r="D516" s="182"/>
      <c r="E516" s="182"/>
      <c r="F516" s="182"/>
      <c r="G516" s="182"/>
      <c r="H516" s="182"/>
      <c r="I516" s="182"/>
      <c r="J516" s="182"/>
      <c r="K516" s="182"/>
      <c r="L516" s="182"/>
      <c r="M516" s="179"/>
      <c r="N516" s="179"/>
      <c r="O516" s="179"/>
      <c r="P516" s="182"/>
      <c r="Q516" s="182"/>
      <c r="R516" s="182"/>
      <c r="S516" s="182"/>
      <c r="T516" s="182"/>
      <c r="U516" s="182"/>
      <c r="V516" s="182"/>
      <c r="W516" s="182"/>
      <c r="X516" s="182"/>
      <c r="Y516" s="182"/>
      <c r="Z516" s="182"/>
      <c r="AA516" s="182"/>
    </row>
    <row r="517" spans="1:27" ht="14.4">
      <c r="A517" s="182"/>
      <c r="B517" s="182"/>
      <c r="C517" s="182"/>
      <c r="D517" s="182"/>
      <c r="E517" s="182"/>
      <c r="F517" s="182"/>
      <c r="G517" s="182"/>
      <c r="H517" s="182"/>
      <c r="I517" s="182"/>
      <c r="J517" s="182"/>
      <c r="K517" s="182"/>
      <c r="L517" s="182"/>
      <c r="M517" s="179"/>
      <c r="N517" s="179"/>
      <c r="O517" s="179"/>
      <c r="P517" s="182"/>
      <c r="Q517" s="182"/>
      <c r="R517" s="182"/>
      <c r="S517" s="182"/>
      <c r="T517" s="182"/>
      <c r="U517" s="182"/>
      <c r="V517" s="182"/>
      <c r="W517" s="182"/>
      <c r="X517" s="182"/>
      <c r="Y517" s="182"/>
      <c r="Z517" s="182"/>
      <c r="AA517" s="182"/>
    </row>
    <row r="518" spans="1:27" ht="14.4">
      <c r="A518" s="182"/>
      <c r="B518" s="182"/>
      <c r="C518" s="182"/>
      <c r="D518" s="182"/>
      <c r="E518" s="182"/>
      <c r="F518" s="182"/>
      <c r="G518" s="182"/>
      <c r="H518" s="182"/>
      <c r="I518" s="182"/>
      <c r="J518" s="182"/>
      <c r="K518" s="182"/>
      <c r="L518" s="182"/>
      <c r="M518" s="179"/>
      <c r="N518" s="179"/>
      <c r="O518" s="179"/>
      <c r="P518" s="182"/>
      <c r="Q518" s="182"/>
      <c r="R518" s="182"/>
      <c r="S518" s="182"/>
      <c r="T518" s="182"/>
      <c r="U518" s="182"/>
      <c r="V518" s="182"/>
      <c r="W518" s="182"/>
      <c r="X518" s="182"/>
      <c r="Y518" s="182"/>
      <c r="Z518" s="182"/>
      <c r="AA518" s="182"/>
    </row>
    <row r="519" spans="1:27" ht="14.4">
      <c r="A519" s="182"/>
      <c r="B519" s="182"/>
      <c r="C519" s="182"/>
      <c r="D519" s="182"/>
      <c r="E519" s="182"/>
      <c r="F519" s="182"/>
      <c r="G519" s="182"/>
      <c r="H519" s="182"/>
      <c r="I519" s="182"/>
      <c r="J519" s="182"/>
      <c r="K519" s="182"/>
      <c r="L519" s="182"/>
      <c r="M519" s="179"/>
      <c r="N519" s="179"/>
      <c r="O519" s="179"/>
      <c r="P519" s="182"/>
      <c r="Q519" s="182"/>
      <c r="R519" s="182"/>
      <c r="S519" s="182"/>
      <c r="T519" s="182"/>
      <c r="U519" s="182"/>
      <c r="V519" s="182"/>
      <c r="W519" s="182"/>
      <c r="X519" s="182"/>
      <c r="Y519" s="182"/>
      <c r="Z519" s="182"/>
      <c r="AA519" s="182"/>
    </row>
    <row r="520" spans="1:27" ht="14.4">
      <c r="A520" s="182"/>
      <c r="B520" s="182"/>
      <c r="C520" s="182"/>
      <c r="D520" s="182"/>
      <c r="E520" s="182"/>
      <c r="F520" s="182"/>
      <c r="G520" s="182"/>
      <c r="H520" s="182"/>
      <c r="I520" s="182"/>
      <c r="J520" s="182"/>
      <c r="K520" s="182"/>
      <c r="L520" s="182"/>
      <c r="M520" s="179"/>
      <c r="N520" s="179"/>
      <c r="O520" s="179"/>
      <c r="P520" s="182"/>
      <c r="Q520" s="182"/>
      <c r="R520" s="182"/>
      <c r="S520" s="182"/>
      <c r="T520" s="182"/>
      <c r="U520" s="182"/>
      <c r="V520" s="182"/>
      <c r="W520" s="182"/>
      <c r="X520" s="182"/>
      <c r="Y520" s="182"/>
      <c r="Z520" s="182"/>
      <c r="AA520" s="182"/>
    </row>
    <row r="521" spans="1:27" ht="14.4">
      <c r="A521" s="182"/>
      <c r="B521" s="182"/>
      <c r="C521" s="182"/>
      <c r="D521" s="182"/>
      <c r="E521" s="182"/>
      <c r="F521" s="182"/>
      <c r="G521" s="182"/>
      <c r="H521" s="182"/>
      <c r="I521" s="182"/>
      <c r="J521" s="182"/>
      <c r="K521" s="182"/>
      <c r="L521" s="182"/>
      <c r="M521" s="179"/>
      <c r="N521" s="179"/>
      <c r="O521" s="179"/>
      <c r="P521" s="182"/>
      <c r="Q521" s="182"/>
      <c r="R521" s="182"/>
      <c r="S521" s="182"/>
      <c r="T521" s="182"/>
      <c r="U521" s="182"/>
      <c r="V521" s="182"/>
      <c r="W521" s="182"/>
      <c r="X521" s="182"/>
      <c r="Y521" s="182"/>
      <c r="Z521" s="182"/>
      <c r="AA521" s="182"/>
    </row>
    <row r="522" spans="1:27" ht="14.4">
      <c r="A522" s="182"/>
      <c r="B522" s="182"/>
      <c r="C522" s="182"/>
      <c r="D522" s="182"/>
      <c r="E522" s="182"/>
      <c r="F522" s="182"/>
      <c r="G522" s="182"/>
      <c r="H522" s="182"/>
      <c r="I522" s="182"/>
      <c r="J522" s="182"/>
      <c r="K522" s="182"/>
      <c r="L522" s="182"/>
      <c r="M522" s="179"/>
      <c r="N522" s="179"/>
      <c r="O522" s="179"/>
      <c r="P522" s="182"/>
      <c r="Q522" s="182"/>
      <c r="R522" s="182"/>
      <c r="S522" s="182"/>
      <c r="T522" s="182"/>
      <c r="U522" s="182"/>
      <c r="V522" s="182"/>
      <c r="W522" s="182"/>
      <c r="X522" s="182"/>
      <c r="Y522" s="182"/>
      <c r="Z522" s="182"/>
      <c r="AA522" s="182"/>
    </row>
    <row r="523" spans="1:27" ht="14.4">
      <c r="A523" s="182"/>
      <c r="B523" s="182"/>
      <c r="C523" s="182"/>
      <c r="D523" s="182"/>
      <c r="E523" s="182"/>
      <c r="F523" s="182"/>
      <c r="G523" s="182"/>
      <c r="H523" s="182"/>
      <c r="I523" s="182"/>
      <c r="J523" s="182"/>
      <c r="K523" s="182"/>
      <c r="L523" s="182"/>
      <c r="M523" s="179"/>
      <c r="N523" s="179"/>
      <c r="O523" s="179"/>
      <c r="P523" s="182"/>
      <c r="Q523" s="182"/>
      <c r="R523" s="182"/>
      <c r="S523" s="182"/>
      <c r="T523" s="182"/>
      <c r="U523" s="182"/>
      <c r="V523" s="182"/>
      <c r="W523" s="182"/>
      <c r="X523" s="182"/>
      <c r="Y523" s="182"/>
      <c r="Z523" s="182"/>
      <c r="AA523" s="182"/>
    </row>
    <row r="524" spans="1:27" ht="14.4">
      <c r="A524" s="182"/>
      <c r="B524" s="182"/>
      <c r="C524" s="182"/>
      <c r="D524" s="182"/>
      <c r="E524" s="182"/>
      <c r="F524" s="182"/>
      <c r="G524" s="182"/>
      <c r="H524" s="182"/>
      <c r="I524" s="182"/>
      <c r="J524" s="182"/>
      <c r="K524" s="182"/>
      <c r="L524" s="182"/>
      <c r="M524" s="179"/>
      <c r="N524" s="179"/>
      <c r="O524" s="179"/>
      <c r="P524" s="182"/>
      <c r="Q524" s="182"/>
      <c r="R524" s="182"/>
      <c r="S524" s="182"/>
      <c r="T524" s="182"/>
      <c r="U524" s="182"/>
      <c r="V524" s="182"/>
      <c r="W524" s="182"/>
      <c r="X524" s="182"/>
      <c r="Y524" s="182"/>
      <c r="Z524" s="182"/>
      <c r="AA524" s="182"/>
    </row>
    <row r="525" spans="1:27" ht="14.4">
      <c r="A525" s="182"/>
      <c r="B525" s="182"/>
      <c r="C525" s="182"/>
      <c r="D525" s="182"/>
      <c r="E525" s="182"/>
      <c r="F525" s="182"/>
      <c r="G525" s="182"/>
      <c r="H525" s="182"/>
      <c r="I525" s="182"/>
      <c r="J525" s="182"/>
      <c r="K525" s="182"/>
      <c r="L525" s="182"/>
      <c r="M525" s="179"/>
      <c r="N525" s="179"/>
      <c r="O525" s="179"/>
      <c r="P525" s="182"/>
      <c r="Q525" s="182"/>
      <c r="R525" s="182"/>
      <c r="S525" s="182"/>
      <c r="T525" s="182"/>
      <c r="U525" s="182"/>
      <c r="V525" s="182"/>
      <c r="W525" s="182"/>
      <c r="X525" s="182"/>
      <c r="Y525" s="182"/>
      <c r="Z525" s="182"/>
      <c r="AA525" s="182"/>
    </row>
    <row r="526" spans="1:27" ht="14.4">
      <c r="A526" s="182"/>
      <c r="B526" s="182"/>
      <c r="C526" s="182"/>
      <c r="D526" s="182"/>
      <c r="E526" s="182"/>
      <c r="F526" s="182"/>
      <c r="G526" s="182"/>
      <c r="H526" s="182"/>
      <c r="I526" s="182"/>
      <c r="J526" s="182"/>
      <c r="K526" s="182"/>
      <c r="L526" s="182"/>
      <c r="M526" s="179"/>
      <c r="N526" s="179"/>
      <c r="O526" s="179"/>
      <c r="P526" s="182"/>
      <c r="Q526" s="182"/>
      <c r="R526" s="182"/>
      <c r="S526" s="182"/>
      <c r="T526" s="182"/>
      <c r="U526" s="182"/>
      <c r="V526" s="182"/>
      <c r="W526" s="182"/>
      <c r="X526" s="182"/>
      <c r="Y526" s="182"/>
      <c r="Z526" s="182"/>
      <c r="AA526" s="182"/>
    </row>
    <row r="527" spans="1:27" ht="14.4">
      <c r="A527" s="182"/>
      <c r="B527" s="182"/>
      <c r="C527" s="182"/>
      <c r="D527" s="182"/>
      <c r="E527" s="182"/>
      <c r="F527" s="182"/>
      <c r="G527" s="182"/>
      <c r="H527" s="182"/>
      <c r="I527" s="182"/>
      <c r="J527" s="182"/>
      <c r="K527" s="182"/>
      <c r="L527" s="182"/>
      <c r="M527" s="179"/>
      <c r="N527" s="179"/>
      <c r="O527" s="179"/>
      <c r="P527" s="182"/>
      <c r="Q527" s="182"/>
      <c r="R527" s="182"/>
      <c r="S527" s="182"/>
      <c r="T527" s="182"/>
      <c r="U527" s="182"/>
      <c r="V527" s="182"/>
      <c r="W527" s="182"/>
      <c r="X527" s="182"/>
      <c r="Y527" s="182"/>
      <c r="Z527" s="182"/>
      <c r="AA527" s="182"/>
    </row>
    <row r="528" spans="1:27" ht="14.4">
      <c r="A528" s="182"/>
      <c r="B528" s="182"/>
      <c r="C528" s="182"/>
      <c r="D528" s="182"/>
      <c r="E528" s="182"/>
      <c r="F528" s="182"/>
      <c r="G528" s="182"/>
      <c r="H528" s="182"/>
      <c r="I528" s="182"/>
      <c r="J528" s="182"/>
      <c r="K528" s="182"/>
      <c r="L528" s="182"/>
      <c r="M528" s="179"/>
      <c r="N528" s="179"/>
      <c r="O528" s="179"/>
      <c r="P528" s="182"/>
      <c r="Q528" s="182"/>
      <c r="R528" s="182"/>
      <c r="S528" s="182"/>
      <c r="T528" s="182"/>
      <c r="U528" s="182"/>
      <c r="V528" s="182"/>
      <c r="W528" s="182"/>
      <c r="X528" s="182"/>
      <c r="Y528" s="182"/>
      <c r="Z528" s="182"/>
      <c r="AA528" s="182"/>
    </row>
    <row r="529" spans="1:27" ht="14.4">
      <c r="A529" s="182"/>
      <c r="B529" s="182"/>
      <c r="C529" s="182"/>
      <c r="D529" s="182"/>
      <c r="E529" s="182"/>
      <c r="F529" s="182"/>
      <c r="G529" s="182"/>
      <c r="H529" s="182"/>
      <c r="I529" s="182"/>
      <c r="J529" s="182"/>
      <c r="K529" s="182"/>
      <c r="L529" s="182"/>
      <c r="M529" s="179"/>
      <c r="N529" s="179"/>
      <c r="O529" s="179"/>
      <c r="P529" s="182"/>
      <c r="Q529" s="182"/>
      <c r="R529" s="182"/>
      <c r="S529" s="182"/>
      <c r="T529" s="182"/>
      <c r="U529" s="182"/>
      <c r="V529" s="182"/>
      <c r="W529" s="182"/>
      <c r="X529" s="182"/>
      <c r="Y529" s="182"/>
      <c r="Z529" s="182"/>
      <c r="AA529" s="182"/>
    </row>
    <row r="530" spans="1:27" ht="14.4">
      <c r="A530" s="182"/>
      <c r="B530" s="182"/>
      <c r="C530" s="182"/>
      <c r="D530" s="182"/>
      <c r="E530" s="182"/>
      <c r="F530" s="182"/>
      <c r="G530" s="182"/>
      <c r="H530" s="182"/>
      <c r="I530" s="182"/>
      <c r="J530" s="182"/>
      <c r="K530" s="182"/>
      <c r="L530" s="182"/>
      <c r="M530" s="179"/>
      <c r="N530" s="179"/>
      <c r="O530" s="179"/>
      <c r="P530" s="182"/>
      <c r="Q530" s="182"/>
      <c r="R530" s="182"/>
      <c r="S530" s="182"/>
      <c r="T530" s="182"/>
      <c r="U530" s="182"/>
      <c r="V530" s="182"/>
      <c r="W530" s="182"/>
      <c r="X530" s="182"/>
      <c r="Y530" s="182"/>
      <c r="Z530" s="182"/>
      <c r="AA530" s="182"/>
    </row>
    <row r="531" spans="1:27" ht="14.4">
      <c r="A531" s="182"/>
      <c r="B531" s="182"/>
      <c r="C531" s="182"/>
      <c r="D531" s="182"/>
      <c r="E531" s="182"/>
      <c r="F531" s="182"/>
      <c r="G531" s="182"/>
      <c r="H531" s="182"/>
      <c r="I531" s="182"/>
      <c r="J531" s="182"/>
      <c r="K531" s="182"/>
      <c r="L531" s="182"/>
      <c r="M531" s="179"/>
      <c r="N531" s="179"/>
      <c r="O531" s="179"/>
      <c r="P531" s="182"/>
      <c r="Q531" s="182"/>
      <c r="R531" s="182"/>
      <c r="S531" s="182"/>
      <c r="T531" s="182"/>
      <c r="U531" s="182"/>
      <c r="V531" s="182"/>
      <c r="W531" s="182"/>
      <c r="X531" s="182"/>
      <c r="Y531" s="182"/>
      <c r="Z531" s="182"/>
      <c r="AA531" s="182"/>
    </row>
    <row r="532" spans="1:27" ht="14.4">
      <c r="A532" s="182"/>
      <c r="B532" s="182"/>
      <c r="C532" s="182"/>
      <c r="D532" s="182"/>
      <c r="E532" s="182"/>
      <c r="F532" s="182"/>
      <c r="G532" s="182"/>
      <c r="H532" s="182"/>
      <c r="I532" s="182"/>
      <c r="J532" s="182"/>
      <c r="K532" s="182"/>
      <c r="L532" s="182"/>
      <c r="M532" s="179"/>
      <c r="N532" s="179"/>
      <c r="O532" s="179"/>
      <c r="P532" s="182"/>
      <c r="Q532" s="182"/>
      <c r="R532" s="182"/>
      <c r="S532" s="182"/>
      <c r="T532" s="182"/>
      <c r="U532" s="182"/>
      <c r="V532" s="182"/>
      <c r="W532" s="182"/>
      <c r="X532" s="182"/>
      <c r="Y532" s="182"/>
      <c r="Z532" s="182"/>
      <c r="AA532" s="182"/>
    </row>
    <row r="533" spans="1:27" ht="14.4">
      <c r="A533" s="182"/>
      <c r="B533" s="182"/>
      <c r="C533" s="182"/>
      <c r="D533" s="182"/>
      <c r="E533" s="182"/>
      <c r="F533" s="182"/>
      <c r="G533" s="182"/>
      <c r="H533" s="182"/>
      <c r="I533" s="182"/>
      <c r="J533" s="182"/>
      <c r="K533" s="182"/>
      <c r="L533" s="182"/>
      <c r="M533" s="179"/>
      <c r="N533" s="179"/>
      <c r="O533" s="179"/>
      <c r="P533" s="182"/>
      <c r="Q533" s="182"/>
      <c r="R533" s="182"/>
      <c r="S533" s="182"/>
      <c r="T533" s="182"/>
      <c r="U533" s="182"/>
      <c r="V533" s="182"/>
      <c r="W533" s="182"/>
      <c r="X533" s="182"/>
      <c r="Y533" s="182"/>
      <c r="Z533" s="182"/>
      <c r="AA533" s="182"/>
    </row>
    <row r="534" spans="1:27" ht="14.4">
      <c r="A534" s="182"/>
      <c r="B534" s="182"/>
      <c r="C534" s="182"/>
      <c r="D534" s="182"/>
      <c r="E534" s="182"/>
      <c r="F534" s="182"/>
      <c r="G534" s="182"/>
      <c r="H534" s="182"/>
      <c r="I534" s="182"/>
      <c r="J534" s="182"/>
      <c r="K534" s="182"/>
      <c r="L534" s="182"/>
      <c r="M534" s="179"/>
      <c r="N534" s="179"/>
      <c r="O534" s="179"/>
      <c r="P534" s="182"/>
      <c r="Q534" s="182"/>
      <c r="R534" s="182"/>
      <c r="S534" s="182"/>
      <c r="T534" s="182"/>
      <c r="U534" s="182"/>
      <c r="V534" s="182"/>
      <c r="W534" s="182"/>
      <c r="X534" s="182"/>
      <c r="Y534" s="182"/>
      <c r="Z534" s="182"/>
      <c r="AA534" s="182"/>
    </row>
    <row r="535" spans="1:27" ht="14.4">
      <c r="A535" s="182"/>
      <c r="B535" s="182"/>
      <c r="C535" s="182"/>
      <c r="D535" s="182"/>
      <c r="E535" s="182"/>
      <c r="F535" s="182"/>
      <c r="G535" s="182"/>
      <c r="H535" s="182"/>
      <c r="I535" s="182"/>
      <c r="J535" s="182"/>
      <c r="K535" s="182"/>
      <c r="L535" s="182"/>
      <c r="M535" s="179"/>
      <c r="N535" s="179"/>
      <c r="O535" s="179"/>
      <c r="P535" s="182"/>
      <c r="Q535" s="182"/>
      <c r="R535" s="182"/>
      <c r="S535" s="182"/>
      <c r="T535" s="182"/>
      <c r="U535" s="182"/>
      <c r="V535" s="182"/>
      <c r="W535" s="182"/>
      <c r="X535" s="182"/>
      <c r="Y535" s="182"/>
      <c r="Z535" s="182"/>
      <c r="AA535" s="182"/>
    </row>
    <row r="536" spans="1:27" ht="14.4">
      <c r="A536" s="182"/>
      <c r="B536" s="182"/>
      <c r="C536" s="182"/>
      <c r="D536" s="182"/>
      <c r="E536" s="182"/>
      <c r="F536" s="182"/>
      <c r="G536" s="182"/>
      <c r="H536" s="182"/>
      <c r="I536" s="182"/>
      <c r="J536" s="182"/>
      <c r="K536" s="182"/>
      <c r="L536" s="182"/>
      <c r="M536" s="179"/>
      <c r="N536" s="179"/>
      <c r="O536" s="179"/>
      <c r="P536" s="182"/>
      <c r="Q536" s="182"/>
      <c r="R536" s="182"/>
      <c r="S536" s="182"/>
      <c r="T536" s="182"/>
      <c r="U536" s="182"/>
      <c r="V536" s="182"/>
      <c r="W536" s="182"/>
      <c r="X536" s="182"/>
      <c r="Y536" s="182"/>
      <c r="Z536" s="182"/>
      <c r="AA536" s="182"/>
    </row>
    <row r="537" spans="1:27" ht="14.4">
      <c r="A537" s="182"/>
      <c r="B537" s="182"/>
      <c r="C537" s="182"/>
      <c r="D537" s="182"/>
      <c r="E537" s="182"/>
      <c r="F537" s="182"/>
      <c r="G537" s="182"/>
      <c r="H537" s="182"/>
      <c r="I537" s="182"/>
      <c r="J537" s="182"/>
      <c r="K537" s="182"/>
      <c r="L537" s="182"/>
      <c r="M537" s="179"/>
      <c r="N537" s="179"/>
      <c r="O537" s="179"/>
      <c r="P537" s="182"/>
      <c r="Q537" s="182"/>
      <c r="R537" s="182"/>
      <c r="S537" s="182"/>
      <c r="T537" s="182"/>
      <c r="U537" s="182"/>
      <c r="V537" s="182"/>
      <c r="W537" s="182"/>
      <c r="X537" s="182"/>
      <c r="Y537" s="182"/>
      <c r="Z537" s="182"/>
      <c r="AA537" s="182"/>
    </row>
    <row r="538" spans="1:27" ht="14.4">
      <c r="A538" s="182"/>
      <c r="B538" s="182"/>
      <c r="C538" s="182"/>
      <c r="D538" s="182"/>
      <c r="E538" s="182"/>
      <c r="F538" s="182"/>
      <c r="G538" s="182"/>
      <c r="H538" s="182"/>
      <c r="I538" s="182"/>
      <c r="J538" s="182"/>
      <c r="K538" s="182"/>
      <c r="L538" s="182"/>
      <c r="M538" s="179"/>
      <c r="N538" s="179"/>
      <c r="O538" s="179"/>
      <c r="P538" s="182"/>
      <c r="Q538" s="182"/>
      <c r="R538" s="182"/>
      <c r="S538" s="182"/>
      <c r="T538" s="182"/>
      <c r="U538" s="182"/>
      <c r="V538" s="182"/>
      <c r="W538" s="182"/>
      <c r="X538" s="182"/>
      <c r="Y538" s="182"/>
      <c r="Z538" s="182"/>
      <c r="AA538" s="182"/>
    </row>
    <row r="539" spans="1:27" ht="14.4">
      <c r="A539" s="182"/>
      <c r="B539" s="182"/>
      <c r="C539" s="182"/>
      <c r="D539" s="182"/>
      <c r="E539" s="182"/>
      <c r="F539" s="182"/>
      <c r="G539" s="182"/>
      <c r="H539" s="182"/>
      <c r="I539" s="182"/>
      <c r="J539" s="182"/>
      <c r="K539" s="182"/>
      <c r="L539" s="182"/>
      <c r="M539" s="179"/>
      <c r="N539" s="179"/>
      <c r="O539" s="179"/>
      <c r="P539" s="182"/>
      <c r="Q539" s="182"/>
      <c r="R539" s="182"/>
      <c r="S539" s="182"/>
      <c r="T539" s="182"/>
      <c r="U539" s="182"/>
      <c r="V539" s="182"/>
      <c r="W539" s="182"/>
      <c r="X539" s="182"/>
      <c r="Y539" s="182"/>
      <c r="Z539" s="182"/>
      <c r="AA539" s="182"/>
    </row>
    <row r="540" spans="1:27" ht="14.4">
      <c r="A540" s="182"/>
      <c r="B540" s="182"/>
      <c r="C540" s="182"/>
      <c r="D540" s="182"/>
      <c r="E540" s="182"/>
      <c r="F540" s="182"/>
      <c r="G540" s="182"/>
      <c r="H540" s="182"/>
      <c r="I540" s="182"/>
      <c r="J540" s="182"/>
      <c r="K540" s="182"/>
      <c r="L540" s="182"/>
      <c r="M540" s="179"/>
      <c r="N540" s="179"/>
      <c r="O540" s="179"/>
      <c r="P540" s="182"/>
      <c r="Q540" s="182"/>
      <c r="R540" s="182"/>
      <c r="S540" s="182"/>
      <c r="T540" s="182"/>
      <c r="U540" s="182"/>
      <c r="V540" s="182"/>
      <c r="W540" s="182"/>
      <c r="X540" s="182"/>
      <c r="Y540" s="182"/>
      <c r="Z540" s="182"/>
      <c r="AA540" s="182"/>
    </row>
    <row r="541" spans="1:27" ht="14.4">
      <c r="A541" s="182"/>
      <c r="B541" s="182"/>
      <c r="C541" s="182"/>
      <c r="D541" s="182"/>
      <c r="E541" s="182"/>
      <c r="F541" s="182"/>
      <c r="G541" s="182"/>
      <c r="H541" s="182"/>
      <c r="I541" s="182"/>
      <c r="J541" s="182"/>
      <c r="K541" s="182"/>
      <c r="L541" s="182"/>
      <c r="M541" s="179"/>
      <c r="N541" s="179"/>
      <c r="O541" s="179"/>
      <c r="P541" s="182"/>
      <c r="Q541" s="182"/>
      <c r="R541" s="182"/>
      <c r="S541" s="182"/>
      <c r="T541" s="182"/>
      <c r="U541" s="182"/>
      <c r="V541" s="182"/>
      <c r="W541" s="182"/>
      <c r="X541" s="182"/>
      <c r="Y541" s="182"/>
      <c r="Z541" s="182"/>
      <c r="AA541" s="182"/>
    </row>
    <row r="542" spans="1:27" ht="14.4">
      <c r="A542" s="182"/>
      <c r="B542" s="182"/>
      <c r="C542" s="182"/>
      <c r="D542" s="182"/>
      <c r="E542" s="182"/>
      <c r="F542" s="182"/>
      <c r="G542" s="182"/>
      <c r="H542" s="182"/>
      <c r="I542" s="182"/>
      <c r="J542" s="182"/>
      <c r="K542" s="182"/>
      <c r="L542" s="182"/>
      <c r="M542" s="179"/>
      <c r="N542" s="179"/>
      <c r="O542" s="179"/>
      <c r="P542" s="182"/>
      <c r="Q542" s="182"/>
      <c r="R542" s="182"/>
      <c r="S542" s="182"/>
      <c r="T542" s="182"/>
      <c r="U542" s="182"/>
      <c r="V542" s="182"/>
      <c r="W542" s="182"/>
      <c r="X542" s="182"/>
      <c r="Y542" s="182"/>
      <c r="Z542" s="182"/>
      <c r="AA542" s="182"/>
    </row>
    <row r="543" spans="1:27" ht="14.4">
      <c r="A543" s="182"/>
      <c r="B543" s="182"/>
      <c r="C543" s="182"/>
      <c r="D543" s="182"/>
      <c r="E543" s="182"/>
      <c r="F543" s="182"/>
      <c r="G543" s="182"/>
      <c r="H543" s="182"/>
      <c r="I543" s="182"/>
      <c r="J543" s="182"/>
      <c r="K543" s="182"/>
      <c r="L543" s="182"/>
      <c r="M543" s="179"/>
      <c r="N543" s="179"/>
      <c r="O543" s="179"/>
      <c r="P543" s="182"/>
      <c r="Q543" s="182"/>
      <c r="R543" s="182"/>
      <c r="S543" s="182"/>
      <c r="T543" s="182"/>
      <c r="U543" s="182"/>
      <c r="V543" s="182"/>
      <c r="W543" s="182"/>
      <c r="X543" s="182"/>
      <c r="Y543" s="182"/>
      <c r="Z543" s="182"/>
      <c r="AA543" s="182"/>
    </row>
    <row r="544" spans="1:27" ht="14.4">
      <c r="A544" s="182"/>
      <c r="B544" s="182"/>
      <c r="C544" s="182"/>
      <c r="D544" s="182"/>
      <c r="E544" s="182"/>
      <c r="F544" s="182"/>
      <c r="G544" s="182"/>
      <c r="H544" s="182"/>
      <c r="I544" s="182"/>
      <c r="J544" s="182"/>
      <c r="K544" s="182"/>
      <c r="L544" s="182"/>
      <c r="M544" s="179"/>
      <c r="N544" s="179"/>
      <c r="O544" s="179"/>
      <c r="P544" s="182"/>
      <c r="Q544" s="182"/>
      <c r="R544" s="182"/>
      <c r="S544" s="182"/>
      <c r="T544" s="182"/>
      <c r="U544" s="182"/>
      <c r="V544" s="182"/>
      <c r="W544" s="182"/>
      <c r="X544" s="182"/>
      <c r="Y544" s="182"/>
      <c r="Z544" s="182"/>
      <c r="AA544" s="182"/>
    </row>
    <row r="545" spans="1:27" ht="14.4">
      <c r="A545" s="182"/>
      <c r="B545" s="182"/>
      <c r="C545" s="182"/>
      <c r="D545" s="182"/>
      <c r="E545" s="182"/>
      <c r="F545" s="182"/>
      <c r="G545" s="182"/>
      <c r="H545" s="182"/>
      <c r="I545" s="182"/>
      <c r="J545" s="182"/>
      <c r="K545" s="182"/>
      <c r="L545" s="182"/>
      <c r="M545" s="179"/>
      <c r="N545" s="179"/>
      <c r="O545" s="179"/>
      <c r="P545" s="182"/>
      <c r="Q545" s="182"/>
      <c r="R545" s="182"/>
      <c r="S545" s="182"/>
      <c r="T545" s="182"/>
      <c r="U545" s="182"/>
      <c r="V545" s="182"/>
      <c r="W545" s="182"/>
      <c r="X545" s="182"/>
      <c r="Y545" s="182"/>
      <c r="Z545" s="182"/>
      <c r="AA545" s="182"/>
    </row>
    <row r="546" spans="1:27" ht="14.4">
      <c r="A546" s="182"/>
      <c r="B546" s="182"/>
      <c r="C546" s="182"/>
      <c r="D546" s="182"/>
      <c r="E546" s="182"/>
      <c r="F546" s="182"/>
      <c r="G546" s="182"/>
      <c r="H546" s="182"/>
      <c r="I546" s="182"/>
      <c r="J546" s="182"/>
      <c r="K546" s="182"/>
      <c r="L546" s="182"/>
      <c r="M546" s="179"/>
      <c r="N546" s="179"/>
      <c r="O546" s="179"/>
      <c r="P546" s="182"/>
      <c r="Q546" s="182"/>
      <c r="R546" s="182"/>
      <c r="S546" s="182"/>
      <c r="T546" s="182"/>
      <c r="U546" s="182"/>
      <c r="V546" s="182"/>
      <c r="W546" s="182"/>
      <c r="X546" s="182"/>
      <c r="Y546" s="182"/>
      <c r="Z546" s="182"/>
      <c r="AA546" s="182"/>
    </row>
    <row r="547" spans="1:27" ht="14.4">
      <c r="A547" s="182"/>
      <c r="B547" s="182"/>
      <c r="C547" s="182"/>
      <c r="D547" s="182"/>
      <c r="E547" s="182"/>
      <c r="F547" s="182"/>
      <c r="G547" s="182"/>
      <c r="H547" s="182"/>
      <c r="I547" s="182"/>
      <c r="J547" s="182"/>
      <c r="K547" s="182"/>
      <c r="L547" s="182"/>
      <c r="M547" s="179"/>
      <c r="N547" s="179"/>
      <c r="O547" s="179"/>
      <c r="P547" s="182"/>
      <c r="Q547" s="182"/>
      <c r="R547" s="182"/>
      <c r="S547" s="182"/>
      <c r="T547" s="182"/>
      <c r="U547" s="182"/>
      <c r="V547" s="182"/>
      <c r="W547" s="182"/>
      <c r="X547" s="182"/>
      <c r="Y547" s="182"/>
      <c r="Z547" s="182"/>
      <c r="AA547" s="182"/>
    </row>
    <row r="548" spans="1:27" ht="14.4">
      <c r="A548" s="182"/>
      <c r="B548" s="182"/>
      <c r="C548" s="182"/>
      <c r="D548" s="182"/>
      <c r="E548" s="182"/>
      <c r="F548" s="182"/>
      <c r="G548" s="182"/>
      <c r="H548" s="182"/>
      <c r="I548" s="182"/>
      <c r="J548" s="182"/>
      <c r="K548" s="182"/>
      <c r="L548" s="182"/>
      <c r="M548" s="179"/>
      <c r="N548" s="179"/>
      <c r="O548" s="179"/>
      <c r="P548" s="182"/>
      <c r="Q548" s="182"/>
      <c r="R548" s="182"/>
      <c r="S548" s="182"/>
      <c r="T548" s="182"/>
      <c r="U548" s="182"/>
      <c r="V548" s="182"/>
      <c r="W548" s="182"/>
      <c r="X548" s="182"/>
      <c r="Y548" s="182"/>
      <c r="Z548" s="182"/>
      <c r="AA548" s="182"/>
    </row>
    <row r="549" spans="1:27" ht="14.4">
      <c r="A549" s="182"/>
      <c r="B549" s="182"/>
      <c r="C549" s="182"/>
      <c r="D549" s="182"/>
      <c r="E549" s="182"/>
      <c r="F549" s="182"/>
      <c r="G549" s="182"/>
      <c r="H549" s="182"/>
      <c r="I549" s="182"/>
      <c r="J549" s="182"/>
      <c r="K549" s="182"/>
      <c r="L549" s="182"/>
      <c r="M549" s="179"/>
      <c r="N549" s="179"/>
      <c r="O549" s="179"/>
      <c r="P549" s="182"/>
      <c r="Q549" s="182"/>
      <c r="R549" s="182"/>
      <c r="S549" s="182"/>
      <c r="T549" s="182"/>
      <c r="U549" s="182"/>
      <c r="V549" s="182"/>
      <c r="W549" s="182"/>
      <c r="X549" s="182"/>
      <c r="Y549" s="182"/>
      <c r="Z549" s="182"/>
      <c r="AA549" s="182"/>
    </row>
    <row r="550" spans="1:27" ht="14.4">
      <c r="A550" s="182"/>
      <c r="B550" s="182"/>
      <c r="C550" s="182"/>
      <c r="D550" s="182"/>
      <c r="E550" s="182"/>
      <c r="F550" s="182"/>
      <c r="G550" s="182"/>
      <c r="H550" s="182"/>
      <c r="I550" s="182"/>
      <c r="J550" s="182"/>
      <c r="K550" s="182"/>
      <c r="L550" s="182"/>
      <c r="M550" s="179"/>
      <c r="N550" s="179"/>
      <c r="O550" s="179"/>
      <c r="P550" s="182"/>
      <c r="Q550" s="182"/>
      <c r="R550" s="182"/>
      <c r="S550" s="182"/>
      <c r="T550" s="182"/>
      <c r="U550" s="182"/>
      <c r="V550" s="182"/>
      <c r="W550" s="182"/>
      <c r="X550" s="182"/>
      <c r="Y550" s="182"/>
      <c r="Z550" s="182"/>
      <c r="AA550" s="182"/>
    </row>
    <row r="551" spans="1:27" ht="14.4">
      <c r="A551" s="182"/>
      <c r="B551" s="182"/>
      <c r="C551" s="182"/>
      <c r="D551" s="182"/>
      <c r="E551" s="182"/>
      <c r="F551" s="182"/>
      <c r="G551" s="182"/>
      <c r="H551" s="182"/>
      <c r="I551" s="182"/>
      <c r="J551" s="182"/>
      <c r="K551" s="182"/>
      <c r="L551" s="182"/>
      <c r="M551" s="179"/>
      <c r="N551" s="179"/>
      <c r="O551" s="179"/>
      <c r="P551" s="182"/>
      <c r="Q551" s="182"/>
      <c r="R551" s="182"/>
      <c r="S551" s="182"/>
      <c r="T551" s="182"/>
      <c r="U551" s="182"/>
      <c r="V551" s="182"/>
      <c r="W551" s="182"/>
      <c r="X551" s="182"/>
      <c r="Y551" s="182"/>
      <c r="Z551" s="182"/>
      <c r="AA551" s="182"/>
    </row>
    <row r="552" spans="1:27" ht="14.4">
      <c r="A552" s="182"/>
      <c r="B552" s="182"/>
      <c r="C552" s="182"/>
      <c r="D552" s="182"/>
      <c r="E552" s="182"/>
      <c r="F552" s="182"/>
      <c r="G552" s="182"/>
      <c r="H552" s="182"/>
      <c r="I552" s="182"/>
      <c r="J552" s="182"/>
      <c r="K552" s="182"/>
      <c r="L552" s="182"/>
      <c r="M552" s="179"/>
      <c r="N552" s="179"/>
      <c r="O552" s="179"/>
      <c r="P552" s="182"/>
      <c r="Q552" s="182"/>
      <c r="R552" s="182"/>
      <c r="S552" s="182"/>
      <c r="T552" s="182"/>
      <c r="U552" s="182"/>
      <c r="V552" s="182"/>
      <c r="W552" s="182"/>
      <c r="X552" s="182"/>
      <c r="Y552" s="182"/>
      <c r="Z552" s="182"/>
      <c r="AA552" s="182"/>
    </row>
    <row r="553" spans="1:27" ht="14.4">
      <c r="A553" s="182"/>
      <c r="B553" s="182"/>
      <c r="C553" s="182"/>
      <c r="D553" s="182"/>
      <c r="E553" s="182"/>
      <c r="F553" s="182"/>
      <c r="G553" s="182"/>
      <c r="H553" s="182"/>
      <c r="I553" s="182"/>
      <c r="J553" s="182"/>
      <c r="K553" s="182"/>
      <c r="L553" s="182"/>
      <c r="M553" s="179"/>
      <c r="N553" s="179"/>
      <c r="O553" s="179"/>
      <c r="P553" s="182"/>
      <c r="Q553" s="182"/>
      <c r="R553" s="182"/>
      <c r="S553" s="182"/>
      <c r="T553" s="182"/>
      <c r="U553" s="182"/>
      <c r="V553" s="182"/>
      <c r="W553" s="182"/>
      <c r="X553" s="182"/>
      <c r="Y553" s="182"/>
      <c r="Z553" s="182"/>
      <c r="AA553" s="182"/>
    </row>
    <row r="554" spans="1:27" ht="14.4">
      <c r="A554" s="182"/>
      <c r="B554" s="182"/>
      <c r="C554" s="182"/>
      <c r="D554" s="182"/>
      <c r="E554" s="182"/>
      <c r="F554" s="182"/>
      <c r="G554" s="182"/>
      <c r="H554" s="182"/>
      <c r="I554" s="182"/>
      <c r="J554" s="182"/>
      <c r="K554" s="182"/>
      <c r="L554" s="182"/>
      <c r="M554" s="179"/>
      <c r="N554" s="179"/>
      <c r="O554" s="179"/>
      <c r="P554" s="182"/>
      <c r="Q554" s="182"/>
      <c r="R554" s="182"/>
      <c r="S554" s="182"/>
      <c r="T554" s="182"/>
      <c r="U554" s="182"/>
      <c r="V554" s="182"/>
      <c r="W554" s="182"/>
      <c r="X554" s="182"/>
      <c r="Y554" s="182"/>
      <c r="Z554" s="182"/>
      <c r="AA554" s="182"/>
    </row>
    <row r="555" spans="1:27" ht="14.4">
      <c r="A555" s="182"/>
      <c r="B555" s="182"/>
      <c r="C555" s="182"/>
      <c r="D555" s="182"/>
      <c r="E555" s="182"/>
      <c r="F555" s="182"/>
      <c r="G555" s="182"/>
      <c r="H555" s="182"/>
      <c r="I555" s="182"/>
      <c r="J555" s="182"/>
      <c r="K555" s="182"/>
      <c r="L555" s="182"/>
      <c r="M555" s="179"/>
      <c r="N555" s="179"/>
      <c r="O555" s="179"/>
      <c r="P555" s="182"/>
      <c r="Q555" s="182"/>
      <c r="R555" s="182"/>
      <c r="S555" s="182"/>
      <c r="T555" s="182"/>
      <c r="U555" s="182"/>
      <c r="V555" s="182"/>
      <c r="W555" s="182"/>
      <c r="X555" s="182"/>
      <c r="Y555" s="182"/>
      <c r="Z555" s="182"/>
      <c r="AA555" s="182"/>
    </row>
    <row r="556" spans="1:27" ht="14.4">
      <c r="A556" s="182"/>
      <c r="B556" s="182"/>
      <c r="C556" s="182"/>
      <c r="D556" s="182"/>
      <c r="E556" s="182"/>
      <c r="F556" s="182"/>
      <c r="G556" s="182"/>
      <c r="H556" s="182"/>
      <c r="I556" s="182"/>
      <c r="J556" s="182"/>
      <c r="K556" s="182"/>
      <c r="L556" s="182"/>
      <c r="M556" s="179"/>
      <c r="N556" s="179"/>
      <c r="O556" s="179"/>
      <c r="P556" s="182"/>
      <c r="Q556" s="182"/>
      <c r="R556" s="182"/>
      <c r="S556" s="182"/>
      <c r="T556" s="182"/>
      <c r="U556" s="182"/>
      <c r="V556" s="182"/>
      <c r="W556" s="182"/>
      <c r="X556" s="182"/>
      <c r="Y556" s="182"/>
      <c r="Z556" s="182"/>
      <c r="AA556" s="182"/>
    </row>
    <row r="557" spans="1:27" ht="14.4">
      <c r="A557" s="182"/>
      <c r="B557" s="182"/>
      <c r="C557" s="182"/>
      <c r="D557" s="182"/>
      <c r="E557" s="182"/>
      <c r="F557" s="182"/>
      <c r="G557" s="182"/>
      <c r="H557" s="182"/>
      <c r="I557" s="182"/>
      <c r="J557" s="182"/>
      <c r="K557" s="182"/>
      <c r="L557" s="182"/>
      <c r="M557" s="179"/>
      <c r="N557" s="179"/>
      <c r="O557" s="179"/>
      <c r="P557" s="182"/>
      <c r="Q557" s="182"/>
      <c r="R557" s="182"/>
      <c r="S557" s="182"/>
      <c r="T557" s="182"/>
      <c r="U557" s="182"/>
      <c r="V557" s="182"/>
      <c r="W557" s="182"/>
      <c r="X557" s="182"/>
      <c r="Y557" s="182"/>
      <c r="Z557" s="182"/>
      <c r="AA557" s="182"/>
    </row>
    <row r="558" spans="1:27" ht="14.4">
      <c r="A558" s="182"/>
      <c r="B558" s="182"/>
      <c r="C558" s="182"/>
      <c r="D558" s="182"/>
      <c r="E558" s="182"/>
      <c r="F558" s="182"/>
      <c r="G558" s="182"/>
      <c r="H558" s="182"/>
      <c r="I558" s="182"/>
      <c r="J558" s="182"/>
      <c r="K558" s="182"/>
      <c r="L558" s="182"/>
      <c r="M558" s="179"/>
      <c r="N558" s="179"/>
      <c r="O558" s="179"/>
      <c r="P558" s="182"/>
      <c r="Q558" s="182"/>
      <c r="R558" s="182"/>
      <c r="S558" s="182"/>
      <c r="T558" s="182"/>
      <c r="U558" s="182"/>
      <c r="V558" s="182"/>
      <c r="W558" s="182"/>
      <c r="X558" s="182"/>
      <c r="Y558" s="182"/>
      <c r="Z558" s="182"/>
      <c r="AA558" s="182"/>
    </row>
    <row r="559" spans="1:27" ht="14.4">
      <c r="A559" s="182"/>
      <c r="B559" s="182"/>
      <c r="C559" s="182"/>
      <c r="D559" s="182"/>
      <c r="E559" s="182"/>
      <c r="F559" s="182"/>
      <c r="G559" s="182"/>
      <c r="H559" s="182"/>
      <c r="I559" s="182"/>
      <c r="J559" s="182"/>
      <c r="K559" s="182"/>
      <c r="L559" s="182"/>
      <c r="M559" s="179"/>
      <c r="N559" s="179"/>
      <c r="O559" s="179"/>
      <c r="P559" s="182"/>
      <c r="Q559" s="182"/>
      <c r="R559" s="182"/>
      <c r="S559" s="182"/>
      <c r="T559" s="182"/>
      <c r="U559" s="182"/>
      <c r="V559" s="182"/>
      <c r="W559" s="182"/>
      <c r="X559" s="182"/>
      <c r="Y559" s="182"/>
      <c r="Z559" s="182"/>
      <c r="AA559" s="182"/>
    </row>
    <row r="560" spans="1:27" ht="14.4">
      <c r="A560" s="182"/>
      <c r="B560" s="182"/>
      <c r="C560" s="182"/>
      <c r="D560" s="182"/>
      <c r="E560" s="182"/>
      <c r="F560" s="182"/>
      <c r="G560" s="182"/>
      <c r="H560" s="182"/>
      <c r="I560" s="182"/>
      <c r="J560" s="182"/>
      <c r="K560" s="182"/>
      <c r="L560" s="182"/>
      <c r="M560" s="179"/>
      <c r="N560" s="179"/>
      <c r="O560" s="179"/>
      <c r="P560" s="182"/>
      <c r="Q560" s="182"/>
      <c r="R560" s="182"/>
      <c r="S560" s="182"/>
      <c r="T560" s="182"/>
      <c r="U560" s="182"/>
      <c r="V560" s="182"/>
      <c r="W560" s="182"/>
      <c r="X560" s="182"/>
      <c r="Y560" s="182"/>
      <c r="Z560" s="182"/>
      <c r="AA560" s="182"/>
    </row>
    <row r="561" spans="1:27" ht="14.4">
      <c r="A561" s="182"/>
      <c r="B561" s="182"/>
      <c r="C561" s="182"/>
      <c r="D561" s="182"/>
      <c r="E561" s="182"/>
      <c r="F561" s="182"/>
      <c r="G561" s="182"/>
      <c r="H561" s="182"/>
      <c r="I561" s="182"/>
      <c r="J561" s="182"/>
      <c r="K561" s="182"/>
      <c r="L561" s="182"/>
      <c r="M561" s="179"/>
      <c r="N561" s="179"/>
      <c r="O561" s="179"/>
      <c r="P561" s="182"/>
      <c r="Q561" s="182"/>
      <c r="R561" s="182"/>
      <c r="S561" s="182"/>
      <c r="T561" s="182"/>
      <c r="U561" s="182"/>
      <c r="V561" s="182"/>
      <c r="W561" s="182"/>
      <c r="X561" s="182"/>
      <c r="Y561" s="182"/>
      <c r="Z561" s="182"/>
      <c r="AA561" s="182"/>
    </row>
    <row r="562" spans="1:27" ht="14.4">
      <c r="A562" s="182"/>
      <c r="B562" s="182"/>
      <c r="C562" s="182"/>
      <c r="D562" s="182"/>
      <c r="E562" s="182"/>
      <c r="F562" s="182"/>
      <c r="G562" s="182"/>
      <c r="H562" s="182"/>
      <c r="I562" s="182"/>
      <c r="J562" s="182"/>
      <c r="K562" s="182"/>
      <c r="L562" s="182"/>
      <c r="M562" s="179"/>
      <c r="N562" s="179"/>
      <c r="O562" s="179"/>
      <c r="P562" s="182"/>
      <c r="Q562" s="182"/>
      <c r="R562" s="182"/>
      <c r="S562" s="182"/>
      <c r="T562" s="182"/>
      <c r="U562" s="182"/>
      <c r="V562" s="182"/>
      <c r="W562" s="182"/>
      <c r="X562" s="182"/>
      <c r="Y562" s="182"/>
      <c r="Z562" s="182"/>
      <c r="AA562" s="182"/>
    </row>
    <row r="563" spans="1:27" ht="14.4">
      <c r="A563" s="182"/>
      <c r="B563" s="182"/>
      <c r="C563" s="182"/>
      <c r="D563" s="182"/>
      <c r="E563" s="182"/>
      <c r="F563" s="182"/>
      <c r="G563" s="182"/>
      <c r="H563" s="182"/>
      <c r="I563" s="182"/>
      <c r="J563" s="182"/>
      <c r="K563" s="182"/>
      <c r="L563" s="182"/>
      <c r="M563" s="179"/>
      <c r="N563" s="179"/>
      <c r="O563" s="179"/>
      <c r="P563" s="182"/>
      <c r="Q563" s="182"/>
      <c r="R563" s="182"/>
      <c r="S563" s="182"/>
      <c r="T563" s="182"/>
      <c r="U563" s="182"/>
      <c r="V563" s="182"/>
      <c r="W563" s="182"/>
      <c r="X563" s="182"/>
      <c r="Y563" s="182"/>
      <c r="Z563" s="182"/>
      <c r="AA563" s="182"/>
    </row>
    <row r="564" spans="1:27" ht="14.4">
      <c r="A564" s="182"/>
      <c r="B564" s="182"/>
      <c r="C564" s="182"/>
      <c r="D564" s="182"/>
      <c r="E564" s="182"/>
      <c r="F564" s="182"/>
      <c r="G564" s="182"/>
      <c r="H564" s="182"/>
      <c r="I564" s="182"/>
      <c r="J564" s="182"/>
      <c r="K564" s="182"/>
      <c r="L564" s="182"/>
      <c r="M564" s="179"/>
      <c r="N564" s="179"/>
      <c r="O564" s="179"/>
      <c r="P564" s="182"/>
      <c r="Q564" s="182"/>
      <c r="R564" s="182"/>
      <c r="S564" s="182"/>
      <c r="T564" s="182"/>
      <c r="U564" s="182"/>
      <c r="V564" s="182"/>
      <c r="W564" s="182"/>
      <c r="X564" s="182"/>
      <c r="Y564" s="182"/>
      <c r="Z564" s="182"/>
      <c r="AA564" s="182"/>
    </row>
    <row r="565" spans="1:27" ht="14.4">
      <c r="A565" s="182"/>
      <c r="B565" s="182"/>
      <c r="C565" s="182"/>
      <c r="D565" s="182"/>
      <c r="E565" s="182"/>
      <c r="F565" s="182"/>
      <c r="G565" s="182"/>
      <c r="H565" s="182"/>
      <c r="I565" s="182"/>
      <c r="J565" s="182"/>
      <c r="K565" s="182"/>
      <c r="L565" s="182"/>
      <c r="M565" s="179"/>
      <c r="N565" s="179"/>
      <c r="O565" s="179"/>
      <c r="P565" s="182"/>
      <c r="Q565" s="182"/>
      <c r="R565" s="182"/>
      <c r="S565" s="182"/>
      <c r="T565" s="182"/>
      <c r="U565" s="182"/>
      <c r="V565" s="182"/>
      <c r="W565" s="182"/>
      <c r="X565" s="182"/>
      <c r="Y565" s="182"/>
      <c r="Z565" s="182"/>
      <c r="AA565" s="182"/>
    </row>
    <row r="566" spans="1:27" ht="14.4">
      <c r="A566" s="182"/>
      <c r="B566" s="182"/>
      <c r="C566" s="182"/>
      <c r="D566" s="182"/>
      <c r="E566" s="182"/>
      <c r="F566" s="182"/>
      <c r="G566" s="182"/>
      <c r="H566" s="182"/>
      <c r="I566" s="182"/>
      <c r="J566" s="182"/>
      <c r="K566" s="182"/>
      <c r="L566" s="182"/>
      <c r="M566" s="179"/>
      <c r="N566" s="179"/>
      <c r="O566" s="179"/>
      <c r="P566" s="182"/>
      <c r="Q566" s="182"/>
      <c r="R566" s="182"/>
      <c r="S566" s="182"/>
      <c r="T566" s="182"/>
      <c r="U566" s="182"/>
      <c r="V566" s="182"/>
      <c r="W566" s="182"/>
      <c r="X566" s="182"/>
      <c r="Y566" s="182"/>
      <c r="Z566" s="182"/>
      <c r="AA566" s="182"/>
    </row>
    <row r="567" spans="1:27" ht="14.4">
      <c r="A567" s="182"/>
      <c r="B567" s="182"/>
      <c r="C567" s="182"/>
      <c r="D567" s="182"/>
      <c r="E567" s="182"/>
      <c r="F567" s="182"/>
      <c r="G567" s="182"/>
      <c r="H567" s="182"/>
      <c r="I567" s="182"/>
      <c r="J567" s="182"/>
      <c r="K567" s="182"/>
      <c r="L567" s="182"/>
      <c r="M567" s="179"/>
      <c r="N567" s="179"/>
      <c r="O567" s="179"/>
      <c r="P567" s="182"/>
      <c r="Q567" s="182"/>
      <c r="R567" s="182"/>
      <c r="S567" s="182"/>
      <c r="T567" s="182"/>
      <c r="U567" s="182"/>
      <c r="V567" s="182"/>
      <c r="W567" s="182"/>
      <c r="X567" s="182"/>
      <c r="Y567" s="182"/>
      <c r="Z567" s="182"/>
      <c r="AA567" s="182"/>
    </row>
    <row r="568" spans="1:27" ht="14.4">
      <c r="A568" s="182"/>
      <c r="B568" s="182"/>
      <c r="C568" s="182"/>
      <c r="D568" s="182"/>
      <c r="E568" s="182"/>
      <c r="F568" s="182"/>
      <c r="G568" s="182"/>
      <c r="H568" s="182"/>
      <c r="I568" s="182"/>
      <c r="J568" s="182"/>
      <c r="K568" s="182"/>
      <c r="L568" s="182"/>
      <c r="M568" s="179"/>
      <c r="N568" s="179"/>
      <c r="O568" s="179"/>
      <c r="P568" s="182"/>
      <c r="Q568" s="182"/>
      <c r="R568" s="182"/>
      <c r="S568" s="182"/>
      <c r="T568" s="182"/>
      <c r="U568" s="182"/>
      <c r="V568" s="182"/>
      <c r="W568" s="182"/>
      <c r="X568" s="182"/>
      <c r="Y568" s="182"/>
      <c r="Z568" s="182"/>
      <c r="AA568" s="182"/>
    </row>
    <row r="569" spans="1:27" ht="14.4">
      <c r="A569" s="182"/>
      <c r="B569" s="182"/>
      <c r="C569" s="182"/>
      <c r="D569" s="182"/>
      <c r="E569" s="182"/>
      <c r="F569" s="182"/>
      <c r="G569" s="182"/>
      <c r="H569" s="182"/>
      <c r="I569" s="182"/>
      <c r="J569" s="182"/>
      <c r="K569" s="182"/>
      <c r="L569" s="182"/>
      <c r="M569" s="179"/>
      <c r="N569" s="179"/>
      <c r="O569" s="179"/>
      <c r="P569" s="182"/>
      <c r="Q569" s="182"/>
      <c r="R569" s="182"/>
      <c r="S569" s="182"/>
      <c r="T569" s="182"/>
      <c r="U569" s="182"/>
      <c r="V569" s="182"/>
      <c r="W569" s="182"/>
      <c r="X569" s="182"/>
      <c r="Y569" s="182"/>
      <c r="Z569" s="182"/>
      <c r="AA569" s="182"/>
    </row>
    <row r="570" spans="1:27" ht="14.4">
      <c r="A570" s="182"/>
      <c r="B570" s="182"/>
      <c r="C570" s="182"/>
      <c r="D570" s="182"/>
      <c r="E570" s="182"/>
      <c r="F570" s="182"/>
      <c r="G570" s="182"/>
      <c r="H570" s="182"/>
      <c r="I570" s="182"/>
      <c r="J570" s="182"/>
      <c r="K570" s="182"/>
      <c r="L570" s="182"/>
      <c r="M570" s="179"/>
      <c r="N570" s="179"/>
      <c r="O570" s="179"/>
      <c r="P570" s="182"/>
      <c r="Q570" s="182"/>
      <c r="R570" s="182"/>
      <c r="S570" s="182"/>
      <c r="T570" s="182"/>
      <c r="U570" s="182"/>
      <c r="V570" s="182"/>
      <c r="W570" s="182"/>
      <c r="X570" s="182"/>
      <c r="Y570" s="182"/>
      <c r="Z570" s="182"/>
      <c r="AA570" s="182"/>
    </row>
    <row r="571" spans="1:27" ht="14.4">
      <c r="A571" s="182"/>
      <c r="B571" s="182"/>
      <c r="C571" s="182"/>
      <c r="D571" s="182"/>
      <c r="E571" s="182"/>
      <c r="F571" s="182"/>
      <c r="G571" s="182"/>
      <c r="H571" s="182"/>
      <c r="I571" s="182"/>
      <c r="J571" s="182"/>
      <c r="K571" s="182"/>
      <c r="L571" s="182"/>
      <c r="M571" s="179"/>
      <c r="N571" s="179"/>
      <c r="O571" s="179"/>
      <c r="P571" s="182"/>
      <c r="Q571" s="182"/>
      <c r="R571" s="182"/>
      <c r="S571" s="182"/>
      <c r="T571" s="182"/>
      <c r="U571" s="182"/>
      <c r="V571" s="182"/>
      <c r="W571" s="182"/>
      <c r="X571" s="182"/>
      <c r="Y571" s="182"/>
      <c r="Z571" s="182"/>
      <c r="AA571" s="182"/>
    </row>
    <row r="572" spans="1:27" ht="14.4">
      <c r="A572" s="182"/>
      <c r="B572" s="182"/>
      <c r="C572" s="182"/>
      <c r="D572" s="182"/>
      <c r="E572" s="182"/>
      <c r="F572" s="182"/>
      <c r="G572" s="182"/>
      <c r="H572" s="182"/>
      <c r="I572" s="182"/>
      <c r="J572" s="182"/>
      <c r="K572" s="182"/>
      <c r="L572" s="182"/>
      <c r="M572" s="179"/>
      <c r="N572" s="179"/>
      <c r="O572" s="179"/>
      <c r="P572" s="182"/>
      <c r="Q572" s="182"/>
      <c r="R572" s="182"/>
      <c r="S572" s="182"/>
      <c r="T572" s="182"/>
      <c r="U572" s="182"/>
      <c r="V572" s="182"/>
      <c r="W572" s="182"/>
      <c r="X572" s="182"/>
      <c r="Y572" s="182"/>
      <c r="Z572" s="182"/>
      <c r="AA572" s="182"/>
    </row>
    <row r="573" spans="1:27" ht="14.4">
      <c r="A573" s="182"/>
      <c r="B573" s="182"/>
      <c r="C573" s="182"/>
      <c r="D573" s="182"/>
      <c r="E573" s="182"/>
      <c r="F573" s="182"/>
      <c r="G573" s="182"/>
      <c r="H573" s="182"/>
      <c r="I573" s="182"/>
      <c r="J573" s="182"/>
      <c r="K573" s="182"/>
      <c r="L573" s="182"/>
      <c r="M573" s="179"/>
      <c r="N573" s="179"/>
      <c r="O573" s="179"/>
      <c r="P573" s="182"/>
      <c r="Q573" s="182"/>
      <c r="R573" s="182"/>
      <c r="S573" s="182"/>
      <c r="T573" s="182"/>
      <c r="U573" s="182"/>
      <c r="V573" s="182"/>
      <c r="W573" s="182"/>
      <c r="X573" s="182"/>
      <c r="Y573" s="182"/>
      <c r="Z573" s="182"/>
      <c r="AA573" s="182"/>
    </row>
    <row r="574" spans="1:27" ht="14.4">
      <c r="A574" s="182"/>
      <c r="B574" s="182"/>
      <c r="C574" s="182"/>
      <c r="D574" s="182"/>
      <c r="E574" s="182"/>
      <c r="F574" s="182"/>
      <c r="G574" s="182"/>
      <c r="H574" s="182"/>
      <c r="I574" s="182"/>
      <c r="J574" s="182"/>
      <c r="K574" s="182"/>
      <c r="L574" s="182"/>
      <c r="M574" s="179"/>
      <c r="N574" s="179"/>
      <c r="O574" s="179"/>
      <c r="P574" s="182"/>
      <c r="Q574" s="182"/>
      <c r="R574" s="182"/>
      <c r="S574" s="182"/>
      <c r="T574" s="182"/>
      <c r="U574" s="182"/>
      <c r="V574" s="182"/>
      <c r="W574" s="182"/>
      <c r="X574" s="182"/>
      <c r="Y574" s="182"/>
      <c r="Z574" s="182"/>
      <c r="AA574" s="182"/>
    </row>
    <row r="575" spans="1:27" ht="14.4">
      <c r="A575" s="182"/>
      <c r="B575" s="182"/>
      <c r="C575" s="182"/>
      <c r="D575" s="182"/>
      <c r="E575" s="182"/>
      <c r="F575" s="182"/>
      <c r="G575" s="182"/>
      <c r="H575" s="182"/>
      <c r="I575" s="182"/>
      <c r="J575" s="182"/>
      <c r="K575" s="182"/>
      <c r="L575" s="182"/>
      <c r="M575" s="179"/>
      <c r="N575" s="179"/>
      <c r="O575" s="179"/>
      <c r="P575" s="182"/>
      <c r="Q575" s="182"/>
      <c r="R575" s="182"/>
      <c r="S575" s="182"/>
      <c r="T575" s="182"/>
      <c r="U575" s="182"/>
      <c r="V575" s="182"/>
      <c r="W575" s="182"/>
      <c r="X575" s="182"/>
      <c r="Y575" s="182"/>
      <c r="Z575" s="182"/>
      <c r="AA575" s="182"/>
    </row>
    <row r="576" spans="1:27" ht="14.4">
      <c r="A576" s="182"/>
      <c r="B576" s="182"/>
      <c r="C576" s="182"/>
      <c r="D576" s="182"/>
      <c r="E576" s="182"/>
      <c r="F576" s="182"/>
      <c r="G576" s="182"/>
      <c r="H576" s="182"/>
      <c r="I576" s="182"/>
      <c r="J576" s="182"/>
      <c r="K576" s="182"/>
      <c r="L576" s="182"/>
      <c r="M576" s="179"/>
      <c r="N576" s="179"/>
      <c r="O576" s="179"/>
      <c r="P576" s="182"/>
      <c r="Q576" s="182"/>
      <c r="R576" s="182"/>
      <c r="S576" s="182"/>
      <c r="T576" s="182"/>
      <c r="U576" s="182"/>
      <c r="V576" s="182"/>
      <c r="W576" s="182"/>
      <c r="X576" s="182"/>
      <c r="Y576" s="182"/>
      <c r="Z576" s="182"/>
      <c r="AA576" s="182"/>
    </row>
    <row r="577" spans="1:27" ht="14.4">
      <c r="A577" s="182"/>
      <c r="B577" s="182"/>
      <c r="C577" s="182"/>
      <c r="D577" s="182"/>
      <c r="E577" s="182"/>
      <c r="F577" s="182"/>
      <c r="G577" s="182"/>
      <c r="H577" s="182"/>
      <c r="I577" s="182"/>
      <c r="J577" s="182"/>
      <c r="K577" s="182"/>
      <c r="L577" s="182"/>
      <c r="M577" s="179"/>
      <c r="N577" s="179"/>
      <c r="O577" s="179"/>
      <c r="P577" s="182"/>
      <c r="Q577" s="182"/>
      <c r="R577" s="182"/>
      <c r="S577" s="182"/>
      <c r="T577" s="182"/>
      <c r="U577" s="182"/>
      <c r="V577" s="182"/>
      <c r="W577" s="182"/>
      <c r="X577" s="182"/>
      <c r="Y577" s="182"/>
      <c r="Z577" s="182"/>
      <c r="AA577" s="182"/>
    </row>
    <row r="578" spans="1:27" ht="14.4">
      <c r="A578" s="182"/>
      <c r="B578" s="182"/>
      <c r="C578" s="182"/>
      <c r="D578" s="182"/>
      <c r="E578" s="182"/>
      <c r="F578" s="182"/>
      <c r="G578" s="182"/>
      <c r="H578" s="182"/>
      <c r="I578" s="182"/>
      <c r="J578" s="182"/>
      <c r="K578" s="182"/>
      <c r="L578" s="182"/>
      <c r="M578" s="179"/>
      <c r="N578" s="179"/>
      <c r="O578" s="179"/>
      <c r="P578" s="182"/>
      <c r="Q578" s="182"/>
      <c r="R578" s="182"/>
      <c r="S578" s="182"/>
      <c r="T578" s="182"/>
      <c r="U578" s="182"/>
      <c r="V578" s="182"/>
      <c r="W578" s="182"/>
      <c r="X578" s="182"/>
      <c r="Y578" s="182"/>
      <c r="Z578" s="182"/>
      <c r="AA578" s="182"/>
    </row>
    <row r="579" spans="1:27" ht="14.4">
      <c r="A579" s="182"/>
      <c r="B579" s="182"/>
      <c r="C579" s="182"/>
      <c r="D579" s="182"/>
      <c r="E579" s="182"/>
      <c r="F579" s="182"/>
      <c r="G579" s="182"/>
      <c r="H579" s="182"/>
      <c r="I579" s="182"/>
      <c r="J579" s="182"/>
      <c r="K579" s="182"/>
      <c r="L579" s="182"/>
      <c r="M579" s="179"/>
      <c r="N579" s="179"/>
      <c r="O579" s="179"/>
      <c r="P579" s="182"/>
      <c r="Q579" s="182"/>
      <c r="R579" s="182"/>
      <c r="S579" s="182"/>
      <c r="T579" s="182"/>
      <c r="U579" s="182"/>
      <c r="V579" s="182"/>
      <c r="W579" s="182"/>
      <c r="X579" s="182"/>
      <c r="Y579" s="182"/>
      <c r="Z579" s="182"/>
      <c r="AA579" s="182"/>
    </row>
    <row r="580" spans="1:27" ht="14.4">
      <c r="A580" s="182"/>
      <c r="B580" s="182"/>
      <c r="C580" s="182"/>
      <c r="D580" s="182"/>
      <c r="E580" s="182"/>
      <c r="F580" s="182"/>
      <c r="G580" s="182"/>
      <c r="H580" s="182"/>
      <c r="I580" s="182"/>
      <c r="J580" s="182"/>
      <c r="K580" s="182"/>
      <c r="L580" s="182"/>
      <c r="M580" s="179"/>
      <c r="N580" s="179"/>
      <c r="O580" s="179"/>
      <c r="P580" s="182"/>
      <c r="Q580" s="182"/>
      <c r="R580" s="182"/>
      <c r="S580" s="182"/>
      <c r="T580" s="182"/>
      <c r="U580" s="182"/>
      <c r="V580" s="182"/>
      <c r="W580" s="182"/>
      <c r="X580" s="182"/>
      <c r="Y580" s="182"/>
      <c r="Z580" s="182"/>
      <c r="AA580" s="182"/>
    </row>
    <row r="581" spans="1:27" ht="14.4">
      <c r="A581" s="182"/>
      <c r="B581" s="182"/>
      <c r="C581" s="182"/>
      <c r="D581" s="182"/>
      <c r="E581" s="182"/>
      <c r="F581" s="182"/>
      <c r="G581" s="182"/>
      <c r="H581" s="182"/>
      <c r="I581" s="182"/>
      <c r="J581" s="182"/>
      <c r="K581" s="182"/>
      <c r="L581" s="182"/>
      <c r="M581" s="179"/>
      <c r="N581" s="179"/>
      <c r="O581" s="179"/>
      <c r="P581" s="182"/>
      <c r="Q581" s="182"/>
      <c r="R581" s="182"/>
      <c r="S581" s="182"/>
      <c r="T581" s="182"/>
      <c r="U581" s="182"/>
      <c r="V581" s="182"/>
      <c r="W581" s="182"/>
      <c r="X581" s="182"/>
      <c r="Y581" s="182"/>
      <c r="Z581" s="182"/>
      <c r="AA581" s="182"/>
    </row>
    <row r="582" spans="1:27" ht="14.4">
      <c r="A582" s="182"/>
      <c r="B582" s="182"/>
      <c r="C582" s="182"/>
      <c r="D582" s="182"/>
      <c r="E582" s="182"/>
      <c r="F582" s="182"/>
      <c r="G582" s="182"/>
      <c r="H582" s="182"/>
      <c r="I582" s="182"/>
      <c r="J582" s="182"/>
      <c r="K582" s="182"/>
      <c r="L582" s="182"/>
      <c r="M582" s="179"/>
      <c r="N582" s="179"/>
      <c r="O582" s="179"/>
      <c r="P582" s="182"/>
      <c r="Q582" s="182"/>
      <c r="R582" s="182"/>
      <c r="S582" s="182"/>
      <c r="T582" s="182"/>
      <c r="U582" s="182"/>
      <c r="V582" s="182"/>
      <c r="W582" s="182"/>
      <c r="X582" s="182"/>
      <c r="Y582" s="182"/>
      <c r="Z582" s="182"/>
      <c r="AA582" s="182"/>
    </row>
    <row r="583" spans="1:27" ht="14.4">
      <c r="A583" s="182"/>
      <c r="B583" s="182"/>
      <c r="C583" s="182"/>
      <c r="D583" s="182"/>
      <c r="E583" s="182"/>
      <c r="F583" s="182"/>
      <c r="G583" s="182"/>
      <c r="H583" s="182"/>
      <c r="I583" s="182"/>
      <c r="J583" s="182"/>
      <c r="K583" s="182"/>
      <c r="L583" s="182"/>
      <c r="M583" s="179"/>
      <c r="N583" s="179"/>
      <c r="O583" s="179"/>
      <c r="P583" s="182"/>
      <c r="Q583" s="182"/>
      <c r="R583" s="182"/>
      <c r="S583" s="182"/>
      <c r="T583" s="182"/>
      <c r="U583" s="182"/>
      <c r="V583" s="182"/>
      <c r="W583" s="182"/>
      <c r="X583" s="182"/>
      <c r="Y583" s="182"/>
      <c r="Z583" s="182"/>
      <c r="AA583" s="182"/>
    </row>
    <row r="584" spans="1:27" ht="14.4">
      <c r="A584" s="182"/>
      <c r="B584" s="182"/>
      <c r="C584" s="182"/>
      <c r="D584" s="182"/>
      <c r="E584" s="182"/>
      <c r="F584" s="182"/>
      <c r="G584" s="182"/>
      <c r="H584" s="182"/>
      <c r="I584" s="182"/>
      <c r="J584" s="182"/>
      <c r="K584" s="182"/>
      <c r="L584" s="182"/>
      <c r="M584" s="179"/>
      <c r="N584" s="179"/>
      <c r="O584" s="179"/>
      <c r="P584" s="182"/>
      <c r="Q584" s="182"/>
      <c r="R584" s="182"/>
      <c r="S584" s="182"/>
      <c r="T584" s="182"/>
      <c r="U584" s="182"/>
      <c r="V584" s="182"/>
      <c r="W584" s="182"/>
      <c r="X584" s="182"/>
      <c r="Y584" s="182"/>
      <c r="Z584" s="182"/>
      <c r="AA584" s="182"/>
    </row>
    <row r="585" spans="1:27" ht="14.4">
      <c r="A585" s="182"/>
      <c r="B585" s="182"/>
      <c r="C585" s="182"/>
      <c r="D585" s="182"/>
      <c r="E585" s="182"/>
      <c r="F585" s="182"/>
      <c r="G585" s="182"/>
      <c r="H585" s="182"/>
      <c r="I585" s="182"/>
      <c r="J585" s="182"/>
      <c r="K585" s="182"/>
      <c r="L585" s="182"/>
      <c r="M585" s="179"/>
      <c r="N585" s="179"/>
      <c r="O585" s="179"/>
      <c r="P585" s="182"/>
      <c r="Q585" s="182"/>
      <c r="R585" s="182"/>
      <c r="S585" s="182"/>
      <c r="T585" s="182"/>
      <c r="U585" s="182"/>
      <c r="V585" s="182"/>
      <c r="W585" s="182"/>
      <c r="X585" s="182"/>
      <c r="Y585" s="182"/>
      <c r="Z585" s="182"/>
      <c r="AA585" s="182"/>
    </row>
    <row r="586" spans="1:27" ht="14.4">
      <c r="A586" s="182"/>
      <c r="B586" s="182"/>
      <c r="C586" s="182"/>
      <c r="D586" s="182"/>
      <c r="E586" s="182"/>
      <c r="F586" s="182"/>
      <c r="G586" s="182"/>
      <c r="H586" s="182"/>
      <c r="I586" s="182"/>
      <c r="J586" s="182"/>
      <c r="K586" s="182"/>
      <c r="L586" s="182"/>
      <c r="M586" s="179"/>
      <c r="N586" s="179"/>
      <c r="O586" s="179"/>
      <c r="P586" s="182"/>
      <c r="Q586" s="182"/>
      <c r="R586" s="182"/>
      <c r="S586" s="182"/>
      <c r="T586" s="182"/>
      <c r="U586" s="182"/>
      <c r="V586" s="182"/>
      <c r="W586" s="182"/>
      <c r="X586" s="182"/>
      <c r="Y586" s="182"/>
      <c r="Z586" s="182"/>
      <c r="AA586" s="182"/>
    </row>
    <row r="587" spans="1:27" ht="14.4">
      <c r="A587" s="182"/>
      <c r="B587" s="182"/>
      <c r="C587" s="182"/>
      <c r="D587" s="182"/>
      <c r="E587" s="182"/>
      <c r="F587" s="182"/>
      <c r="G587" s="182"/>
      <c r="H587" s="182"/>
      <c r="I587" s="182"/>
      <c r="J587" s="182"/>
      <c r="K587" s="182"/>
      <c r="L587" s="182"/>
      <c r="M587" s="179"/>
      <c r="N587" s="179"/>
      <c r="O587" s="179"/>
      <c r="P587" s="182"/>
      <c r="Q587" s="182"/>
      <c r="R587" s="182"/>
      <c r="S587" s="182"/>
      <c r="T587" s="182"/>
      <c r="U587" s="182"/>
      <c r="V587" s="182"/>
      <c r="W587" s="182"/>
      <c r="X587" s="182"/>
      <c r="Y587" s="182"/>
      <c r="Z587" s="182"/>
      <c r="AA587" s="182"/>
    </row>
    <row r="588" spans="1:27" ht="14.4">
      <c r="A588" s="182"/>
      <c r="B588" s="182"/>
      <c r="C588" s="182"/>
      <c r="D588" s="182"/>
      <c r="E588" s="182"/>
      <c r="F588" s="182"/>
      <c r="G588" s="182"/>
      <c r="H588" s="182"/>
      <c r="I588" s="182"/>
      <c r="J588" s="182"/>
      <c r="K588" s="182"/>
      <c r="L588" s="182"/>
      <c r="M588" s="179"/>
      <c r="N588" s="179"/>
      <c r="O588" s="179"/>
      <c r="P588" s="182"/>
      <c r="Q588" s="182"/>
      <c r="R588" s="182"/>
      <c r="S588" s="182"/>
      <c r="T588" s="182"/>
      <c r="U588" s="182"/>
      <c r="V588" s="182"/>
      <c r="W588" s="182"/>
      <c r="X588" s="182"/>
      <c r="Y588" s="182"/>
      <c r="Z588" s="182"/>
      <c r="AA588" s="182"/>
    </row>
    <row r="589" spans="1:27" ht="14.4">
      <c r="A589" s="182"/>
      <c r="B589" s="182"/>
      <c r="C589" s="182"/>
      <c r="D589" s="182"/>
      <c r="E589" s="182"/>
      <c r="F589" s="182"/>
      <c r="G589" s="182"/>
      <c r="H589" s="182"/>
      <c r="I589" s="182"/>
      <c r="J589" s="182"/>
      <c r="K589" s="182"/>
      <c r="L589" s="182"/>
      <c r="M589" s="179"/>
      <c r="N589" s="179"/>
      <c r="O589" s="179"/>
      <c r="P589" s="182"/>
      <c r="Q589" s="182"/>
      <c r="R589" s="182"/>
      <c r="S589" s="182"/>
      <c r="T589" s="182"/>
      <c r="U589" s="182"/>
      <c r="V589" s="182"/>
      <c r="W589" s="182"/>
      <c r="X589" s="182"/>
      <c r="Y589" s="182"/>
      <c r="Z589" s="182"/>
      <c r="AA589" s="182"/>
    </row>
    <row r="590" spans="1:27" ht="14.4">
      <c r="A590" s="182"/>
      <c r="B590" s="182"/>
      <c r="C590" s="182"/>
      <c r="D590" s="182"/>
      <c r="E590" s="182"/>
      <c r="F590" s="182"/>
      <c r="G590" s="182"/>
      <c r="H590" s="182"/>
      <c r="I590" s="182"/>
      <c r="J590" s="182"/>
      <c r="K590" s="182"/>
      <c r="L590" s="182"/>
      <c r="M590" s="179"/>
      <c r="N590" s="179"/>
      <c r="O590" s="179"/>
      <c r="P590" s="182"/>
      <c r="Q590" s="182"/>
      <c r="R590" s="182"/>
      <c r="S590" s="182"/>
      <c r="T590" s="182"/>
      <c r="U590" s="182"/>
      <c r="V590" s="182"/>
      <c r="W590" s="182"/>
      <c r="X590" s="182"/>
      <c r="Y590" s="182"/>
      <c r="Z590" s="182"/>
      <c r="AA590" s="182"/>
    </row>
    <row r="591" spans="1:27" ht="14.4">
      <c r="A591" s="182"/>
      <c r="B591" s="182"/>
      <c r="C591" s="182"/>
      <c r="D591" s="182"/>
      <c r="E591" s="182"/>
      <c r="F591" s="182"/>
      <c r="G591" s="182"/>
      <c r="H591" s="182"/>
      <c r="I591" s="182"/>
      <c r="J591" s="182"/>
      <c r="K591" s="182"/>
      <c r="L591" s="182"/>
      <c r="M591" s="179"/>
      <c r="N591" s="179"/>
      <c r="O591" s="179"/>
      <c r="P591" s="182"/>
      <c r="Q591" s="182"/>
      <c r="R591" s="182"/>
      <c r="S591" s="182"/>
      <c r="T591" s="182"/>
      <c r="U591" s="182"/>
      <c r="V591" s="182"/>
      <c r="W591" s="182"/>
      <c r="X591" s="182"/>
      <c r="Y591" s="182"/>
      <c r="Z591" s="182"/>
      <c r="AA591" s="182"/>
    </row>
    <row r="592" spans="1:27" ht="14.4">
      <c r="A592" s="182"/>
      <c r="B592" s="182"/>
      <c r="C592" s="182"/>
      <c r="D592" s="182"/>
      <c r="E592" s="182"/>
      <c r="F592" s="182"/>
      <c r="G592" s="182"/>
      <c r="H592" s="182"/>
      <c r="I592" s="182"/>
      <c r="J592" s="182"/>
      <c r="K592" s="182"/>
      <c r="L592" s="182"/>
      <c r="M592" s="179"/>
      <c r="N592" s="179"/>
      <c r="O592" s="179"/>
      <c r="P592" s="182"/>
      <c r="Q592" s="182"/>
      <c r="R592" s="182"/>
      <c r="S592" s="182"/>
      <c r="T592" s="182"/>
      <c r="U592" s="182"/>
      <c r="V592" s="182"/>
      <c r="W592" s="182"/>
      <c r="X592" s="182"/>
      <c r="Y592" s="182"/>
      <c r="Z592" s="182"/>
      <c r="AA592" s="182"/>
    </row>
    <row r="593" spans="1:27" ht="14.4">
      <c r="A593" s="182"/>
      <c r="B593" s="182"/>
      <c r="C593" s="182"/>
      <c r="D593" s="182"/>
      <c r="E593" s="182"/>
      <c r="F593" s="182"/>
      <c r="G593" s="182"/>
      <c r="H593" s="182"/>
      <c r="I593" s="182"/>
      <c r="J593" s="182"/>
      <c r="K593" s="182"/>
      <c r="L593" s="182"/>
      <c r="M593" s="179"/>
      <c r="N593" s="179"/>
      <c r="O593" s="179"/>
      <c r="P593" s="182"/>
      <c r="Q593" s="182"/>
      <c r="R593" s="182"/>
      <c r="S593" s="182"/>
      <c r="T593" s="182"/>
      <c r="U593" s="182"/>
      <c r="V593" s="182"/>
      <c r="W593" s="182"/>
      <c r="X593" s="182"/>
      <c r="Y593" s="182"/>
      <c r="Z593" s="182"/>
      <c r="AA593" s="182"/>
    </row>
    <row r="594" spans="1:27" ht="14.4">
      <c r="A594" s="182"/>
      <c r="B594" s="182"/>
      <c r="C594" s="182"/>
      <c r="D594" s="182"/>
      <c r="E594" s="182"/>
      <c r="F594" s="182"/>
      <c r="G594" s="182"/>
      <c r="H594" s="182"/>
      <c r="I594" s="182"/>
      <c r="J594" s="182"/>
      <c r="K594" s="182"/>
      <c r="L594" s="182"/>
      <c r="M594" s="179"/>
      <c r="N594" s="179"/>
      <c r="O594" s="179"/>
      <c r="P594" s="182"/>
      <c r="Q594" s="182"/>
      <c r="R594" s="182"/>
      <c r="S594" s="182"/>
      <c r="T594" s="182"/>
      <c r="U594" s="182"/>
      <c r="V594" s="182"/>
      <c r="W594" s="182"/>
      <c r="X594" s="182"/>
      <c r="Y594" s="182"/>
      <c r="Z594" s="182"/>
      <c r="AA594" s="182"/>
    </row>
    <row r="595" spans="1:27" ht="14.4">
      <c r="A595" s="182"/>
      <c r="B595" s="182"/>
      <c r="C595" s="182"/>
      <c r="D595" s="182"/>
      <c r="E595" s="182"/>
      <c r="F595" s="182"/>
      <c r="G595" s="182"/>
      <c r="H595" s="182"/>
      <c r="I595" s="182"/>
      <c r="J595" s="182"/>
      <c r="K595" s="182"/>
      <c r="L595" s="182"/>
      <c r="M595" s="179"/>
      <c r="N595" s="179"/>
      <c r="O595" s="179"/>
      <c r="P595" s="182"/>
      <c r="Q595" s="182"/>
      <c r="R595" s="182"/>
      <c r="S595" s="182"/>
      <c r="T595" s="182"/>
      <c r="U595" s="182"/>
      <c r="V595" s="182"/>
      <c r="W595" s="182"/>
      <c r="X595" s="182"/>
      <c r="Y595" s="182"/>
      <c r="Z595" s="182"/>
      <c r="AA595" s="182"/>
    </row>
    <row r="596" spans="1:27" ht="14.4">
      <c r="A596" s="182"/>
      <c r="B596" s="182"/>
      <c r="C596" s="182"/>
      <c r="D596" s="182"/>
      <c r="E596" s="182"/>
      <c r="F596" s="182"/>
      <c r="G596" s="182"/>
      <c r="H596" s="182"/>
      <c r="I596" s="182"/>
      <c r="J596" s="182"/>
      <c r="K596" s="182"/>
      <c r="L596" s="182"/>
      <c r="M596" s="179"/>
      <c r="N596" s="179"/>
      <c r="O596" s="179"/>
      <c r="P596" s="182"/>
      <c r="Q596" s="182"/>
      <c r="R596" s="182"/>
      <c r="S596" s="182"/>
      <c r="T596" s="182"/>
      <c r="U596" s="182"/>
      <c r="V596" s="182"/>
      <c r="W596" s="182"/>
      <c r="X596" s="182"/>
      <c r="Y596" s="182"/>
      <c r="Z596" s="182"/>
      <c r="AA596" s="182"/>
    </row>
    <row r="597" spans="1:27" ht="14.4">
      <c r="A597" s="182"/>
      <c r="B597" s="182"/>
      <c r="C597" s="182"/>
      <c r="D597" s="182"/>
      <c r="E597" s="182"/>
      <c r="F597" s="182"/>
      <c r="G597" s="182"/>
      <c r="H597" s="182"/>
      <c r="I597" s="182"/>
      <c r="J597" s="182"/>
      <c r="K597" s="182"/>
      <c r="L597" s="182"/>
      <c r="M597" s="179"/>
      <c r="N597" s="179"/>
      <c r="O597" s="179"/>
      <c r="P597" s="182"/>
      <c r="Q597" s="182"/>
      <c r="R597" s="182"/>
      <c r="S597" s="182"/>
      <c r="T597" s="182"/>
      <c r="U597" s="182"/>
      <c r="V597" s="182"/>
      <c r="W597" s="182"/>
      <c r="X597" s="182"/>
      <c r="Y597" s="182"/>
      <c r="Z597" s="182"/>
      <c r="AA597" s="182"/>
    </row>
    <row r="598" spans="1:27" ht="14.4">
      <c r="A598" s="182"/>
      <c r="B598" s="182"/>
      <c r="C598" s="182"/>
      <c r="D598" s="182"/>
      <c r="E598" s="182"/>
      <c r="F598" s="182"/>
      <c r="G598" s="182"/>
      <c r="H598" s="182"/>
      <c r="I598" s="182"/>
      <c r="J598" s="182"/>
      <c r="K598" s="182"/>
      <c r="L598" s="182"/>
      <c r="M598" s="179"/>
      <c r="N598" s="179"/>
      <c r="O598" s="179"/>
      <c r="P598" s="182"/>
      <c r="Q598" s="182"/>
      <c r="R598" s="182"/>
      <c r="S598" s="182"/>
      <c r="T598" s="182"/>
      <c r="U598" s="182"/>
      <c r="V598" s="182"/>
      <c r="W598" s="182"/>
      <c r="X598" s="182"/>
      <c r="Y598" s="182"/>
      <c r="Z598" s="182"/>
      <c r="AA598" s="182"/>
    </row>
    <row r="599" spans="1:27" ht="14.4">
      <c r="A599" s="182"/>
      <c r="B599" s="182"/>
      <c r="C599" s="182"/>
      <c r="D599" s="182"/>
      <c r="E599" s="182"/>
      <c r="F599" s="182"/>
      <c r="G599" s="182"/>
      <c r="H599" s="182"/>
      <c r="I599" s="182"/>
      <c r="J599" s="182"/>
      <c r="K599" s="182"/>
      <c r="L599" s="182"/>
      <c r="M599" s="179"/>
      <c r="N599" s="179"/>
      <c r="O599" s="179"/>
      <c r="P599" s="182"/>
      <c r="Q599" s="182"/>
      <c r="R599" s="182"/>
      <c r="S599" s="182"/>
      <c r="T599" s="182"/>
      <c r="U599" s="182"/>
      <c r="V599" s="182"/>
      <c r="W599" s="182"/>
      <c r="X599" s="182"/>
      <c r="Y599" s="182"/>
      <c r="Z599" s="182"/>
      <c r="AA599" s="182"/>
    </row>
    <row r="600" spans="1:27" ht="14.4">
      <c r="A600" s="182"/>
      <c r="B600" s="182"/>
      <c r="C600" s="182"/>
      <c r="D600" s="182"/>
      <c r="E600" s="182"/>
      <c r="F600" s="182"/>
      <c r="G600" s="182"/>
      <c r="H600" s="182"/>
      <c r="I600" s="182"/>
      <c r="J600" s="182"/>
      <c r="K600" s="182"/>
      <c r="L600" s="182"/>
      <c r="M600" s="179"/>
      <c r="N600" s="179"/>
      <c r="O600" s="179"/>
      <c r="P600" s="182"/>
      <c r="Q600" s="182"/>
      <c r="R600" s="182"/>
      <c r="S600" s="182"/>
      <c r="T600" s="182"/>
      <c r="U600" s="182"/>
      <c r="V600" s="182"/>
      <c r="W600" s="182"/>
      <c r="X600" s="182"/>
      <c r="Y600" s="182"/>
      <c r="Z600" s="182"/>
      <c r="AA600" s="182"/>
    </row>
    <row r="601" spans="1:27" ht="14.4">
      <c r="A601" s="182"/>
      <c r="B601" s="182"/>
      <c r="C601" s="182"/>
      <c r="D601" s="182"/>
      <c r="E601" s="182"/>
      <c r="F601" s="182"/>
      <c r="G601" s="182"/>
      <c r="H601" s="182"/>
      <c r="I601" s="182"/>
      <c r="J601" s="182"/>
      <c r="K601" s="182"/>
      <c r="L601" s="182"/>
      <c r="M601" s="179"/>
      <c r="N601" s="179"/>
      <c r="O601" s="179"/>
      <c r="P601" s="182"/>
      <c r="Q601" s="182"/>
      <c r="R601" s="182"/>
      <c r="S601" s="182"/>
      <c r="T601" s="182"/>
      <c r="U601" s="182"/>
      <c r="V601" s="182"/>
      <c r="W601" s="182"/>
      <c r="X601" s="182"/>
      <c r="Y601" s="182"/>
      <c r="Z601" s="182"/>
      <c r="AA601" s="182"/>
    </row>
    <row r="602" spans="1:27" ht="14.4">
      <c r="A602" s="182"/>
      <c r="B602" s="182"/>
      <c r="C602" s="182"/>
      <c r="D602" s="182"/>
      <c r="E602" s="182"/>
      <c r="F602" s="182"/>
      <c r="G602" s="182"/>
      <c r="H602" s="182"/>
      <c r="I602" s="182"/>
      <c r="J602" s="182"/>
      <c r="K602" s="182"/>
      <c r="L602" s="182"/>
      <c r="M602" s="179"/>
      <c r="N602" s="179"/>
      <c r="O602" s="179"/>
      <c r="P602" s="182"/>
      <c r="Q602" s="182"/>
      <c r="R602" s="182"/>
      <c r="S602" s="182"/>
      <c r="T602" s="182"/>
      <c r="U602" s="182"/>
      <c r="V602" s="182"/>
      <c r="W602" s="182"/>
      <c r="X602" s="182"/>
      <c r="Y602" s="182"/>
      <c r="Z602" s="182"/>
      <c r="AA602" s="182"/>
    </row>
    <row r="603" spans="1:27" ht="14.4">
      <c r="A603" s="182"/>
      <c r="B603" s="182"/>
      <c r="C603" s="182"/>
      <c r="D603" s="182"/>
      <c r="E603" s="182"/>
      <c r="F603" s="182"/>
      <c r="G603" s="182"/>
      <c r="H603" s="182"/>
      <c r="I603" s="182"/>
      <c r="J603" s="182"/>
      <c r="K603" s="182"/>
      <c r="L603" s="182"/>
      <c r="M603" s="179"/>
      <c r="N603" s="179"/>
      <c r="O603" s="179"/>
      <c r="P603" s="182"/>
      <c r="Q603" s="182"/>
      <c r="R603" s="182"/>
      <c r="S603" s="182"/>
      <c r="T603" s="182"/>
      <c r="U603" s="182"/>
      <c r="V603" s="182"/>
      <c r="W603" s="182"/>
      <c r="X603" s="182"/>
      <c r="Y603" s="182"/>
      <c r="Z603" s="182"/>
      <c r="AA603" s="182"/>
    </row>
    <row r="604" spans="1:27" ht="14.4">
      <c r="A604" s="182"/>
      <c r="B604" s="182"/>
      <c r="C604" s="182"/>
      <c r="D604" s="182"/>
      <c r="E604" s="182"/>
      <c r="F604" s="182"/>
      <c r="G604" s="182"/>
      <c r="H604" s="182"/>
      <c r="I604" s="182"/>
      <c r="J604" s="182"/>
      <c r="K604" s="182"/>
      <c r="L604" s="182"/>
      <c r="M604" s="179"/>
      <c r="N604" s="179"/>
      <c r="O604" s="179"/>
      <c r="P604" s="182"/>
      <c r="Q604" s="182"/>
      <c r="R604" s="182"/>
      <c r="S604" s="182"/>
      <c r="T604" s="182"/>
      <c r="U604" s="182"/>
      <c r="V604" s="182"/>
      <c r="W604" s="182"/>
      <c r="X604" s="182"/>
      <c r="Y604" s="182"/>
      <c r="Z604" s="182"/>
      <c r="AA604" s="182"/>
    </row>
    <row r="605" spans="1:27" ht="14.4">
      <c r="A605" s="182"/>
      <c r="B605" s="182"/>
      <c r="C605" s="182"/>
      <c r="D605" s="182"/>
      <c r="E605" s="182"/>
      <c r="F605" s="182"/>
      <c r="G605" s="182"/>
      <c r="H605" s="182"/>
      <c r="I605" s="182"/>
      <c r="J605" s="182"/>
      <c r="K605" s="182"/>
      <c r="L605" s="182"/>
      <c r="M605" s="179"/>
      <c r="N605" s="179"/>
      <c r="O605" s="179"/>
      <c r="P605" s="182"/>
      <c r="Q605" s="182"/>
      <c r="R605" s="182"/>
      <c r="S605" s="182"/>
      <c r="T605" s="182"/>
      <c r="U605" s="182"/>
      <c r="V605" s="182"/>
      <c r="W605" s="182"/>
      <c r="X605" s="182"/>
      <c r="Y605" s="182"/>
      <c r="Z605" s="182"/>
      <c r="AA605" s="182"/>
    </row>
    <row r="606" spans="1:27" ht="14.4">
      <c r="A606" s="182"/>
      <c r="B606" s="182"/>
      <c r="C606" s="182"/>
      <c r="D606" s="182"/>
      <c r="E606" s="182"/>
      <c r="F606" s="182"/>
      <c r="G606" s="182"/>
      <c r="H606" s="182"/>
      <c r="I606" s="182"/>
      <c r="J606" s="182"/>
      <c r="K606" s="182"/>
      <c r="L606" s="182"/>
      <c r="M606" s="179"/>
      <c r="N606" s="179"/>
      <c r="O606" s="179"/>
      <c r="P606" s="182"/>
      <c r="Q606" s="182"/>
      <c r="R606" s="182"/>
      <c r="S606" s="182"/>
      <c r="T606" s="182"/>
      <c r="U606" s="182"/>
      <c r="V606" s="182"/>
      <c r="W606" s="182"/>
      <c r="X606" s="182"/>
      <c r="Y606" s="182"/>
      <c r="Z606" s="182"/>
      <c r="AA606" s="182"/>
    </row>
    <row r="607" spans="1:27" ht="14.4">
      <c r="A607" s="182"/>
      <c r="B607" s="182"/>
      <c r="C607" s="182"/>
      <c r="D607" s="182"/>
      <c r="E607" s="182"/>
      <c r="F607" s="182"/>
      <c r="G607" s="182"/>
      <c r="H607" s="182"/>
      <c r="I607" s="182"/>
      <c r="J607" s="182"/>
      <c r="K607" s="182"/>
      <c r="L607" s="182"/>
      <c r="M607" s="179"/>
      <c r="N607" s="179"/>
      <c r="O607" s="179"/>
      <c r="P607" s="182"/>
      <c r="Q607" s="182"/>
      <c r="R607" s="182"/>
      <c r="S607" s="182"/>
      <c r="T607" s="182"/>
      <c r="U607" s="182"/>
      <c r="V607" s="182"/>
      <c r="W607" s="182"/>
      <c r="X607" s="182"/>
      <c r="Y607" s="182"/>
      <c r="Z607" s="182"/>
      <c r="AA607" s="182"/>
    </row>
    <row r="608" spans="1:27" ht="14.4">
      <c r="A608" s="182"/>
      <c r="B608" s="182"/>
      <c r="C608" s="182"/>
      <c r="D608" s="182"/>
      <c r="E608" s="182"/>
      <c r="F608" s="182"/>
      <c r="G608" s="182"/>
      <c r="H608" s="182"/>
      <c r="I608" s="182"/>
      <c r="J608" s="182"/>
      <c r="K608" s="182"/>
      <c r="L608" s="182"/>
      <c r="M608" s="179"/>
      <c r="N608" s="179"/>
      <c r="O608" s="179"/>
      <c r="P608" s="182"/>
      <c r="Q608" s="182"/>
      <c r="R608" s="182"/>
      <c r="S608" s="182"/>
      <c r="T608" s="182"/>
      <c r="U608" s="182"/>
      <c r="V608" s="182"/>
      <c r="W608" s="182"/>
      <c r="X608" s="182"/>
      <c r="Y608" s="182"/>
      <c r="Z608" s="182"/>
      <c r="AA608" s="182"/>
    </row>
    <row r="609" spans="1:27" ht="14.4">
      <c r="A609" s="182"/>
      <c r="B609" s="182"/>
      <c r="C609" s="182"/>
      <c r="D609" s="182"/>
      <c r="E609" s="182"/>
      <c r="F609" s="182"/>
      <c r="G609" s="182"/>
      <c r="H609" s="182"/>
      <c r="I609" s="182"/>
      <c r="J609" s="182"/>
      <c r="K609" s="182"/>
      <c r="L609" s="182"/>
      <c r="M609" s="179"/>
      <c r="N609" s="179"/>
      <c r="O609" s="179"/>
      <c r="P609" s="182"/>
      <c r="Q609" s="182"/>
      <c r="R609" s="182"/>
      <c r="S609" s="182"/>
      <c r="T609" s="182"/>
      <c r="U609" s="182"/>
      <c r="V609" s="182"/>
      <c r="W609" s="182"/>
      <c r="X609" s="182"/>
      <c r="Y609" s="182"/>
      <c r="Z609" s="182"/>
      <c r="AA609" s="182"/>
    </row>
    <row r="610" spans="1:27" ht="14.4">
      <c r="A610" s="182"/>
      <c r="B610" s="182"/>
      <c r="C610" s="182"/>
      <c r="D610" s="182"/>
      <c r="E610" s="182"/>
      <c r="F610" s="182"/>
      <c r="G610" s="182"/>
      <c r="H610" s="182"/>
      <c r="I610" s="182"/>
      <c r="J610" s="182"/>
      <c r="K610" s="182"/>
      <c r="L610" s="182"/>
      <c r="M610" s="179"/>
      <c r="N610" s="179"/>
      <c r="O610" s="179"/>
      <c r="P610" s="182"/>
      <c r="Q610" s="182"/>
      <c r="R610" s="182"/>
      <c r="S610" s="182"/>
      <c r="T610" s="182"/>
      <c r="U610" s="182"/>
      <c r="V610" s="182"/>
      <c r="W610" s="182"/>
      <c r="X610" s="182"/>
      <c r="Y610" s="182"/>
      <c r="Z610" s="182"/>
      <c r="AA610" s="182"/>
    </row>
    <row r="611" spans="1:27" ht="14.4">
      <c r="A611" s="182"/>
      <c r="B611" s="182"/>
      <c r="C611" s="182"/>
      <c r="D611" s="182"/>
      <c r="E611" s="182"/>
      <c r="F611" s="182"/>
      <c r="G611" s="182"/>
      <c r="H611" s="182"/>
      <c r="I611" s="182"/>
      <c r="J611" s="182"/>
      <c r="K611" s="182"/>
      <c r="L611" s="182"/>
      <c r="M611" s="179"/>
      <c r="N611" s="179"/>
      <c r="O611" s="179"/>
      <c r="P611" s="182"/>
      <c r="Q611" s="182"/>
      <c r="R611" s="182"/>
      <c r="S611" s="182"/>
      <c r="T611" s="182"/>
      <c r="U611" s="182"/>
      <c r="V611" s="182"/>
      <c r="W611" s="182"/>
      <c r="X611" s="182"/>
      <c r="Y611" s="182"/>
      <c r="Z611" s="182"/>
      <c r="AA611" s="182"/>
    </row>
    <row r="612" spans="1:27" ht="14.4">
      <c r="A612" s="182"/>
      <c r="B612" s="182"/>
      <c r="C612" s="182"/>
      <c r="D612" s="182"/>
      <c r="E612" s="182"/>
      <c r="F612" s="182"/>
      <c r="G612" s="182"/>
      <c r="H612" s="182"/>
      <c r="I612" s="182"/>
      <c r="J612" s="182"/>
      <c r="K612" s="182"/>
      <c r="L612" s="182"/>
      <c r="M612" s="179"/>
      <c r="N612" s="179"/>
      <c r="O612" s="179"/>
      <c r="P612" s="182"/>
      <c r="Q612" s="182"/>
      <c r="R612" s="182"/>
      <c r="S612" s="182"/>
      <c r="T612" s="182"/>
      <c r="U612" s="182"/>
      <c r="V612" s="182"/>
      <c r="W612" s="182"/>
      <c r="X612" s="182"/>
      <c r="Y612" s="182"/>
      <c r="Z612" s="182"/>
      <c r="AA612" s="182"/>
    </row>
    <row r="613" spans="1:27" ht="14.4">
      <c r="A613" s="182"/>
      <c r="B613" s="182"/>
      <c r="C613" s="182"/>
      <c r="D613" s="182"/>
      <c r="E613" s="182"/>
      <c r="F613" s="182"/>
      <c r="G613" s="182"/>
      <c r="H613" s="182"/>
      <c r="I613" s="182"/>
      <c r="J613" s="182"/>
      <c r="K613" s="182"/>
      <c r="L613" s="182"/>
      <c r="M613" s="179"/>
      <c r="N613" s="179"/>
      <c r="O613" s="179"/>
      <c r="P613" s="182"/>
      <c r="Q613" s="182"/>
      <c r="R613" s="182"/>
      <c r="S613" s="182"/>
      <c r="T613" s="182"/>
      <c r="U613" s="182"/>
      <c r="V613" s="182"/>
      <c r="W613" s="182"/>
      <c r="X613" s="182"/>
      <c r="Y613" s="182"/>
      <c r="Z613" s="182"/>
      <c r="AA613" s="182"/>
    </row>
    <row r="614" spans="1:27" ht="14.4">
      <c r="A614" s="182"/>
      <c r="B614" s="182"/>
      <c r="C614" s="182"/>
      <c r="D614" s="182"/>
      <c r="E614" s="182"/>
      <c r="F614" s="182"/>
      <c r="G614" s="182"/>
      <c r="H614" s="182"/>
      <c r="I614" s="182"/>
      <c r="J614" s="182"/>
      <c r="K614" s="182"/>
      <c r="L614" s="182"/>
      <c r="M614" s="179"/>
      <c r="N614" s="179"/>
      <c r="O614" s="179"/>
      <c r="P614" s="182"/>
      <c r="Q614" s="182"/>
      <c r="R614" s="182"/>
      <c r="S614" s="182"/>
      <c r="T614" s="182"/>
      <c r="U614" s="182"/>
      <c r="V614" s="182"/>
      <c r="W614" s="182"/>
      <c r="X614" s="182"/>
      <c r="Y614" s="182"/>
      <c r="Z614" s="182"/>
      <c r="AA614" s="182"/>
    </row>
    <row r="615" spans="1:27" ht="14.4">
      <c r="A615" s="182"/>
      <c r="B615" s="182"/>
      <c r="C615" s="182"/>
      <c r="D615" s="182"/>
      <c r="E615" s="182"/>
      <c r="F615" s="182"/>
      <c r="G615" s="182"/>
      <c r="H615" s="182"/>
      <c r="I615" s="182"/>
      <c r="J615" s="182"/>
      <c r="K615" s="182"/>
      <c r="L615" s="182"/>
      <c r="M615" s="179"/>
      <c r="N615" s="179"/>
      <c r="O615" s="179"/>
      <c r="P615" s="182"/>
      <c r="Q615" s="182"/>
      <c r="R615" s="182"/>
      <c r="S615" s="182"/>
      <c r="T615" s="182"/>
      <c r="U615" s="182"/>
      <c r="V615" s="182"/>
      <c r="W615" s="182"/>
      <c r="X615" s="182"/>
      <c r="Y615" s="182"/>
      <c r="Z615" s="182"/>
      <c r="AA615" s="182"/>
    </row>
    <row r="616" spans="1:27" ht="14.4">
      <c r="A616" s="182"/>
      <c r="B616" s="182"/>
      <c r="C616" s="182"/>
      <c r="D616" s="182"/>
      <c r="E616" s="182"/>
      <c r="F616" s="182"/>
      <c r="G616" s="182"/>
      <c r="H616" s="182"/>
      <c r="I616" s="182"/>
      <c r="J616" s="182"/>
      <c r="K616" s="182"/>
      <c r="L616" s="182"/>
      <c r="M616" s="179"/>
      <c r="N616" s="179"/>
      <c r="O616" s="179"/>
      <c r="P616" s="182"/>
      <c r="Q616" s="182"/>
      <c r="R616" s="182"/>
      <c r="S616" s="182"/>
      <c r="T616" s="182"/>
      <c r="U616" s="182"/>
      <c r="V616" s="182"/>
      <c r="W616" s="182"/>
      <c r="X616" s="182"/>
      <c r="Y616" s="182"/>
      <c r="Z616" s="182"/>
      <c r="AA616" s="182"/>
    </row>
    <row r="617" spans="1:27" ht="14.4">
      <c r="A617" s="182"/>
      <c r="B617" s="182"/>
      <c r="C617" s="182"/>
      <c r="D617" s="182"/>
      <c r="E617" s="182"/>
      <c r="F617" s="182"/>
      <c r="G617" s="182"/>
      <c r="H617" s="182"/>
      <c r="I617" s="182"/>
      <c r="J617" s="182"/>
      <c r="K617" s="182"/>
      <c r="L617" s="182"/>
      <c r="M617" s="179"/>
      <c r="N617" s="179"/>
      <c r="O617" s="179"/>
      <c r="P617" s="182"/>
      <c r="Q617" s="182"/>
      <c r="R617" s="182"/>
      <c r="S617" s="182"/>
      <c r="T617" s="182"/>
      <c r="U617" s="182"/>
      <c r="V617" s="182"/>
      <c r="W617" s="182"/>
      <c r="X617" s="182"/>
      <c r="Y617" s="182"/>
      <c r="Z617" s="182"/>
      <c r="AA617" s="182"/>
    </row>
    <row r="618" spans="1:27" ht="14.4">
      <c r="A618" s="182"/>
      <c r="B618" s="182"/>
      <c r="C618" s="182"/>
      <c r="D618" s="182"/>
      <c r="E618" s="182"/>
      <c r="F618" s="182"/>
      <c r="G618" s="182"/>
      <c r="H618" s="182"/>
      <c r="I618" s="182"/>
      <c r="J618" s="182"/>
      <c r="K618" s="182"/>
      <c r="L618" s="182"/>
      <c r="M618" s="179"/>
      <c r="N618" s="179"/>
      <c r="O618" s="179"/>
      <c r="P618" s="182"/>
      <c r="Q618" s="182"/>
      <c r="R618" s="182"/>
      <c r="S618" s="182"/>
      <c r="T618" s="182"/>
      <c r="U618" s="182"/>
      <c r="V618" s="182"/>
      <c r="W618" s="182"/>
      <c r="X618" s="182"/>
      <c r="Y618" s="182"/>
      <c r="Z618" s="182"/>
      <c r="AA618" s="182"/>
    </row>
    <row r="619" spans="1:27" ht="14.4">
      <c r="A619" s="182"/>
      <c r="B619" s="182"/>
      <c r="C619" s="182"/>
      <c r="D619" s="182"/>
      <c r="E619" s="182"/>
      <c r="F619" s="182"/>
      <c r="G619" s="182"/>
      <c r="H619" s="182"/>
      <c r="I619" s="182"/>
      <c r="J619" s="182"/>
      <c r="K619" s="182"/>
      <c r="L619" s="182"/>
      <c r="M619" s="179"/>
      <c r="N619" s="179"/>
      <c r="O619" s="179"/>
      <c r="P619" s="182"/>
      <c r="Q619" s="182"/>
      <c r="R619" s="182"/>
      <c r="S619" s="182"/>
      <c r="T619" s="182"/>
      <c r="U619" s="182"/>
      <c r="V619" s="182"/>
      <c r="W619" s="182"/>
      <c r="X619" s="182"/>
      <c r="Y619" s="182"/>
      <c r="Z619" s="182"/>
      <c r="AA619" s="182"/>
    </row>
    <row r="620" spans="1:27" ht="14.4">
      <c r="A620" s="182"/>
      <c r="B620" s="182"/>
      <c r="C620" s="182"/>
      <c r="D620" s="182"/>
      <c r="E620" s="182"/>
      <c r="F620" s="182"/>
      <c r="G620" s="182"/>
      <c r="H620" s="182"/>
      <c r="I620" s="182"/>
      <c r="J620" s="182"/>
      <c r="K620" s="182"/>
      <c r="L620" s="182"/>
      <c r="M620" s="179"/>
      <c r="N620" s="179"/>
      <c r="O620" s="179"/>
      <c r="P620" s="182"/>
      <c r="Q620" s="182"/>
      <c r="R620" s="182"/>
      <c r="S620" s="182"/>
      <c r="T620" s="182"/>
      <c r="U620" s="182"/>
      <c r="V620" s="182"/>
      <c r="W620" s="182"/>
      <c r="X620" s="182"/>
      <c r="Y620" s="182"/>
      <c r="Z620" s="182"/>
      <c r="AA620" s="182"/>
    </row>
    <row r="621" spans="1:27" ht="14.4">
      <c r="A621" s="182"/>
      <c r="B621" s="182"/>
      <c r="C621" s="182"/>
      <c r="D621" s="182"/>
      <c r="E621" s="182"/>
      <c r="F621" s="182"/>
      <c r="G621" s="182"/>
      <c r="H621" s="182"/>
      <c r="I621" s="182"/>
      <c r="J621" s="182"/>
      <c r="K621" s="182"/>
      <c r="L621" s="182"/>
      <c r="M621" s="179"/>
      <c r="N621" s="179"/>
      <c r="O621" s="179"/>
      <c r="P621" s="182"/>
      <c r="Q621" s="182"/>
      <c r="R621" s="182"/>
      <c r="S621" s="182"/>
      <c r="T621" s="182"/>
      <c r="U621" s="182"/>
      <c r="V621" s="182"/>
      <c r="W621" s="182"/>
      <c r="X621" s="182"/>
      <c r="Y621" s="182"/>
      <c r="Z621" s="182"/>
      <c r="AA621" s="182"/>
    </row>
    <row r="622" spans="1:27" ht="14.4">
      <c r="A622" s="182"/>
      <c r="B622" s="182"/>
      <c r="C622" s="182"/>
      <c r="D622" s="182"/>
      <c r="E622" s="182"/>
      <c r="F622" s="182"/>
      <c r="G622" s="182"/>
      <c r="H622" s="182"/>
      <c r="I622" s="182"/>
      <c r="J622" s="182"/>
      <c r="K622" s="182"/>
      <c r="L622" s="182"/>
      <c r="M622" s="179"/>
      <c r="N622" s="179"/>
      <c r="O622" s="179"/>
      <c r="P622" s="182"/>
      <c r="Q622" s="182"/>
      <c r="R622" s="182"/>
      <c r="S622" s="182"/>
      <c r="T622" s="182"/>
      <c r="U622" s="182"/>
      <c r="V622" s="182"/>
      <c r="W622" s="182"/>
      <c r="X622" s="182"/>
      <c r="Y622" s="182"/>
      <c r="Z622" s="182"/>
      <c r="AA622" s="182"/>
    </row>
    <row r="623" spans="1:27" ht="14.4">
      <c r="A623" s="182"/>
      <c r="B623" s="182"/>
      <c r="C623" s="182"/>
      <c r="D623" s="182"/>
      <c r="E623" s="182"/>
      <c r="F623" s="182"/>
      <c r="G623" s="182"/>
      <c r="H623" s="182"/>
      <c r="I623" s="182"/>
      <c r="J623" s="182"/>
      <c r="K623" s="182"/>
      <c r="L623" s="182"/>
      <c r="M623" s="179"/>
      <c r="N623" s="179"/>
      <c r="O623" s="179"/>
      <c r="P623" s="182"/>
      <c r="Q623" s="182"/>
      <c r="R623" s="182"/>
      <c r="S623" s="182"/>
      <c r="T623" s="182"/>
      <c r="U623" s="182"/>
      <c r="V623" s="182"/>
      <c r="W623" s="182"/>
      <c r="X623" s="182"/>
      <c r="Y623" s="182"/>
      <c r="Z623" s="182"/>
      <c r="AA623" s="182"/>
    </row>
    <row r="624" spans="1:27" ht="14.4">
      <c r="A624" s="182"/>
      <c r="B624" s="182"/>
      <c r="C624" s="182"/>
      <c r="D624" s="182"/>
      <c r="E624" s="182"/>
      <c r="F624" s="182"/>
      <c r="G624" s="182"/>
      <c r="H624" s="182"/>
      <c r="I624" s="182"/>
      <c r="J624" s="182"/>
      <c r="K624" s="182"/>
      <c r="L624" s="182"/>
      <c r="M624" s="179"/>
      <c r="N624" s="179"/>
      <c r="O624" s="179"/>
      <c r="P624" s="182"/>
      <c r="Q624" s="182"/>
      <c r="R624" s="182"/>
      <c r="S624" s="182"/>
      <c r="T624" s="182"/>
      <c r="U624" s="182"/>
      <c r="V624" s="182"/>
      <c r="W624" s="182"/>
      <c r="X624" s="182"/>
      <c r="Y624" s="182"/>
      <c r="Z624" s="182"/>
      <c r="AA624" s="182"/>
    </row>
    <row r="625" spans="1:27" ht="14.4">
      <c r="A625" s="182"/>
      <c r="B625" s="182"/>
      <c r="C625" s="182"/>
      <c r="D625" s="182"/>
      <c r="E625" s="182"/>
      <c r="F625" s="182"/>
      <c r="G625" s="182"/>
      <c r="H625" s="182"/>
      <c r="I625" s="182"/>
      <c r="J625" s="182"/>
      <c r="K625" s="182"/>
      <c r="L625" s="182"/>
      <c r="M625" s="179"/>
      <c r="N625" s="179"/>
      <c r="O625" s="179"/>
      <c r="P625" s="182"/>
      <c r="Q625" s="182"/>
      <c r="R625" s="182"/>
      <c r="S625" s="182"/>
      <c r="T625" s="182"/>
      <c r="U625" s="182"/>
      <c r="V625" s="182"/>
      <c r="W625" s="182"/>
      <c r="X625" s="182"/>
      <c r="Y625" s="182"/>
      <c r="Z625" s="182"/>
      <c r="AA625" s="182"/>
    </row>
    <row r="626" spans="1:27" ht="14.4">
      <c r="A626" s="182"/>
      <c r="B626" s="182"/>
      <c r="C626" s="182"/>
      <c r="D626" s="182"/>
      <c r="E626" s="182"/>
      <c r="F626" s="182"/>
      <c r="G626" s="182"/>
      <c r="H626" s="182"/>
      <c r="I626" s="182"/>
      <c r="J626" s="182"/>
      <c r="K626" s="182"/>
      <c r="L626" s="182"/>
      <c r="M626" s="179"/>
      <c r="N626" s="179"/>
      <c r="O626" s="179"/>
      <c r="P626" s="182"/>
      <c r="Q626" s="182"/>
      <c r="R626" s="182"/>
      <c r="S626" s="182"/>
      <c r="T626" s="182"/>
      <c r="U626" s="182"/>
      <c r="V626" s="182"/>
      <c r="W626" s="182"/>
      <c r="X626" s="182"/>
      <c r="Y626" s="182"/>
      <c r="Z626" s="182"/>
      <c r="AA626" s="182"/>
    </row>
    <row r="627" spans="1:27" ht="14.4">
      <c r="A627" s="182"/>
      <c r="B627" s="182"/>
      <c r="C627" s="182"/>
      <c r="D627" s="182"/>
      <c r="E627" s="182"/>
      <c r="F627" s="182"/>
      <c r="G627" s="182"/>
      <c r="H627" s="182"/>
      <c r="I627" s="182"/>
      <c r="J627" s="182"/>
      <c r="K627" s="182"/>
      <c r="L627" s="182"/>
      <c r="M627" s="179"/>
      <c r="N627" s="179"/>
      <c r="O627" s="179"/>
      <c r="P627" s="182"/>
      <c r="Q627" s="182"/>
      <c r="R627" s="182"/>
      <c r="S627" s="182"/>
      <c r="T627" s="182"/>
      <c r="U627" s="182"/>
      <c r="V627" s="182"/>
      <c r="W627" s="182"/>
      <c r="X627" s="182"/>
      <c r="Y627" s="182"/>
      <c r="Z627" s="182"/>
      <c r="AA627" s="182"/>
    </row>
    <row r="628" spans="1:27" ht="14.4">
      <c r="A628" s="182"/>
      <c r="B628" s="182"/>
      <c r="C628" s="182"/>
      <c r="D628" s="182"/>
      <c r="E628" s="182"/>
      <c r="F628" s="182"/>
      <c r="G628" s="182"/>
      <c r="H628" s="182"/>
      <c r="I628" s="182"/>
      <c r="J628" s="182"/>
      <c r="K628" s="182"/>
      <c r="L628" s="182"/>
      <c r="M628" s="179"/>
      <c r="N628" s="179"/>
      <c r="O628" s="179"/>
      <c r="P628" s="182"/>
      <c r="Q628" s="182"/>
      <c r="R628" s="182"/>
      <c r="S628" s="182"/>
      <c r="T628" s="182"/>
      <c r="U628" s="182"/>
      <c r="V628" s="182"/>
      <c r="W628" s="182"/>
      <c r="X628" s="182"/>
      <c r="Y628" s="182"/>
      <c r="Z628" s="182"/>
      <c r="AA628" s="182"/>
    </row>
    <row r="629" spans="1:27" ht="14.4">
      <c r="A629" s="182"/>
      <c r="B629" s="182"/>
      <c r="C629" s="182"/>
      <c r="D629" s="182"/>
      <c r="E629" s="182"/>
      <c r="F629" s="182"/>
      <c r="G629" s="182"/>
      <c r="H629" s="182"/>
      <c r="I629" s="182"/>
      <c r="J629" s="182"/>
      <c r="K629" s="182"/>
      <c r="L629" s="182"/>
      <c r="M629" s="179"/>
      <c r="N629" s="179"/>
      <c r="O629" s="179"/>
      <c r="P629" s="182"/>
      <c r="Q629" s="182"/>
      <c r="R629" s="182"/>
      <c r="S629" s="182"/>
      <c r="T629" s="182"/>
      <c r="U629" s="182"/>
      <c r="V629" s="182"/>
      <c r="W629" s="182"/>
      <c r="X629" s="182"/>
      <c r="Y629" s="182"/>
      <c r="Z629" s="182"/>
      <c r="AA629" s="182"/>
    </row>
    <row r="630" spans="1:27" ht="14.4">
      <c r="A630" s="182"/>
      <c r="B630" s="182"/>
      <c r="C630" s="182"/>
      <c r="D630" s="182"/>
      <c r="E630" s="182"/>
      <c r="F630" s="182"/>
      <c r="G630" s="182"/>
      <c r="H630" s="182"/>
      <c r="I630" s="182"/>
      <c r="J630" s="182"/>
      <c r="K630" s="182"/>
      <c r="L630" s="182"/>
      <c r="M630" s="179"/>
      <c r="N630" s="179"/>
      <c r="O630" s="179"/>
      <c r="P630" s="182"/>
      <c r="Q630" s="182"/>
      <c r="R630" s="182"/>
      <c r="S630" s="182"/>
      <c r="T630" s="182"/>
      <c r="U630" s="182"/>
      <c r="V630" s="182"/>
      <c r="W630" s="182"/>
      <c r="X630" s="182"/>
      <c r="Y630" s="182"/>
      <c r="Z630" s="182"/>
      <c r="AA630" s="182"/>
    </row>
    <row r="631" spans="1:27" ht="14.4">
      <c r="A631" s="182"/>
      <c r="B631" s="182"/>
      <c r="C631" s="182"/>
      <c r="D631" s="182"/>
      <c r="E631" s="182"/>
      <c r="F631" s="182"/>
      <c r="G631" s="182"/>
      <c r="H631" s="182"/>
      <c r="I631" s="182"/>
      <c r="J631" s="182"/>
      <c r="K631" s="182"/>
      <c r="L631" s="182"/>
      <c r="M631" s="179"/>
      <c r="N631" s="179"/>
      <c r="O631" s="179"/>
      <c r="P631" s="182"/>
      <c r="Q631" s="182"/>
      <c r="R631" s="182"/>
      <c r="S631" s="182"/>
      <c r="T631" s="182"/>
      <c r="U631" s="182"/>
      <c r="V631" s="182"/>
      <c r="W631" s="182"/>
      <c r="X631" s="182"/>
      <c r="Y631" s="182"/>
      <c r="Z631" s="182"/>
      <c r="AA631" s="182"/>
    </row>
    <row r="632" spans="1:27" ht="14.4">
      <c r="A632" s="182"/>
      <c r="B632" s="182"/>
      <c r="C632" s="182"/>
      <c r="D632" s="182"/>
      <c r="E632" s="182"/>
      <c r="F632" s="182"/>
      <c r="G632" s="182"/>
      <c r="H632" s="182"/>
      <c r="I632" s="182"/>
      <c r="J632" s="182"/>
      <c r="K632" s="182"/>
      <c r="L632" s="182"/>
      <c r="M632" s="179"/>
      <c r="N632" s="179"/>
      <c r="O632" s="179"/>
      <c r="P632" s="182"/>
      <c r="Q632" s="182"/>
      <c r="R632" s="182"/>
      <c r="S632" s="182"/>
      <c r="T632" s="182"/>
      <c r="U632" s="182"/>
      <c r="V632" s="182"/>
      <c r="W632" s="182"/>
      <c r="X632" s="182"/>
      <c r="Y632" s="182"/>
      <c r="Z632" s="182"/>
      <c r="AA632" s="182"/>
    </row>
    <row r="633" spans="1:27" ht="14.4">
      <c r="A633" s="182"/>
      <c r="B633" s="182"/>
      <c r="C633" s="182"/>
      <c r="D633" s="182"/>
      <c r="E633" s="182"/>
      <c r="F633" s="182"/>
      <c r="G633" s="182"/>
      <c r="H633" s="182"/>
      <c r="I633" s="182"/>
      <c r="J633" s="182"/>
      <c r="K633" s="182"/>
      <c r="L633" s="182"/>
      <c r="M633" s="179"/>
      <c r="N633" s="179"/>
      <c r="O633" s="179"/>
      <c r="P633" s="182"/>
      <c r="Q633" s="182"/>
      <c r="R633" s="182"/>
      <c r="S633" s="182"/>
      <c r="T633" s="182"/>
      <c r="U633" s="182"/>
      <c r="V633" s="182"/>
      <c r="W633" s="182"/>
      <c r="X633" s="182"/>
      <c r="Y633" s="182"/>
      <c r="Z633" s="182"/>
      <c r="AA633" s="182"/>
    </row>
    <row r="634" spans="1:27" ht="14.4">
      <c r="A634" s="182"/>
      <c r="B634" s="182"/>
      <c r="C634" s="182"/>
      <c r="D634" s="182"/>
      <c r="E634" s="182"/>
      <c r="F634" s="182"/>
      <c r="G634" s="182"/>
      <c r="H634" s="182"/>
      <c r="I634" s="182"/>
      <c r="J634" s="182"/>
      <c r="K634" s="182"/>
      <c r="L634" s="182"/>
      <c r="M634" s="179"/>
      <c r="N634" s="179"/>
      <c r="O634" s="179"/>
      <c r="P634" s="182"/>
      <c r="Q634" s="182"/>
      <c r="R634" s="182"/>
      <c r="S634" s="182"/>
      <c r="T634" s="182"/>
      <c r="U634" s="182"/>
      <c r="V634" s="182"/>
      <c r="W634" s="182"/>
      <c r="X634" s="182"/>
      <c r="Y634" s="182"/>
      <c r="Z634" s="182"/>
      <c r="AA634" s="182"/>
    </row>
    <row r="635" spans="1:27" ht="14.4">
      <c r="A635" s="182"/>
      <c r="B635" s="182"/>
      <c r="C635" s="182"/>
      <c r="D635" s="182"/>
      <c r="E635" s="182"/>
      <c r="F635" s="182"/>
      <c r="G635" s="182"/>
      <c r="H635" s="182"/>
      <c r="I635" s="182"/>
      <c r="J635" s="182"/>
      <c r="K635" s="182"/>
      <c r="L635" s="182"/>
      <c r="M635" s="179"/>
      <c r="N635" s="179"/>
      <c r="O635" s="179"/>
      <c r="P635" s="182"/>
      <c r="Q635" s="182"/>
      <c r="R635" s="182"/>
      <c r="S635" s="182"/>
      <c r="T635" s="182"/>
      <c r="U635" s="182"/>
      <c r="V635" s="182"/>
      <c r="W635" s="182"/>
      <c r="X635" s="182"/>
      <c r="Y635" s="182"/>
      <c r="Z635" s="182"/>
      <c r="AA635" s="182"/>
    </row>
    <row r="636" spans="1:27" ht="14.4">
      <c r="A636" s="182"/>
      <c r="B636" s="182"/>
      <c r="C636" s="182"/>
      <c r="D636" s="182"/>
      <c r="E636" s="182"/>
      <c r="F636" s="182"/>
      <c r="G636" s="182"/>
      <c r="H636" s="182"/>
      <c r="I636" s="182"/>
      <c r="J636" s="182"/>
      <c r="K636" s="182"/>
      <c r="L636" s="182"/>
      <c r="M636" s="179"/>
      <c r="N636" s="179"/>
      <c r="O636" s="179"/>
      <c r="P636" s="182"/>
      <c r="Q636" s="182"/>
      <c r="R636" s="182"/>
      <c r="S636" s="182"/>
      <c r="T636" s="182"/>
      <c r="U636" s="182"/>
      <c r="V636" s="182"/>
      <c r="W636" s="182"/>
      <c r="X636" s="182"/>
      <c r="Y636" s="182"/>
      <c r="Z636" s="182"/>
      <c r="AA636" s="182"/>
    </row>
    <row r="637" spans="1:27" ht="14.4">
      <c r="A637" s="182"/>
      <c r="B637" s="182"/>
      <c r="C637" s="182"/>
      <c r="D637" s="182"/>
      <c r="E637" s="182"/>
      <c r="F637" s="182"/>
      <c r="G637" s="182"/>
      <c r="H637" s="182"/>
      <c r="I637" s="182"/>
      <c r="J637" s="182"/>
      <c r="K637" s="182"/>
      <c r="L637" s="182"/>
      <c r="M637" s="179"/>
      <c r="N637" s="179"/>
      <c r="O637" s="179"/>
      <c r="P637" s="182"/>
      <c r="Q637" s="182"/>
      <c r="R637" s="182"/>
      <c r="S637" s="182"/>
      <c r="T637" s="182"/>
      <c r="U637" s="182"/>
      <c r="V637" s="182"/>
      <c r="W637" s="182"/>
      <c r="X637" s="182"/>
      <c r="Y637" s="182"/>
      <c r="Z637" s="182"/>
      <c r="AA637" s="182"/>
    </row>
    <row r="638" spans="1:27" ht="14.4">
      <c r="A638" s="182"/>
      <c r="B638" s="182"/>
      <c r="C638" s="182"/>
      <c r="D638" s="182"/>
      <c r="E638" s="182"/>
      <c r="F638" s="182"/>
      <c r="G638" s="182"/>
      <c r="H638" s="182"/>
      <c r="I638" s="182"/>
      <c r="J638" s="182"/>
      <c r="K638" s="182"/>
      <c r="L638" s="182"/>
      <c r="M638" s="179"/>
      <c r="N638" s="179"/>
      <c r="O638" s="179"/>
      <c r="P638" s="182"/>
      <c r="Q638" s="182"/>
      <c r="R638" s="182"/>
      <c r="S638" s="182"/>
      <c r="T638" s="182"/>
      <c r="U638" s="182"/>
      <c r="V638" s="182"/>
      <c r="W638" s="182"/>
      <c r="X638" s="182"/>
      <c r="Y638" s="182"/>
      <c r="Z638" s="182"/>
      <c r="AA638" s="182"/>
    </row>
    <row r="639" spans="1:27" ht="14.4">
      <c r="A639" s="182"/>
      <c r="B639" s="182"/>
      <c r="C639" s="182"/>
      <c r="D639" s="182"/>
      <c r="E639" s="182"/>
      <c r="F639" s="182"/>
      <c r="G639" s="182"/>
      <c r="H639" s="182"/>
      <c r="I639" s="182"/>
      <c r="J639" s="182"/>
      <c r="K639" s="182"/>
      <c r="L639" s="182"/>
      <c r="M639" s="179"/>
      <c r="N639" s="179"/>
      <c r="O639" s="179"/>
      <c r="P639" s="182"/>
      <c r="Q639" s="182"/>
      <c r="R639" s="182"/>
      <c r="S639" s="182"/>
      <c r="T639" s="182"/>
      <c r="U639" s="182"/>
      <c r="V639" s="182"/>
      <c r="W639" s="182"/>
      <c r="X639" s="182"/>
      <c r="Y639" s="182"/>
      <c r="Z639" s="182"/>
      <c r="AA639" s="182"/>
    </row>
    <row r="640" spans="1:27" ht="14.4">
      <c r="A640" s="182"/>
      <c r="B640" s="182"/>
      <c r="C640" s="182"/>
      <c r="D640" s="182"/>
      <c r="E640" s="182"/>
      <c r="F640" s="182"/>
      <c r="G640" s="182"/>
      <c r="H640" s="182"/>
      <c r="I640" s="182"/>
      <c r="J640" s="182"/>
      <c r="K640" s="182"/>
      <c r="L640" s="182"/>
      <c r="M640" s="179"/>
      <c r="N640" s="179"/>
      <c r="O640" s="179"/>
      <c r="P640" s="182"/>
      <c r="Q640" s="182"/>
      <c r="R640" s="182"/>
      <c r="S640" s="182"/>
      <c r="T640" s="182"/>
      <c r="U640" s="182"/>
      <c r="V640" s="182"/>
      <c r="W640" s="182"/>
      <c r="X640" s="182"/>
      <c r="Y640" s="182"/>
      <c r="Z640" s="182"/>
      <c r="AA640" s="182"/>
    </row>
    <row r="641" spans="1:27" ht="14.4">
      <c r="A641" s="182"/>
      <c r="B641" s="182"/>
      <c r="C641" s="182"/>
      <c r="D641" s="182"/>
      <c r="E641" s="182"/>
      <c r="F641" s="182"/>
      <c r="G641" s="182"/>
      <c r="H641" s="182"/>
      <c r="I641" s="182"/>
      <c r="J641" s="182"/>
      <c r="K641" s="182"/>
      <c r="L641" s="182"/>
      <c r="M641" s="179"/>
      <c r="N641" s="179"/>
      <c r="O641" s="179"/>
      <c r="P641" s="182"/>
      <c r="Q641" s="182"/>
      <c r="R641" s="182"/>
      <c r="S641" s="182"/>
      <c r="T641" s="182"/>
      <c r="U641" s="182"/>
      <c r="V641" s="182"/>
      <c r="W641" s="182"/>
      <c r="X641" s="182"/>
      <c r="Y641" s="182"/>
      <c r="Z641" s="182"/>
      <c r="AA641" s="182"/>
    </row>
    <row r="642" spans="1:27" ht="14.4">
      <c r="A642" s="182"/>
      <c r="B642" s="182"/>
      <c r="C642" s="182"/>
      <c r="D642" s="182"/>
      <c r="E642" s="182"/>
      <c r="F642" s="182"/>
      <c r="G642" s="182"/>
      <c r="H642" s="182"/>
      <c r="I642" s="182"/>
      <c r="J642" s="182"/>
      <c r="K642" s="182"/>
      <c r="L642" s="182"/>
      <c r="M642" s="179"/>
      <c r="N642" s="179"/>
      <c r="O642" s="179"/>
      <c r="P642" s="182"/>
      <c r="Q642" s="182"/>
      <c r="R642" s="182"/>
      <c r="S642" s="182"/>
      <c r="T642" s="182"/>
      <c r="U642" s="182"/>
      <c r="V642" s="182"/>
      <c r="W642" s="182"/>
      <c r="X642" s="182"/>
      <c r="Y642" s="182"/>
      <c r="Z642" s="182"/>
      <c r="AA642" s="182"/>
    </row>
    <row r="643" spans="1:27" ht="14.4">
      <c r="A643" s="182"/>
      <c r="B643" s="182"/>
      <c r="C643" s="182"/>
      <c r="D643" s="182"/>
      <c r="E643" s="182"/>
      <c r="F643" s="182"/>
      <c r="G643" s="182"/>
      <c r="H643" s="182"/>
      <c r="I643" s="182"/>
      <c r="J643" s="182"/>
      <c r="K643" s="182"/>
      <c r="L643" s="182"/>
      <c r="M643" s="179"/>
      <c r="N643" s="179"/>
      <c r="O643" s="179"/>
      <c r="P643" s="182"/>
      <c r="Q643" s="182"/>
      <c r="R643" s="182"/>
      <c r="S643" s="182"/>
      <c r="T643" s="182"/>
      <c r="U643" s="182"/>
      <c r="V643" s="182"/>
      <c r="W643" s="182"/>
      <c r="X643" s="182"/>
      <c r="Y643" s="182"/>
      <c r="Z643" s="182"/>
      <c r="AA643" s="182"/>
    </row>
    <row r="644" spans="1:27" ht="14.4">
      <c r="A644" s="182"/>
      <c r="B644" s="182"/>
      <c r="C644" s="182"/>
      <c r="D644" s="182"/>
      <c r="E644" s="182"/>
      <c r="F644" s="182"/>
      <c r="G644" s="182"/>
      <c r="H644" s="182"/>
      <c r="I644" s="182"/>
      <c r="J644" s="182"/>
      <c r="K644" s="182"/>
      <c r="L644" s="182"/>
      <c r="M644" s="179"/>
      <c r="N644" s="179"/>
      <c r="O644" s="179"/>
      <c r="P644" s="182"/>
      <c r="Q644" s="182"/>
      <c r="R644" s="182"/>
      <c r="S644" s="182"/>
      <c r="T644" s="182"/>
      <c r="U644" s="182"/>
      <c r="V644" s="182"/>
      <c r="W644" s="182"/>
      <c r="X644" s="182"/>
      <c r="Y644" s="182"/>
      <c r="Z644" s="182"/>
      <c r="AA644" s="182"/>
    </row>
    <row r="645" spans="1:27" ht="14.4">
      <c r="A645" s="182"/>
      <c r="B645" s="182"/>
      <c r="C645" s="182"/>
      <c r="D645" s="182"/>
      <c r="E645" s="182"/>
      <c r="F645" s="182"/>
      <c r="G645" s="182"/>
      <c r="H645" s="182"/>
      <c r="I645" s="182"/>
      <c r="J645" s="182"/>
      <c r="K645" s="182"/>
      <c r="L645" s="182"/>
      <c r="M645" s="179"/>
      <c r="N645" s="179"/>
      <c r="O645" s="179"/>
      <c r="P645" s="182"/>
      <c r="Q645" s="182"/>
      <c r="R645" s="182"/>
      <c r="S645" s="182"/>
      <c r="T645" s="182"/>
      <c r="U645" s="182"/>
      <c r="V645" s="182"/>
      <c r="W645" s="182"/>
      <c r="X645" s="182"/>
      <c r="Y645" s="182"/>
      <c r="Z645" s="182"/>
      <c r="AA645" s="182"/>
    </row>
    <row r="646" spans="1:27" ht="14.4">
      <c r="A646" s="182"/>
      <c r="B646" s="182"/>
      <c r="C646" s="182"/>
      <c r="D646" s="182"/>
      <c r="E646" s="182"/>
      <c r="F646" s="182"/>
      <c r="G646" s="182"/>
      <c r="H646" s="182"/>
      <c r="I646" s="182"/>
      <c r="J646" s="182"/>
      <c r="K646" s="182"/>
      <c r="L646" s="182"/>
      <c r="M646" s="179"/>
      <c r="N646" s="179"/>
      <c r="O646" s="179"/>
      <c r="P646" s="182"/>
      <c r="Q646" s="182"/>
      <c r="R646" s="182"/>
      <c r="S646" s="182"/>
      <c r="T646" s="182"/>
      <c r="U646" s="182"/>
      <c r="V646" s="182"/>
      <c r="W646" s="182"/>
      <c r="X646" s="182"/>
      <c r="Y646" s="182"/>
      <c r="Z646" s="182"/>
      <c r="AA646" s="182"/>
    </row>
    <row r="647" spans="1:27" ht="14.4">
      <c r="A647" s="182"/>
      <c r="B647" s="182"/>
      <c r="C647" s="182"/>
      <c r="D647" s="182"/>
      <c r="E647" s="182"/>
      <c r="F647" s="182"/>
      <c r="G647" s="182"/>
      <c r="H647" s="182"/>
      <c r="I647" s="182"/>
      <c r="J647" s="182"/>
      <c r="K647" s="182"/>
      <c r="L647" s="182"/>
      <c r="M647" s="179"/>
      <c r="N647" s="179"/>
      <c r="O647" s="179"/>
      <c r="P647" s="182"/>
      <c r="Q647" s="182"/>
      <c r="R647" s="182"/>
      <c r="S647" s="182"/>
      <c r="T647" s="182"/>
      <c r="U647" s="182"/>
      <c r="V647" s="182"/>
      <c r="W647" s="182"/>
      <c r="X647" s="182"/>
      <c r="Y647" s="182"/>
      <c r="Z647" s="182"/>
      <c r="AA647" s="182"/>
    </row>
    <row r="648" spans="1:27" ht="14.4">
      <c r="A648" s="182"/>
      <c r="B648" s="182"/>
      <c r="C648" s="182"/>
      <c r="D648" s="182"/>
      <c r="E648" s="182"/>
      <c r="F648" s="182"/>
      <c r="G648" s="182"/>
      <c r="H648" s="182"/>
      <c r="I648" s="182"/>
      <c r="J648" s="182"/>
      <c r="K648" s="182"/>
      <c r="L648" s="182"/>
      <c r="M648" s="179"/>
      <c r="N648" s="179"/>
      <c r="O648" s="179"/>
      <c r="P648" s="182"/>
      <c r="Q648" s="182"/>
      <c r="R648" s="182"/>
      <c r="S648" s="182"/>
      <c r="T648" s="182"/>
      <c r="U648" s="182"/>
      <c r="V648" s="182"/>
      <c r="W648" s="182"/>
      <c r="X648" s="182"/>
      <c r="Y648" s="182"/>
      <c r="Z648" s="182"/>
      <c r="AA648" s="182"/>
    </row>
    <row r="649" spans="1:27" ht="14.4">
      <c r="A649" s="182"/>
      <c r="B649" s="182"/>
      <c r="C649" s="182"/>
      <c r="D649" s="182"/>
      <c r="E649" s="182"/>
      <c r="F649" s="182"/>
      <c r="G649" s="182"/>
      <c r="H649" s="182"/>
      <c r="I649" s="182"/>
      <c r="J649" s="182"/>
      <c r="K649" s="182"/>
      <c r="L649" s="182"/>
      <c r="M649" s="179"/>
      <c r="N649" s="179"/>
      <c r="O649" s="179"/>
      <c r="P649" s="182"/>
      <c r="Q649" s="182"/>
      <c r="R649" s="182"/>
      <c r="S649" s="182"/>
      <c r="T649" s="182"/>
      <c r="U649" s="182"/>
      <c r="V649" s="182"/>
      <c r="W649" s="182"/>
      <c r="X649" s="182"/>
      <c r="Y649" s="182"/>
      <c r="Z649" s="182"/>
      <c r="AA649" s="182"/>
    </row>
    <row r="650" spans="1:27" ht="14.4">
      <c r="A650" s="182"/>
      <c r="B650" s="182"/>
      <c r="C650" s="182"/>
      <c r="D650" s="182"/>
      <c r="E650" s="182"/>
      <c r="F650" s="182"/>
      <c r="G650" s="182"/>
      <c r="H650" s="182"/>
      <c r="I650" s="182"/>
      <c r="J650" s="182"/>
      <c r="K650" s="182"/>
      <c r="L650" s="182"/>
      <c r="M650" s="179"/>
      <c r="N650" s="179"/>
      <c r="O650" s="179"/>
      <c r="P650" s="182"/>
      <c r="Q650" s="182"/>
      <c r="R650" s="182"/>
      <c r="S650" s="182"/>
      <c r="T650" s="182"/>
      <c r="U650" s="182"/>
      <c r="V650" s="182"/>
      <c r="W650" s="182"/>
      <c r="X650" s="182"/>
      <c r="Y650" s="182"/>
      <c r="Z650" s="182"/>
      <c r="AA650" s="182"/>
    </row>
    <row r="651" spans="1:27" ht="14.4">
      <c r="A651" s="182"/>
      <c r="B651" s="182"/>
      <c r="C651" s="182"/>
      <c r="D651" s="182"/>
      <c r="E651" s="182"/>
      <c r="F651" s="182"/>
      <c r="G651" s="182"/>
      <c r="H651" s="182"/>
      <c r="I651" s="182"/>
      <c r="J651" s="182"/>
      <c r="K651" s="182"/>
      <c r="L651" s="182"/>
      <c r="M651" s="179"/>
      <c r="N651" s="179"/>
      <c r="O651" s="179"/>
      <c r="P651" s="182"/>
      <c r="Q651" s="182"/>
      <c r="R651" s="182"/>
      <c r="S651" s="182"/>
      <c r="T651" s="182"/>
      <c r="U651" s="182"/>
      <c r="V651" s="182"/>
      <c r="W651" s="182"/>
      <c r="X651" s="182"/>
      <c r="Y651" s="182"/>
      <c r="Z651" s="182"/>
      <c r="AA651" s="182"/>
    </row>
    <row r="652" spans="1:27" ht="14.4">
      <c r="A652" s="182"/>
      <c r="B652" s="182"/>
      <c r="C652" s="182"/>
      <c r="D652" s="182"/>
      <c r="E652" s="182"/>
      <c r="F652" s="182"/>
      <c r="G652" s="182"/>
      <c r="H652" s="182"/>
      <c r="I652" s="182"/>
      <c r="J652" s="182"/>
      <c r="K652" s="182"/>
      <c r="L652" s="182"/>
      <c r="M652" s="179"/>
      <c r="N652" s="179"/>
      <c r="O652" s="179"/>
      <c r="P652" s="182"/>
      <c r="Q652" s="182"/>
      <c r="R652" s="182"/>
      <c r="S652" s="182"/>
      <c r="T652" s="182"/>
      <c r="U652" s="182"/>
      <c r="V652" s="182"/>
      <c r="W652" s="182"/>
      <c r="X652" s="182"/>
      <c r="Y652" s="182"/>
      <c r="Z652" s="182"/>
      <c r="AA652" s="182"/>
    </row>
    <row r="653" spans="1:27" ht="14.4">
      <c r="A653" s="182"/>
      <c r="B653" s="182"/>
      <c r="C653" s="182"/>
      <c r="D653" s="182"/>
      <c r="E653" s="182"/>
      <c r="F653" s="182"/>
      <c r="G653" s="182"/>
      <c r="H653" s="182"/>
      <c r="I653" s="182"/>
      <c r="J653" s="182"/>
      <c r="K653" s="182"/>
      <c r="L653" s="182"/>
      <c r="M653" s="179"/>
      <c r="N653" s="179"/>
      <c r="O653" s="179"/>
      <c r="P653" s="182"/>
      <c r="Q653" s="182"/>
      <c r="R653" s="182"/>
      <c r="S653" s="182"/>
      <c r="T653" s="182"/>
      <c r="U653" s="182"/>
      <c r="V653" s="182"/>
      <c r="W653" s="182"/>
      <c r="X653" s="182"/>
      <c r="Y653" s="182"/>
      <c r="Z653" s="182"/>
      <c r="AA653" s="182"/>
    </row>
    <row r="654" spans="1:27" ht="14.4">
      <c r="A654" s="182"/>
      <c r="B654" s="182"/>
      <c r="C654" s="182"/>
      <c r="D654" s="182"/>
      <c r="E654" s="182"/>
      <c r="F654" s="182"/>
      <c r="G654" s="182"/>
      <c r="H654" s="182"/>
      <c r="I654" s="182"/>
      <c r="J654" s="182"/>
      <c r="K654" s="182"/>
      <c r="L654" s="182"/>
      <c r="M654" s="179"/>
      <c r="N654" s="179"/>
      <c r="O654" s="179"/>
      <c r="P654" s="182"/>
      <c r="Q654" s="182"/>
      <c r="R654" s="182"/>
      <c r="S654" s="182"/>
      <c r="T654" s="182"/>
      <c r="U654" s="182"/>
      <c r="V654" s="182"/>
      <c r="W654" s="182"/>
      <c r="X654" s="182"/>
      <c r="Y654" s="182"/>
      <c r="Z654" s="182"/>
      <c r="AA654" s="182"/>
    </row>
    <row r="655" spans="1:27" ht="14.4">
      <c r="A655" s="182"/>
      <c r="B655" s="182"/>
      <c r="C655" s="182"/>
      <c r="D655" s="182"/>
      <c r="E655" s="182"/>
      <c r="F655" s="182"/>
      <c r="G655" s="182"/>
      <c r="H655" s="182"/>
      <c r="I655" s="182"/>
      <c r="J655" s="182"/>
      <c r="K655" s="182"/>
      <c r="L655" s="182"/>
      <c r="M655" s="179"/>
      <c r="N655" s="179"/>
      <c r="O655" s="179"/>
      <c r="P655" s="182"/>
      <c r="Q655" s="182"/>
      <c r="R655" s="182"/>
      <c r="S655" s="182"/>
      <c r="T655" s="182"/>
      <c r="U655" s="182"/>
      <c r="V655" s="182"/>
      <c r="W655" s="182"/>
      <c r="X655" s="182"/>
      <c r="Y655" s="182"/>
      <c r="Z655" s="182"/>
      <c r="AA655" s="182"/>
    </row>
    <row r="656" spans="1:27" ht="14.4">
      <c r="A656" s="182"/>
      <c r="B656" s="182"/>
      <c r="C656" s="182"/>
      <c r="D656" s="182"/>
      <c r="E656" s="182"/>
      <c r="F656" s="182"/>
      <c r="G656" s="182"/>
      <c r="H656" s="182"/>
      <c r="I656" s="182"/>
      <c r="J656" s="182"/>
      <c r="K656" s="182"/>
      <c r="L656" s="182"/>
      <c r="M656" s="179"/>
      <c r="N656" s="179"/>
      <c r="O656" s="179"/>
      <c r="P656" s="182"/>
      <c r="Q656" s="182"/>
      <c r="R656" s="182"/>
      <c r="S656" s="182"/>
      <c r="T656" s="182"/>
      <c r="U656" s="182"/>
      <c r="V656" s="182"/>
      <c r="W656" s="182"/>
      <c r="X656" s="182"/>
      <c r="Y656" s="182"/>
      <c r="Z656" s="182"/>
      <c r="AA656" s="182"/>
    </row>
    <row r="657" spans="1:27" ht="14.4">
      <c r="A657" s="182"/>
      <c r="B657" s="182"/>
      <c r="C657" s="182"/>
      <c r="D657" s="182"/>
      <c r="E657" s="182"/>
      <c r="F657" s="182"/>
      <c r="G657" s="182"/>
      <c r="H657" s="182"/>
      <c r="I657" s="182"/>
      <c r="J657" s="182"/>
      <c r="K657" s="182"/>
      <c r="L657" s="182"/>
      <c r="M657" s="179"/>
      <c r="N657" s="179"/>
      <c r="O657" s="179"/>
      <c r="P657" s="182"/>
      <c r="Q657" s="182"/>
      <c r="R657" s="182"/>
      <c r="S657" s="182"/>
      <c r="T657" s="182"/>
      <c r="U657" s="182"/>
      <c r="V657" s="182"/>
      <c r="W657" s="182"/>
      <c r="X657" s="182"/>
      <c r="Y657" s="182"/>
      <c r="Z657" s="182"/>
      <c r="AA657" s="182"/>
    </row>
    <row r="658" spans="1:27" ht="14.4">
      <c r="A658" s="182"/>
      <c r="B658" s="182"/>
      <c r="C658" s="182"/>
      <c r="D658" s="182"/>
      <c r="E658" s="182"/>
      <c r="F658" s="182"/>
      <c r="G658" s="182"/>
      <c r="H658" s="182"/>
      <c r="I658" s="182"/>
      <c r="J658" s="182"/>
      <c r="K658" s="182"/>
      <c r="L658" s="182"/>
      <c r="M658" s="179"/>
      <c r="N658" s="179"/>
      <c r="O658" s="179"/>
      <c r="P658" s="182"/>
      <c r="Q658" s="182"/>
      <c r="R658" s="182"/>
      <c r="S658" s="182"/>
      <c r="T658" s="182"/>
      <c r="U658" s="182"/>
      <c r="V658" s="182"/>
      <c r="W658" s="182"/>
      <c r="X658" s="182"/>
      <c r="Y658" s="182"/>
      <c r="Z658" s="182"/>
      <c r="AA658" s="182"/>
    </row>
    <row r="659" spans="1:27" ht="14.4">
      <c r="A659" s="182"/>
      <c r="B659" s="182"/>
      <c r="C659" s="182"/>
      <c r="D659" s="182"/>
      <c r="E659" s="182"/>
      <c r="F659" s="182"/>
      <c r="G659" s="182"/>
      <c r="H659" s="182"/>
      <c r="I659" s="182"/>
      <c r="J659" s="182"/>
      <c r="K659" s="182"/>
      <c r="L659" s="182"/>
      <c r="M659" s="179"/>
      <c r="N659" s="179"/>
      <c r="O659" s="179"/>
      <c r="P659" s="182"/>
      <c r="Q659" s="182"/>
      <c r="R659" s="182"/>
      <c r="S659" s="182"/>
      <c r="T659" s="182"/>
      <c r="U659" s="182"/>
      <c r="V659" s="182"/>
      <c r="W659" s="182"/>
      <c r="X659" s="182"/>
      <c r="Y659" s="182"/>
      <c r="Z659" s="182"/>
      <c r="AA659" s="182"/>
    </row>
    <row r="660" spans="1:27" ht="14.4">
      <c r="A660" s="182"/>
      <c r="B660" s="182"/>
      <c r="C660" s="182"/>
      <c r="D660" s="182"/>
      <c r="E660" s="182"/>
      <c r="F660" s="182"/>
      <c r="G660" s="182"/>
      <c r="H660" s="182"/>
      <c r="I660" s="182"/>
      <c r="J660" s="182"/>
      <c r="K660" s="182"/>
      <c r="L660" s="182"/>
      <c r="M660" s="179"/>
      <c r="N660" s="179"/>
      <c r="O660" s="179"/>
      <c r="P660" s="182"/>
      <c r="Q660" s="182"/>
      <c r="R660" s="182"/>
      <c r="S660" s="182"/>
      <c r="T660" s="182"/>
      <c r="U660" s="182"/>
      <c r="V660" s="182"/>
      <c r="W660" s="182"/>
      <c r="X660" s="182"/>
      <c r="Y660" s="182"/>
      <c r="Z660" s="182"/>
      <c r="AA660" s="182"/>
    </row>
    <row r="661" spans="1:27" ht="14.4">
      <c r="A661" s="182"/>
      <c r="B661" s="182"/>
      <c r="C661" s="182"/>
      <c r="D661" s="182"/>
      <c r="E661" s="182"/>
      <c r="F661" s="182"/>
      <c r="G661" s="182"/>
      <c r="H661" s="182"/>
      <c r="I661" s="182"/>
      <c r="J661" s="182"/>
      <c r="K661" s="182"/>
      <c r="L661" s="182"/>
      <c r="M661" s="179"/>
      <c r="N661" s="179"/>
      <c r="O661" s="179"/>
      <c r="P661" s="182"/>
      <c r="Q661" s="182"/>
      <c r="R661" s="182"/>
      <c r="S661" s="182"/>
      <c r="T661" s="182"/>
      <c r="U661" s="182"/>
      <c r="V661" s="182"/>
      <c r="W661" s="182"/>
      <c r="X661" s="182"/>
      <c r="Y661" s="182"/>
      <c r="Z661" s="182"/>
      <c r="AA661" s="182"/>
    </row>
    <row r="662" spans="1:27" ht="14.4">
      <c r="A662" s="182"/>
      <c r="B662" s="182"/>
      <c r="C662" s="182"/>
      <c r="D662" s="182"/>
      <c r="E662" s="182"/>
      <c r="F662" s="182"/>
      <c r="G662" s="182"/>
      <c r="H662" s="182"/>
      <c r="I662" s="182"/>
      <c r="J662" s="182"/>
      <c r="K662" s="182"/>
      <c r="L662" s="182"/>
      <c r="M662" s="179"/>
      <c r="N662" s="179"/>
      <c r="O662" s="179"/>
      <c r="P662" s="182"/>
      <c r="Q662" s="182"/>
      <c r="R662" s="182"/>
      <c r="S662" s="182"/>
      <c r="T662" s="182"/>
      <c r="U662" s="182"/>
      <c r="V662" s="182"/>
      <c r="W662" s="182"/>
      <c r="X662" s="182"/>
      <c r="Y662" s="182"/>
      <c r="Z662" s="182"/>
      <c r="AA662" s="182"/>
    </row>
    <row r="663" spans="1:27" ht="14.4">
      <c r="A663" s="182"/>
      <c r="B663" s="182"/>
      <c r="C663" s="182"/>
      <c r="D663" s="182"/>
      <c r="E663" s="182"/>
      <c r="F663" s="182"/>
      <c r="G663" s="182"/>
      <c r="H663" s="182"/>
      <c r="I663" s="182"/>
      <c r="J663" s="182"/>
      <c r="K663" s="182"/>
      <c r="L663" s="182"/>
      <c r="M663" s="179"/>
      <c r="N663" s="179"/>
      <c r="O663" s="179"/>
      <c r="P663" s="182"/>
      <c r="Q663" s="182"/>
      <c r="R663" s="182"/>
      <c r="S663" s="182"/>
      <c r="T663" s="182"/>
      <c r="U663" s="182"/>
      <c r="V663" s="182"/>
      <c r="W663" s="182"/>
      <c r="X663" s="182"/>
      <c r="Y663" s="182"/>
      <c r="Z663" s="182"/>
      <c r="AA663" s="182"/>
    </row>
    <row r="664" spans="1:27" ht="14.4">
      <c r="A664" s="182"/>
      <c r="B664" s="182"/>
      <c r="C664" s="182"/>
      <c r="D664" s="182"/>
      <c r="E664" s="182"/>
      <c r="F664" s="182"/>
      <c r="G664" s="182"/>
      <c r="H664" s="182"/>
      <c r="I664" s="182"/>
      <c r="J664" s="182"/>
      <c r="K664" s="182"/>
      <c r="L664" s="182"/>
      <c r="M664" s="179"/>
      <c r="N664" s="179"/>
      <c r="O664" s="179"/>
      <c r="P664" s="182"/>
      <c r="Q664" s="182"/>
      <c r="R664" s="182"/>
      <c r="S664" s="182"/>
      <c r="T664" s="182"/>
      <c r="U664" s="182"/>
      <c r="V664" s="182"/>
      <c r="W664" s="182"/>
      <c r="X664" s="182"/>
      <c r="Y664" s="182"/>
      <c r="Z664" s="182"/>
      <c r="AA664" s="182"/>
    </row>
    <row r="665" spans="1:27" ht="14.4">
      <c r="A665" s="182"/>
      <c r="B665" s="182"/>
      <c r="C665" s="182"/>
      <c r="D665" s="182"/>
      <c r="E665" s="182"/>
      <c r="F665" s="182"/>
      <c r="G665" s="182"/>
      <c r="H665" s="182"/>
      <c r="I665" s="182"/>
      <c r="J665" s="182"/>
      <c r="K665" s="182"/>
      <c r="L665" s="182"/>
      <c r="M665" s="179"/>
      <c r="N665" s="179"/>
      <c r="O665" s="179"/>
      <c r="P665" s="182"/>
      <c r="Q665" s="182"/>
      <c r="R665" s="182"/>
      <c r="S665" s="182"/>
      <c r="T665" s="182"/>
      <c r="U665" s="182"/>
      <c r="V665" s="182"/>
      <c r="W665" s="182"/>
      <c r="X665" s="182"/>
      <c r="Y665" s="182"/>
      <c r="Z665" s="182"/>
      <c r="AA665" s="182"/>
    </row>
    <row r="666" spans="1:27" ht="14.4">
      <c r="A666" s="182"/>
      <c r="B666" s="182"/>
      <c r="C666" s="182"/>
      <c r="D666" s="182"/>
      <c r="E666" s="182"/>
      <c r="F666" s="182"/>
      <c r="G666" s="182"/>
      <c r="H666" s="182"/>
      <c r="I666" s="182"/>
      <c r="J666" s="182"/>
      <c r="K666" s="182"/>
      <c r="L666" s="182"/>
      <c r="M666" s="179"/>
      <c r="N666" s="179"/>
      <c r="O666" s="179"/>
      <c r="P666" s="182"/>
      <c r="Q666" s="182"/>
      <c r="R666" s="182"/>
      <c r="S666" s="182"/>
      <c r="T666" s="182"/>
      <c r="U666" s="182"/>
      <c r="V666" s="182"/>
      <c r="W666" s="182"/>
      <c r="X666" s="182"/>
      <c r="Y666" s="182"/>
      <c r="Z666" s="182"/>
      <c r="AA666" s="182"/>
    </row>
    <row r="667" spans="1:27" ht="14.4">
      <c r="A667" s="182"/>
      <c r="B667" s="182"/>
      <c r="C667" s="182"/>
      <c r="D667" s="182"/>
      <c r="E667" s="182"/>
      <c r="F667" s="182"/>
      <c r="G667" s="182"/>
      <c r="H667" s="182"/>
      <c r="I667" s="182"/>
      <c r="J667" s="182"/>
      <c r="K667" s="182"/>
      <c r="L667" s="182"/>
      <c r="M667" s="179"/>
      <c r="N667" s="179"/>
      <c r="O667" s="179"/>
      <c r="P667" s="182"/>
      <c r="Q667" s="182"/>
      <c r="R667" s="182"/>
      <c r="S667" s="182"/>
      <c r="T667" s="182"/>
      <c r="U667" s="182"/>
      <c r="V667" s="182"/>
      <c r="W667" s="182"/>
      <c r="X667" s="182"/>
      <c r="Y667" s="182"/>
      <c r="Z667" s="182"/>
      <c r="AA667" s="182"/>
    </row>
    <row r="668" spans="1:27" ht="14.4">
      <c r="A668" s="182"/>
      <c r="B668" s="182"/>
      <c r="C668" s="182"/>
      <c r="D668" s="182"/>
      <c r="E668" s="182"/>
      <c r="F668" s="182"/>
      <c r="G668" s="182"/>
      <c r="H668" s="182"/>
      <c r="I668" s="182"/>
      <c r="J668" s="182"/>
      <c r="K668" s="182"/>
      <c r="L668" s="182"/>
      <c r="M668" s="179"/>
      <c r="N668" s="179"/>
      <c r="O668" s="179"/>
      <c r="P668" s="182"/>
      <c r="Q668" s="182"/>
      <c r="R668" s="182"/>
      <c r="S668" s="182"/>
      <c r="T668" s="182"/>
      <c r="U668" s="182"/>
      <c r="V668" s="182"/>
      <c r="W668" s="182"/>
      <c r="X668" s="182"/>
      <c r="Y668" s="182"/>
      <c r="Z668" s="182"/>
      <c r="AA668" s="182"/>
    </row>
    <row r="669" spans="1:27" ht="14.4">
      <c r="A669" s="182"/>
      <c r="B669" s="182"/>
      <c r="C669" s="182"/>
      <c r="D669" s="182"/>
      <c r="E669" s="182"/>
      <c r="F669" s="182"/>
      <c r="G669" s="182"/>
      <c r="H669" s="182"/>
      <c r="I669" s="182"/>
      <c r="J669" s="182"/>
      <c r="K669" s="182"/>
      <c r="L669" s="182"/>
      <c r="M669" s="179"/>
      <c r="N669" s="179"/>
      <c r="O669" s="179"/>
      <c r="P669" s="182"/>
      <c r="Q669" s="182"/>
      <c r="R669" s="182"/>
      <c r="S669" s="182"/>
      <c r="T669" s="182"/>
      <c r="U669" s="182"/>
      <c r="V669" s="182"/>
      <c r="W669" s="182"/>
      <c r="X669" s="182"/>
      <c r="Y669" s="182"/>
      <c r="Z669" s="182"/>
      <c r="AA669" s="182"/>
    </row>
    <row r="670" spans="1:27" ht="14.4">
      <c r="A670" s="182"/>
      <c r="B670" s="182"/>
      <c r="C670" s="182"/>
      <c r="D670" s="182"/>
      <c r="E670" s="182"/>
      <c r="F670" s="182"/>
      <c r="G670" s="182"/>
      <c r="H670" s="182"/>
      <c r="I670" s="182"/>
      <c r="J670" s="182"/>
      <c r="K670" s="182"/>
      <c r="L670" s="182"/>
      <c r="M670" s="179"/>
      <c r="N670" s="179"/>
      <c r="O670" s="179"/>
      <c r="P670" s="182"/>
      <c r="Q670" s="182"/>
      <c r="R670" s="182"/>
      <c r="S670" s="182"/>
      <c r="T670" s="182"/>
      <c r="U670" s="182"/>
      <c r="V670" s="182"/>
      <c r="W670" s="182"/>
      <c r="X670" s="182"/>
      <c r="Y670" s="182"/>
      <c r="Z670" s="182"/>
      <c r="AA670" s="182"/>
    </row>
    <row r="671" spans="1:27" ht="14.4">
      <c r="A671" s="182"/>
      <c r="B671" s="182"/>
      <c r="C671" s="182"/>
      <c r="D671" s="182"/>
      <c r="E671" s="182"/>
      <c r="F671" s="182"/>
      <c r="G671" s="182"/>
      <c r="H671" s="182"/>
      <c r="I671" s="182"/>
      <c r="J671" s="182"/>
      <c r="K671" s="182"/>
      <c r="L671" s="182"/>
      <c r="M671" s="179"/>
      <c r="N671" s="179"/>
      <c r="O671" s="179"/>
      <c r="P671" s="182"/>
      <c r="Q671" s="182"/>
      <c r="R671" s="182"/>
      <c r="S671" s="182"/>
      <c r="T671" s="182"/>
      <c r="U671" s="182"/>
      <c r="V671" s="182"/>
      <c r="W671" s="182"/>
      <c r="X671" s="182"/>
      <c r="Y671" s="182"/>
      <c r="Z671" s="182"/>
      <c r="AA671" s="182"/>
    </row>
    <row r="672" spans="1:27" ht="14.4">
      <c r="A672" s="182"/>
      <c r="B672" s="182"/>
      <c r="C672" s="182"/>
      <c r="D672" s="182"/>
      <c r="E672" s="182"/>
      <c r="F672" s="182"/>
      <c r="G672" s="182"/>
      <c r="H672" s="182"/>
      <c r="I672" s="182"/>
      <c r="J672" s="182"/>
      <c r="K672" s="182"/>
      <c r="L672" s="182"/>
      <c r="M672" s="179"/>
      <c r="N672" s="179"/>
      <c r="O672" s="179"/>
      <c r="P672" s="182"/>
      <c r="Q672" s="182"/>
      <c r="R672" s="182"/>
      <c r="S672" s="182"/>
      <c r="T672" s="182"/>
      <c r="U672" s="182"/>
      <c r="V672" s="182"/>
      <c r="W672" s="182"/>
      <c r="X672" s="182"/>
      <c r="Y672" s="182"/>
      <c r="Z672" s="182"/>
      <c r="AA672" s="182"/>
    </row>
    <row r="673" spans="1:27" ht="14.4">
      <c r="A673" s="182"/>
      <c r="B673" s="182"/>
      <c r="C673" s="182"/>
      <c r="D673" s="182"/>
      <c r="E673" s="182"/>
      <c r="F673" s="182"/>
      <c r="G673" s="182"/>
      <c r="H673" s="182"/>
      <c r="I673" s="182"/>
      <c r="J673" s="182"/>
      <c r="K673" s="182"/>
      <c r="L673" s="182"/>
      <c r="M673" s="179"/>
      <c r="N673" s="179"/>
      <c r="O673" s="179"/>
      <c r="P673" s="182"/>
      <c r="Q673" s="182"/>
      <c r="R673" s="182"/>
      <c r="S673" s="182"/>
      <c r="T673" s="182"/>
      <c r="U673" s="182"/>
      <c r="V673" s="182"/>
      <c r="W673" s="182"/>
      <c r="X673" s="182"/>
      <c r="Y673" s="182"/>
      <c r="Z673" s="182"/>
      <c r="AA673" s="182"/>
    </row>
    <row r="674" spans="1:27" ht="14.4">
      <c r="A674" s="182"/>
      <c r="B674" s="182"/>
      <c r="C674" s="182"/>
      <c r="D674" s="182"/>
      <c r="E674" s="182"/>
      <c r="F674" s="182"/>
      <c r="G674" s="182"/>
      <c r="H674" s="182"/>
      <c r="I674" s="182"/>
      <c r="J674" s="182"/>
      <c r="K674" s="182"/>
      <c r="L674" s="182"/>
      <c r="M674" s="179"/>
      <c r="N674" s="179"/>
      <c r="O674" s="179"/>
      <c r="P674" s="182"/>
      <c r="Q674" s="182"/>
      <c r="R674" s="182"/>
      <c r="S674" s="182"/>
      <c r="T674" s="182"/>
      <c r="U674" s="182"/>
      <c r="V674" s="182"/>
      <c r="W674" s="182"/>
      <c r="X674" s="182"/>
      <c r="Y674" s="182"/>
      <c r="Z674" s="182"/>
      <c r="AA674" s="182"/>
    </row>
    <row r="675" spans="1:27" ht="14.4">
      <c r="A675" s="182"/>
      <c r="B675" s="182"/>
      <c r="C675" s="182"/>
      <c r="D675" s="182"/>
      <c r="E675" s="182"/>
      <c r="F675" s="182"/>
      <c r="G675" s="182"/>
      <c r="H675" s="182"/>
      <c r="I675" s="182"/>
      <c r="J675" s="182"/>
      <c r="K675" s="182"/>
      <c r="L675" s="182"/>
      <c r="M675" s="179"/>
      <c r="N675" s="179"/>
      <c r="O675" s="179"/>
      <c r="P675" s="182"/>
      <c r="Q675" s="182"/>
      <c r="R675" s="182"/>
      <c r="S675" s="182"/>
      <c r="T675" s="182"/>
      <c r="U675" s="182"/>
      <c r="V675" s="182"/>
      <c r="W675" s="182"/>
      <c r="X675" s="182"/>
      <c r="Y675" s="182"/>
      <c r="Z675" s="182"/>
      <c r="AA675" s="182"/>
    </row>
    <row r="676" spans="1:27" ht="14.4">
      <c r="A676" s="182"/>
      <c r="B676" s="182"/>
      <c r="C676" s="182"/>
      <c r="D676" s="182"/>
      <c r="E676" s="182"/>
      <c r="F676" s="182"/>
      <c r="G676" s="182"/>
      <c r="H676" s="182"/>
      <c r="I676" s="182"/>
      <c r="J676" s="182"/>
      <c r="K676" s="182"/>
      <c r="L676" s="182"/>
      <c r="M676" s="179"/>
      <c r="N676" s="179"/>
      <c r="O676" s="179"/>
      <c r="P676" s="182"/>
      <c r="Q676" s="182"/>
      <c r="R676" s="182"/>
      <c r="S676" s="182"/>
      <c r="T676" s="182"/>
      <c r="U676" s="182"/>
      <c r="V676" s="182"/>
      <c r="W676" s="182"/>
      <c r="X676" s="182"/>
      <c r="Y676" s="182"/>
      <c r="Z676" s="182"/>
      <c r="AA676" s="182"/>
    </row>
    <row r="677" spans="1:27" ht="14.4">
      <c r="A677" s="182"/>
      <c r="B677" s="182"/>
      <c r="C677" s="182"/>
      <c r="D677" s="182"/>
      <c r="E677" s="182"/>
      <c r="F677" s="182"/>
      <c r="G677" s="182"/>
      <c r="H677" s="182"/>
      <c r="I677" s="182"/>
      <c r="J677" s="182"/>
      <c r="K677" s="182"/>
      <c r="L677" s="182"/>
      <c r="M677" s="179"/>
      <c r="N677" s="179"/>
      <c r="O677" s="179"/>
      <c r="P677" s="182"/>
      <c r="Q677" s="182"/>
      <c r="R677" s="182"/>
      <c r="S677" s="182"/>
      <c r="T677" s="182"/>
      <c r="U677" s="182"/>
      <c r="V677" s="182"/>
      <c r="W677" s="182"/>
      <c r="X677" s="182"/>
      <c r="Y677" s="182"/>
      <c r="Z677" s="182"/>
      <c r="AA677" s="182"/>
    </row>
    <row r="678" spans="1:27" ht="14.4">
      <c r="A678" s="182"/>
      <c r="B678" s="182"/>
      <c r="C678" s="182"/>
      <c r="D678" s="182"/>
      <c r="E678" s="182"/>
      <c r="F678" s="182"/>
      <c r="G678" s="182"/>
      <c r="H678" s="182"/>
      <c r="I678" s="182"/>
      <c r="J678" s="182"/>
      <c r="K678" s="182"/>
      <c r="L678" s="182"/>
      <c r="M678" s="179"/>
      <c r="N678" s="179"/>
      <c r="O678" s="179"/>
      <c r="P678" s="182"/>
      <c r="Q678" s="182"/>
      <c r="R678" s="182"/>
      <c r="S678" s="182"/>
      <c r="T678" s="182"/>
      <c r="U678" s="182"/>
      <c r="V678" s="182"/>
      <c r="W678" s="182"/>
      <c r="X678" s="182"/>
      <c r="Y678" s="182"/>
      <c r="Z678" s="182"/>
      <c r="AA678" s="182"/>
    </row>
    <row r="679" spans="1:27" ht="14.4">
      <c r="A679" s="182"/>
      <c r="B679" s="182"/>
      <c r="C679" s="182"/>
      <c r="D679" s="182"/>
      <c r="E679" s="182"/>
      <c r="F679" s="182"/>
      <c r="G679" s="182"/>
      <c r="H679" s="182"/>
      <c r="I679" s="182"/>
      <c r="J679" s="182"/>
      <c r="K679" s="182"/>
      <c r="L679" s="182"/>
      <c r="M679" s="179"/>
      <c r="N679" s="179"/>
      <c r="O679" s="179"/>
      <c r="P679" s="182"/>
      <c r="Q679" s="182"/>
      <c r="R679" s="182"/>
      <c r="S679" s="182"/>
      <c r="T679" s="182"/>
      <c r="U679" s="182"/>
      <c r="V679" s="182"/>
      <c r="W679" s="182"/>
      <c r="X679" s="182"/>
      <c r="Y679" s="182"/>
      <c r="Z679" s="182"/>
      <c r="AA679" s="182"/>
    </row>
    <row r="680" spans="1:27" ht="14.4">
      <c r="A680" s="182"/>
      <c r="B680" s="182"/>
      <c r="C680" s="182"/>
      <c r="D680" s="182"/>
      <c r="E680" s="182"/>
      <c r="F680" s="182"/>
      <c r="G680" s="182"/>
      <c r="H680" s="182"/>
      <c r="I680" s="182"/>
      <c r="J680" s="182"/>
      <c r="K680" s="182"/>
      <c r="L680" s="182"/>
      <c r="M680" s="179"/>
      <c r="N680" s="179"/>
      <c r="O680" s="179"/>
      <c r="P680" s="182"/>
      <c r="Q680" s="182"/>
      <c r="R680" s="182"/>
      <c r="S680" s="182"/>
      <c r="T680" s="182"/>
      <c r="U680" s="182"/>
      <c r="V680" s="182"/>
      <c r="W680" s="182"/>
      <c r="X680" s="182"/>
      <c r="Y680" s="182"/>
      <c r="Z680" s="182"/>
      <c r="AA680" s="182"/>
    </row>
    <row r="681" spans="1:27" ht="14.4">
      <c r="A681" s="182"/>
      <c r="B681" s="182"/>
      <c r="C681" s="182"/>
      <c r="D681" s="182"/>
      <c r="E681" s="182"/>
      <c r="F681" s="182"/>
      <c r="G681" s="182"/>
      <c r="H681" s="182"/>
      <c r="I681" s="182"/>
      <c r="J681" s="182"/>
      <c r="K681" s="182"/>
      <c r="L681" s="182"/>
      <c r="M681" s="179"/>
      <c r="N681" s="179"/>
      <c r="O681" s="179"/>
      <c r="P681" s="182"/>
      <c r="Q681" s="182"/>
      <c r="R681" s="182"/>
      <c r="S681" s="182"/>
      <c r="T681" s="182"/>
      <c r="U681" s="182"/>
      <c r="V681" s="182"/>
      <c r="W681" s="182"/>
      <c r="X681" s="182"/>
      <c r="Y681" s="182"/>
      <c r="Z681" s="182"/>
      <c r="AA681" s="182"/>
    </row>
    <row r="682" spans="1:27" ht="14.4">
      <c r="A682" s="182"/>
      <c r="B682" s="182"/>
      <c r="C682" s="182"/>
      <c r="D682" s="182"/>
      <c r="E682" s="182"/>
      <c r="F682" s="182"/>
      <c r="G682" s="182"/>
      <c r="H682" s="182"/>
      <c r="I682" s="182"/>
      <c r="J682" s="182"/>
      <c r="K682" s="182"/>
      <c r="L682" s="182"/>
      <c r="M682" s="179"/>
      <c r="N682" s="179"/>
      <c r="O682" s="179"/>
      <c r="P682" s="182"/>
      <c r="Q682" s="182"/>
      <c r="R682" s="182"/>
      <c r="S682" s="182"/>
      <c r="T682" s="182"/>
      <c r="U682" s="182"/>
      <c r="V682" s="182"/>
      <c r="W682" s="182"/>
      <c r="X682" s="182"/>
      <c r="Y682" s="182"/>
      <c r="Z682" s="182"/>
      <c r="AA682" s="182"/>
    </row>
    <row r="683" spans="1:27" ht="14.4">
      <c r="A683" s="182"/>
      <c r="B683" s="182"/>
      <c r="C683" s="182"/>
      <c r="D683" s="182"/>
      <c r="E683" s="182"/>
      <c r="F683" s="182"/>
      <c r="G683" s="182"/>
      <c r="H683" s="182"/>
      <c r="I683" s="182"/>
      <c r="J683" s="182"/>
      <c r="K683" s="182"/>
      <c r="L683" s="182"/>
      <c r="M683" s="179"/>
      <c r="N683" s="179"/>
      <c r="O683" s="179"/>
      <c r="P683" s="182"/>
      <c r="Q683" s="182"/>
      <c r="R683" s="182"/>
      <c r="S683" s="182"/>
      <c r="T683" s="182"/>
      <c r="U683" s="182"/>
      <c r="V683" s="182"/>
      <c r="W683" s="182"/>
      <c r="X683" s="182"/>
      <c r="Y683" s="182"/>
      <c r="Z683" s="182"/>
      <c r="AA683" s="182"/>
    </row>
    <row r="684" spans="1:27" ht="14.4">
      <c r="A684" s="182"/>
      <c r="B684" s="182"/>
      <c r="C684" s="182"/>
      <c r="D684" s="182"/>
      <c r="E684" s="182"/>
      <c r="F684" s="182"/>
      <c r="G684" s="182"/>
      <c r="H684" s="182"/>
      <c r="I684" s="182"/>
      <c r="J684" s="182"/>
      <c r="K684" s="182"/>
      <c r="L684" s="182"/>
      <c r="M684" s="179"/>
      <c r="N684" s="179"/>
      <c r="O684" s="179"/>
      <c r="P684" s="182"/>
      <c r="Q684" s="182"/>
      <c r="R684" s="182"/>
      <c r="S684" s="182"/>
      <c r="T684" s="182"/>
      <c r="U684" s="182"/>
      <c r="V684" s="182"/>
      <c r="W684" s="182"/>
      <c r="X684" s="182"/>
      <c r="Y684" s="182"/>
      <c r="Z684" s="182"/>
      <c r="AA684" s="182"/>
    </row>
    <row r="685" spans="1:27" ht="14.4">
      <c r="A685" s="182"/>
      <c r="B685" s="182"/>
      <c r="C685" s="182"/>
      <c r="D685" s="182"/>
      <c r="E685" s="182"/>
      <c r="F685" s="182"/>
      <c r="G685" s="182"/>
      <c r="H685" s="182"/>
      <c r="I685" s="182"/>
      <c r="J685" s="182"/>
      <c r="K685" s="182"/>
      <c r="L685" s="182"/>
      <c r="M685" s="179"/>
      <c r="N685" s="179"/>
      <c r="O685" s="179"/>
      <c r="P685" s="182"/>
      <c r="Q685" s="182"/>
      <c r="R685" s="182"/>
      <c r="S685" s="182"/>
      <c r="T685" s="182"/>
      <c r="U685" s="182"/>
      <c r="V685" s="182"/>
      <c r="W685" s="182"/>
      <c r="X685" s="182"/>
      <c r="Y685" s="182"/>
      <c r="Z685" s="182"/>
      <c r="AA685" s="182"/>
    </row>
    <row r="686" spans="1:27" ht="14.4">
      <c r="A686" s="182"/>
      <c r="B686" s="182"/>
      <c r="C686" s="182"/>
      <c r="D686" s="182"/>
      <c r="E686" s="182"/>
      <c r="F686" s="182"/>
      <c r="G686" s="182"/>
      <c r="H686" s="182"/>
      <c r="I686" s="182"/>
      <c r="J686" s="182"/>
      <c r="K686" s="182"/>
      <c r="L686" s="182"/>
      <c r="M686" s="179"/>
      <c r="N686" s="179"/>
      <c r="O686" s="179"/>
      <c r="P686" s="182"/>
      <c r="Q686" s="182"/>
      <c r="R686" s="182"/>
      <c r="S686" s="182"/>
      <c r="T686" s="182"/>
      <c r="U686" s="182"/>
      <c r="V686" s="182"/>
      <c r="W686" s="182"/>
      <c r="X686" s="182"/>
      <c r="Y686" s="182"/>
      <c r="Z686" s="182"/>
      <c r="AA686" s="182"/>
    </row>
    <row r="687" spans="1:27" ht="14.4">
      <c r="A687" s="182"/>
      <c r="B687" s="182"/>
      <c r="C687" s="182"/>
      <c r="D687" s="182"/>
      <c r="E687" s="182"/>
      <c r="F687" s="182"/>
      <c r="G687" s="182"/>
      <c r="H687" s="182"/>
      <c r="I687" s="182"/>
      <c r="J687" s="182"/>
      <c r="K687" s="182"/>
      <c r="L687" s="182"/>
      <c r="M687" s="179"/>
      <c r="N687" s="179"/>
      <c r="O687" s="179"/>
      <c r="P687" s="182"/>
      <c r="Q687" s="182"/>
      <c r="R687" s="182"/>
      <c r="S687" s="182"/>
      <c r="T687" s="182"/>
      <c r="U687" s="182"/>
      <c r="V687" s="182"/>
      <c r="W687" s="182"/>
      <c r="X687" s="182"/>
      <c r="Y687" s="182"/>
      <c r="Z687" s="182"/>
      <c r="AA687" s="182"/>
    </row>
    <row r="688" spans="1:27" ht="14.4">
      <c r="A688" s="182"/>
      <c r="B688" s="182"/>
      <c r="C688" s="182"/>
      <c r="D688" s="182"/>
      <c r="E688" s="182"/>
      <c r="F688" s="182"/>
      <c r="G688" s="182"/>
      <c r="H688" s="182"/>
      <c r="I688" s="182"/>
      <c r="J688" s="182"/>
      <c r="K688" s="182"/>
      <c r="L688" s="182"/>
      <c r="M688" s="179"/>
      <c r="N688" s="179"/>
      <c r="O688" s="179"/>
      <c r="P688" s="182"/>
      <c r="Q688" s="182"/>
      <c r="R688" s="182"/>
      <c r="S688" s="182"/>
      <c r="T688" s="182"/>
      <c r="U688" s="182"/>
      <c r="V688" s="182"/>
      <c r="W688" s="182"/>
      <c r="X688" s="182"/>
      <c r="Y688" s="182"/>
      <c r="Z688" s="182"/>
      <c r="AA688" s="182"/>
    </row>
    <row r="689" spans="1:27" ht="14.4">
      <c r="A689" s="182"/>
      <c r="B689" s="182"/>
      <c r="C689" s="182"/>
      <c r="D689" s="182"/>
      <c r="E689" s="182"/>
      <c r="F689" s="182"/>
      <c r="G689" s="182"/>
      <c r="H689" s="182"/>
      <c r="I689" s="182"/>
      <c r="J689" s="182"/>
      <c r="K689" s="182"/>
      <c r="L689" s="182"/>
      <c r="M689" s="179"/>
      <c r="N689" s="179"/>
      <c r="O689" s="179"/>
      <c r="P689" s="182"/>
      <c r="Q689" s="182"/>
      <c r="R689" s="182"/>
      <c r="S689" s="182"/>
      <c r="T689" s="182"/>
      <c r="U689" s="182"/>
      <c r="V689" s="182"/>
      <c r="W689" s="182"/>
      <c r="X689" s="182"/>
      <c r="Y689" s="182"/>
      <c r="Z689" s="182"/>
      <c r="AA689" s="182"/>
    </row>
    <row r="690" spans="1:27" ht="14.4">
      <c r="A690" s="182"/>
      <c r="B690" s="182"/>
      <c r="C690" s="182"/>
      <c r="D690" s="182"/>
      <c r="E690" s="182"/>
      <c r="F690" s="182"/>
      <c r="G690" s="182"/>
      <c r="H690" s="182"/>
      <c r="I690" s="182"/>
      <c r="J690" s="182"/>
      <c r="K690" s="182"/>
      <c r="L690" s="182"/>
      <c r="M690" s="179"/>
      <c r="N690" s="179"/>
      <c r="O690" s="179"/>
      <c r="P690" s="182"/>
      <c r="Q690" s="182"/>
      <c r="R690" s="182"/>
      <c r="S690" s="182"/>
      <c r="T690" s="182"/>
      <c r="U690" s="182"/>
      <c r="V690" s="182"/>
      <c r="W690" s="182"/>
      <c r="X690" s="182"/>
      <c r="Y690" s="182"/>
      <c r="Z690" s="182"/>
      <c r="AA690" s="182"/>
    </row>
    <row r="691" spans="1:27" ht="14.4">
      <c r="A691" s="182"/>
      <c r="B691" s="182"/>
      <c r="C691" s="182"/>
      <c r="D691" s="182"/>
      <c r="E691" s="182"/>
      <c r="F691" s="182"/>
      <c r="G691" s="182"/>
      <c r="H691" s="182"/>
      <c r="I691" s="182"/>
      <c r="J691" s="182"/>
      <c r="K691" s="182"/>
      <c r="L691" s="182"/>
      <c r="M691" s="179"/>
      <c r="N691" s="179"/>
      <c r="O691" s="179"/>
      <c r="P691" s="182"/>
      <c r="Q691" s="182"/>
      <c r="R691" s="182"/>
      <c r="S691" s="182"/>
      <c r="T691" s="182"/>
      <c r="U691" s="182"/>
      <c r="V691" s="182"/>
      <c r="W691" s="182"/>
      <c r="X691" s="182"/>
      <c r="Y691" s="182"/>
      <c r="Z691" s="182"/>
      <c r="AA691" s="182"/>
    </row>
    <row r="692" spans="1:27" ht="14.4">
      <c r="A692" s="182"/>
      <c r="B692" s="182"/>
      <c r="C692" s="182"/>
      <c r="D692" s="182"/>
      <c r="E692" s="182"/>
      <c r="F692" s="182"/>
      <c r="G692" s="182"/>
      <c r="H692" s="182"/>
      <c r="I692" s="182"/>
      <c r="J692" s="182"/>
      <c r="K692" s="182"/>
      <c r="L692" s="182"/>
      <c r="M692" s="179"/>
      <c r="N692" s="179"/>
      <c r="O692" s="179"/>
      <c r="P692" s="182"/>
      <c r="Q692" s="182"/>
      <c r="R692" s="182"/>
      <c r="S692" s="182"/>
      <c r="T692" s="182"/>
      <c r="U692" s="182"/>
      <c r="V692" s="182"/>
      <c r="W692" s="182"/>
      <c r="X692" s="182"/>
      <c r="Y692" s="182"/>
      <c r="Z692" s="182"/>
      <c r="AA692" s="182"/>
    </row>
    <row r="693" spans="1:27" ht="14.4">
      <c r="A693" s="182"/>
      <c r="B693" s="182"/>
      <c r="C693" s="182"/>
      <c r="D693" s="182"/>
      <c r="E693" s="182"/>
      <c r="F693" s="182"/>
      <c r="G693" s="182"/>
      <c r="H693" s="182"/>
      <c r="I693" s="182"/>
      <c r="J693" s="182"/>
      <c r="K693" s="182"/>
      <c r="L693" s="182"/>
      <c r="M693" s="179"/>
      <c r="N693" s="179"/>
      <c r="O693" s="179"/>
      <c r="P693" s="182"/>
      <c r="Q693" s="182"/>
      <c r="R693" s="182"/>
      <c r="S693" s="182"/>
      <c r="T693" s="182"/>
      <c r="U693" s="182"/>
      <c r="V693" s="182"/>
      <c r="W693" s="182"/>
      <c r="X693" s="182"/>
      <c r="Y693" s="182"/>
      <c r="Z693" s="182"/>
      <c r="AA693" s="182"/>
    </row>
    <row r="694" spans="1:27" ht="14.4">
      <c r="A694" s="182"/>
      <c r="B694" s="182"/>
      <c r="C694" s="182"/>
      <c r="D694" s="182"/>
      <c r="E694" s="182"/>
      <c r="F694" s="182"/>
      <c r="G694" s="182"/>
      <c r="H694" s="182"/>
      <c r="I694" s="182"/>
      <c r="J694" s="182"/>
      <c r="K694" s="182"/>
      <c r="L694" s="182"/>
      <c r="M694" s="179"/>
      <c r="N694" s="179"/>
      <c r="O694" s="179"/>
      <c r="P694" s="182"/>
      <c r="Q694" s="182"/>
      <c r="R694" s="182"/>
      <c r="S694" s="182"/>
      <c r="T694" s="182"/>
      <c r="U694" s="182"/>
      <c r="V694" s="182"/>
      <c r="W694" s="182"/>
      <c r="X694" s="182"/>
      <c r="Y694" s="182"/>
      <c r="Z694" s="182"/>
      <c r="AA694" s="182"/>
    </row>
    <row r="695" spans="1:27" ht="14.4">
      <c r="A695" s="182"/>
      <c r="B695" s="182"/>
      <c r="C695" s="182"/>
      <c r="D695" s="182"/>
      <c r="E695" s="182"/>
      <c r="F695" s="182"/>
      <c r="G695" s="182"/>
      <c r="H695" s="182"/>
      <c r="I695" s="182"/>
      <c r="J695" s="182"/>
      <c r="K695" s="182"/>
      <c r="L695" s="182"/>
      <c r="M695" s="179"/>
      <c r="N695" s="179"/>
      <c r="O695" s="179"/>
      <c r="P695" s="182"/>
      <c r="Q695" s="182"/>
      <c r="R695" s="182"/>
      <c r="S695" s="182"/>
      <c r="T695" s="182"/>
      <c r="U695" s="182"/>
      <c r="V695" s="182"/>
      <c r="W695" s="182"/>
      <c r="X695" s="182"/>
      <c r="Y695" s="182"/>
      <c r="Z695" s="182"/>
      <c r="AA695" s="182"/>
    </row>
    <row r="696" spans="1:27" ht="14.4">
      <c r="A696" s="182"/>
      <c r="B696" s="182"/>
      <c r="C696" s="182"/>
      <c r="D696" s="182"/>
      <c r="E696" s="182"/>
      <c r="F696" s="182"/>
      <c r="G696" s="182"/>
      <c r="H696" s="182"/>
      <c r="I696" s="182"/>
      <c r="J696" s="182"/>
      <c r="K696" s="182"/>
      <c r="L696" s="182"/>
      <c r="M696" s="179"/>
      <c r="N696" s="179"/>
      <c r="O696" s="179"/>
      <c r="P696" s="182"/>
      <c r="Q696" s="182"/>
      <c r="R696" s="182"/>
      <c r="S696" s="182"/>
      <c r="T696" s="182"/>
      <c r="U696" s="182"/>
      <c r="V696" s="182"/>
      <c r="W696" s="182"/>
      <c r="X696" s="182"/>
      <c r="Y696" s="182"/>
      <c r="Z696" s="182"/>
      <c r="AA696" s="182"/>
    </row>
    <row r="697" spans="1:27" ht="14.4">
      <c r="A697" s="182"/>
      <c r="B697" s="182"/>
      <c r="C697" s="182"/>
      <c r="D697" s="182"/>
      <c r="E697" s="182"/>
      <c r="F697" s="182"/>
      <c r="G697" s="182"/>
      <c r="H697" s="182"/>
      <c r="I697" s="182"/>
      <c r="J697" s="182"/>
      <c r="K697" s="182"/>
      <c r="L697" s="182"/>
      <c r="M697" s="179"/>
      <c r="N697" s="179"/>
      <c r="O697" s="179"/>
      <c r="P697" s="182"/>
      <c r="Q697" s="182"/>
      <c r="R697" s="182"/>
      <c r="S697" s="182"/>
      <c r="T697" s="182"/>
      <c r="U697" s="182"/>
      <c r="V697" s="182"/>
      <c r="W697" s="182"/>
      <c r="X697" s="182"/>
      <c r="Y697" s="182"/>
      <c r="Z697" s="182"/>
      <c r="AA697" s="182"/>
    </row>
    <row r="698" spans="1:27" ht="14.4">
      <c r="A698" s="182"/>
      <c r="B698" s="182"/>
      <c r="C698" s="182"/>
      <c r="D698" s="182"/>
      <c r="E698" s="182"/>
      <c r="F698" s="182"/>
      <c r="G698" s="182"/>
      <c r="H698" s="182"/>
      <c r="I698" s="182"/>
      <c r="J698" s="182"/>
      <c r="K698" s="182"/>
      <c r="L698" s="182"/>
      <c r="M698" s="179"/>
      <c r="N698" s="179"/>
      <c r="O698" s="179"/>
      <c r="P698" s="182"/>
      <c r="Q698" s="182"/>
      <c r="R698" s="182"/>
      <c r="S698" s="182"/>
      <c r="T698" s="182"/>
      <c r="U698" s="182"/>
      <c r="V698" s="182"/>
      <c r="W698" s="182"/>
      <c r="X698" s="182"/>
      <c r="Y698" s="182"/>
      <c r="Z698" s="182"/>
      <c r="AA698" s="182"/>
    </row>
    <row r="699" spans="1:27" ht="14.4">
      <c r="A699" s="182"/>
      <c r="B699" s="182"/>
      <c r="C699" s="182"/>
      <c r="D699" s="182"/>
      <c r="E699" s="182"/>
      <c r="F699" s="182"/>
      <c r="G699" s="182"/>
      <c r="H699" s="182"/>
      <c r="I699" s="182"/>
      <c r="J699" s="182"/>
      <c r="K699" s="182"/>
      <c r="L699" s="182"/>
      <c r="M699" s="179"/>
      <c r="N699" s="179"/>
      <c r="O699" s="179"/>
      <c r="P699" s="182"/>
      <c r="Q699" s="182"/>
      <c r="R699" s="182"/>
      <c r="S699" s="182"/>
      <c r="T699" s="182"/>
      <c r="U699" s="182"/>
      <c r="V699" s="182"/>
      <c r="W699" s="182"/>
      <c r="X699" s="182"/>
      <c r="Y699" s="182"/>
      <c r="Z699" s="182"/>
      <c r="AA699" s="182"/>
    </row>
    <row r="700" spans="1:27" ht="14.4">
      <c r="A700" s="182"/>
      <c r="B700" s="182"/>
      <c r="C700" s="182"/>
      <c r="D700" s="182"/>
      <c r="E700" s="182"/>
      <c r="F700" s="182"/>
      <c r="G700" s="182"/>
      <c r="H700" s="182"/>
      <c r="I700" s="182"/>
      <c r="J700" s="182"/>
      <c r="K700" s="182"/>
      <c r="L700" s="182"/>
      <c r="M700" s="179"/>
      <c r="N700" s="179"/>
      <c r="O700" s="179"/>
      <c r="P700" s="182"/>
      <c r="Q700" s="182"/>
      <c r="R700" s="182"/>
      <c r="S700" s="182"/>
      <c r="T700" s="182"/>
      <c r="U700" s="182"/>
      <c r="V700" s="182"/>
      <c r="W700" s="182"/>
      <c r="X700" s="182"/>
      <c r="Y700" s="182"/>
      <c r="Z700" s="182"/>
      <c r="AA700" s="182"/>
    </row>
    <row r="701" spans="1:27" ht="14.4">
      <c r="A701" s="182"/>
      <c r="B701" s="182"/>
      <c r="C701" s="182"/>
      <c r="D701" s="182"/>
      <c r="E701" s="182"/>
      <c r="F701" s="182"/>
      <c r="G701" s="182"/>
      <c r="H701" s="182"/>
      <c r="I701" s="182"/>
      <c r="J701" s="182"/>
      <c r="K701" s="182"/>
      <c r="L701" s="182"/>
      <c r="M701" s="179"/>
      <c r="N701" s="179"/>
      <c r="O701" s="179"/>
      <c r="P701" s="182"/>
      <c r="Q701" s="182"/>
      <c r="R701" s="182"/>
      <c r="S701" s="182"/>
      <c r="T701" s="182"/>
      <c r="U701" s="182"/>
      <c r="V701" s="182"/>
      <c r="W701" s="182"/>
      <c r="X701" s="182"/>
      <c r="Y701" s="182"/>
      <c r="Z701" s="182"/>
      <c r="AA701" s="182"/>
    </row>
    <row r="702" spans="1:27" ht="14.4">
      <c r="A702" s="182"/>
      <c r="B702" s="182"/>
      <c r="C702" s="182"/>
      <c r="D702" s="182"/>
      <c r="E702" s="182"/>
      <c r="F702" s="182"/>
      <c r="G702" s="182"/>
      <c r="H702" s="182"/>
      <c r="I702" s="182"/>
      <c r="J702" s="182"/>
      <c r="K702" s="182"/>
      <c r="L702" s="182"/>
      <c r="M702" s="179"/>
      <c r="N702" s="179"/>
      <c r="O702" s="179"/>
      <c r="P702" s="182"/>
      <c r="Q702" s="182"/>
      <c r="R702" s="182"/>
      <c r="S702" s="182"/>
      <c r="T702" s="182"/>
      <c r="U702" s="182"/>
      <c r="V702" s="182"/>
      <c r="W702" s="182"/>
      <c r="X702" s="182"/>
      <c r="Y702" s="182"/>
      <c r="Z702" s="182"/>
      <c r="AA702" s="182"/>
    </row>
    <row r="703" spans="1:27" ht="14.4">
      <c r="A703" s="182"/>
      <c r="B703" s="182"/>
      <c r="C703" s="182"/>
      <c r="D703" s="182"/>
      <c r="E703" s="182"/>
      <c r="F703" s="182"/>
      <c r="G703" s="182"/>
      <c r="H703" s="182"/>
      <c r="I703" s="182"/>
      <c r="J703" s="182"/>
      <c r="K703" s="182"/>
      <c r="L703" s="182"/>
      <c r="M703" s="179"/>
      <c r="N703" s="179"/>
      <c r="O703" s="179"/>
      <c r="P703" s="182"/>
      <c r="Q703" s="182"/>
      <c r="R703" s="182"/>
      <c r="S703" s="182"/>
      <c r="T703" s="182"/>
      <c r="U703" s="182"/>
      <c r="V703" s="182"/>
      <c r="W703" s="182"/>
      <c r="X703" s="182"/>
      <c r="Y703" s="182"/>
      <c r="Z703" s="182"/>
      <c r="AA703" s="182"/>
    </row>
    <row r="704" spans="1:27" ht="14.4">
      <c r="A704" s="182"/>
      <c r="B704" s="182"/>
      <c r="C704" s="182"/>
      <c r="D704" s="182"/>
      <c r="E704" s="182"/>
      <c r="F704" s="182"/>
      <c r="G704" s="182"/>
      <c r="H704" s="182"/>
      <c r="I704" s="182"/>
      <c r="J704" s="182"/>
      <c r="K704" s="182"/>
      <c r="L704" s="182"/>
      <c r="M704" s="179"/>
      <c r="N704" s="179"/>
      <c r="O704" s="179"/>
      <c r="P704" s="182"/>
      <c r="Q704" s="182"/>
      <c r="R704" s="182"/>
      <c r="S704" s="182"/>
      <c r="T704" s="182"/>
      <c r="U704" s="182"/>
      <c r="V704" s="182"/>
      <c r="W704" s="182"/>
      <c r="X704" s="182"/>
      <c r="Y704" s="182"/>
      <c r="Z704" s="182"/>
      <c r="AA704" s="182"/>
    </row>
    <row r="705" spans="1:27" ht="14.4">
      <c r="A705" s="182"/>
      <c r="B705" s="182"/>
      <c r="C705" s="182"/>
      <c r="D705" s="182"/>
      <c r="E705" s="182"/>
      <c r="F705" s="182"/>
      <c r="G705" s="182"/>
      <c r="H705" s="182"/>
      <c r="I705" s="182"/>
      <c r="J705" s="182"/>
      <c r="K705" s="182"/>
      <c r="L705" s="182"/>
      <c r="M705" s="179"/>
      <c r="N705" s="179"/>
      <c r="O705" s="179"/>
      <c r="P705" s="182"/>
      <c r="Q705" s="182"/>
      <c r="R705" s="182"/>
      <c r="S705" s="182"/>
      <c r="T705" s="182"/>
      <c r="U705" s="182"/>
      <c r="V705" s="182"/>
      <c r="W705" s="182"/>
      <c r="X705" s="182"/>
      <c r="Y705" s="182"/>
      <c r="Z705" s="182"/>
      <c r="AA705" s="182"/>
    </row>
    <row r="706" spans="1:27" ht="14.4">
      <c r="A706" s="182"/>
      <c r="B706" s="182"/>
      <c r="C706" s="182"/>
      <c r="D706" s="182"/>
      <c r="E706" s="182"/>
      <c r="F706" s="182"/>
      <c r="G706" s="182"/>
      <c r="H706" s="182"/>
      <c r="I706" s="182"/>
      <c r="J706" s="182"/>
      <c r="K706" s="182"/>
      <c r="L706" s="182"/>
      <c r="M706" s="179"/>
      <c r="N706" s="179"/>
      <c r="O706" s="179"/>
      <c r="P706" s="182"/>
      <c r="Q706" s="182"/>
      <c r="R706" s="182"/>
      <c r="S706" s="182"/>
      <c r="T706" s="182"/>
      <c r="U706" s="182"/>
      <c r="V706" s="182"/>
      <c r="W706" s="182"/>
      <c r="X706" s="182"/>
      <c r="Y706" s="182"/>
      <c r="Z706" s="182"/>
      <c r="AA706" s="182"/>
    </row>
    <row r="707" spans="1:27" ht="14.4">
      <c r="A707" s="182"/>
      <c r="B707" s="182"/>
      <c r="C707" s="182"/>
      <c r="D707" s="182"/>
      <c r="E707" s="182"/>
      <c r="F707" s="182"/>
      <c r="G707" s="182"/>
      <c r="H707" s="182"/>
      <c r="I707" s="182"/>
      <c r="J707" s="182"/>
      <c r="K707" s="182"/>
      <c r="L707" s="182"/>
      <c r="M707" s="179"/>
      <c r="N707" s="179"/>
      <c r="O707" s="179"/>
      <c r="P707" s="182"/>
      <c r="Q707" s="182"/>
      <c r="R707" s="182"/>
      <c r="S707" s="182"/>
      <c r="T707" s="182"/>
      <c r="U707" s="182"/>
      <c r="V707" s="182"/>
      <c r="W707" s="182"/>
      <c r="X707" s="182"/>
      <c r="Y707" s="182"/>
      <c r="Z707" s="182"/>
      <c r="AA707" s="182"/>
    </row>
    <row r="708" spans="1:27" ht="14.4">
      <c r="A708" s="182"/>
      <c r="B708" s="182"/>
      <c r="C708" s="182"/>
      <c r="D708" s="182"/>
      <c r="E708" s="182"/>
      <c r="F708" s="182"/>
      <c r="G708" s="182"/>
      <c r="H708" s="182"/>
      <c r="I708" s="182"/>
      <c r="J708" s="182"/>
      <c r="K708" s="182"/>
      <c r="L708" s="182"/>
      <c r="M708" s="179"/>
      <c r="N708" s="179"/>
      <c r="O708" s="179"/>
      <c r="P708" s="182"/>
      <c r="Q708" s="182"/>
      <c r="R708" s="182"/>
      <c r="S708" s="182"/>
      <c r="T708" s="182"/>
      <c r="U708" s="182"/>
      <c r="V708" s="182"/>
      <c r="W708" s="182"/>
      <c r="X708" s="182"/>
      <c r="Y708" s="182"/>
      <c r="Z708" s="182"/>
      <c r="AA708" s="182"/>
    </row>
    <row r="709" spans="1:27" ht="14.4">
      <c r="A709" s="182"/>
      <c r="B709" s="182"/>
      <c r="C709" s="182"/>
      <c r="D709" s="182"/>
      <c r="E709" s="182"/>
      <c r="F709" s="182"/>
      <c r="G709" s="182"/>
      <c r="H709" s="182"/>
      <c r="I709" s="182"/>
      <c r="J709" s="182"/>
      <c r="K709" s="182"/>
      <c r="L709" s="182"/>
      <c r="M709" s="179"/>
      <c r="N709" s="179"/>
      <c r="O709" s="179"/>
      <c r="P709" s="182"/>
      <c r="Q709" s="182"/>
      <c r="R709" s="182"/>
      <c r="S709" s="182"/>
      <c r="T709" s="182"/>
      <c r="U709" s="182"/>
      <c r="V709" s="182"/>
      <c r="W709" s="182"/>
      <c r="X709" s="182"/>
      <c r="Y709" s="182"/>
      <c r="Z709" s="182"/>
      <c r="AA709" s="182"/>
    </row>
    <row r="710" spans="1:27" ht="14.4">
      <c r="A710" s="182"/>
      <c r="B710" s="182"/>
      <c r="C710" s="182"/>
      <c r="D710" s="182"/>
      <c r="E710" s="182"/>
      <c r="F710" s="182"/>
      <c r="G710" s="182"/>
      <c r="H710" s="182"/>
      <c r="I710" s="182"/>
      <c r="J710" s="182"/>
      <c r="K710" s="182"/>
      <c r="L710" s="182"/>
      <c r="M710" s="179"/>
      <c r="N710" s="179"/>
      <c r="O710" s="179"/>
      <c r="P710" s="182"/>
      <c r="Q710" s="182"/>
      <c r="R710" s="182"/>
      <c r="S710" s="182"/>
      <c r="T710" s="182"/>
      <c r="U710" s="182"/>
      <c r="V710" s="182"/>
      <c r="W710" s="182"/>
      <c r="X710" s="182"/>
      <c r="Y710" s="182"/>
      <c r="Z710" s="182"/>
      <c r="AA710" s="182"/>
    </row>
    <row r="711" spans="1:27" ht="14.4">
      <c r="A711" s="182"/>
      <c r="B711" s="182"/>
      <c r="C711" s="182"/>
      <c r="D711" s="182"/>
      <c r="E711" s="182"/>
      <c r="F711" s="182"/>
      <c r="G711" s="182"/>
      <c r="H711" s="182"/>
      <c r="I711" s="182"/>
      <c r="J711" s="182"/>
      <c r="K711" s="182"/>
      <c r="L711" s="182"/>
      <c r="M711" s="179"/>
      <c r="N711" s="179"/>
      <c r="O711" s="179"/>
      <c r="P711" s="182"/>
      <c r="Q711" s="182"/>
      <c r="R711" s="182"/>
      <c r="S711" s="182"/>
      <c r="T711" s="182"/>
      <c r="U711" s="182"/>
      <c r="V711" s="182"/>
      <c r="W711" s="182"/>
      <c r="X711" s="182"/>
      <c r="Y711" s="182"/>
      <c r="Z711" s="182"/>
      <c r="AA711" s="182"/>
    </row>
    <row r="712" spans="1:27" ht="14.4">
      <c r="A712" s="182"/>
      <c r="B712" s="182"/>
      <c r="C712" s="182"/>
      <c r="D712" s="182"/>
      <c r="E712" s="182"/>
      <c r="F712" s="182"/>
      <c r="G712" s="182"/>
      <c r="H712" s="182"/>
      <c r="I712" s="182"/>
      <c r="J712" s="182"/>
      <c r="K712" s="182"/>
      <c r="L712" s="182"/>
      <c r="M712" s="179"/>
      <c r="N712" s="179"/>
      <c r="O712" s="179"/>
      <c r="P712" s="182"/>
      <c r="Q712" s="182"/>
      <c r="R712" s="182"/>
      <c r="S712" s="182"/>
      <c r="T712" s="182"/>
      <c r="U712" s="182"/>
      <c r="V712" s="182"/>
      <c r="W712" s="182"/>
      <c r="X712" s="182"/>
      <c r="Y712" s="182"/>
      <c r="Z712" s="182"/>
      <c r="AA712" s="182"/>
    </row>
    <row r="713" spans="1:27" ht="14.4">
      <c r="A713" s="182"/>
      <c r="B713" s="182"/>
      <c r="C713" s="182"/>
      <c r="D713" s="182"/>
      <c r="E713" s="182"/>
      <c r="F713" s="182"/>
      <c r="G713" s="182"/>
      <c r="H713" s="182"/>
      <c r="I713" s="182"/>
      <c r="J713" s="182"/>
      <c r="K713" s="182"/>
      <c r="L713" s="182"/>
      <c r="M713" s="179"/>
      <c r="N713" s="179"/>
      <c r="O713" s="179"/>
      <c r="P713" s="182"/>
      <c r="Q713" s="182"/>
      <c r="R713" s="182"/>
      <c r="S713" s="182"/>
      <c r="T713" s="182"/>
      <c r="U713" s="182"/>
      <c r="V713" s="182"/>
      <c r="W713" s="182"/>
      <c r="X713" s="182"/>
      <c r="Y713" s="182"/>
      <c r="Z713" s="182"/>
      <c r="AA713" s="182"/>
    </row>
    <row r="714" spans="1:27" ht="14.4">
      <c r="A714" s="182"/>
      <c r="B714" s="182"/>
      <c r="C714" s="182"/>
      <c r="D714" s="182"/>
      <c r="E714" s="182"/>
      <c r="F714" s="182"/>
      <c r="G714" s="182"/>
      <c r="H714" s="182"/>
      <c r="I714" s="182"/>
      <c r="J714" s="182"/>
      <c r="K714" s="182"/>
      <c r="L714" s="182"/>
      <c r="M714" s="179"/>
      <c r="N714" s="179"/>
      <c r="O714" s="179"/>
      <c r="P714" s="182"/>
      <c r="Q714" s="182"/>
      <c r="R714" s="182"/>
      <c r="S714" s="182"/>
      <c r="T714" s="182"/>
      <c r="U714" s="182"/>
      <c r="V714" s="182"/>
      <c r="W714" s="182"/>
      <c r="X714" s="182"/>
      <c r="Y714" s="182"/>
      <c r="Z714" s="182"/>
      <c r="AA714" s="182"/>
    </row>
    <row r="715" spans="1:27" ht="14.4">
      <c r="A715" s="182"/>
      <c r="B715" s="182"/>
      <c r="C715" s="182"/>
      <c r="D715" s="182"/>
      <c r="E715" s="182"/>
      <c r="F715" s="182"/>
      <c r="G715" s="182"/>
      <c r="H715" s="182"/>
      <c r="I715" s="182"/>
      <c r="J715" s="182"/>
      <c r="K715" s="182"/>
      <c r="L715" s="182"/>
      <c r="M715" s="179"/>
      <c r="N715" s="179"/>
      <c r="O715" s="179"/>
      <c r="P715" s="182"/>
      <c r="Q715" s="182"/>
      <c r="R715" s="182"/>
      <c r="S715" s="182"/>
      <c r="T715" s="182"/>
      <c r="U715" s="182"/>
      <c r="V715" s="182"/>
      <c r="W715" s="182"/>
      <c r="X715" s="182"/>
      <c r="Y715" s="182"/>
      <c r="Z715" s="182"/>
      <c r="AA715" s="182"/>
    </row>
    <row r="716" spans="1:27" ht="14.4">
      <c r="A716" s="182"/>
      <c r="B716" s="182"/>
      <c r="C716" s="182"/>
      <c r="D716" s="182"/>
      <c r="E716" s="182"/>
      <c r="F716" s="182"/>
      <c r="G716" s="182"/>
      <c r="H716" s="182"/>
      <c r="I716" s="182"/>
      <c r="J716" s="182"/>
      <c r="K716" s="182"/>
      <c r="L716" s="182"/>
      <c r="M716" s="179"/>
      <c r="N716" s="179"/>
      <c r="O716" s="179"/>
      <c r="P716" s="182"/>
      <c r="Q716" s="182"/>
      <c r="R716" s="182"/>
      <c r="S716" s="182"/>
      <c r="T716" s="182"/>
      <c r="U716" s="182"/>
      <c r="V716" s="182"/>
      <c r="W716" s="182"/>
      <c r="X716" s="182"/>
      <c r="Y716" s="182"/>
      <c r="Z716" s="182"/>
      <c r="AA716" s="182"/>
    </row>
    <row r="717" spans="1:27" ht="14.4">
      <c r="A717" s="182"/>
      <c r="B717" s="182"/>
      <c r="C717" s="182"/>
      <c r="D717" s="182"/>
      <c r="E717" s="182"/>
      <c r="F717" s="182"/>
      <c r="G717" s="182"/>
      <c r="H717" s="182"/>
      <c r="I717" s="182"/>
      <c r="J717" s="182"/>
      <c r="K717" s="182"/>
      <c r="L717" s="182"/>
      <c r="M717" s="179"/>
      <c r="N717" s="179"/>
      <c r="O717" s="179"/>
      <c r="P717" s="182"/>
      <c r="Q717" s="182"/>
      <c r="R717" s="182"/>
      <c r="S717" s="182"/>
      <c r="T717" s="182"/>
      <c r="U717" s="182"/>
      <c r="V717" s="182"/>
      <c r="W717" s="182"/>
      <c r="X717" s="182"/>
      <c r="Y717" s="182"/>
      <c r="Z717" s="182"/>
      <c r="AA717" s="182"/>
    </row>
    <row r="718" spans="1:27" ht="14.4">
      <c r="A718" s="182"/>
      <c r="B718" s="182"/>
      <c r="C718" s="182"/>
      <c r="D718" s="182"/>
      <c r="E718" s="182"/>
      <c r="F718" s="182"/>
      <c r="G718" s="182"/>
      <c r="H718" s="182"/>
      <c r="I718" s="182"/>
      <c r="J718" s="182"/>
      <c r="K718" s="182"/>
      <c r="L718" s="182"/>
      <c r="M718" s="179"/>
      <c r="N718" s="179"/>
      <c r="O718" s="179"/>
      <c r="P718" s="182"/>
      <c r="Q718" s="182"/>
      <c r="R718" s="182"/>
      <c r="S718" s="182"/>
      <c r="T718" s="182"/>
      <c r="U718" s="182"/>
      <c r="V718" s="182"/>
      <c r="W718" s="182"/>
      <c r="X718" s="182"/>
      <c r="Y718" s="182"/>
      <c r="Z718" s="182"/>
      <c r="AA718" s="182"/>
    </row>
    <row r="719" spans="1:27" ht="14.4">
      <c r="A719" s="182"/>
      <c r="B719" s="182"/>
      <c r="C719" s="182"/>
      <c r="D719" s="182"/>
      <c r="E719" s="182"/>
      <c r="F719" s="182"/>
      <c r="G719" s="182"/>
      <c r="H719" s="182"/>
      <c r="I719" s="182"/>
      <c r="J719" s="182"/>
      <c r="K719" s="182"/>
      <c r="L719" s="182"/>
      <c r="M719" s="179"/>
      <c r="N719" s="179"/>
      <c r="O719" s="179"/>
      <c r="P719" s="182"/>
      <c r="Q719" s="182"/>
      <c r="R719" s="182"/>
      <c r="S719" s="182"/>
      <c r="T719" s="182"/>
      <c r="U719" s="182"/>
      <c r="V719" s="182"/>
      <c r="W719" s="182"/>
      <c r="X719" s="182"/>
      <c r="Y719" s="182"/>
      <c r="Z719" s="182"/>
      <c r="AA719" s="182"/>
    </row>
    <row r="720" spans="1:27" ht="14.4">
      <c r="A720" s="182"/>
      <c r="B720" s="182"/>
      <c r="C720" s="182"/>
      <c r="D720" s="182"/>
      <c r="E720" s="182"/>
      <c r="F720" s="182"/>
      <c r="G720" s="182"/>
      <c r="H720" s="182"/>
      <c r="I720" s="182"/>
      <c r="J720" s="182"/>
      <c r="K720" s="182"/>
      <c r="L720" s="182"/>
      <c r="M720" s="179"/>
      <c r="N720" s="179"/>
      <c r="O720" s="179"/>
      <c r="P720" s="182"/>
      <c r="Q720" s="182"/>
      <c r="R720" s="182"/>
      <c r="S720" s="182"/>
      <c r="T720" s="182"/>
      <c r="U720" s="182"/>
      <c r="V720" s="182"/>
      <c r="W720" s="182"/>
      <c r="X720" s="182"/>
      <c r="Y720" s="182"/>
      <c r="Z720" s="182"/>
      <c r="AA720" s="182"/>
    </row>
    <row r="721" spans="1:27" ht="14.4">
      <c r="A721" s="182"/>
      <c r="B721" s="182"/>
      <c r="C721" s="182"/>
      <c r="D721" s="182"/>
      <c r="E721" s="182"/>
      <c r="F721" s="182"/>
      <c r="G721" s="182"/>
      <c r="H721" s="182"/>
      <c r="I721" s="182"/>
      <c r="J721" s="182"/>
      <c r="K721" s="182"/>
      <c r="L721" s="182"/>
      <c r="M721" s="179"/>
      <c r="N721" s="179"/>
      <c r="O721" s="179"/>
      <c r="P721" s="182"/>
      <c r="Q721" s="182"/>
      <c r="R721" s="182"/>
      <c r="S721" s="182"/>
      <c r="T721" s="182"/>
      <c r="U721" s="182"/>
      <c r="V721" s="182"/>
      <c r="W721" s="182"/>
      <c r="X721" s="182"/>
      <c r="Y721" s="182"/>
      <c r="Z721" s="182"/>
      <c r="AA721" s="182"/>
    </row>
    <row r="722" spans="1:27" ht="14.4">
      <c r="A722" s="182"/>
      <c r="B722" s="182"/>
      <c r="C722" s="182"/>
      <c r="D722" s="182"/>
      <c r="E722" s="182"/>
      <c r="F722" s="182"/>
      <c r="G722" s="182"/>
      <c r="H722" s="182"/>
      <c r="I722" s="182"/>
      <c r="J722" s="182"/>
      <c r="K722" s="182"/>
      <c r="L722" s="182"/>
      <c r="M722" s="179"/>
      <c r="N722" s="179"/>
      <c r="O722" s="179"/>
      <c r="P722" s="182"/>
      <c r="Q722" s="182"/>
      <c r="R722" s="182"/>
      <c r="S722" s="182"/>
      <c r="T722" s="182"/>
      <c r="U722" s="182"/>
      <c r="V722" s="182"/>
      <c r="W722" s="182"/>
      <c r="X722" s="182"/>
      <c r="Y722" s="182"/>
      <c r="Z722" s="182"/>
      <c r="AA722" s="182"/>
    </row>
    <row r="723" spans="1:27" ht="14.4">
      <c r="A723" s="182"/>
      <c r="B723" s="182"/>
      <c r="C723" s="182"/>
      <c r="D723" s="182"/>
      <c r="E723" s="182"/>
      <c r="F723" s="182"/>
      <c r="G723" s="182"/>
      <c r="H723" s="182"/>
      <c r="I723" s="182"/>
      <c r="J723" s="182"/>
      <c r="K723" s="182"/>
      <c r="L723" s="182"/>
      <c r="M723" s="179"/>
      <c r="N723" s="179"/>
      <c r="O723" s="179"/>
      <c r="P723" s="182"/>
      <c r="Q723" s="182"/>
      <c r="R723" s="182"/>
      <c r="S723" s="182"/>
      <c r="T723" s="182"/>
      <c r="U723" s="182"/>
      <c r="V723" s="182"/>
      <c r="W723" s="182"/>
      <c r="X723" s="182"/>
      <c r="Y723" s="182"/>
      <c r="Z723" s="182"/>
      <c r="AA723" s="182"/>
    </row>
    <row r="724" spans="1:27" ht="14.4">
      <c r="A724" s="182"/>
      <c r="B724" s="182"/>
      <c r="C724" s="182"/>
      <c r="D724" s="182"/>
      <c r="E724" s="182"/>
      <c r="F724" s="182"/>
      <c r="G724" s="182"/>
      <c r="H724" s="182"/>
      <c r="I724" s="182"/>
      <c r="J724" s="182"/>
      <c r="K724" s="182"/>
      <c r="L724" s="182"/>
      <c r="M724" s="179"/>
      <c r="N724" s="179"/>
      <c r="O724" s="179"/>
      <c r="P724" s="182"/>
      <c r="Q724" s="182"/>
      <c r="R724" s="182"/>
      <c r="S724" s="182"/>
      <c r="T724" s="182"/>
      <c r="U724" s="182"/>
      <c r="V724" s="182"/>
      <c r="W724" s="182"/>
      <c r="X724" s="182"/>
      <c r="Y724" s="182"/>
      <c r="Z724" s="182"/>
      <c r="AA724" s="182"/>
    </row>
    <row r="725" spans="1:27" ht="14.4">
      <c r="A725" s="182"/>
      <c r="B725" s="182"/>
      <c r="C725" s="182"/>
      <c r="D725" s="182"/>
      <c r="E725" s="182"/>
      <c r="F725" s="182"/>
      <c r="G725" s="182"/>
      <c r="H725" s="182"/>
      <c r="I725" s="182"/>
      <c r="J725" s="182"/>
      <c r="K725" s="182"/>
      <c r="L725" s="182"/>
      <c r="M725" s="179"/>
      <c r="N725" s="179"/>
      <c r="O725" s="179"/>
      <c r="P725" s="182"/>
      <c r="Q725" s="182"/>
      <c r="R725" s="182"/>
      <c r="S725" s="182"/>
      <c r="T725" s="182"/>
      <c r="U725" s="182"/>
      <c r="V725" s="182"/>
      <c r="W725" s="182"/>
      <c r="X725" s="182"/>
      <c r="Y725" s="182"/>
      <c r="Z725" s="182"/>
      <c r="AA725" s="182"/>
    </row>
    <row r="726" spans="1:27" ht="14.4">
      <c r="A726" s="182"/>
      <c r="B726" s="182"/>
      <c r="C726" s="182"/>
      <c r="D726" s="182"/>
      <c r="E726" s="182"/>
      <c r="F726" s="182"/>
      <c r="G726" s="182"/>
      <c r="H726" s="182"/>
      <c r="I726" s="182"/>
      <c r="J726" s="182"/>
      <c r="K726" s="182"/>
      <c r="L726" s="182"/>
      <c r="M726" s="179"/>
      <c r="N726" s="179"/>
      <c r="O726" s="179"/>
      <c r="P726" s="182"/>
      <c r="Q726" s="182"/>
      <c r="R726" s="182"/>
      <c r="S726" s="182"/>
      <c r="T726" s="182"/>
      <c r="U726" s="182"/>
      <c r="V726" s="182"/>
      <c r="W726" s="182"/>
      <c r="X726" s="182"/>
      <c r="Y726" s="182"/>
      <c r="Z726" s="182"/>
      <c r="AA726" s="182"/>
    </row>
    <row r="727" spans="1:27" ht="14.4">
      <c r="A727" s="182"/>
      <c r="B727" s="182"/>
      <c r="C727" s="182"/>
      <c r="D727" s="182"/>
      <c r="E727" s="182"/>
      <c r="F727" s="182"/>
      <c r="G727" s="182"/>
      <c r="H727" s="182"/>
      <c r="I727" s="182"/>
      <c r="J727" s="182"/>
      <c r="K727" s="182"/>
      <c r="L727" s="182"/>
      <c r="M727" s="179"/>
      <c r="N727" s="179"/>
      <c r="O727" s="179"/>
      <c r="P727" s="182"/>
      <c r="Q727" s="182"/>
      <c r="R727" s="182"/>
      <c r="S727" s="182"/>
      <c r="T727" s="182"/>
      <c r="U727" s="182"/>
      <c r="V727" s="182"/>
      <c r="W727" s="182"/>
      <c r="X727" s="182"/>
      <c r="Y727" s="182"/>
      <c r="Z727" s="182"/>
      <c r="AA727" s="182"/>
    </row>
    <row r="728" spans="1:27" ht="14.4">
      <c r="A728" s="182"/>
      <c r="B728" s="182"/>
      <c r="C728" s="182"/>
      <c r="D728" s="182"/>
      <c r="E728" s="182"/>
      <c r="F728" s="182"/>
      <c r="G728" s="182"/>
      <c r="H728" s="182"/>
      <c r="I728" s="182"/>
      <c r="J728" s="182"/>
      <c r="K728" s="182"/>
      <c r="L728" s="182"/>
      <c r="M728" s="179"/>
      <c r="N728" s="179"/>
      <c r="O728" s="179"/>
      <c r="P728" s="182"/>
      <c r="Q728" s="182"/>
      <c r="R728" s="182"/>
      <c r="S728" s="182"/>
      <c r="T728" s="182"/>
      <c r="U728" s="182"/>
      <c r="V728" s="182"/>
      <c r="W728" s="182"/>
      <c r="X728" s="182"/>
      <c r="Y728" s="182"/>
      <c r="Z728" s="182"/>
      <c r="AA728" s="182"/>
    </row>
    <row r="729" spans="1:27" ht="14.4">
      <c r="A729" s="182"/>
      <c r="B729" s="182"/>
      <c r="C729" s="182"/>
      <c r="D729" s="182"/>
      <c r="E729" s="182"/>
      <c r="F729" s="182"/>
      <c r="G729" s="182"/>
      <c r="H729" s="182"/>
      <c r="I729" s="182"/>
      <c r="J729" s="182"/>
      <c r="K729" s="182"/>
      <c r="L729" s="182"/>
      <c r="M729" s="179"/>
      <c r="N729" s="179"/>
      <c r="O729" s="179"/>
      <c r="P729" s="182"/>
      <c r="Q729" s="182"/>
      <c r="R729" s="182"/>
      <c r="S729" s="182"/>
      <c r="T729" s="182"/>
      <c r="U729" s="182"/>
      <c r="V729" s="182"/>
      <c r="W729" s="182"/>
      <c r="X729" s="182"/>
      <c r="Y729" s="182"/>
      <c r="Z729" s="182"/>
      <c r="AA729" s="182"/>
    </row>
    <row r="730" spans="1:27" ht="14.4">
      <c r="A730" s="182"/>
      <c r="B730" s="182"/>
      <c r="C730" s="182"/>
      <c r="D730" s="182"/>
      <c r="E730" s="182"/>
      <c r="F730" s="182"/>
      <c r="G730" s="182"/>
      <c r="H730" s="182"/>
      <c r="I730" s="182"/>
      <c r="J730" s="182"/>
      <c r="K730" s="182"/>
      <c r="L730" s="182"/>
      <c r="M730" s="179"/>
      <c r="N730" s="179"/>
      <c r="O730" s="179"/>
      <c r="P730" s="182"/>
      <c r="Q730" s="182"/>
      <c r="R730" s="182"/>
      <c r="S730" s="182"/>
      <c r="T730" s="182"/>
      <c r="U730" s="182"/>
      <c r="V730" s="182"/>
      <c r="W730" s="182"/>
      <c r="X730" s="182"/>
      <c r="Y730" s="182"/>
      <c r="Z730" s="182"/>
      <c r="AA730" s="182"/>
    </row>
    <row r="731" spans="1:27" ht="14.4">
      <c r="A731" s="182"/>
      <c r="B731" s="182"/>
      <c r="C731" s="182"/>
      <c r="D731" s="182"/>
      <c r="E731" s="182"/>
      <c r="F731" s="182"/>
      <c r="G731" s="182"/>
      <c r="H731" s="182"/>
      <c r="I731" s="182"/>
      <c r="J731" s="182"/>
      <c r="K731" s="182"/>
      <c r="L731" s="182"/>
      <c r="M731" s="179"/>
      <c r="N731" s="179"/>
      <c r="O731" s="179"/>
      <c r="P731" s="182"/>
      <c r="Q731" s="182"/>
      <c r="R731" s="182"/>
      <c r="S731" s="182"/>
      <c r="T731" s="182"/>
      <c r="U731" s="182"/>
      <c r="V731" s="182"/>
      <c r="W731" s="182"/>
      <c r="X731" s="182"/>
      <c r="Y731" s="182"/>
      <c r="Z731" s="182"/>
      <c r="AA731" s="182"/>
    </row>
    <row r="732" spans="1:27" ht="14.4">
      <c r="A732" s="182"/>
      <c r="B732" s="182"/>
      <c r="C732" s="182"/>
      <c r="D732" s="182"/>
      <c r="E732" s="182"/>
      <c r="F732" s="182"/>
      <c r="G732" s="182"/>
      <c r="H732" s="182"/>
      <c r="I732" s="182"/>
      <c r="J732" s="182"/>
      <c r="K732" s="182"/>
      <c r="L732" s="182"/>
      <c r="M732" s="179"/>
      <c r="N732" s="179"/>
      <c r="O732" s="179"/>
      <c r="P732" s="182"/>
      <c r="Q732" s="182"/>
      <c r="R732" s="182"/>
      <c r="S732" s="182"/>
      <c r="T732" s="182"/>
      <c r="U732" s="182"/>
      <c r="V732" s="182"/>
      <c r="W732" s="182"/>
      <c r="X732" s="182"/>
      <c r="Y732" s="182"/>
      <c r="Z732" s="182"/>
      <c r="AA732" s="182"/>
    </row>
    <row r="733" spans="1:27" ht="14.4">
      <c r="A733" s="182"/>
      <c r="B733" s="182"/>
      <c r="C733" s="182"/>
      <c r="D733" s="182"/>
      <c r="E733" s="182"/>
      <c r="F733" s="182"/>
      <c r="G733" s="182"/>
      <c r="H733" s="182"/>
      <c r="I733" s="182"/>
      <c r="J733" s="182"/>
      <c r="K733" s="182"/>
      <c r="L733" s="182"/>
      <c r="M733" s="179"/>
      <c r="N733" s="179"/>
      <c r="O733" s="179"/>
      <c r="P733" s="182"/>
      <c r="Q733" s="182"/>
      <c r="R733" s="182"/>
      <c r="S733" s="182"/>
      <c r="T733" s="182"/>
      <c r="U733" s="182"/>
      <c r="V733" s="182"/>
      <c r="W733" s="182"/>
      <c r="X733" s="182"/>
      <c r="Y733" s="182"/>
      <c r="Z733" s="182"/>
      <c r="AA733" s="182"/>
    </row>
    <row r="734" spans="1:27" ht="14.4">
      <c r="A734" s="182"/>
      <c r="B734" s="182"/>
      <c r="C734" s="182"/>
      <c r="D734" s="182"/>
      <c r="E734" s="182"/>
      <c r="F734" s="182"/>
      <c r="G734" s="182"/>
      <c r="H734" s="182"/>
      <c r="I734" s="182"/>
      <c r="J734" s="182"/>
      <c r="K734" s="182"/>
      <c r="L734" s="182"/>
      <c r="M734" s="179"/>
      <c r="N734" s="179"/>
      <c r="O734" s="179"/>
      <c r="P734" s="182"/>
      <c r="Q734" s="182"/>
      <c r="R734" s="182"/>
      <c r="S734" s="182"/>
      <c r="T734" s="182"/>
      <c r="U734" s="182"/>
      <c r="V734" s="182"/>
      <c r="W734" s="182"/>
      <c r="X734" s="182"/>
      <c r="Y734" s="182"/>
      <c r="Z734" s="182"/>
      <c r="AA734" s="182"/>
    </row>
    <row r="735" spans="1:27" ht="14.4">
      <c r="A735" s="182"/>
      <c r="B735" s="182"/>
      <c r="C735" s="182"/>
      <c r="D735" s="182"/>
      <c r="E735" s="182"/>
      <c r="F735" s="182"/>
      <c r="G735" s="182"/>
      <c r="H735" s="182"/>
      <c r="I735" s="182"/>
      <c r="J735" s="182"/>
      <c r="K735" s="182"/>
      <c r="L735" s="182"/>
      <c r="M735" s="179"/>
      <c r="N735" s="179"/>
      <c r="O735" s="179"/>
      <c r="P735" s="182"/>
      <c r="Q735" s="182"/>
      <c r="R735" s="182"/>
      <c r="S735" s="182"/>
      <c r="T735" s="182"/>
      <c r="U735" s="182"/>
      <c r="V735" s="182"/>
      <c r="W735" s="182"/>
      <c r="X735" s="182"/>
      <c r="Y735" s="182"/>
      <c r="Z735" s="182"/>
      <c r="AA735" s="182"/>
    </row>
    <row r="736" spans="1:27" ht="14.4">
      <c r="A736" s="182"/>
      <c r="B736" s="182"/>
      <c r="C736" s="182"/>
      <c r="D736" s="182"/>
      <c r="E736" s="182"/>
      <c r="F736" s="182"/>
      <c r="G736" s="182"/>
      <c r="H736" s="182"/>
      <c r="I736" s="182"/>
      <c r="J736" s="182"/>
      <c r="K736" s="182"/>
      <c r="L736" s="182"/>
      <c r="M736" s="179"/>
      <c r="N736" s="179"/>
      <c r="O736" s="179"/>
      <c r="P736" s="182"/>
      <c r="Q736" s="182"/>
      <c r="R736" s="182"/>
      <c r="S736" s="182"/>
      <c r="T736" s="182"/>
      <c r="U736" s="182"/>
      <c r="V736" s="182"/>
      <c r="W736" s="182"/>
      <c r="X736" s="182"/>
      <c r="Y736" s="182"/>
      <c r="Z736" s="182"/>
      <c r="AA736" s="182"/>
    </row>
    <row r="737" spans="1:27" ht="14.4">
      <c r="A737" s="182"/>
      <c r="B737" s="182"/>
      <c r="C737" s="182"/>
      <c r="D737" s="182"/>
      <c r="E737" s="182"/>
      <c r="F737" s="182"/>
      <c r="G737" s="182"/>
      <c r="H737" s="182"/>
      <c r="I737" s="182"/>
      <c r="J737" s="182"/>
      <c r="K737" s="182"/>
      <c r="L737" s="182"/>
      <c r="M737" s="179"/>
      <c r="N737" s="179"/>
      <c r="O737" s="179"/>
      <c r="P737" s="182"/>
      <c r="Q737" s="182"/>
      <c r="R737" s="182"/>
      <c r="S737" s="182"/>
      <c r="T737" s="182"/>
      <c r="U737" s="182"/>
      <c r="V737" s="182"/>
      <c r="W737" s="182"/>
      <c r="X737" s="182"/>
      <c r="Y737" s="182"/>
      <c r="Z737" s="182"/>
      <c r="AA737" s="182"/>
    </row>
    <row r="738" spans="1:27" ht="14.4">
      <c r="A738" s="182"/>
      <c r="B738" s="182"/>
      <c r="C738" s="182"/>
      <c r="D738" s="182"/>
      <c r="E738" s="182"/>
      <c r="F738" s="182"/>
      <c r="G738" s="182"/>
      <c r="H738" s="182"/>
      <c r="I738" s="182"/>
      <c r="J738" s="182"/>
      <c r="K738" s="182"/>
      <c r="L738" s="182"/>
      <c r="M738" s="179"/>
      <c r="N738" s="179"/>
      <c r="O738" s="179"/>
      <c r="P738" s="182"/>
      <c r="Q738" s="182"/>
      <c r="R738" s="182"/>
      <c r="S738" s="182"/>
      <c r="T738" s="182"/>
      <c r="U738" s="182"/>
      <c r="V738" s="182"/>
      <c r="W738" s="182"/>
      <c r="X738" s="182"/>
      <c r="Y738" s="182"/>
      <c r="Z738" s="182"/>
      <c r="AA738" s="182"/>
    </row>
    <row r="739" spans="1:27" ht="14.4">
      <c r="A739" s="182"/>
      <c r="B739" s="182"/>
      <c r="C739" s="182"/>
      <c r="D739" s="182"/>
      <c r="E739" s="182"/>
      <c r="F739" s="182"/>
      <c r="G739" s="182"/>
      <c r="H739" s="182"/>
      <c r="I739" s="182"/>
      <c r="J739" s="182"/>
      <c r="K739" s="182"/>
      <c r="L739" s="182"/>
      <c r="M739" s="179"/>
      <c r="N739" s="179"/>
      <c r="O739" s="179"/>
      <c r="P739" s="182"/>
      <c r="Q739" s="182"/>
      <c r="R739" s="182"/>
      <c r="S739" s="182"/>
      <c r="T739" s="182"/>
      <c r="U739" s="182"/>
      <c r="V739" s="182"/>
      <c r="W739" s="182"/>
      <c r="X739" s="182"/>
      <c r="Y739" s="182"/>
      <c r="Z739" s="182"/>
      <c r="AA739" s="182"/>
    </row>
    <row r="740" spans="1:27" ht="14.4">
      <c r="A740" s="182"/>
      <c r="B740" s="182"/>
      <c r="C740" s="182"/>
      <c r="D740" s="182"/>
      <c r="E740" s="182"/>
      <c r="F740" s="182"/>
      <c r="G740" s="182"/>
      <c r="H740" s="182"/>
      <c r="I740" s="182"/>
      <c r="J740" s="182"/>
      <c r="K740" s="182"/>
      <c r="L740" s="182"/>
      <c r="M740" s="179"/>
      <c r="N740" s="179"/>
      <c r="O740" s="179"/>
      <c r="P740" s="182"/>
      <c r="Q740" s="182"/>
      <c r="R740" s="182"/>
      <c r="S740" s="182"/>
      <c r="T740" s="182"/>
      <c r="U740" s="182"/>
      <c r="V740" s="182"/>
      <c r="W740" s="182"/>
      <c r="X740" s="182"/>
      <c r="Y740" s="182"/>
      <c r="Z740" s="182"/>
      <c r="AA740" s="182"/>
    </row>
    <row r="741" spans="1:27" ht="14.4">
      <c r="A741" s="182"/>
      <c r="B741" s="182"/>
      <c r="C741" s="182"/>
      <c r="D741" s="182"/>
      <c r="E741" s="182"/>
      <c r="F741" s="182"/>
      <c r="G741" s="182"/>
      <c r="H741" s="182"/>
      <c r="I741" s="182"/>
      <c r="J741" s="182"/>
      <c r="K741" s="182"/>
      <c r="L741" s="182"/>
      <c r="M741" s="179"/>
      <c r="N741" s="179"/>
      <c r="O741" s="179"/>
      <c r="P741" s="182"/>
      <c r="Q741" s="182"/>
      <c r="R741" s="182"/>
      <c r="S741" s="182"/>
      <c r="T741" s="182"/>
      <c r="U741" s="182"/>
      <c r="V741" s="182"/>
      <c r="W741" s="182"/>
      <c r="X741" s="182"/>
      <c r="Y741" s="182"/>
      <c r="Z741" s="182"/>
      <c r="AA741" s="182"/>
    </row>
    <row r="742" spans="1:27" ht="14.4">
      <c r="A742" s="182"/>
      <c r="B742" s="182"/>
      <c r="C742" s="182"/>
      <c r="D742" s="182"/>
      <c r="E742" s="182"/>
      <c r="F742" s="182"/>
      <c r="G742" s="182"/>
      <c r="H742" s="182"/>
      <c r="I742" s="182"/>
      <c r="J742" s="182"/>
      <c r="K742" s="182"/>
      <c r="L742" s="182"/>
      <c r="M742" s="179"/>
      <c r="N742" s="179"/>
      <c r="O742" s="179"/>
      <c r="P742" s="182"/>
      <c r="Q742" s="182"/>
      <c r="R742" s="182"/>
      <c r="S742" s="182"/>
      <c r="T742" s="182"/>
      <c r="U742" s="182"/>
      <c r="V742" s="182"/>
      <c r="W742" s="182"/>
      <c r="X742" s="182"/>
      <c r="Y742" s="182"/>
      <c r="Z742" s="182"/>
      <c r="AA742" s="182"/>
    </row>
    <row r="743" spans="1:27" ht="14.4">
      <c r="A743" s="182"/>
      <c r="B743" s="182"/>
      <c r="C743" s="182"/>
      <c r="D743" s="182"/>
      <c r="E743" s="182"/>
      <c r="F743" s="182"/>
      <c r="G743" s="182"/>
      <c r="H743" s="182"/>
      <c r="I743" s="182"/>
      <c r="J743" s="182"/>
      <c r="K743" s="182"/>
      <c r="L743" s="182"/>
      <c r="M743" s="179"/>
      <c r="N743" s="179"/>
      <c r="O743" s="179"/>
      <c r="P743" s="182"/>
      <c r="Q743" s="182"/>
      <c r="R743" s="182"/>
      <c r="S743" s="182"/>
      <c r="T743" s="182"/>
      <c r="U743" s="182"/>
      <c r="V743" s="182"/>
      <c r="W743" s="182"/>
      <c r="X743" s="182"/>
      <c r="Y743" s="182"/>
      <c r="Z743" s="182"/>
      <c r="AA743" s="182"/>
    </row>
    <row r="744" spans="1:27" ht="14.4">
      <c r="A744" s="182"/>
      <c r="B744" s="182"/>
      <c r="C744" s="182"/>
      <c r="D744" s="182"/>
      <c r="E744" s="182"/>
      <c r="F744" s="182"/>
      <c r="G744" s="182"/>
      <c r="H744" s="182"/>
      <c r="I744" s="182"/>
      <c r="J744" s="182"/>
      <c r="K744" s="182"/>
      <c r="L744" s="182"/>
      <c r="M744" s="179"/>
      <c r="N744" s="179"/>
      <c r="O744" s="179"/>
      <c r="P744" s="182"/>
      <c r="Q744" s="182"/>
      <c r="R744" s="182"/>
      <c r="S744" s="182"/>
      <c r="T744" s="182"/>
      <c r="U744" s="182"/>
      <c r="V744" s="182"/>
      <c r="W744" s="182"/>
      <c r="X744" s="182"/>
      <c r="Y744" s="182"/>
      <c r="Z744" s="182"/>
      <c r="AA744" s="182"/>
    </row>
    <row r="745" spans="1:27" ht="14.4">
      <c r="A745" s="182"/>
      <c r="B745" s="182"/>
      <c r="C745" s="182"/>
      <c r="D745" s="182"/>
      <c r="E745" s="182"/>
      <c r="F745" s="182"/>
      <c r="G745" s="182"/>
      <c r="H745" s="182"/>
      <c r="I745" s="182"/>
      <c r="J745" s="182"/>
      <c r="K745" s="182"/>
      <c r="L745" s="182"/>
      <c r="M745" s="179"/>
      <c r="N745" s="179"/>
      <c r="O745" s="179"/>
      <c r="P745" s="182"/>
      <c r="Q745" s="182"/>
      <c r="R745" s="182"/>
      <c r="S745" s="182"/>
      <c r="T745" s="182"/>
      <c r="U745" s="182"/>
      <c r="V745" s="182"/>
      <c r="W745" s="182"/>
      <c r="X745" s="182"/>
      <c r="Y745" s="182"/>
      <c r="Z745" s="182"/>
      <c r="AA745" s="182"/>
    </row>
    <row r="746" spans="1:27" ht="14.4">
      <c r="A746" s="182"/>
      <c r="B746" s="182"/>
      <c r="C746" s="182"/>
      <c r="D746" s="182"/>
      <c r="E746" s="182"/>
      <c r="F746" s="182"/>
      <c r="G746" s="182"/>
      <c r="H746" s="182"/>
      <c r="I746" s="182"/>
      <c r="J746" s="182"/>
      <c r="K746" s="182"/>
      <c r="L746" s="182"/>
      <c r="M746" s="179"/>
      <c r="N746" s="179"/>
      <c r="O746" s="179"/>
      <c r="P746" s="182"/>
      <c r="Q746" s="182"/>
      <c r="R746" s="182"/>
      <c r="S746" s="182"/>
      <c r="T746" s="182"/>
      <c r="U746" s="182"/>
      <c r="V746" s="182"/>
      <c r="W746" s="182"/>
      <c r="X746" s="182"/>
      <c r="Y746" s="182"/>
      <c r="Z746" s="182"/>
      <c r="AA746" s="182"/>
    </row>
    <row r="747" spans="1:27" ht="14.4">
      <c r="A747" s="182"/>
      <c r="B747" s="182"/>
      <c r="C747" s="182"/>
      <c r="D747" s="182"/>
      <c r="E747" s="182"/>
      <c r="F747" s="182"/>
      <c r="G747" s="182"/>
      <c r="H747" s="182"/>
      <c r="I747" s="182"/>
      <c r="J747" s="182"/>
      <c r="K747" s="182"/>
      <c r="L747" s="182"/>
      <c r="M747" s="179"/>
      <c r="N747" s="179"/>
      <c r="O747" s="179"/>
      <c r="P747" s="182"/>
      <c r="Q747" s="182"/>
      <c r="R747" s="182"/>
      <c r="S747" s="182"/>
      <c r="T747" s="182"/>
      <c r="U747" s="182"/>
      <c r="V747" s="182"/>
      <c r="W747" s="182"/>
      <c r="X747" s="182"/>
      <c r="Y747" s="182"/>
      <c r="Z747" s="182"/>
      <c r="AA747" s="182"/>
    </row>
    <row r="748" spans="1:27" ht="14.4">
      <c r="A748" s="182"/>
      <c r="B748" s="182"/>
      <c r="C748" s="182"/>
      <c r="D748" s="182"/>
      <c r="E748" s="182"/>
      <c r="F748" s="182"/>
      <c r="G748" s="182"/>
      <c r="H748" s="182"/>
      <c r="I748" s="182"/>
      <c r="J748" s="182"/>
      <c r="K748" s="182"/>
      <c r="L748" s="182"/>
      <c r="M748" s="179"/>
      <c r="N748" s="179"/>
      <c r="O748" s="179"/>
      <c r="P748" s="182"/>
      <c r="Q748" s="182"/>
      <c r="R748" s="182"/>
      <c r="S748" s="182"/>
      <c r="T748" s="182"/>
      <c r="U748" s="182"/>
      <c r="V748" s="182"/>
      <c r="W748" s="182"/>
      <c r="X748" s="182"/>
      <c r="Y748" s="182"/>
      <c r="Z748" s="182"/>
      <c r="AA748" s="182"/>
    </row>
    <row r="749" spans="1:27" ht="14.4">
      <c r="A749" s="182"/>
      <c r="B749" s="182"/>
      <c r="C749" s="182"/>
      <c r="D749" s="182"/>
      <c r="E749" s="182"/>
      <c r="F749" s="182"/>
      <c r="G749" s="182"/>
      <c r="H749" s="182"/>
      <c r="I749" s="182"/>
      <c r="J749" s="182"/>
      <c r="K749" s="182"/>
      <c r="L749" s="182"/>
      <c r="M749" s="179"/>
      <c r="N749" s="179"/>
      <c r="O749" s="179"/>
      <c r="P749" s="182"/>
      <c r="Q749" s="182"/>
      <c r="R749" s="182"/>
      <c r="S749" s="182"/>
      <c r="T749" s="182"/>
      <c r="U749" s="182"/>
      <c r="V749" s="182"/>
      <c r="W749" s="182"/>
      <c r="X749" s="182"/>
      <c r="Y749" s="182"/>
      <c r="Z749" s="182"/>
      <c r="AA749" s="182"/>
    </row>
    <row r="750" spans="1:27" ht="14.4">
      <c r="A750" s="182"/>
      <c r="B750" s="182"/>
      <c r="C750" s="182"/>
      <c r="D750" s="182"/>
      <c r="E750" s="182"/>
      <c r="F750" s="182"/>
      <c r="G750" s="182"/>
      <c r="H750" s="182"/>
      <c r="I750" s="182"/>
      <c r="J750" s="182"/>
      <c r="K750" s="182"/>
      <c r="L750" s="182"/>
      <c r="M750" s="179"/>
      <c r="N750" s="179"/>
      <c r="O750" s="179"/>
      <c r="P750" s="182"/>
      <c r="Q750" s="182"/>
      <c r="R750" s="182"/>
      <c r="S750" s="182"/>
      <c r="T750" s="182"/>
      <c r="U750" s="182"/>
      <c r="V750" s="182"/>
      <c r="W750" s="182"/>
      <c r="X750" s="182"/>
      <c r="Y750" s="182"/>
      <c r="Z750" s="182"/>
      <c r="AA750" s="182"/>
    </row>
    <row r="751" spans="1:27" ht="14.4">
      <c r="A751" s="182"/>
      <c r="B751" s="182"/>
      <c r="C751" s="182"/>
      <c r="D751" s="182"/>
      <c r="E751" s="182"/>
      <c r="F751" s="182"/>
      <c r="G751" s="182"/>
      <c r="H751" s="182"/>
      <c r="I751" s="182"/>
      <c r="J751" s="182"/>
      <c r="K751" s="182"/>
      <c r="L751" s="182"/>
      <c r="M751" s="179"/>
      <c r="N751" s="179"/>
      <c r="O751" s="179"/>
      <c r="P751" s="182"/>
      <c r="Q751" s="182"/>
      <c r="R751" s="182"/>
      <c r="S751" s="182"/>
      <c r="T751" s="182"/>
      <c r="U751" s="182"/>
      <c r="V751" s="182"/>
      <c r="W751" s="182"/>
      <c r="X751" s="182"/>
      <c r="Y751" s="182"/>
      <c r="Z751" s="182"/>
      <c r="AA751" s="182"/>
    </row>
    <row r="752" spans="1:27" ht="14.4">
      <c r="A752" s="182"/>
      <c r="B752" s="182"/>
      <c r="C752" s="182"/>
      <c r="D752" s="182"/>
      <c r="E752" s="182"/>
      <c r="F752" s="182"/>
      <c r="G752" s="182"/>
      <c r="H752" s="182"/>
      <c r="I752" s="182"/>
      <c r="J752" s="182"/>
      <c r="K752" s="182"/>
      <c r="L752" s="182"/>
      <c r="M752" s="179"/>
      <c r="N752" s="179"/>
      <c r="O752" s="179"/>
      <c r="P752" s="182"/>
      <c r="Q752" s="182"/>
      <c r="R752" s="182"/>
      <c r="S752" s="182"/>
      <c r="T752" s="182"/>
      <c r="U752" s="182"/>
      <c r="V752" s="182"/>
      <c r="W752" s="182"/>
      <c r="X752" s="182"/>
      <c r="Y752" s="182"/>
      <c r="Z752" s="182"/>
      <c r="AA752" s="182"/>
    </row>
    <row r="753" spans="1:27" ht="14.4">
      <c r="A753" s="182"/>
      <c r="B753" s="182"/>
      <c r="C753" s="182"/>
      <c r="D753" s="182"/>
      <c r="E753" s="182"/>
      <c r="F753" s="182"/>
      <c r="G753" s="182"/>
      <c r="H753" s="182"/>
      <c r="I753" s="182"/>
      <c r="J753" s="182"/>
      <c r="K753" s="182"/>
      <c r="L753" s="182"/>
      <c r="M753" s="179"/>
      <c r="N753" s="179"/>
      <c r="O753" s="179"/>
      <c r="P753" s="182"/>
      <c r="Q753" s="182"/>
      <c r="R753" s="182"/>
      <c r="S753" s="182"/>
      <c r="T753" s="182"/>
      <c r="U753" s="182"/>
      <c r="V753" s="182"/>
      <c r="W753" s="182"/>
      <c r="X753" s="182"/>
      <c r="Y753" s="182"/>
      <c r="Z753" s="182"/>
      <c r="AA753" s="182"/>
    </row>
    <row r="754" spans="1:27" ht="14.4">
      <c r="A754" s="182"/>
      <c r="B754" s="182"/>
      <c r="C754" s="182"/>
      <c r="D754" s="182"/>
      <c r="E754" s="182"/>
      <c r="F754" s="182"/>
      <c r="G754" s="182"/>
      <c r="H754" s="182"/>
      <c r="I754" s="182"/>
      <c r="J754" s="182"/>
      <c r="K754" s="182"/>
      <c r="L754" s="182"/>
      <c r="M754" s="179"/>
      <c r="N754" s="179"/>
      <c r="O754" s="179"/>
      <c r="P754" s="182"/>
      <c r="Q754" s="182"/>
      <c r="R754" s="182"/>
      <c r="S754" s="182"/>
      <c r="T754" s="182"/>
      <c r="U754" s="182"/>
      <c r="V754" s="182"/>
      <c r="W754" s="182"/>
      <c r="X754" s="182"/>
      <c r="Y754" s="182"/>
      <c r="Z754" s="182"/>
      <c r="AA754" s="182"/>
    </row>
    <row r="755" spans="1:27" ht="14.4">
      <c r="A755" s="182"/>
      <c r="B755" s="182"/>
      <c r="C755" s="182"/>
      <c r="D755" s="182"/>
      <c r="E755" s="182"/>
      <c r="F755" s="182"/>
      <c r="G755" s="182"/>
      <c r="H755" s="182"/>
      <c r="I755" s="182"/>
      <c r="J755" s="182"/>
      <c r="K755" s="182"/>
      <c r="L755" s="182"/>
      <c r="M755" s="179"/>
      <c r="N755" s="179"/>
      <c r="O755" s="179"/>
      <c r="P755" s="182"/>
      <c r="Q755" s="182"/>
      <c r="R755" s="182"/>
      <c r="S755" s="182"/>
      <c r="T755" s="182"/>
      <c r="U755" s="182"/>
      <c r="V755" s="182"/>
      <c r="W755" s="182"/>
      <c r="X755" s="182"/>
      <c r="Y755" s="182"/>
      <c r="Z755" s="182"/>
      <c r="AA755" s="182"/>
    </row>
    <row r="756" spans="1:27" ht="14.4">
      <c r="A756" s="182"/>
      <c r="B756" s="182"/>
      <c r="C756" s="182"/>
      <c r="D756" s="182"/>
      <c r="E756" s="182"/>
      <c r="F756" s="182"/>
      <c r="G756" s="182"/>
      <c r="H756" s="182"/>
      <c r="I756" s="182"/>
      <c r="J756" s="182"/>
      <c r="K756" s="182"/>
      <c r="L756" s="182"/>
      <c r="M756" s="179"/>
      <c r="N756" s="179"/>
      <c r="O756" s="179"/>
      <c r="P756" s="182"/>
      <c r="Q756" s="182"/>
      <c r="R756" s="182"/>
      <c r="S756" s="182"/>
      <c r="T756" s="182"/>
      <c r="U756" s="182"/>
      <c r="V756" s="182"/>
      <c r="W756" s="182"/>
      <c r="X756" s="182"/>
      <c r="Y756" s="182"/>
      <c r="Z756" s="182"/>
      <c r="AA756" s="182"/>
    </row>
    <row r="757" spans="1:27" ht="14.4">
      <c r="A757" s="182"/>
      <c r="B757" s="182"/>
      <c r="C757" s="182"/>
      <c r="D757" s="182"/>
      <c r="E757" s="182"/>
      <c r="F757" s="182"/>
      <c r="G757" s="182"/>
      <c r="H757" s="182"/>
      <c r="I757" s="182"/>
      <c r="J757" s="182"/>
      <c r="K757" s="182"/>
      <c r="L757" s="182"/>
      <c r="M757" s="179"/>
      <c r="N757" s="179"/>
      <c r="O757" s="179"/>
      <c r="P757" s="182"/>
      <c r="Q757" s="182"/>
      <c r="R757" s="182"/>
      <c r="S757" s="182"/>
      <c r="T757" s="182"/>
      <c r="U757" s="182"/>
      <c r="V757" s="182"/>
      <c r="W757" s="182"/>
      <c r="X757" s="182"/>
      <c r="Y757" s="182"/>
      <c r="Z757" s="182"/>
      <c r="AA757" s="182"/>
    </row>
    <row r="758" spans="1:27" ht="14.4">
      <c r="A758" s="182"/>
      <c r="B758" s="182"/>
      <c r="C758" s="182"/>
      <c r="D758" s="182"/>
      <c r="E758" s="182"/>
      <c r="F758" s="182"/>
      <c r="G758" s="182"/>
      <c r="H758" s="182"/>
      <c r="I758" s="182"/>
      <c r="J758" s="182"/>
      <c r="K758" s="182"/>
      <c r="L758" s="182"/>
      <c r="M758" s="179"/>
      <c r="N758" s="179"/>
      <c r="O758" s="179"/>
      <c r="P758" s="182"/>
      <c r="Q758" s="182"/>
      <c r="R758" s="182"/>
      <c r="S758" s="182"/>
      <c r="T758" s="182"/>
      <c r="U758" s="182"/>
      <c r="V758" s="182"/>
      <c r="W758" s="182"/>
      <c r="X758" s="182"/>
      <c r="Y758" s="182"/>
      <c r="Z758" s="182"/>
      <c r="AA758" s="182"/>
    </row>
    <row r="759" spans="1:27" ht="14.4">
      <c r="A759" s="182"/>
      <c r="B759" s="182"/>
      <c r="C759" s="182"/>
      <c r="D759" s="182"/>
      <c r="E759" s="182"/>
      <c r="F759" s="182"/>
      <c r="G759" s="182"/>
      <c r="H759" s="182"/>
      <c r="I759" s="182"/>
      <c r="J759" s="182"/>
      <c r="K759" s="182"/>
      <c r="L759" s="182"/>
      <c r="M759" s="179"/>
      <c r="N759" s="179"/>
      <c r="O759" s="179"/>
      <c r="P759" s="182"/>
      <c r="Q759" s="182"/>
      <c r="R759" s="182"/>
      <c r="S759" s="182"/>
      <c r="T759" s="182"/>
      <c r="U759" s="182"/>
      <c r="V759" s="182"/>
      <c r="W759" s="182"/>
      <c r="X759" s="182"/>
      <c r="Y759" s="182"/>
      <c r="Z759" s="182"/>
      <c r="AA759" s="182"/>
    </row>
    <row r="760" spans="1:27" ht="14.4">
      <c r="A760" s="182"/>
      <c r="B760" s="182"/>
      <c r="C760" s="182"/>
      <c r="D760" s="182"/>
      <c r="E760" s="182"/>
      <c r="F760" s="182"/>
      <c r="G760" s="182"/>
      <c r="H760" s="182"/>
      <c r="I760" s="182"/>
      <c r="J760" s="182"/>
      <c r="K760" s="182"/>
      <c r="L760" s="182"/>
      <c r="M760" s="179"/>
      <c r="N760" s="179"/>
      <c r="O760" s="179"/>
      <c r="P760" s="182"/>
      <c r="Q760" s="182"/>
      <c r="R760" s="182"/>
      <c r="S760" s="182"/>
      <c r="T760" s="182"/>
      <c r="U760" s="182"/>
      <c r="V760" s="182"/>
      <c r="W760" s="182"/>
      <c r="X760" s="182"/>
      <c r="Y760" s="182"/>
      <c r="Z760" s="182"/>
      <c r="AA760" s="182"/>
    </row>
    <row r="761" spans="1:27" ht="14.4">
      <c r="A761" s="182"/>
      <c r="B761" s="182"/>
      <c r="C761" s="182"/>
      <c r="D761" s="182"/>
      <c r="E761" s="182"/>
      <c r="F761" s="182"/>
      <c r="G761" s="182"/>
      <c r="H761" s="182"/>
      <c r="I761" s="182"/>
      <c r="J761" s="182"/>
      <c r="K761" s="182"/>
      <c r="L761" s="182"/>
      <c r="M761" s="179"/>
      <c r="N761" s="179"/>
      <c r="O761" s="179"/>
      <c r="P761" s="182"/>
      <c r="Q761" s="182"/>
      <c r="R761" s="182"/>
      <c r="S761" s="182"/>
      <c r="T761" s="182"/>
      <c r="U761" s="182"/>
      <c r="V761" s="182"/>
      <c r="W761" s="182"/>
      <c r="X761" s="182"/>
      <c r="Y761" s="182"/>
      <c r="Z761" s="182"/>
      <c r="AA761" s="182"/>
    </row>
    <row r="762" spans="1:27" ht="14.4">
      <c r="A762" s="182"/>
      <c r="B762" s="182"/>
      <c r="C762" s="182"/>
      <c r="D762" s="182"/>
      <c r="E762" s="182"/>
      <c r="F762" s="182"/>
      <c r="G762" s="182"/>
      <c r="H762" s="182"/>
      <c r="I762" s="182"/>
      <c r="J762" s="182"/>
      <c r="K762" s="182"/>
      <c r="L762" s="182"/>
      <c r="M762" s="179"/>
      <c r="N762" s="179"/>
      <c r="O762" s="179"/>
      <c r="P762" s="182"/>
      <c r="Q762" s="182"/>
      <c r="R762" s="182"/>
      <c r="S762" s="182"/>
      <c r="T762" s="182"/>
      <c r="U762" s="182"/>
      <c r="V762" s="182"/>
      <c r="W762" s="182"/>
      <c r="X762" s="182"/>
      <c r="Y762" s="182"/>
      <c r="Z762" s="182"/>
      <c r="AA762" s="182"/>
    </row>
    <row r="763" spans="1:27" ht="14.4">
      <c r="A763" s="182"/>
      <c r="B763" s="182"/>
      <c r="C763" s="182"/>
      <c r="D763" s="182"/>
      <c r="E763" s="182"/>
      <c r="F763" s="182"/>
      <c r="G763" s="182"/>
      <c r="H763" s="182"/>
      <c r="I763" s="182"/>
      <c r="J763" s="182"/>
      <c r="K763" s="182"/>
      <c r="L763" s="182"/>
      <c r="M763" s="179"/>
      <c r="N763" s="179"/>
      <c r="O763" s="179"/>
      <c r="P763" s="182"/>
      <c r="Q763" s="182"/>
      <c r="R763" s="182"/>
      <c r="S763" s="182"/>
      <c r="T763" s="182"/>
      <c r="U763" s="182"/>
      <c r="V763" s="182"/>
      <c r="W763" s="182"/>
      <c r="X763" s="182"/>
      <c r="Y763" s="182"/>
      <c r="Z763" s="182"/>
      <c r="AA763" s="182"/>
    </row>
    <row r="764" spans="1:27" ht="14.4">
      <c r="A764" s="182"/>
      <c r="B764" s="182"/>
      <c r="C764" s="182"/>
      <c r="D764" s="182"/>
      <c r="E764" s="182"/>
      <c r="F764" s="182"/>
      <c r="G764" s="182"/>
      <c r="H764" s="182"/>
      <c r="I764" s="182"/>
      <c r="J764" s="182"/>
      <c r="K764" s="182"/>
      <c r="L764" s="182"/>
      <c r="M764" s="179"/>
      <c r="N764" s="179"/>
      <c r="O764" s="179"/>
      <c r="P764" s="182"/>
      <c r="Q764" s="182"/>
      <c r="R764" s="182"/>
      <c r="S764" s="182"/>
      <c r="T764" s="182"/>
      <c r="U764" s="182"/>
      <c r="V764" s="182"/>
      <c r="W764" s="182"/>
      <c r="X764" s="182"/>
      <c r="Y764" s="182"/>
      <c r="Z764" s="182"/>
      <c r="AA764" s="182"/>
    </row>
    <row r="765" spans="1:27" ht="14.4">
      <c r="A765" s="182"/>
      <c r="B765" s="182"/>
      <c r="C765" s="182"/>
      <c r="D765" s="182"/>
      <c r="E765" s="182"/>
      <c r="F765" s="182"/>
      <c r="G765" s="182"/>
      <c r="H765" s="182"/>
      <c r="I765" s="182"/>
      <c r="J765" s="182"/>
      <c r="K765" s="182"/>
      <c r="L765" s="182"/>
      <c r="M765" s="179"/>
      <c r="N765" s="179"/>
      <c r="O765" s="179"/>
      <c r="P765" s="182"/>
      <c r="Q765" s="182"/>
      <c r="R765" s="182"/>
      <c r="S765" s="182"/>
      <c r="T765" s="182"/>
      <c r="U765" s="182"/>
      <c r="V765" s="182"/>
      <c r="W765" s="182"/>
      <c r="X765" s="182"/>
      <c r="Y765" s="182"/>
      <c r="Z765" s="182"/>
      <c r="AA765" s="182"/>
    </row>
    <row r="766" spans="1:27" ht="14.4">
      <c r="A766" s="182"/>
      <c r="B766" s="182"/>
      <c r="C766" s="182"/>
      <c r="D766" s="182"/>
      <c r="E766" s="182"/>
      <c r="F766" s="182"/>
      <c r="G766" s="182"/>
      <c r="H766" s="182"/>
      <c r="I766" s="182"/>
      <c r="J766" s="182"/>
      <c r="K766" s="182"/>
      <c r="L766" s="182"/>
      <c r="M766" s="179"/>
      <c r="N766" s="179"/>
      <c r="O766" s="179"/>
      <c r="P766" s="182"/>
      <c r="Q766" s="182"/>
      <c r="R766" s="182"/>
      <c r="S766" s="182"/>
      <c r="T766" s="182"/>
      <c r="U766" s="182"/>
      <c r="V766" s="182"/>
      <c r="W766" s="182"/>
      <c r="X766" s="182"/>
      <c r="Y766" s="182"/>
      <c r="Z766" s="182"/>
      <c r="AA766" s="182"/>
    </row>
    <row r="767" spans="1:27" ht="14.4">
      <c r="A767" s="182"/>
      <c r="B767" s="182"/>
      <c r="C767" s="182"/>
      <c r="D767" s="182"/>
      <c r="E767" s="182"/>
      <c r="F767" s="182"/>
      <c r="G767" s="182"/>
      <c r="H767" s="182"/>
      <c r="I767" s="182"/>
      <c r="J767" s="182"/>
      <c r="K767" s="182"/>
      <c r="L767" s="182"/>
      <c r="M767" s="179"/>
      <c r="N767" s="179"/>
      <c r="O767" s="179"/>
      <c r="P767" s="182"/>
      <c r="Q767" s="182"/>
      <c r="R767" s="182"/>
      <c r="S767" s="182"/>
      <c r="T767" s="182"/>
      <c r="U767" s="182"/>
      <c r="V767" s="182"/>
      <c r="W767" s="182"/>
      <c r="X767" s="182"/>
      <c r="Y767" s="182"/>
      <c r="Z767" s="182"/>
      <c r="AA767" s="182"/>
    </row>
    <row r="768" spans="1:27" ht="14.4">
      <c r="A768" s="182"/>
      <c r="B768" s="182"/>
      <c r="C768" s="182"/>
      <c r="D768" s="182"/>
      <c r="E768" s="182"/>
      <c r="F768" s="182"/>
      <c r="G768" s="182"/>
      <c r="H768" s="182"/>
      <c r="I768" s="182"/>
      <c r="J768" s="182"/>
      <c r="K768" s="182"/>
      <c r="L768" s="182"/>
      <c r="M768" s="179"/>
      <c r="N768" s="179"/>
      <c r="O768" s="179"/>
      <c r="P768" s="182"/>
      <c r="Q768" s="182"/>
      <c r="R768" s="182"/>
      <c r="S768" s="182"/>
      <c r="T768" s="182"/>
      <c r="U768" s="182"/>
      <c r="V768" s="182"/>
      <c r="W768" s="182"/>
      <c r="X768" s="182"/>
      <c r="Y768" s="182"/>
      <c r="Z768" s="182"/>
      <c r="AA768" s="182"/>
    </row>
    <row r="769" spans="1:27" ht="14.4">
      <c r="A769" s="182"/>
      <c r="B769" s="182"/>
      <c r="C769" s="182"/>
      <c r="D769" s="182"/>
      <c r="E769" s="182"/>
      <c r="F769" s="182"/>
      <c r="G769" s="182"/>
      <c r="H769" s="182"/>
      <c r="I769" s="182"/>
      <c r="J769" s="182"/>
      <c r="K769" s="182"/>
      <c r="L769" s="182"/>
      <c r="M769" s="179"/>
      <c r="N769" s="179"/>
      <c r="O769" s="179"/>
      <c r="P769" s="182"/>
      <c r="Q769" s="182"/>
      <c r="R769" s="182"/>
      <c r="S769" s="182"/>
      <c r="T769" s="182"/>
      <c r="U769" s="182"/>
      <c r="V769" s="182"/>
      <c r="W769" s="182"/>
      <c r="X769" s="182"/>
      <c r="Y769" s="182"/>
      <c r="Z769" s="182"/>
      <c r="AA769" s="182"/>
    </row>
    <row r="770" spans="1:27" ht="14.4">
      <c r="A770" s="182"/>
      <c r="B770" s="182"/>
      <c r="C770" s="182"/>
      <c r="D770" s="182"/>
      <c r="E770" s="182"/>
      <c r="F770" s="182"/>
      <c r="G770" s="182"/>
      <c r="H770" s="182"/>
      <c r="I770" s="182"/>
      <c r="J770" s="182"/>
      <c r="K770" s="182"/>
      <c r="L770" s="182"/>
      <c r="M770" s="179"/>
      <c r="N770" s="179"/>
      <c r="O770" s="179"/>
      <c r="P770" s="182"/>
      <c r="Q770" s="182"/>
      <c r="R770" s="182"/>
      <c r="S770" s="182"/>
      <c r="T770" s="182"/>
      <c r="U770" s="182"/>
      <c r="V770" s="182"/>
      <c r="W770" s="182"/>
      <c r="X770" s="182"/>
      <c r="Y770" s="182"/>
      <c r="Z770" s="182"/>
      <c r="AA770" s="182"/>
    </row>
    <row r="771" spans="1:27" ht="14.4">
      <c r="A771" s="182"/>
      <c r="B771" s="182"/>
      <c r="C771" s="182"/>
      <c r="D771" s="182"/>
      <c r="E771" s="182"/>
      <c r="F771" s="182"/>
      <c r="G771" s="182"/>
      <c r="H771" s="182"/>
      <c r="I771" s="182"/>
      <c r="J771" s="182"/>
      <c r="K771" s="182"/>
      <c r="L771" s="182"/>
      <c r="M771" s="179"/>
      <c r="N771" s="179"/>
      <c r="O771" s="179"/>
      <c r="P771" s="182"/>
      <c r="Q771" s="182"/>
      <c r="R771" s="182"/>
      <c r="S771" s="182"/>
      <c r="T771" s="182"/>
      <c r="U771" s="182"/>
      <c r="V771" s="182"/>
      <c r="W771" s="182"/>
      <c r="X771" s="182"/>
      <c r="Y771" s="182"/>
      <c r="Z771" s="182"/>
      <c r="AA771" s="182"/>
    </row>
    <row r="772" spans="1:27" ht="14.4">
      <c r="A772" s="182"/>
      <c r="B772" s="182"/>
      <c r="C772" s="182"/>
      <c r="D772" s="182"/>
      <c r="E772" s="182"/>
      <c r="F772" s="182"/>
      <c r="G772" s="182"/>
      <c r="H772" s="182"/>
      <c r="I772" s="182"/>
      <c r="J772" s="182"/>
      <c r="K772" s="182"/>
      <c r="L772" s="182"/>
      <c r="M772" s="179"/>
      <c r="N772" s="179"/>
      <c r="O772" s="179"/>
      <c r="P772" s="182"/>
      <c r="Q772" s="182"/>
      <c r="R772" s="182"/>
      <c r="S772" s="182"/>
      <c r="T772" s="182"/>
      <c r="U772" s="182"/>
      <c r="V772" s="182"/>
      <c r="W772" s="182"/>
      <c r="X772" s="182"/>
      <c r="Y772" s="182"/>
      <c r="Z772" s="182"/>
      <c r="AA772" s="182"/>
    </row>
    <row r="773" spans="1:27" ht="14.4">
      <c r="A773" s="182"/>
      <c r="B773" s="182"/>
      <c r="C773" s="182"/>
      <c r="D773" s="182"/>
      <c r="E773" s="182"/>
      <c r="F773" s="182"/>
      <c r="G773" s="182"/>
      <c r="H773" s="182"/>
      <c r="I773" s="182"/>
      <c r="J773" s="182"/>
      <c r="K773" s="182"/>
      <c r="L773" s="182"/>
      <c r="M773" s="179"/>
      <c r="N773" s="179"/>
      <c r="O773" s="179"/>
      <c r="P773" s="182"/>
      <c r="Q773" s="182"/>
      <c r="R773" s="182"/>
      <c r="S773" s="182"/>
      <c r="T773" s="182"/>
      <c r="U773" s="182"/>
      <c r="V773" s="182"/>
      <c r="W773" s="182"/>
      <c r="X773" s="182"/>
      <c r="Y773" s="182"/>
      <c r="Z773" s="182"/>
      <c r="AA773" s="182"/>
    </row>
    <row r="774" spans="1:27" ht="14.4">
      <c r="A774" s="182"/>
      <c r="B774" s="182"/>
      <c r="C774" s="182"/>
      <c r="D774" s="182"/>
      <c r="E774" s="182"/>
      <c r="F774" s="182"/>
      <c r="G774" s="182"/>
      <c r="H774" s="182"/>
      <c r="I774" s="182"/>
      <c r="J774" s="182"/>
      <c r="K774" s="182"/>
      <c r="L774" s="182"/>
      <c r="M774" s="179"/>
      <c r="N774" s="179"/>
      <c r="O774" s="179"/>
      <c r="P774" s="182"/>
      <c r="Q774" s="182"/>
      <c r="R774" s="182"/>
      <c r="S774" s="182"/>
      <c r="T774" s="182"/>
      <c r="U774" s="182"/>
      <c r="V774" s="182"/>
      <c r="W774" s="182"/>
      <c r="X774" s="182"/>
      <c r="Y774" s="182"/>
      <c r="Z774" s="182"/>
      <c r="AA774" s="182"/>
    </row>
    <row r="775" spans="1:27" ht="14.4">
      <c r="A775" s="182"/>
      <c r="B775" s="182"/>
      <c r="C775" s="182"/>
      <c r="D775" s="182"/>
      <c r="E775" s="182"/>
      <c r="F775" s="182"/>
      <c r="G775" s="182"/>
      <c r="H775" s="182"/>
      <c r="I775" s="182"/>
      <c r="J775" s="182"/>
      <c r="K775" s="182"/>
      <c r="L775" s="182"/>
      <c r="M775" s="179"/>
      <c r="N775" s="179"/>
      <c r="O775" s="179"/>
      <c r="P775" s="182"/>
      <c r="Q775" s="182"/>
      <c r="R775" s="182"/>
      <c r="S775" s="182"/>
      <c r="T775" s="182"/>
      <c r="U775" s="182"/>
      <c r="V775" s="182"/>
      <c r="W775" s="182"/>
      <c r="X775" s="182"/>
      <c r="Y775" s="182"/>
      <c r="Z775" s="182"/>
      <c r="AA775" s="182"/>
    </row>
    <row r="776" spans="1:27" ht="14.4">
      <c r="A776" s="182"/>
      <c r="B776" s="182"/>
      <c r="C776" s="182"/>
      <c r="D776" s="182"/>
      <c r="E776" s="182"/>
      <c r="F776" s="182"/>
      <c r="G776" s="182"/>
      <c r="H776" s="182"/>
      <c r="I776" s="182"/>
      <c r="J776" s="182"/>
      <c r="K776" s="182"/>
      <c r="L776" s="182"/>
      <c r="M776" s="179"/>
      <c r="N776" s="179"/>
      <c r="O776" s="179"/>
      <c r="P776" s="182"/>
      <c r="Q776" s="182"/>
      <c r="R776" s="182"/>
      <c r="S776" s="182"/>
      <c r="T776" s="182"/>
      <c r="U776" s="182"/>
      <c r="V776" s="182"/>
      <c r="W776" s="182"/>
      <c r="X776" s="182"/>
      <c r="Y776" s="182"/>
      <c r="Z776" s="182"/>
      <c r="AA776" s="182"/>
    </row>
    <row r="777" spans="1:27" ht="14.4">
      <c r="A777" s="182"/>
      <c r="B777" s="182"/>
      <c r="C777" s="182"/>
      <c r="D777" s="182"/>
      <c r="E777" s="182"/>
      <c r="F777" s="182"/>
      <c r="G777" s="182"/>
      <c r="H777" s="182"/>
      <c r="I777" s="182"/>
      <c r="J777" s="182"/>
      <c r="K777" s="182"/>
      <c r="L777" s="182"/>
      <c r="M777" s="179"/>
      <c r="N777" s="179"/>
      <c r="O777" s="179"/>
      <c r="P777" s="182"/>
      <c r="Q777" s="182"/>
      <c r="R777" s="182"/>
      <c r="S777" s="182"/>
      <c r="T777" s="182"/>
      <c r="U777" s="182"/>
      <c r="V777" s="182"/>
      <c r="W777" s="182"/>
      <c r="X777" s="182"/>
      <c r="Y777" s="182"/>
      <c r="Z777" s="182"/>
      <c r="AA777" s="182"/>
    </row>
    <row r="778" spans="1:27" ht="14.4">
      <c r="A778" s="182"/>
      <c r="B778" s="182"/>
      <c r="C778" s="182"/>
      <c r="D778" s="182"/>
      <c r="E778" s="182"/>
      <c r="F778" s="182"/>
      <c r="G778" s="182"/>
      <c r="H778" s="182"/>
      <c r="I778" s="182"/>
      <c r="J778" s="182"/>
      <c r="K778" s="182"/>
      <c r="L778" s="182"/>
      <c r="M778" s="179"/>
      <c r="N778" s="179"/>
      <c r="O778" s="179"/>
      <c r="P778" s="182"/>
      <c r="Q778" s="182"/>
      <c r="R778" s="182"/>
      <c r="S778" s="182"/>
      <c r="T778" s="182"/>
      <c r="U778" s="182"/>
      <c r="V778" s="182"/>
      <c r="W778" s="182"/>
      <c r="X778" s="182"/>
      <c r="Y778" s="182"/>
      <c r="Z778" s="182"/>
      <c r="AA778" s="182"/>
    </row>
    <row r="779" spans="1:27" ht="14.4">
      <c r="A779" s="182"/>
      <c r="B779" s="182"/>
      <c r="C779" s="182"/>
      <c r="D779" s="182"/>
      <c r="E779" s="182"/>
      <c r="F779" s="182"/>
      <c r="G779" s="182"/>
      <c r="H779" s="182"/>
      <c r="I779" s="182"/>
      <c r="J779" s="182"/>
      <c r="K779" s="182"/>
      <c r="L779" s="182"/>
      <c r="M779" s="179"/>
      <c r="N779" s="179"/>
      <c r="O779" s="179"/>
      <c r="P779" s="182"/>
      <c r="Q779" s="182"/>
      <c r="R779" s="182"/>
      <c r="S779" s="182"/>
      <c r="T779" s="182"/>
      <c r="U779" s="182"/>
      <c r="V779" s="182"/>
      <c r="W779" s="182"/>
      <c r="X779" s="182"/>
      <c r="Y779" s="182"/>
      <c r="Z779" s="182"/>
      <c r="AA779" s="182"/>
    </row>
    <row r="780" spans="1:27" ht="14.4">
      <c r="A780" s="182"/>
      <c r="B780" s="182"/>
      <c r="C780" s="182"/>
      <c r="D780" s="182"/>
      <c r="E780" s="182"/>
      <c r="F780" s="182"/>
      <c r="G780" s="182"/>
      <c r="H780" s="182"/>
      <c r="I780" s="182"/>
      <c r="J780" s="182"/>
      <c r="K780" s="182"/>
      <c r="L780" s="182"/>
      <c r="M780" s="179"/>
      <c r="N780" s="179"/>
      <c r="O780" s="179"/>
      <c r="P780" s="182"/>
      <c r="Q780" s="182"/>
      <c r="R780" s="182"/>
      <c r="S780" s="182"/>
      <c r="T780" s="182"/>
      <c r="U780" s="182"/>
      <c r="V780" s="182"/>
      <c r="W780" s="182"/>
      <c r="X780" s="182"/>
      <c r="Y780" s="182"/>
      <c r="Z780" s="182"/>
      <c r="AA780" s="182"/>
    </row>
    <row r="781" spans="1:27" ht="14.4">
      <c r="A781" s="182"/>
      <c r="B781" s="182"/>
      <c r="C781" s="182"/>
      <c r="D781" s="182"/>
      <c r="E781" s="182"/>
      <c r="F781" s="182"/>
      <c r="G781" s="182"/>
      <c r="H781" s="182"/>
      <c r="I781" s="182"/>
      <c r="J781" s="182"/>
      <c r="K781" s="182"/>
      <c r="L781" s="182"/>
      <c r="M781" s="179"/>
      <c r="N781" s="179"/>
      <c r="O781" s="179"/>
      <c r="P781" s="182"/>
      <c r="Q781" s="182"/>
      <c r="R781" s="182"/>
      <c r="S781" s="182"/>
      <c r="T781" s="182"/>
      <c r="U781" s="182"/>
      <c r="V781" s="182"/>
      <c r="W781" s="182"/>
      <c r="X781" s="182"/>
      <c r="Y781" s="182"/>
      <c r="Z781" s="182"/>
      <c r="AA781" s="182"/>
    </row>
    <row r="782" spans="1:27" ht="14.4">
      <c r="A782" s="182"/>
      <c r="B782" s="182"/>
      <c r="C782" s="182"/>
      <c r="D782" s="182"/>
      <c r="E782" s="182"/>
      <c r="F782" s="182"/>
      <c r="G782" s="182"/>
      <c r="H782" s="182"/>
      <c r="I782" s="182"/>
      <c r="J782" s="182"/>
      <c r="K782" s="182"/>
      <c r="L782" s="182"/>
      <c r="M782" s="179"/>
      <c r="N782" s="179"/>
      <c r="O782" s="179"/>
      <c r="P782" s="182"/>
      <c r="Q782" s="182"/>
      <c r="R782" s="182"/>
      <c r="S782" s="182"/>
      <c r="T782" s="182"/>
      <c r="U782" s="182"/>
      <c r="V782" s="182"/>
      <c r="W782" s="182"/>
      <c r="X782" s="182"/>
      <c r="Y782" s="182"/>
      <c r="Z782" s="182"/>
      <c r="AA782" s="182"/>
    </row>
    <row r="783" spans="1:27" ht="14.4">
      <c r="A783" s="182"/>
      <c r="B783" s="182"/>
      <c r="C783" s="182"/>
      <c r="D783" s="182"/>
      <c r="E783" s="182"/>
      <c r="F783" s="182"/>
      <c r="G783" s="182"/>
      <c r="H783" s="182"/>
      <c r="I783" s="182"/>
      <c r="J783" s="182"/>
      <c r="K783" s="182"/>
      <c r="L783" s="182"/>
      <c r="M783" s="179"/>
      <c r="N783" s="179"/>
      <c r="O783" s="179"/>
      <c r="P783" s="182"/>
      <c r="Q783" s="182"/>
      <c r="R783" s="182"/>
      <c r="S783" s="182"/>
      <c r="T783" s="182"/>
      <c r="U783" s="182"/>
      <c r="V783" s="182"/>
      <c r="W783" s="182"/>
      <c r="X783" s="182"/>
      <c r="Y783" s="182"/>
      <c r="Z783" s="182"/>
      <c r="AA783" s="182"/>
    </row>
    <row r="784" spans="1:27" ht="14.4">
      <c r="A784" s="182"/>
      <c r="B784" s="182"/>
      <c r="C784" s="182"/>
      <c r="D784" s="182"/>
      <c r="E784" s="182"/>
      <c r="F784" s="182"/>
      <c r="G784" s="182"/>
      <c r="H784" s="182"/>
      <c r="I784" s="182"/>
      <c r="J784" s="182"/>
      <c r="K784" s="182"/>
      <c r="L784" s="182"/>
      <c r="M784" s="179"/>
      <c r="N784" s="179"/>
      <c r="O784" s="179"/>
      <c r="P784" s="182"/>
      <c r="Q784" s="182"/>
      <c r="R784" s="182"/>
      <c r="S784" s="182"/>
      <c r="T784" s="182"/>
      <c r="U784" s="182"/>
      <c r="V784" s="182"/>
      <c r="W784" s="182"/>
      <c r="X784" s="182"/>
      <c r="Y784" s="182"/>
      <c r="Z784" s="182"/>
      <c r="AA784" s="182"/>
    </row>
    <row r="785" spans="1:27" ht="14.4">
      <c r="A785" s="182"/>
      <c r="B785" s="182"/>
      <c r="C785" s="182"/>
      <c r="D785" s="182"/>
      <c r="E785" s="182"/>
      <c r="F785" s="182"/>
      <c r="G785" s="182"/>
      <c r="H785" s="182"/>
      <c r="I785" s="182"/>
      <c r="J785" s="182"/>
      <c r="K785" s="182"/>
      <c r="L785" s="182"/>
      <c r="M785" s="179"/>
      <c r="N785" s="179"/>
      <c r="O785" s="179"/>
      <c r="P785" s="182"/>
      <c r="Q785" s="182"/>
      <c r="R785" s="182"/>
      <c r="S785" s="182"/>
      <c r="T785" s="182"/>
      <c r="U785" s="182"/>
      <c r="V785" s="182"/>
      <c r="W785" s="182"/>
      <c r="X785" s="182"/>
      <c r="Y785" s="182"/>
      <c r="Z785" s="182"/>
      <c r="AA785" s="182"/>
    </row>
    <row r="786" spans="1:27" ht="14.4">
      <c r="A786" s="182"/>
      <c r="B786" s="182"/>
      <c r="C786" s="182"/>
      <c r="D786" s="182"/>
      <c r="E786" s="182"/>
      <c r="F786" s="182"/>
      <c r="G786" s="182"/>
      <c r="H786" s="182"/>
      <c r="I786" s="182"/>
      <c r="J786" s="182"/>
      <c r="K786" s="182"/>
      <c r="L786" s="182"/>
      <c r="M786" s="179"/>
      <c r="N786" s="179"/>
      <c r="O786" s="179"/>
      <c r="P786" s="182"/>
      <c r="Q786" s="182"/>
      <c r="R786" s="182"/>
      <c r="S786" s="182"/>
      <c r="T786" s="182"/>
      <c r="U786" s="182"/>
      <c r="V786" s="182"/>
      <c r="W786" s="182"/>
      <c r="X786" s="182"/>
      <c r="Y786" s="182"/>
      <c r="Z786" s="182"/>
      <c r="AA786" s="182"/>
    </row>
    <row r="787" spans="1:27" ht="14.4">
      <c r="A787" s="182"/>
      <c r="B787" s="182"/>
      <c r="C787" s="182"/>
      <c r="D787" s="182"/>
      <c r="E787" s="182"/>
      <c r="F787" s="182"/>
      <c r="G787" s="182"/>
      <c r="H787" s="182"/>
      <c r="I787" s="182"/>
      <c r="J787" s="182"/>
      <c r="K787" s="182"/>
      <c r="L787" s="182"/>
      <c r="M787" s="179"/>
      <c r="N787" s="179"/>
      <c r="O787" s="179"/>
      <c r="P787" s="182"/>
      <c r="Q787" s="182"/>
      <c r="R787" s="182"/>
      <c r="S787" s="182"/>
      <c r="T787" s="182"/>
      <c r="U787" s="182"/>
      <c r="V787" s="182"/>
      <c r="W787" s="182"/>
      <c r="X787" s="182"/>
      <c r="Y787" s="182"/>
      <c r="Z787" s="182"/>
      <c r="AA787" s="182"/>
    </row>
    <row r="788" spans="1:27" ht="14.4">
      <c r="A788" s="182"/>
      <c r="B788" s="182"/>
      <c r="C788" s="182"/>
      <c r="D788" s="182"/>
      <c r="E788" s="182"/>
      <c r="F788" s="182"/>
      <c r="G788" s="182"/>
      <c r="H788" s="182"/>
      <c r="I788" s="182"/>
      <c r="J788" s="182"/>
      <c r="K788" s="182"/>
      <c r="L788" s="182"/>
      <c r="M788" s="179"/>
      <c r="N788" s="179"/>
      <c r="O788" s="179"/>
      <c r="P788" s="182"/>
      <c r="Q788" s="182"/>
      <c r="R788" s="182"/>
      <c r="S788" s="182"/>
      <c r="T788" s="182"/>
      <c r="U788" s="182"/>
      <c r="V788" s="182"/>
      <c r="W788" s="182"/>
      <c r="X788" s="182"/>
      <c r="Y788" s="182"/>
      <c r="Z788" s="182"/>
      <c r="AA788" s="182"/>
    </row>
    <row r="789" spans="1:27" ht="14.4">
      <c r="A789" s="182"/>
      <c r="B789" s="182"/>
      <c r="C789" s="182"/>
      <c r="D789" s="182"/>
      <c r="E789" s="182"/>
      <c r="F789" s="182"/>
      <c r="G789" s="182"/>
      <c r="H789" s="182"/>
      <c r="I789" s="182"/>
      <c r="J789" s="182"/>
      <c r="K789" s="182"/>
      <c r="L789" s="182"/>
      <c r="M789" s="179"/>
      <c r="N789" s="179"/>
      <c r="O789" s="179"/>
      <c r="P789" s="182"/>
      <c r="Q789" s="182"/>
      <c r="R789" s="182"/>
      <c r="S789" s="182"/>
      <c r="T789" s="182"/>
      <c r="U789" s="182"/>
      <c r="V789" s="182"/>
      <c r="W789" s="182"/>
      <c r="X789" s="182"/>
      <c r="Y789" s="182"/>
      <c r="Z789" s="182"/>
      <c r="AA789" s="182"/>
    </row>
    <row r="790" spans="1:27" ht="14.4">
      <c r="A790" s="182"/>
      <c r="B790" s="182"/>
      <c r="C790" s="182"/>
      <c r="D790" s="182"/>
      <c r="E790" s="182"/>
      <c r="F790" s="182"/>
      <c r="G790" s="182"/>
      <c r="H790" s="182"/>
      <c r="I790" s="182"/>
      <c r="J790" s="182"/>
      <c r="K790" s="182"/>
      <c r="L790" s="182"/>
      <c r="M790" s="179"/>
      <c r="N790" s="179"/>
      <c r="O790" s="179"/>
      <c r="P790" s="182"/>
      <c r="Q790" s="182"/>
      <c r="R790" s="182"/>
      <c r="S790" s="182"/>
      <c r="T790" s="182"/>
      <c r="U790" s="182"/>
      <c r="V790" s="182"/>
      <c r="W790" s="182"/>
      <c r="X790" s="182"/>
      <c r="Y790" s="182"/>
      <c r="Z790" s="182"/>
      <c r="AA790" s="182"/>
    </row>
    <row r="791" spans="1:27" ht="14.4">
      <c r="A791" s="182"/>
      <c r="B791" s="182"/>
      <c r="C791" s="182"/>
      <c r="D791" s="182"/>
      <c r="E791" s="182"/>
      <c r="F791" s="182"/>
      <c r="G791" s="182"/>
      <c r="H791" s="182"/>
      <c r="I791" s="182"/>
      <c r="J791" s="182"/>
      <c r="K791" s="182"/>
      <c r="L791" s="182"/>
      <c r="M791" s="179"/>
      <c r="N791" s="179"/>
      <c r="O791" s="179"/>
      <c r="P791" s="182"/>
      <c r="Q791" s="182"/>
      <c r="R791" s="182"/>
      <c r="S791" s="182"/>
      <c r="T791" s="182"/>
      <c r="U791" s="182"/>
      <c r="V791" s="182"/>
      <c r="W791" s="182"/>
      <c r="X791" s="182"/>
      <c r="Y791" s="182"/>
      <c r="Z791" s="182"/>
      <c r="AA791" s="182"/>
    </row>
    <row r="792" spans="1:27" ht="14.4">
      <c r="A792" s="182"/>
      <c r="B792" s="182"/>
      <c r="C792" s="182"/>
      <c r="D792" s="182"/>
      <c r="E792" s="182"/>
      <c r="F792" s="182"/>
      <c r="G792" s="182"/>
      <c r="H792" s="182"/>
      <c r="I792" s="182"/>
      <c r="J792" s="182"/>
      <c r="K792" s="182"/>
      <c r="L792" s="182"/>
      <c r="M792" s="179"/>
      <c r="N792" s="179"/>
      <c r="O792" s="179"/>
      <c r="P792" s="182"/>
      <c r="Q792" s="182"/>
      <c r="R792" s="182"/>
      <c r="S792" s="182"/>
      <c r="T792" s="182"/>
      <c r="U792" s="182"/>
      <c r="V792" s="182"/>
      <c r="W792" s="182"/>
      <c r="X792" s="182"/>
      <c r="Y792" s="182"/>
      <c r="Z792" s="182"/>
      <c r="AA792" s="182"/>
    </row>
    <row r="793" spans="1:27" ht="14.4">
      <c r="A793" s="182"/>
      <c r="B793" s="182"/>
      <c r="C793" s="182"/>
      <c r="D793" s="182"/>
      <c r="E793" s="182"/>
      <c r="F793" s="182"/>
      <c r="G793" s="182"/>
      <c r="H793" s="182"/>
      <c r="I793" s="182"/>
      <c r="J793" s="182"/>
      <c r="K793" s="182"/>
      <c r="L793" s="182"/>
      <c r="M793" s="179"/>
      <c r="N793" s="179"/>
      <c r="O793" s="179"/>
      <c r="P793" s="182"/>
      <c r="Q793" s="182"/>
      <c r="R793" s="182"/>
      <c r="S793" s="182"/>
      <c r="T793" s="182"/>
      <c r="U793" s="182"/>
      <c r="V793" s="182"/>
      <c r="W793" s="182"/>
      <c r="X793" s="182"/>
      <c r="Y793" s="182"/>
      <c r="Z793" s="182"/>
      <c r="AA793" s="182"/>
    </row>
    <row r="794" spans="1:27" ht="14.4">
      <c r="A794" s="182"/>
      <c r="B794" s="182"/>
      <c r="C794" s="182"/>
      <c r="D794" s="182"/>
      <c r="E794" s="182"/>
      <c r="F794" s="182"/>
      <c r="G794" s="182"/>
      <c r="H794" s="182"/>
      <c r="I794" s="182"/>
      <c r="J794" s="182"/>
      <c r="K794" s="182"/>
      <c r="L794" s="182"/>
      <c r="M794" s="179"/>
      <c r="N794" s="179"/>
      <c r="O794" s="179"/>
      <c r="P794" s="182"/>
      <c r="Q794" s="182"/>
      <c r="R794" s="182"/>
      <c r="S794" s="182"/>
      <c r="T794" s="182"/>
      <c r="U794" s="182"/>
      <c r="V794" s="182"/>
      <c r="W794" s="182"/>
      <c r="X794" s="182"/>
      <c r="Y794" s="182"/>
      <c r="Z794" s="182"/>
      <c r="AA794" s="182"/>
    </row>
    <row r="795" spans="1:27" ht="14.4">
      <c r="A795" s="182"/>
      <c r="B795" s="182"/>
      <c r="C795" s="182"/>
      <c r="D795" s="182"/>
      <c r="E795" s="182"/>
      <c r="F795" s="182"/>
      <c r="G795" s="182"/>
      <c r="H795" s="182"/>
      <c r="I795" s="182"/>
      <c r="J795" s="182"/>
      <c r="K795" s="182"/>
      <c r="L795" s="182"/>
      <c r="M795" s="179"/>
      <c r="N795" s="179"/>
      <c r="O795" s="179"/>
      <c r="P795" s="182"/>
      <c r="Q795" s="182"/>
      <c r="R795" s="182"/>
      <c r="S795" s="182"/>
      <c r="T795" s="182"/>
      <c r="U795" s="182"/>
      <c r="V795" s="182"/>
      <c r="W795" s="182"/>
      <c r="X795" s="182"/>
      <c r="Y795" s="182"/>
      <c r="Z795" s="182"/>
      <c r="AA795" s="182"/>
    </row>
    <row r="796" spans="1:27" ht="14.4">
      <c r="A796" s="182"/>
      <c r="B796" s="182"/>
      <c r="C796" s="182"/>
      <c r="D796" s="182"/>
      <c r="E796" s="182"/>
      <c r="F796" s="182"/>
      <c r="G796" s="182"/>
      <c r="H796" s="182"/>
      <c r="I796" s="182"/>
      <c r="J796" s="182"/>
      <c r="K796" s="182"/>
      <c r="L796" s="182"/>
      <c r="M796" s="179"/>
      <c r="N796" s="179"/>
      <c r="O796" s="179"/>
      <c r="P796" s="182"/>
      <c r="Q796" s="182"/>
      <c r="R796" s="182"/>
      <c r="S796" s="182"/>
      <c r="T796" s="182"/>
      <c r="U796" s="182"/>
      <c r="V796" s="182"/>
      <c r="W796" s="182"/>
      <c r="X796" s="182"/>
      <c r="Y796" s="182"/>
      <c r="Z796" s="182"/>
      <c r="AA796" s="182"/>
    </row>
    <row r="797" spans="1:27" ht="14.4">
      <c r="A797" s="182"/>
      <c r="B797" s="182"/>
      <c r="C797" s="182"/>
      <c r="D797" s="182"/>
      <c r="E797" s="182"/>
      <c r="F797" s="182"/>
      <c r="G797" s="182"/>
      <c r="H797" s="182"/>
      <c r="I797" s="182"/>
      <c r="J797" s="182"/>
      <c r="K797" s="182"/>
      <c r="L797" s="182"/>
      <c r="M797" s="179"/>
      <c r="N797" s="179"/>
      <c r="O797" s="179"/>
      <c r="P797" s="182"/>
      <c r="Q797" s="182"/>
      <c r="R797" s="182"/>
      <c r="S797" s="182"/>
      <c r="T797" s="182"/>
      <c r="U797" s="182"/>
      <c r="V797" s="182"/>
      <c r="W797" s="182"/>
      <c r="X797" s="182"/>
      <c r="Y797" s="182"/>
      <c r="Z797" s="182"/>
      <c r="AA797" s="182"/>
    </row>
    <row r="798" spans="1:27" ht="14.4">
      <c r="A798" s="182"/>
      <c r="B798" s="182"/>
      <c r="C798" s="182"/>
      <c r="D798" s="182"/>
      <c r="E798" s="182"/>
      <c r="F798" s="182"/>
      <c r="G798" s="182"/>
      <c r="H798" s="182"/>
      <c r="I798" s="182"/>
      <c r="J798" s="182"/>
      <c r="K798" s="182"/>
      <c r="L798" s="182"/>
      <c r="M798" s="179"/>
      <c r="N798" s="179"/>
      <c r="O798" s="179"/>
      <c r="P798" s="182"/>
      <c r="Q798" s="182"/>
      <c r="R798" s="182"/>
      <c r="S798" s="182"/>
      <c r="T798" s="182"/>
      <c r="U798" s="182"/>
      <c r="V798" s="182"/>
      <c r="W798" s="182"/>
      <c r="X798" s="182"/>
      <c r="Y798" s="182"/>
      <c r="Z798" s="182"/>
      <c r="AA798" s="182"/>
    </row>
    <row r="799" spans="1:27" ht="14.4">
      <c r="A799" s="182"/>
      <c r="B799" s="182"/>
      <c r="C799" s="182"/>
      <c r="D799" s="182"/>
      <c r="E799" s="182"/>
      <c r="F799" s="182"/>
      <c r="G799" s="182"/>
      <c r="H799" s="182"/>
      <c r="I799" s="182"/>
      <c r="J799" s="182"/>
      <c r="K799" s="182"/>
      <c r="L799" s="182"/>
      <c r="M799" s="179"/>
      <c r="N799" s="179"/>
      <c r="O799" s="179"/>
      <c r="P799" s="182"/>
      <c r="Q799" s="182"/>
      <c r="R799" s="182"/>
      <c r="S799" s="182"/>
      <c r="T799" s="182"/>
      <c r="U799" s="182"/>
      <c r="V799" s="182"/>
      <c r="W799" s="182"/>
      <c r="X799" s="182"/>
      <c r="Y799" s="182"/>
      <c r="Z799" s="182"/>
      <c r="AA799" s="182"/>
    </row>
    <row r="800" spans="1:27" ht="14.4">
      <c r="A800" s="182"/>
      <c r="B800" s="182"/>
      <c r="C800" s="182"/>
      <c r="D800" s="182"/>
      <c r="E800" s="182"/>
      <c r="F800" s="182"/>
      <c r="G800" s="182"/>
      <c r="H800" s="182"/>
      <c r="I800" s="182"/>
      <c r="J800" s="182"/>
      <c r="K800" s="182"/>
      <c r="L800" s="182"/>
      <c r="M800" s="179"/>
      <c r="N800" s="179"/>
      <c r="O800" s="179"/>
      <c r="P800" s="182"/>
      <c r="Q800" s="182"/>
      <c r="R800" s="182"/>
      <c r="S800" s="182"/>
      <c r="T800" s="182"/>
      <c r="U800" s="182"/>
      <c r="V800" s="182"/>
      <c r="W800" s="182"/>
      <c r="X800" s="182"/>
      <c r="Y800" s="182"/>
      <c r="Z800" s="182"/>
      <c r="AA800" s="182"/>
    </row>
    <row r="801" spans="1:27" ht="14.4">
      <c r="A801" s="182"/>
      <c r="B801" s="182"/>
      <c r="C801" s="182"/>
      <c r="D801" s="182"/>
      <c r="E801" s="182"/>
      <c r="F801" s="182"/>
      <c r="G801" s="182"/>
      <c r="H801" s="182"/>
      <c r="I801" s="182"/>
      <c r="J801" s="182"/>
      <c r="K801" s="182"/>
      <c r="L801" s="182"/>
      <c r="M801" s="179"/>
      <c r="N801" s="179"/>
      <c r="O801" s="179"/>
      <c r="P801" s="182"/>
      <c r="Q801" s="182"/>
      <c r="R801" s="182"/>
      <c r="S801" s="182"/>
      <c r="T801" s="182"/>
      <c r="U801" s="182"/>
      <c r="V801" s="182"/>
      <c r="W801" s="182"/>
      <c r="X801" s="182"/>
      <c r="Y801" s="182"/>
      <c r="Z801" s="182"/>
      <c r="AA801" s="182"/>
    </row>
    <row r="802" spans="1:27" ht="14.4">
      <c r="A802" s="182"/>
      <c r="B802" s="182"/>
      <c r="C802" s="182"/>
      <c r="D802" s="182"/>
      <c r="E802" s="182"/>
      <c r="F802" s="182"/>
      <c r="G802" s="182"/>
      <c r="H802" s="182"/>
      <c r="I802" s="182"/>
      <c r="J802" s="182"/>
      <c r="K802" s="182"/>
      <c r="L802" s="182"/>
      <c r="M802" s="179"/>
      <c r="N802" s="179"/>
      <c r="O802" s="179"/>
      <c r="P802" s="182"/>
      <c r="Q802" s="182"/>
      <c r="R802" s="182"/>
      <c r="S802" s="182"/>
      <c r="T802" s="182"/>
      <c r="U802" s="182"/>
      <c r="V802" s="182"/>
      <c r="W802" s="182"/>
      <c r="X802" s="182"/>
      <c r="Y802" s="182"/>
      <c r="Z802" s="182"/>
      <c r="AA802" s="182"/>
    </row>
    <row r="803" spans="1:27" ht="14.4">
      <c r="A803" s="182"/>
      <c r="B803" s="182"/>
      <c r="C803" s="182"/>
      <c r="D803" s="182"/>
      <c r="E803" s="182"/>
      <c r="F803" s="182"/>
      <c r="G803" s="182"/>
      <c r="H803" s="182"/>
      <c r="I803" s="182"/>
      <c r="J803" s="182"/>
      <c r="K803" s="182"/>
      <c r="L803" s="182"/>
      <c r="M803" s="179"/>
      <c r="N803" s="179"/>
      <c r="O803" s="179"/>
      <c r="P803" s="182"/>
      <c r="Q803" s="182"/>
      <c r="R803" s="182"/>
      <c r="S803" s="182"/>
      <c r="T803" s="182"/>
      <c r="U803" s="182"/>
      <c r="V803" s="182"/>
      <c r="W803" s="182"/>
      <c r="X803" s="182"/>
      <c r="Y803" s="182"/>
      <c r="Z803" s="182"/>
      <c r="AA803" s="182"/>
    </row>
    <row r="804" spans="1:27" ht="14.4">
      <c r="A804" s="182"/>
      <c r="B804" s="182"/>
      <c r="C804" s="182"/>
      <c r="D804" s="182"/>
      <c r="E804" s="182"/>
      <c r="F804" s="182"/>
      <c r="G804" s="182"/>
      <c r="H804" s="182"/>
      <c r="I804" s="182"/>
      <c r="J804" s="182"/>
      <c r="K804" s="182"/>
      <c r="L804" s="182"/>
      <c r="M804" s="179"/>
      <c r="N804" s="179"/>
      <c r="O804" s="179"/>
      <c r="P804" s="182"/>
      <c r="Q804" s="182"/>
      <c r="R804" s="182"/>
      <c r="S804" s="182"/>
      <c r="T804" s="182"/>
      <c r="U804" s="182"/>
      <c r="V804" s="182"/>
      <c r="W804" s="182"/>
      <c r="X804" s="182"/>
      <c r="Y804" s="182"/>
      <c r="Z804" s="182"/>
      <c r="AA804" s="182"/>
    </row>
    <row r="805" spans="1:27" ht="14.4">
      <c r="A805" s="182"/>
      <c r="B805" s="182"/>
      <c r="C805" s="182"/>
      <c r="D805" s="182"/>
      <c r="E805" s="182"/>
      <c r="F805" s="182"/>
      <c r="G805" s="182"/>
      <c r="H805" s="182"/>
      <c r="I805" s="182"/>
      <c r="J805" s="182"/>
      <c r="K805" s="182"/>
      <c r="L805" s="182"/>
      <c r="M805" s="179"/>
      <c r="N805" s="179"/>
      <c r="O805" s="179"/>
      <c r="P805" s="182"/>
      <c r="Q805" s="182"/>
      <c r="R805" s="182"/>
      <c r="S805" s="182"/>
      <c r="T805" s="182"/>
      <c r="U805" s="182"/>
      <c r="V805" s="182"/>
      <c r="W805" s="182"/>
      <c r="X805" s="182"/>
      <c r="Y805" s="182"/>
      <c r="Z805" s="182"/>
      <c r="AA805" s="182"/>
    </row>
    <row r="806" spans="1:27" ht="14.4">
      <c r="A806" s="182"/>
      <c r="B806" s="182"/>
      <c r="C806" s="182"/>
      <c r="D806" s="182"/>
      <c r="E806" s="182"/>
      <c r="F806" s="182"/>
      <c r="G806" s="182"/>
      <c r="H806" s="182"/>
      <c r="I806" s="182"/>
      <c r="J806" s="182"/>
      <c r="K806" s="182"/>
      <c r="L806" s="182"/>
      <c r="M806" s="179"/>
      <c r="N806" s="179"/>
      <c r="O806" s="179"/>
      <c r="P806" s="182"/>
      <c r="Q806" s="182"/>
      <c r="R806" s="182"/>
      <c r="S806" s="182"/>
      <c r="T806" s="182"/>
      <c r="U806" s="182"/>
      <c r="V806" s="182"/>
      <c r="W806" s="182"/>
      <c r="X806" s="182"/>
      <c r="Y806" s="182"/>
      <c r="Z806" s="182"/>
      <c r="AA806" s="182"/>
    </row>
    <row r="807" spans="1:27" ht="14.4">
      <c r="A807" s="182"/>
      <c r="B807" s="182"/>
      <c r="C807" s="182"/>
      <c r="D807" s="182"/>
      <c r="E807" s="182"/>
      <c r="F807" s="182"/>
      <c r="G807" s="182"/>
      <c r="H807" s="182"/>
      <c r="I807" s="182"/>
      <c r="J807" s="182"/>
      <c r="K807" s="182"/>
      <c r="L807" s="182"/>
      <c r="M807" s="179"/>
      <c r="N807" s="179"/>
      <c r="O807" s="179"/>
      <c r="P807" s="182"/>
      <c r="Q807" s="182"/>
      <c r="R807" s="182"/>
      <c r="S807" s="182"/>
      <c r="T807" s="182"/>
      <c r="U807" s="182"/>
      <c r="V807" s="182"/>
      <c r="W807" s="182"/>
      <c r="X807" s="182"/>
      <c r="Y807" s="182"/>
      <c r="Z807" s="182"/>
      <c r="AA807" s="182"/>
    </row>
    <row r="808" spans="1:27" ht="14.4">
      <c r="A808" s="182"/>
      <c r="B808" s="182"/>
      <c r="C808" s="182"/>
      <c r="D808" s="182"/>
      <c r="E808" s="182"/>
      <c r="F808" s="182"/>
      <c r="G808" s="182"/>
      <c r="H808" s="182"/>
      <c r="I808" s="182"/>
      <c r="J808" s="182"/>
      <c r="K808" s="182"/>
      <c r="L808" s="182"/>
      <c r="M808" s="179"/>
      <c r="N808" s="179"/>
      <c r="O808" s="179"/>
      <c r="P808" s="182"/>
      <c r="Q808" s="182"/>
      <c r="R808" s="182"/>
      <c r="S808" s="182"/>
      <c r="T808" s="182"/>
      <c r="U808" s="182"/>
      <c r="V808" s="182"/>
      <c r="W808" s="182"/>
      <c r="X808" s="182"/>
      <c r="Y808" s="182"/>
      <c r="Z808" s="182"/>
      <c r="AA808" s="182"/>
    </row>
    <row r="809" spans="1:27" ht="14.4">
      <c r="A809" s="182"/>
      <c r="B809" s="182"/>
      <c r="C809" s="182"/>
      <c r="D809" s="182"/>
      <c r="E809" s="182"/>
      <c r="F809" s="182"/>
      <c r="G809" s="182"/>
      <c r="H809" s="182"/>
      <c r="I809" s="182"/>
      <c r="J809" s="182"/>
      <c r="K809" s="182"/>
      <c r="L809" s="182"/>
      <c r="M809" s="179"/>
      <c r="N809" s="179"/>
      <c r="O809" s="179"/>
      <c r="P809" s="182"/>
      <c r="Q809" s="182"/>
      <c r="R809" s="182"/>
      <c r="S809" s="182"/>
      <c r="T809" s="182"/>
      <c r="U809" s="182"/>
      <c r="V809" s="182"/>
      <c r="W809" s="182"/>
      <c r="X809" s="182"/>
      <c r="Y809" s="182"/>
      <c r="Z809" s="182"/>
      <c r="AA809" s="182"/>
    </row>
    <row r="810" spans="1:27" ht="14.4">
      <c r="A810" s="182"/>
      <c r="B810" s="182"/>
      <c r="C810" s="182"/>
      <c r="D810" s="182"/>
      <c r="E810" s="182"/>
      <c r="F810" s="182"/>
      <c r="G810" s="182"/>
      <c r="H810" s="182"/>
      <c r="I810" s="182"/>
      <c r="J810" s="182"/>
      <c r="K810" s="182"/>
      <c r="L810" s="182"/>
      <c r="M810" s="179"/>
      <c r="N810" s="179"/>
      <c r="O810" s="179"/>
      <c r="P810" s="182"/>
      <c r="Q810" s="182"/>
      <c r="R810" s="182"/>
      <c r="S810" s="182"/>
      <c r="T810" s="182"/>
      <c r="U810" s="182"/>
      <c r="V810" s="182"/>
      <c r="W810" s="182"/>
      <c r="X810" s="182"/>
      <c r="Y810" s="182"/>
      <c r="Z810" s="182"/>
      <c r="AA810" s="182"/>
    </row>
    <row r="811" spans="1:27" ht="14.4">
      <c r="A811" s="182"/>
      <c r="B811" s="182"/>
      <c r="C811" s="182"/>
      <c r="D811" s="182"/>
      <c r="E811" s="182"/>
      <c r="F811" s="182"/>
      <c r="G811" s="182"/>
      <c r="H811" s="182"/>
      <c r="I811" s="182"/>
      <c r="J811" s="182"/>
      <c r="K811" s="182"/>
      <c r="L811" s="182"/>
      <c r="M811" s="179"/>
      <c r="N811" s="179"/>
      <c r="O811" s="179"/>
      <c r="P811" s="182"/>
      <c r="Q811" s="182"/>
      <c r="R811" s="182"/>
      <c r="S811" s="182"/>
      <c r="T811" s="182"/>
      <c r="U811" s="182"/>
      <c r="V811" s="182"/>
      <c r="W811" s="182"/>
      <c r="X811" s="182"/>
      <c r="Y811" s="182"/>
      <c r="Z811" s="182"/>
      <c r="AA811" s="182"/>
    </row>
    <row r="812" spans="1:27" ht="14.4">
      <c r="A812" s="182"/>
      <c r="B812" s="182"/>
      <c r="C812" s="182"/>
      <c r="D812" s="182"/>
      <c r="E812" s="182"/>
      <c r="F812" s="182"/>
      <c r="G812" s="182"/>
      <c r="H812" s="182"/>
      <c r="I812" s="182"/>
      <c r="J812" s="182"/>
      <c r="K812" s="182"/>
      <c r="L812" s="182"/>
      <c r="M812" s="179"/>
      <c r="N812" s="179"/>
      <c r="O812" s="179"/>
      <c r="P812" s="182"/>
      <c r="Q812" s="182"/>
      <c r="R812" s="182"/>
      <c r="S812" s="182"/>
      <c r="T812" s="182"/>
      <c r="U812" s="182"/>
      <c r="V812" s="182"/>
      <c r="W812" s="182"/>
      <c r="X812" s="182"/>
      <c r="Y812" s="182"/>
      <c r="Z812" s="182"/>
      <c r="AA812" s="182"/>
    </row>
    <row r="813" spans="1:27" ht="14.4">
      <c r="A813" s="182"/>
      <c r="B813" s="182"/>
      <c r="C813" s="182"/>
      <c r="D813" s="182"/>
      <c r="E813" s="182"/>
      <c r="F813" s="182"/>
      <c r="G813" s="182"/>
      <c r="H813" s="182"/>
      <c r="I813" s="182"/>
      <c r="J813" s="182"/>
      <c r="K813" s="182"/>
      <c r="L813" s="182"/>
      <c r="M813" s="179"/>
      <c r="N813" s="179"/>
      <c r="O813" s="179"/>
      <c r="P813" s="182"/>
      <c r="Q813" s="182"/>
      <c r="R813" s="182"/>
      <c r="S813" s="182"/>
      <c r="T813" s="182"/>
      <c r="U813" s="182"/>
      <c r="V813" s="182"/>
      <c r="W813" s="182"/>
      <c r="X813" s="182"/>
      <c r="Y813" s="182"/>
      <c r="Z813" s="182"/>
      <c r="AA813" s="182"/>
    </row>
    <row r="814" spans="1:27" ht="14.4">
      <c r="A814" s="182"/>
      <c r="B814" s="182"/>
      <c r="C814" s="182"/>
      <c r="D814" s="182"/>
      <c r="E814" s="182"/>
      <c r="F814" s="182"/>
      <c r="G814" s="182"/>
      <c r="H814" s="182"/>
      <c r="I814" s="182"/>
      <c r="J814" s="182"/>
      <c r="K814" s="182"/>
      <c r="L814" s="182"/>
      <c r="M814" s="179"/>
      <c r="N814" s="179"/>
      <c r="O814" s="179"/>
      <c r="P814" s="182"/>
      <c r="Q814" s="182"/>
      <c r="R814" s="182"/>
      <c r="S814" s="182"/>
      <c r="T814" s="182"/>
      <c r="U814" s="182"/>
      <c r="V814" s="182"/>
      <c r="W814" s="182"/>
      <c r="X814" s="182"/>
      <c r="Y814" s="182"/>
      <c r="Z814" s="182"/>
      <c r="AA814" s="182"/>
    </row>
    <row r="815" spans="1:27" ht="14.4">
      <c r="A815" s="182"/>
      <c r="B815" s="182"/>
      <c r="C815" s="182"/>
      <c r="D815" s="182"/>
      <c r="E815" s="182"/>
      <c r="F815" s="182"/>
      <c r="G815" s="182"/>
      <c r="H815" s="182"/>
      <c r="I815" s="182"/>
      <c r="J815" s="182"/>
      <c r="K815" s="182"/>
      <c r="L815" s="182"/>
      <c r="M815" s="179"/>
      <c r="N815" s="179"/>
      <c r="O815" s="179"/>
      <c r="P815" s="182"/>
      <c r="Q815" s="182"/>
      <c r="R815" s="182"/>
      <c r="S815" s="182"/>
      <c r="T815" s="182"/>
      <c r="U815" s="182"/>
      <c r="V815" s="182"/>
      <c r="W815" s="182"/>
      <c r="X815" s="182"/>
      <c r="Y815" s="182"/>
      <c r="Z815" s="182"/>
      <c r="AA815" s="182"/>
    </row>
    <row r="816" spans="1:27" ht="14.4">
      <c r="A816" s="182"/>
      <c r="B816" s="182"/>
      <c r="C816" s="182"/>
      <c r="D816" s="182"/>
      <c r="E816" s="182"/>
      <c r="F816" s="182"/>
      <c r="G816" s="182"/>
      <c r="H816" s="182"/>
      <c r="I816" s="182"/>
      <c r="J816" s="182"/>
      <c r="K816" s="182"/>
      <c r="L816" s="182"/>
      <c r="M816" s="179"/>
      <c r="N816" s="179"/>
      <c r="O816" s="179"/>
      <c r="P816" s="182"/>
      <c r="Q816" s="182"/>
      <c r="R816" s="182"/>
      <c r="S816" s="182"/>
      <c r="T816" s="182"/>
      <c r="U816" s="182"/>
      <c r="V816" s="182"/>
      <c r="W816" s="182"/>
      <c r="X816" s="182"/>
      <c r="Y816" s="182"/>
      <c r="Z816" s="182"/>
      <c r="AA816" s="182"/>
    </row>
    <row r="817" spans="1:27" ht="14.4">
      <c r="A817" s="182"/>
      <c r="B817" s="182"/>
      <c r="C817" s="182"/>
      <c r="D817" s="182"/>
      <c r="E817" s="182"/>
      <c r="F817" s="182"/>
      <c r="G817" s="182"/>
      <c r="H817" s="182"/>
      <c r="I817" s="182"/>
      <c r="J817" s="182"/>
      <c r="K817" s="182"/>
      <c r="L817" s="182"/>
      <c r="M817" s="179"/>
      <c r="N817" s="179"/>
      <c r="O817" s="179"/>
      <c r="P817" s="182"/>
      <c r="Q817" s="182"/>
      <c r="R817" s="182"/>
      <c r="S817" s="182"/>
      <c r="T817" s="182"/>
      <c r="U817" s="182"/>
      <c r="V817" s="182"/>
      <c r="W817" s="182"/>
      <c r="X817" s="182"/>
      <c r="Y817" s="182"/>
      <c r="Z817" s="182"/>
      <c r="AA817" s="182"/>
    </row>
    <row r="818" spans="1:27" ht="14.4">
      <c r="A818" s="182"/>
      <c r="B818" s="182"/>
      <c r="C818" s="182"/>
      <c r="D818" s="182"/>
      <c r="E818" s="182"/>
      <c r="F818" s="182"/>
      <c r="G818" s="182"/>
      <c r="H818" s="182"/>
      <c r="I818" s="182"/>
      <c r="J818" s="182"/>
      <c r="K818" s="182"/>
      <c r="L818" s="182"/>
      <c r="M818" s="179"/>
      <c r="N818" s="179"/>
      <c r="O818" s="179"/>
      <c r="P818" s="182"/>
      <c r="Q818" s="182"/>
      <c r="R818" s="182"/>
      <c r="S818" s="182"/>
      <c r="T818" s="182"/>
      <c r="U818" s="182"/>
      <c r="V818" s="182"/>
      <c r="W818" s="182"/>
      <c r="X818" s="182"/>
      <c r="Y818" s="182"/>
      <c r="Z818" s="182"/>
      <c r="AA818" s="182"/>
    </row>
    <row r="819" spans="1:27" ht="14.4">
      <c r="A819" s="182"/>
      <c r="B819" s="182"/>
      <c r="C819" s="182"/>
      <c r="D819" s="182"/>
      <c r="E819" s="182"/>
      <c r="F819" s="182"/>
      <c r="G819" s="182"/>
      <c r="H819" s="182"/>
      <c r="I819" s="182"/>
      <c r="J819" s="182"/>
      <c r="K819" s="182"/>
      <c r="L819" s="182"/>
      <c r="M819" s="179"/>
      <c r="N819" s="179"/>
      <c r="O819" s="179"/>
      <c r="P819" s="182"/>
      <c r="Q819" s="182"/>
      <c r="R819" s="182"/>
      <c r="S819" s="182"/>
      <c r="T819" s="182"/>
      <c r="U819" s="182"/>
      <c r="V819" s="182"/>
      <c r="W819" s="182"/>
      <c r="X819" s="182"/>
      <c r="Y819" s="182"/>
      <c r="Z819" s="182"/>
      <c r="AA819" s="182"/>
    </row>
    <row r="820" spans="1:27" ht="14.4">
      <c r="A820" s="182"/>
      <c r="B820" s="182"/>
      <c r="C820" s="182"/>
      <c r="D820" s="182"/>
      <c r="E820" s="182"/>
      <c r="F820" s="182"/>
      <c r="G820" s="182"/>
      <c r="H820" s="182"/>
      <c r="I820" s="182"/>
      <c r="J820" s="182"/>
      <c r="K820" s="182"/>
      <c r="L820" s="182"/>
      <c r="M820" s="179"/>
      <c r="N820" s="179"/>
      <c r="O820" s="179"/>
      <c r="P820" s="182"/>
      <c r="Q820" s="182"/>
      <c r="R820" s="182"/>
      <c r="S820" s="182"/>
      <c r="T820" s="182"/>
      <c r="U820" s="182"/>
      <c r="V820" s="182"/>
      <c r="W820" s="182"/>
      <c r="X820" s="182"/>
      <c r="Y820" s="182"/>
      <c r="Z820" s="182"/>
      <c r="AA820" s="182"/>
    </row>
    <row r="821" spans="1:27" ht="14.4">
      <c r="A821" s="182"/>
      <c r="B821" s="182"/>
      <c r="C821" s="182"/>
      <c r="D821" s="182"/>
      <c r="E821" s="182"/>
      <c r="F821" s="182"/>
      <c r="G821" s="182"/>
      <c r="H821" s="182"/>
      <c r="I821" s="182"/>
      <c r="J821" s="182"/>
      <c r="K821" s="182"/>
      <c r="L821" s="182"/>
      <c r="M821" s="179"/>
      <c r="N821" s="179"/>
      <c r="O821" s="179"/>
      <c r="P821" s="182"/>
      <c r="Q821" s="182"/>
      <c r="R821" s="182"/>
      <c r="S821" s="182"/>
      <c r="T821" s="182"/>
      <c r="U821" s="182"/>
      <c r="V821" s="182"/>
      <c r="W821" s="182"/>
      <c r="X821" s="182"/>
      <c r="Y821" s="182"/>
      <c r="Z821" s="182"/>
      <c r="AA821" s="182"/>
    </row>
    <row r="822" spans="1:27" ht="14.4">
      <c r="A822" s="182"/>
      <c r="B822" s="182"/>
      <c r="C822" s="182"/>
      <c r="D822" s="182"/>
      <c r="E822" s="182"/>
      <c r="F822" s="182"/>
      <c r="G822" s="182"/>
      <c r="H822" s="182"/>
      <c r="I822" s="182"/>
      <c r="J822" s="182"/>
      <c r="K822" s="182"/>
      <c r="L822" s="182"/>
      <c r="M822" s="179"/>
      <c r="N822" s="179"/>
      <c r="O822" s="179"/>
      <c r="P822" s="182"/>
      <c r="Q822" s="182"/>
      <c r="R822" s="182"/>
      <c r="S822" s="182"/>
      <c r="T822" s="182"/>
      <c r="U822" s="182"/>
      <c r="V822" s="182"/>
      <c r="W822" s="182"/>
      <c r="X822" s="182"/>
      <c r="Y822" s="182"/>
      <c r="Z822" s="182"/>
      <c r="AA822" s="182"/>
    </row>
    <row r="823" spans="1:27" ht="14.4">
      <c r="A823" s="182"/>
      <c r="B823" s="182"/>
      <c r="C823" s="182"/>
      <c r="D823" s="182"/>
      <c r="E823" s="182"/>
      <c r="F823" s="182"/>
      <c r="G823" s="182"/>
      <c r="H823" s="182"/>
      <c r="I823" s="182"/>
      <c r="J823" s="182"/>
      <c r="K823" s="182"/>
      <c r="L823" s="182"/>
      <c r="M823" s="179"/>
      <c r="N823" s="179"/>
      <c r="O823" s="179"/>
      <c r="P823" s="182"/>
      <c r="Q823" s="182"/>
      <c r="R823" s="182"/>
      <c r="S823" s="182"/>
      <c r="T823" s="182"/>
      <c r="U823" s="182"/>
      <c r="V823" s="182"/>
      <c r="W823" s="182"/>
      <c r="X823" s="182"/>
      <c r="Y823" s="182"/>
      <c r="Z823" s="182"/>
      <c r="AA823" s="182"/>
    </row>
    <row r="824" spans="1:27" ht="14.4">
      <c r="A824" s="182"/>
      <c r="B824" s="182"/>
      <c r="C824" s="182"/>
      <c r="D824" s="182"/>
      <c r="E824" s="182"/>
      <c r="F824" s="182"/>
      <c r="G824" s="182"/>
      <c r="H824" s="182"/>
      <c r="I824" s="182"/>
      <c r="J824" s="182"/>
      <c r="K824" s="182"/>
      <c r="L824" s="182"/>
      <c r="M824" s="179"/>
      <c r="N824" s="179"/>
      <c r="O824" s="179"/>
      <c r="P824" s="182"/>
      <c r="Q824" s="182"/>
      <c r="R824" s="182"/>
      <c r="S824" s="182"/>
      <c r="T824" s="182"/>
      <c r="U824" s="182"/>
      <c r="V824" s="182"/>
      <c r="W824" s="182"/>
      <c r="X824" s="182"/>
      <c r="Y824" s="182"/>
      <c r="Z824" s="182"/>
      <c r="AA824" s="182"/>
    </row>
    <row r="825" spans="1:27" ht="14.4">
      <c r="A825" s="182"/>
      <c r="B825" s="182"/>
      <c r="C825" s="182"/>
      <c r="D825" s="182"/>
      <c r="E825" s="182"/>
      <c r="F825" s="182"/>
      <c r="G825" s="182"/>
      <c r="H825" s="182"/>
      <c r="I825" s="182"/>
      <c r="J825" s="182"/>
      <c r="K825" s="182"/>
      <c r="L825" s="182"/>
      <c r="M825" s="179"/>
      <c r="N825" s="179"/>
      <c r="O825" s="179"/>
      <c r="P825" s="182"/>
      <c r="Q825" s="182"/>
      <c r="R825" s="182"/>
      <c r="S825" s="182"/>
      <c r="T825" s="182"/>
      <c r="U825" s="182"/>
      <c r="V825" s="182"/>
      <c r="W825" s="182"/>
      <c r="X825" s="182"/>
      <c r="Y825" s="182"/>
      <c r="Z825" s="182"/>
      <c r="AA825" s="182"/>
    </row>
    <row r="826" spans="1:27" ht="14.4">
      <c r="A826" s="182"/>
      <c r="B826" s="182"/>
      <c r="C826" s="182"/>
      <c r="D826" s="182"/>
      <c r="E826" s="182"/>
      <c r="F826" s="182"/>
      <c r="G826" s="182"/>
      <c r="H826" s="182"/>
      <c r="I826" s="182"/>
      <c r="J826" s="182"/>
      <c r="K826" s="182"/>
      <c r="L826" s="182"/>
      <c r="M826" s="179"/>
      <c r="N826" s="179"/>
      <c r="O826" s="179"/>
      <c r="P826" s="182"/>
      <c r="Q826" s="182"/>
      <c r="R826" s="182"/>
      <c r="S826" s="182"/>
      <c r="T826" s="182"/>
      <c r="U826" s="182"/>
      <c r="V826" s="182"/>
      <c r="W826" s="182"/>
      <c r="X826" s="182"/>
      <c r="Y826" s="182"/>
      <c r="Z826" s="182"/>
      <c r="AA826" s="182"/>
    </row>
    <row r="827" spans="1:27" ht="14.4">
      <c r="A827" s="182"/>
      <c r="B827" s="182"/>
      <c r="C827" s="182"/>
      <c r="D827" s="182"/>
      <c r="E827" s="182"/>
      <c r="F827" s="182"/>
      <c r="G827" s="182"/>
      <c r="H827" s="182"/>
      <c r="I827" s="182"/>
      <c r="J827" s="182"/>
      <c r="K827" s="182"/>
      <c r="L827" s="182"/>
      <c r="M827" s="179"/>
      <c r="N827" s="179"/>
      <c r="O827" s="179"/>
      <c r="P827" s="182"/>
      <c r="Q827" s="182"/>
      <c r="R827" s="182"/>
      <c r="S827" s="182"/>
      <c r="T827" s="182"/>
      <c r="U827" s="182"/>
      <c r="V827" s="182"/>
      <c r="W827" s="182"/>
      <c r="X827" s="182"/>
      <c r="Y827" s="182"/>
      <c r="Z827" s="182"/>
      <c r="AA827" s="182"/>
    </row>
    <row r="828" spans="1:27" ht="14.4">
      <c r="A828" s="182"/>
      <c r="B828" s="182"/>
      <c r="C828" s="182"/>
      <c r="D828" s="182"/>
      <c r="E828" s="182"/>
      <c r="F828" s="182"/>
      <c r="G828" s="182"/>
      <c r="H828" s="182"/>
      <c r="I828" s="182"/>
      <c r="J828" s="182"/>
      <c r="K828" s="182"/>
      <c r="L828" s="182"/>
      <c r="M828" s="179"/>
      <c r="N828" s="179"/>
      <c r="O828" s="179"/>
      <c r="P828" s="182"/>
      <c r="Q828" s="182"/>
      <c r="R828" s="182"/>
      <c r="S828" s="182"/>
      <c r="T828" s="182"/>
      <c r="U828" s="182"/>
      <c r="V828" s="182"/>
      <c r="W828" s="182"/>
      <c r="X828" s="182"/>
      <c r="Y828" s="182"/>
      <c r="Z828" s="182"/>
      <c r="AA828" s="182"/>
    </row>
    <row r="829" spans="1:27" ht="14.4">
      <c r="A829" s="182"/>
      <c r="B829" s="182"/>
      <c r="C829" s="182"/>
      <c r="D829" s="182"/>
      <c r="E829" s="182"/>
      <c r="F829" s="182"/>
      <c r="G829" s="182"/>
      <c r="H829" s="182"/>
      <c r="I829" s="182"/>
      <c r="J829" s="182"/>
      <c r="K829" s="182"/>
      <c r="L829" s="182"/>
      <c r="M829" s="179"/>
      <c r="N829" s="179"/>
      <c r="O829" s="179"/>
      <c r="P829" s="182"/>
      <c r="Q829" s="182"/>
      <c r="R829" s="182"/>
      <c r="S829" s="182"/>
      <c r="T829" s="182"/>
      <c r="U829" s="182"/>
      <c r="V829" s="182"/>
      <c r="W829" s="182"/>
      <c r="X829" s="182"/>
      <c r="Y829" s="182"/>
      <c r="Z829" s="182"/>
      <c r="AA829" s="182"/>
    </row>
    <row r="830" spans="1:27" ht="14.4">
      <c r="A830" s="182"/>
      <c r="B830" s="182"/>
      <c r="C830" s="182"/>
      <c r="D830" s="182"/>
      <c r="E830" s="182"/>
      <c r="F830" s="182"/>
      <c r="G830" s="182"/>
      <c r="H830" s="182"/>
      <c r="I830" s="182"/>
      <c r="J830" s="182"/>
      <c r="K830" s="182"/>
      <c r="L830" s="182"/>
      <c r="M830" s="179"/>
      <c r="N830" s="179"/>
      <c r="O830" s="179"/>
      <c r="P830" s="182"/>
      <c r="Q830" s="182"/>
      <c r="R830" s="182"/>
      <c r="S830" s="182"/>
      <c r="T830" s="182"/>
      <c r="U830" s="182"/>
      <c r="V830" s="182"/>
      <c r="W830" s="182"/>
      <c r="X830" s="182"/>
      <c r="Y830" s="182"/>
      <c r="Z830" s="182"/>
      <c r="AA830" s="182"/>
    </row>
    <row r="831" spans="1:27" ht="14.4">
      <c r="A831" s="182"/>
      <c r="B831" s="182"/>
      <c r="C831" s="182"/>
      <c r="D831" s="182"/>
      <c r="E831" s="182"/>
      <c r="F831" s="182"/>
      <c r="G831" s="182"/>
      <c r="H831" s="182"/>
      <c r="I831" s="182"/>
      <c r="J831" s="182"/>
      <c r="K831" s="182"/>
      <c r="L831" s="182"/>
      <c r="M831" s="179"/>
      <c r="N831" s="179"/>
      <c r="O831" s="179"/>
      <c r="P831" s="182"/>
      <c r="Q831" s="182"/>
      <c r="R831" s="182"/>
      <c r="S831" s="182"/>
      <c r="T831" s="182"/>
      <c r="U831" s="182"/>
      <c r="V831" s="182"/>
      <c r="W831" s="182"/>
      <c r="X831" s="182"/>
      <c r="Y831" s="182"/>
      <c r="Z831" s="182"/>
      <c r="AA831" s="182"/>
    </row>
    <row r="832" spans="1:27" ht="14.4">
      <c r="A832" s="182"/>
      <c r="B832" s="182"/>
      <c r="C832" s="182"/>
      <c r="D832" s="182"/>
      <c r="E832" s="182"/>
      <c r="F832" s="182"/>
      <c r="G832" s="182"/>
      <c r="H832" s="182"/>
      <c r="I832" s="182"/>
      <c r="J832" s="182"/>
      <c r="K832" s="182"/>
      <c r="L832" s="182"/>
      <c r="M832" s="179"/>
      <c r="N832" s="179"/>
      <c r="O832" s="179"/>
      <c r="P832" s="182"/>
      <c r="Q832" s="182"/>
      <c r="R832" s="182"/>
      <c r="S832" s="182"/>
      <c r="T832" s="182"/>
      <c r="U832" s="182"/>
      <c r="V832" s="182"/>
      <c r="W832" s="182"/>
      <c r="X832" s="182"/>
      <c r="Y832" s="182"/>
      <c r="Z832" s="182"/>
      <c r="AA832" s="182"/>
    </row>
    <row r="833" spans="1:27" ht="14.4">
      <c r="A833" s="182"/>
      <c r="B833" s="182"/>
      <c r="C833" s="182"/>
      <c r="D833" s="182"/>
      <c r="E833" s="182"/>
      <c r="F833" s="182"/>
      <c r="G833" s="182"/>
      <c r="H833" s="182"/>
      <c r="I833" s="182"/>
      <c r="J833" s="182"/>
      <c r="K833" s="182"/>
      <c r="L833" s="182"/>
      <c r="M833" s="179"/>
      <c r="N833" s="179"/>
      <c r="O833" s="179"/>
      <c r="P833" s="182"/>
      <c r="Q833" s="182"/>
      <c r="R833" s="182"/>
      <c r="S833" s="182"/>
      <c r="T833" s="182"/>
      <c r="U833" s="182"/>
      <c r="V833" s="182"/>
      <c r="W833" s="182"/>
      <c r="X833" s="182"/>
      <c r="Y833" s="182"/>
      <c r="Z833" s="182"/>
      <c r="AA833" s="182"/>
    </row>
    <row r="834" spans="1:27" ht="14.4">
      <c r="A834" s="182"/>
      <c r="B834" s="182"/>
      <c r="C834" s="182"/>
      <c r="D834" s="182"/>
      <c r="E834" s="182"/>
      <c r="F834" s="182"/>
      <c r="G834" s="182"/>
      <c r="H834" s="182"/>
      <c r="I834" s="182"/>
      <c r="J834" s="182"/>
      <c r="K834" s="182"/>
      <c r="L834" s="182"/>
      <c r="M834" s="179"/>
      <c r="N834" s="179"/>
      <c r="O834" s="179"/>
      <c r="P834" s="182"/>
      <c r="Q834" s="182"/>
      <c r="R834" s="182"/>
      <c r="S834" s="182"/>
      <c r="T834" s="182"/>
      <c r="U834" s="182"/>
      <c r="V834" s="182"/>
      <c r="W834" s="182"/>
      <c r="X834" s="182"/>
      <c r="Y834" s="182"/>
      <c r="Z834" s="182"/>
      <c r="AA834" s="182"/>
    </row>
    <row r="835" spans="1:27" ht="14.4">
      <c r="A835" s="182"/>
      <c r="B835" s="182"/>
      <c r="C835" s="182"/>
      <c r="D835" s="182"/>
      <c r="E835" s="182"/>
      <c r="F835" s="182"/>
      <c r="G835" s="182"/>
      <c r="H835" s="182"/>
      <c r="I835" s="182"/>
      <c r="J835" s="182"/>
      <c r="K835" s="182"/>
      <c r="L835" s="182"/>
      <c r="M835" s="179"/>
      <c r="N835" s="179"/>
      <c r="O835" s="179"/>
      <c r="P835" s="182"/>
      <c r="Q835" s="182"/>
      <c r="R835" s="182"/>
      <c r="S835" s="182"/>
      <c r="T835" s="182"/>
      <c r="U835" s="182"/>
      <c r="V835" s="182"/>
      <c r="W835" s="182"/>
      <c r="X835" s="182"/>
      <c r="Y835" s="182"/>
      <c r="Z835" s="182"/>
      <c r="AA835" s="182"/>
    </row>
    <row r="836" spans="1:27" ht="14.4">
      <c r="A836" s="182"/>
      <c r="B836" s="182"/>
      <c r="C836" s="182"/>
      <c r="D836" s="182"/>
      <c r="E836" s="182"/>
      <c r="F836" s="182"/>
      <c r="G836" s="182"/>
      <c r="H836" s="182"/>
      <c r="I836" s="182"/>
      <c r="J836" s="182"/>
      <c r="K836" s="182"/>
      <c r="L836" s="182"/>
      <c r="M836" s="179"/>
      <c r="N836" s="179"/>
      <c r="O836" s="179"/>
      <c r="P836" s="182"/>
      <c r="Q836" s="182"/>
      <c r="R836" s="182"/>
      <c r="S836" s="182"/>
      <c r="T836" s="182"/>
      <c r="U836" s="182"/>
      <c r="V836" s="182"/>
      <c r="W836" s="182"/>
      <c r="X836" s="182"/>
      <c r="Y836" s="182"/>
      <c r="Z836" s="182"/>
      <c r="AA836" s="182"/>
    </row>
    <row r="837" spans="1:27" ht="14.4">
      <c r="A837" s="182"/>
      <c r="B837" s="182"/>
      <c r="C837" s="182"/>
      <c r="D837" s="182"/>
      <c r="E837" s="182"/>
      <c r="F837" s="182"/>
      <c r="G837" s="182"/>
      <c r="H837" s="182"/>
      <c r="I837" s="182"/>
      <c r="J837" s="182"/>
      <c r="K837" s="182"/>
      <c r="L837" s="182"/>
      <c r="M837" s="179"/>
      <c r="N837" s="179"/>
      <c r="O837" s="179"/>
      <c r="P837" s="182"/>
      <c r="Q837" s="182"/>
      <c r="R837" s="182"/>
      <c r="S837" s="182"/>
      <c r="T837" s="182"/>
      <c r="U837" s="182"/>
      <c r="V837" s="182"/>
      <c r="W837" s="182"/>
      <c r="X837" s="182"/>
      <c r="Y837" s="182"/>
      <c r="Z837" s="182"/>
      <c r="AA837" s="182"/>
    </row>
    <row r="838" spans="1:27" ht="14.4">
      <c r="A838" s="182"/>
      <c r="B838" s="182"/>
      <c r="C838" s="182"/>
      <c r="D838" s="182"/>
      <c r="E838" s="182"/>
      <c r="F838" s="182"/>
      <c r="G838" s="182"/>
      <c r="H838" s="182"/>
      <c r="I838" s="182"/>
      <c r="J838" s="182"/>
      <c r="K838" s="182"/>
      <c r="L838" s="182"/>
      <c r="M838" s="179"/>
      <c r="N838" s="179"/>
      <c r="O838" s="179"/>
      <c r="P838" s="182"/>
      <c r="Q838" s="182"/>
      <c r="R838" s="182"/>
      <c r="S838" s="182"/>
      <c r="T838" s="182"/>
      <c r="U838" s="182"/>
      <c r="V838" s="182"/>
      <c r="W838" s="182"/>
      <c r="X838" s="182"/>
      <c r="Y838" s="182"/>
      <c r="Z838" s="182"/>
      <c r="AA838" s="182"/>
    </row>
    <row r="839" spans="1:27" ht="14.4">
      <c r="A839" s="182"/>
      <c r="B839" s="182"/>
      <c r="C839" s="182"/>
      <c r="D839" s="182"/>
      <c r="E839" s="182"/>
      <c r="F839" s="182"/>
      <c r="G839" s="182"/>
      <c r="H839" s="182"/>
      <c r="I839" s="182"/>
      <c r="J839" s="182"/>
      <c r="K839" s="182"/>
      <c r="L839" s="182"/>
      <c r="M839" s="179"/>
      <c r="N839" s="179"/>
      <c r="O839" s="179"/>
      <c r="P839" s="182"/>
      <c r="Q839" s="182"/>
      <c r="R839" s="182"/>
      <c r="S839" s="182"/>
      <c r="T839" s="182"/>
      <c r="U839" s="182"/>
      <c r="V839" s="182"/>
      <c r="W839" s="182"/>
      <c r="X839" s="182"/>
      <c r="Y839" s="182"/>
      <c r="Z839" s="182"/>
      <c r="AA839" s="182"/>
    </row>
    <row r="840" spans="1:27" ht="14.4">
      <c r="A840" s="182"/>
      <c r="B840" s="182"/>
      <c r="C840" s="182"/>
      <c r="D840" s="182"/>
      <c r="E840" s="182"/>
      <c r="F840" s="182"/>
      <c r="G840" s="182"/>
      <c r="H840" s="182"/>
      <c r="I840" s="182"/>
      <c r="J840" s="182"/>
      <c r="K840" s="182"/>
      <c r="L840" s="182"/>
      <c r="M840" s="179"/>
      <c r="N840" s="179"/>
      <c r="O840" s="179"/>
      <c r="P840" s="182"/>
      <c r="Q840" s="182"/>
      <c r="R840" s="182"/>
      <c r="S840" s="182"/>
      <c r="T840" s="182"/>
      <c r="U840" s="182"/>
      <c r="V840" s="182"/>
      <c r="W840" s="182"/>
      <c r="X840" s="182"/>
      <c r="Y840" s="182"/>
      <c r="Z840" s="182"/>
      <c r="AA840" s="182"/>
    </row>
    <row r="841" spans="1:27" ht="14.4">
      <c r="A841" s="182"/>
      <c r="B841" s="182"/>
      <c r="C841" s="182"/>
      <c r="D841" s="182"/>
      <c r="E841" s="182"/>
      <c r="F841" s="182"/>
      <c r="G841" s="182"/>
      <c r="H841" s="182"/>
      <c r="I841" s="182"/>
      <c r="J841" s="182"/>
      <c r="K841" s="182"/>
      <c r="L841" s="182"/>
      <c r="M841" s="179"/>
      <c r="N841" s="179"/>
      <c r="O841" s="179"/>
      <c r="P841" s="182"/>
      <c r="Q841" s="182"/>
      <c r="R841" s="182"/>
      <c r="S841" s="182"/>
      <c r="T841" s="182"/>
      <c r="U841" s="182"/>
      <c r="V841" s="182"/>
      <c r="W841" s="182"/>
      <c r="X841" s="182"/>
      <c r="Y841" s="182"/>
      <c r="Z841" s="182"/>
      <c r="AA841" s="182"/>
    </row>
    <row r="842" spans="1:27" ht="14.4">
      <c r="A842" s="182"/>
      <c r="B842" s="182"/>
      <c r="C842" s="182"/>
      <c r="D842" s="182"/>
      <c r="E842" s="182"/>
      <c r="F842" s="182"/>
      <c r="G842" s="182"/>
      <c r="H842" s="182"/>
      <c r="I842" s="182"/>
      <c r="J842" s="182"/>
      <c r="K842" s="182"/>
      <c r="L842" s="182"/>
      <c r="M842" s="179"/>
      <c r="N842" s="179"/>
      <c r="O842" s="179"/>
      <c r="P842" s="182"/>
      <c r="Q842" s="182"/>
      <c r="R842" s="182"/>
      <c r="S842" s="182"/>
      <c r="T842" s="182"/>
      <c r="U842" s="182"/>
      <c r="V842" s="182"/>
      <c r="W842" s="182"/>
      <c r="X842" s="182"/>
      <c r="Y842" s="182"/>
      <c r="Z842" s="182"/>
      <c r="AA842" s="182"/>
    </row>
    <row r="843" spans="1:27" ht="14.4">
      <c r="A843" s="182"/>
      <c r="B843" s="182"/>
      <c r="C843" s="182"/>
      <c r="D843" s="182"/>
      <c r="E843" s="182"/>
      <c r="F843" s="182"/>
      <c r="G843" s="182"/>
      <c r="H843" s="182"/>
      <c r="I843" s="182"/>
      <c r="J843" s="182"/>
      <c r="K843" s="182"/>
      <c r="L843" s="182"/>
      <c r="M843" s="179"/>
      <c r="N843" s="179"/>
      <c r="O843" s="179"/>
      <c r="P843" s="182"/>
      <c r="Q843" s="182"/>
      <c r="R843" s="182"/>
      <c r="S843" s="182"/>
      <c r="T843" s="182"/>
      <c r="U843" s="182"/>
      <c r="V843" s="182"/>
      <c r="W843" s="182"/>
      <c r="X843" s="182"/>
      <c r="Y843" s="182"/>
      <c r="Z843" s="182"/>
      <c r="AA843" s="182"/>
    </row>
    <row r="844" spans="1:27" ht="14.4">
      <c r="A844" s="182"/>
      <c r="B844" s="182"/>
      <c r="C844" s="182"/>
      <c r="D844" s="182"/>
      <c r="E844" s="182"/>
      <c r="F844" s="182"/>
      <c r="G844" s="182"/>
      <c r="H844" s="182"/>
      <c r="I844" s="182"/>
      <c r="J844" s="182"/>
      <c r="K844" s="182"/>
      <c r="L844" s="182"/>
      <c r="M844" s="179"/>
      <c r="N844" s="179"/>
      <c r="O844" s="179"/>
      <c r="P844" s="182"/>
      <c r="Q844" s="182"/>
      <c r="R844" s="182"/>
      <c r="S844" s="182"/>
      <c r="T844" s="182"/>
      <c r="U844" s="182"/>
      <c r="V844" s="182"/>
      <c r="W844" s="182"/>
      <c r="X844" s="182"/>
      <c r="Y844" s="182"/>
      <c r="Z844" s="182"/>
      <c r="AA844" s="182"/>
    </row>
    <row r="845" spans="1:27" ht="14.4">
      <c r="A845" s="182"/>
      <c r="B845" s="182"/>
      <c r="C845" s="182"/>
      <c r="D845" s="182"/>
      <c r="E845" s="182"/>
      <c r="F845" s="182"/>
      <c r="G845" s="182"/>
      <c r="H845" s="182"/>
      <c r="I845" s="182"/>
      <c r="J845" s="182"/>
      <c r="K845" s="182"/>
      <c r="L845" s="182"/>
      <c r="M845" s="179"/>
      <c r="N845" s="179"/>
      <c r="O845" s="179"/>
      <c r="P845" s="182"/>
      <c r="Q845" s="182"/>
      <c r="R845" s="182"/>
      <c r="S845" s="182"/>
      <c r="T845" s="182"/>
      <c r="U845" s="182"/>
      <c r="V845" s="182"/>
      <c r="W845" s="182"/>
      <c r="X845" s="182"/>
      <c r="Y845" s="182"/>
      <c r="Z845" s="182"/>
      <c r="AA845" s="182"/>
    </row>
    <row r="846" spans="1:27" ht="14.4">
      <c r="A846" s="182"/>
      <c r="B846" s="182"/>
      <c r="C846" s="182"/>
      <c r="D846" s="182"/>
      <c r="E846" s="182"/>
      <c r="F846" s="182"/>
      <c r="G846" s="182"/>
      <c r="H846" s="182"/>
      <c r="I846" s="182"/>
      <c r="J846" s="182"/>
      <c r="K846" s="182"/>
      <c r="L846" s="182"/>
      <c r="M846" s="179"/>
      <c r="N846" s="179"/>
      <c r="O846" s="179"/>
      <c r="P846" s="182"/>
      <c r="Q846" s="182"/>
      <c r="R846" s="182"/>
      <c r="S846" s="182"/>
      <c r="T846" s="182"/>
      <c r="U846" s="182"/>
      <c r="V846" s="182"/>
      <c r="W846" s="182"/>
      <c r="X846" s="182"/>
      <c r="Y846" s="182"/>
      <c r="Z846" s="182"/>
      <c r="AA846" s="182"/>
    </row>
    <row r="847" spans="1:27" ht="14.4">
      <c r="A847" s="182"/>
      <c r="B847" s="182"/>
      <c r="C847" s="182"/>
      <c r="D847" s="182"/>
      <c r="E847" s="182"/>
      <c r="F847" s="182"/>
      <c r="G847" s="182"/>
      <c r="H847" s="182"/>
      <c r="I847" s="182"/>
      <c r="J847" s="182"/>
      <c r="K847" s="182"/>
      <c r="L847" s="182"/>
      <c r="M847" s="179"/>
      <c r="N847" s="179"/>
      <c r="O847" s="179"/>
      <c r="P847" s="182"/>
      <c r="Q847" s="182"/>
      <c r="R847" s="182"/>
      <c r="S847" s="182"/>
      <c r="T847" s="182"/>
      <c r="U847" s="182"/>
      <c r="V847" s="182"/>
      <c r="W847" s="182"/>
      <c r="X847" s="182"/>
      <c r="Y847" s="182"/>
      <c r="Z847" s="182"/>
      <c r="AA847" s="182"/>
    </row>
    <row r="848" spans="1:27" ht="14.4">
      <c r="A848" s="182"/>
      <c r="B848" s="182"/>
      <c r="C848" s="182"/>
      <c r="D848" s="182"/>
      <c r="E848" s="182"/>
      <c r="F848" s="182"/>
      <c r="G848" s="182"/>
      <c r="H848" s="182"/>
      <c r="I848" s="182"/>
      <c r="J848" s="182"/>
      <c r="K848" s="182"/>
      <c r="L848" s="182"/>
      <c r="M848" s="179"/>
      <c r="N848" s="179"/>
      <c r="O848" s="179"/>
      <c r="P848" s="182"/>
      <c r="Q848" s="182"/>
      <c r="R848" s="182"/>
      <c r="S848" s="182"/>
      <c r="T848" s="182"/>
      <c r="U848" s="182"/>
      <c r="V848" s="182"/>
      <c r="W848" s="182"/>
      <c r="X848" s="182"/>
      <c r="Y848" s="182"/>
      <c r="Z848" s="182"/>
      <c r="AA848" s="182"/>
    </row>
    <row r="849" spans="1:27" ht="14.4">
      <c r="A849" s="182"/>
      <c r="B849" s="182"/>
      <c r="C849" s="182"/>
      <c r="D849" s="182"/>
      <c r="E849" s="182"/>
      <c r="F849" s="182"/>
      <c r="G849" s="182"/>
      <c r="H849" s="182"/>
      <c r="I849" s="182"/>
      <c r="J849" s="182"/>
      <c r="K849" s="182"/>
      <c r="L849" s="182"/>
      <c r="M849" s="179"/>
      <c r="N849" s="179"/>
      <c r="O849" s="179"/>
      <c r="P849" s="182"/>
      <c r="Q849" s="182"/>
      <c r="R849" s="182"/>
      <c r="S849" s="182"/>
      <c r="T849" s="182"/>
      <c r="U849" s="182"/>
      <c r="V849" s="182"/>
      <c r="W849" s="182"/>
      <c r="X849" s="182"/>
      <c r="Y849" s="182"/>
      <c r="Z849" s="182"/>
      <c r="AA849" s="182"/>
    </row>
    <row r="850" spans="1:27" ht="14.4">
      <c r="A850" s="182"/>
      <c r="B850" s="182"/>
      <c r="C850" s="182"/>
      <c r="D850" s="182"/>
      <c r="E850" s="182"/>
      <c r="F850" s="182"/>
      <c r="G850" s="182"/>
      <c r="H850" s="182"/>
      <c r="I850" s="182"/>
      <c r="J850" s="182"/>
      <c r="K850" s="182"/>
      <c r="L850" s="182"/>
      <c r="M850" s="179"/>
      <c r="N850" s="179"/>
      <c r="O850" s="179"/>
      <c r="P850" s="182"/>
      <c r="Q850" s="182"/>
      <c r="R850" s="182"/>
      <c r="S850" s="182"/>
      <c r="T850" s="182"/>
      <c r="U850" s="182"/>
      <c r="V850" s="182"/>
      <c r="W850" s="182"/>
      <c r="X850" s="182"/>
      <c r="Y850" s="182"/>
      <c r="Z850" s="182"/>
      <c r="AA850" s="182"/>
    </row>
    <row r="851" spans="1:27" ht="14.4">
      <c r="A851" s="182"/>
      <c r="B851" s="182"/>
      <c r="C851" s="182"/>
      <c r="D851" s="182"/>
      <c r="E851" s="182"/>
      <c r="F851" s="182"/>
      <c r="G851" s="182"/>
      <c r="H851" s="182"/>
      <c r="I851" s="182"/>
      <c r="J851" s="182"/>
      <c r="K851" s="182"/>
      <c r="L851" s="182"/>
      <c r="M851" s="179"/>
      <c r="N851" s="179"/>
      <c r="O851" s="179"/>
      <c r="P851" s="182"/>
      <c r="Q851" s="182"/>
      <c r="R851" s="182"/>
      <c r="S851" s="182"/>
      <c r="T851" s="182"/>
      <c r="U851" s="182"/>
      <c r="V851" s="182"/>
      <c r="W851" s="182"/>
      <c r="X851" s="182"/>
      <c r="Y851" s="182"/>
      <c r="Z851" s="182"/>
      <c r="AA851" s="182"/>
    </row>
    <row r="852" spans="1:27" ht="14.4">
      <c r="A852" s="182"/>
      <c r="B852" s="182"/>
      <c r="C852" s="182"/>
      <c r="D852" s="182"/>
      <c r="E852" s="182"/>
      <c r="F852" s="182"/>
      <c r="G852" s="182"/>
      <c r="H852" s="182"/>
      <c r="I852" s="182"/>
      <c r="J852" s="182"/>
      <c r="K852" s="182"/>
      <c r="L852" s="182"/>
      <c r="M852" s="179"/>
      <c r="N852" s="179"/>
      <c r="O852" s="179"/>
      <c r="P852" s="182"/>
      <c r="Q852" s="182"/>
      <c r="R852" s="182"/>
      <c r="S852" s="182"/>
      <c r="T852" s="182"/>
      <c r="U852" s="182"/>
      <c r="V852" s="182"/>
      <c r="W852" s="182"/>
      <c r="X852" s="182"/>
      <c r="Y852" s="182"/>
      <c r="Z852" s="182"/>
      <c r="AA852" s="182"/>
    </row>
    <row r="853" spans="1:27" ht="14.4">
      <c r="A853" s="182"/>
      <c r="B853" s="182"/>
      <c r="C853" s="182"/>
      <c r="D853" s="182"/>
      <c r="E853" s="182"/>
      <c r="F853" s="182"/>
      <c r="G853" s="182"/>
      <c r="H853" s="182"/>
      <c r="I853" s="182"/>
      <c r="J853" s="182"/>
      <c r="K853" s="182"/>
      <c r="L853" s="182"/>
      <c r="M853" s="179"/>
      <c r="N853" s="179"/>
      <c r="O853" s="179"/>
      <c r="P853" s="182"/>
      <c r="Q853" s="182"/>
      <c r="R853" s="182"/>
      <c r="S853" s="182"/>
      <c r="T853" s="182"/>
      <c r="U853" s="182"/>
      <c r="V853" s="182"/>
      <c r="W853" s="182"/>
      <c r="X853" s="182"/>
      <c r="Y853" s="182"/>
      <c r="Z853" s="182"/>
      <c r="AA853" s="182"/>
    </row>
    <row r="854" spans="1:27" ht="14.4">
      <c r="A854" s="182"/>
      <c r="B854" s="182"/>
      <c r="C854" s="182"/>
      <c r="D854" s="182"/>
      <c r="E854" s="182"/>
      <c r="F854" s="182"/>
      <c r="G854" s="182"/>
      <c r="H854" s="182"/>
      <c r="I854" s="182"/>
      <c r="J854" s="182"/>
      <c r="K854" s="182"/>
      <c r="L854" s="182"/>
      <c r="M854" s="179"/>
      <c r="N854" s="179"/>
      <c r="O854" s="179"/>
      <c r="P854" s="182"/>
      <c r="Q854" s="182"/>
      <c r="R854" s="182"/>
      <c r="S854" s="182"/>
      <c r="T854" s="182"/>
      <c r="U854" s="182"/>
      <c r="V854" s="182"/>
      <c r="W854" s="182"/>
      <c r="X854" s="182"/>
      <c r="Y854" s="182"/>
      <c r="Z854" s="182"/>
      <c r="AA854" s="182"/>
    </row>
    <row r="855" spans="1:27" ht="14.4">
      <c r="A855" s="182"/>
      <c r="B855" s="182"/>
      <c r="C855" s="182"/>
      <c r="D855" s="182"/>
      <c r="E855" s="182"/>
      <c r="F855" s="182"/>
      <c r="G855" s="182"/>
      <c r="H855" s="182"/>
      <c r="I855" s="182"/>
      <c r="J855" s="182"/>
      <c r="K855" s="182"/>
      <c r="L855" s="182"/>
      <c r="M855" s="179"/>
      <c r="N855" s="179"/>
      <c r="O855" s="179"/>
      <c r="P855" s="182"/>
      <c r="Q855" s="182"/>
      <c r="R855" s="182"/>
      <c r="S855" s="182"/>
      <c r="T855" s="182"/>
      <c r="U855" s="182"/>
      <c r="V855" s="182"/>
      <c r="W855" s="182"/>
      <c r="X855" s="182"/>
      <c r="Y855" s="182"/>
      <c r="Z855" s="182"/>
      <c r="AA855" s="182"/>
    </row>
    <row r="856" spans="1:27" ht="14.4">
      <c r="A856" s="182"/>
      <c r="B856" s="182"/>
      <c r="C856" s="182"/>
      <c r="D856" s="182"/>
      <c r="E856" s="182"/>
      <c r="F856" s="182"/>
      <c r="G856" s="182"/>
      <c r="H856" s="182"/>
      <c r="I856" s="182"/>
      <c r="J856" s="182"/>
      <c r="K856" s="182"/>
      <c r="L856" s="182"/>
      <c r="M856" s="179"/>
      <c r="N856" s="179"/>
      <c r="O856" s="179"/>
      <c r="P856" s="182"/>
      <c r="Q856" s="182"/>
      <c r="R856" s="182"/>
      <c r="S856" s="182"/>
      <c r="T856" s="182"/>
      <c r="U856" s="182"/>
      <c r="V856" s="182"/>
      <c r="W856" s="182"/>
      <c r="X856" s="182"/>
      <c r="Y856" s="182"/>
      <c r="Z856" s="182"/>
      <c r="AA856" s="182"/>
    </row>
    <row r="857" spans="1:27" ht="14.4">
      <c r="A857" s="182"/>
      <c r="B857" s="182"/>
      <c r="C857" s="182"/>
      <c r="D857" s="182"/>
      <c r="E857" s="182"/>
      <c r="F857" s="182"/>
      <c r="G857" s="182"/>
      <c r="H857" s="182"/>
      <c r="I857" s="182"/>
      <c r="J857" s="182"/>
      <c r="K857" s="182"/>
      <c r="L857" s="182"/>
      <c r="M857" s="179"/>
      <c r="N857" s="179"/>
      <c r="O857" s="179"/>
      <c r="P857" s="182"/>
      <c r="Q857" s="182"/>
      <c r="R857" s="182"/>
      <c r="S857" s="182"/>
      <c r="T857" s="182"/>
      <c r="U857" s="182"/>
      <c r="V857" s="182"/>
      <c r="W857" s="182"/>
      <c r="X857" s="182"/>
      <c r="Y857" s="182"/>
      <c r="Z857" s="182"/>
      <c r="AA857" s="182"/>
    </row>
    <row r="858" spans="1:27" ht="14.4">
      <c r="A858" s="182"/>
      <c r="B858" s="182"/>
      <c r="C858" s="182"/>
      <c r="D858" s="182"/>
      <c r="E858" s="182"/>
      <c r="F858" s="182"/>
      <c r="G858" s="182"/>
      <c r="H858" s="182"/>
      <c r="I858" s="182"/>
      <c r="J858" s="182"/>
      <c r="K858" s="182"/>
      <c r="L858" s="182"/>
      <c r="M858" s="179"/>
      <c r="N858" s="179"/>
      <c r="O858" s="179"/>
      <c r="P858" s="182"/>
      <c r="Q858" s="182"/>
      <c r="R858" s="182"/>
      <c r="S858" s="182"/>
      <c r="T858" s="182"/>
      <c r="U858" s="182"/>
      <c r="V858" s="182"/>
      <c r="W858" s="182"/>
      <c r="X858" s="182"/>
      <c r="Y858" s="182"/>
      <c r="Z858" s="182"/>
      <c r="AA858" s="182"/>
    </row>
    <row r="859" spans="1:27" ht="14.4">
      <c r="A859" s="182"/>
      <c r="B859" s="182"/>
      <c r="C859" s="182"/>
      <c r="D859" s="182"/>
      <c r="E859" s="182"/>
      <c r="F859" s="182"/>
      <c r="G859" s="182"/>
      <c r="H859" s="182"/>
      <c r="I859" s="182"/>
      <c r="J859" s="182"/>
      <c r="K859" s="182"/>
      <c r="L859" s="182"/>
      <c r="M859" s="179"/>
      <c r="N859" s="179"/>
      <c r="O859" s="179"/>
      <c r="P859" s="182"/>
      <c r="Q859" s="182"/>
      <c r="R859" s="182"/>
      <c r="S859" s="182"/>
      <c r="T859" s="182"/>
      <c r="U859" s="182"/>
      <c r="V859" s="182"/>
      <c r="W859" s="182"/>
      <c r="X859" s="182"/>
      <c r="Y859" s="182"/>
      <c r="Z859" s="182"/>
      <c r="AA859" s="182"/>
    </row>
    <row r="860" spans="1:27" ht="14.4">
      <c r="A860" s="182"/>
      <c r="B860" s="182"/>
      <c r="C860" s="182"/>
      <c r="D860" s="182"/>
      <c r="E860" s="182"/>
      <c r="F860" s="182"/>
      <c r="G860" s="182"/>
      <c r="H860" s="182"/>
      <c r="I860" s="182"/>
      <c r="J860" s="182"/>
      <c r="K860" s="182"/>
      <c r="L860" s="182"/>
      <c r="M860" s="179"/>
      <c r="N860" s="179"/>
      <c r="O860" s="179"/>
      <c r="P860" s="182"/>
      <c r="Q860" s="182"/>
      <c r="R860" s="182"/>
      <c r="S860" s="182"/>
      <c r="T860" s="182"/>
      <c r="U860" s="182"/>
      <c r="V860" s="182"/>
      <c r="W860" s="182"/>
      <c r="X860" s="182"/>
      <c r="Y860" s="182"/>
      <c r="Z860" s="182"/>
      <c r="AA860" s="182"/>
    </row>
    <row r="861" spans="1:27" ht="14.4">
      <c r="A861" s="182"/>
      <c r="B861" s="182"/>
      <c r="C861" s="182"/>
      <c r="D861" s="182"/>
      <c r="E861" s="182"/>
      <c r="F861" s="182"/>
      <c r="G861" s="182"/>
      <c r="H861" s="182"/>
      <c r="I861" s="182"/>
      <c r="J861" s="182"/>
      <c r="K861" s="182"/>
      <c r="L861" s="182"/>
      <c r="M861" s="179"/>
      <c r="N861" s="179"/>
      <c r="O861" s="179"/>
      <c r="P861" s="182"/>
      <c r="Q861" s="182"/>
      <c r="R861" s="182"/>
      <c r="S861" s="182"/>
      <c r="T861" s="182"/>
      <c r="U861" s="182"/>
      <c r="V861" s="182"/>
      <c r="W861" s="182"/>
      <c r="X861" s="182"/>
      <c r="Y861" s="182"/>
      <c r="Z861" s="182"/>
      <c r="AA861" s="182"/>
    </row>
    <row r="862" spans="1:27" ht="14.4">
      <c r="A862" s="182"/>
      <c r="B862" s="182"/>
      <c r="C862" s="182"/>
      <c r="D862" s="182"/>
      <c r="E862" s="182"/>
      <c r="F862" s="182"/>
      <c r="G862" s="182"/>
      <c r="H862" s="182"/>
      <c r="I862" s="182"/>
      <c r="J862" s="182"/>
      <c r="K862" s="182"/>
      <c r="L862" s="182"/>
      <c r="M862" s="179"/>
      <c r="N862" s="179"/>
      <c r="O862" s="179"/>
      <c r="P862" s="182"/>
      <c r="Q862" s="182"/>
      <c r="R862" s="182"/>
      <c r="S862" s="182"/>
      <c r="T862" s="182"/>
      <c r="U862" s="182"/>
      <c r="V862" s="182"/>
      <c r="W862" s="182"/>
      <c r="X862" s="182"/>
      <c r="Y862" s="182"/>
      <c r="Z862" s="182"/>
      <c r="AA862" s="182"/>
    </row>
    <row r="863" spans="1:27" ht="14.4">
      <c r="A863" s="182"/>
      <c r="B863" s="182"/>
      <c r="C863" s="182"/>
      <c r="D863" s="182"/>
      <c r="E863" s="182"/>
      <c r="F863" s="182"/>
      <c r="G863" s="182"/>
      <c r="H863" s="182"/>
      <c r="I863" s="182"/>
      <c r="J863" s="182"/>
      <c r="K863" s="182"/>
      <c r="L863" s="182"/>
      <c r="M863" s="179"/>
      <c r="N863" s="179"/>
      <c r="O863" s="179"/>
      <c r="P863" s="182"/>
      <c r="Q863" s="182"/>
      <c r="R863" s="182"/>
      <c r="S863" s="182"/>
      <c r="T863" s="182"/>
      <c r="U863" s="182"/>
      <c r="V863" s="182"/>
      <c r="W863" s="182"/>
      <c r="X863" s="182"/>
      <c r="Y863" s="182"/>
      <c r="Z863" s="182"/>
      <c r="AA863" s="182"/>
    </row>
    <row r="864" spans="1:27" ht="14.4">
      <c r="A864" s="182"/>
      <c r="B864" s="182"/>
      <c r="C864" s="182"/>
      <c r="D864" s="182"/>
      <c r="E864" s="182"/>
      <c r="F864" s="182"/>
      <c r="G864" s="182"/>
      <c r="H864" s="182"/>
      <c r="I864" s="182"/>
      <c r="J864" s="182"/>
      <c r="K864" s="182"/>
      <c r="L864" s="182"/>
      <c r="M864" s="179"/>
      <c r="N864" s="179"/>
      <c r="O864" s="179"/>
      <c r="P864" s="182"/>
      <c r="Q864" s="182"/>
      <c r="R864" s="182"/>
      <c r="S864" s="182"/>
      <c r="T864" s="182"/>
      <c r="U864" s="182"/>
      <c r="V864" s="182"/>
      <c r="W864" s="182"/>
      <c r="X864" s="182"/>
      <c r="Y864" s="182"/>
      <c r="Z864" s="182"/>
      <c r="AA864" s="182"/>
    </row>
    <row r="865" spans="1:27" ht="14.4">
      <c r="A865" s="182"/>
      <c r="B865" s="182"/>
      <c r="C865" s="182"/>
      <c r="D865" s="182"/>
      <c r="E865" s="182"/>
      <c r="F865" s="182"/>
      <c r="G865" s="182"/>
      <c r="H865" s="182"/>
      <c r="I865" s="182"/>
      <c r="J865" s="182"/>
      <c r="K865" s="182"/>
      <c r="L865" s="182"/>
      <c r="M865" s="179"/>
      <c r="N865" s="179"/>
      <c r="O865" s="179"/>
      <c r="P865" s="182"/>
      <c r="Q865" s="182"/>
      <c r="R865" s="182"/>
      <c r="S865" s="182"/>
      <c r="T865" s="182"/>
      <c r="U865" s="182"/>
      <c r="V865" s="182"/>
      <c r="W865" s="182"/>
      <c r="X865" s="182"/>
      <c r="Y865" s="182"/>
      <c r="Z865" s="182"/>
      <c r="AA865" s="182"/>
    </row>
    <row r="866" spans="1:27" ht="14.4">
      <c r="A866" s="182"/>
      <c r="B866" s="182"/>
      <c r="C866" s="182"/>
      <c r="D866" s="182"/>
      <c r="E866" s="182"/>
      <c r="F866" s="182"/>
      <c r="G866" s="182"/>
      <c r="H866" s="182"/>
      <c r="I866" s="182"/>
      <c r="J866" s="182"/>
      <c r="K866" s="182"/>
      <c r="L866" s="182"/>
      <c r="M866" s="179"/>
      <c r="N866" s="179"/>
      <c r="O866" s="179"/>
      <c r="P866" s="182"/>
      <c r="Q866" s="182"/>
      <c r="R866" s="182"/>
      <c r="S866" s="182"/>
      <c r="T866" s="182"/>
      <c r="U866" s="182"/>
      <c r="V866" s="182"/>
      <c r="W866" s="182"/>
      <c r="X866" s="182"/>
      <c r="Y866" s="182"/>
      <c r="Z866" s="182"/>
      <c r="AA866" s="182"/>
    </row>
    <row r="867" spans="1:27" ht="14.4">
      <c r="A867" s="182"/>
      <c r="B867" s="182"/>
      <c r="C867" s="182"/>
      <c r="D867" s="182"/>
      <c r="E867" s="182"/>
      <c r="F867" s="182"/>
      <c r="G867" s="182"/>
      <c r="H867" s="182"/>
      <c r="I867" s="182"/>
      <c r="J867" s="182"/>
      <c r="K867" s="182"/>
      <c r="L867" s="182"/>
      <c r="M867" s="179"/>
      <c r="N867" s="179"/>
      <c r="O867" s="179"/>
      <c r="P867" s="182"/>
      <c r="Q867" s="182"/>
      <c r="R867" s="182"/>
      <c r="S867" s="182"/>
      <c r="T867" s="182"/>
      <c r="U867" s="182"/>
      <c r="V867" s="182"/>
      <c r="W867" s="182"/>
      <c r="X867" s="182"/>
      <c r="Y867" s="182"/>
      <c r="Z867" s="182"/>
      <c r="AA867" s="182"/>
    </row>
    <row r="868" spans="1:27" ht="14.4">
      <c r="A868" s="182"/>
      <c r="B868" s="182"/>
      <c r="C868" s="182"/>
      <c r="D868" s="182"/>
      <c r="E868" s="182"/>
      <c r="F868" s="182"/>
      <c r="G868" s="182"/>
      <c r="H868" s="182"/>
      <c r="I868" s="182"/>
      <c r="J868" s="182"/>
      <c r="K868" s="182"/>
      <c r="L868" s="182"/>
      <c r="M868" s="179"/>
      <c r="N868" s="179"/>
      <c r="O868" s="179"/>
      <c r="P868" s="182"/>
      <c r="Q868" s="182"/>
      <c r="R868" s="182"/>
      <c r="S868" s="182"/>
      <c r="T868" s="182"/>
      <c r="U868" s="182"/>
      <c r="V868" s="182"/>
      <c r="W868" s="182"/>
      <c r="X868" s="182"/>
      <c r="Y868" s="182"/>
      <c r="Z868" s="182"/>
      <c r="AA868" s="182"/>
    </row>
    <row r="869" spans="1:27" ht="14.4">
      <c r="A869" s="182"/>
      <c r="B869" s="182"/>
      <c r="C869" s="182"/>
      <c r="D869" s="182"/>
      <c r="E869" s="182"/>
      <c r="F869" s="182"/>
      <c r="G869" s="182"/>
      <c r="H869" s="182"/>
      <c r="I869" s="182"/>
      <c r="J869" s="182"/>
      <c r="K869" s="182"/>
      <c r="L869" s="182"/>
      <c r="M869" s="179"/>
      <c r="N869" s="179"/>
      <c r="O869" s="179"/>
      <c r="P869" s="182"/>
      <c r="Q869" s="182"/>
      <c r="R869" s="182"/>
      <c r="S869" s="182"/>
      <c r="T869" s="182"/>
      <c r="U869" s="182"/>
      <c r="V869" s="182"/>
      <c r="W869" s="182"/>
      <c r="X869" s="182"/>
      <c r="Y869" s="182"/>
      <c r="Z869" s="182"/>
      <c r="AA869" s="182"/>
    </row>
    <row r="870" spans="1:27" ht="14.4">
      <c r="A870" s="182"/>
      <c r="B870" s="182"/>
      <c r="C870" s="182"/>
      <c r="D870" s="182"/>
      <c r="E870" s="182"/>
      <c r="F870" s="182"/>
      <c r="G870" s="182"/>
      <c r="H870" s="182"/>
      <c r="I870" s="182"/>
      <c r="J870" s="182"/>
      <c r="K870" s="182"/>
      <c r="L870" s="182"/>
      <c r="M870" s="179"/>
      <c r="N870" s="179"/>
      <c r="O870" s="179"/>
      <c r="P870" s="182"/>
      <c r="Q870" s="182"/>
      <c r="R870" s="182"/>
      <c r="S870" s="182"/>
      <c r="T870" s="182"/>
      <c r="U870" s="182"/>
      <c r="V870" s="182"/>
      <c r="W870" s="182"/>
      <c r="X870" s="182"/>
      <c r="Y870" s="182"/>
      <c r="Z870" s="182"/>
      <c r="AA870" s="182"/>
    </row>
    <row r="871" spans="1:27" ht="14.4">
      <c r="A871" s="182"/>
      <c r="B871" s="182"/>
      <c r="C871" s="182"/>
      <c r="D871" s="182"/>
      <c r="E871" s="182"/>
      <c r="F871" s="182"/>
      <c r="G871" s="182"/>
      <c r="H871" s="182"/>
      <c r="I871" s="182"/>
      <c r="J871" s="182"/>
      <c r="K871" s="182"/>
      <c r="L871" s="182"/>
      <c r="M871" s="179"/>
      <c r="N871" s="179"/>
      <c r="O871" s="179"/>
      <c r="P871" s="182"/>
      <c r="Q871" s="182"/>
      <c r="R871" s="182"/>
      <c r="S871" s="182"/>
      <c r="T871" s="182"/>
      <c r="U871" s="182"/>
      <c r="V871" s="182"/>
      <c r="W871" s="182"/>
      <c r="X871" s="182"/>
      <c r="Y871" s="182"/>
      <c r="Z871" s="182"/>
      <c r="AA871" s="182"/>
    </row>
    <row r="872" spans="1:27" ht="14.4">
      <c r="A872" s="182"/>
      <c r="B872" s="182"/>
      <c r="C872" s="182"/>
      <c r="D872" s="182"/>
      <c r="E872" s="182"/>
      <c r="F872" s="182"/>
      <c r="G872" s="182"/>
      <c r="H872" s="182"/>
      <c r="I872" s="182"/>
      <c r="J872" s="182"/>
      <c r="K872" s="182"/>
      <c r="L872" s="182"/>
      <c r="M872" s="179"/>
      <c r="N872" s="179"/>
      <c r="O872" s="179"/>
      <c r="P872" s="182"/>
      <c r="Q872" s="182"/>
      <c r="R872" s="182"/>
      <c r="S872" s="182"/>
      <c r="T872" s="182"/>
      <c r="U872" s="182"/>
      <c r="V872" s="182"/>
      <c r="W872" s="182"/>
      <c r="X872" s="182"/>
      <c r="Y872" s="182"/>
      <c r="Z872" s="182"/>
      <c r="AA872" s="182"/>
    </row>
    <row r="873" spans="1:27" ht="14.4">
      <c r="A873" s="182"/>
      <c r="B873" s="182"/>
      <c r="C873" s="182"/>
      <c r="D873" s="182"/>
      <c r="E873" s="182"/>
      <c r="F873" s="182"/>
      <c r="G873" s="182"/>
      <c r="H873" s="182"/>
      <c r="I873" s="182"/>
      <c r="J873" s="182"/>
      <c r="K873" s="182"/>
      <c r="L873" s="182"/>
      <c r="M873" s="179"/>
      <c r="N873" s="179"/>
      <c r="O873" s="179"/>
      <c r="P873" s="182"/>
      <c r="Q873" s="182"/>
      <c r="R873" s="182"/>
      <c r="S873" s="182"/>
      <c r="T873" s="182"/>
      <c r="U873" s="182"/>
      <c r="V873" s="182"/>
      <c r="W873" s="182"/>
      <c r="X873" s="182"/>
      <c r="Y873" s="182"/>
      <c r="Z873" s="182"/>
      <c r="AA873" s="182"/>
    </row>
    <row r="874" spans="1:27" ht="14.4">
      <c r="A874" s="182"/>
      <c r="B874" s="182"/>
      <c r="C874" s="182"/>
      <c r="D874" s="182"/>
      <c r="E874" s="182"/>
      <c r="F874" s="182"/>
      <c r="G874" s="182"/>
      <c r="H874" s="182"/>
      <c r="I874" s="182"/>
      <c r="J874" s="182"/>
      <c r="K874" s="182"/>
      <c r="L874" s="182"/>
      <c r="M874" s="179"/>
      <c r="N874" s="179"/>
      <c r="O874" s="179"/>
      <c r="P874" s="182"/>
      <c r="Q874" s="182"/>
      <c r="R874" s="182"/>
      <c r="S874" s="182"/>
      <c r="T874" s="182"/>
      <c r="U874" s="182"/>
      <c r="V874" s="182"/>
      <c r="W874" s="182"/>
      <c r="X874" s="182"/>
      <c r="Y874" s="182"/>
      <c r="Z874" s="182"/>
      <c r="AA874" s="182"/>
    </row>
    <row r="875" spans="1:27" ht="14.4">
      <c r="A875" s="182"/>
      <c r="B875" s="182"/>
      <c r="C875" s="182"/>
      <c r="D875" s="182"/>
      <c r="E875" s="182"/>
      <c r="F875" s="182"/>
      <c r="G875" s="182"/>
      <c r="H875" s="182"/>
      <c r="I875" s="182"/>
      <c r="J875" s="182"/>
      <c r="K875" s="182"/>
      <c r="L875" s="182"/>
      <c r="M875" s="179"/>
      <c r="N875" s="179"/>
      <c r="O875" s="179"/>
      <c r="P875" s="182"/>
      <c r="Q875" s="182"/>
      <c r="R875" s="182"/>
      <c r="S875" s="182"/>
      <c r="T875" s="182"/>
      <c r="U875" s="182"/>
      <c r="V875" s="182"/>
      <c r="W875" s="182"/>
      <c r="X875" s="182"/>
      <c r="Y875" s="182"/>
      <c r="Z875" s="182"/>
      <c r="AA875" s="182"/>
    </row>
    <row r="876" spans="1:27" ht="14.4">
      <c r="A876" s="182"/>
      <c r="B876" s="182"/>
      <c r="C876" s="182"/>
      <c r="D876" s="182"/>
      <c r="E876" s="182"/>
      <c r="F876" s="182"/>
      <c r="G876" s="182"/>
      <c r="H876" s="182"/>
      <c r="I876" s="182"/>
      <c r="J876" s="182"/>
      <c r="K876" s="182"/>
      <c r="L876" s="182"/>
      <c r="M876" s="179"/>
      <c r="N876" s="179"/>
      <c r="O876" s="179"/>
      <c r="P876" s="182"/>
      <c r="Q876" s="182"/>
      <c r="R876" s="182"/>
      <c r="S876" s="182"/>
      <c r="T876" s="182"/>
      <c r="U876" s="182"/>
      <c r="V876" s="182"/>
      <c r="W876" s="182"/>
      <c r="X876" s="182"/>
      <c r="Y876" s="182"/>
      <c r="Z876" s="182"/>
      <c r="AA876" s="182"/>
    </row>
    <row r="877" spans="1:27" ht="14.4">
      <c r="A877" s="182"/>
      <c r="B877" s="182"/>
      <c r="C877" s="182"/>
      <c r="D877" s="182"/>
      <c r="E877" s="182"/>
      <c r="F877" s="182"/>
      <c r="G877" s="182"/>
      <c r="H877" s="182"/>
      <c r="I877" s="182"/>
      <c r="J877" s="182"/>
      <c r="K877" s="182"/>
      <c r="L877" s="182"/>
      <c r="M877" s="179"/>
      <c r="N877" s="179"/>
      <c r="O877" s="179"/>
      <c r="P877" s="182"/>
      <c r="Q877" s="182"/>
      <c r="R877" s="182"/>
      <c r="S877" s="182"/>
      <c r="T877" s="182"/>
      <c r="U877" s="182"/>
      <c r="V877" s="182"/>
      <c r="W877" s="182"/>
      <c r="X877" s="182"/>
      <c r="Y877" s="182"/>
      <c r="Z877" s="182"/>
      <c r="AA877" s="182"/>
    </row>
    <row r="878" spans="1:27" ht="14.4">
      <c r="A878" s="182"/>
      <c r="B878" s="182"/>
      <c r="C878" s="182"/>
      <c r="D878" s="182"/>
      <c r="E878" s="182"/>
      <c r="F878" s="182"/>
      <c r="G878" s="182"/>
      <c r="H878" s="182"/>
      <c r="I878" s="182"/>
      <c r="J878" s="182"/>
      <c r="K878" s="182"/>
      <c r="L878" s="182"/>
      <c r="M878" s="179"/>
      <c r="N878" s="179"/>
      <c r="O878" s="179"/>
      <c r="P878" s="182"/>
      <c r="Q878" s="182"/>
      <c r="R878" s="182"/>
      <c r="S878" s="182"/>
      <c r="T878" s="182"/>
      <c r="U878" s="182"/>
      <c r="V878" s="182"/>
      <c r="W878" s="182"/>
      <c r="X878" s="182"/>
      <c r="Y878" s="182"/>
      <c r="Z878" s="182"/>
      <c r="AA878" s="182"/>
    </row>
    <row r="879" spans="1:27" ht="14.4">
      <c r="A879" s="182"/>
      <c r="B879" s="182"/>
      <c r="C879" s="182"/>
      <c r="D879" s="182"/>
      <c r="E879" s="182"/>
      <c r="F879" s="182"/>
      <c r="G879" s="182"/>
      <c r="H879" s="182"/>
      <c r="I879" s="182"/>
      <c r="J879" s="182"/>
      <c r="K879" s="182"/>
      <c r="L879" s="182"/>
      <c r="M879" s="179"/>
      <c r="N879" s="179"/>
      <c r="O879" s="179"/>
      <c r="P879" s="182"/>
      <c r="Q879" s="182"/>
      <c r="R879" s="182"/>
      <c r="S879" s="182"/>
      <c r="T879" s="182"/>
      <c r="U879" s="182"/>
      <c r="V879" s="182"/>
      <c r="W879" s="182"/>
      <c r="X879" s="182"/>
      <c r="Y879" s="182"/>
      <c r="Z879" s="182"/>
      <c r="AA879" s="182"/>
    </row>
    <row r="880" spans="1:27" ht="14.4">
      <c r="A880" s="182"/>
      <c r="B880" s="182"/>
      <c r="C880" s="182"/>
      <c r="D880" s="182"/>
      <c r="E880" s="182"/>
      <c r="F880" s="182"/>
      <c r="G880" s="182"/>
      <c r="H880" s="182"/>
      <c r="I880" s="182"/>
      <c r="J880" s="182"/>
      <c r="K880" s="182"/>
      <c r="L880" s="182"/>
      <c r="M880" s="179"/>
      <c r="N880" s="179"/>
      <c r="O880" s="179"/>
      <c r="P880" s="182"/>
      <c r="Q880" s="182"/>
      <c r="R880" s="182"/>
      <c r="S880" s="182"/>
      <c r="T880" s="182"/>
      <c r="U880" s="182"/>
      <c r="V880" s="182"/>
      <c r="W880" s="182"/>
      <c r="X880" s="182"/>
      <c r="Y880" s="182"/>
      <c r="Z880" s="182"/>
      <c r="AA880" s="182"/>
    </row>
    <row r="881" spans="1:27" ht="14.4">
      <c r="A881" s="182"/>
      <c r="B881" s="182"/>
      <c r="C881" s="182"/>
      <c r="D881" s="182"/>
      <c r="E881" s="182"/>
      <c r="F881" s="182"/>
      <c r="G881" s="182"/>
      <c r="H881" s="182"/>
      <c r="I881" s="182"/>
      <c r="J881" s="182"/>
      <c r="K881" s="182"/>
      <c r="L881" s="182"/>
      <c r="M881" s="179"/>
      <c r="N881" s="179"/>
      <c r="O881" s="179"/>
      <c r="P881" s="182"/>
      <c r="Q881" s="182"/>
      <c r="R881" s="182"/>
      <c r="S881" s="182"/>
      <c r="T881" s="182"/>
      <c r="U881" s="182"/>
      <c r="V881" s="182"/>
      <c r="W881" s="182"/>
      <c r="X881" s="182"/>
      <c r="Y881" s="182"/>
      <c r="Z881" s="182"/>
      <c r="AA881" s="182"/>
    </row>
    <row r="882" spans="1:27" ht="14.4">
      <c r="A882" s="182"/>
      <c r="B882" s="182"/>
      <c r="C882" s="182"/>
      <c r="D882" s="182"/>
      <c r="E882" s="182"/>
      <c r="F882" s="182"/>
      <c r="G882" s="182"/>
      <c r="H882" s="182"/>
      <c r="I882" s="182"/>
      <c r="J882" s="182"/>
      <c r="K882" s="182"/>
      <c r="L882" s="182"/>
      <c r="M882" s="179"/>
      <c r="N882" s="179"/>
      <c r="O882" s="179"/>
      <c r="P882" s="182"/>
      <c r="Q882" s="182"/>
      <c r="R882" s="182"/>
      <c r="S882" s="182"/>
      <c r="T882" s="182"/>
      <c r="U882" s="182"/>
      <c r="V882" s="182"/>
      <c r="W882" s="182"/>
      <c r="X882" s="182"/>
      <c r="Y882" s="182"/>
      <c r="Z882" s="182"/>
      <c r="AA882" s="182"/>
    </row>
    <row r="883" spans="1:27" ht="14.4">
      <c r="A883" s="182"/>
      <c r="B883" s="182"/>
      <c r="C883" s="182"/>
      <c r="D883" s="182"/>
      <c r="E883" s="182"/>
      <c r="F883" s="182"/>
      <c r="G883" s="182"/>
      <c r="H883" s="182"/>
      <c r="I883" s="182"/>
      <c r="J883" s="182"/>
      <c r="K883" s="182"/>
      <c r="L883" s="182"/>
      <c r="M883" s="179"/>
      <c r="N883" s="179"/>
      <c r="O883" s="179"/>
      <c r="P883" s="182"/>
      <c r="Q883" s="182"/>
      <c r="R883" s="182"/>
      <c r="S883" s="182"/>
      <c r="T883" s="182"/>
      <c r="U883" s="182"/>
      <c r="V883" s="182"/>
      <c r="W883" s="182"/>
      <c r="X883" s="182"/>
      <c r="Y883" s="182"/>
      <c r="Z883" s="182"/>
      <c r="AA883" s="182"/>
    </row>
    <row r="884" spans="1:27" ht="14.4">
      <c r="A884" s="182"/>
      <c r="B884" s="182"/>
      <c r="C884" s="182"/>
      <c r="D884" s="182"/>
      <c r="E884" s="182"/>
      <c r="F884" s="182"/>
      <c r="G884" s="182"/>
      <c r="H884" s="182"/>
      <c r="I884" s="182"/>
      <c r="J884" s="182"/>
      <c r="K884" s="182"/>
      <c r="L884" s="182"/>
      <c r="M884" s="179"/>
      <c r="N884" s="179"/>
      <c r="O884" s="179"/>
      <c r="P884" s="182"/>
      <c r="Q884" s="182"/>
      <c r="R884" s="182"/>
      <c r="S884" s="182"/>
      <c r="T884" s="182"/>
      <c r="U884" s="182"/>
      <c r="V884" s="182"/>
      <c r="W884" s="182"/>
      <c r="X884" s="182"/>
      <c r="Y884" s="182"/>
      <c r="Z884" s="182"/>
      <c r="AA884" s="182"/>
    </row>
    <row r="885" spans="1:27" ht="14.4">
      <c r="A885" s="182"/>
      <c r="B885" s="182"/>
      <c r="C885" s="182"/>
      <c r="D885" s="182"/>
      <c r="E885" s="182"/>
      <c r="F885" s="182"/>
      <c r="G885" s="182"/>
      <c r="H885" s="182"/>
      <c r="I885" s="182"/>
      <c r="J885" s="182"/>
      <c r="K885" s="182"/>
      <c r="L885" s="182"/>
      <c r="M885" s="179"/>
      <c r="N885" s="179"/>
      <c r="O885" s="179"/>
      <c r="P885" s="182"/>
      <c r="Q885" s="182"/>
      <c r="R885" s="182"/>
      <c r="S885" s="182"/>
      <c r="T885" s="182"/>
      <c r="U885" s="182"/>
      <c r="V885" s="182"/>
      <c r="W885" s="182"/>
      <c r="X885" s="182"/>
      <c r="Y885" s="182"/>
      <c r="Z885" s="182"/>
      <c r="AA885" s="182"/>
    </row>
    <row r="886" spans="1:27" ht="14.4">
      <c r="A886" s="182"/>
      <c r="B886" s="182"/>
      <c r="C886" s="182"/>
      <c r="D886" s="182"/>
      <c r="E886" s="182"/>
      <c r="F886" s="182"/>
      <c r="G886" s="182"/>
      <c r="H886" s="182"/>
      <c r="I886" s="182"/>
      <c r="J886" s="182"/>
      <c r="K886" s="182"/>
      <c r="L886" s="182"/>
      <c r="M886" s="179"/>
      <c r="N886" s="179"/>
      <c r="O886" s="179"/>
      <c r="P886" s="182"/>
      <c r="Q886" s="182"/>
      <c r="R886" s="182"/>
      <c r="S886" s="182"/>
      <c r="T886" s="182"/>
      <c r="U886" s="182"/>
      <c r="V886" s="182"/>
      <c r="W886" s="182"/>
      <c r="X886" s="182"/>
      <c r="Y886" s="182"/>
      <c r="Z886" s="182"/>
      <c r="AA886" s="182"/>
    </row>
    <row r="887" spans="1:27" ht="14.4">
      <c r="A887" s="182"/>
      <c r="B887" s="182"/>
      <c r="C887" s="182"/>
      <c r="D887" s="182"/>
      <c r="E887" s="182"/>
      <c r="F887" s="182"/>
      <c r="G887" s="182"/>
      <c r="H887" s="182"/>
      <c r="I887" s="182"/>
      <c r="J887" s="182"/>
      <c r="K887" s="182"/>
      <c r="L887" s="182"/>
      <c r="M887" s="179"/>
      <c r="N887" s="179"/>
      <c r="O887" s="179"/>
      <c r="P887" s="182"/>
      <c r="Q887" s="182"/>
      <c r="R887" s="182"/>
      <c r="S887" s="182"/>
      <c r="T887" s="182"/>
      <c r="U887" s="182"/>
      <c r="V887" s="182"/>
      <c r="W887" s="182"/>
      <c r="X887" s="182"/>
      <c r="Y887" s="182"/>
      <c r="Z887" s="182"/>
      <c r="AA887" s="182"/>
    </row>
    <row r="888" spans="1:27" ht="14.4">
      <c r="A888" s="182"/>
      <c r="B888" s="182"/>
      <c r="C888" s="182"/>
      <c r="D888" s="182"/>
      <c r="E888" s="182"/>
      <c r="F888" s="182"/>
      <c r="G888" s="182"/>
      <c r="H888" s="182"/>
      <c r="I888" s="182"/>
      <c r="J888" s="182"/>
      <c r="K888" s="182"/>
      <c r="L888" s="182"/>
      <c r="M888" s="179"/>
      <c r="N888" s="179"/>
      <c r="O888" s="179"/>
      <c r="P888" s="182"/>
      <c r="Q888" s="182"/>
      <c r="R888" s="182"/>
      <c r="S888" s="182"/>
      <c r="T888" s="182"/>
      <c r="U888" s="182"/>
      <c r="V888" s="182"/>
      <c r="W888" s="182"/>
      <c r="X888" s="182"/>
      <c r="Y888" s="182"/>
      <c r="Z888" s="182"/>
      <c r="AA888" s="182"/>
    </row>
    <row r="889" spans="1:27" ht="14.4">
      <c r="A889" s="182"/>
      <c r="B889" s="182"/>
      <c r="C889" s="182"/>
      <c r="D889" s="182"/>
      <c r="E889" s="182"/>
      <c r="F889" s="182"/>
      <c r="G889" s="182"/>
      <c r="H889" s="182"/>
      <c r="I889" s="182"/>
      <c r="J889" s="182"/>
      <c r="K889" s="182"/>
      <c r="L889" s="182"/>
      <c r="M889" s="179"/>
      <c r="N889" s="179"/>
      <c r="O889" s="179"/>
      <c r="P889" s="182"/>
      <c r="Q889" s="182"/>
      <c r="R889" s="182"/>
      <c r="S889" s="182"/>
      <c r="T889" s="182"/>
      <c r="U889" s="182"/>
      <c r="V889" s="182"/>
      <c r="W889" s="182"/>
      <c r="X889" s="182"/>
      <c r="Y889" s="182"/>
      <c r="Z889" s="182"/>
      <c r="AA889" s="182"/>
    </row>
    <row r="890" spans="1:27" ht="14.4">
      <c r="A890" s="182"/>
      <c r="B890" s="182"/>
      <c r="C890" s="182"/>
      <c r="D890" s="182"/>
      <c r="E890" s="182"/>
      <c r="F890" s="182"/>
      <c r="G890" s="182"/>
      <c r="H890" s="182"/>
      <c r="I890" s="182"/>
      <c r="J890" s="182"/>
      <c r="K890" s="182"/>
      <c r="L890" s="182"/>
      <c r="M890" s="179"/>
      <c r="N890" s="179"/>
      <c r="O890" s="179"/>
      <c r="P890" s="182"/>
      <c r="Q890" s="182"/>
      <c r="R890" s="182"/>
      <c r="S890" s="182"/>
      <c r="T890" s="182"/>
      <c r="U890" s="182"/>
      <c r="V890" s="182"/>
      <c r="W890" s="182"/>
      <c r="X890" s="182"/>
      <c r="Y890" s="182"/>
      <c r="Z890" s="182"/>
      <c r="AA890" s="182"/>
    </row>
    <row r="891" spans="1:27" ht="14.4">
      <c r="A891" s="182"/>
      <c r="B891" s="182"/>
      <c r="C891" s="182"/>
      <c r="D891" s="182"/>
      <c r="E891" s="182"/>
      <c r="F891" s="182"/>
      <c r="G891" s="182"/>
      <c r="H891" s="182"/>
      <c r="I891" s="182"/>
      <c r="J891" s="182"/>
      <c r="K891" s="182"/>
      <c r="L891" s="182"/>
      <c r="M891" s="179"/>
      <c r="N891" s="179"/>
      <c r="O891" s="179"/>
      <c r="P891" s="182"/>
      <c r="Q891" s="182"/>
      <c r="R891" s="182"/>
      <c r="S891" s="182"/>
      <c r="T891" s="182"/>
      <c r="U891" s="182"/>
      <c r="V891" s="182"/>
      <c r="W891" s="182"/>
      <c r="X891" s="182"/>
      <c r="Y891" s="182"/>
      <c r="Z891" s="182"/>
      <c r="AA891" s="182"/>
    </row>
    <row r="892" spans="1:27" ht="14.4">
      <c r="A892" s="182"/>
      <c r="B892" s="182"/>
      <c r="C892" s="182"/>
      <c r="D892" s="182"/>
      <c r="E892" s="182"/>
      <c r="F892" s="182"/>
      <c r="G892" s="182"/>
      <c r="H892" s="182"/>
      <c r="I892" s="182"/>
      <c r="J892" s="182"/>
      <c r="K892" s="182"/>
      <c r="L892" s="182"/>
      <c r="M892" s="179"/>
      <c r="N892" s="179"/>
      <c r="O892" s="179"/>
      <c r="P892" s="182"/>
      <c r="Q892" s="182"/>
      <c r="R892" s="182"/>
      <c r="S892" s="182"/>
      <c r="T892" s="182"/>
      <c r="U892" s="182"/>
      <c r="V892" s="182"/>
      <c r="W892" s="182"/>
      <c r="X892" s="182"/>
      <c r="Y892" s="182"/>
      <c r="Z892" s="182"/>
      <c r="AA892" s="182"/>
    </row>
    <row r="893" spans="1:27" ht="14.4">
      <c r="A893" s="182"/>
      <c r="B893" s="182"/>
      <c r="C893" s="182"/>
      <c r="D893" s="182"/>
      <c r="E893" s="182"/>
      <c r="F893" s="182"/>
      <c r="G893" s="182"/>
      <c r="H893" s="182"/>
      <c r="I893" s="182"/>
      <c r="J893" s="182"/>
      <c r="K893" s="182"/>
      <c r="L893" s="182"/>
      <c r="M893" s="179"/>
      <c r="N893" s="179"/>
      <c r="O893" s="179"/>
      <c r="P893" s="182"/>
      <c r="Q893" s="182"/>
      <c r="R893" s="182"/>
      <c r="S893" s="182"/>
      <c r="T893" s="182"/>
      <c r="U893" s="182"/>
      <c r="V893" s="182"/>
      <c r="W893" s="182"/>
      <c r="X893" s="182"/>
      <c r="Y893" s="182"/>
      <c r="Z893" s="182"/>
      <c r="AA893" s="182"/>
    </row>
    <row r="894" spans="1:27" ht="14.4">
      <c r="A894" s="182"/>
      <c r="B894" s="182"/>
      <c r="C894" s="182"/>
      <c r="D894" s="182"/>
      <c r="E894" s="182"/>
      <c r="F894" s="182"/>
      <c r="G894" s="182"/>
      <c r="H894" s="182"/>
      <c r="I894" s="182"/>
      <c r="J894" s="182"/>
      <c r="K894" s="182"/>
      <c r="L894" s="182"/>
      <c r="M894" s="179"/>
      <c r="N894" s="179"/>
      <c r="O894" s="179"/>
      <c r="P894" s="182"/>
      <c r="Q894" s="182"/>
      <c r="R894" s="182"/>
      <c r="S894" s="182"/>
      <c r="T894" s="182"/>
      <c r="U894" s="182"/>
      <c r="V894" s="182"/>
      <c r="W894" s="182"/>
      <c r="X894" s="182"/>
      <c r="Y894" s="182"/>
      <c r="Z894" s="182"/>
      <c r="AA894" s="182"/>
    </row>
    <row r="895" spans="1:27" ht="14.4">
      <c r="A895" s="182"/>
      <c r="B895" s="182"/>
      <c r="C895" s="182"/>
      <c r="D895" s="182"/>
      <c r="E895" s="182"/>
      <c r="F895" s="182"/>
      <c r="G895" s="182"/>
      <c r="H895" s="182"/>
      <c r="I895" s="182"/>
      <c r="J895" s="182"/>
      <c r="K895" s="182"/>
      <c r="L895" s="182"/>
      <c r="M895" s="179"/>
      <c r="N895" s="179"/>
      <c r="O895" s="179"/>
      <c r="P895" s="182"/>
      <c r="Q895" s="182"/>
      <c r="R895" s="182"/>
      <c r="S895" s="182"/>
      <c r="T895" s="182"/>
      <c r="U895" s="182"/>
      <c r="V895" s="182"/>
      <c r="W895" s="182"/>
      <c r="X895" s="182"/>
      <c r="Y895" s="182"/>
      <c r="Z895" s="182"/>
      <c r="AA895" s="182"/>
    </row>
    <row r="896" spans="1:27" ht="14.4">
      <c r="A896" s="182"/>
      <c r="B896" s="182"/>
      <c r="C896" s="182"/>
      <c r="D896" s="182"/>
      <c r="E896" s="182"/>
      <c r="F896" s="182"/>
      <c r="G896" s="182"/>
      <c r="H896" s="182"/>
      <c r="I896" s="182"/>
      <c r="J896" s="182"/>
      <c r="K896" s="182"/>
      <c r="L896" s="182"/>
      <c r="M896" s="179"/>
      <c r="N896" s="179"/>
      <c r="O896" s="179"/>
      <c r="P896" s="182"/>
      <c r="Q896" s="182"/>
      <c r="R896" s="182"/>
      <c r="S896" s="182"/>
      <c r="T896" s="182"/>
      <c r="U896" s="182"/>
      <c r="V896" s="182"/>
      <c r="W896" s="182"/>
      <c r="X896" s="182"/>
      <c r="Y896" s="182"/>
      <c r="Z896" s="182"/>
      <c r="AA896" s="182"/>
    </row>
    <row r="897" spans="1:27" ht="14.4">
      <c r="A897" s="182"/>
      <c r="B897" s="182"/>
      <c r="C897" s="182"/>
      <c r="D897" s="182"/>
      <c r="E897" s="182"/>
      <c r="F897" s="182"/>
      <c r="G897" s="182"/>
      <c r="H897" s="182"/>
      <c r="I897" s="182"/>
      <c r="J897" s="182"/>
      <c r="K897" s="182"/>
      <c r="L897" s="182"/>
      <c r="M897" s="179"/>
      <c r="N897" s="179"/>
      <c r="O897" s="179"/>
      <c r="P897" s="182"/>
      <c r="Q897" s="182"/>
      <c r="R897" s="182"/>
      <c r="S897" s="182"/>
      <c r="T897" s="182"/>
      <c r="U897" s="182"/>
      <c r="V897" s="182"/>
      <c r="W897" s="182"/>
      <c r="X897" s="182"/>
      <c r="Y897" s="182"/>
      <c r="Z897" s="182"/>
      <c r="AA897" s="182"/>
    </row>
    <row r="898" spans="1:27" ht="14.4">
      <c r="A898" s="182"/>
      <c r="B898" s="182"/>
      <c r="C898" s="182"/>
      <c r="D898" s="182"/>
      <c r="E898" s="182"/>
      <c r="F898" s="182"/>
      <c r="G898" s="182"/>
      <c r="H898" s="182"/>
      <c r="I898" s="182"/>
      <c r="J898" s="182"/>
      <c r="K898" s="182"/>
      <c r="L898" s="182"/>
      <c r="M898" s="179"/>
      <c r="N898" s="179"/>
      <c r="O898" s="179"/>
      <c r="P898" s="182"/>
      <c r="Q898" s="182"/>
      <c r="R898" s="182"/>
      <c r="S898" s="182"/>
      <c r="T898" s="182"/>
      <c r="U898" s="182"/>
      <c r="V898" s="182"/>
      <c r="W898" s="182"/>
      <c r="X898" s="182"/>
      <c r="Y898" s="182"/>
      <c r="Z898" s="182"/>
      <c r="AA898" s="182"/>
    </row>
    <row r="899" spans="1:27" ht="14.4">
      <c r="A899" s="182"/>
      <c r="B899" s="182"/>
      <c r="C899" s="182"/>
      <c r="D899" s="182"/>
      <c r="E899" s="182"/>
      <c r="F899" s="182"/>
      <c r="G899" s="182"/>
      <c r="H899" s="182"/>
      <c r="I899" s="182"/>
      <c r="J899" s="182"/>
      <c r="K899" s="182"/>
      <c r="L899" s="182"/>
      <c r="M899" s="179"/>
      <c r="N899" s="179"/>
      <c r="O899" s="179"/>
      <c r="P899" s="182"/>
      <c r="Q899" s="182"/>
      <c r="R899" s="182"/>
      <c r="S899" s="182"/>
      <c r="T899" s="182"/>
      <c r="U899" s="182"/>
      <c r="V899" s="182"/>
      <c r="W899" s="182"/>
      <c r="X899" s="182"/>
      <c r="Y899" s="182"/>
      <c r="Z899" s="182"/>
      <c r="AA899" s="182"/>
    </row>
    <row r="900" spans="1:27" ht="14.4">
      <c r="A900" s="182"/>
      <c r="B900" s="182"/>
      <c r="C900" s="182"/>
      <c r="D900" s="182"/>
      <c r="E900" s="182"/>
      <c r="F900" s="182"/>
      <c r="G900" s="182"/>
      <c r="H900" s="182"/>
      <c r="I900" s="182"/>
      <c r="J900" s="182"/>
      <c r="K900" s="182"/>
      <c r="L900" s="182"/>
      <c r="M900" s="179"/>
      <c r="N900" s="179"/>
      <c r="O900" s="179"/>
      <c r="P900" s="182"/>
      <c r="Q900" s="182"/>
      <c r="R900" s="182"/>
      <c r="S900" s="182"/>
      <c r="T900" s="182"/>
      <c r="U900" s="182"/>
      <c r="V900" s="182"/>
      <c r="W900" s="182"/>
      <c r="X900" s="182"/>
      <c r="Y900" s="182"/>
      <c r="Z900" s="182"/>
      <c r="AA900" s="182"/>
    </row>
    <row r="901" spans="1:27" ht="14.4">
      <c r="A901" s="182"/>
      <c r="B901" s="182"/>
      <c r="C901" s="182"/>
      <c r="D901" s="182"/>
      <c r="E901" s="182"/>
      <c r="F901" s="182"/>
      <c r="G901" s="182"/>
      <c r="H901" s="182"/>
      <c r="I901" s="182"/>
      <c r="J901" s="182"/>
      <c r="K901" s="182"/>
      <c r="L901" s="182"/>
      <c r="M901" s="179"/>
      <c r="N901" s="179"/>
      <c r="O901" s="179"/>
      <c r="P901" s="182"/>
      <c r="Q901" s="182"/>
      <c r="R901" s="182"/>
      <c r="S901" s="182"/>
      <c r="T901" s="182"/>
      <c r="U901" s="182"/>
      <c r="V901" s="182"/>
      <c r="W901" s="182"/>
      <c r="X901" s="182"/>
      <c r="Y901" s="182"/>
      <c r="Z901" s="182"/>
      <c r="AA901" s="182"/>
    </row>
    <row r="902" spans="1:27" ht="14.4">
      <c r="A902" s="182"/>
      <c r="B902" s="182"/>
      <c r="C902" s="182"/>
      <c r="D902" s="182"/>
      <c r="E902" s="182"/>
      <c r="F902" s="182"/>
      <c r="G902" s="182"/>
      <c r="H902" s="182"/>
      <c r="I902" s="182"/>
      <c r="J902" s="182"/>
      <c r="K902" s="182"/>
      <c r="L902" s="182"/>
      <c r="M902" s="179"/>
      <c r="N902" s="179"/>
      <c r="O902" s="179"/>
      <c r="P902" s="182"/>
      <c r="Q902" s="182"/>
      <c r="R902" s="182"/>
      <c r="S902" s="182"/>
      <c r="T902" s="182"/>
      <c r="U902" s="182"/>
      <c r="V902" s="182"/>
      <c r="W902" s="182"/>
      <c r="X902" s="182"/>
      <c r="Y902" s="182"/>
      <c r="Z902" s="182"/>
      <c r="AA902" s="182"/>
    </row>
    <row r="903" spans="1:27" ht="14.4">
      <c r="A903" s="182"/>
      <c r="B903" s="182"/>
      <c r="C903" s="182"/>
      <c r="D903" s="182"/>
      <c r="E903" s="182"/>
      <c r="F903" s="182"/>
      <c r="G903" s="182"/>
      <c r="H903" s="182"/>
      <c r="I903" s="182"/>
      <c r="J903" s="182"/>
      <c r="K903" s="182"/>
      <c r="L903" s="182"/>
      <c r="M903" s="179"/>
      <c r="N903" s="179"/>
      <c r="O903" s="179"/>
      <c r="P903" s="182"/>
      <c r="Q903" s="182"/>
      <c r="R903" s="182"/>
      <c r="S903" s="182"/>
      <c r="T903" s="182"/>
      <c r="U903" s="182"/>
      <c r="V903" s="182"/>
      <c r="W903" s="182"/>
      <c r="X903" s="182"/>
      <c r="Y903" s="182"/>
      <c r="Z903" s="182"/>
      <c r="AA903" s="182"/>
    </row>
    <row r="904" spans="1:27" ht="14.4">
      <c r="A904" s="182"/>
      <c r="B904" s="182"/>
      <c r="C904" s="182"/>
      <c r="D904" s="182"/>
      <c r="E904" s="182"/>
      <c r="F904" s="182"/>
      <c r="G904" s="182"/>
      <c r="H904" s="182"/>
      <c r="I904" s="182"/>
      <c r="J904" s="182"/>
      <c r="K904" s="182"/>
      <c r="L904" s="182"/>
      <c r="M904" s="179"/>
      <c r="N904" s="179"/>
      <c r="O904" s="179"/>
      <c r="P904" s="182"/>
      <c r="Q904" s="182"/>
      <c r="R904" s="182"/>
      <c r="S904" s="182"/>
      <c r="T904" s="182"/>
      <c r="U904" s="182"/>
      <c r="V904" s="182"/>
      <c r="W904" s="182"/>
      <c r="X904" s="182"/>
      <c r="Y904" s="182"/>
      <c r="Z904" s="182"/>
      <c r="AA904" s="182"/>
    </row>
    <row r="905" spans="1:27" ht="14.4">
      <c r="A905" s="182"/>
      <c r="B905" s="182"/>
      <c r="C905" s="182"/>
      <c r="D905" s="182"/>
      <c r="E905" s="182"/>
      <c r="F905" s="182"/>
      <c r="G905" s="182"/>
      <c r="H905" s="182"/>
      <c r="I905" s="182"/>
      <c r="J905" s="182"/>
      <c r="K905" s="182"/>
      <c r="L905" s="182"/>
      <c r="M905" s="179"/>
      <c r="N905" s="179"/>
      <c r="O905" s="179"/>
      <c r="P905" s="182"/>
      <c r="Q905" s="182"/>
      <c r="R905" s="182"/>
      <c r="S905" s="182"/>
      <c r="T905" s="182"/>
      <c r="U905" s="182"/>
      <c r="V905" s="182"/>
      <c r="W905" s="182"/>
      <c r="X905" s="182"/>
      <c r="Y905" s="182"/>
      <c r="Z905" s="182"/>
      <c r="AA905" s="182"/>
    </row>
    <row r="906" spans="1:27" ht="14.4">
      <c r="A906" s="182"/>
      <c r="B906" s="182"/>
      <c r="C906" s="182"/>
      <c r="D906" s="182"/>
      <c r="E906" s="182"/>
      <c r="F906" s="182"/>
      <c r="G906" s="182"/>
      <c r="H906" s="182"/>
      <c r="I906" s="182"/>
      <c r="J906" s="182"/>
      <c r="K906" s="182"/>
      <c r="L906" s="182"/>
      <c r="M906" s="179"/>
      <c r="N906" s="179"/>
      <c r="O906" s="179"/>
      <c r="P906" s="182"/>
      <c r="Q906" s="182"/>
      <c r="R906" s="182"/>
      <c r="S906" s="182"/>
      <c r="T906" s="182"/>
      <c r="U906" s="182"/>
      <c r="V906" s="182"/>
      <c r="W906" s="182"/>
      <c r="X906" s="182"/>
      <c r="Y906" s="182"/>
      <c r="Z906" s="182"/>
      <c r="AA906" s="182"/>
    </row>
    <row r="907" spans="1:27" ht="14.4">
      <c r="A907" s="182"/>
      <c r="B907" s="182"/>
      <c r="C907" s="182"/>
      <c r="D907" s="182"/>
      <c r="E907" s="182"/>
      <c r="F907" s="182"/>
      <c r="G907" s="182"/>
      <c r="H907" s="182"/>
      <c r="I907" s="182"/>
      <c r="J907" s="182"/>
      <c r="K907" s="182"/>
      <c r="L907" s="182"/>
      <c r="M907" s="179"/>
      <c r="N907" s="179"/>
      <c r="O907" s="179"/>
      <c r="P907" s="182"/>
      <c r="Q907" s="182"/>
      <c r="R907" s="182"/>
      <c r="S907" s="182"/>
      <c r="T907" s="182"/>
      <c r="U907" s="182"/>
      <c r="V907" s="182"/>
      <c r="W907" s="182"/>
      <c r="X907" s="182"/>
      <c r="Y907" s="182"/>
      <c r="Z907" s="182"/>
      <c r="AA907" s="182"/>
    </row>
    <row r="908" spans="1:27" ht="14.4">
      <c r="A908" s="182"/>
      <c r="B908" s="182"/>
      <c r="C908" s="182"/>
      <c r="D908" s="182"/>
      <c r="E908" s="182"/>
      <c r="F908" s="182"/>
      <c r="G908" s="182"/>
      <c r="H908" s="182"/>
      <c r="I908" s="182"/>
      <c r="J908" s="182"/>
      <c r="K908" s="182"/>
      <c r="L908" s="182"/>
      <c r="M908" s="179"/>
      <c r="N908" s="179"/>
      <c r="O908" s="179"/>
      <c r="P908" s="182"/>
      <c r="Q908" s="182"/>
      <c r="R908" s="182"/>
      <c r="S908" s="182"/>
      <c r="T908" s="182"/>
      <c r="U908" s="182"/>
      <c r="V908" s="182"/>
      <c r="W908" s="182"/>
      <c r="X908" s="182"/>
      <c r="Y908" s="182"/>
      <c r="Z908" s="182"/>
      <c r="AA908" s="182"/>
    </row>
    <row r="909" spans="1:27" ht="14.4">
      <c r="A909" s="182"/>
      <c r="B909" s="182"/>
      <c r="C909" s="182"/>
      <c r="D909" s="182"/>
      <c r="E909" s="182"/>
      <c r="F909" s="182"/>
      <c r="G909" s="182"/>
      <c r="H909" s="182"/>
      <c r="I909" s="182"/>
      <c r="J909" s="182"/>
      <c r="K909" s="182"/>
      <c r="L909" s="182"/>
      <c r="M909" s="179"/>
      <c r="N909" s="179"/>
      <c r="O909" s="179"/>
      <c r="P909" s="182"/>
      <c r="Q909" s="182"/>
      <c r="R909" s="182"/>
      <c r="S909" s="182"/>
      <c r="T909" s="182"/>
      <c r="U909" s="182"/>
      <c r="V909" s="182"/>
      <c r="W909" s="182"/>
      <c r="X909" s="182"/>
      <c r="Y909" s="182"/>
      <c r="Z909" s="182"/>
      <c r="AA909" s="182"/>
    </row>
    <row r="910" spans="1:27" ht="14.4">
      <c r="A910" s="182"/>
      <c r="B910" s="182"/>
      <c r="C910" s="182"/>
      <c r="D910" s="182"/>
      <c r="E910" s="182"/>
      <c r="F910" s="182"/>
      <c r="G910" s="182"/>
      <c r="H910" s="182"/>
      <c r="I910" s="182"/>
      <c r="J910" s="182"/>
      <c r="K910" s="182"/>
      <c r="L910" s="182"/>
      <c r="M910" s="179"/>
      <c r="N910" s="179"/>
      <c r="O910" s="179"/>
      <c r="P910" s="182"/>
      <c r="Q910" s="182"/>
      <c r="R910" s="182"/>
      <c r="S910" s="182"/>
      <c r="T910" s="182"/>
      <c r="U910" s="182"/>
      <c r="V910" s="182"/>
      <c r="W910" s="182"/>
      <c r="X910" s="182"/>
      <c r="Y910" s="182"/>
      <c r="Z910" s="182"/>
      <c r="AA910" s="182"/>
    </row>
    <row r="911" spans="1:27" ht="14.4">
      <c r="A911" s="182"/>
      <c r="B911" s="182"/>
      <c r="C911" s="182"/>
      <c r="D911" s="182"/>
      <c r="E911" s="182"/>
      <c r="F911" s="182"/>
      <c r="G911" s="182"/>
      <c r="H911" s="182"/>
      <c r="I911" s="182"/>
      <c r="J911" s="182"/>
      <c r="K911" s="182"/>
      <c r="L911" s="182"/>
      <c r="M911" s="179"/>
      <c r="N911" s="179"/>
      <c r="O911" s="179"/>
      <c r="P911" s="182"/>
      <c r="Q911" s="182"/>
      <c r="R911" s="182"/>
      <c r="S911" s="182"/>
      <c r="T911" s="182"/>
      <c r="U911" s="182"/>
      <c r="V911" s="182"/>
      <c r="W911" s="182"/>
      <c r="X911" s="182"/>
      <c r="Y911" s="182"/>
      <c r="Z911" s="182"/>
      <c r="AA911" s="182"/>
    </row>
    <row r="912" spans="1:27" ht="14.4">
      <c r="A912" s="182"/>
      <c r="B912" s="182"/>
      <c r="C912" s="182"/>
      <c r="D912" s="182"/>
      <c r="E912" s="182"/>
      <c r="F912" s="182"/>
      <c r="G912" s="182"/>
      <c r="H912" s="182"/>
      <c r="I912" s="182"/>
      <c r="J912" s="182"/>
      <c r="K912" s="182"/>
      <c r="L912" s="182"/>
      <c r="M912" s="179"/>
      <c r="N912" s="179"/>
      <c r="O912" s="179"/>
      <c r="P912" s="182"/>
      <c r="Q912" s="182"/>
      <c r="R912" s="182"/>
      <c r="S912" s="182"/>
      <c r="T912" s="182"/>
      <c r="U912" s="182"/>
      <c r="V912" s="182"/>
      <c r="W912" s="182"/>
      <c r="X912" s="182"/>
      <c r="Y912" s="182"/>
      <c r="Z912" s="182"/>
      <c r="AA912" s="182"/>
    </row>
    <row r="913" spans="1:27" ht="14.4">
      <c r="A913" s="182"/>
      <c r="B913" s="182"/>
      <c r="C913" s="182"/>
      <c r="D913" s="182"/>
      <c r="E913" s="182"/>
      <c r="F913" s="182"/>
      <c r="G913" s="182"/>
      <c r="H913" s="182"/>
      <c r="I913" s="182"/>
      <c r="J913" s="182"/>
      <c r="K913" s="182"/>
      <c r="L913" s="182"/>
      <c r="M913" s="179"/>
      <c r="N913" s="179"/>
      <c r="O913" s="179"/>
      <c r="P913" s="182"/>
      <c r="Q913" s="182"/>
      <c r="R913" s="182"/>
      <c r="S913" s="182"/>
      <c r="T913" s="182"/>
      <c r="U913" s="182"/>
      <c r="V913" s="182"/>
      <c r="W913" s="182"/>
      <c r="X913" s="182"/>
      <c r="Y913" s="182"/>
      <c r="Z913" s="182"/>
      <c r="AA913" s="182"/>
    </row>
    <row r="914" spans="1:27" ht="14.4">
      <c r="A914" s="182"/>
      <c r="B914" s="182"/>
      <c r="C914" s="182"/>
      <c r="D914" s="182"/>
      <c r="E914" s="182"/>
      <c r="F914" s="182"/>
      <c r="G914" s="182"/>
      <c r="H914" s="182"/>
      <c r="I914" s="182"/>
      <c r="J914" s="182"/>
      <c r="K914" s="182"/>
      <c r="L914" s="182"/>
      <c r="M914" s="179"/>
      <c r="N914" s="179"/>
      <c r="O914" s="179"/>
      <c r="P914" s="182"/>
      <c r="Q914" s="182"/>
      <c r="R914" s="182"/>
      <c r="S914" s="182"/>
      <c r="T914" s="182"/>
      <c r="U914" s="182"/>
      <c r="V914" s="182"/>
      <c r="W914" s="182"/>
      <c r="X914" s="182"/>
      <c r="Y914" s="182"/>
      <c r="Z914" s="182"/>
      <c r="AA914" s="182"/>
    </row>
    <row r="915" spans="1:27" ht="14.4">
      <c r="A915" s="182"/>
      <c r="B915" s="182"/>
      <c r="C915" s="182"/>
      <c r="D915" s="182"/>
      <c r="E915" s="182"/>
      <c r="F915" s="182"/>
      <c r="G915" s="182"/>
      <c r="H915" s="182"/>
      <c r="I915" s="182"/>
      <c r="J915" s="182"/>
      <c r="K915" s="182"/>
      <c r="L915" s="182"/>
      <c r="M915" s="179"/>
      <c r="N915" s="179"/>
      <c r="O915" s="179"/>
      <c r="P915" s="182"/>
      <c r="Q915" s="182"/>
      <c r="R915" s="182"/>
      <c r="S915" s="182"/>
      <c r="T915" s="182"/>
      <c r="U915" s="182"/>
      <c r="V915" s="182"/>
      <c r="W915" s="182"/>
      <c r="X915" s="182"/>
      <c r="Y915" s="182"/>
      <c r="Z915" s="182"/>
      <c r="AA915" s="182"/>
    </row>
    <row r="916" spans="1:27" ht="14.4">
      <c r="A916" s="182"/>
      <c r="B916" s="182"/>
      <c r="C916" s="182"/>
      <c r="D916" s="182"/>
      <c r="E916" s="182"/>
      <c r="F916" s="182"/>
      <c r="G916" s="182"/>
      <c r="H916" s="182"/>
      <c r="I916" s="182"/>
      <c r="J916" s="182"/>
      <c r="K916" s="182"/>
      <c r="L916" s="182"/>
      <c r="M916" s="179"/>
      <c r="N916" s="179"/>
      <c r="O916" s="179"/>
      <c r="P916" s="182"/>
      <c r="Q916" s="182"/>
      <c r="R916" s="182"/>
      <c r="S916" s="182"/>
      <c r="T916" s="182"/>
      <c r="U916" s="182"/>
      <c r="V916" s="182"/>
      <c r="W916" s="182"/>
      <c r="X916" s="182"/>
      <c r="Y916" s="182"/>
      <c r="Z916" s="182"/>
      <c r="AA916" s="182"/>
    </row>
    <row r="917" spans="1:27" ht="14.4">
      <c r="A917" s="182"/>
      <c r="B917" s="182"/>
      <c r="C917" s="182"/>
      <c r="D917" s="182"/>
      <c r="E917" s="182"/>
      <c r="F917" s="182"/>
      <c r="G917" s="182"/>
      <c r="H917" s="182"/>
      <c r="I917" s="182"/>
      <c r="J917" s="182"/>
      <c r="K917" s="182"/>
      <c r="L917" s="182"/>
      <c r="M917" s="179"/>
      <c r="N917" s="179"/>
      <c r="O917" s="179"/>
      <c r="P917" s="182"/>
      <c r="Q917" s="182"/>
      <c r="R917" s="182"/>
      <c r="S917" s="182"/>
      <c r="T917" s="182"/>
      <c r="U917" s="182"/>
      <c r="V917" s="182"/>
      <c r="W917" s="182"/>
      <c r="X917" s="182"/>
      <c r="Y917" s="182"/>
      <c r="Z917" s="182"/>
      <c r="AA917" s="182"/>
    </row>
    <row r="918" spans="1:27" ht="14.4">
      <c r="A918" s="182"/>
      <c r="B918" s="182"/>
      <c r="C918" s="182"/>
      <c r="D918" s="182"/>
      <c r="E918" s="182"/>
      <c r="F918" s="182"/>
      <c r="G918" s="182"/>
      <c r="H918" s="182"/>
      <c r="I918" s="182"/>
      <c r="J918" s="182"/>
      <c r="K918" s="182"/>
      <c r="L918" s="182"/>
      <c r="M918" s="179"/>
      <c r="N918" s="179"/>
      <c r="O918" s="179"/>
      <c r="P918" s="182"/>
      <c r="Q918" s="182"/>
      <c r="R918" s="182"/>
      <c r="S918" s="182"/>
      <c r="T918" s="182"/>
      <c r="U918" s="182"/>
      <c r="V918" s="182"/>
      <c r="W918" s="182"/>
      <c r="X918" s="182"/>
      <c r="Y918" s="182"/>
      <c r="Z918" s="182"/>
      <c r="AA918" s="182"/>
    </row>
    <row r="919" spans="1:27" ht="14.4">
      <c r="A919" s="182"/>
      <c r="B919" s="182"/>
      <c r="C919" s="182"/>
      <c r="D919" s="182"/>
      <c r="E919" s="182"/>
      <c r="F919" s="182"/>
      <c r="G919" s="182"/>
      <c r="H919" s="182"/>
      <c r="I919" s="182"/>
      <c r="J919" s="182"/>
      <c r="K919" s="182"/>
      <c r="L919" s="182"/>
      <c r="M919" s="179"/>
      <c r="N919" s="179"/>
      <c r="O919" s="179"/>
      <c r="P919" s="182"/>
      <c r="Q919" s="182"/>
      <c r="R919" s="182"/>
      <c r="S919" s="182"/>
      <c r="T919" s="182"/>
      <c r="U919" s="182"/>
      <c r="V919" s="182"/>
      <c r="W919" s="182"/>
      <c r="X919" s="182"/>
      <c r="Y919" s="182"/>
      <c r="Z919" s="182"/>
      <c r="AA919" s="182"/>
    </row>
    <row r="920" spans="1:27" ht="14.4">
      <c r="A920" s="182"/>
      <c r="B920" s="182"/>
      <c r="C920" s="182"/>
      <c r="D920" s="182"/>
      <c r="E920" s="182"/>
      <c r="F920" s="182"/>
      <c r="G920" s="182"/>
      <c r="H920" s="182"/>
      <c r="I920" s="182"/>
      <c r="J920" s="182"/>
      <c r="K920" s="182"/>
      <c r="L920" s="182"/>
      <c r="M920" s="179"/>
      <c r="N920" s="179"/>
      <c r="O920" s="179"/>
      <c r="P920" s="182"/>
      <c r="Q920" s="182"/>
      <c r="R920" s="182"/>
      <c r="S920" s="182"/>
      <c r="T920" s="182"/>
      <c r="U920" s="182"/>
      <c r="V920" s="182"/>
      <c r="W920" s="182"/>
      <c r="X920" s="182"/>
      <c r="Y920" s="182"/>
      <c r="Z920" s="182"/>
      <c r="AA920" s="182"/>
    </row>
    <row r="921" spans="1:27" ht="14.4">
      <c r="A921" s="182"/>
      <c r="B921" s="182"/>
      <c r="C921" s="182"/>
      <c r="D921" s="182"/>
      <c r="E921" s="182"/>
      <c r="F921" s="182"/>
      <c r="G921" s="182"/>
      <c r="H921" s="182"/>
      <c r="I921" s="182"/>
      <c r="J921" s="182"/>
      <c r="K921" s="182"/>
      <c r="L921" s="182"/>
      <c r="M921" s="179"/>
      <c r="N921" s="179"/>
      <c r="O921" s="179"/>
      <c r="P921" s="182"/>
      <c r="Q921" s="182"/>
      <c r="R921" s="182"/>
      <c r="S921" s="182"/>
      <c r="T921" s="182"/>
      <c r="U921" s="182"/>
      <c r="V921" s="182"/>
      <c r="W921" s="182"/>
      <c r="X921" s="182"/>
      <c r="Y921" s="182"/>
      <c r="Z921" s="182"/>
      <c r="AA921" s="182"/>
    </row>
    <row r="922" spans="1:27" ht="14.4">
      <c r="A922" s="182"/>
      <c r="B922" s="182"/>
      <c r="C922" s="182"/>
      <c r="D922" s="182"/>
      <c r="E922" s="182"/>
      <c r="F922" s="182"/>
      <c r="G922" s="182"/>
      <c r="H922" s="182"/>
      <c r="I922" s="182"/>
      <c r="J922" s="182"/>
      <c r="K922" s="182"/>
      <c r="L922" s="182"/>
      <c r="M922" s="179"/>
      <c r="N922" s="179"/>
      <c r="O922" s="179"/>
      <c r="P922" s="182"/>
      <c r="Q922" s="182"/>
      <c r="R922" s="182"/>
      <c r="S922" s="182"/>
      <c r="T922" s="182"/>
      <c r="U922" s="182"/>
      <c r="V922" s="182"/>
      <c r="W922" s="182"/>
      <c r="X922" s="182"/>
      <c r="Y922" s="182"/>
      <c r="Z922" s="182"/>
      <c r="AA922" s="182"/>
    </row>
    <row r="923" spans="1:27" ht="14.4">
      <c r="A923" s="182"/>
      <c r="B923" s="182"/>
      <c r="C923" s="182"/>
      <c r="D923" s="182"/>
      <c r="E923" s="182"/>
      <c r="F923" s="182"/>
      <c r="G923" s="182"/>
      <c r="H923" s="182"/>
      <c r="I923" s="182"/>
      <c r="J923" s="182"/>
      <c r="K923" s="182"/>
      <c r="L923" s="182"/>
      <c r="M923" s="179"/>
      <c r="N923" s="179"/>
      <c r="O923" s="179"/>
      <c r="P923" s="182"/>
      <c r="Q923" s="182"/>
      <c r="R923" s="182"/>
      <c r="S923" s="182"/>
      <c r="T923" s="182"/>
      <c r="U923" s="182"/>
      <c r="V923" s="182"/>
      <c r="W923" s="182"/>
      <c r="X923" s="182"/>
      <c r="Y923" s="182"/>
      <c r="Z923" s="182"/>
      <c r="AA923" s="182"/>
    </row>
    <row r="924" spans="1:27" ht="14.4">
      <c r="A924" s="182"/>
      <c r="B924" s="182"/>
      <c r="C924" s="182"/>
      <c r="D924" s="182"/>
      <c r="E924" s="182"/>
      <c r="F924" s="182"/>
      <c r="G924" s="182"/>
      <c r="H924" s="182"/>
      <c r="I924" s="182"/>
      <c r="J924" s="182"/>
      <c r="K924" s="182"/>
      <c r="L924" s="182"/>
      <c r="M924" s="179"/>
      <c r="N924" s="179"/>
      <c r="O924" s="179"/>
      <c r="P924" s="182"/>
      <c r="Q924" s="182"/>
      <c r="R924" s="182"/>
      <c r="S924" s="182"/>
      <c r="T924" s="182"/>
      <c r="U924" s="182"/>
      <c r="V924" s="182"/>
      <c r="W924" s="182"/>
      <c r="X924" s="182"/>
      <c r="Y924" s="182"/>
      <c r="Z924" s="182"/>
      <c r="AA924" s="182"/>
    </row>
    <row r="925" spans="1:27" ht="14.4">
      <c r="A925" s="182"/>
      <c r="B925" s="182"/>
      <c r="C925" s="182"/>
      <c r="D925" s="182"/>
      <c r="E925" s="182"/>
      <c r="F925" s="182"/>
      <c r="G925" s="182"/>
      <c r="H925" s="182"/>
      <c r="I925" s="182"/>
      <c r="J925" s="182"/>
      <c r="K925" s="182"/>
      <c r="L925" s="182"/>
      <c r="M925" s="179"/>
      <c r="N925" s="179"/>
      <c r="O925" s="179"/>
      <c r="P925" s="182"/>
      <c r="Q925" s="182"/>
      <c r="R925" s="182"/>
      <c r="S925" s="182"/>
      <c r="T925" s="182"/>
      <c r="U925" s="182"/>
      <c r="V925" s="182"/>
      <c r="W925" s="182"/>
      <c r="X925" s="182"/>
      <c r="Y925" s="182"/>
      <c r="Z925" s="182"/>
      <c r="AA925" s="182"/>
    </row>
    <row r="926" spans="1:27" ht="14.4">
      <c r="A926" s="182"/>
      <c r="B926" s="182"/>
      <c r="C926" s="182"/>
      <c r="D926" s="182"/>
      <c r="E926" s="182"/>
      <c r="F926" s="182"/>
      <c r="G926" s="182"/>
      <c r="H926" s="182"/>
      <c r="I926" s="182"/>
      <c r="J926" s="182"/>
      <c r="K926" s="182"/>
      <c r="L926" s="182"/>
      <c r="M926" s="179"/>
      <c r="N926" s="179"/>
      <c r="O926" s="179"/>
      <c r="P926" s="182"/>
      <c r="Q926" s="182"/>
      <c r="R926" s="182"/>
      <c r="S926" s="182"/>
      <c r="T926" s="182"/>
      <c r="U926" s="182"/>
      <c r="V926" s="182"/>
      <c r="W926" s="182"/>
      <c r="X926" s="182"/>
      <c r="Y926" s="182"/>
      <c r="Z926" s="182"/>
      <c r="AA926" s="182"/>
    </row>
    <row r="927" spans="1:27" ht="14.4">
      <c r="A927" s="182"/>
      <c r="B927" s="182"/>
      <c r="C927" s="182"/>
      <c r="D927" s="182"/>
      <c r="E927" s="182"/>
      <c r="F927" s="182"/>
      <c r="G927" s="182"/>
      <c r="H927" s="182"/>
      <c r="I927" s="182"/>
      <c r="J927" s="182"/>
      <c r="K927" s="182"/>
      <c r="L927" s="182"/>
      <c r="M927" s="179"/>
      <c r="N927" s="179"/>
      <c r="O927" s="179"/>
      <c r="P927" s="182"/>
      <c r="Q927" s="182"/>
      <c r="R927" s="182"/>
      <c r="S927" s="182"/>
      <c r="T927" s="182"/>
      <c r="U927" s="182"/>
      <c r="V927" s="182"/>
      <c r="W927" s="182"/>
      <c r="X927" s="182"/>
      <c r="Y927" s="182"/>
      <c r="Z927" s="182"/>
      <c r="AA927" s="182"/>
    </row>
    <row r="928" spans="1:27" ht="14.4">
      <c r="A928" s="182"/>
      <c r="B928" s="182"/>
      <c r="C928" s="182"/>
      <c r="D928" s="182"/>
      <c r="E928" s="182"/>
      <c r="F928" s="182"/>
      <c r="G928" s="182"/>
      <c r="H928" s="182"/>
      <c r="I928" s="182"/>
      <c r="J928" s="182"/>
      <c r="K928" s="182"/>
      <c r="L928" s="182"/>
      <c r="M928" s="179"/>
      <c r="N928" s="179"/>
      <c r="O928" s="179"/>
      <c r="P928" s="182"/>
      <c r="Q928" s="182"/>
      <c r="R928" s="182"/>
      <c r="S928" s="182"/>
      <c r="T928" s="182"/>
      <c r="U928" s="182"/>
      <c r="V928" s="182"/>
      <c r="W928" s="182"/>
      <c r="X928" s="182"/>
      <c r="Y928" s="182"/>
      <c r="Z928" s="182"/>
      <c r="AA928" s="182"/>
    </row>
    <row r="929" spans="1:27" ht="14.4">
      <c r="A929" s="182"/>
      <c r="B929" s="182"/>
      <c r="C929" s="182"/>
      <c r="D929" s="182"/>
      <c r="E929" s="182"/>
      <c r="F929" s="182"/>
      <c r="G929" s="182"/>
      <c r="H929" s="182"/>
      <c r="I929" s="182"/>
      <c r="J929" s="182"/>
      <c r="K929" s="182"/>
      <c r="L929" s="182"/>
      <c r="M929" s="179"/>
      <c r="N929" s="179"/>
      <c r="O929" s="179"/>
      <c r="P929" s="182"/>
      <c r="Q929" s="182"/>
      <c r="R929" s="182"/>
      <c r="S929" s="182"/>
      <c r="T929" s="182"/>
      <c r="U929" s="182"/>
      <c r="V929" s="182"/>
      <c r="W929" s="182"/>
      <c r="X929" s="182"/>
      <c r="Y929" s="182"/>
      <c r="Z929" s="182"/>
      <c r="AA929" s="182"/>
    </row>
    <row r="930" spans="1:27" ht="14.4">
      <c r="A930" s="182"/>
      <c r="B930" s="182"/>
      <c r="C930" s="182"/>
      <c r="D930" s="182"/>
      <c r="E930" s="182"/>
      <c r="F930" s="182"/>
      <c r="G930" s="182"/>
      <c r="H930" s="182"/>
      <c r="I930" s="182"/>
      <c r="J930" s="182"/>
      <c r="K930" s="182"/>
      <c r="L930" s="182"/>
      <c r="M930" s="179"/>
      <c r="N930" s="179"/>
      <c r="O930" s="179"/>
      <c r="P930" s="182"/>
      <c r="Q930" s="182"/>
      <c r="R930" s="182"/>
      <c r="S930" s="182"/>
      <c r="T930" s="182"/>
      <c r="U930" s="182"/>
      <c r="V930" s="182"/>
      <c r="W930" s="182"/>
      <c r="X930" s="182"/>
      <c r="Y930" s="182"/>
      <c r="Z930" s="182"/>
      <c r="AA930" s="182"/>
    </row>
    <row r="931" spans="1:27" ht="14.4">
      <c r="A931" s="182"/>
      <c r="B931" s="182"/>
      <c r="C931" s="182"/>
      <c r="D931" s="182"/>
      <c r="E931" s="182"/>
      <c r="F931" s="182"/>
      <c r="G931" s="182"/>
      <c r="H931" s="182"/>
      <c r="I931" s="182"/>
      <c r="J931" s="182"/>
      <c r="K931" s="182"/>
      <c r="L931" s="182"/>
      <c r="M931" s="179"/>
      <c r="N931" s="179"/>
      <c r="O931" s="179"/>
      <c r="P931" s="182"/>
      <c r="Q931" s="182"/>
      <c r="R931" s="182"/>
      <c r="S931" s="182"/>
      <c r="T931" s="182"/>
      <c r="U931" s="182"/>
      <c r="V931" s="182"/>
      <c r="W931" s="182"/>
      <c r="X931" s="182"/>
      <c r="Y931" s="182"/>
      <c r="Z931" s="182"/>
      <c r="AA931" s="182"/>
    </row>
  </sheetData>
  <autoFilter ref="A1:Q111" xr:uid="{00000000-0009-0000-0000-00000F000000}">
    <filterColumn colId="16">
      <filters>
        <filter val="1,050.00"/>
        <filter val="1,105.00"/>
        <filter val="1,125.00"/>
        <filter val="1,200.00"/>
        <filter val="1,350.00"/>
        <filter val="1,425.00"/>
        <filter val="1,500.00"/>
        <filter val="1,650.00"/>
        <filter val="1,875.00"/>
        <filter val="2,250.00"/>
        <filter val="2,625.00"/>
        <filter val="375.00"/>
        <filter val="555.75"/>
        <filter val="599.25"/>
        <filter val="675.00"/>
        <filter val="750.00"/>
        <filter val="900.00"/>
        <filter val="975.00"/>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outlinePr summaryBelow="0" summaryRight="0"/>
  </sheetPr>
  <dimension ref="A1:AK1034"/>
  <sheetViews>
    <sheetView tabSelected="1" workbookViewId="0">
      <pane ySplit="1" topLeftCell="A3" activePane="bottomLeft" state="frozen"/>
      <selection pane="bottomLeft" activeCell="AC1" sqref="AC1"/>
    </sheetView>
  </sheetViews>
  <sheetFormatPr defaultColWidth="12.6640625" defaultRowHeight="15" customHeight="1"/>
  <cols>
    <col min="3" max="3" width="12.6640625" hidden="1" customWidth="1"/>
    <col min="4" max="4" width="12.6640625" customWidth="1"/>
    <col min="5" max="6" width="12.6640625" hidden="1" customWidth="1"/>
    <col min="7" max="7" width="15.33203125" hidden="1" customWidth="1"/>
    <col min="8" max="8" width="12.6640625" hidden="1" customWidth="1"/>
    <col min="9" max="9" width="12.6640625" customWidth="1"/>
    <col min="10" max="11" width="12.6640625" hidden="1" customWidth="1"/>
    <col min="12" max="12" width="39.33203125" style="564" hidden="1" customWidth="1"/>
    <col min="13" max="16" width="12.6640625" hidden="1" customWidth="1"/>
    <col min="17" max="17" width="12.6640625" customWidth="1"/>
    <col min="18" max="27" width="12.6640625" hidden="1" customWidth="1"/>
    <col min="28" max="34" width="12.6640625" customWidth="1"/>
  </cols>
  <sheetData>
    <row r="1" spans="1:37" ht="15" customHeight="1">
      <c r="A1" s="368" t="s">
        <v>160</v>
      </c>
      <c r="B1" s="368" t="s">
        <v>1152</v>
      </c>
      <c r="C1" s="368" t="s">
        <v>1153</v>
      </c>
      <c r="D1" s="369" t="s">
        <v>1154</v>
      </c>
      <c r="E1" s="368" t="s">
        <v>1</v>
      </c>
      <c r="F1" s="368" t="s">
        <v>4</v>
      </c>
      <c r="G1" s="368" t="s">
        <v>198</v>
      </c>
      <c r="H1" s="368" t="s">
        <v>3</v>
      </c>
      <c r="I1" s="368" t="s">
        <v>161</v>
      </c>
      <c r="J1" s="368" t="s">
        <v>162</v>
      </c>
      <c r="K1" s="368" t="s">
        <v>163</v>
      </c>
      <c r="L1" s="561" t="s">
        <v>6</v>
      </c>
      <c r="M1" s="368" t="s">
        <v>166</v>
      </c>
      <c r="N1" s="370" t="s">
        <v>15</v>
      </c>
      <c r="O1" s="368" t="s">
        <v>174</v>
      </c>
      <c r="P1" s="371" t="s">
        <v>1076</v>
      </c>
      <c r="Q1" s="368" t="s">
        <v>1083</v>
      </c>
      <c r="R1" s="368" t="s">
        <v>1155</v>
      </c>
      <c r="S1" s="368" t="s">
        <v>1156</v>
      </c>
      <c r="T1" s="372" t="s">
        <v>1157</v>
      </c>
      <c r="U1" s="372" t="s">
        <v>1158</v>
      </c>
      <c r="V1" s="368" t="s">
        <v>1159</v>
      </c>
      <c r="W1" s="368" t="s">
        <v>1160</v>
      </c>
      <c r="X1" s="368" t="s">
        <v>960</v>
      </c>
      <c r="Y1" s="368" t="s">
        <v>447</v>
      </c>
      <c r="Z1" s="368" t="s">
        <v>11</v>
      </c>
      <c r="AA1" s="368" t="s">
        <v>931</v>
      </c>
      <c r="AB1" s="368" t="s">
        <v>186</v>
      </c>
      <c r="AC1" s="368" t="s">
        <v>961</v>
      </c>
      <c r="AD1" s="281" t="s">
        <v>1764</v>
      </c>
      <c r="AE1" s="368" t="s">
        <v>1161</v>
      </c>
      <c r="AF1" s="368" t="s">
        <v>1082</v>
      </c>
      <c r="AG1" s="368" t="s">
        <v>1162</v>
      </c>
      <c r="AH1" s="373" t="s">
        <v>1163</v>
      </c>
      <c r="AI1" s="373" t="s">
        <v>1164</v>
      </c>
      <c r="AJ1" s="569" t="s">
        <v>9</v>
      </c>
      <c r="AK1" s="572" t="s">
        <v>9</v>
      </c>
    </row>
    <row r="2" spans="1:37" ht="15" hidden="1" customHeight="1">
      <c r="A2" s="187"/>
      <c r="B2" s="187"/>
      <c r="C2" s="187"/>
      <c r="D2" s="249"/>
      <c r="E2" s="187" t="s">
        <v>231</v>
      </c>
      <c r="F2" s="187" t="s">
        <v>232</v>
      </c>
      <c r="G2" s="374">
        <v>8904422503366</v>
      </c>
      <c r="H2" s="187" t="s">
        <v>23</v>
      </c>
      <c r="I2" s="187" t="s">
        <v>233</v>
      </c>
      <c r="J2" s="187" t="s">
        <v>234</v>
      </c>
      <c r="K2" s="225" t="s">
        <v>235</v>
      </c>
      <c r="L2" s="187" t="s">
        <v>238</v>
      </c>
      <c r="M2" s="187">
        <v>85167990</v>
      </c>
      <c r="N2" s="375" t="e">
        <v>#N/A</v>
      </c>
      <c r="O2" s="375" t="e">
        <f>VLOOKUP(F2,'Amazon Live Products'!F:Q,12,0)</f>
        <v>#N/A</v>
      </c>
      <c r="P2" s="375"/>
      <c r="Q2" s="375"/>
      <c r="R2" s="375"/>
      <c r="S2" s="375"/>
      <c r="T2" s="375"/>
      <c r="U2" s="375"/>
      <c r="V2" s="375"/>
      <c r="W2" s="375"/>
      <c r="X2" s="375"/>
      <c r="Y2" s="375"/>
      <c r="Z2" s="375"/>
      <c r="AA2" s="375"/>
      <c r="AB2" s="375"/>
      <c r="AC2" s="375"/>
      <c r="AD2" s="375"/>
      <c r="AE2" s="375"/>
      <c r="AF2" s="375" t="e">
        <v>#N/A</v>
      </c>
      <c r="AG2" s="187"/>
      <c r="AH2" s="2">
        <v>8</v>
      </c>
    </row>
    <row r="3" spans="1:37" ht="15" customHeight="1">
      <c r="A3" s="187" t="s">
        <v>934</v>
      </c>
      <c r="B3" s="187">
        <v>10235460</v>
      </c>
      <c r="C3" s="187">
        <v>1.1000000000000001</v>
      </c>
      <c r="D3" s="249" t="s">
        <v>1165</v>
      </c>
      <c r="E3" s="187" t="s">
        <v>740</v>
      </c>
      <c r="F3" s="187" t="s">
        <v>946</v>
      </c>
      <c r="G3" s="187">
        <v>8904422505292</v>
      </c>
      <c r="H3" s="187" t="s">
        <v>23</v>
      </c>
      <c r="I3" s="187" t="s">
        <v>742</v>
      </c>
      <c r="J3" s="187" t="s">
        <v>249</v>
      </c>
      <c r="K3" s="187"/>
      <c r="L3" s="360" t="s">
        <v>743</v>
      </c>
      <c r="M3" s="187">
        <v>85098000</v>
      </c>
      <c r="N3" s="375">
        <v>896.70240000000001</v>
      </c>
      <c r="O3" s="375">
        <f>VLOOKUP(F3,'Amazon Live Products'!F:Q,12,0)</f>
        <v>1058.1088319999999</v>
      </c>
      <c r="P3" s="375">
        <f>AE3*10%</f>
        <v>219.9</v>
      </c>
      <c r="Q3" s="395">
        <f>IF(AE3&lt;=500, AE3*2%,
   IF(AE3&lt;=700, AE3*6%,
      IF(AE3&lt;=900, AE3*13%,
         IF(AE3&lt;=1200, AE3*16%,
            IF(AE3&gt;1200, AE3*18%, 0)
         )
      )
   )
)</f>
        <v>395.82</v>
      </c>
      <c r="R3" s="375">
        <v>50</v>
      </c>
      <c r="S3" s="375">
        <f>AE3*4%</f>
        <v>87.960000000000008</v>
      </c>
      <c r="T3" s="375">
        <v>81.92</v>
      </c>
      <c r="U3" s="375">
        <v>126.92</v>
      </c>
      <c r="V3" s="375">
        <f>C3*15</f>
        <v>16.5</v>
      </c>
      <c r="W3" s="375">
        <v>5</v>
      </c>
      <c r="X3" s="375">
        <f>AE3*5%</f>
        <v>109.95</v>
      </c>
      <c r="Y3" s="375">
        <f>AE3*3%</f>
        <v>65.97</v>
      </c>
      <c r="Z3" s="375">
        <f>AE3-(AE3/1.18)</f>
        <v>335.4406779661017</v>
      </c>
      <c r="AA3" s="375">
        <f>N3+P3+Q3+R3+S3+T3+V3+W3+X3+Y3+Z3</f>
        <v>2265.1630779661018</v>
      </c>
      <c r="AB3" s="375">
        <f>AE3-AA3</f>
        <v>-66.16307796610181</v>
      </c>
      <c r="AC3" s="228">
        <f>AB3/AE3</f>
        <v>-3.0087802622147254E-2</v>
      </c>
      <c r="AD3" s="228">
        <v>0.18</v>
      </c>
      <c r="AE3" s="375">
        <v>2199</v>
      </c>
      <c r="AF3" s="375">
        <v>1199</v>
      </c>
      <c r="AG3" s="380" t="s">
        <v>1210</v>
      </c>
      <c r="AH3" s="2">
        <v>10</v>
      </c>
      <c r="AJ3">
        <f>VLOOKUP(I3,'[1]Margin Data'!$C:$AF,30,0)</f>
        <v>4999</v>
      </c>
      <c r="AK3" s="568">
        <f>VLOOKUP(I3,[2]NexLev!$C:$D,2,0)</f>
        <v>4999</v>
      </c>
    </row>
    <row r="4" spans="1:37" ht="15" customHeight="1">
      <c r="A4" s="187" t="s">
        <v>934</v>
      </c>
      <c r="B4" s="187">
        <v>10245034</v>
      </c>
      <c r="C4" s="187">
        <v>0.17599999999999999</v>
      </c>
      <c r="D4" s="249" t="s">
        <v>1165</v>
      </c>
      <c r="E4" s="187" t="s">
        <v>543</v>
      </c>
      <c r="F4" s="187" t="s">
        <v>544</v>
      </c>
      <c r="G4" s="187">
        <v>8904422504264</v>
      </c>
      <c r="H4" s="187" t="s">
        <v>23</v>
      </c>
      <c r="I4" s="187" t="s">
        <v>545</v>
      </c>
      <c r="J4" s="187" t="s">
        <v>314</v>
      </c>
      <c r="K4" s="187" t="s">
        <v>465</v>
      </c>
      <c r="L4" s="360" t="s">
        <v>547</v>
      </c>
      <c r="M4" s="187">
        <v>90191020</v>
      </c>
      <c r="N4" s="375">
        <v>600.9</v>
      </c>
      <c r="O4" s="375">
        <f>VLOOKUP(F4,'Amazon Live Products'!F:Q,12,0)</f>
        <v>705.405888</v>
      </c>
      <c r="P4" s="375">
        <f>AE4*10%</f>
        <v>199.9</v>
      </c>
      <c r="Q4" s="395" cm="1">
        <f t="array" ref="Q4">_xlfn.IFS(
AE4&lt;=300,AE4*2%,
AE4&lt;=400,AE4*4%,
AE4&lt;=500,AE4*6%,
AE4&lt;=700,AE4*8%,
AE4&lt;=900,AE4*13%,
AE4&lt;=1200,AE4*16%,
AE4&gt;1200,AE4*18%
)</f>
        <v>359.82</v>
      </c>
      <c r="R4" s="375">
        <v>50</v>
      </c>
      <c r="S4" s="375">
        <f>AE4*4%</f>
        <v>79.960000000000008</v>
      </c>
      <c r="T4" s="375">
        <v>67.5</v>
      </c>
      <c r="U4" s="375">
        <v>112.5</v>
      </c>
      <c r="V4" s="375">
        <f>C4*15</f>
        <v>2.6399999999999997</v>
      </c>
      <c r="W4" s="375">
        <v>5</v>
      </c>
      <c r="X4" s="375">
        <f>AE4*5%</f>
        <v>99.95</v>
      </c>
      <c r="Y4" s="375">
        <f>AE4*3%</f>
        <v>59.97</v>
      </c>
      <c r="Z4" s="375">
        <f>AE4-(AE4/1.18)</f>
        <v>304.93220338983042</v>
      </c>
      <c r="AA4" s="375">
        <f>N4+P4+Q4+R4+S4+T4+V4+W4+X4+Y4+Z4</f>
        <v>1830.5722033898305</v>
      </c>
      <c r="AB4" s="375">
        <f>AE4-AA4</f>
        <v>168.42779661016948</v>
      </c>
      <c r="AC4" s="228">
        <f>AB4/AE4</f>
        <v>8.425602631824386E-2</v>
      </c>
      <c r="AD4" s="228">
        <v>0.18</v>
      </c>
      <c r="AE4" s="375">
        <v>1999</v>
      </c>
      <c r="AF4" s="375">
        <v>1099</v>
      </c>
      <c r="AG4" s="381" t="s">
        <v>1186</v>
      </c>
      <c r="AH4" s="2">
        <v>60</v>
      </c>
      <c r="AJ4">
        <f>VLOOKUP(I4,'[1]Margin Data'!$C:$AF,30,0)</f>
        <v>2999</v>
      </c>
      <c r="AK4" s="568">
        <f>VLOOKUP(I4,[2]NexLev!$C:$D,2,0)</f>
        <v>2999</v>
      </c>
    </row>
    <row r="5" spans="1:37" ht="15" hidden="1" customHeight="1">
      <c r="A5" s="187"/>
      <c r="B5" s="187"/>
      <c r="C5" s="187"/>
      <c r="D5" s="249"/>
      <c r="E5" s="187" t="s">
        <v>253</v>
      </c>
      <c r="F5" s="187" t="s">
        <v>254</v>
      </c>
      <c r="G5" s="374">
        <v>8904422503496</v>
      </c>
      <c r="H5" s="187" t="s">
        <v>23</v>
      </c>
      <c r="I5" s="187" t="s">
        <v>255</v>
      </c>
      <c r="J5" s="187" t="s">
        <v>256</v>
      </c>
      <c r="K5" s="187" t="s">
        <v>257</v>
      </c>
      <c r="L5" s="187" t="s">
        <v>259</v>
      </c>
      <c r="M5" s="187">
        <v>94043090</v>
      </c>
      <c r="N5" s="375">
        <v>349.53</v>
      </c>
      <c r="O5" s="375">
        <f>VLOOKUP(F5,'Amazon Live Products'!F:Q,12,0)</f>
        <v>405.13816020894114</v>
      </c>
      <c r="P5" s="375"/>
      <c r="Q5" s="375" t="s">
        <v>1779</v>
      </c>
      <c r="R5" s="375"/>
      <c r="S5" s="375"/>
      <c r="T5" s="375"/>
      <c r="U5" s="375"/>
      <c r="V5" s="375"/>
      <c r="W5" s="375"/>
      <c r="X5" s="375"/>
      <c r="Y5" s="375"/>
      <c r="Z5" s="375"/>
      <c r="AA5" s="375"/>
      <c r="AB5" s="375"/>
      <c r="AC5" s="375"/>
      <c r="AD5" s="375"/>
      <c r="AE5" s="375"/>
      <c r="AF5" s="375">
        <v>699</v>
      </c>
      <c r="AG5" s="187"/>
      <c r="AH5" s="2">
        <v>36</v>
      </c>
    </row>
    <row r="6" spans="1:37" ht="15" hidden="1" customHeight="1">
      <c r="A6" s="187"/>
      <c r="B6" s="187"/>
      <c r="C6" s="187"/>
      <c r="D6" s="249"/>
      <c r="E6" s="187" t="s">
        <v>262</v>
      </c>
      <c r="F6" s="187" t="s">
        <v>263</v>
      </c>
      <c r="G6" s="374">
        <v>8904422503502</v>
      </c>
      <c r="H6" s="187" t="s">
        <v>23</v>
      </c>
      <c r="I6" s="187" t="s">
        <v>264</v>
      </c>
      <c r="J6" s="187" t="s">
        <v>256</v>
      </c>
      <c r="K6" s="187" t="s">
        <v>257</v>
      </c>
      <c r="L6" s="187" t="s">
        <v>265</v>
      </c>
      <c r="M6" s="187">
        <v>94043090</v>
      </c>
      <c r="N6" s="375">
        <v>354.04</v>
      </c>
      <c r="O6" s="375">
        <f>VLOOKUP(F6,'Amazon Live Products'!F:Q,12,0)</f>
        <v>405.13816020894114</v>
      </c>
      <c r="P6" s="375"/>
      <c r="Q6" s="375" t="s">
        <v>1780</v>
      </c>
      <c r="R6" s="375"/>
      <c r="S6" s="375"/>
      <c r="T6" s="375"/>
      <c r="U6" s="375"/>
      <c r="V6" s="375"/>
      <c r="W6" s="375"/>
      <c r="X6" s="375"/>
      <c r="Y6" s="375"/>
      <c r="Z6" s="375"/>
      <c r="AA6" s="375"/>
      <c r="AB6" s="375"/>
      <c r="AC6" s="375"/>
      <c r="AD6" s="375"/>
      <c r="AE6" s="375"/>
      <c r="AF6" s="375">
        <v>699</v>
      </c>
      <c r="AG6" s="187"/>
      <c r="AH6" s="2">
        <v>36</v>
      </c>
    </row>
    <row r="7" spans="1:37" ht="15" hidden="1" customHeight="1">
      <c r="A7" s="187" t="s">
        <v>934</v>
      </c>
      <c r="B7" s="187">
        <v>10247447</v>
      </c>
      <c r="C7" s="187">
        <v>0.6</v>
      </c>
      <c r="D7" s="249" t="s">
        <v>1168</v>
      </c>
      <c r="E7" s="187" t="s">
        <v>267</v>
      </c>
      <c r="F7" s="187" t="s">
        <v>268</v>
      </c>
      <c r="G7" s="187">
        <v>8904422503519</v>
      </c>
      <c r="H7" s="187" t="s">
        <v>23</v>
      </c>
      <c r="I7" s="187" t="s">
        <v>269</v>
      </c>
      <c r="J7" s="187" t="s">
        <v>256</v>
      </c>
      <c r="K7" s="187" t="s">
        <v>257</v>
      </c>
      <c r="L7" s="187" t="s">
        <v>936</v>
      </c>
      <c r="M7" s="187">
        <v>94043090</v>
      </c>
      <c r="N7" s="375">
        <v>349.9</v>
      </c>
      <c r="O7" s="375">
        <f>VLOOKUP(F7,'Amazon Live Products'!F:Q,12,0)</f>
        <v>405.13816020894114</v>
      </c>
      <c r="P7" s="375">
        <f>AE7*10%</f>
        <v>89.9</v>
      </c>
      <c r="Q7" s="377" t="s">
        <v>1781</v>
      </c>
      <c r="R7" s="375">
        <v>50</v>
      </c>
      <c r="S7" s="375">
        <f>AE7*4%</f>
        <v>35.96</v>
      </c>
      <c r="T7" s="375">
        <v>67.5</v>
      </c>
      <c r="U7" s="375">
        <v>112.5</v>
      </c>
      <c r="V7" s="375">
        <f>C7*15</f>
        <v>9</v>
      </c>
      <c r="W7" s="375">
        <v>5</v>
      </c>
      <c r="X7" s="375">
        <f>AE7*5%</f>
        <v>44.95</v>
      </c>
      <c r="Y7" s="375">
        <f>AE7*3%</f>
        <v>26.97</v>
      </c>
      <c r="Z7" s="375">
        <f>AE7-(AE7/1.18)</f>
        <v>137.13559322033893</v>
      </c>
      <c r="AA7" s="375" t="e">
        <f>N7+P7+Q7+R7+S7+T7+V7+W7+X7+Y7+Z7</f>
        <v>#VALUE!</v>
      </c>
      <c r="AB7" s="375" t="e">
        <f>AE7-AA7</f>
        <v>#VALUE!</v>
      </c>
      <c r="AC7" s="228" t="e">
        <f>AB7/AE7</f>
        <v>#VALUE!</v>
      </c>
      <c r="AD7" s="228"/>
      <c r="AE7" s="375">
        <v>899</v>
      </c>
      <c r="AF7" s="375">
        <v>699</v>
      </c>
      <c r="AG7" s="380" t="s">
        <v>1169</v>
      </c>
      <c r="AH7" s="2">
        <v>36</v>
      </c>
    </row>
    <row r="8" spans="1:37" ht="15" hidden="1" customHeight="1">
      <c r="A8" s="187"/>
      <c r="B8" s="187"/>
      <c r="C8" s="187"/>
      <c r="D8" s="249"/>
      <c r="E8" s="187" t="s">
        <v>311</v>
      </c>
      <c r="F8" s="187" t="s">
        <v>312</v>
      </c>
      <c r="G8" s="374">
        <v>8904422503854</v>
      </c>
      <c r="H8" s="187" t="s">
        <v>23</v>
      </c>
      <c r="I8" s="187" t="s">
        <v>313</v>
      </c>
      <c r="J8" s="187" t="s">
        <v>314</v>
      </c>
      <c r="K8" s="187" t="s">
        <v>315</v>
      </c>
      <c r="L8" s="187" t="s">
        <v>318</v>
      </c>
      <c r="M8" s="187">
        <v>84244900</v>
      </c>
      <c r="N8" s="375" t="e">
        <v>#N/A</v>
      </c>
      <c r="O8" s="375">
        <f>VLOOKUP(F8,'Amazon Live Products'!F:Q,12,0)</f>
        <v>1051.3857631200001</v>
      </c>
      <c r="P8" s="375"/>
      <c r="Q8" s="375" t="s">
        <v>1782</v>
      </c>
      <c r="R8" s="375"/>
      <c r="S8" s="375"/>
      <c r="T8" s="375"/>
      <c r="U8" s="375"/>
      <c r="V8" s="375"/>
      <c r="W8" s="375"/>
      <c r="X8" s="375"/>
      <c r="Y8" s="375"/>
      <c r="Z8" s="375"/>
      <c r="AA8" s="375"/>
      <c r="AB8" s="375"/>
      <c r="AC8" s="375"/>
      <c r="AD8" s="375"/>
      <c r="AE8" s="375"/>
      <c r="AF8" s="375">
        <v>1529</v>
      </c>
      <c r="AG8" s="187"/>
      <c r="AH8" s="2">
        <v>36</v>
      </c>
    </row>
    <row r="9" spans="1:37" ht="15" hidden="1" customHeight="1">
      <c r="A9" s="187"/>
      <c r="B9" s="187"/>
      <c r="C9" s="187"/>
      <c r="D9" s="249"/>
      <c r="E9" s="187" t="s">
        <v>324</v>
      </c>
      <c r="F9" s="187" t="s">
        <v>325</v>
      </c>
      <c r="G9" s="374">
        <v>8904422503991</v>
      </c>
      <c r="H9" s="187" t="s">
        <v>23</v>
      </c>
      <c r="I9" s="187" t="s">
        <v>326</v>
      </c>
      <c r="J9" s="187" t="s">
        <v>234</v>
      </c>
      <c r="K9" s="225" t="s">
        <v>235</v>
      </c>
      <c r="L9" s="187" t="s">
        <v>327</v>
      </c>
      <c r="M9" s="187">
        <v>85167990</v>
      </c>
      <c r="N9" s="375">
        <v>1280.71</v>
      </c>
      <c r="O9" s="375">
        <f>VLOOKUP(F9,'Amazon Live Products'!F:Q,12,0)</f>
        <v>1471.2839387136</v>
      </c>
      <c r="P9" s="375"/>
      <c r="Q9" s="375" t="s">
        <v>1783</v>
      </c>
      <c r="R9" s="375"/>
      <c r="S9" s="375"/>
      <c r="T9" s="375"/>
      <c r="U9" s="375"/>
      <c r="V9" s="375"/>
      <c r="W9" s="375"/>
      <c r="X9" s="375"/>
      <c r="Y9" s="375"/>
      <c r="Z9" s="375"/>
      <c r="AA9" s="375"/>
      <c r="AB9" s="375"/>
      <c r="AC9" s="375"/>
      <c r="AD9" s="375"/>
      <c r="AE9" s="375"/>
      <c r="AF9" s="375">
        <v>2199</v>
      </c>
      <c r="AG9" s="187"/>
      <c r="AH9" s="2">
        <v>8</v>
      </c>
    </row>
    <row r="10" spans="1:37" ht="15" hidden="1" customHeight="1">
      <c r="A10" s="187"/>
      <c r="B10" s="187"/>
      <c r="C10" s="187"/>
      <c r="D10" s="249"/>
      <c r="E10" s="187" t="s">
        <v>329</v>
      </c>
      <c r="F10" s="187" t="s">
        <v>330</v>
      </c>
      <c r="G10" s="374">
        <v>8904422504004</v>
      </c>
      <c r="H10" s="187" t="s">
        <v>23</v>
      </c>
      <c r="I10" s="187" t="s">
        <v>331</v>
      </c>
      <c r="J10" s="187" t="s">
        <v>314</v>
      </c>
      <c r="K10" s="187" t="s">
        <v>315</v>
      </c>
      <c r="L10" s="187" t="s">
        <v>333</v>
      </c>
      <c r="M10" s="187">
        <v>85098000</v>
      </c>
      <c r="N10" s="375" t="e">
        <v>#N/A</v>
      </c>
      <c r="O10" s="375">
        <f>VLOOKUP(F10,'Amazon Live Products'!F:Q,12,0)</f>
        <v>277.81976639999999</v>
      </c>
      <c r="P10" s="375"/>
      <c r="Q10" s="375" t="s">
        <v>1784</v>
      </c>
      <c r="R10" s="375"/>
      <c r="S10" s="375"/>
      <c r="T10" s="375"/>
      <c r="U10" s="375"/>
      <c r="V10" s="375"/>
      <c r="W10" s="375"/>
      <c r="X10" s="375"/>
      <c r="Y10" s="375"/>
      <c r="Z10" s="375"/>
      <c r="AA10" s="375"/>
      <c r="AB10" s="375"/>
      <c r="AC10" s="375"/>
      <c r="AD10" s="375"/>
      <c r="AE10" s="375"/>
      <c r="AF10" s="375">
        <v>299</v>
      </c>
      <c r="AG10" s="187"/>
      <c r="AH10" s="2" t="e">
        <v>#N/A</v>
      </c>
    </row>
    <row r="11" spans="1:37" ht="15" hidden="1" customHeight="1">
      <c r="A11" s="187"/>
      <c r="B11" s="187"/>
      <c r="C11" s="187"/>
      <c r="D11" s="249"/>
      <c r="E11" s="187" t="s">
        <v>335</v>
      </c>
      <c r="F11" s="187" t="s">
        <v>336</v>
      </c>
      <c r="G11" s="374">
        <v>8904422504011</v>
      </c>
      <c r="H11" s="187" t="s">
        <v>23</v>
      </c>
      <c r="I11" s="187" t="s">
        <v>337</v>
      </c>
      <c r="J11" s="187" t="s">
        <v>314</v>
      </c>
      <c r="K11" s="187" t="s">
        <v>315</v>
      </c>
      <c r="L11" s="187" t="s">
        <v>338</v>
      </c>
      <c r="M11" s="187">
        <v>85098000</v>
      </c>
      <c r="N11" s="375" t="e">
        <v>#N/A</v>
      </c>
      <c r="O11" s="375">
        <f>VLOOKUP(F11,'Amazon Live Products'!F:Q,12,0)</f>
        <v>277.81976639999999</v>
      </c>
      <c r="P11" s="375"/>
      <c r="Q11" s="375" t="s">
        <v>1785</v>
      </c>
      <c r="R11" s="375"/>
      <c r="S11" s="375"/>
      <c r="T11" s="375"/>
      <c r="U11" s="375"/>
      <c r="V11" s="375"/>
      <c r="W11" s="375"/>
      <c r="X11" s="375"/>
      <c r="Y11" s="375"/>
      <c r="Z11" s="375"/>
      <c r="AA11" s="375"/>
      <c r="AB11" s="375"/>
      <c r="AC11" s="375"/>
      <c r="AD11" s="375"/>
      <c r="AE11" s="375"/>
      <c r="AF11" s="375">
        <v>299</v>
      </c>
      <c r="AG11" s="187"/>
      <c r="AH11" s="2" t="e">
        <v>#N/A</v>
      </c>
    </row>
    <row r="12" spans="1:37" ht="15" hidden="1" customHeight="1">
      <c r="A12" s="187"/>
      <c r="B12" s="187"/>
      <c r="C12" s="187"/>
      <c r="D12" s="249"/>
      <c r="E12" s="187" t="s">
        <v>340</v>
      </c>
      <c r="F12" s="187" t="s">
        <v>341</v>
      </c>
      <c r="G12" s="374">
        <v>8904422504028</v>
      </c>
      <c r="H12" s="187" t="s">
        <v>23</v>
      </c>
      <c r="I12" s="187" t="s">
        <v>342</v>
      </c>
      <c r="J12" s="187" t="s">
        <v>314</v>
      </c>
      <c r="K12" s="187" t="s">
        <v>315</v>
      </c>
      <c r="L12" s="187" t="s">
        <v>343</v>
      </c>
      <c r="M12" s="187">
        <v>85098000</v>
      </c>
      <c r="N12" s="375" t="e">
        <v>#N/A</v>
      </c>
      <c r="O12" s="375" t="e">
        <f>VLOOKUP(F12,'Amazon Live Products'!F:Q,12,0)</f>
        <v>#N/A</v>
      </c>
      <c r="P12" s="375"/>
      <c r="Q12" s="375" t="s">
        <v>1786</v>
      </c>
      <c r="R12" s="375"/>
      <c r="S12" s="375"/>
      <c r="T12" s="375"/>
      <c r="U12" s="375"/>
      <c r="V12" s="375"/>
      <c r="W12" s="375"/>
      <c r="X12" s="375"/>
      <c r="Y12" s="375"/>
      <c r="Z12" s="375"/>
      <c r="AA12" s="375"/>
      <c r="AB12" s="375"/>
      <c r="AC12" s="375"/>
      <c r="AD12" s="375"/>
      <c r="AE12" s="375"/>
      <c r="AF12" s="375" t="e">
        <v>#N/A</v>
      </c>
      <c r="AG12" s="187"/>
      <c r="AH12" s="2" t="e">
        <v>#N/A</v>
      </c>
    </row>
    <row r="13" spans="1:37" ht="15" hidden="1" customHeight="1">
      <c r="A13" s="187" t="s">
        <v>934</v>
      </c>
      <c r="B13" s="187">
        <v>10256174</v>
      </c>
      <c r="C13" s="187">
        <v>1.5</v>
      </c>
      <c r="D13" s="249" t="s">
        <v>1170</v>
      </c>
      <c r="E13" s="187" t="s">
        <v>418</v>
      </c>
      <c r="F13" s="187" t="s">
        <v>419</v>
      </c>
      <c r="G13" s="187">
        <v>8904422504042</v>
      </c>
      <c r="H13" s="187" t="s">
        <v>23</v>
      </c>
      <c r="I13" s="187" t="s">
        <v>420</v>
      </c>
      <c r="J13" s="187" t="s">
        <v>234</v>
      </c>
      <c r="K13" s="225" t="s">
        <v>249</v>
      </c>
      <c r="L13" s="187" t="s">
        <v>422</v>
      </c>
      <c r="M13" s="187">
        <v>85098000</v>
      </c>
      <c r="N13" s="375">
        <v>1166.19</v>
      </c>
      <c r="O13" s="375">
        <f>VLOOKUP(F13,'Amazon Live Products'!F:Q,12,0)</f>
        <v>1337.4114335999998</v>
      </c>
      <c r="P13" s="375">
        <f t="shared" ref="P13:P25" si="0">AE13*10%</f>
        <v>244.9</v>
      </c>
      <c r="Q13" s="377">
        <f>IF(AE13&lt;=2000, AE13*2%,
   IF(AE13&lt;=3000, AE13*6%,
      IF(AE13&lt;=5000, AE13*9%,
            IF(AE13&gt;5000, AE13*11%, 0)
         )
      )
   )</f>
        <v>146.94</v>
      </c>
      <c r="R13" s="375">
        <v>50</v>
      </c>
      <c r="S13" s="375">
        <f t="shared" ref="S13:S25" si="1">AE13*4%</f>
        <v>97.960000000000008</v>
      </c>
      <c r="T13" s="375">
        <v>163.51</v>
      </c>
      <c r="U13" s="375">
        <v>250.26</v>
      </c>
      <c r="V13" s="375">
        <f t="shared" ref="V13:V25" si="2">C13*15</f>
        <v>22.5</v>
      </c>
      <c r="W13" s="375">
        <v>5</v>
      </c>
      <c r="X13" s="375">
        <f t="shared" ref="X13:X25" si="3">AE13*5%</f>
        <v>122.45</v>
      </c>
      <c r="Y13" s="375">
        <f t="shared" ref="Y13:Y25" si="4">AE13*3%</f>
        <v>73.47</v>
      </c>
      <c r="Z13" s="375">
        <f t="shared" ref="Z13:Z25" si="5">AE13-(AE13/1.18)</f>
        <v>373.57627118644041</v>
      </c>
      <c r="AA13" s="375">
        <f t="shared" ref="AA13:AA25" si="6">N13+P13+Q13+R13+S13+T13+V13+W13+X13+Y13+Z13</f>
        <v>2466.4962711864405</v>
      </c>
      <c r="AB13" s="375">
        <f t="shared" ref="AB13:AB25" si="7">AE13-AA13</f>
        <v>-17.496271186440481</v>
      </c>
      <c r="AC13" s="228">
        <f t="shared" ref="AC13:AC25" si="8">AB13/AE13</f>
        <v>-7.144251199036538E-3</v>
      </c>
      <c r="AD13" s="228"/>
      <c r="AE13" s="375">
        <v>2449</v>
      </c>
      <c r="AF13" s="375">
        <v>2449</v>
      </c>
      <c r="AG13" s="187"/>
      <c r="AH13" s="2">
        <v>6</v>
      </c>
    </row>
    <row r="14" spans="1:37" ht="15" customHeight="1">
      <c r="A14" s="187" t="s">
        <v>934</v>
      </c>
      <c r="B14" s="249">
        <v>10253018</v>
      </c>
      <c r="C14" s="187">
        <v>0.28399999999999997</v>
      </c>
      <c r="D14" s="249" t="s">
        <v>1165</v>
      </c>
      <c r="E14" s="187" t="s">
        <v>520</v>
      </c>
      <c r="F14" s="187" t="s">
        <v>521</v>
      </c>
      <c r="G14" s="187">
        <v>8904422504226</v>
      </c>
      <c r="H14" s="187" t="s">
        <v>23</v>
      </c>
      <c r="I14" s="272" t="s">
        <v>522</v>
      </c>
      <c r="J14" s="187" t="s">
        <v>314</v>
      </c>
      <c r="K14" s="187" t="s">
        <v>465</v>
      </c>
      <c r="L14" s="360" t="s">
        <v>524</v>
      </c>
      <c r="M14" s="187">
        <v>90191020</v>
      </c>
      <c r="N14" s="375">
        <v>604.41999999999996</v>
      </c>
      <c r="O14" s="375">
        <f>VLOOKUP(F14,'Amazon Live Products'!F:Q,12,0)</f>
        <v>705.405888</v>
      </c>
      <c r="P14" s="375">
        <f t="shared" si="0"/>
        <v>209.9</v>
      </c>
      <c r="Q14" s="395">
        <f>IF(AE14&lt;=1200, AE14*2%,
IF(AND(AE14&gt;1200, AE14&lt;=1500), AE14*5%,
IF(AND(AE14&gt;1500, AE14&lt;=2000), AE14*7%,
IF(AND(AE14&gt;2000, AE14&lt;=3000), AE14*9%,
AE14*11%))))</f>
        <v>188.91</v>
      </c>
      <c r="R14" s="375">
        <v>50</v>
      </c>
      <c r="S14" s="375">
        <f t="shared" si="1"/>
        <v>83.960000000000008</v>
      </c>
      <c r="T14" s="375">
        <v>67.5</v>
      </c>
      <c r="U14" s="375">
        <v>112.5</v>
      </c>
      <c r="V14" s="375">
        <f t="shared" si="2"/>
        <v>4.26</v>
      </c>
      <c r="W14" s="375">
        <v>5</v>
      </c>
      <c r="X14" s="375">
        <f t="shared" si="3"/>
        <v>104.95</v>
      </c>
      <c r="Y14" s="375">
        <f t="shared" si="4"/>
        <v>62.97</v>
      </c>
      <c r="Z14" s="375">
        <f t="shared" si="5"/>
        <v>320.18644067796595</v>
      </c>
      <c r="AA14" s="375">
        <f t="shared" si="6"/>
        <v>1702.0564406779661</v>
      </c>
      <c r="AB14" s="375">
        <f t="shared" si="7"/>
        <v>396.94355932203393</v>
      </c>
      <c r="AC14" s="228">
        <f t="shared" si="8"/>
        <v>0.18911079529396566</v>
      </c>
      <c r="AD14" s="228">
        <v>0.09</v>
      </c>
      <c r="AE14" s="375">
        <v>2099</v>
      </c>
      <c r="AF14" s="375">
        <v>1449</v>
      </c>
      <c r="AG14" s="396" t="s">
        <v>1183</v>
      </c>
      <c r="AH14" s="397">
        <v>60</v>
      </c>
      <c r="AJ14">
        <f>VLOOKUP(I14,'[1]Margin Data'!$C:$AF,30,0)</f>
        <v>2699</v>
      </c>
      <c r="AK14" s="568">
        <f>VLOOKUP(I14,[2]NexLev!$C:$D,2,0)</f>
        <v>2699</v>
      </c>
    </row>
    <row r="15" spans="1:37" ht="15" hidden="1" customHeight="1">
      <c r="A15" s="187" t="s">
        <v>934</v>
      </c>
      <c r="B15" s="376">
        <v>10235849</v>
      </c>
      <c r="C15" s="187">
        <v>0.43</v>
      </c>
      <c r="D15" s="249" t="s">
        <v>1168</v>
      </c>
      <c r="E15" s="187" t="s">
        <v>434</v>
      </c>
      <c r="F15" s="187" t="s">
        <v>435</v>
      </c>
      <c r="G15" s="187">
        <v>8904422504172</v>
      </c>
      <c r="H15" s="187" t="s">
        <v>23</v>
      </c>
      <c r="I15" s="187" t="s">
        <v>436</v>
      </c>
      <c r="J15" s="187" t="s">
        <v>314</v>
      </c>
      <c r="K15" s="187" t="s">
        <v>437</v>
      </c>
      <c r="L15" s="187" t="s">
        <v>439</v>
      </c>
      <c r="M15" s="187">
        <v>82142090</v>
      </c>
      <c r="N15" s="375">
        <v>451.06</v>
      </c>
      <c r="O15" s="375">
        <f>VLOOKUP(F15,'Amazon Live Products'!F:Q,12,0)</f>
        <v>526.70306303999996</v>
      </c>
      <c r="P15" s="375">
        <f t="shared" si="0"/>
        <v>99.9</v>
      </c>
      <c r="Q15" s="377">
        <f>IF(AE15&lt;=1200, AE15*2%,
   IF(AE15&lt;=1500, AE15*5%,
      IF(AE15&lt;=2000, AE15*7%,
         IF(AE15&lt;=3000, AE15*9%,
            IF(AE15&gt;3000, AE15*11%, 0)
         )
      )
   )
)</f>
        <v>19.98</v>
      </c>
      <c r="R15" s="375">
        <v>50</v>
      </c>
      <c r="S15" s="375">
        <f t="shared" si="1"/>
        <v>39.96</v>
      </c>
      <c r="T15" s="375">
        <v>67.5</v>
      </c>
      <c r="U15" s="375">
        <v>112.5</v>
      </c>
      <c r="V15" s="375">
        <f t="shared" si="2"/>
        <v>6.45</v>
      </c>
      <c r="W15" s="375">
        <v>5</v>
      </c>
      <c r="X15" s="375">
        <f t="shared" si="3"/>
        <v>49.95</v>
      </c>
      <c r="Y15" s="375">
        <f t="shared" si="4"/>
        <v>29.97</v>
      </c>
      <c r="Z15" s="375">
        <f t="shared" si="5"/>
        <v>152.38983050847457</v>
      </c>
      <c r="AA15" s="375">
        <f t="shared" si="6"/>
        <v>972.15983050847478</v>
      </c>
      <c r="AB15" s="375">
        <f t="shared" si="7"/>
        <v>26.840169491525216</v>
      </c>
      <c r="AC15" s="228">
        <f t="shared" si="8"/>
        <v>2.6867036528053268E-2</v>
      </c>
      <c r="AD15" s="228"/>
      <c r="AE15" s="375">
        <v>999</v>
      </c>
      <c r="AF15" s="375">
        <v>779</v>
      </c>
      <c r="AG15" s="380" t="s">
        <v>1172</v>
      </c>
      <c r="AH15" s="2">
        <v>40</v>
      </c>
    </row>
    <row r="16" spans="1:37" ht="15" customHeight="1">
      <c r="A16" s="187" t="s">
        <v>934</v>
      </c>
      <c r="B16" s="187">
        <v>10235831</v>
      </c>
      <c r="C16" s="187">
        <v>0.4</v>
      </c>
      <c r="D16" s="249" t="s">
        <v>1173</v>
      </c>
      <c r="E16" s="187" t="s">
        <v>810</v>
      </c>
      <c r="F16" s="187" t="s">
        <v>811</v>
      </c>
      <c r="G16" s="187">
        <v>8904422505766</v>
      </c>
      <c r="H16" s="187" t="s">
        <v>23</v>
      </c>
      <c r="I16" s="187" t="s">
        <v>812</v>
      </c>
      <c r="J16" s="187" t="s">
        <v>813</v>
      </c>
      <c r="K16" s="187"/>
      <c r="L16" s="360" t="s">
        <v>814</v>
      </c>
      <c r="M16" s="187">
        <v>94043090</v>
      </c>
      <c r="N16" s="375">
        <v>424.04</v>
      </c>
      <c r="O16" s="375">
        <f>VLOOKUP(F16,'Amazon Live Products'!F:Q,12,0)</f>
        <v>488.2880402089412</v>
      </c>
      <c r="P16" s="375">
        <f t="shared" si="0"/>
        <v>149.9</v>
      </c>
      <c r="Q16" s="395">
        <v>335.76</v>
      </c>
      <c r="R16" s="375">
        <v>50</v>
      </c>
      <c r="S16" s="375">
        <f t="shared" si="1"/>
        <v>59.96</v>
      </c>
      <c r="T16" s="375">
        <v>67.5</v>
      </c>
      <c r="U16" s="375">
        <v>112.5</v>
      </c>
      <c r="V16" s="375">
        <f t="shared" si="2"/>
        <v>6</v>
      </c>
      <c r="W16" s="375">
        <v>5</v>
      </c>
      <c r="X16" s="375">
        <f t="shared" si="3"/>
        <v>74.95</v>
      </c>
      <c r="Y16" s="375">
        <f t="shared" si="4"/>
        <v>44.97</v>
      </c>
      <c r="Z16" s="375">
        <f t="shared" si="5"/>
        <v>228.66101694915255</v>
      </c>
      <c r="AA16" s="375">
        <f t="shared" si="6"/>
        <v>1446.7410169491527</v>
      </c>
      <c r="AB16" s="375">
        <f t="shared" si="7"/>
        <v>52.258983050847291</v>
      </c>
      <c r="AC16" s="228">
        <f t="shared" si="8"/>
        <v>3.4862563743060238E-2</v>
      </c>
      <c r="AD16" s="228">
        <v>0.18</v>
      </c>
      <c r="AE16" s="375">
        <v>1499</v>
      </c>
      <c r="AF16" s="375">
        <v>977</v>
      </c>
      <c r="AG16" s="380" t="s">
        <v>1216</v>
      </c>
      <c r="AH16" s="2">
        <v>36</v>
      </c>
      <c r="AJ16">
        <f>VLOOKUP(I16,'[1]Margin Data'!$C:$AF,30,0)</f>
        <v>1899</v>
      </c>
      <c r="AK16" s="568">
        <f>VLOOKUP(I16,[2]NexLev!$C:$D,2,0)</f>
        <v>1899</v>
      </c>
    </row>
    <row r="17" spans="1:37" ht="15" hidden="1" customHeight="1">
      <c r="A17" s="187" t="s">
        <v>934</v>
      </c>
      <c r="B17" s="187">
        <v>10253062</v>
      </c>
      <c r="C17" s="187">
        <v>9.2999999999999999E-2</v>
      </c>
      <c r="D17" s="249" t="s">
        <v>1168</v>
      </c>
      <c r="E17" s="187" t="s">
        <v>448</v>
      </c>
      <c r="F17" s="187" t="s">
        <v>449</v>
      </c>
      <c r="G17" s="187">
        <v>8904422504066</v>
      </c>
      <c r="H17" s="187" t="s">
        <v>23</v>
      </c>
      <c r="I17" s="376" t="s">
        <v>450</v>
      </c>
      <c r="J17" s="187" t="s">
        <v>314</v>
      </c>
      <c r="K17" s="187" t="s">
        <v>444</v>
      </c>
      <c r="L17" s="187" t="s">
        <v>451</v>
      </c>
      <c r="M17" s="187">
        <v>85101000</v>
      </c>
      <c r="N17" s="375">
        <v>512.9</v>
      </c>
      <c r="O17" s="375">
        <f>VLOOKUP(F17,'Amazon Live Products'!F:Q,12,0)</f>
        <v>600.86600640000006</v>
      </c>
      <c r="P17" s="375">
        <f t="shared" si="0"/>
        <v>119.9</v>
      </c>
      <c r="Q17" s="377">
        <f>IF(AE17&lt;=1200,AE17*2%,
IF(AE17&lt;=1500,AE17*5%,
IF(AE17&lt;=2000,AE17*7%,IF(AE17&lt;=3000,AE17*9%,
IF(AE17&gt;3000,AE17*11%,0)
)
)
))</f>
        <v>23.98</v>
      </c>
      <c r="R17" s="375">
        <v>50</v>
      </c>
      <c r="S17" s="375">
        <f t="shared" si="1"/>
        <v>47.96</v>
      </c>
      <c r="T17" s="375">
        <v>67.5</v>
      </c>
      <c r="U17" s="375">
        <v>112.5</v>
      </c>
      <c r="V17" s="375">
        <f t="shared" si="2"/>
        <v>1.395</v>
      </c>
      <c r="W17" s="375">
        <v>5</v>
      </c>
      <c r="X17" s="375">
        <f t="shared" si="3"/>
        <v>59.95</v>
      </c>
      <c r="Y17" s="375">
        <f t="shared" si="4"/>
        <v>35.97</v>
      </c>
      <c r="Z17" s="375">
        <f t="shared" si="5"/>
        <v>182.89830508474574</v>
      </c>
      <c r="AA17" s="375">
        <f t="shared" si="6"/>
        <v>1107.4533050847458</v>
      </c>
      <c r="AB17" s="375">
        <f t="shared" si="7"/>
        <v>91.546694915254193</v>
      </c>
      <c r="AC17" s="228">
        <f t="shared" si="8"/>
        <v>7.6352539545666551E-2</v>
      </c>
      <c r="AD17" s="228"/>
      <c r="AE17" s="375">
        <v>1199</v>
      </c>
      <c r="AF17" s="375">
        <v>1099</v>
      </c>
      <c r="AG17" s="381" t="s">
        <v>1175</v>
      </c>
      <c r="AH17" s="379">
        <v>60</v>
      </c>
    </row>
    <row r="18" spans="1:37" ht="15" customHeight="1">
      <c r="A18" s="187" t="s">
        <v>934</v>
      </c>
      <c r="B18" s="187">
        <v>10254809</v>
      </c>
      <c r="C18" s="187">
        <v>0.255</v>
      </c>
      <c r="D18" s="249" t="s">
        <v>1165</v>
      </c>
      <c r="E18" s="187" t="s">
        <v>632</v>
      </c>
      <c r="F18" s="187" t="s">
        <v>633</v>
      </c>
      <c r="G18" s="187">
        <v>8904422504912</v>
      </c>
      <c r="H18" s="187" t="s">
        <v>23</v>
      </c>
      <c r="I18" s="187" t="s">
        <v>634</v>
      </c>
      <c r="J18" s="187" t="s">
        <v>314</v>
      </c>
      <c r="K18" s="187" t="s">
        <v>444</v>
      </c>
      <c r="L18" s="360" t="s">
        <v>636</v>
      </c>
      <c r="M18" s="187">
        <v>85101000</v>
      </c>
      <c r="N18" s="375">
        <v>408.82</v>
      </c>
      <c r="O18" s="375">
        <f>VLOOKUP(F18,'Amazon Live Products'!F:Q,12,0)</f>
        <v>478.10843519999997</v>
      </c>
      <c r="P18" s="375">
        <f t="shared" si="0"/>
        <v>89.9</v>
      </c>
      <c r="Q18" s="377">
        <f t="shared" ref="Q18:Q23" si="9">IF(AE18&lt;=1200, AE18*2%,
   IF(AE18&lt;=1500, AE18*5%,
      IF(AE18&lt;=2000, AE18*7%,
         IF(AE18&lt;=3000, AE18*9%,
            IF(AE18&gt;3000, AE18*11%, 0)
         )
      )
   )
)</f>
        <v>17.98</v>
      </c>
      <c r="R18" s="375">
        <v>50</v>
      </c>
      <c r="S18" s="375">
        <f t="shared" si="1"/>
        <v>35.96</v>
      </c>
      <c r="T18" s="375">
        <v>67.5</v>
      </c>
      <c r="U18" s="375">
        <v>112.5</v>
      </c>
      <c r="V18" s="375">
        <f t="shared" si="2"/>
        <v>3.8250000000000002</v>
      </c>
      <c r="W18" s="375">
        <v>5</v>
      </c>
      <c r="X18" s="375">
        <f t="shared" si="3"/>
        <v>44.95</v>
      </c>
      <c r="Y18" s="375">
        <f t="shared" si="4"/>
        <v>26.97</v>
      </c>
      <c r="Z18" s="375">
        <f t="shared" si="5"/>
        <v>137.13559322033893</v>
      </c>
      <c r="AA18" s="375">
        <f t="shared" si="6"/>
        <v>888.04059322033913</v>
      </c>
      <c r="AB18" s="375">
        <f t="shared" si="7"/>
        <v>10.959406779660867</v>
      </c>
      <c r="AC18" s="228">
        <f t="shared" si="8"/>
        <v>1.2190663826096626E-2</v>
      </c>
      <c r="AD18" s="228">
        <v>0.02</v>
      </c>
      <c r="AE18" s="375">
        <v>899</v>
      </c>
      <c r="AF18" s="375">
        <v>1199</v>
      </c>
      <c r="AG18" s="399" t="s">
        <v>1196</v>
      </c>
      <c r="AH18" s="2">
        <v>20</v>
      </c>
      <c r="AJ18">
        <f>VLOOKUP(I18,'[1]Margin Data'!$C:$AF,30,0)</f>
        <v>1499</v>
      </c>
      <c r="AK18" s="568">
        <f>VLOOKUP(I18,[2]NexLev!$C:$D,2,0)</f>
        <v>1499</v>
      </c>
    </row>
    <row r="19" spans="1:37" ht="15" hidden="1" customHeight="1">
      <c r="A19" s="187"/>
      <c r="B19" s="187"/>
      <c r="C19" s="187"/>
      <c r="D19" s="249"/>
      <c r="E19" s="187" t="s">
        <v>462</v>
      </c>
      <c r="F19" s="187" t="s">
        <v>463</v>
      </c>
      <c r="G19" s="374">
        <v>8904422504103</v>
      </c>
      <c r="H19" s="187" t="s">
        <v>23</v>
      </c>
      <c r="I19" s="187" t="s">
        <v>464</v>
      </c>
      <c r="J19" s="187" t="s">
        <v>314</v>
      </c>
      <c r="K19" s="187" t="s">
        <v>465</v>
      </c>
      <c r="L19" s="187" t="s">
        <v>466</v>
      </c>
      <c r="M19" s="187">
        <v>85163100</v>
      </c>
      <c r="N19" s="375">
        <v>616.84</v>
      </c>
      <c r="O19" s="375">
        <f>VLOOKUP(F19,'Amazon Live Products'!F:Q,12,0)</f>
        <v>710.701728</v>
      </c>
      <c r="P19" s="375">
        <f t="shared" si="0"/>
        <v>139.9</v>
      </c>
      <c r="Q19" s="377">
        <f t="shared" si="9"/>
        <v>69.95</v>
      </c>
      <c r="R19" s="375">
        <v>50</v>
      </c>
      <c r="S19" s="375">
        <f t="shared" si="1"/>
        <v>55.96</v>
      </c>
      <c r="T19" s="375">
        <v>67.5</v>
      </c>
      <c r="U19" s="375">
        <v>112.5</v>
      </c>
      <c r="V19" s="375">
        <f t="shared" si="2"/>
        <v>0</v>
      </c>
      <c r="W19" s="375">
        <v>5</v>
      </c>
      <c r="X19" s="375">
        <f t="shared" si="3"/>
        <v>69.95</v>
      </c>
      <c r="Y19" s="375">
        <f t="shared" si="4"/>
        <v>41.97</v>
      </c>
      <c r="Z19" s="375">
        <f t="shared" si="5"/>
        <v>213.4067796610168</v>
      </c>
      <c r="AA19" s="375">
        <f t="shared" si="6"/>
        <v>1330.476779661017</v>
      </c>
      <c r="AB19" s="375">
        <f t="shared" si="7"/>
        <v>68.523220338983037</v>
      </c>
      <c r="AC19" s="228">
        <f t="shared" si="8"/>
        <v>4.8980143201560425E-2</v>
      </c>
      <c r="AD19" s="228"/>
      <c r="AE19" s="375">
        <v>1399</v>
      </c>
      <c r="AF19" s="375">
        <v>1249</v>
      </c>
      <c r="AG19" s="187"/>
      <c r="AH19" s="2">
        <v>12</v>
      </c>
    </row>
    <row r="20" spans="1:37" ht="15" customHeight="1">
      <c r="A20" s="187" t="s">
        <v>934</v>
      </c>
      <c r="B20" s="249">
        <v>10245584</v>
      </c>
      <c r="C20" s="187">
        <v>0.44</v>
      </c>
      <c r="D20" s="249" t="s">
        <v>1165</v>
      </c>
      <c r="E20" s="187" t="s">
        <v>736</v>
      </c>
      <c r="F20" s="187" t="s">
        <v>737</v>
      </c>
      <c r="G20" s="187">
        <v>8904422505285</v>
      </c>
      <c r="H20" s="187" t="s">
        <v>23</v>
      </c>
      <c r="I20" s="187" t="s">
        <v>738</v>
      </c>
      <c r="J20" s="187" t="s">
        <v>314</v>
      </c>
      <c r="K20" s="225" t="s">
        <v>465</v>
      </c>
      <c r="L20" s="360" t="s">
        <v>739</v>
      </c>
      <c r="M20" s="187">
        <v>90191020</v>
      </c>
      <c r="N20" s="375">
        <v>844.46</v>
      </c>
      <c r="O20" s="375">
        <f>VLOOKUP(F20,'Amazon Live Products'!F:Q,12,0)</f>
        <v>1193.3116272</v>
      </c>
      <c r="P20" s="375">
        <f t="shared" si="0"/>
        <v>214.9</v>
      </c>
      <c r="Q20" s="377">
        <f t="shared" si="9"/>
        <v>193.41</v>
      </c>
      <c r="R20" s="375">
        <v>50</v>
      </c>
      <c r="S20" s="375">
        <f t="shared" si="1"/>
        <v>85.960000000000008</v>
      </c>
      <c r="T20" s="375">
        <v>67.5</v>
      </c>
      <c r="U20" s="375">
        <v>112.5</v>
      </c>
      <c r="V20" s="375">
        <f t="shared" si="2"/>
        <v>6.6</v>
      </c>
      <c r="W20" s="375">
        <v>5</v>
      </c>
      <c r="X20" s="375">
        <f t="shared" si="3"/>
        <v>107.45</v>
      </c>
      <c r="Y20" s="375">
        <f t="shared" si="4"/>
        <v>64.47</v>
      </c>
      <c r="Z20" s="375">
        <f t="shared" si="5"/>
        <v>327.81355932203383</v>
      </c>
      <c r="AA20" s="375">
        <f t="shared" si="6"/>
        <v>1967.5635593220341</v>
      </c>
      <c r="AB20" s="375">
        <f t="shared" si="7"/>
        <v>181.43644067796595</v>
      </c>
      <c r="AC20" s="228">
        <f t="shared" si="8"/>
        <v>8.4428311157731945E-2</v>
      </c>
      <c r="AD20" s="228">
        <v>0.09</v>
      </c>
      <c r="AE20" s="375">
        <v>2149</v>
      </c>
      <c r="AF20" s="375">
        <v>1999</v>
      </c>
      <c r="AG20" s="381" t="s">
        <v>1209</v>
      </c>
      <c r="AH20" s="2">
        <v>30</v>
      </c>
      <c r="AJ20">
        <f>VLOOKUP(I20,'[1]Margin Data'!$C:$AF,30,0)</f>
        <v>3999</v>
      </c>
      <c r="AK20" s="568">
        <f>VLOOKUP(I20,[2]NexLev!$C:$D,2,0)</f>
        <v>3999</v>
      </c>
    </row>
    <row r="21" spans="1:37" ht="15" hidden="1" customHeight="1">
      <c r="A21" s="187"/>
      <c r="B21" s="187"/>
      <c r="C21" s="187"/>
      <c r="D21" s="249"/>
      <c r="E21" s="187" t="s">
        <v>471</v>
      </c>
      <c r="F21" s="187" t="s">
        <v>472</v>
      </c>
      <c r="G21" s="374">
        <v>8904422504110</v>
      </c>
      <c r="H21" s="187" t="s">
        <v>23</v>
      </c>
      <c r="I21" s="187" t="s">
        <v>473</v>
      </c>
      <c r="J21" s="187" t="s">
        <v>314</v>
      </c>
      <c r="K21" s="187" t="s">
        <v>465</v>
      </c>
      <c r="L21" s="187" t="s">
        <v>474</v>
      </c>
      <c r="M21" s="187">
        <v>85163200</v>
      </c>
      <c r="N21" s="375">
        <v>319.5</v>
      </c>
      <c r="O21" s="375">
        <f>VLOOKUP(F21,'Amazon Live Products'!F:Q,12,0)</f>
        <v>370.85708352</v>
      </c>
      <c r="P21" s="375">
        <f t="shared" si="0"/>
        <v>79.900000000000006</v>
      </c>
      <c r="Q21" s="377">
        <f t="shared" si="9"/>
        <v>15.98</v>
      </c>
      <c r="R21" s="375">
        <v>50</v>
      </c>
      <c r="S21" s="375">
        <f t="shared" si="1"/>
        <v>31.96</v>
      </c>
      <c r="T21" s="375">
        <v>67.5</v>
      </c>
      <c r="U21" s="375">
        <v>112.5</v>
      </c>
      <c r="V21" s="375">
        <f t="shared" si="2"/>
        <v>0</v>
      </c>
      <c r="W21" s="375">
        <v>5</v>
      </c>
      <c r="X21" s="375">
        <f t="shared" si="3"/>
        <v>39.950000000000003</v>
      </c>
      <c r="Y21" s="375">
        <f t="shared" si="4"/>
        <v>23.97</v>
      </c>
      <c r="Z21" s="375">
        <f t="shared" si="5"/>
        <v>121.88135593220341</v>
      </c>
      <c r="AA21" s="375">
        <f t="shared" si="6"/>
        <v>755.6413559322034</v>
      </c>
      <c r="AB21" s="375">
        <f t="shared" si="7"/>
        <v>43.358644067796604</v>
      </c>
      <c r="AC21" s="228">
        <f t="shared" si="8"/>
        <v>5.4266137756941932E-2</v>
      </c>
      <c r="AD21" s="228"/>
      <c r="AE21" s="375">
        <v>799</v>
      </c>
      <c r="AF21" s="375" t="e">
        <v>#N/A</v>
      </c>
      <c r="AG21" s="187"/>
      <c r="AH21" s="2">
        <v>12</v>
      </c>
    </row>
    <row r="22" spans="1:37" ht="15" hidden="1" customHeight="1">
      <c r="A22" s="187"/>
      <c r="B22" s="187"/>
      <c r="C22" s="187"/>
      <c r="D22" s="249"/>
      <c r="E22" s="187" t="s">
        <v>475</v>
      </c>
      <c r="F22" s="187" t="s">
        <v>476</v>
      </c>
      <c r="G22" s="374">
        <v>8904422504127</v>
      </c>
      <c r="H22" s="187" t="s">
        <v>23</v>
      </c>
      <c r="I22" s="187" t="s">
        <v>477</v>
      </c>
      <c r="J22" s="187" t="s">
        <v>234</v>
      </c>
      <c r="K22" s="187" t="s">
        <v>235</v>
      </c>
      <c r="L22" s="187" t="s">
        <v>478</v>
      </c>
      <c r="M22" s="187">
        <v>85163200</v>
      </c>
      <c r="N22" s="375">
        <v>328.83</v>
      </c>
      <c r="O22" s="375">
        <f>VLOOKUP(F22,'Amazon Live Products'!F:Q,12,0)</f>
        <v>382.48674815999999</v>
      </c>
      <c r="P22" s="375">
        <f t="shared" si="0"/>
        <v>84.9</v>
      </c>
      <c r="Q22" s="377">
        <f t="shared" si="9"/>
        <v>16.98</v>
      </c>
      <c r="R22" s="375">
        <v>50</v>
      </c>
      <c r="S22" s="375">
        <f t="shared" si="1"/>
        <v>33.96</v>
      </c>
      <c r="T22" s="375">
        <v>67.5</v>
      </c>
      <c r="U22" s="375">
        <v>112.5</v>
      </c>
      <c r="V22" s="375">
        <f t="shared" si="2"/>
        <v>0</v>
      </c>
      <c r="W22" s="375">
        <v>5</v>
      </c>
      <c r="X22" s="375">
        <f t="shared" si="3"/>
        <v>42.45</v>
      </c>
      <c r="Y22" s="375">
        <f t="shared" si="4"/>
        <v>25.47</v>
      </c>
      <c r="Z22" s="375">
        <f t="shared" si="5"/>
        <v>129.50847457627117</v>
      </c>
      <c r="AA22" s="375">
        <f t="shared" si="6"/>
        <v>784.59847457627131</v>
      </c>
      <c r="AB22" s="375">
        <f t="shared" si="7"/>
        <v>64.401525423728685</v>
      </c>
      <c r="AC22" s="228">
        <f t="shared" si="8"/>
        <v>7.5855742548561464E-2</v>
      </c>
      <c r="AD22" s="228"/>
      <c r="AE22" s="375">
        <v>849</v>
      </c>
      <c r="AF22" s="375" t="e">
        <v>#N/A</v>
      </c>
      <c r="AG22" s="187"/>
      <c r="AH22" s="2">
        <v>12</v>
      </c>
    </row>
    <row r="23" spans="1:37" ht="15" hidden="1" customHeight="1">
      <c r="A23" s="187" t="s">
        <v>934</v>
      </c>
      <c r="B23" s="187">
        <v>10256263</v>
      </c>
      <c r="C23" s="187">
        <v>0.42</v>
      </c>
      <c r="D23" s="249" t="s">
        <v>1170</v>
      </c>
      <c r="E23" s="187" t="s">
        <v>508</v>
      </c>
      <c r="F23" s="187" t="s">
        <v>509</v>
      </c>
      <c r="G23" s="187">
        <v>8904422504233</v>
      </c>
      <c r="H23" s="187" t="s">
        <v>23</v>
      </c>
      <c r="I23" s="187" t="s">
        <v>481</v>
      </c>
      <c r="J23" s="187" t="s">
        <v>465</v>
      </c>
      <c r="K23" s="187"/>
      <c r="L23" s="187" t="s">
        <v>482</v>
      </c>
      <c r="M23" s="187">
        <v>85163100</v>
      </c>
      <c r="N23" s="375">
        <v>651.15</v>
      </c>
      <c r="O23" s="375">
        <f>VLOOKUP(F23,'Amazon Live Products'!F:Q,12,0)</f>
        <v>755.92820159999997</v>
      </c>
      <c r="P23" s="375">
        <f t="shared" si="0"/>
        <v>149.9</v>
      </c>
      <c r="Q23" s="377">
        <f t="shared" si="9"/>
        <v>74.95</v>
      </c>
      <c r="R23" s="375">
        <v>50</v>
      </c>
      <c r="S23" s="375">
        <f t="shared" si="1"/>
        <v>59.96</v>
      </c>
      <c r="T23" s="375">
        <v>67.5</v>
      </c>
      <c r="U23" s="375">
        <v>112.5</v>
      </c>
      <c r="V23" s="375">
        <f t="shared" si="2"/>
        <v>6.3</v>
      </c>
      <c r="W23" s="375">
        <v>5</v>
      </c>
      <c r="X23" s="375">
        <f t="shared" si="3"/>
        <v>74.95</v>
      </c>
      <c r="Y23" s="375">
        <f t="shared" si="4"/>
        <v>44.97</v>
      </c>
      <c r="Z23" s="375">
        <f t="shared" si="5"/>
        <v>228.66101694915255</v>
      </c>
      <c r="AA23" s="375">
        <f t="shared" si="6"/>
        <v>1413.3410169491526</v>
      </c>
      <c r="AB23" s="375">
        <f t="shared" si="7"/>
        <v>85.658983050847382</v>
      </c>
      <c r="AC23" s="228">
        <f t="shared" si="8"/>
        <v>5.7144084757069634E-2</v>
      </c>
      <c r="AD23" s="228"/>
      <c r="AE23" s="375">
        <v>1499</v>
      </c>
      <c r="AF23" s="375">
        <v>1243</v>
      </c>
      <c r="AG23" s="187"/>
      <c r="AH23" s="2">
        <v>20</v>
      </c>
    </row>
    <row r="24" spans="1:37" ht="15" hidden="1" customHeight="1">
      <c r="A24" s="382" t="s">
        <v>934</v>
      </c>
      <c r="B24" s="383">
        <v>10245569</v>
      </c>
      <c r="C24" s="382">
        <v>0.62</v>
      </c>
      <c r="D24" s="384" t="s">
        <v>1168</v>
      </c>
      <c r="E24" s="382" t="s">
        <v>538</v>
      </c>
      <c r="F24" s="382" t="s">
        <v>539</v>
      </c>
      <c r="G24" s="382">
        <v>8904422504295</v>
      </c>
      <c r="H24" s="382" t="s">
        <v>23</v>
      </c>
      <c r="I24" s="382" t="s">
        <v>483</v>
      </c>
      <c r="J24" s="382" t="s">
        <v>465</v>
      </c>
      <c r="K24" s="382"/>
      <c r="L24" s="382" t="s">
        <v>484</v>
      </c>
      <c r="M24" s="382">
        <v>85163100</v>
      </c>
      <c r="N24" s="375">
        <v>391.01</v>
      </c>
      <c r="O24" s="385">
        <f>VLOOKUP(F24,'Amazon Live Products'!F:Q,12,0)</f>
        <v>438.05070144000001</v>
      </c>
      <c r="P24" s="385">
        <f t="shared" si="0"/>
        <v>99.9</v>
      </c>
      <c r="Q24" s="386">
        <f>IF(AE24&lt;=1200,AE24*2%,
IF(AE24&lt;=1500,AE24*5%,
IF(AE24&lt;=2000,AE24*7%,IF(AE24&lt;=3000,AE24*9%,
IF(AE24&gt;3000,AE24*11%,0)
)
)
))</f>
        <v>19.98</v>
      </c>
      <c r="R24" s="375">
        <v>50</v>
      </c>
      <c r="S24" s="385">
        <f t="shared" si="1"/>
        <v>39.96</v>
      </c>
      <c r="T24" s="385">
        <v>67.5</v>
      </c>
      <c r="U24" s="385">
        <v>112.5</v>
      </c>
      <c r="V24" s="375">
        <f t="shared" si="2"/>
        <v>9.3000000000000007</v>
      </c>
      <c r="W24" s="385">
        <v>5</v>
      </c>
      <c r="X24" s="385">
        <f t="shared" si="3"/>
        <v>49.95</v>
      </c>
      <c r="Y24" s="385">
        <f t="shared" si="4"/>
        <v>29.97</v>
      </c>
      <c r="Z24" s="385">
        <f t="shared" si="5"/>
        <v>152.38983050847457</v>
      </c>
      <c r="AA24" s="375">
        <f t="shared" si="6"/>
        <v>914.95983050847462</v>
      </c>
      <c r="AB24" s="385">
        <f t="shared" si="7"/>
        <v>84.040169491525376</v>
      </c>
      <c r="AC24" s="387">
        <f t="shared" si="8"/>
        <v>8.412429378531068E-2</v>
      </c>
      <c r="AD24" s="387"/>
      <c r="AE24" s="375">
        <v>999</v>
      </c>
      <c r="AF24" s="375">
        <v>999</v>
      </c>
      <c r="AG24" s="388" t="s">
        <v>1178</v>
      </c>
      <c r="AH24" s="389">
        <v>20</v>
      </c>
      <c r="AI24" s="389"/>
    </row>
    <row r="25" spans="1:37" ht="15" hidden="1" customHeight="1">
      <c r="A25" s="382" t="s">
        <v>934</v>
      </c>
      <c r="B25" s="382">
        <v>10253080</v>
      </c>
      <c r="C25" s="382">
        <v>1.5</v>
      </c>
      <c r="D25" s="384" t="s">
        <v>1168</v>
      </c>
      <c r="E25" s="382" t="s">
        <v>491</v>
      </c>
      <c r="F25" s="382" t="s">
        <v>492</v>
      </c>
      <c r="G25" s="382">
        <v>8904422504202</v>
      </c>
      <c r="H25" s="382" t="s">
        <v>23</v>
      </c>
      <c r="I25" s="390" t="s">
        <v>493</v>
      </c>
      <c r="J25" s="382" t="s">
        <v>234</v>
      </c>
      <c r="K25" s="391" t="s">
        <v>249</v>
      </c>
      <c r="L25" s="382" t="s">
        <v>494</v>
      </c>
      <c r="M25" s="382">
        <v>85098000</v>
      </c>
      <c r="N25" s="375">
        <v>1996.72</v>
      </c>
      <c r="O25" s="385">
        <f>VLOOKUP(F25,'Amazon Live Products'!F:Q,12,0)</f>
        <v>2261.32368</v>
      </c>
      <c r="P25" s="385">
        <f t="shared" si="0"/>
        <v>369.90000000000003</v>
      </c>
      <c r="Q25" s="386">
        <f>IF(AE25&lt;=2000, AE25*2%,
   IF(AE25&lt;=3000, AE25*6%,
      IF(AE25&lt;=5000, AE25*9%,
            IF(AE25&gt;5000, AE25*11%, 0)
         )
      )
   )</f>
        <v>332.90999999999997</v>
      </c>
      <c r="R25" s="375">
        <v>50</v>
      </c>
      <c r="S25" s="385">
        <f t="shared" si="1"/>
        <v>147.96</v>
      </c>
      <c r="T25" s="385">
        <v>259.12</v>
      </c>
      <c r="U25" s="385">
        <v>396.61</v>
      </c>
      <c r="V25" s="375">
        <f t="shared" si="2"/>
        <v>22.5</v>
      </c>
      <c r="W25" s="385">
        <v>5</v>
      </c>
      <c r="X25" s="385">
        <f t="shared" si="3"/>
        <v>184.95000000000002</v>
      </c>
      <c r="Y25" s="385">
        <f t="shared" si="4"/>
        <v>110.97</v>
      </c>
      <c r="Z25" s="385">
        <f t="shared" si="5"/>
        <v>564.2542372881353</v>
      </c>
      <c r="AA25" s="375">
        <f t="shared" si="6"/>
        <v>4044.2842372881346</v>
      </c>
      <c r="AB25" s="385">
        <f t="shared" si="7"/>
        <v>-345.28423728813459</v>
      </c>
      <c r="AC25" s="387">
        <f t="shared" si="8"/>
        <v>-9.3345292589384857E-2</v>
      </c>
      <c r="AD25" s="387"/>
      <c r="AE25" s="375">
        <v>3699</v>
      </c>
      <c r="AF25" s="375">
        <v>3799</v>
      </c>
      <c r="AG25" s="392" t="s">
        <v>1179</v>
      </c>
      <c r="AH25" s="389">
        <v>2</v>
      </c>
      <c r="AI25" s="389"/>
    </row>
    <row r="26" spans="1:37" ht="15" hidden="1" customHeight="1">
      <c r="A26" s="187"/>
      <c r="B26" s="187"/>
      <c r="C26" s="187"/>
      <c r="D26" s="249"/>
      <c r="E26" s="187" t="s">
        <v>496</v>
      </c>
      <c r="F26" s="187" t="s">
        <v>497</v>
      </c>
      <c r="G26" s="374">
        <v>8904422504240</v>
      </c>
      <c r="H26" s="187" t="s">
        <v>23</v>
      </c>
      <c r="I26" s="187" t="s">
        <v>498</v>
      </c>
      <c r="J26" s="187" t="s">
        <v>234</v>
      </c>
      <c r="K26" s="225" t="s">
        <v>249</v>
      </c>
      <c r="L26" s="187" t="s">
        <v>499</v>
      </c>
      <c r="M26" s="187">
        <v>85167990</v>
      </c>
      <c r="N26" s="375">
        <v>3383</v>
      </c>
      <c r="O26" s="375">
        <f>VLOOKUP(F26,'Amazon Live Products'!F:Q,12,0)</f>
        <v>3811.9456320000004</v>
      </c>
      <c r="P26" s="375"/>
      <c r="Q26" s="375"/>
      <c r="R26" s="375"/>
      <c r="S26" s="375"/>
      <c r="T26" s="375"/>
      <c r="U26" s="375"/>
      <c r="V26" s="375"/>
      <c r="W26" s="375"/>
      <c r="X26" s="375"/>
      <c r="Y26" s="375"/>
      <c r="Z26" s="375"/>
      <c r="AA26" s="375"/>
      <c r="AB26" s="375"/>
      <c r="AC26" s="375"/>
      <c r="AD26" s="375"/>
      <c r="AE26" s="375"/>
      <c r="AF26" s="375">
        <v>6999</v>
      </c>
      <c r="AG26" s="187"/>
      <c r="AH26" s="2">
        <v>2</v>
      </c>
    </row>
    <row r="27" spans="1:37" ht="15" customHeight="1">
      <c r="A27" s="187" t="s">
        <v>934</v>
      </c>
      <c r="B27" s="187">
        <v>10254807</v>
      </c>
      <c r="C27" s="187">
        <v>0.32</v>
      </c>
      <c r="D27" s="249" t="s">
        <v>1165</v>
      </c>
      <c r="E27" s="187" t="s">
        <v>675</v>
      </c>
      <c r="F27" s="187" t="s">
        <v>676</v>
      </c>
      <c r="G27" s="187">
        <v>8904422505094</v>
      </c>
      <c r="H27" s="187" t="s">
        <v>23</v>
      </c>
      <c r="I27" s="187" t="s">
        <v>677</v>
      </c>
      <c r="J27" s="187" t="s">
        <v>314</v>
      </c>
      <c r="K27" s="187"/>
      <c r="L27" s="360" t="s">
        <v>678</v>
      </c>
      <c r="M27" s="187">
        <v>85101000</v>
      </c>
      <c r="N27" s="375">
        <v>503.33</v>
      </c>
      <c r="O27" s="375">
        <f>VLOOKUP(F27,'Amazon Live Products'!F:Q,12,0)</f>
        <v>587.94415679999997</v>
      </c>
      <c r="P27" s="375">
        <f t="shared" ref="P27:P33" si="10">AE27*10%</f>
        <v>104.9</v>
      </c>
      <c r="Q27" s="377">
        <f>IF(AE27&lt;=1200, AE27*2%,
   IF(AE27&lt;=1500, AE27*5%,
      IF(AE27&lt;=2000, AE27*7%,
         IF(AE27&lt;=3000, AE27*9%,
            IF(AE27&gt;3000, AE27*11%, 0)
         )
      )
   )
)</f>
        <v>20.98</v>
      </c>
      <c r="R27" s="375">
        <v>50</v>
      </c>
      <c r="S27" s="375">
        <f t="shared" ref="S27:S33" si="11">AE27*4%</f>
        <v>41.96</v>
      </c>
      <c r="T27" s="375">
        <v>67.5</v>
      </c>
      <c r="U27" s="375">
        <v>112.5</v>
      </c>
      <c r="V27" s="375">
        <f t="shared" ref="V27:V33" si="12">C27*15</f>
        <v>4.8</v>
      </c>
      <c r="W27" s="375">
        <v>5</v>
      </c>
      <c r="X27" s="375">
        <f t="shared" ref="X27:X33" si="13">AE27*5%</f>
        <v>52.45</v>
      </c>
      <c r="Y27" s="375">
        <f t="shared" ref="Y27:Y33" si="14">AE27*3%</f>
        <v>31.47</v>
      </c>
      <c r="Z27" s="375">
        <f t="shared" ref="Z27:Z33" si="15">AE27-(AE27/1.18)</f>
        <v>160.01694915254234</v>
      </c>
      <c r="AA27" s="375">
        <f>N27+P27+Q27+R27+S27+T27+V27+W27+X27+Y27+Z27</f>
        <v>1042.4069491525424</v>
      </c>
      <c r="AB27" s="375">
        <f t="shared" ref="AB27:AB33" si="16">AE27-AA27</f>
        <v>6.5930508474575618</v>
      </c>
      <c r="AC27" s="228">
        <f t="shared" ref="AC27:AC33" si="17">AB27/AE27</f>
        <v>6.2850818374237958E-3</v>
      </c>
      <c r="AD27" s="228">
        <v>0.02</v>
      </c>
      <c r="AE27" s="375">
        <v>1049</v>
      </c>
      <c r="AF27" s="375">
        <v>1999</v>
      </c>
      <c r="AG27" s="399" t="s">
        <v>1201</v>
      </c>
      <c r="AH27" s="2">
        <v>20</v>
      </c>
      <c r="AJ27">
        <f>VLOOKUP(I27,'[1]Margin Data'!$C:$AF,30,0)</f>
        <v>1999</v>
      </c>
      <c r="AK27" s="568">
        <f>VLOOKUP(I27,[2]NexLev!$C:$D,2,0)</f>
        <v>1999</v>
      </c>
    </row>
    <row r="28" spans="1:37" ht="15" hidden="1" customHeight="1">
      <c r="A28" s="382" t="s">
        <v>934</v>
      </c>
      <c r="B28" s="382">
        <v>10253047</v>
      </c>
      <c r="C28" s="382">
        <v>0.42499999999999999</v>
      </c>
      <c r="D28" s="384" t="s">
        <v>1168</v>
      </c>
      <c r="E28" s="382" t="s">
        <v>504</v>
      </c>
      <c r="F28" s="382" t="s">
        <v>505</v>
      </c>
      <c r="G28" s="382">
        <v>8904422504196</v>
      </c>
      <c r="H28" s="382" t="s">
        <v>23</v>
      </c>
      <c r="I28" s="390" t="s">
        <v>506</v>
      </c>
      <c r="J28" s="382" t="s">
        <v>234</v>
      </c>
      <c r="K28" s="382" t="s">
        <v>235</v>
      </c>
      <c r="L28" s="382" t="s">
        <v>939</v>
      </c>
      <c r="M28" s="382">
        <v>85167990</v>
      </c>
      <c r="N28" s="375">
        <v>753.28</v>
      </c>
      <c r="O28" s="385">
        <f>VLOOKUP(F28,'Amazon Live Products'!F:Q,12,0)</f>
        <v>878.6857728</v>
      </c>
      <c r="P28" s="385">
        <f t="shared" si="10"/>
        <v>159.9</v>
      </c>
      <c r="Q28" s="386">
        <f>IF(AE28&lt;=1200,AE28*2%,
IF(AE28&lt;=1500,AE28*5%,
IF(AE28&lt;=2000,AE28*7%,IF(AE28&lt;=3000,AE28*9%,
IF(AE28&gt;3000,AE28*11%,0)
)
)
))</f>
        <v>111.93</v>
      </c>
      <c r="R28" s="375">
        <v>50</v>
      </c>
      <c r="S28" s="385">
        <f t="shared" si="11"/>
        <v>63.96</v>
      </c>
      <c r="T28" s="385">
        <v>67.5</v>
      </c>
      <c r="U28" s="385">
        <v>112.5</v>
      </c>
      <c r="V28" s="375">
        <f t="shared" si="12"/>
        <v>6.375</v>
      </c>
      <c r="W28" s="385">
        <v>5</v>
      </c>
      <c r="X28" s="385">
        <f t="shared" si="13"/>
        <v>79.95</v>
      </c>
      <c r="Y28" s="385">
        <f t="shared" si="14"/>
        <v>47.97</v>
      </c>
      <c r="Z28" s="385">
        <f t="shared" si="15"/>
        <v>243.91525423728808</v>
      </c>
      <c r="AA28" s="375">
        <f>N28+P28+Q28+R28+S28+T28+V28+W28+X28+Y28+Z28</f>
        <v>1589.7802542372881</v>
      </c>
      <c r="AB28" s="385">
        <f t="shared" si="16"/>
        <v>9.2197457627119093</v>
      </c>
      <c r="AC28" s="387">
        <f t="shared" si="17"/>
        <v>5.7659448172056966E-3</v>
      </c>
      <c r="AD28" s="387"/>
      <c r="AE28" s="375">
        <v>1599</v>
      </c>
      <c r="AF28" s="375">
        <v>1499</v>
      </c>
      <c r="AG28" s="393" t="s">
        <v>1181</v>
      </c>
      <c r="AH28" s="394">
        <v>40</v>
      </c>
      <c r="AI28" s="389"/>
    </row>
    <row r="29" spans="1:37" ht="15" customHeight="1">
      <c r="A29" s="187" t="s">
        <v>934</v>
      </c>
      <c r="B29" s="187">
        <v>10226828</v>
      </c>
      <c r="C29" s="187">
        <v>9.2999999999999999E-2</v>
      </c>
      <c r="D29" s="249" t="s">
        <v>1173</v>
      </c>
      <c r="E29" s="187" t="s">
        <v>441</v>
      </c>
      <c r="F29" s="187" t="s">
        <v>442</v>
      </c>
      <c r="G29" s="187">
        <v>8904422504059</v>
      </c>
      <c r="H29" s="187" t="s">
        <v>23</v>
      </c>
      <c r="I29" s="272" t="s">
        <v>443</v>
      </c>
      <c r="J29" s="187" t="s">
        <v>314</v>
      </c>
      <c r="K29" s="187" t="s">
        <v>444</v>
      </c>
      <c r="L29" s="360" t="s">
        <v>445</v>
      </c>
      <c r="M29" s="187">
        <v>85101000</v>
      </c>
      <c r="N29" s="375">
        <v>437.28</v>
      </c>
      <c r="O29" s="375">
        <f>VLOOKUP(F29,'Amazon Live Products'!F:Q,12,0)</f>
        <v>511.70524416000001</v>
      </c>
      <c r="P29" s="375">
        <f t="shared" si="10"/>
        <v>99.9</v>
      </c>
      <c r="Q29" s="377">
        <f>AE29*5%</f>
        <v>49.95</v>
      </c>
      <c r="R29" s="375">
        <v>50</v>
      </c>
      <c r="S29" s="375">
        <f t="shared" si="11"/>
        <v>39.96</v>
      </c>
      <c r="T29" s="375">
        <v>67.5</v>
      </c>
      <c r="U29" s="375">
        <v>112.5</v>
      </c>
      <c r="V29" s="375">
        <f t="shared" si="12"/>
        <v>1.395</v>
      </c>
      <c r="W29" s="375">
        <v>5</v>
      </c>
      <c r="X29" s="375">
        <f t="shared" si="13"/>
        <v>49.95</v>
      </c>
      <c r="Y29" s="375">
        <f t="shared" si="14"/>
        <v>29.97</v>
      </c>
      <c r="Z29" s="375">
        <f t="shared" si="15"/>
        <v>152.38983050847457</v>
      </c>
      <c r="AA29" s="375">
        <f>N29+P29+Q29+R29+S29+T29+V29+W29+X29+Y29+Z29</f>
        <v>983.29483050847466</v>
      </c>
      <c r="AB29" s="375">
        <f t="shared" si="16"/>
        <v>15.705169491525339</v>
      </c>
      <c r="AC29" s="228">
        <f t="shared" si="17"/>
        <v>1.5720890381907247E-2</v>
      </c>
      <c r="AD29" s="228">
        <v>0.05</v>
      </c>
      <c r="AE29" s="375">
        <v>999</v>
      </c>
      <c r="AF29" s="375">
        <v>1048</v>
      </c>
      <c r="AG29" s="381" t="s">
        <v>1174</v>
      </c>
      <c r="AH29" s="2">
        <v>60</v>
      </c>
      <c r="AJ29">
        <f>VLOOKUP(I29,'[1]Margin Data'!$C:$AF,30,0)</f>
        <v>1499</v>
      </c>
      <c r="AK29" s="568">
        <f>VLOOKUP(I29,[2]NexLev!$C:$D,2,0)</f>
        <v>1499</v>
      </c>
    </row>
    <row r="30" spans="1:37" ht="15" customHeight="1">
      <c r="A30" s="187" t="s">
        <v>934</v>
      </c>
      <c r="B30" s="187">
        <v>10232177</v>
      </c>
      <c r="C30" s="187">
        <v>0.23</v>
      </c>
      <c r="D30" s="249" t="s">
        <v>1173</v>
      </c>
      <c r="E30" s="187" t="s">
        <v>1254</v>
      </c>
      <c r="F30" s="187" t="s">
        <v>1255</v>
      </c>
      <c r="G30" s="187">
        <v>8904422503793</v>
      </c>
      <c r="H30" s="187" t="s">
        <v>1222</v>
      </c>
      <c r="I30" s="187" t="s">
        <v>1256</v>
      </c>
      <c r="J30" s="211" t="s">
        <v>1243</v>
      </c>
      <c r="K30" s="211" t="s">
        <v>1244</v>
      </c>
      <c r="L30" s="360" t="s">
        <v>1257</v>
      </c>
      <c r="M30" s="187">
        <v>85181000</v>
      </c>
      <c r="N30" s="375">
        <v>840.03</v>
      </c>
      <c r="O30" s="375">
        <v>1022.3817112200001</v>
      </c>
      <c r="P30" s="375">
        <f t="shared" si="10"/>
        <v>224.9</v>
      </c>
      <c r="Q30" s="400">
        <f>IF(AE30&lt;=300, AE30*2%,
   IF(AE30&lt;=400, AE30*4%,
      IF(AE30&lt;=500, AE30*6%,
         IF(AE30&lt;=700, AE30*8%, IF(AE30&lt;=900, AE30*13%, IF(AE30&lt;=1200, AE30*16%,
            IF(AE30&gt;1200, AE30*18%, 0)
         )
      )
   )
)))</f>
        <v>404.82</v>
      </c>
      <c r="R30" s="375">
        <v>50</v>
      </c>
      <c r="S30" s="375">
        <f t="shared" si="11"/>
        <v>89.960000000000008</v>
      </c>
      <c r="T30" s="375">
        <v>67.5</v>
      </c>
      <c r="U30" s="375">
        <v>112.5</v>
      </c>
      <c r="V30" s="375">
        <f t="shared" si="12"/>
        <v>3.45</v>
      </c>
      <c r="W30" s="375">
        <v>5</v>
      </c>
      <c r="X30" s="375">
        <f t="shared" si="13"/>
        <v>112.45</v>
      </c>
      <c r="Y30" s="375">
        <f t="shared" si="14"/>
        <v>67.47</v>
      </c>
      <c r="Z30" s="375">
        <f t="shared" si="15"/>
        <v>343.06779661016935</v>
      </c>
      <c r="AA30" s="375">
        <f>N30+Q30+R30+S30+T30+W30+X30+Y30+Z30+P30+V30</f>
        <v>2208.6477966101693</v>
      </c>
      <c r="AB30" s="375">
        <f t="shared" si="16"/>
        <v>40.35220338983072</v>
      </c>
      <c r="AC30" s="228">
        <f t="shared" si="17"/>
        <v>1.7942286967465859E-2</v>
      </c>
      <c r="AD30" s="228">
        <v>0.18</v>
      </c>
      <c r="AE30" s="375">
        <v>2249</v>
      </c>
      <c r="AF30" s="375">
        <v>1733</v>
      </c>
      <c r="AG30" s="396" t="s">
        <v>1258</v>
      </c>
      <c r="AH30" s="2">
        <v>100</v>
      </c>
      <c r="AI30" s="263"/>
      <c r="AJ30">
        <f>VLOOKUP(I30,'[1]Margin Data'!$C:$AF,30,0)</f>
        <v>4999</v>
      </c>
      <c r="AK30" s="568">
        <f>VLOOKUP(I30,'[2]Audio Array'!$C:$D,2,0)</f>
        <v>4999</v>
      </c>
    </row>
    <row r="31" spans="1:37" ht="15" customHeight="1">
      <c r="A31" s="187" t="s">
        <v>934</v>
      </c>
      <c r="B31" s="249">
        <v>10304035</v>
      </c>
      <c r="C31" s="187"/>
      <c r="D31" s="249" t="s">
        <v>1766</v>
      </c>
      <c r="E31" s="187" t="s">
        <v>1768</v>
      </c>
      <c r="F31" s="187" t="s">
        <v>1769</v>
      </c>
      <c r="G31" s="187">
        <v>8904422506565</v>
      </c>
      <c r="H31" s="187" t="s">
        <v>1222</v>
      </c>
      <c r="I31" s="187" t="s">
        <v>1767</v>
      </c>
      <c r="J31" s="211" t="s">
        <v>1243</v>
      </c>
      <c r="K31" s="211" t="s">
        <v>1244</v>
      </c>
      <c r="L31" s="360" t="s">
        <v>1770</v>
      </c>
      <c r="M31" s="187"/>
      <c r="N31" s="375">
        <v>727.66</v>
      </c>
      <c r="O31" s="375">
        <v>989.25</v>
      </c>
      <c r="P31" s="375">
        <f t="shared" si="10"/>
        <v>199.9</v>
      </c>
      <c r="Q31" s="400">
        <v>359.82</v>
      </c>
      <c r="R31" s="375">
        <v>50</v>
      </c>
      <c r="S31" s="375">
        <f t="shared" si="11"/>
        <v>79.960000000000008</v>
      </c>
      <c r="T31" s="375">
        <v>67.5</v>
      </c>
      <c r="U31" s="375">
        <v>112.5</v>
      </c>
      <c r="V31" s="375">
        <f t="shared" si="12"/>
        <v>0</v>
      </c>
      <c r="W31" s="375">
        <v>5</v>
      </c>
      <c r="X31" s="375">
        <f t="shared" si="13"/>
        <v>99.95</v>
      </c>
      <c r="Y31" s="375">
        <f t="shared" si="14"/>
        <v>59.97</v>
      </c>
      <c r="Z31" s="375">
        <f t="shared" si="15"/>
        <v>304.93220338983042</v>
      </c>
      <c r="AA31" s="375">
        <f>N31+Q31+R31+S31+T31+W31+X31+Y31+Z31+P31+V31</f>
        <v>1954.6922033898306</v>
      </c>
      <c r="AB31" s="375">
        <f t="shared" si="16"/>
        <v>44.307796610169362</v>
      </c>
      <c r="AC31" s="228">
        <f t="shared" si="17"/>
        <v>2.2164980795482424E-2</v>
      </c>
      <c r="AD31" s="228">
        <v>0.18</v>
      </c>
      <c r="AE31" s="375">
        <v>1999</v>
      </c>
      <c r="AF31" s="375"/>
      <c r="AG31" s="396" t="s">
        <v>1775</v>
      </c>
      <c r="AH31" s="2"/>
      <c r="AI31" s="263"/>
      <c r="AJ31">
        <f>VLOOKUP(I31,'[1]Margin Data'!$C:$AF,30,0)</f>
        <v>2999</v>
      </c>
      <c r="AK31" s="568">
        <f>VLOOKUP(I31,'[2]Audio Array'!$C:$D,2,0)</f>
        <v>2999</v>
      </c>
    </row>
    <row r="32" spans="1:37" ht="15" hidden="1" customHeight="1">
      <c r="A32" s="187"/>
      <c r="B32" s="565"/>
      <c r="C32" s="187">
        <v>0.24</v>
      </c>
      <c r="D32" s="249"/>
      <c r="E32" s="187" t="s">
        <v>1774</v>
      </c>
      <c r="F32" s="187" t="s">
        <v>1773</v>
      </c>
      <c r="G32" s="187">
        <v>8904422506152</v>
      </c>
      <c r="H32" s="187" t="s">
        <v>1222</v>
      </c>
      <c r="I32" s="187" t="s">
        <v>1772</v>
      </c>
      <c r="J32" s="211"/>
      <c r="K32" s="211"/>
      <c r="L32" s="360"/>
      <c r="M32" s="187"/>
      <c r="N32" s="375">
        <v>1352.48</v>
      </c>
      <c r="O32" s="375"/>
      <c r="P32" s="375">
        <f t="shared" si="10"/>
        <v>329.90000000000003</v>
      </c>
      <c r="Q32" s="400" cm="1">
        <f t="array" ref="Q32">_xlfn.IFS(
AE32&lt;=300, AE32*2%,
AE32&lt;=400, AE32*3%,
AE32&lt;=500, AE32*4%,
AE32&lt;=700, AE32*5%,
AE32&lt;=900, AE32*8%,
AE32&lt;=1200, AE32*11%,
AE32&gt;1200, AE32*13%
)</f>
        <v>428.87</v>
      </c>
      <c r="R32" s="375">
        <v>50</v>
      </c>
      <c r="S32" s="375">
        <f t="shared" si="11"/>
        <v>131.96</v>
      </c>
      <c r="T32" s="375">
        <v>67.5</v>
      </c>
      <c r="U32" s="375">
        <v>112.5</v>
      </c>
      <c r="V32" s="375">
        <f t="shared" si="12"/>
        <v>3.5999999999999996</v>
      </c>
      <c r="W32" s="375">
        <v>5</v>
      </c>
      <c r="X32" s="375">
        <f t="shared" si="13"/>
        <v>164.95000000000002</v>
      </c>
      <c r="Y32" s="375">
        <f t="shared" si="14"/>
        <v>98.97</v>
      </c>
      <c r="Z32" s="375">
        <f t="shared" si="15"/>
        <v>503.23728813559319</v>
      </c>
      <c r="AA32" s="375">
        <f>N32+Q32+R32+S32+T32+W32+X32+Y32+Z32+P32+V32</f>
        <v>3136.4672881355928</v>
      </c>
      <c r="AB32" s="375">
        <f t="shared" si="16"/>
        <v>162.53271186440725</v>
      </c>
      <c r="AC32" s="228">
        <f t="shared" si="17"/>
        <v>4.9267266403275917E-2</v>
      </c>
      <c r="AD32" s="228">
        <v>0.18</v>
      </c>
      <c r="AE32" s="375">
        <v>3299</v>
      </c>
      <c r="AF32" s="375">
        <v>3299</v>
      </c>
      <c r="AG32" s="396"/>
      <c r="AH32" s="2"/>
      <c r="AI32" s="263"/>
    </row>
    <row r="33" spans="1:37" ht="15" customHeight="1">
      <c r="A33" s="187" t="s">
        <v>934</v>
      </c>
      <c r="B33" s="187">
        <v>10222298</v>
      </c>
      <c r="C33" s="187">
        <v>0.25</v>
      </c>
      <c r="D33" s="249" t="s">
        <v>1173</v>
      </c>
      <c r="E33" s="187" t="s">
        <v>500</v>
      </c>
      <c r="F33" s="187" t="s">
        <v>501</v>
      </c>
      <c r="G33" s="187">
        <v>8904422504189</v>
      </c>
      <c r="H33" s="187" t="s">
        <v>23</v>
      </c>
      <c r="I33" s="187" t="s">
        <v>459</v>
      </c>
      <c r="J33" s="187" t="s">
        <v>234</v>
      </c>
      <c r="K33" s="187" t="s">
        <v>235</v>
      </c>
      <c r="L33" s="360" t="s">
        <v>503</v>
      </c>
      <c r="M33" s="187">
        <v>85167990</v>
      </c>
      <c r="N33" s="375">
        <v>376.23</v>
      </c>
      <c r="O33" s="375">
        <f>VLOOKUP(F33,'Amazon Live Products'!F:Q,12,0)</f>
        <v>439.3428864</v>
      </c>
      <c r="P33" s="375">
        <f t="shared" si="10"/>
        <v>89.9</v>
      </c>
      <c r="Q33" s="377">
        <f>IF(AE33&lt;=1200, AE33*2%,
   IF(AE33&lt;=1500, AE33*5%,
      IF(AE33&lt;=2000, AE33*7%,
         IF(AE33&lt;=3000, AE33*9%,
            IF(AE33&gt;3000, AE33*11%, 0)
         )
      )
   )
)</f>
        <v>17.98</v>
      </c>
      <c r="R33" s="375">
        <v>50</v>
      </c>
      <c r="S33" s="375">
        <f t="shared" si="11"/>
        <v>35.96</v>
      </c>
      <c r="T33" s="375">
        <v>67.5</v>
      </c>
      <c r="U33" s="375">
        <v>112.5</v>
      </c>
      <c r="V33" s="375">
        <f t="shared" si="12"/>
        <v>3.75</v>
      </c>
      <c r="W33" s="375">
        <v>5</v>
      </c>
      <c r="X33" s="375">
        <f t="shared" si="13"/>
        <v>44.95</v>
      </c>
      <c r="Y33" s="375">
        <f t="shared" si="14"/>
        <v>26.97</v>
      </c>
      <c r="Z33" s="375">
        <f t="shared" si="15"/>
        <v>137.13559322033893</v>
      </c>
      <c r="AA33" s="375">
        <f>N33+P33+Q33+R33+S33+T33+V33+W33+X33+Y33+Z33</f>
        <v>855.37559322033906</v>
      </c>
      <c r="AB33" s="375">
        <f t="shared" si="16"/>
        <v>43.624406779660944</v>
      </c>
      <c r="AC33" s="228">
        <f t="shared" si="17"/>
        <v>4.8525480288833085E-2</v>
      </c>
      <c r="AD33" s="228">
        <v>0.02</v>
      </c>
      <c r="AE33" s="375">
        <v>899</v>
      </c>
      <c r="AF33" s="375">
        <v>859</v>
      </c>
      <c r="AG33" s="381" t="s">
        <v>1180</v>
      </c>
      <c r="AH33" s="2">
        <v>60</v>
      </c>
      <c r="AJ33" s="570">
        <f>VLOOKUP(I33,'[1]Margin Data'!$C:$AF,30,0)</f>
        <v>1899</v>
      </c>
      <c r="AK33" s="568">
        <f>VLOOKUP(I33,[2]NexLev!$C:$D,2,0)</f>
        <v>1499</v>
      </c>
    </row>
    <row r="34" spans="1:37" ht="15" hidden="1" customHeight="1">
      <c r="A34" s="187"/>
      <c r="B34" s="187"/>
      <c r="C34" s="187"/>
      <c r="D34" s="249"/>
      <c r="E34" s="187" t="s">
        <v>529</v>
      </c>
      <c r="F34" s="187" t="s">
        <v>530</v>
      </c>
      <c r="G34" s="374">
        <v>8904422504554</v>
      </c>
      <c r="H34" s="187" t="s">
        <v>23</v>
      </c>
      <c r="I34" s="187" t="s">
        <v>531</v>
      </c>
      <c r="J34" s="187" t="s">
        <v>314</v>
      </c>
      <c r="K34" s="187" t="s">
        <v>315</v>
      </c>
      <c r="L34" s="187" t="s">
        <v>532</v>
      </c>
      <c r="M34" s="187">
        <v>85098000</v>
      </c>
      <c r="N34" s="375">
        <v>349.3</v>
      </c>
      <c r="O34" s="375">
        <f>VLOOKUP(F34,'Amazon Live Products'!F:Q,12,0)</f>
        <v>407.03826240000001</v>
      </c>
      <c r="P34" s="375"/>
      <c r="Q34" s="375"/>
      <c r="R34" s="375"/>
      <c r="S34" s="375"/>
      <c r="T34" s="375"/>
      <c r="U34" s="375"/>
      <c r="V34" s="375"/>
      <c r="W34" s="375"/>
      <c r="X34" s="375"/>
      <c r="Y34" s="375"/>
      <c r="Z34" s="375"/>
      <c r="AA34" s="375"/>
      <c r="AB34" s="375"/>
      <c r="AC34" s="375"/>
      <c r="AD34" s="375"/>
      <c r="AE34" s="375"/>
      <c r="AF34" s="375">
        <v>704</v>
      </c>
      <c r="AG34" s="187"/>
      <c r="AH34" s="2">
        <v>50</v>
      </c>
    </row>
    <row r="35" spans="1:37" ht="15" hidden="1" customHeight="1">
      <c r="A35" s="382" t="s">
        <v>934</v>
      </c>
      <c r="B35" s="382">
        <v>10247081</v>
      </c>
      <c r="C35" s="382">
        <v>0.39</v>
      </c>
      <c r="D35" s="384" t="s">
        <v>1168</v>
      </c>
      <c r="E35" s="382" t="s">
        <v>533</v>
      </c>
      <c r="F35" s="382" t="s">
        <v>534</v>
      </c>
      <c r="G35" s="382">
        <v>8904422504493</v>
      </c>
      <c r="H35" s="382" t="s">
        <v>23</v>
      </c>
      <c r="I35" s="382" t="s">
        <v>535</v>
      </c>
      <c r="J35" s="382" t="s">
        <v>234</v>
      </c>
      <c r="K35" s="382" t="s">
        <v>235</v>
      </c>
      <c r="L35" s="382" t="s">
        <v>537</v>
      </c>
      <c r="M35" s="382">
        <v>84521021</v>
      </c>
      <c r="N35" s="375">
        <v>352.21</v>
      </c>
      <c r="O35" s="385">
        <f>VLOOKUP(F35,'Amazon Live Products'!F:Q,12,0)</f>
        <v>406.78406208000001</v>
      </c>
      <c r="P35" s="385">
        <f>AE35*10%</f>
        <v>115.4</v>
      </c>
      <c r="Q35" s="386">
        <f>IF(AE35&lt;=1200,AE35*2%,
IF(AE35&lt;=1500,AE35*5%,
IF(AE35&lt;=2000,AE35*7%,IF(AE35&lt;=3000,AE35*9%,
IF(AE35&gt;3000,AE35*11%,0)
)
)
))</f>
        <v>23.080000000000002</v>
      </c>
      <c r="R35" s="375">
        <v>50</v>
      </c>
      <c r="S35" s="385">
        <f>AE35*4%</f>
        <v>46.160000000000004</v>
      </c>
      <c r="T35" s="385">
        <v>93.74</v>
      </c>
      <c r="U35" s="385">
        <v>143.49</v>
      </c>
      <c r="V35" s="375">
        <f>C35*15</f>
        <v>5.8500000000000005</v>
      </c>
      <c r="W35" s="385">
        <v>5</v>
      </c>
      <c r="X35" s="385">
        <f>AE35*5%</f>
        <v>57.7</v>
      </c>
      <c r="Y35" s="385">
        <f>AE35*3%</f>
        <v>34.619999999999997</v>
      </c>
      <c r="Z35" s="385">
        <f>AE35-(AE35/1.18)</f>
        <v>176.03389830508468</v>
      </c>
      <c r="AA35" s="375">
        <f>N35+P35+Q35+R35+S35+T35+V35+W35+X35+Y35+Z35</f>
        <v>959.79389830508478</v>
      </c>
      <c r="AB35" s="385">
        <f>AE35-AA35</f>
        <v>194.20610169491522</v>
      </c>
      <c r="AC35" s="387">
        <f>AB35/AE35</f>
        <v>0.16828951620009985</v>
      </c>
      <c r="AD35" s="387"/>
      <c r="AE35" s="375">
        <v>1154</v>
      </c>
      <c r="AF35" s="375">
        <v>1099</v>
      </c>
      <c r="AG35" s="393" t="s">
        <v>1185</v>
      </c>
      <c r="AH35" s="389">
        <v>40</v>
      </c>
      <c r="AI35" s="389"/>
    </row>
    <row r="36" spans="1:37" ht="15" customHeight="1">
      <c r="A36" s="187" t="s">
        <v>934</v>
      </c>
      <c r="B36" s="187">
        <v>10266349</v>
      </c>
      <c r="C36" s="187">
        <v>0.15</v>
      </c>
      <c r="D36" s="249" t="s">
        <v>1165</v>
      </c>
      <c r="E36" s="187" t="s">
        <v>895</v>
      </c>
      <c r="F36" s="187" t="s">
        <v>896</v>
      </c>
      <c r="G36" s="187">
        <v>8904422506374</v>
      </c>
      <c r="H36" s="187" t="s">
        <v>23</v>
      </c>
      <c r="I36" s="272" t="s">
        <v>897</v>
      </c>
      <c r="J36" s="69" t="s">
        <v>234</v>
      </c>
      <c r="K36" s="69" t="s">
        <v>235</v>
      </c>
      <c r="L36" s="173" t="s">
        <v>899</v>
      </c>
      <c r="M36" s="69">
        <v>85167990</v>
      </c>
      <c r="N36" s="375">
        <v>133.31</v>
      </c>
      <c r="O36" s="375">
        <v>142.14034559999999</v>
      </c>
      <c r="P36" s="375">
        <f>AE36*10%</f>
        <v>49.900000000000006</v>
      </c>
      <c r="Q36" s="377">
        <f>IF(AE36&lt;=1200, AE36*2%,
   IF(AE36&lt;=1500, AE36*5%,
      IF(AE36&lt;=2000, AE36*7%,
         IF(AE36&lt;=3000, AE36*9%,
            IF(AE36&gt;3000, AE36*11%, 0)
         )
      )
   )
)</f>
        <v>9.98</v>
      </c>
      <c r="R36" s="375">
        <v>50</v>
      </c>
      <c r="S36" s="375">
        <f>AE36*4%</f>
        <v>19.96</v>
      </c>
      <c r="T36" s="375">
        <v>67.5</v>
      </c>
      <c r="U36" s="375">
        <v>112.5</v>
      </c>
      <c r="V36" s="375">
        <f>C36*15</f>
        <v>2.25</v>
      </c>
      <c r="W36" s="375">
        <v>5</v>
      </c>
      <c r="X36" s="375">
        <f>AE36*5%</f>
        <v>24.950000000000003</v>
      </c>
      <c r="Y36" s="375">
        <f>AE36*3%</f>
        <v>14.969999999999999</v>
      </c>
      <c r="Z36" s="375">
        <f>AE36-(AE36/1.18)</f>
        <v>76.118644067796595</v>
      </c>
      <c r="AA36" s="375">
        <f>N36+P36+Q36+R36+S36+T36+V36+W36+X36+Y36+Z36</f>
        <v>453.93864406779653</v>
      </c>
      <c r="AB36" s="375">
        <f>AE36-AA36</f>
        <v>45.061355932203469</v>
      </c>
      <c r="AC36" s="228">
        <f>AB36/AE36</f>
        <v>9.0303318501409754E-2</v>
      </c>
      <c r="AD36" s="228">
        <v>0.02</v>
      </c>
      <c r="AE36" s="375">
        <v>499</v>
      </c>
      <c r="AF36" s="375">
        <v>337</v>
      </c>
      <c r="AG36" s="409" t="s">
        <v>1219</v>
      </c>
      <c r="AH36" s="263">
        <v>100</v>
      </c>
      <c r="AI36" s="263"/>
      <c r="AJ36">
        <f>VLOOKUP(I36,'[1]Margin Data'!$C:$AF,30,0)</f>
        <v>699</v>
      </c>
      <c r="AK36" s="568">
        <f>VLOOKUP(I36,[2]NexLev!$C:$D,2,0)</f>
        <v>699</v>
      </c>
    </row>
    <row r="37" spans="1:37" ht="15" hidden="1" customHeight="1">
      <c r="A37" s="187"/>
      <c r="B37" s="187"/>
      <c r="C37" s="187"/>
      <c r="D37" s="249"/>
      <c r="E37" s="187" t="s">
        <v>557</v>
      </c>
      <c r="F37" s="187" t="s">
        <v>558</v>
      </c>
      <c r="G37" s="374">
        <v>8904422504257</v>
      </c>
      <c r="H37" s="187" t="s">
        <v>23</v>
      </c>
      <c r="I37" s="187" t="s">
        <v>559</v>
      </c>
      <c r="J37" s="187" t="s">
        <v>304</v>
      </c>
      <c r="K37" s="187" t="s">
        <v>304</v>
      </c>
      <c r="L37" s="187" t="s">
        <v>561</v>
      </c>
      <c r="M37" s="187">
        <v>84212190</v>
      </c>
      <c r="N37" s="375">
        <v>476.01</v>
      </c>
      <c r="O37" s="375">
        <f>VLOOKUP(F37,'Amazon Live Products'!F:Q,12,0)</f>
        <v>515.94721200000004</v>
      </c>
      <c r="P37" s="375"/>
      <c r="Q37" s="375"/>
      <c r="R37" s="375"/>
      <c r="S37" s="375"/>
      <c r="T37" s="375"/>
      <c r="U37" s="375"/>
      <c r="V37" s="375"/>
      <c r="W37" s="375"/>
      <c r="X37" s="375"/>
      <c r="Y37" s="375"/>
      <c r="Z37" s="375"/>
      <c r="AA37" s="375"/>
      <c r="AB37" s="375"/>
      <c r="AC37" s="375"/>
      <c r="AD37" s="375"/>
      <c r="AE37" s="375"/>
      <c r="AF37" s="375">
        <v>1249</v>
      </c>
      <c r="AH37" s="2">
        <v>18</v>
      </c>
    </row>
    <row r="38" spans="1:37" ht="15" hidden="1" customHeight="1">
      <c r="A38" s="187" t="s">
        <v>934</v>
      </c>
      <c r="B38" s="187">
        <v>10245178</v>
      </c>
      <c r="C38" s="187">
        <v>0.17</v>
      </c>
      <c r="D38" s="249" t="s">
        <v>1168</v>
      </c>
      <c r="E38" s="187" t="s">
        <v>562</v>
      </c>
      <c r="F38" s="187" t="s">
        <v>563</v>
      </c>
      <c r="G38" s="187">
        <v>8904422504646</v>
      </c>
      <c r="H38" s="187" t="s">
        <v>23</v>
      </c>
      <c r="I38" s="187" t="s">
        <v>564</v>
      </c>
      <c r="J38" s="187" t="s">
        <v>314</v>
      </c>
      <c r="K38" s="187" t="s">
        <v>315</v>
      </c>
      <c r="L38" s="187" t="s">
        <v>565</v>
      </c>
      <c r="M38" s="187">
        <v>85098000</v>
      </c>
      <c r="N38" s="375">
        <v>568.99</v>
      </c>
      <c r="O38" s="375">
        <f>VLOOKUP(F38,'Amazon Live Products'!F:Q,12,0)</f>
        <v>666.76743936000003</v>
      </c>
      <c r="P38" s="375">
        <f t="shared" ref="P38:P43" si="18">AE38*10%</f>
        <v>119.9</v>
      </c>
      <c r="Q38" s="377">
        <f>IF(AE38&lt;=1200,AE38*2%,
IF(AE38&lt;=1500,AE38*5%,
IF(AE38&lt;=2000,AE38*7%,IF(AE38&lt;=3000,AE38*9%,
IF(AE38&gt;3000,AE38*11%,0)
)
)
))</f>
        <v>23.98</v>
      </c>
      <c r="R38" s="375">
        <v>50</v>
      </c>
      <c r="S38" s="375">
        <f t="shared" ref="S38:S43" si="19">AE38*4%</f>
        <v>47.96</v>
      </c>
      <c r="T38" s="375">
        <v>67.5</v>
      </c>
      <c r="U38" s="375">
        <v>112.5</v>
      </c>
      <c r="V38" s="375">
        <f t="shared" ref="V38:V43" si="20">C38*15</f>
        <v>2.5500000000000003</v>
      </c>
      <c r="W38" s="375">
        <v>5</v>
      </c>
      <c r="X38" s="375">
        <f t="shared" ref="X38:X43" si="21">AE38*5%</f>
        <v>59.95</v>
      </c>
      <c r="Y38" s="375">
        <f t="shared" ref="Y38:Y43" si="22">AE38*3%</f>
        <v>35.97</v>
      </c>
      <c r="Z38" s="375">
        <f t="shared" ref="Z38:Z43" si="23">AE38-(AE38/1.18)</f>
        <v>182.89830508474574</v>
      </c>
      <c r="AA38" s="375">
        <f t="shared" ref="AA38:AA43" si="24">N38+P38+Q38+R38+S38+T38+V38+W38+X38+Y38+Z38</f>
        <v>1164.6983050847457</v>
      </c>
      <c r="AB38" s="375">
        <f t="shared" ref="AB38:AB43" si="25">AE38-AA38</f>
        <v>34.301694915254302</v>
      </c>
      <c r="AC38" s="228">
        <f t="shared" ref="AC38:AC43" si="26">AB38/AE38</f>
        <v>2.860858625125463E-2</v>
      </c>
      <c r="AD38" s="228"/>
      <c r="AE38" s="375">
        <v>1199</v>
      </c>
      <c r="AF38" s="375">
        <v>1199</v>
      </c>
      <c r="AG38" s="380" t="s">
        <v>1187</v>
      </c>
      <c r="AH38" s="2">
        <v>20</v>
      </c>
    </row>
    <row r="39" spans="1:37" ht="15" customHeight="1">
      <c r="A39" s="187" t="s">
        <v>934</v>
      </c>
      <c r="B39" s="187">
        <v>10247010</v>
      </c>
      <c r="C39" s="187">
        <v>1.4</v>
      </c>
      <c r="D39" s="249" t="s">
        <v>1165</v>
      </c>
      <c r="E39" s="187" t="s">
        <v>1234</v>
      </c>
      <c r="F39" s="187" t="s">
        <v>1235</v>
      </c>
      <c r="G39" s="187">
        <v>8904422504592</v>
      </c>
      <c r="H39" s="187" t="s">
        <v>1222</v>
      </c>
      <c r="I39" s="187" t="s">
        <v>1236</v>
      </c>
      <c r="J39" s="211" t="s">
        <v>1224</v>
      </c>
      <c r="K39" s="211" t="s">
        <v>1237</v>
      </c>
      <c r="L39" s="360" t="s">
        <v>1238</v>
      </c>
      <c r="M39" s="187">
        <v>85181000</v>
      </c>
      <c r="N39" s="375">
        <v>1648.95</v>
      </c>
      <c r="O39" s="375">
        <v>1864.3431204599999</v>
      </c>
      <c r="P39" s="375">
        <f t="shared" si="18"/>
        <v>354.90000000000003</v>
      </c>
      <c r="Q39" s="377">
        <f>IF(AE39&lt;=1200, AE39*2%,
   IF(AE39&lt;=1500, AE39*5%,
      IF(AE39&lt;=2000, AE39*7%,
         IF(AE39&lt;=3000, AE39*9%,
            IF(AE39&gt;3000, AE39*11%, 0)
         )
      )
   )
)</f>
        <v>390.39</v>
      </c>
      <c r="R39" s="375">
        <v>50</v>
      </c>
      <c r="S39" s="375">
        <f t="shared" si="19"/>
        <v>141.96</v>
      </c>
      <c r="T39" s="375">
        <v>101.35</v>
      </c>
      <c r="U39" s="375">
        <v>155.13</v>
      </c>
      <c r="V39" s="375">
        <f t="shared" si="20"/>
        <v>21</v>
      </c>
      <c r="W39" s="375">
        <v>5</v>
      </c>
      <c r="X39" s="375">
        <f t="shared" si="21"/>
        <v>177.45000000000002</v>
      </c>
      <c r="Y39" s="375">
        <f t="shared" si="22"/>
        <v>106.47</v>
      </c>
      <c r="Z39" s="375">
        <f t="shared" si="23"/>
        <v>541.3728813559319</v>
      </c>
      <c r="AA39" s="375">
        <f t="shared" si="24"/>
        <v>3538.8428813559317</v>
      </c>
      <c r="AB39" s="375">
        <f t="shared" si="25"/>
        <v>10.157118644068305</v>
      </c>
      <c r="AC39" s="228">
        <f t="shared" si="26"/>
        <v>2.8619663691373076E-3</v>
      </c>
      <c r="AD39" s="228">
        <v>0.11</v>
      </c>
      <c r="AE39" s="375">
        <v>3549</v>
      </c>
      <c r="AF39" s="375">
        <v>3519</v>
      </c>
      <c r="AG39" s="396" t="s">
        <v>1239</v>
      </c>
      <c r="AH39" s="2">
        <v>12</v>
      </c>
      <c r="AI39" s="263"/>
      <c r="AJ39">
        <f>VLOOKUP(I39,'[1]Margin Data'!$C:$AF,30,0)</f>
        <v>7999</v>
      </c>
      <c r="AK39" s="568">
        <f>VLOOKUP(I39,'[2]Audio Array'!$C:$D,2,0)</f>
        <v>7999</v>
      </c>
    </row>
    <row r="40" spans="1:37" ht="15" hidden="1" customHeight="1">
      <c r="A40" s="187" t="s">
        <v>934</v>
      </c>
      <c r="B40" s="376">
        <v>10245577</v>
      </c>
      <c r="C40" s="187">
        <v>0.45</v>
      </c>
      <c r="D40" s="249" t="s">
        <v>1168</v>
      </c>
      <c r="E40" s="187" t="s">
        <v>575</v>
      </c>
      <c r="F40" s="187" t="s">
        <v>576</v>
      </c>
      <c r="G40" s="187">
        <v>8904422504790</v>
      </c>
      <c r="H40" s="187" t="s">
        <v>23</v>
      </c>
      <c r="I40" s="187" t="s">
        <v>577</v>
      </c>
      <c r="J40" s="187" t="s">
        <v>314</v>
      </c>
      <c r="K40" s="187" t="s">
        <v>465</v>
      </c>
      <c r="L40" s="187" t="s">
        <v>579</v>
      </c>
      <c r="M40" s="187">
        <v>85163200</v>
      </c>
      <c r="N40" s="375">
        <v>744.33</v>
      </c>
      <c r="O40" s="375">
        <f>VLOOKUP(F40,'Amazon Live Products'!F:Q,12,0)</f>
        <v>819.24526463999996</v>
      </c>
      <c r="P40" s="375">
        <f t="shared" si="18"/>
        <v>199</v>
      </c>
      <c r="Q40" s="377">
        <f>IF(AE40&lt;=1200, AE40*2%,
   IF(AE40&lt;=1500, AE40*5%,
      IF(AE40&lt;=2000, AE40*7%,
         IF(AE40&lt;=3000, AE40*9%,
            IF(AE40&gt;3000, AE40*11%, 0)
         )
      )
   )
)</f>
        <v>139.30000000000001</v>
      </c>
      <c r="R40" s="375">
        <v>50</v>
      </c>
      <c r="S40" s="375">
        <f t="shared" si="19"/>
        <v>79.600000000000009</v>
      </c>
      <c r="T40" s="375">
        <v>67.5</v>
      </c>
      <c r="U40" s="375">
        <v>112.5</v>
      </c>
      <c r="V40" s="375">
        <f t="shared" si="20"/>
        <v>6.75</v>
      </c>
      <c r="W40" s="375">
        <v>5</v>
      </c>
      <c r="X40" s="375">
        <f t="shared" si="21"/>
        <v>99.5</v>
      </c>
      <c r="Y40" s="375">
        <f t="shared" si="22"/>
        <v>59.699999999999996</v>
      </c>
      <c r="Z40" s="375">
        <f t="shared" si="23"/>
        <v>303.5593220338983</v>
      </c>
      <c r="AA40" s="375">
        <f t="shared" si="24"/>
        <v>1754.2393220338984</v>
      </c>
      <c r="AB40" s="375">
        <f t="shared" si="25"/>
        <v>235.76067796610164</v>
      </c>
      <c r="AC40" s="228">
        <f t="shared" si="26"/>
        <v>0.11847270249552846</v>
      </c>
      <c r="AD40" s="228"/>
      <c r="AE40" s="375">
        <v>1990</v>
      </c>
      <c r="AF40" s="375">
        <v>1899</v>
      </c>
      <c r="AG40" s="381" t="s">
        <v>1189</v>
      </c>
      <c r="AH40" s="2">
        <v>12</v>
      </c>
    </row>
    <row r="41" spans="1:37" ht="15" customHeight="1">
      <c r="A41" s="187" t="s">
        <v>934</v>
      </c>
      <c r="B41" s="565">
        <v>10246003</v>
      </c>
      <c r="C41" s="187">
        <v>0.2</v>
      </c>
      <c r="D41" s="249" t="s">
        <v>1165</v>
      </c>
      <c r="E41" s="187" t="s">
        <v>525</v>
      </c>
      <c r="F41" s="187" t="s">
        <v>526</v>
      </c>
      <c r="G41" s="187">
        <v>8904422504271</v>
      </c>
      <c r="H41" s="187" t="s">
        <v>23</v>
      </c>
      <c r="I41" s="187" t="s">
        <v>527</v>
      </c>
      <c r="J41" s="187" t="s">
        <v>314</v>
      </c>
      <c r="K41" s="187" t="s">
        <v>315</v>
      </c>
      <c r="L41" s="360" t="s">
        <v>528</v>
      </c>
      <c r="M41" s="187">
        <v>85098000</v>
      </c>
      <c r="N41" s="375">
        <v>342.52</v>
      </c>
      <c r="O41" s="375">
        <f>VLOOKUP(F41,'Amazon Live Products'!F:Q,12,0)</f>
        <v>399.28515263999992</v>
      </c>
      <c r="P41" s="375">
        <f t="shared" si="18"/>
        <v>89.9</v>
      </c>
      <c r="Q41" s="377">
        <f>IF(AE41&lt;=1200,AE41*2%,
IF(AE41&lt;=1500,AE41*5%,
IF(AE41&lt;=2000,AE41*7%,IF(AE41&lt;=3000,AE41*9%,
IF(AE41&gt;3000,AE41*11%,0)
)
)
))</f>
        <v>17.98</v>
      </c>
      <c r="R41" s="375">
        <v>50</v>
      </c>
      <c r="S41" s="375">
        <f t="shared" si="19"/>
        <v>35.96</v>
      </c>
      <c r="T41" s="375">
        <v>67.5</v>
      </c>
      <c r="U41" s="375">
        <v>112.5</v>
      </c>
      <c r="V41" s="375">
        <f t="shared" si="20"/>
        <v>3</v>
      </c>
      <c r="W41" s="375">
        <v>5</v>
      </c>
      <c r="X41" s="375">
        <f t="shared" si="21"/>
        <v>44.95</v>
      </c>
      <c r="Y41" s="375">
        <f t="shared" si="22"/>
        <v>26.97</v>
      </c>
      <c r="Z41" s="375">
        <f t="shared" si="23"/>
        <v>137.13559322033893</v>
      </c>
      <c r="AA41" s="375">
        <f t="shared" si="24"/>
        <v>820.91559322033902</v>
      </c>
      <c r="AB41" s="375">
        <f t="shared" si="25"/>
        <v>78.084406779660981</v>
      </c>
      <c r="AC41" s="228">
        <f t="shared" si="26"/>
        <v>8.6856959710412657E-2</v>
      </c>
      <c r="AD41" s="228">
        <v>0.02</v>
      </c>
      <c r="AE41" s="375">
        <v>899</v>
      </c>
      <c r="AF41" s="375">
        <v>740</v>
      </c>
      <c r="AG41" s="380" t="s">
        <v>1184</v>
      </c>
      <c r="AH41" s="2">
        <v>50</v>
      </c>
      <c r="AJ41">
        <f>VLOOKUP(I41,'[1]Margin Data'!$C:$AF,30,0)</f>
        <v>1499</v>
      </c>
      <c r="AK41" s="568">
        <f>VLOOKUP(I41,[2]NexLev!$C:$D,2,0)</f>
        <v>1499</v>
      </c>
    </row>
    <row r="42" spans="1:37" ht="15" hidden="1" customHeight="1">
      <c r="A42" s="187" t="s">
        <v>934</v>
      </c>
      <c r="B42" s="187">
        <v>10251998</v>
      </c>
      <c r="C42" s="187">
        <v>1.31</v>
      </c>
      <c r="D42" s="249" t="s">
        <v>1168</v>
      </c>
      <c r="E42" s="187" t="s">
        <v>584</v>
      </c>
      <c r="F42" s="187" t="s">
        <v>585</v>
      </c>
      <c r="G42" s="187">
        <v>8904422504820</v>
      </c>
      <c r="H42" s="187" t="s">
        <v>23</v>
      </c>
      <c r="I42" s="376" t="s">
        <v>586</v>
      </c>
      <c r="J42" s="187" t="s">
        <v>234</v>
      </c>
      <c r="K42" s="225" t="s">
        <v>249</v>
      </c>
      <c r="L42" s="187" t="s">
        <v>945</v>
      </c>
      <c r="M42" s="187">
        <v>85086000</v>
      </c>
      <c r="N42" s="375">
        <v>1084.81</v>
      </c>
      <c r="O42" s="375">
        <f>VLOOKUP(F42,'Amazon Live Products'!F:Q,12,0)</f>
        <v>1328.5144224000003</v>
      </c>
      <c r="P42" s="375">
        <f t="shared" si="18"/>
        <v>349.90000000000003</v>
      </c>
      <c r="Q42" s="377">
        <f>AE42*2%</f>
        <v>69.98</v>
      </c>
      <c r="R42" s="375">
        <v>50</v>
      </c>
      <c r="S42" s="375">
        <f t="shared" si="19"/>
        <v>139.96</v>
      </c>
      <c r="T42" s="375">
        <v>188.69</v>
      </c>
      <c r="U42" s="375">
        <v>288.81</v>
      </c>
      <c r="V42" s="375">
        <f t="shared" si="20"/>
        <v>19.650000000000002</v>
      </c>
      <c r="W42" s="375">
        <v>5</v>
      </c>
      <c r="X42" s="375">
        <f t="shared" si="21"/>
        <v>174.95000000000002</v>
      </c>
      <c r="Y42" s="375">
        <f t="shared" si="22"/>
        <v>104.97</v>
      </c>
      <c r="Z42" s="375">
        <f t="shared" si="23"/>
        <v>533.74576271186424</v>
      </c>
      <c r="AA42" s="375">
        <f t="shared" si="24"/>
        <v>2721.6557627118641</v>
      </c>
      <c r="AB42" s="375">
        <f t="shared" si="25"/>
        <v>777.3442372881359</v>
      </c>
      <c r="AC42" s="228">
        <f t="shared" si="26"/>
        <v>0.22216182831898712</v>
      </c>
      <c r="AD42" s="228"/>
      <c r="AE42" s="375">
        <v>3499</v>
      </c>
      <c r="AF42" s="375">
        <v>3299</v>
      </c>
      <c r="AG42" s="398" t="s">
        <v>1191</v>
      </c>
      <c r="AH42" s="2">
        <v>8</v>
      </c>
    </row>
    <row r="43" spans="1:37" ht="15" hidden="1" customHeight="1">
      <c r="A43" s="187" t="s">
        <v>934</v>
      </c>
      <c r="B43" s="376">
        <v>10246457</v>
      </c>
      <c r="C43" s="187">
        <v>0.24199999999999999</v>
      </c>
      <c r="D43" s="249" t="s">
        <v>1168</v>
      </c>
      <c r="E43" s="187" t="s">
        <v>589</v>
      </c>
      <c r="F43" s="187" t="s">
        <v>590</v>
      </c>
      <c r="G43" s="187">
        <v>8904422504837</v>
      </c>
      <c r="H43" s="187" t="s">
        <v>23</v>
      </c>
      <c r="I43" s="187" t="s">
        <v>591</v>
      </c>
      <c r="J43" s="187" t="s">
        <v>314</v>
      </c>
      <c r="K43" s="187" t="s">
        <v>437</v>
      </c>
      <c r="L43" s="187" t="s">
        <v>593</v>
      </c>
      <c r="M43" s="187">
        <v>85437093</v>
      </c>
      <c r="N43" s="375">
        <v>536.42999999999995</v>
      </c>
      <c r="O43" s="375">
        <f>VLOOKUP(F43,'Amazon Live Products'!F:Q,12,0)</f>
        <v>623.10853439999994</v>
      </c>
      <c r="P43" s="375">
        <f t="shared" si="18"/>
        <v>229.9</v>
      </c>
      <c r="Q43" s="377">
        <f>IF(AE43&lt;=1200, AE43*2%,
   IF(AE43&lt;=1500, AE43*5%,
      IF(AE43&lt;=2000, AE43*7%,
         IF(AE43&lt;=3000, AE43*9%,
            IF(AE43&gt;3000, AE43*11%, 0)
         )
      )
   )
)</f>
        <v>206.91</v>
      </c>
      <c r="R43" s="375">
        <v>50</v>
      </c>
      <c r="S43" s="375">
        <f t="shared" si="19"/>
        <v>91.960000000000008</v>
      </c>
      <c r="T43" s="375">
        <v>67.5</v>
      </c>
      <c r="U43" s="375">
        <v>112.5</v>
      </c>
      <c r="V43" s="375">
        <f t="shared" si="20"/>
        <v>3.63</v>
      </c>
      <c r="W43" s="375">
        <v>5</v>
      </c>
      <c r="X43" s="375">
        <f t="shared" si="21"/>
        <v>114.95</v>
      </c>
      <c r="Y43" s="375">
        <f t="shared" si="22"/>
        <v>68.97</v>
      </c>
      <c r="Z43" s="375">
        <f t="shared" si="23"/>
        <v>350.69491525423723</v>
      </c>
      <c r="AA43" s="375">
        <f t="shared" si="24"/>
        <v>1725.9449152542372</v>
      </c>
      <c r="AB43" s="375">
        <f t="shared" si="25"/>
        <v>573.05508474576277</v>
      </c>
      <c r="AC43" s="228">
        <f t="shared" si="26"/>
        <v>0.24926275978502077</v>
      </c>
      <c r="AD43" s="228"/>
      <c r="AE43" s="375">
        <v>2299</v>
      </c>
      <c r="AF43" s="375">
        <v>1999</v>
      </c>
      <c r="AG43" s="380" t="s">
        <v>1192</v>
      </c>
      <c r="AH43" s="2">
        <v>50</v>
      </c>
    </row>
    <row r="44" spans="1:37" ht="15" hidden="1" customHeight="1">
      <c r="A44" s="187"/>
      <c r="B44" s="187"/>
      <c r="C44" s="187"/>
      <c r="D44" s="249"/>
      <c r="E44" s="187" t="s">
        <v>594</v>
      </c>
      <c r="F44" s="187" t="s">
        <v>595</v>
      </c>
      <c r="G44" s="374">
        <v>8904422504844</v>
      </c>
      <c r="H44" s="187" t="s">
        <v>23</v>
      </c>
      <c r="I44" s="187" t="s">
        <v>596</v>
      </c>
      <c r="J44" s="187" t="s">
        <v>314</v>
      </c>
      <c r="K44" s="187" t="s">
        <v>437</v>
      </c>
      <c r="L44" s="187" t="s">
        <v>598</v>
      </c>
      <c r="M44" s="187">
        <v>85437099</v>
      </c>
      <c r="N44" s="375">
        <v>853.74</v>
      </c>
      <c r="O44" s="375">
        <f>VLOOKUP(F44,'Amazon Live Products'!F:Q,12,0)</f>
        <v>997.4979431999999</v>
      </c>
      <c r="P44" s="375"/>
      <c r="Q44" s="375"/>
      <c r="R44" s="375"/>
      <c r="S44" s="375"/>
      <c r="T44" s="375"/>
      <c r="U44" s="375"/>
      <c r="V44" s="375"/>
      <c r="W44" s="375"/>
      <c r="X44" s="375"/>
      <c r="Y44" s="375"/>
      <c r="Z44" s="375"/>
      <c r="AA44" s="375"/>
      <c r="AB44" s="375"/>
      <c r="AC44" s="375"/>
      <c r="AD44" s="375"/>
      <c r="AE44" s="375"/>
      <c r="AF44" s="375">
        <v>1699</v>
      </c>
      <c r="AG44" s="187"/>
      <c r="AH44" s="2">
        <v>50</v>
      </c>
    </row>
    <row r="45" spans="1:37" ht="15" customHeight="1">
      <c r="A45" s="187" t="s">
        <v>934</v>
      </c>
      <c r="B45" s="249">
        <v>10229879</v>
      </c>
      <c r="C45" s="187">
        <v>0.85</v>
      </c>
      <c r="D45" s="249" t="s">
        <v>1173</v>
      </c>
      <c r="E45" s="187" t="s">
        <v>570</v>
      </c>
      <c r="F45" s="187" t="s">
        <v>571</v>
      </c>
      <c r="G45" s="187">
        <v>8904422504653</v>
      </c>
      <c r="H45" s="187" t="s">
        <v>23</v>
      </c>
      <c r="I45" s="249" t="s">
        <v>572</v>
      </c>
      <c r="J45" s="187" t="s">
        <v>314</v>
      </c>
      <c r="K45" s="187" t="s">
        <v>437</v>
      </c>
      <c r="L45" s="360" t="s">
        <v>574</v>
      </c>
      <c r="M45" s="187">
        <v>85437093</v>
      </c>
      <c r="N45" s="375">
        <v>728.22288000000015</v>
      </c>
      <c r="O45" s="375">
        <f>VLOOKUP(F45,'Amazon Live Products'!F:Q,12,0)</f>
        <v>859.30299840000009</v>
      </c>
      <c r="P45" s="375">
        <f>AE45*10%</f>
        <v>179.9</v>
      </c>
      <c r="Q45" s="377" cm="1">
        <f t="array" ref="Q45">_xlfn.IFS(
AE45&lt;=300, AE45*2%,
AE45&lt;=400, AE45*3%,
AE45&lt;=500, AE45*4%,
AE45&lt;=700, AE45*5%,
AE45&lt;=900, AE45*8%,
AE45&lt;=1200, AE45*11%,
AE45&gt;1200, AE45*13%
)</f>
        <v>233.87</v>
      </c>
      <c r="R45" s="375">
        <v>50</v>
      </c>
      <c r="S45" s="375">
        <f>AE45*4%</f>
        <v>71.960000000000008</v>
      </c>
      <c r="T45" s="375">
        <v>96.61</v>
      </c>
      <c r="U45" s="375">
        <v>147.87</v>
      </c>
      <c r="V45" s="375">
        <f>C45*15</f>
        <v>12.75</v>
      </c>
      <c r="W45" s="375">
        <v>5</v>
      </c>
      <c r="X45" s="375">
        <f>AE45*5%</f>
        <v>89.95</v>
      </c>
      <c r="Y45" s="375">
        <f>AE45*3%</f>
        <v>53.97</v>
      </c>
      <c r="Z45" s="375">
        <f>AE45-(AE45/1.18)</f>
        <v>274.42372881355914</v>
      </c>
      <c r="AA45" s="375">
        <f>N45+P45+Q45+R45+S45+T45+V45+W45+X45+Y45+Z45</f>
        <v>1796.6566088135594</v>
      </c>
      <c r="AB45" s="375">
        <f>AE45-AA45</f>
        <v>2.3433911864406127</v>
      </c>
      <c r="AC45" s="228">
        <f>AB45/AE45</f>
        <v>1.3026076633911132E-3</v>
      </c>
      <c r="AD45" s="228">
        <v>0.13</v>
      </c>
      <c r="AE45" s="375">
        <v>1799</v>
      </c>
      <c r="AF45" s="375">
        <v>1743</v>
      </c>
      <c r="AG45" s="380" t="s">
        <v>1188</v>
      </c>
      <c r="AH45" s="2">
        <v>20</v>
      </c>
      <c r="AJ45" s="570">
        <f>VLOOKUP(I45,'[1]Margin Data'!$C:$AF,30,0)</f>
        <v>3399</v>
      </c>
      <c r="AK45" s="568">
        <f>VLOOKUP(I45,[2]NexLev!$C:$D,2,0)</f>
        <v>3399</v>
      </c>
    </row>
    <row r="46" spans="1:37" ht="15" hidden="1" customHeight="1">
      <c r="A46" s="187"/>
      <c r="B46" s="187"/>
      <c r="C46" s="187"/>
      <c r="D46" s="249"/>
      <c r="E46" s="187" t="s">
        <v>603</v>
      </c>
      <c r="F46" s="187" t="s">
        <v>937</v>
      </c>
      <c r="G46" s="374">
        <v>8904422504875</v>
      </c>
      <c r="H46" s="187" t="s">
        <v>23</v>
      </c>
      <c r="I46" s="187" t="s">
        <v>605</v>
      </c>
      <c r="J46" s="187" t="s">
        <v>234</v>
      </c>
      <c r="K46" s="225" t="s">
        <v>249</v>
      </c>
      <c r="L46" s="187" t="s">
        <v>607</v>
      </c>
      <c r="M46" s="187">
        <v>85098000</v>
      </c>
      <c r="N46" s="375">
        <v>1122.3399999999999</v>
      </c>
      <c r="O46" s="375">
        <f>VLOOKUP(F46,'Amazon Live Products'!F:Q,12,0)</f>
        <v>1200.4398278399999</v>
      </c>
      <c r="P46" s="375"/>
      <c r="Q46" s="375"/>
      <c r="R46" s="375"/>
      <c r="S46" s="375"/>
      <c r="T46" s="375"/>
      <c r="U46" s="375"/>
      <c r="V46" s="375"/>
      <c r="W46" s="375"/>
      <c r="X46" s="375"/>
      <c r="Y46" s="375"/>
      <c r="Z46" s="375"/>
      <c r="AA46" s="375"/>
      <c r="AB46" s="375"/>
      <c r="AC46" s="375"/>
      <c r="AD46" s="375"/>
      <c r="AE46" s="375"/>
      <c r="AF46" s="375">
        <v>2699</v>
      </c>
      <c r="AG46" s="187"/>
      <c r="AH46" s="2">
        <v>10</v>
      </c>
    </row>
    <row r="47" spans="1:37" ht="15" hidden="1" customHeight="1">
      <c r="A47" s="382" t="s">
        <v>934</v>
      </c>
      <c r="B47" s="382">
        <v>10248732</v>
      </c>
      <c r="C47" s="382">
        <v>0.95</v>
      </c>
      <c r="D47" s="384" t="s">
        <v>1168</v>
      </c>
      <c r="E47" s="382" t="s">
        <v>608</v>
      </c>
      <c r="F47" s="382" t="s">
        <v>609</v>
      </c>
      <c r="G47" s="382">
        <v>8904422504899</v>
      </c>
      <c r="H47" s="382" t="s">
        <v>23</v>
      </c>
      <c r="I47" s="390" t="s">
        <v>610</v>
      </c>
      <c r="J47" s="382" t="s">
        <v>234</v>
      </c>
      <c r="K47" s="391" t="s">
        <v>249</v>
      </c>
      <c r="L47" s="382" t="s">
        <v>612</v>
      </c>
      <c r="M47" s="382">
        <v>85086000</v>
      </c>
      <c r="N47" s="375">
        <v>1037.69</v>
      </c>
      <c r="O47" s="385">
        <f>VLOOKUP(F47,'Amazon Live Products'!F:Q,12,0)</f>
        <v>1390.3910169599999</v>
      </c>
      <c r="P47" s="385">
        <f>AE47*10%</f>
        <v>249.9</v>
      </c>
      <c r="Q47" s="386">
        <f>IF(AE47&lt;=1200, AE47*2%,
   IF(AE47&lt;=1500, AE47*5%,
      IF(AE47&lt;=2000, AE47*7%,
         IF(AE47&lt;=3000, AE47*9%,
            IF(AE47&gt;3000, AE47*11%, 0)
         )
      )
   )
)</f>
        <v>224.91</v>
      </c>
      <c r="R47" s="375">
        <v>50</v>
      </c>
      <c r="S47" s="385">
        <f>AE47*4%</f>
        <v>99.960000000000008</v>
      </c>
      <c r="T47" s="385">
        <v>71.31</v>
      </c>
      <c r="U47" s="385">
        <v>116.31</v>
      </c>
      <c r="V47" s="375">
        <f>C47*15</f>
        <v>14.25</v>
      </c>
      <c r="W47" s="385">
        <v>5</v>
      </c>
      <c r="X47" s="385">
        <f>AE47*5%</f>
        <v>124.95</v>
      </c>
      <c r="Y47" s="385">
        <f>AE47*3%</f>
        <v>74.97</v>
      </c>
      <c r="Z47" s="385">
        <f>AE47-(AE47/1.18)</f>
        <v>381.20338983050851</v>
      </c>
      <c r="AA47" s="375">
        <f>N47+P47+Q47+R47+S47+T47+V47+W47+X47+Y47+Z47</f>
        <v>2334.1433898305086</v>
      </c>
      <c r="AB47" s="385">
        <f>AE47-AA47</f>
        <v>164.85661016949143</v>
      </c>
      <c r="AC47" s="387">
        <f>AB47/AE47</f>
        <v>6.5969031680468762E-2</v>
      </c>
      <c r="AD47" s="387"/>
      <c r="AE47" s="375">
        <v>2499</v>
      </c>
      <c r="AF47" s="375">
        <v>2499</v>
      </c>
      <c r="AG47" s="392" t="s">
        <v>1194</v>
      </c>
      <c r="AH47" s="389">
        <v>20</v>
      </c>
      <c r="AI47" s="389"/>
    </row>
    <row r="48" spans="1:37" ht="15" customHeight="1">
      <c r="A48" s="187" t="s">
        <v>934</v>
      </c>
      <c r="B48" s="249">
        <v>10244528</v>
      </c>
      <c r="C48" s="187">
        <v>1.41</v>
      </c>
      <c r="D48" s="249" t="s">
        <v>1778</v>
      </c>
      <c r="E48" s="187" t="s">
        <v>240</v>
      </c>
      <c r="F48" s="187" t="s">
        <v>241</v>
      </c>
      <c r="G48" s="187">
        <v>8904422503373</v>
      </c>
      <c r="H48" s="187" t="s">
        <v>23</v>
      </c>
      <c r="I48" s="571" t="s">
        <v>242</v>
      </c>
      <c r="J48" s="187" t="s">
        <v>234</v>
      </c>
      <c r="K48" s="225" t="s">
        <v>235</v>
      </c>
      <c r="L48" s="360" t="s">
        <v>244</v>
      </c>
      <c r="M48" s="187">
        <v>85167990</v>
      </c>
      <c r="N48" s="375">
        <v>1067.68</v>
      </c>
      <c r="O48" s="375">
        <f>VLOOKUP(F48,'Amazon Live Products'!F:Q,12,0)</f>
        <v>1234.3002907136001</v>
      </c>
      <c r="P48" s="375">
        <f>AE48*10%</f>
        <v>224.9</v>
      </c>
      <c r="Q48" s="377">
        <f>AE48*6%</f>
        <v>134.94</v>
      </c>
      <c r="R48" s="375">
        <v>50</v>
      </c>
      <c r="S48" s="375">
        <f>AE48*4%</f>
        <v>89.960000000000008</v>
      </c>
      <c r="T48" s="375">
        <v>125.91</v>
      </c>
      <c r="U48" s="375">
        <v>192.71</v>
      </c>
      <c r="V48" s="375">
        <f>C48*15</f>
        <v>21.15</v>
      </c>
      <c r="W48" s="375">
        <v>5</v>
      </c>
      <c r="X48" s="375">
        <f>AE48*5%</f>
        <v>112.45</v>
      </c>
      <c r="Y48" s="375">
        <f>AE48*3%</f>
        <v>67.47</v>
      </c>
      <c r="Z48" s="375">
        <f>AE48-(AE48/1.18)</f>
        <v>343.06779661016935</v>
      </c>
      <c r="AA48" s="375">
        <f>N48+P48+Q48+R48+S48+T48+V48+W48+X48+Y48+Z48</f>
        <v>2242.5277966101698</v>
      </c>
      <c r="AB48" s="375">
        <f>AE48-AA48</f>
        <v>6.4722033898301561</v>
      </c>
      <c r="AC48" s="228">
        <f>AB48/AE48</f>
        <v>2.8778138683104295E-3</v>
      </c>
      <c r="AD48" s="228">
        <v>0.06</v>
      </c>
      <c r="AE48" s="375">
        <v>2249</v>
      </c>
      <c r="AF48" s="375">
        <v>2198</v>
      </c>
      <c r="AG48" s="378" t="s">
        <v>1166</v>
      </c>
      <c r="AH48" s="379">
        <v>8</v>
      </c>
      <c r="AI48" s="379"/>
      <c r="AJ48">
        <f>VLOOKUP(I48,'[1]Margin Data'!$C:$AF,30,0)</f>
        <v>4999</v>
      </c>
      <c r="AK48" s="568">
        <f>VLOOKUP(I48,[2]NexLev!$C:$D,2,0)</f>
        <v>4999</v>
      </c>
    </row>
    <row r="49" spans="1:37" ht="15" hidden="1" customHeight="1">
      <c r="A49" s="187"/>
      <c r="B49" s="187"/>
      <c r="C49" s="187"/>
      <c r="D49" s="249"/>
      <c r="E49" s="187" t="s">
        <v>621</v>
      </c>
      <c r="F49" s="187" t="s">
        <v>622</v>
      </c>
      <c r="G49" s="374">
        <v>8904422504936</v>
      </c>
      <c r="H49" s="187" t="s">
        <v>23</v>
      </c>
      <c r="I49" s="187" t="s">
        <v>623</v>
      </c>
      <c r="J49" s="187" t="s">
        <v>314</v>
      </c>
      <c r="K49" s="187" t="s">
        <v>618</v>
      </c>
      <c r="L49" s="187" t="s">
        <v>624</v>
      </c>
      <c r="M49" s="187">
        <v>90191020</v>
      </c>
      <c r="N49" s="375">
        <v>474.32</v>
      </c>
      <c r="O49" s="375">
        <f>VLOOKUP(F49,'Amazon Live Products'!F:Q,12,0)</f>
        <v>524.47127040000021</v>
      </c>
      <c r="P49" s="375"/>
      <c r="Q49" s="375"/>
      <c r="R49" s="375"/>
      <c r="S49" s="375"/>
      <c r="T49" s="375"/>
      <c r="U49" s="375"/>
      <c r="V49" s="375"/>
      <c r="W49" s="375"/>
      <c r="X49" s="375"/>
      <c r="Y49" s="375"/>
      <c r="Z49" s="375"/>
      <c r="AA49" s="375"/>
      <c r="AB49" s="375"/>
      <c r="AC49" s="375"/>
      <c r="AD49" s="375"/>
      <c r="AE49" s="375"/>
      <c r="AF49" s="375">
        <v>1299</v>
      </c>
      <c r="AG49" s="187"/>
      <c r="AH49" s="2">
        <v>40</v>
      </c>
    </row>
    <row r="50" spans="1:37" ht="15" hidden="1" customHeight="1">
      <c r="A50" s="187"/>
      <c r="B50" s="187"/>
      <c r="C50" s="187"/>
      <c r="D50" s="249"/>
      <c r="E50" s="187" t="s">
        <v>625</v>
      </c>
      <c r="F50" s="187" t="s">
        <v>626</v>
      </c>
      <c r="G50" s="374">
        <v>8904422504905</v>
      </c>
      <c r="H50" s="187" t="s">
        <v>23</v>
      </c>
      <c r="I50" s="187" t="s">
        <v>627</v>
      </c>
      <c r="J50" s="187" t="s">
        <v>628</v>
      </c>
      <c r="K50" s="225" t="s">
        <v>629</v>
      </c>
      <c r="L50" s="187" t="s">
        <v>631</v>
      </c>
      <c r="M50" s="187">
        <v>84148090</v>
      </c>
      <c r="N50" s="375">
        <v>1059.3</v>
      </c>
      <c r="O50" s="375">
        <f>VLOOKUP(F50,'Amazon Live Products'!F:Q,12,0)</f>
        <v>1226.8078151999998</v>
      </c>
      <c r="P50" s="375"/>
      <c r="Q50" s="375"/>
      <c r="R50" s="375"/>
      <c r="S50" s="375"/>
      <c r="T50" s="375"/>
      <c r="U50" s="375"/>
      <c r="V50" s="375"/>
      <c r="W50" s="375"/>
      <c r="X50" s="375"/>
      <c r="Y50" s="375"/>
      <c r="Z50" s="375"/>
      <c r="AA50" s="375"/>
      <c r="AB50" s="375"/>
      <c r="AC50" s="375"/>
      <c r="AD50" s="375"/>
      <c r="AE50" s="375"/>
      <c r="AF50" s="375">
        <v>2299</v>
      </c>
      <c r="AG50" s="187"/>
      <c r="AH50" s="2">
        <v>18</v>
      </c>
    </row>
    <row r="51" spans="1:37" ht="15" customHeight="1">
      <c r="A51" s="187" t="s">
        <v>934</v>
      </c>
      <c r="B51" s="187">
        <v>10222304</v>
      </c>
      <c r="C51" s="187">
        <v>1.3</v>
      </c>
      <c r="D51" s="249" t="s">
        <v>1173</v>
      </c>
      <c r="E51" s="187" t="s">
        <v>454</v>
      </c>
      <c r="F51" s="187" t="s">
        <v>455</v>
      </c>
      <c r="G51" s="187">
        <v>8904422504097</v>
      </c>
      <c r="H51" s="187" t="s">
        <v>23</v>
      </c>
      <c r="I51" s="272" t="s">
        <v>456</v>
      </c>
      <c r="J51" s="187" t="s">
        <v>234</v>
      </c>
      <c r="K51" s="187" t="s">
        <v>235</v>
      </c>
      <c r="L51" s="360" t="s">
        <v>457</v>
      </c>
      <c r="M51" s="187">
        <v>85167990</v>
      </c>
      <c r="N51" s="375">
        <v>835.6</v>
      </c>
      <c r="O51" s="375">
        <f>VLOOKUP(F51,'Amazon Live Products'!F:Q,12,0)</f>
        <v>969.13871999999992</v>
      </c>
      <c r="P51" s="375">
        <f>AE51*10%</f>
        <v>194.9</v>
      </c>
      <c r="Q51" s="377">
        <f>IF(AE51&lt;=1200, AE51*2%,
   IF(AE51&lt;=1500, AE51*5%,
      IF(AE51&lt;=2000, AE51*7%,
         IF(AE51&lt;=3000, AE51*9%,
            IF(AE51&gt;3000, AE51*11%, 0)
         )
      )
   )
)</f>
        <v>136.43</v>
      </c>
      <c r="R51" s="375">
        <v>50</v>
      </c>
      <c r="S51" s="375">
        <f>AE51*4%</f>
        <v>77.960000000000008</v>
      </c>
      <c r="T51" s="375">
        <v>67.5</v>
      </c>
      <c r="U51" s="375">
        <v>112.5</v>
      </c>
      <c r="V51" s="375">
        <f>C51*15</f>
        <v>19.5</v>
      </c>
      <c r="W51" s="375">
        <v>5</v>
      </c>
      <c r="X51" s="375">
        <f>AE51*5%</f>
        <v>97.45</v>
      </c>
      <c r="Y51" s="375">
        <f>AE51*3%</f>
        <v>58.47</v>
      </c>
      <c r="Z51" s="375">
        <f>AE51-(AE51/1.18)</f>
        <v>297.30508474576254</v>
      </c>
      <c r="AA51" s="375">
        <f>N51+P51+Q51+R51+S51+T51+V51+W51+X51+Y51+Z51</f>
        <v>1840.1150847457627</v>
      </c>
      <c r="AB51" s="375">
        <f>AE51-AA51</f>
        <v>108.88491525423728</v>
      </c>
      <c r="AC51" s="228">
        <f>AB51/AE51</f>
        <v>5.5867067857484499E-2</v>
      </c>
      <c r="AD51" s="228">
        <v>7.0000000000000007E-2</v>
      </c>
      <c r="AE51" s="375">
        <v>1949</v>
      </c>
      <c r="AF51" s="375">
        <v>1849</v>
      </c>
      <c r="AG51" s="381" t="s">
        <v>1176</v>
      </c>
      <c r="AH51" s="2">
        <v>8</v>
      </c>
      <c r="AJ51">
        <f>VLOOKUP(I51,'[1]Margin Data'!$C:$AF,30,0)</f>
        <v>3999</v>
      </c>
      <c r="AK51" s="568">
        <f>VLOOKUP(I51,[2]NexLev!$C:$D,2,0)</f>
        <v>3999</v>
      </c>
    </row>
    <row r="52" spans="1:37" ht="15" hidden="1" customHeight="1">
      <c r="A52" s="187"/>
      <c r="B52" s="187"/>
      <c r="C52" s="187"/>
      <c r="D52" s="249"/>
      <c r="E52" s="187" t="s">
        <v>947</v>
      </c>
      <c r="F52" s="187" t="s">
        <v>938</v>
      </c>
      <c r="G52" s="374">
        <v>8904422504943</v>
      </c>
      <c r="H52" s="187" t="s">
        <v>23</v>
      </c>
      <c r="I52" s="187" t="s">
        <v>639</v>
      </c>
      <c r="J52" s="187" t="s">
        <v>249</v>
      </c>
      <c r="K52" s="225"/>
      <c r="L52" s="187" t="s">
        <v>948</v>
      </c>
      <c r="M52" s="187">
        <v>85098000</v>
      </c>
      <c r="N52" s="375">
        <v>2340.69</v>
      </c>
      <c r="O52" s="375" t="e">
        <f>VLOOKUP(F52,'Amazon Live Products'!F:Q,12,0)</f>
        <v>#N/A</v>
      </c>
      <c r="P52" s="375"/>
      <c r="Q52" s="375"/>
      <c r="R52" s="375"/>
      <c r="S52" s="375"/>
      <c r="T52" s="375"/>
      <c r="U52" s="375"/>
      <c r="V52" s="375"/>
      <c r="W52" s="375"/>
      <c r="X52" s="375"/>
      <c r="Y52" s="375"/>
      <c r="Z52" s="375"/>
      <c r="AA52" s="375"/>
      <c r="AB52" s="375"/>
      <c r="AC52" s="375"/>
      <c r="AD52" s="375"/>
      <c r="AE52" s="375"/>
      <c r="AF52" s="375">
        <v>3999</v>
      </c>
      <c r="AG52" s="187"/>
      <c r="AH52" s="2">
        <v>6</v>
      </c>
    </row>
    <row r="53" spans="1:37" ht="15" hidden="1" customHeight="1">
      <c r="A53" s="187" t="s">
        <v>934</v>
      </c>
      <c r="B53" s="376">
        <v>10246050</v>
      </c>
      <c r="C53" s="187">
        <v>0.28499999999999998</v>
      </c>
      <c r="D53" s="249" t="s">
        <v>1168</v>
      </c>
      <c r="E53" s="187" t="s">
        <v>642</v>
      </c>
      <c r="F53" s="187" t="s">
        <v>643</v>
      </c>
      <c r="G53" s="187">
        <v>8904422505131</v>
      </c>
      <c r="H53" s="187" t="s">
        <v>23</v>
      </c>
      <c r="I53" s="187" t="s">
        <v>644</v>
      </c>
      <c r="J53" s="187" t="s">
        <v>314</v>
      </c>
      <c r="K53" s="187" t="s">
        <v>437</v>
      </c>
      <c r="L53" s="187" t="s">
        <v>645</v>
      </c>
      <c r="M53" s="187">
        <v>85437093</v>
      </c>
      <c r="N53" s="375">
        <v>503.19</v>
      </c>
      <c r="O53" s="375">
        <f>VLOOKUP(F53,'Amazon Live Products'!F:Q,12,0)</f>
        <v>587.83823999999993</v>
      </c>
      <c r="P53" s="375">
        <f>AE53*10%</f>
        <v>154.9</v>
      </c>
      <c r="Q53" s="377">
        <f>IF(AE53&lt;=1200, AE53*2%,
   IF(AE53&lt;=1500, AE53*5%,
      IF(AE53&lt;=2000, AE53*7%,
         IF(AE53&lt;=3000, AE53*9%,
            IF(AE53&gt;3000, AE53*11%, 0)
         )
      )
   )
)</f>
        <v>108.43</v>
      </c>
      <c r="R53" s="375">
        <v>50</v>
      </c>
      <c r="S53" s="375">
        <f>AE53*4%</f>
        <v>61.96</v>
      </c>
      <c r="T53" s="375">
        <v>67.5</v>
      </c>
      <c r="U53" s="375">
        <v>112.5</v>
      </c>
      <c r="V53" s="375">
        <f>C53*15</f>
        <v>4.2749999999999995</v>
      </c>
      <c r="W53" s="375">
        <v>5</v>
      </c>
      <c r="X53" s="375">
        <f>AE53*5%</f>
        <v>77.45</v>
      </c>
      <c r="Y53" s="375">
        <f>AE53*3%</f>
        <v>46.47</v>
      </c>
      <c r="Z53" s="375">
        <f>AE53-(AE53/1.18)</f>
        <v>236.2881355932202</v>
      </c>
      <c r="AA53" s="375">
        <f>N53+P53+Q53+R53+S53+T53+V53+W53+X53+Y53+Z53</f>
        <v>1315.4631355932202</v>
      </c>
      <c r="AB53" s="375">
        <f>AE53-AA53</f>
        <v>233.53686440677984</v>
      </c>
      <c r="AC53" s="228">
        <f>AB53/AE53</f>
        <v>0.15076621330327944</v>
      </c>
      <c r="AD53" s="228"/>
      <c r="AE53" s="375">
        <v>1549</v>
      </c>
      <c r="AF53" s="375">
        <v>1499</v>
      </c>
      <c r="AG53" s="380" t="s">
        <v>1197</v>
      </c>
      <c r="AH53" s="2">
        <v>40</v>
      </c>
    </row>
    <row r="54" spans="1:37" ht="15" customHeight="1">
      <c r="A54" s="187" t="s">
        <v>934</v>
      </c>
      <c r="B54" s="187">
        <v>10224530</v>
      </c>
      <c r="C54" s="187">
        <v>0.6</v>
      </c>
      <c r="D54" s="249" t="s">
        <v>1173</v>
      </c>
      <c r="E54" s="187" t="s">
        <v>744</v>
      </c>
      <c r="F54" s="187" t="s">
        <v>745</v>
      </c>
      <c r="G54" s="187">
        <v>8904422505308</v>
      </c>
      <c r="H54" s="187" t="s">
        <v>23</v>
      </c>
      <c r="I54" s="187" t="s">
        <v>746</v>
      </c>
      <c r="J54" s="187" t="s">
        <v>314</v>
      </c>
      <c r="K54" s="187" t="s">
        <v>618</v>
      </c>
      <c r="L54" s="360" t="s">
        <v>748</v>
      </c>
      <c r="M54" s="187">
        <v>90191020</v>
      </c>
      <c r="N54" s="375">
        <v>839.28</v>
      </c>
      <c r="O54" s="375">
        <f>VLOOKUP(F54,'Amazon Live Products'!F:Q,12,0)</f>
        <v>937.35290880000002</v>
      </c>
      <c r="P54" s="375">
        <f>AE54*10%</f>
        <v>289.90000000000003</v>
      </c>
      <c r="Q54" s="395">
        <f>IF(AE54&lt;=300, AE54*2%,
   IF(AE54&lt;=400, AE54*4%,
      IF(AE54&lt;=500, AE54*6%,
         IF(AE54&lt;=700, AE54*10%, IF(AE54&lt;=900, AE54*17%, IF(AE54&lt;=1200, AE54*20%,
            IF(AE54&gt;1200, AE54*9%, 0)
         )
      )
   )
)))</f>
        <v>260.90999999999997</v>
      </c>
      <c r="R54" s="375">
        <v>50</v>
      </c>
      <c r="S54" s="375">
        <f>AE54*4%</f>
        <v>115.96000000000001</v>
      </c>
      <c r="T54" s="375">
        <v>68.14</v>
      </c>
      <c r="U54" s="375">
        <v>113.14</v>
      </c>
      <c r="V54" s="375">
        <f>C54*15</f>
        <v>9</v>
      </c>
      <c r="W54" s="375">
        <v>5</v>
      </c>
      <c r="X54" s="375">
        <f>AE54*5%</f>
        <v>144.95000000000002</v>
      </c>
      <c r="Y54" s="375">
        <f>AE54*3%</f>
        <v>86.97</v>
      </c>
      <c r="Z54" s="375">
        <f>AE54-(AE54/1.18)</f>
        <v>442.22033898305062</v>
      </c>
      <c r="AA54" s="375">
        <f>N54+P54+Q54+R54+S54+T54+V54+W54+X54+Y54+Z54</f>
        <v>2312.3303389830508</v>
      </c>
      <c r="AB54" s="375">
        <f>AE54-AA54</f>
        <v>586.66966101694925</v>
      </c>
      <c r="AC54" s="228">
        <f>AB54/AE54</f>
        <v>0.20236966575265583</v>
      </c>
      <c r="AD54" s="228">
        <v>0.09</v>
      </c>
      <c r="AE54" s="375">
        <v>2899</v>
      </c>
      <c r="AF54" s="375">
        <v>2799</v>
      </c>
      <c r="AG54" s="381" t="s">
        <v>1211</v>
      </c>
      <c r="AH54" s="2">
        <v>20</v>
      </c>
      <c r="AJ54">
        <f>VLOOKUP(I54,'[1]Margin Data'!$C:$AF,30,0)</f>
        <v>3999</v>
      </c>
      <c r="AK54" s="568">
        <f>VLOOKUP(I54,[2]NexLev!$C:$D,2,0)</f>
        <v>4299</v>
      </c>
    </row>
    <row r="55" spans="1:37" s="389" customFormat="1" ht="15" hidden="1" customHeight="1">
      <c r="A55" s="382" t="s">
        <v>934</v>
      </c>
      <c r="B55" s="382">
        <v>10245273</v>
      </c>
      <c r="C55" s="382">
        <v>0.4</v>
      </c>
      <c r="D55" s="384" t="s">
        <v>1168</v>
      </c>
      <c r="E55" s="382" t="s">
        <v>651</v>
      </c>
      <c r="F55" s="382" t="s">
        <v>652</v>
      </c>
      <c r="G55" s="382">
        <v>8904422505117</v>
      </c>
      <c r="H55" s="382" t="s">
        <v>23</v>
      </c>
      <c r="I55" s="382" t="s">
        <v>653</v>
      </c>
      <c r="J55" s="382" t="s">
        <v>628</v>
      </c>
      <c r="K55" s="382" t="s">
        <v>629</v>
      </c>
      <c r="L55" s="382" t="s">
        <v>654</v>
      </c>
      <c r="M55" s="382">
        <v>84148090</v>
      </c>
      <c r="N55" s="385">
        <v>689.38</v>
      </c>
      <c r="O55" s="385">
        <f>VLOOKUP(F55,'Amazon Live Products'!F:Q,12,0)</f>
        <v>802.58455199999992</v>
      </c>
      <c r="P55" s="385">
        <f>AE55*10%</f>
        <v>224.9</v>
      </c>
      <c r="Q55" s="404">
        <f>IF(AE55&lt;=300, AE55*2%,
   IF(AE55&lt;=400, AE55*3%,
      IF(AE55&lt;=500, AE55*4%,
         IF(AE55&lt;=700, AE55*5%, IF(AE55&lt;=900, AE55*8%, IF(AE55&lt;=1200, AE55*11%,
            IF(AE55&gt;1200, AE55*13%, 0)
         )
      )
   )
)))</f>
        <v>292.37</v>
      </c>
      <c r="R55" s="385">
        <v>50</v>
      </c>
      <c r="S55" s="385">
        <f>AE55*4%</f>
        <v>89.960000000000008</v>
      </c>
      <c r="T55" s="385">
        <v>67.5</v>
      </c>
      <c r="U55" s="385">
        <v>112.5</v>
      </c>
      <c r="V55" s="385">
        <f>C55*15</f>
        <v>6</v>
      </c>
      <c r="W55" s="385">
        <v>5</v>
      </c>
      <c r="X55" s="385">
        <f>AE55*5%</f>
        <v>112.45</v>
      </c>
      <c r="Y55" s="385">
        <f>AE55*3%</f>
        <v>67.47</v>
      </c>
      <c r="Z55" s="385">
        <f>AE55-(AE55/1.18)</f>
        <v>343.06779661016935</v>
      </c>
      <c r="AA55" s="385">
        <f>N55+P55+Q55+R55+S55+T55+V55+W55+X55+Y55+Z55</f>
        <v>1948.0977966101696</v>
      </c>
      <c r="AB55" s="385">
        <f>AE55-AA55</f>
        <v>300.90220338983045</v>
      </c>
      <c r="AC55" s="387">
        <f>AB55/AE55</f>
        <v>0.13379377651837726</v>
      </c>
      <c r="AD55" s="387"/>
      <c r="AE55" s="385">
        <v>2249</v>
      </c>
      <c r="AF55" s="385">
        <v>1949</v>
      </c>
      <c r="AG55" s="388" t="s">
        <v>1199</v>
      </c>
      <c r="AH55" s="389">
        <v>24</v>
      </c>
    </row>
    <row r="56" spans="1:37" ht="15" hidden="1" customHeight="1">
      <c r="A56" s="187"/>
      <c r="B56" s="187"/>
      <c r="C56" s="187"/>
      <c r="D56" s="249"/>
      <c r="E56" s="187" t="s">
        <v>655</v>
      </c>
      <c r="F56" s="187" t="s">
        <v>656</v>
      </c>
      <c r="G56" s="374">
        <v>8904422505124</v>
      </c>
      <c r="H56" s="187" t="s">
        <v>23</v>
      </c>
      <c r="I56" s="187" t="s">
        <v>657</v>
      </c>
      <c r="J56" s="187" t="s">
        <v>628</v>
      </c>
      <c r="K56" s="225" t="s">
        <v>629</v>
      </c>
      <c r="L56" s="187" t="s">
        <v>658</v>
      </c>
      <c r="M56" s="187">
        <v>84148090</v>
      </c>
      <c r="N56" s="375">
        <v>1179.52</v>
      </c>
      <c r="O56" s="375">
        <f>VLOOKUP(F56,'Amazon Live Products'!F:Q,12,0)</f>
        <v>1080.0494971199998</v>
      </c>
      <c r="P56" s="375"/>
      <c r="Q56" s="375"/>
      <c r="R56" s="375"/>
      <c r="S56" s="375"/>
      <c r="T56" s="375"/>
      <c r="U56" s="375"/>
      <c r="V56" s="375"/>
      <c r="W56" s="375"/>
      <c r="X56" s="375"/>
      <c r="Y56" s="375"/>
      <c r="Z56" s="375"/>
      <c r="AA56" s="375"/>
      <c r="AB56" s="375"/>
      <c r="AC56" s="375"/>
      <c r="AD56" s="375"/>
      <c r="AE56" s="375"/>
      <c r="AF56" s="375">
        <v>2299</v>
      </c>
      <c r="AG56" s="187"/>
      <c r="AH56" s="2">
        <v>20</v>
      </c>
    </row>
    <row r="57" spans="1:37" ht="15" hidden="1" customHeight="1">
      <c r="A57" s="187" t="s">
        <v>934</v>
      </c>
      <c r="B57" s="187">
        <v>10234935</v>
      </c>
      <c r="C57" s="187">
        <v>0.65</v>
      </c>
      <c r="D57" s="249" t="s">
        <v>1168</v>
      </c>
      <c r="E57" s="187" t="s">
        <v>659</v>
      </c>
      <c r="F57" s="187" t="s">
        <v>660</v>
      </c>
      <c r="G57" s="187">
        <v>8904422505001</v>
      </c>
      <c r="H57" s="187" t="s">
        <v>23</v>
      </c>
      <c r="I57" s="187" t="s">
        <v>661</v>
      </c>
      <c r="J57" s="187" t="s">
        <v>234</v>
      </c>
      <c r="K57" s="187" t="s">
        <v>249</v>
      </c>
      <c r="L57" s="187" t="s">
        <v>662</v>
      </c>
      <c r="M57" s="187">
        <v>85086000</v>
      </c>
      <c r="N57" s="375">
        <v>664.48</v>
      </c>
      <c r="O57" s="375">
        <f>VLOOKUP(F57,'Amazon Live Products'!F:Q,12,0)</f>
        <v>869.64047807999998</v>
      </c>
      <c r="P57" s="375">
        <f>AE57*10%</f>
        <v>169.9</v>
      </c>
      <c r="Q57" s="377">
        <f>IF(AE57&lt;=2000, AE57*2%,
   IF(AE57&lt;=3000, AE57*6%,
      IF(AE57&lt;=5000, AE57*9%,
            IF(AE57&gt;5000, AE57*11%, 0)
         )
      )
   )</f>
        <v>33.980000000000004</v>
      </c>
      <c r="R57" s="375">
        <v>50</v>
      </c>
      <c r="S57" s="375">
        <f>AE57*4%</f>
        <v>67.960000000000008</v>
      </c>
      <c r="T57" s="375">
        <v>67.5</v>
      </c>
      <c r="U57" s="375">
        <v>112.5</v>
      </c>
      <c r="V57" s="375">
        <f>C57*15</f>
        <v>9.75</v>
      </c>
      <c r="W57" s="375">
        <v>5</v>
      </c>
      <c r="X57" s="375">
        <f>AE57*5%</f>
        <v>84.95</v>
      </c>
      <c r="Y57" s="375">
        <f>AE57*3%</f>
        <v>50.97</v>
      </c>
      <c r="Z57" s="375">
        <f>AE57-(AE57/1.18)</f>
        <v>259.16949152542361</v>
      </c>
      <c r="AA57" s="375">
        <f>N57+P57+Q57+R57+S57+T57+V57+W57+X57+Y57+Z57</f>
        <v>1463.6594915254238</v>
      </c>
      <c r="AB57" s="375">
        <f>AE57-AA57</f>
        <v>235.34050847457615</v>
      </c>
      <c r="AC57" s="228">
        <f>AB57/AE57</f>
        <v>0.13851707385201656</v>
      </c>
      <c r="AD57" s="228"/>
      <c r="AE57" s="375">
        <v>1699</v>
      </c>
      <c r="AF57" s="375">
        <v>1999</v>
      </c>
      <c r="AG57" s="378" t="s">
        <v>1200</v>
      </c>
      <c r="AH57" s="2">
        <v>20</v>
      </c>
    </row>
    <row r="58" spans="1:37" ht="15" hidden="1" customHeight="1">
      <c r="A58" s="187"/>
      <c r="B58" s="187"/>
      <c r="C58" s="187"/>
      <c r="D58" s="249"/>
      <c r="E58" s="187" t="s">
        <v>663</v>
      </c>
      <c r="F58" s="187" t="s">
        <v>664</v>
      </c>
      <c r="G58" s="374">
        <v>8904422505018</v>
      </c>
      <c r="H58" s="187" t="s">
        <v>23</v>
      </c>
      <c r="I58" s="187" t="s">
        <v>665</v>
      </c>
      <c r="J58" s="187" t="s">
        <v>314</v>
      </c>
      <c r="K58" s="225" t="s">
        <v>444</v>
      </c>
      <c r="L58" s="187" t="s">
        <v>667</v>
      </c>
      <c r="M58" s="187">
        <v>85101000</v>
      </c>
      <c r="N58" s="375">
        <v>1103.1600000000001</v>
      </c>
      <c r="O58" s="375">
        <f>VLOOKUP(F58,'Amazon Live Products'!F:Q,12,0)</f>
        <v>1292.1849599999998</v>
      </c>
      <c r="P58" s="375"/>
      <c r="Q58" s="375"/>
      <c r="R58" s="375"/>
      <c r="S58" s="375"/>
      <c r="T58" s="375"/>
      <c r="U58" s="375"/>
      <c r="V58" s="375"/>
      <c r="W58" s="375"/>
      <c r="X58" s="375"/>
      <c r="Y58" s="375"/>
      <c r="Z58" s="375"/>
      <c r="AA58" s="375"/>
      <c r="AB58" s="375"/>
      <c r="AC58" s="375"/>
      <c r="AD58" s="375"/>
      <c r="AE58" s="375"/>
      <c r="AF58" s="375">
        <v>2199</v>
      </c>
      <c r="AG58" s="187"/>
      <c r="AH58" s="2">
        <v>32</v>
      </c>
    </row>
    <row r="59" spans="1:37" ht="15" hidden="1" customHeight="1">
      <c r="A59" s="187"/>
      <c r="B59" s="187"/>
      <c r="C59" s="187"/>
      <c r="D59" s="249"/>
      <c r="E59" s="187" t="s">
        <v>668</v>
      </c>
      <c r="F59" s="187" t="s">
        <v>944</v>
      </c>
      <c r="G59" s="374">
        <v>8904422505179</v>
      </c>
      <c r="H59" s="187" t="s">
        <v>23</v>
      </c>
      <c r="I59" s="187" t="s">
        <v>670</v>
      </c>
      <c r="J59" s="187" t="s">
        <v>671</v>
      </c>
      <c r="K59" s="187" t="s">
        <v>950</v>
      </c>
      <c r="L59" s="187" t="s">
        <v>673</v>
      </c>
      <c r="M59" s="187">
        <v>85167100</v>
      </c>
      <c r="N59" s="375">
        <v>606.54999999999995</v>
      </c>
      <c r="O59" s="375">
        <f>VLOOKUP(F59,'Amazon Live Products'!F:Q,12,0)</f>
        <v>671.93617919999997</v>
      </c>
      <c r="P59" s="375"/>
      <c r="Q59" s="375"/>
      <c r="R59" s="375"/>
      <c r="S59" s="375"/>
      <c r="T59" s="375"/>
      <c r="U59" s="375"/>
      <c r="V59" s="375"/>
      <c r="W59" s="375"/>
      <c r="X59" s="375"/>
      <c r="Y59" s="375"/>
      <c r="Z59" s="375"/>
      <c r="AA59" s="375"/>
      <c r="AB59" s="375"/>
      <c r="AC59" s="375"/>
      <c r="AD59" s="375"/>
      <c r="AE59" s="375"/>
      <c r="AF59" s="375">
        <v>1499</v>
      </c>
      <c r="AG59" s="187"/>
      <c r="AH59" s="2">
        <v>6</v>
      </c>
    </row>
    <row r="60" spans="1:37" ht="15" customHeight="1">
      <c r="A60" s="187" t="s">
        <v>934</v>
      </c>
      <c r="B60" s="249">
        <v>10246012</v>
      </c>
      <c r="C60" s="187">
        <v>0.26400000000000001</v>
      </c>
      <c r="D60" s="249" t="s">
        <v>1165</v>
      </c>
      <c r="E60" s="187" t="s">
        <v>724</v>
      </c>
      <c r="F60" s="187" t="s">
        <v>725</v>
      </c>
      <c r="G60" s="187">
        <v>8904422505254</v>
      </c>
      <c r="H60" s="187" t="s">
        <v>23</v>
      </c>
      <c r="I60" s="272" t="s">
        <v>726</v>
      </c>
      <c r="J60" s="187" t="s">
        <v>314</v>
      </c>
      <c r="K60" s="187"/>
      <c r="L60" s="360" t="s">
        <v>727</v>
      </c>
      <c r="M60" s="187">
        <v>85437093</v>
      </c>
      <c r="N60" s="375">
        <v>453.84</v>
      </c>
      <c r="O60" s="375">
        <f>VLOOKUP(F60,'Amazon Live Products'!F:Q,12,0)</f>
        <v>529.05441599999995</v>
      </c>
      <c r="P60" s="375">
        <f>AE60*10%</f>
        <v>159.80000000000001</v>
      </c>
      <c r="Q60" s="400">
        <f>IF(AE60&lt;=1200,AE60*2%,IF(AE60&lt;=1500,AE60*5%,IF(AE60&lt;=2000,AE60*7%,IF(AE60&lt;=3000,AE60*9%,AE60*11%))))</f>
        <v>111.86000000000001</v>
      </c>
      <c r="R60" s="375">
        <v>50</v>
      </c>
      <c r="S60" s="375">
        <f>AE60*4%</f>
        <v>63.92</v>
      </c>
      <c r="T60" s="375">
        <v>67.5</v>
      </c>
      <c r="U60" s="375">
        <v>112.5</v>
      </c>
      <c r="V60" s="375">
        <f>C60*15</f>
        <v>3.96</v>
      </c>
      <c r="W60" s="375">
        <v>5</v>
      </c>
      <c r="X60" s="375">
        <f>AE60*5%</f>
        <v>79.900000000000006</v>
      </c>
      <c r="Y60" s="375">
        <f>AE60*3%</f>
        <v>47.94</v>
      </c>
      <c r="Z60" s="375">
        <f>AE60-(AE60/1.18)</f>
        <v>243.76271186440681</v>
      </c>
      <c r="AA60" s="375">
        <f>N60+P60+Q60+R60+S60+T60+V60+W60+X60+Y60+Z60</f>
        <v>1287.4827118644068</v>
      </c>
      <c r="AB60" s="375">
        <f>AE60-AA60</f>
        <v>310.51728813559316</v>
      </c>
      <c r="AC60" s="228">
        <f>AB60/AE60</f>
        <v>0.1943162003351647</v>
      </c>
      <c r="AD60" s="228">
        <v>0.18</v>
      </c>
      <c r="AE60" s="375">
        <v>1598</v>
      </c>
      <c r="AF60" s="375">
        <v>1548</v>
      </c>
      <c r="AG60" s="398" t="s">
        <v>1207</v>
      </c>
      <c r="AH60" s="2">
        <v>50</v>
      </c>
      <c r="AJ60">
        <f>VLOOKUP(I60,'[1]Margin Data'!$C:$AF,30,0)</f>
        <v>2799</v>
      </c>
      <c r="AK60" s="573">
        <f>VLOOKUP(I60,[2]NexLev!$C:$D,2,0)</f>
        <v>2999</v>
      </c>
    </row>
    <row r="61" spans="1:37" ht="15" hidden="1" customHeight="1">
      <c r="A61" s="187"/>
      <c r="B61" s="187"/>
      <c r="C61" s="187"/>
      <c r="D61" s="249"/>
      <c r="E61" s="187" t="s">
        <v>679</v>
      </c>
      <c r="F61" s="187" t="s">
        <v>680</v>
      </c>
      <c r="G61" s="374">
        <v>8904422505087</v>
      </c>
      <c r="H61" s="187" t="s">
        <v>23</v>
      </c>
      <c r="I61" s="187" t="s">
        <v>681</v>
      </c>
      <c r="J61" s="187" t="s">
        <v>314</v>
      </c>
      <c r="K61" s="187"/>
      <c r="L61" s="187" t="s">
        <v>682</v>
      </c>
      <c r="M61" s="187">
        <v>85101000</v>
      </c>
      <c r="N61" s="375">
        <v>336.42</v>
      </c>
      <c r="O61" s="375">
        <f>VLOOKUP(F61,'Amazon Live Products'!F:Q,12,0)</f>
        <v>454.84910592</v>
      </c>
      <c r="P61" s="375"/>
      <c r="Q61" s="375"/>
      <c r="R61" s="375"/>
      <c r="S61" s="375"/>
      <c r="T61" s="375"/>
      <c r="U61" s="375"/>
      <c r="V61" s="375"/>
      <c r="W61" s="375"/>
      <c r="X61" s="375"/>
      <c r="Y61" s="375"/>
      <c r="Z61" s="375"/>
      <c r="AA61" s="375"/>
      <c r="AB61" s="375"/>
      <c r="AC61" s="375"/>
      <c r="AD61" s="375"/>
      <c r="AE61" s="375"/>
      <c r="AF61" s="375">
        <v>999</v>
      </c>
      <c r="AG61" s="187"/>
      <c r="AH61" s="2">
        <v>50</v>
      </c>
    </row>
    <row r="62" spans="1:37" ht="15" hidden="1" customHeight="1">
      <c r="A62" s="187"/>
      <c r="B62" s="187"/>
      <c r="C62" s="187"/>
      <c r="D62" s="249"/>
      <c r="E62" s="187" t="s">
        <v>683</v>
      </c>
      <c r="F62" s="187" t="s">
        <v>684</v>
      </c>
      <c r="G62" s="374">
        <v>8904422505148</v>
      </c>
      <c r="H62" s="187" t="s">
        <v>23</v>
      </c>
      <c r="I62" s="187" t="s">
        <v>685</v>
      </c>
      <c r="J62" s="187" t="s">
        <v>234</v>
      </c>
      <c r="K62" s="187" t="s">
        <v>671</v>
      </c>
      <c r="L62" s="187" t="s">
        <v>687</v>
      </c>
      <c r="M62" s="187">
        <v>85167990</v>
      </c>
      <c r="N62" s="375">
        <v>833.15</v>
      </c>
      <c r="O62" s="375">
        <f>VLOOKUP(F62,'Amazon Live Products'!F:Q,12,0)</f>
        <v>936.83409599999982</v>
      </c>
      <c r="P62" s="375">
        <f t="shared" ref="P62:P75" si="27">AE62*10%</f>
        <v>149.9</v>
      </c>
      <c r="Q62" s="375">
        <f>IF(AE62&lt;=1200, AE62*2%,
   IF(AE62&lt;=1500, AE62*5%,
      IF(AE62&lt;=2000, AE62*7%,
         IF(AE62&lt;=3000, AE62*9%,
            IF(AE62&gt;3000, AE62*11%, 0)
         )
      )
   )
)</f>
        <v>74.95</v>
      </c>
      <c r="R62" s="375"/>
      <c r="S62" s="375">
        <f>AE62*3%</f>
        <v>44.97</v>
      </c>
      <c r="T62" s="375"/>
      <c r="U62" s="375">
        <v>80</v>
      </c>
      <c r="V62" s="375">
        <f t="shared" ref="V62:V75" si="28">C62*15</f>
        <v>0</v>
      </c>
      <c r="W62" s="375"/>
      <c r="X62" s="375">
        <f t="shared" ref="X62:X75" si="29">AE62*5%</f>
        <v>74.95</v>
      </c>
      <c r="Y62" s="375">
        <f t="shared" ref="Y62:Y75" si="30">AE62*3%</f>
        <v>44.97</v>
      </c>
      <c r="Z62" s="375">
        <f t="shared" ref="Z62:Z75" si="31">AE62-(AE62/1.18)</f>
        <v>228.66101694915255</v>
      </c>
      <c r="AA62" s="375">
        <f>N62+Q62+R62+S62+T62+W62+X62+Y62+Z62+P62+V62</f>
        <v>1451.5510169491527</v>
      </c>
      <c r="AB62" s="375">
        <f t="shared" ref="AB62:AB75" si="32">AE62-AA62</f>
        <v>47.448983050847346</v>
      </c>
      <c r="AC62" s="375">
        <f t="shared" ref="AC62:AC75" si="33">AB62/AE62</f>
        <v>3.1653757872479885E-2</v>
      </c>
      <c r="AD62" s="375"/>
      <c r="AE62" s="375">
        <v>1499</v>
      </c>
      <c r="AF62" s="375">
        <v>1699</v>
      </c>
      <c r="AG62" s="187"/>
      <c r="AH62" s="2">
        <v>12</v>
      </c>
    </row>
    <row r="63" spans="1:37" ht="15" hidden="1" customHeight="1">
      <c r="A63" s="187" t="s">
        <v>934</v>
      </c>
      <c r="B63" s="187">
        <v>10254574</v>
      </c>
      <c r="C63" s="187">
        <v>1.3</v>
      </c>
      <c r="D63" s="249" t="s">
        <v>1168</v>
      </c>
      <c r="E63" s="118" t="s">
        <v>683</v>
      </c>
      <c r="F63" s="401" t="s">
        <v>684</v>
      </c>
      <c r="G63" s="401">
        <v>8904422505148</v>
      </c>
      <c r="H63" s="187" t="s">
        <v>23</v>
      </c>
      <c r="I63" s="401" t="s">
        <v>685</v>
      </c>
      <c r="J63" s="118" t="s">
        <v>234</v>
      </c>
      <c r="K63" s="402" t="s">
        <v>671</v>
      </c>
      <c r="L63" s="401" t="s">
        <v>687</v>
      </c>
      <c r="M63" s="118">
        <v>85167990</v>
      </c>
      <c r="N63" s="375">
        <v>833.15</v>
      </c>
      <c r="O63" s="403">
        <v>936.83409599999982</v>
      </c>
      <c r="P63" s="375">
        <f t="shared" si="27"/>
        <v>169.9</v>
      </c>
      <c r="Q63" s="377">
        <f>AE63*2%</f>
        <v>33.980000000000004</v>
      </c>
      <c r="R63" s="375">
        <v>50</v>
      </c>
      <c r="S63" s="375">
        <f t="shared" ref="S63:S75" si="34">AE63*4%</f>
        <v>67.960000000000008</v>
      </c>
      <c r="T63" s="375">
        <v>141.25</v>
      </c>
      <c r="U63" s="375">
        <v>216.2</v>
      </c>
      <c r="V63" s="375">
        <f t="shared" si="28"/>
        <v>19.5</v>
      </c>
      <c r="W63" s="375">
        <v>5</v>
      </c>
      <c r="X63" s="375">
        <f t="shared" si="29"/>
        <v>84.95</v>
      </c>
      <c r="Y63" s="375">
        <f t="shared" si="30"/>
        <v>50.97</v>
      </c>
      <c r="Z63" s="375">
        <f t="shared" si="31"/>
        <v>259.16949152542361</v>
      </c>
      <c r="AA63" s="375">
        <f t="shared" ref="AA63:AA75" si="35">N63+P63+Q63+R63+S63+T63+V63+W63+X63+Y63+Z63</f>
        <v>1715.8294915254237</v>
      </c>
      <c r="AB63" s="375">
        <f t="shared" si="32"/>
        <v>-16.829491525423691</v>
      </c>
      <c r="AC63" s="228">
        <f t="shared" si="33"/>
        <v>-9.905527678295287E-3</v>
      </c>
      <c r="AD63" s="228"/>
      <c r="AE63" s="375">
        <v>1699</v>
      </c>
      <c r="AF63" s="375">
        <v>1699</v>
      </c>
      <c r="AG63" s="399" t="s">
        <v>1202</v>
      </c>
      <c r="AH63" s="2">
        <v>12</v>
      </c>
    </row>
    <row r="64" spans="1:37" ht="15" customHeight="1">
      <c r="A64" s="187" t="s">
        <v>934</v>
      </c>
      <c r="B64" s="187">
        <v>10247375</v>
      </c>
      <c r="C64" s="187">
        <v>1.48</v>
      </c>
      <c r="D64" s="249" t="s">
        <v>1765</v>
      </c>
      <c r="E64" s="187" t="s">
        <v>1220</v>
      </c>
      <c r="F64" s="187" t="s">
        <v>1221</v>
      </c>
      <c r="G64" s="187">
        <v>8904422500013</v>
      </c>
      <c r="H64" s="187" t="s">
        <v>1222</v>
      </c>
      <c r="I64" s="272" t="s">
        <v>1223</v>
      </c>
      <c r="J64" s="211" t="s">
        <v>1224</v>
      </c>
      <c r="K64" s="211" t="s">
        <v>1225</v>
      </c>
      <c r="L64" s="360" t="s">
        <v>1226</v>
      </c>
      <c r="M64" s="187">
        <v>85181000</v>
      </c>
      <c r="N64" s="375">
        <v>1177.28</v>
      </c>
      <c r="O64" s="375">
        <v>1361.3790421721176</v>
      </c>
      <c r="P64" s="375">
        <f t="shared" si="27"/>
        <v>269.90000000000003</v>
      </c>
      <c r="Q64" s="377">
        <f>IF(AE64&lt;=1200, AE64*2%,
   IF(AE64&lt;=1500, AE64*5%,
      IF(AE64&lt;=2000, AE64*7%,
         IF(AE64&lt;=3000, AE64*9%,
            IF(AE64&gt;3000, AE64*11%, 0)
         )
      )
   )
)</f>
        <v>242.91</v>
      </c>
      <c r="R64" s="375">
        <v>50</v>
      </c>
      <c r="S64" s="375">
        <f t="shared" si="34"/>
        <v>107.96000000000001</v>
      </c>
      <c r="T64" s="375">
        <v>100.31</v>
      </c>
      <c r="U64" s="375">
        <v>153.54</v>
      </c>
      <c r="V64" s="375">
        <f t="shared" si="28"/>
        <v>22.2</v>
      </c>
      <c r="W64" s="375">
        <v>5</v>
      </c>
      <c r="X64" s="375">
        <f t="shared" si="29"/>
        <v>134.95000000000002</v>
      </c>
      <c r="Y64" s="375">
        <f t="shared" si="30"/>
        <v>80.97</v>
      </c>
      <c r="Z64" s="375">
        <f t="shared" si="31"/>
        <v>411.71186440677957</v>
      </c>
      <c r="AA64" s="375">
        <f t="shared" si="35"/>
        <v>2603.1918644067796</v>
      </c>
      <c r="AB64" s="375">
        <f t="shared" si="32"/>
        <v>95.808135593220413</v>
      </c>
      <c r="AC64" s="228">
        <f t="shared" si="33"/>
        <v>3.5497641938947909E-2</v>
      </c>
      <c r="AD64" s="228">
        <v>0.09</v>
      </c>
      <c r="AE64" s="375">
        <v>2699</v>
      </c>
      <c r="AF64" s="375">
        <v>2699</v>
      </c>
      <c r="AG64" s="409" t="s">
        <v>1227</v>
      </c>
      <c r="AH64" s="263">
        <v>12</v>
      </c>
      <c r="AI64" s="567" t="s">
        <v>1771</v>
      </c>
      <c r="AJ64">
        <f>VLOOKUP(I64,'[1]Margin Data'!$C:$AF,30,0)</f>
        <v>4999</v>
      </c>
      <c r="AK64" s="568">
        <f>VLOOKUP(I64,'[2]Audio Array'!$C:$D,2,0)</f>
        <v>4999</v>
      </c>
    </row>
    <row r="65" spans="1:37" ht="15" hidden="1" customHeight="1">
      <c r="A65" s="187" t="s">
        <v>934</v>
      </c>
      <c r="B65" s="187">
        <v>10256426</v>
      </c>
      <c r="C65" s="187">
        <v>0.7</v>
      </c>
      <c r="D65" s="249" t="s">
        <v>1170</v>
      </c>
      <c r="E65" s="187" t="s">
        <v>695</v>
      </c>
      <c r="F65" s="187" t="s">
        <v>696</v>
      </c>
      <c r="G65" s="187">
        <v>8904422505186</v>
      </c>
      <c r="H65" s="187" t="s">
        <v>23</v>
      </c>
      <c r="I65" s="187" t="s">
        <v>697</v>
      </c>
      <c r="J65" s="187" t="s">
        <v>314</v>
      </c>
      <c r="K65" s="187" t="s">
        <v>465</v>
      </c>
      <c r="L65" s="187" t="s">
        <v>699</v>
      </c>
      <c r="M65" s="187">
        <v>85163100</v>
      </c>
      <c r="N65" s="375">
        <v>927.2</v>
      </c>
      <c r="O65" s="375">
        <f>VLOOKUP(F65,'Amazon Live Products'!F:Q,12,0)</f>
        <v>1075.0978867199999</v>
      </c>
      <c r="P65" s="375">
        <f t="shared" si="27"/>
        <v>239.9</v>
      </c>
      <c r="Q65" s="377">
        <f>IF(AE65&lt;=1200, AE65*2%,
   IF(AE65&lt;=1500, AE65*5%,
      IF(AE65&lt;=2000, AE65*7%,
         IF(AE65&lt;=3000, AE65*9%,
            IF(AE65&gt;3000, AE65*11%, 0)
         )
      )
   )
)</f>
        <v>215.91</v>
      </c>
      <c r="R65" s="375">
        <v>50</v>
      </c>
      <c r="S65" s="375">
        <f t="shared" si="34"/>
        <v>95.960000000000008</v>
      </c>
      <c r="T65" s="375">
        <v>67.5</v>
      </c>
      <c r="U65" s="375">
        <v>112.5</v>
      </c>
      <c r="V65" s="375">
        <f t="shared" si="28"/>
        <v>10.5</v>
      </c>
      <c r="W65" s="375">
        <v>5</v>
      </c>
      <c r="X65" s="375">
        <f t="shared" si="29"/>
        <v>119.95</v>
      </c>
      <c r="Y65" s="375">
        <f t="shared" si="30"/>
        <v>71.97</v>
      </c>
      <c r="Z65" s="375">
        <f t="shared" si="31"/>
        <v>365.94915254237276</v>
      </c>
      <c r="AA65" s="375">
        <f t="shared" si="35"/>
        <v>2169.8391525423731</v>
      </c>
      <c r="AB65" s="375">
        <f t="shared" si="32"/>
        <v>229.16084745762691</v>
      </c>
      <c r="AC65" s="228">
        <f t="shared" si="33"/>
        <v>9.552348789396703E-2</v>
      </c>
      <c r="AD65" s="228"/>
      <c r="AE65" s="375">
        <v>2399</v>
      </c>
      <c r="AF65" s="375">
        <v>1999</v>
      </c>
      <c r="AG65" s="187"/>
      <c r="AH65" s="2">
        <v>12</v>
      </c>
    </row>
    <row r="66" spans="1:37" ht="15" hidden="1" customHeight="1">
      <c r="A66" s="187" t="s">
        <v>934</v>
      </c>
      <c r="B66" s="376">
        <v>10245536</v>
      </c>
      <c r="C66" s="187">
        <v>0.8</v>
      </c>
      <c r="D66" s="249" t="s">
        <v>1168</v>
      </c>
      <c r="E66" s="187" t="s">
        <v>700</v>
      </c>
      <c r="F66" s="187" t="s">
        <v>701</v>
      </c>
      <c r="G66" s="187">
        <v>8904422505193</v>
      </c>
      <c r="H66" s="187" t="s">
        <v>23</v>
      </c>
      <c r="I66" s="187" t="s">
        <v>702</v>
      </c>
      <c r="J66" s="187" t="s">
        <v>314</v>
      </c>
      <c r="K66" s="187" t="s">
        <v>465</v>
      </c>
      <c r="L66" s="187" t="s">
        <v>703</v>
      </c>
      <c r="M66" s="187">
        <v>85163100</v>
      </c>
      <c r="N66" s="375">
        <v>722.92</v>
      </c>
      <c r="O66" s="375">
        <f>VLOOKUP(F66,'Amazon Live Products'!F:Q,12,0)</f>
        <v>836.04366912</v>
      </c>
      <c r="P66" s="375">
        <f t="shared" si="27"/>
        <v>199.9</v>
      </c>
      <c r="Q66" s="377">
        <f>IF(AE66&lt;=1200, AE66*2%,
   IF(AE66&lt;=1500, AE66*5%,
      IF(AE66&lt;=2000, AE66*7%,
         IF(AE66&lt;=3000, AE66*9%,
            IF(AE66&gt;3000, AE66*11%, 0)
         )
      )
   )
)</f>
        <v>139.93</v>
      </c>
      <c r="R66" s="375">
        <v>50</v>
      </c>
      <c r="S66" s="375">
        <f t="shared" si="34"/>
        <v>79.960000000000008</v>
      </c>
      <c r="T66" s="375">
        <v>67.5</v>
      </c>
      <c r="U66" s="375">
        <v>112.5</v>
      </c>
      <c r="V66" s="375">
        <f t="shared" si="28"/>
        <v>12</v>
      </c>
      <c r="W66" s="375">
        <v>5</v>
      </c>
      <c r="X66" s="375">
        <f t="shared" si="29"/>
        <v>99.95</v>
      </c>
      <c r="Y66" s="375">
        <f t="shared" si="30"/>
        <v>59.97</v>
      </c>
      <c r="Z66" s="375">
        <f t="shared" si="31"/>
        <v>304.93220338983042</v>
      </c>
      <c r="AA66" s="375">
        <f t="shared" si="35"/>
        <v>1742.0622033898305</v>
      </c>
      <c r="AB66" s="375">
        <f t="shared" si="32"/>
        <v>256.93779661016947</v>
      </c>
      <c r="AC66" s="228">
        <f t="shared" si="33"/>
        <v>0.1285331648875285</v>
      </c>
      <c r="AD66" s="228"/>
      <c r="AE66" s="375">
        <v>1999</v>
      </c>
      <c r="AF66" s="375">
        <v>1998</v>
      </c>
      <c r="AG66" s="381" t="s">
        <v>1204</v>
      </c>
      <c r="AH66" s="2">
        <v>12</v>
      </c>
    </row>
    <row r="67" spans="1:37" ht="15" hidden="1" customHeight="1">
      <c r="A67" s="187" t="s">
        <v>934</v>
      </c>
      <c r="B67" s="565">
        <v>10254580</v>
      </c>
      <c r="C67" s="187">
        <v>3.7</v>
      </c>
      <c r="D67" s="249" t="s">
        <v>1170</v>
      </c>
      <c r="E67" s="187" t="s">
        <v>704</v>
      </c>
      <c r="F67" s="187" t="s">
        <v>705</v>
      </c>
      <c r="G67" s="187">
        <v>8904422505223</v>
      </c>
      <c r="H67" s="187" t="s">
        <v>23</v>
      </c>
      <c r="I67" s="272" t="s">
        <v>706</v>
      </c>
      <c r="J67" s="187" t="s">
        <v>234</v>
      </c>
      <c r="K67" s="225" t="s">
        <v>249</v>
      </c>
      <c r="L67" s="187" t="s">
        <v>708</v>
      </c>
      <c r="M67" s="187">
        <v>85098000</v>
      </c>
      <c r="N67" s="375">
        <v>2283.4</v>
      </c>
      <c r="O67" s="375">
        <f>VLOOKUP(F67,'Amazon Live Products'!F:Q,12,0)</f>
        <v>2584.3699199999996</v>
      </c>
      <c r="P67" s="375">
        <f t="shared" si="27"/>
        <v>599.9</v>
      </c>
      <c r="Q67" s="375">
        <f>AE67*2%</f>
        <v>119.98</v>
      </c>
      <c r="R67" s="375">
        <v>50</v>
      </c>
      <c r="S67" s="375">
        <f t="shared" si="34"/>
        <v>239.96</v>
      </c>
      <c r="T67" s="375">
        <v>305.48</v>
      </c>
      <c r="U67" s="375">
        <v>467.58</v>
      </c>
      <c r="V67" s="375">
        <f t="shared" si="28"/>
        <v>55.5</v>
      </c>
      <c r="W67" s="375">
        <v>5</v>
      </c>
      <c r="X67" s="375">
        <f t="shared" si="29"/>
        <v>299.95</v>
      </c>
      <c r="Y67" s="375">
        <f t="shared" si="30"/>
        <v>179.97</v>
      </c>
      <c r="Z67" s="375">
        <f t="shared" si="31"/>
        <v>915.10169491525357</v>
      </c>
      <c r="AA67" s="375">
        <f t="shared" si="35"/>
        <v>5054.2416949152539</v>
      </c>
      <c r="AB67" s="375">
        <f t="shared" si="32"/>
        <v>944.7583050847461</v>
      </c>
      <c r="AC67" s="228">
        <f t="shared" si="33"/>
        <v>0.15748596517498684</v>
      </c>
      <c r="AD67" s="228"/>
      <c r="AE67" s="375">
        <v>5999</v>
      </c>
      <c r="AF67" s="375">
        <v>5999</v>
      </c>
      <c r="AG67" s="399" t="s">
        <v>1205</v>
      </c>
      <c r="AH67" s="2">
        <v>4</v>
      </c>
    </row>
    <row r="68" spans="1:37" ht="15" hidden="1" customHeight="1">
      <c r="A68" s="187" t="s">
        <v>934</v>
      </c>
      <c r="B68" s="565">
        <v>10257175</v>
      </c>
      <c r="C68" s="187">
        <v>0.83</v>
      </c>
      <c r="D68" s="249" t="s">
        <v>1170</v>
      </c>
      <c r="E68" s="187" t="s">
        <v>712</v>
      </c>
      <c r="F68" s="187" t="s">
        <v>713</v>
      </c>
      <c r="G68" s="187">
        <v>8904422505216</v>
      </c>
      <c r="H68" s="187" t="s">
        <v>23</v>
      </c>
      <c r="I68" s="187" t="s">
        <v>714</v>
      </c>
      <c r="J68" s="187" t="s">
        <v>234</v>
      </c>
      <c r="K68" s="187" t="s">
        <v>249</v>
      </c>
      <c r="L68" s="187" t="s">
        <v>716</v>
      </c>
      <c r="M68" s="187">
        <v>85086000</v>
      </c>
      <c r="N68" s="375">
        <v>900.63</v>
      </c>
      <c r="O68" s="375">
        <f>VLOOKUP(F68,'Amazon Live Products'!F:Q,12,0)</f>
        <v>1140.9993196800001</v>
      </c>
      <c r="P68" s="375">
        <f t="shared" si="27"/>
        <v>229.9</v>
      </c>
      <c r="Q68" s="377">
        <f>IF(AE68&lt;=2000, AE68*2%,
   IF(AE68&lt;=3000, AE68*6%,
      IF(AE68&lt;=5000, AE68*9%,
            IF(AE68&gt;5000, AE68*11%, 0)
         )
      )
   )</f>
        <v>137.94</v>
      </c>
      <c r="R68" s="375">
        <v>50</v>
      </c>
      <c r="S68" s="375">
        <f t="shared" si="34"/>
        <v>91.960000000000008</v>
      </c>
      <c r="T68" s="375">
        <v>72.459999999999994</v>
      </c>
      <c r="U68" s="375">
        <v>117.46</v>
      </c>
      <c r="V68" s="375">
        <f t="shared" si="28"/>
        <v>12.45</v>
      </c>
      <c r="W68" s="375">
        <v>5</v>
      </c>
      <c r="X68" s="375">
        <f t="shared" si="29"/>
        <v>114.95</v>
      </c>
      <c r="Y68" s="375">
        <f t="shared" si="30"/>
        <v>68.97</v>
      </c>
      <c r="Z68" s="375">
        <f t="shared" si="31"/>
        <v>350.69491525423723</v>
      </c>
      <c r="AA68" s="375">
        <f t="shared" si="35"/>
        <v>2034.9549152542374</v>
      </c>
      <c r="AB68" s="375">
        <f t="shared" si="32"/>
        <v>264.04508474576255</v>
      </c>
      <c r="AC68" s="228">
        <f t="shared" si="33"/>
        <v>0.11485214647488584</v>
      </c>
      <c r="AD68" s="228"/>
      <c r="AE68" s="375">
        <v>2299</v>
      </c>
      <c r="AF68" s="375">
        <v>2299</v>
      </c>
      <c r="AG68" s="187"/>
      <c r="AH68" s="2">
        <v>16</v>
      </c>
    </row>
    <row r="69" spans="1:37" ht="15" hidden="1" customHeight="1">
      <c r="A69" s="382" t="s">
        <v>934</v>
      </c>
      <c r="B69" s="382">
        <v>10235473</v>
      </c>
      <c r="C69" s="382">
        <v>0.56000000000000005</v>
      </c>
      <c r="D69" s="384" t="s">
        <v>1168</v>
      </c>
      <c r="E69" s="382" t="s">
        <v>717</v>
      </c>
      <c r="F69" s="382" t="s">
        <v>718</v>
      </c>
      <c r="G69" s="382">
        <v>8904422505209</v>
      </c>
      <c r="H69" s="382" t="s">
        <v>23</v>
      </c>
      <c r="I69" s="382" t="s">
        <v>719</v>
      </c>
      <c r="J69" s="382" t="s">
        <v>234</v>
      </c>
      <c r="K69" s="391" t="s">
        <v>249</v>
      </c>
      <c r="L69" s="382" t="s">
        <v>716</v>
      </c>
      <c r="M69" s="382">
        <v>85086000</v>
      </c>
      <c r="N69" s="375">
        <v>941.97</v>
      </c>
      <c r="O69" s="385">
        <f>VLOOKUP(F69,'Amazon Live Products'!F:Q,12,0)</f>
        <v>1208.1929375999998</v>
      </c>
      <c r="P69" s="385">
        <f t="shared" si="27"/>
        <v>259.90000000000003</v>
      </c>
      <c r="Q69" s="404">
        <f>IF(AE69&lt;=500, AE69*2%,
   IF(AE69&lt;=700, AE69*6%,
      IF(AE69&lt;=900, AE69*13%,
         IF(AE69&lt;=1200, AE69*16%,
            IF(AE69&gt;1200, AE69*18%, 0)
         )
      )
   )
)</f>
        <v>467.82</v>
      </c>
      <c r="R69" s="375">
        <v>50</v>
      </c>
      <c r="S69" s="385">
        <f t="shared" si="34"/>
        <v>103.96000000000001</v>
      </c>
      <c r="T69" s="385">
        <v>67.5</v>
      </c>
      <c r="U69" s="385">
        <v>112.5</v>
      </c>
      <c r="V69" s="375">
        <f t="shared" si="28"/>
        <v>8.4</v>
      </c>
      <c r="W69" s="385">
        <v>5</v>
      </c>
      <c r="X69" s="385">
        <f t="shared" si="29"/>
        <v>129.95000000000002</v>
      </c>
      <c r="Y69" s="385">
        <f t="shared" si="30"/>
        <v>77.97</v>
      </c>
      <c r="Z69" s="385">
        <f t="shared" si="31"/>
        <v>396.45762711864381</v>
      </c>
      <c r="AA69" s="375">
        <f t="shared" si="35"/>
        <v>2508.9276271186441</v>
      </c>
      <c r="AB69" s="385">
        <f t="shared" si="32"/>
        <v>90.072372881355932</v>
      </c>
      <c r="AC69" s="387">
        <f t="shared" si="33"/>
        <v>3.4656549781206594E-2</v>
      </c>
      <c r="AD69" s="387"/>
      <c r="AE69" s="375">
        <v>2599</v>
      </c>
      <c r="AF69" s="375">
        <v>2499</v>
      </c>
      <c r="AG69" s="388" t="s">
        <v>1206</v>
      </c>
      <c r="AH69" s="394">
        <v>24</v>
      </c>
      <c r="AI69" s="394"/>
    </row>
    <row r="70" spans="1:37" ht="15" customHeight="1">
      <c r="A70" s="187" t="s">
        <v>934</v>
      </c>
      <c r="B70" s="187">
        <v>10246220</v>
      </c>
      <c r="C70" s="187">
        <v>0.2</v>
      </c>
      <c r="D70" s="249" t="s">
        <v>1165</v>
      </c>
      <c r="E70" s="187" t="s">
        <v>1240</v>
      </c>
      <c r="F70" s="187" t="s">
        <v>1241</v>
      </c>
      <c r="G70" s="187">
        <v>8904422503786</v>
      </c>
      <c r="H70" s="187" t="s">
        <v>1222</v>
      </c>
      <c r="I70" s="187" t="s">
        <v>1242</v>
      </c>
      <c r="J70" s="211" t="s">
        <v>1243</v>
      </c>
      <c r="K70" s="211" t="s">
        <v>1244</v>
      </c>
      <c r="L70" s="360" t="s">
        <v>1245</v>
      </c>
      <c r="M70" s="187">
        <v>85181000</v>
      </c>
      <c r="N70" s="375">
        <v>609.36</v>
      </c>
      <c r="O70" s="375">
        <v>697.62516765599992</v>
      </c>
      <c r="P70" s="375">
        <f t="shared" si="27"/>
        <v>169.9</v>
      </c>
      <c r="Q70" s="395">
        <f>IF(AE70&lt;=300, AE70*2%,
   IF(AE70&lt;=400, AE70*4%,
      IF(AE70&lt;=500, AE70*6%,
         IF(AE70&lt;=700, AE70*8%, IF(AE70&lt;=900, AE70*13%, IF(AE70&lt;=1200, AE70*16%,
            IF(AE70&gt;1200, AE70*18%, 0)
         )
      )
   )
)))</f>
        <v>305.82</v>
      </c>
      <c r="R70" s="375">
        <v>50</v>
      </c>
      <c r="S70" s="375">
        <f t="shared" si="34"/>
        <v>67.960000000000008</v>
      </c>
      <c r="T70" s="375">
        <v>67.5</v>
      </c>
      <c r="U70" s="375">
        <v>112.5</v>
      </c>
      <c r="V70" s="375">
        <f t="shared" si="28"/>
        <v>3</v>
      </c>
      <c r="W70" s="375">
        <v>5</v>
      </c>
      <c r="X70" s="375">
        <f t="shared" si="29"/>
        <v>84.95</v>
      </c>
      <c r="Y70" s="375">
        <f t="shared" si="30"/>
        <v>50.97</v>
      </c>
      <c r="Z70" s="375">
        <f t="shared" si="31"/>
        <v>259.16949152542361</v>
      </c>
      <c r="AA70" s="375">
        <f t="shared" si="35"/>
        <v>1673.6294915254236</v>
      </c>
      <c r="AB70" s="375">
        <f t="shared" si="32"/>
        <v>25.370508474576354</v>
      </c>
      <c r="AC70" s="228">
        <f t="shared" si="33"/>
        <v>1.4932612404106153E-2</v>
      </c>
      <c r="AD70" s="228">
        <v>0.18</v>
      </c>
      <c r="AE70" s="375">
        <v>1699</v>
      </c>
      <c r="AF70" s="375">
        <v>1349</v>
      </c>
      <c r="AG70" s="396" t="s">
        <v>1246</v>
      </c>
      <c r="AH70" s="2">
        <v>100</v>
      </c>
      <c r="AI70" s="263"/>
      <c r="AJ70">
        <f>VLOOKUP(I70,'[1]Margin Data'!$C:$AF,30,0)</f>
        <v>7999</v>
      </c>
      <c r="AK70" s="568">
        <f>VLOOKUP(I70,'[2]Audio Array'!$C:$D,2,0)</f>
        <v>7999</v>
      </c>
    </row>
    <row r="71" spans="1:37" ht="15" hidden="1" customHeight="1">
      <c r="A71" s="382" t="s">
        <v>934</v>
      </c>
      <c r="B71" s="382">
        <v>10245817</v>
      </c>
      <c r="C71" s="382">
        <v>0.22</v>
      </c>
      <c r="D71" s="384" t="s">
        <v>1168</v>
      </c>
      <c r="E71" s="382" t="s">
        <v>728</v>
      </c>
      <c r="F71" s="382" t="s">
        <v>729</v>
      </c>
      <c r="G71" s="382">
        <v>8904422505261</v>
      </c>
      <c r="H71" s="382" t="s">
        <v>23</v>
      </c>
      <c r="I71" s="382" t="s">
        <v>730</v>
      </c>
      <c r="J71" s="382" t="s">
        <v>314</v>
      </c>
      <c r="K71" s="391" t="s">
        <v>465</v>
      </c>
      <c r="L71" s="382" t="s">
        <v>731</v>
      </c>
      <c r="M71" s="382">
        <v>85437093</v>
      </c>
      <c r="N71" s="375" t="e">
        <v>#N/A</v>
      </c>
      <c r="O71" s="385">
        <f>VLOOKUP(F71,'Amazon Live Products'!F:Q,12,0)</f>
        <v>1293.2441279999998</v>
      </c>
      <c r="P71" s="385">
        <f t="shared" si="27"/>
        <v>299.90000000000003</v>
      </c>
      <c r="Q71" s="386">
        <f>IF(AE71&lt;=1200, AE71*2%,
   IF(AE71&lt;=1500, AE71*5%,
      IF(AE71&lt;=2000, AE71*7%,
         IF(AE71&lt;=3000, AE71*9%,
            IF(AE71&gt;3000, AE71*11%, 0)
         )
      )
   )
)</f>
        <v>269.90999999999997</v>
      </c>
      <c r="R71" s="375">
        <v>50</v>
      </c>
      <c r="S71" s="385">
        <f t="shared" si="34"/>
        <v>119.96000000000001</v>
      </c>
      <c r="T71" s="385">
        <v>67.5</v>
      </c>
      <c r="U71" s="385">
        <v>112.5</v>
      </c>
      <c r="V71" s="375">
        <f t="shared" si="28"/>
        <v>3.3</v>
      </c>
      <c r="W71" s="385">
        <v>5</v>
      </c>
      <c r="X71" s="385">
        <f t="shared" si="29"/>
        <v>149.95000000000002</v>
      </c>
      <c r="Y71" s="385">
        <f t="shared" si="30"/>
        <v>89.97</v>
      </c>
      <c r="Z71" s="385">
        <f t="shared" si="31"/>
        <v>457.47457627118638</v>
      </c>
      <c r="AA71" s="375" t="e">
        <f t="shared" si="35"/>
        <v>#N/A</v>
      </c>
      <c r="AB71" s="385" t="e">
        <f t="shared" si="32"/>
        <v>#N/A</v>
      </c>
      <c r="AC71" s="387" t="e">
        <f t="shared" si="33"/>
        <v>#N/A</v>
      </c>
      <c r="AD71" s="387"/>
      <c r="AE71" s="375">
        <v>2999</v>
      </c>
      <c r="AF71" s="375">
        <v>2999</v>
      </c>
      <c r="AG71" s="393" t="s">
        <v>1208</v>
      </c>
      <c r="AH71" s="389">
        <v>24</v>
      </c>
      <c r="AI71" s="389"/>
    </row>
    <row r="72" spans="1:37" ht="15" customHeight="1">
      <c r="A72" s="187" t="s">
        <v>934</v>
      </c>
      <c r="B72" s="187">
        <v>10243734</v>
      </c>
      <c r="C72" s="187">
        <v>1.125</v>
      </c>
      <c r="D72" s="249" t="s">
        <v>1165</v>
      </c>
      <c r="E72" s="187" t="s">
        <v>688</v>
      </c>
      <c r="F72" s="187" t="s">
        <v>689</v>
      </c>
      <c r="G72" s="187">
        <v>8904422505155</v>
      </c>
      <c r="H72" s="187" t="s">
        <v>23</v>
      </c>
      <c r="I72" s="187" t="s">
        <v>690</v>
      </c>
      <c r="J72" s="187" t="s">
        <v>234</v>
      </c>
      <c r="K72" s="187" t="s">
        <v>671</v>
      </c>
      <c r="L72" s="360" t="s">
        <v>691</v>
      </c>
      <c r="M72" s="187">
        <v>85167990</v>
      </c>
      <c r="N72" s="375">
        <v>830.39</v>
      </c>
      <c r="O72" s="375">
        <f>VLOOKUP(F72,'Amazon Live Products'!F:Q,12,0)</f>
        <v>936.83409599999982</v>
      </c>
      <c r="P72" s="375">
        <f t="shared" si="27"/>
        <v>199.9</v>
      </c>
      <c r="Q72" s="377">
        <f>IF(AE72&lt;=2000, AE72*2%,
   IF(AE72&lt;=3000, AE72*6%,
      IF(AE72&lt;=5000, AE72*9%,
            IF(AE72&gt;5000, AE72*11%, 0)
         )
      )
   )</f>
        <v>39.980000000000004</v>
      </c>
      <c r="R72" s="375">
        <v>50</v>
      </c>
      <c r="S72" s="375">
        <f t="shared" si="34"/>
        <v>79.960000000000008</v>
      </c>
      <c r="T72" s="375">
        <v>134.4</v>
      </c>
      <c r="U72" s="375">
        <v>205.71</v>
      </c>
      <c r="V72" s="375">
        <f t="shared" si="28"/>
        <v>16.875</v>
      </c>
      <c r="W72" s="375">
        <v>5</v>
      </c>
      <c r="X72" s="375">
        <f t="shared" si="29"/>
        <v>99.95</v>
      </c>
      <c r="Y72" s="375">
        <f t="shared" si="30"/>
        <v>59.97</v>
      </c>
      <c r="Z72" s="375">
        <f t="shared" si="31"/>
        <v>304.93220338983042</v>
      </c>
      <c r="AA72" s="375">
        <f t="shared" si="35"/>
        <v>1821.3572033898306</v>
      </c>
      <c r="AB72" s="375">
        <f t="shared" si="32"/>
        <v>177.6427966101694</v>
      </c>
      <c r="AC72" s="228">
        <f t="shared" si="33"/>
        <v>8.8865831220695052E-2</v>
      </c>
      <c r="AD72" s="228">
        <v>0.02</v>
      </c>
      <c r="AE72" s="375">
        <v>1999</v>
      </c>
      <c r="AF72" s="375">
        <v>1949</v>
      </c>
      <c r="AG72" s="380" t="s">
        <v>1203</v>
      </c>
      <c r="AH72" s="2">
        <v>12</v>
      </c>
      <c r="AJ72">
        <f>VLOOKUP(I72,'[1]Margin Data'!$C:$AF,30,0)</f>
        <v>2799</v>
      </c>
      <c r="AK72" s="568">
        <f>VLOOKUP(I72,[2]NexLev!$C:$D,2,0)</f>
        <v>2799</v>
      </c>
    </row>
    <row r="73" spans="1:37" ht="15" customHeight="1">
      <c r="A73" s="187" t="s">
        <v>934</v>
      </c>
      <c r="B73" s="249">
        <v>10229357</v>
      </c>
      <c r="C73" s="187">
        <v>0.7</v>
      </c>
      <c r="D73" s="249" t="s">
        <v>1173</v>
      </c>
      <c r="E73" s="187" t="s">
        <v>468</v>
      </c>
      <c r="F73" s="187" t="s">
        <v>469</v>
      </c>
      <c r="G73" s="187">
        <v>8904422504103</v>
      </c>
      <c r="H73" s="187" t="s">
        <v>23</v>
      </c>
      <c r="I73" s="187" t="s">
        <v>1777</v>
      </c>
      <c r="J73" s="187" t="s">
        <v>314</v>
      </c>
      <c r="K73" s="187" t="s">
        <v>465</v>
      </c>
      <c r="L73" s="360" t="s">
        <v>466</v>
      </c>
      <c r="M73" s="187">
        <v>85163100</v>
      </c>
      <c r="N73" s="375">
        <v>561.76</v>
      </c>
      <c r="O73" s="375">
        <f>VLOOKUP(F73,'Amazon Live Products'!F:Q,12,0)</f>
        <v>646.09247999999991</v>
      </c>
      <c r="P73" s="375">
        <f t="shared" si="27"/>
        <v>164.9</v>
      </c>
      <c r="Q73" s="377">
        <f>IF(AE73&lt;=1200, AE73*2%,
   IF(AE73&lt;=1500, AE73*5%,
      IF(AE73&lt;=2000, AE73*7%,
         IF(AE73&lt;=3000, AE73*9%,
            IF(AE73&gt;3000, AE73*11%, 0)
         )
      )
   )
)</f>
        <v>115.43</v>
      </c>
      <c r="R73" s="375">
        <v>50</v>
      </c>
      <c r="S73" s="375">
        <f t="shared" si="34"/>
        <v>65.960000000000008</v>
      </c>
      <c r="T73" s="375">
        <v>67.5</v>
      </c>
      <c r="U73" s="375">
        <v>112.5</v>
      </c>
      <c r="V73" s="375">
        <f t="shared" si="28"/>
        <v>10.5</v>
      </c>
      <c r="W73" s="375">
        <v>5</v>
      </c>
      <c r="X73" s="375">
        <f t="shared" si="29"/>
        <v>82.45</v>
      </c>
      <c r="Y73" s="375">
        <f t="shared" si="30"/>
        <v>49.47</v>
      </c>
      <c r="Z73" s="375">
        <f t="shared" si="31"/>
        <v>251.54237288135596</v>
      </c>
      <c r="AA73" s="375">
        <f t="shared" si="35"/>
        <v>1424.512372881356</v>
      </c>
      <c r="AB73" s="375">
        <f t="shared" si="32"/>
        <v>224.48762711864401</v>
      </c>
      <c r="AC73" s="228">
        <f t="shared" si="33"/>
        <v>0.136135613777225</v>
      </c>
      <c r="AD73" s="228">
        <v>7.0000000000000007E-2</v>
      </c>
      <c r="AE73" s="375">
        <v>1649</v>
      </c>
      <c r="AF73" s="375">
        <v>1493</v>
      </c>
      <c r="AG73" s="380" t="s">
        <v>1177</v>
      </c>
      <c r="AH73" s="2">
        <v>6</v>
      </c>
      <c r="AJ73" t="e">
        <f>VLOOKUP(I73,'[1]Margin Data'!$C:$AF,30,0)</f>
        <v>#N/A</v>
      </c>
      <c r="AK73" s="568">
        <v>3499</v>
      </c>
    </row>
    <row r="74" spans="1:37" ht="15" customHeight="1">
      <c r="A74" s="187" t="s">
        <v>934</v>
      </c>
      <c r="B74" s="187">
        <v>10245477</v>
      </c>
      <c r="C74" s="187">
        <v>1.75</v>
      </c>
      <c r="D74" s="249" t="s">
        <v>1165</v>
      </c>
      <c r="E74" s="187" t="s">
        <v>599</v>
      </c>
      <c r="F74" s="187" t="s">
        <v>600</v>
      </c>
      <c r="G74" s="187">
        <v>8904422504882</v>
      </c>
      <c r="H74" s="187" t="s">
        <v>23</v>
      </c>
      <c r="I74" s="187" t="s">
        <v>601</v>
      </c>
      <c r="J74" s="187" t="s">
        <v>234</v>
      </c>
      <c r="K74" s="187" t="s">
        <v>249</v>
      </c>
      <c r="L74" s="360" t="s">
        <v>602</v>
      </c>
      <c r="M74" s="187">
        <v>85086000</v>
      </c>
      <c r="N74" s="375">
        <v>911.22</v>
      </c>
      <c r="O74" s="375">
        <f>VLOOKUP(F74,'Amazon Live Products'!F:Q,12,0)</f>
        <v>975.81147840000006</v>
      </c>
      <c r="P74" s="375">
        <f t="shared" si="27"/>
        <v>209.9</v>
      </c>
      <c r="Q74" s="375">
        <f>AE74*6%</f>
        <v>125.94</v>
      </c>
      <c r="R74" s="375">
        <v>50</v>
      </c>
      <c r="S74" s="375">
        <f t="shared" si="34"/>
        <v>83.960000000000008</v>
      </c>
      <c r="T74" s="375">
        <v>181.02</v>
      </c>
      <c r="U74" s="375">
        <v>277.08</v>
      </c>
      <c r="V74" s="375">
        <f t="shared" si="28"/>
        <v>26.25</v>
      </c>
      <c r="W74" s="375">
        <v>5</v>
      </c>
      <c r="X74" s="375">
        <f t="shared" si="29"/>
        <v>104.95</v>
      </c>
      <c r="Y74" s="375">
        <f t="shared" si="30"/>
        <v>62.97</v>
      </c>
      <c r="Z74" s="375">
        <f t="shared" si="31"/>
        <v>320.18644067796595</v>
      </c>
      <c r="AA74" s="375">
        <f t="shared" si="35"/>
        <v>2081.396440677966</v>
      </c>
      <c r="AB74" s="375">
        <f t="shared" si="32"/>
        <v>17.603559322034016</v>
      </c>
      <c r="AC74" s="228">
        <f t="shared" si="33"/>
        <v>8.3866409347470305E-3</v>
      </c>
      <c r="AD74" s="228">
        <v>0.06</v>
      </c>
      <c r="AE74" s="375">
        <v>2099</v>
      </c>
      <c r="AF74" s="375">
        <v>2091</v>
      </c>
      <c r="AG74" s="380" t="s">
        <v>1193</v>
      </c>
      <c r="AH74" s="2">
        <v>6</v>
      </c>
      <c r="AJ74">
        <f>VLOOKUP(I74,'[1]Margin Data'!$C:$AF,30,0)</f>
        <v>3999</v>
      </c>
      <c r="AK74" s="573">
        <f>VLOOKUP(I74,[2]NexLev!$C:$D,2,0)</f>
        <v>3999</v>
      </c>
    </row>
    <row r="75" spans="1:37" ht="15" hidden="1" customHeight="1">
      <c r="A75" s="382" t="s">
        <v>934</v>
      </c>
      <c r="B75" s="382">
        <v>10246161</v>
      </c>
      <c r="C75" s="382">
        <v>0.78</v>
      </c>
      <c r="D75" s="384" t="s">
        <v>1168</v>
      </c>
      <c r="E75" s="382" t="s">
        <v>749</v>
      </c>
      <c r="F75" s="382" t="s">
        <v>952</v>
      </c>
      <c r="G75" s="382">
        <v>8904422505315</v>
      </c>
      <c r="H75" s="382" t="s">
        <v>23</v>
      </c>
      <c r="I75" s="382" t="s">
        <v>751</v>
      </c>
      <c r="J75" s="382" t="s">
        <v>314</v>
      </c>
      <c r="K75" s="382" t="s">
        <v>618</v>
      </c>
      <c r="L75" s="382" t="s">
        <v>752</v>
      </c>
      <c r="M75" s="382">
        <v>90191020</v>
      </c>
      <c r="N75" s="375">
        <v>879.9</v>
      </c>
      <c r="O75" s="385">
        <f>VLOOKUP(F75,'Amazon Live Products'!F:Q,12,0)</f>
        <v>965.25031680000006</v>
      </c>
      <c r="P75" s="385">
        <f t="shared" si="27"/>
        <v>154.5</v>
      </c>
      <c r="Q75" s="405">
        <f>IF(AE75&lt;=300, AE75*2%,
   IF(AE75&lt;=400, AE75*4%,
      IF(AE75&lt;=500, AE75*6%,
         IF(AE75&lt;=700, AE75*10%, IF(AE75&lt;=900, AE75*17%, IF(AE75&lt;=1200, AE75*20%,
            IF(AE75&gt;1200, AE75*25%, 0)
         )
      )
   )
)))</f>
        <v>386.25</v>
      </c>
      <c r="R75" s="375">
        <v>50</v>
      </c>
      <c r="S75" s="385">
        <f t="shared" si="34"/>
        <v>61.800000000000004</v>
      </c>
      <c r="T75" s="385">
        <v>67.5</v>
      </c>
      <c r="U75" s="385">
        <v>112.5</v>
      </c>
      <c r="V75" s="375">
        <f t="shared" si="28"/>
        <v>11.700000000000001</v>
      </c>
      <c r="W75" s="385">
        <v>5</v>
      </c>
      <c r="X75" s="385">
        <f t="shared" si="29"/>
        <v>77.25</v>
      </c>
      <c r="Y75" s="385">
        <f t="shared" si="30"/>
        <v>46.35</v>
      </c>
      <c r="Z75" s="385">
        <f t="shared" si="31"/>
        <v>235.67796610169489</v>
      </c>
      <c r="AA75" s="375">
        <f t="shared" si="35"/>
        <v>1975.9279661016949</v>
      </c>
      <c r="AB75" s="385">
        <f t="shared" si="32"/>
        <v>-430.92796610169489</v>
      </c>
      <c r="AC75" s="387">
        <f t="shared" si="33"/>
        <v>-0.27891777741210028</v>
      </c>
      <c r="AD75" s="387"/>
      <c r="AE75" s="375">
        <v>1545</v>
      </c>
      <c r="AF75" s="375">
        <v>1449</v>
      </c>
      <c r="AG75" s="393" t="s">
        <v>1212</v>
      </c>
      <c r="AH75" s="389">
        <v>20</v>
      </c>
      <c r="AI75" s="389"/>
    </row>
    <row r="76" spans="1:37" ht="15" hidden="1" customHeight="1">
      <c r="A76" s="187"/>
      <c r="B76" s="187"/>
      <c r="C76" s="187"/>
      <c r="D76" s="249"/>
      <c r="E76" s="187" t="s">
        <v>764</v>
      </c>
      <c r="F76" s="187" t="s">
        <v>943</v>
      </c>
      <c r="G76" s="374">
        <v>8904422505353</v>
      </c>
      <c r="H76" s="187" t="s">
        <v>23</v>
      </c>
      <c r="I76" s="187" t="s">
        <v>766</v>
      </c>
      <c r="J76" s="187" t="s">
        <v>314</v>
      </c>
      <c r="K76" s="225" t="s">
        <v>618</v>
      </c>
      <c r="L76" s="187" t="s">
        <v>767</v>
      </c>
      <c r="M76" s="187">
        <v>90191020</v>
      </c>
      <c r="N76" s="375">
        <v>1204.3599999999999</v>
      </c>
      <c r="O76" s="375">
        <f>VLOOKUP(F76,'Amazon Live Products'!F:Q,12,0)</f>
        <v>1339.0755840000002</v>
      </c>
      <c r="P76" s="375"/>
      <c r="Q76" s="375"/>
      <c r="R76" s="375"/>
      <c r="S76" s="375"/>
      <c r="T76" s="375"/>
      <c r="U76" s="375"/>
      <c r="V76" s="375"/>
      <c r="W76" s="375"/>
      <c r="X76" s="375"/>
      <c r="Y76" s="375"/>
      <c r="Z76" s="375"/>
      <c r="AA76" s="375"/>
      <c r="AB76" s="375"/>
      <c r="AC76" s="375"/>
      <c r="AD76" s="375"/>
      <c r="AE76" s="375"/>
      <c r="AF76" s="375">
        <v>1763</v>
      </c>
      <c r="AG76" s="187"/>
      <c r="AH76" s="2">
        <v>30</v>
      </c>
    </row>
    <row r="77" spans="1:37" ht="15" hidden="1" customHeight="1">
      <c r="A77" s="187" t="s">
        <v>934</v>
      </c>
      <c r="B77" s="187">
        <v>10258635</v>
      </c>
      <c r="C77" s="187">
        <v>0.9</v>
      </c>
      <c r="D77" s="249" t="s">
        <v>1170</v>
      </c>
      <c r="E77" s="187" t="s">
        <v>768</v>
      </c>
      <c r="F77" s="187" t="s">
        <v>1096</v>
      </c>
      <c r="G77" s="187">
        <v>8904422505360</v>
      </c>
      <c r="H77" s="187" t="s">
        <v>23</v>
      </c>
      <c r="I77" s="187" t="s">
        <v>770</v>
      </c>
      <c r="J77" s="187" t="s">
        <v>314</v>
      </c>
      <c r="K77" s="187" t="s">
        <v>618</v>
      </c>
      <c r="L77" s="187" t="s">
        <v>771</v>
      </c>
      <c r="M77" s="187">
        <v>90191020</v>
      </c>
      <c r="N77" s="375">
        <v>797.71</v>
      </c>
      <c r="O77" s="226">
        <v>940.54118399999993</v>
      </c>
      <c r="P77" s="375">
        <f>AE77*10%</f>
        <v>180.4</v>
      </c>
      <c r="Q77" s="377">
        <f>IF(AE77&lt;=1200, AE77*2%,
   IF(AE77&lt;=1500, AE77*5%,
      IF(AE77&lt;=2000, AE77*7%,
         IF(AE77&lt;=3000, AE77*9%,
            IF(AE77&gt;3000, AE77*11%, 0)
         )
      )
   )
)</f>
        <v>126.28000000000002</v>
      </c>
      <c r="R77" s="375">
        <v>50</v>
      </c>
      <c r="S77" s="375">
        <f>AE77*4%</f>
        <v>72.16</v>
      </c>
      <c r="T77" s="375">
        <v>67.5</v>
      </c>
      <c r="U77" s="375">
        <v>112.5</v>
      </c>
      <c r="V77" s="375">
        <f>C77*15</f>
        <v>13.5</v>
      </c>
      <c r="W77" s="375">
        <v>5</v>
      </c>
      <c r="X77" s="375">
        <f>AE77*5%</f>
        <v>90.2</v>
      </c>
      <c r="Y77" s="375">
        <f>AE77*3%</f>
        <v>54.12</v>
      </c>
      <c r="Z77" s="375">
        <f>AE77-(AE77/1.18)</f>
        <v>275.18644067796595</v>
      </c>
      <c r="AA77" s="375">
        <f>N77+P77+Q77+R77+S77+T77+V77+W77+X77+Y77+Z77</f>
        <v>1732.0564406779661</v>
      </c>
      <c r="AB77" s="375">
        <f>AE77-AA77</f>
        <v>71.943559322033934</v>
      </c>
      <c r="AC77" s="228">
        <f>AB77/AE77</f>
        <v>3.9880021797136324E-2</v>
      </c>
      <c r="AD77" s="228"/>
      <c r="AE77" s="375">
        <v>1804</v>
      </c>
      <c r="AF77" s="375">
        <v>1759</v>
      </c>
      <c r="AG77" s="187"/>
      <c r="AH77" s="2">
        <v>20</v>
      </c>
    </row>
    <row r="78" spans="1:37" ht="15" hidden="1" customHeight="1">
      <c r="A78" s="187"/>
      <c r="B78" s="187"/>
      <c r="C78" s="187"/>
      <c r="D78" s="249"/>
      <c r="E78" s="187" t="s">
        <v>775</v>
      </c>
      <c r="F78" s="187" t="s">
        <v>955</v>
      </c>
      <c r="G78" s="374">
        <v>8904422505384</v>
      </c>
      <c r="H78" s="187" t="s">
        <v>23</v>
      </c>
      <c r="I78" s="187" t="s">
        <v>777</v>
      </c>
      <c r="J78" s="187" t="s">
        <v>314</v>
      </c>
      <c r="K78" s="187" t="s">
        <v>618</v>
      </c>
      <c r="L78" s="187" t="s">
        <v>778</v>
      </c>
      <c r="M78" s="187">
        <v>90191020</v>
      </c>
      <c r="N78" s="375">
        <v>979.33</v>
      </c>
      <c r="O78" s="375">
        <f>VLOOKUP(F78,'Amazon Live Products'!F:Q,12,0)</f>
        <v>872.63092224000013</v>
      </c>
      <c r="P78" s="375"/>
      <c r="Q78" s="375"/>
      <c r="R78" s="375"/>
      <c r="S78" s="375"/>
      <c r="T78" s="375"/>
      <c r="U78" s="375"/>
      <c r="V78" s="375"/>
      <c r="W78" s="375"/>
      <c r="X78" s="375"/>
      <c r="Y78" s="375"/>
      <c r="Z78" s="375"/>
      <c r="AA78" s="375"/>
      <c r="AB78" s="375"/>
      <c r="AC78" s="375"/>
      <c r="AD78" s="375"/>
      <c r="AE78" s="375"/>
      <c r="AF78" s="375">
        <v>1859</v>
      </c>
      <c r="AG78" s="187"/>
      <c r="AH78" s="2">
        <v>6</v>
      </c>
    </row>
    <row r="79" spans="1:37" ht="15" hidden="1" customHeight="1">
      <c r="A79" s="187" t="s">
        <v>934</v>
      </c>
      <c r="B79" s="187">
        <v>10254579</v>
      </c>
      <c r="C79" s="187">
        <v>1.8</v>
      </c>
      <c r="D79" s="249" t="s">
        <v>1170</v>
      </c>
      <c r="E79" s="187" t="s">
        <v>779</v>
      </c>
      <c r="F79" s="187" t="s">
        <v>780</v>
      </c>
      <c r="G79" s="187">
        <v>8904422505391</v>
      </c>
      <c r="H79" s="187" t="s">
        <v>23</v>
      </c>
      <c r="I79" s="187" t="s">
        <v>781</v>
      </c>
      <c r="J79" s="187" t="s">
        <v>234</v>
      </c>
      <c r="K79" s="187" t="s">
        <v>249</v>
      </c>
      <c r="L79" s="187" t="s">
        <v>782</v>
      </c>
      <c r="M79" s="187">
        <v>85086000</v>
      </c>
      <c r="N79" s="375" t="e">
        <v>#N/A</v>
      </c>
      <c r="O79" s="375">
        <f>VLOOKUP(F79,'Amazon Live Products'!F:Q,12,0)</f>
        <v>870.00059519999991</v>
      </c>
      <c r="P79" s="375">
        <f>AE79*10%</f>
        <v>139.9</v>
      </c>
      <c r="Q79" s="377">
        <f>IF(AE79&lt;=2000, AE79*2%,
   IF(AE79&lt;=3000, AE79*6%,
      IF(AE79&lt;=5000, AE79*9%,
            IF(AE79&gt;5000, AE79*11%, 0)
         )
      )
   )</f>
        <v>27.98</v>
      </c>
      <c r="R79" s="375">
        <v>50</v>
      </c>
      <c r="S79" s="375">
        <f>AE79*4%</f>
        <v>55.96</v>
      </c>
      <c r="T79" s="375">
        <v>181.02</v>
      </c>
      <c r="U79" s="375">
        <v>277.08</v>
      </c>
      <c r="V79" s="375">
        <f>C79*15</f>
        <v>27</v>
      </c>
      <c r="W79" s="375">
        <v>5</v>
      </c>
      <c r="X79" s="375">
        <f>AE79*5%</f>
        <v>69.95</v>
      </c>
      <c r="Y79" s="375">
        <f>AE79*3%</f>
        <v>41.97</v>
      </c>
      <c r="Z79" s="375">
        <f>AE79-(AE79/1.18)</f>
        <v>213.4067796610168</v>
      </c>
      <c r="AA79" s="375" t="e">
        <f>N79+P79+Q79+R79+S79+T79+V79+W79+X79+Y79+Z79</f>
        <v>#N/A</v>
      </c>
      <c r="AB79" s="375" t="e">
        <f>AE79-AA79</f>
        <v>#N/A</v>
      </c>
      <c r="AC79" s="228" t="e">
        <f>AB79/AE79</f>
        <v>#N/A</v>
      </c>
      <c r="AD79" s="228"/>
      <c r="AE79" s="375">
        <v>1399</v>
      </c>
      <c r="AF79" s="375">
        <v>1399</v>
      </c>
      <c r="AG79" s="406" t="s">
        <v>1213</v>
      </c>
      <c r="AH79" s="2">
        <v>9</v>
      </c>
    </row>
    <row r="80" spans="1:37" ht="15" customHeight="1">
      <c r="A80" s="187" t="s">
        <v>934</v>
      </c>
      <c r="B80" s="566">
        <v>10225457</v>
      </c>
      <c r="C80" s="187">
        <v>0.3</v>
      </c>
      <c r="D80" s="249" t="s">
        <v>1173</v>
      </c>
      <c r="E80" s="187" t="s">
        <v>512</v>
      </c>
      <c r="F80" s="187" t="s">
        <v>940</v>
      </c>
      <c r="G80" s="187">
        <v>8904422504219</v>
      </c>
      <c r="H80" s="187" t="s">
        <v>23</v>
      </c>
      <c r="I80" s="187" t="s">
        <v>514</v>
      </c>
      <c r="J80" s="187" t="s">
        <v>314</v>
      </c>
      <c r="K80" s="187" t="s">
        <v>465</v>
      </c>
      <c r="L80" s="360" t="s">
        <v>516</v>
      </c>
      <c r="M80" s="187">
        <v>90191020</v>
      </c>
      <c r="N80" s="375">
        <v>414.77</v>
      </c>
      <c r="O80" s="375">
        <f>VLOOKUP(F80,'Amazon Live Products'!F:Q,12,0)</f>
        <v>529.05441599999995</v>
      </c>
      <c r="P80" s="375">
        <f>AE80*10%</f>
        <v>94.9</v>
      </c>
      <c r="Q80" s="395" cm="1">
        <f t="array" ref="Q80">_xlfn.IFS(
AE80&lt;=1200, AE80*2%,
AE80&lt;=1500, AE80*5%,
AE80&lt;=2000, AE80*7%,
AE80&lt;=3000, AE80*9%,
AE80&gt;3000, AE80*11%
)</f>
        <v>18.98</v>
      </c>
      <c r="R80" s="375">
        <v>50</v>
      </c>
      <c r="S80" s="375">
        <f>AE80*4%</f>
        <v>37.96</v>
      </c>
      <c r="T80" s="375">
        <v>67.5</v>
      </c>
      <c r="U80" s="375">
        <v>112.5</v>
      </c>
      <c r="V80" s="375">
        <f>C80*15</f>
        <v>4.5</v>
      </c>
      <c r="W80" s="375">
        <v>5</v>
      </c>
      <c r="X80" s="375">
        <f>AE80*5%</f>
        <v>47.45</v>
      </c>
      <c r="Y80" s="375">
        <f>AE80*3%</f>
        <v>28.47</v>
      </c>
      <c r="Z80" s="375">
        <f>AE80-(AE80/1.18)</f>
        <v>144.7627118644067</v>
      </c>
      <c r="AA80" s="375">
        <f>N80+P80+Q80+R80+S80+T80+V80+W80+X80+Y80+Z80</f>
        <v>914.29271186440678</v>
      </c>
      <c r="AB80" s="375">
        <f>AE80-AA80</f>
        <v>34.707288135593217</v>
      </c>
      <c r="AC80" s="228">
        <f>AB80/AE80</f>
        <v>3.6572484863638795E-2</v>
      </c>
      <c r="AD80" s="228">
        <v>0.05</v>
      </c>
      <c r="AE80" s="574">
        <v>949</v>
      </c>
      <c r="AF80" s="375">
        <v>994</v>
      </c>
      <c r="AG80" s="380" t="s">
        <v>1182</v>
      </c>
      <c r="AH80" s="2">
        <v>60</v>
      </c>
      <c r="AJ80">
        <f>VLOOKUP(I80,'[1]Margin Data'!$C:$AF,30,0)</f>
        <v>2099</v>
      </c>
      <c r="AK80" s="568">
        <f>VLOOKUP(I80,[2]NexLev!$C:$D,2,0)</f>
        <v>2099</v>
      </c>
    </row>
    <row r="81" spans="1:37" ht="15" hidden="1" customHeight="1">
      <c r="A81" s="187"/>
      <c r="B81" s="187"/>
      <c r="C81" s="187"/>
      <c r="D81" s="249"/>
      <c r="E81" s="187" t="s">
        <v>788</v>
      </c>
      <c r="F81" s="187" t="s">
        <v>789</v>
      </c>
      <c r="G81" s="374">
        <v>8904422505759</v>
      </c>
      <c r="H81" s="187" t="s">
        <v>23</v>
      </c>
      <c r="I81" s="187" t="s">
        <v>790</v>
      </c>
      <c r="J81" s="187" t="s">
        <v>671</v>
      </c>
      <c r="K81" s="225"/>
      <c r="L81" s="187" t="s">
        <v>791</v>
      </c>
      <c r="M81" s="187">
        <v>85094090</v>
      </c>
      <c r="N81" s="375">
        <v>2900.03</v>
      </c>
      <c r="O81" s="375">
        <f>VLOOKUP(F81,'Amazon Live Products'!F:Q,12,0)</f>
        <v>3295.0716480000001</v>
      </c>
      <c r="P81" s="375"/>
      <c r="Q81" s="375"/>
      <c r="R81" s="375"/>
      <c r="S81" s="375"/>
      <c r="T81" s="375"/>
      <c r="U81" s="375"/>
      <c r="V81" s="375"/>
      <c r="W81" s="375"/>
      <c r="X81" s="375"/>
      <c r="Y81" s="375"/>
      <c r="Z81" s="375"/>
      <c r="AA81" s="375"/>
      <c r="AB81" s="375"/>
      <c r="AC81" s="375"/>
      <c r="AD81" s="375"/>
      <c r="AE81" s="375"/>
      <c r="AF81" s="375">
        <v>5999</v>
      </c>
      <c r="AG81" s="187"/>
      <c r="AH81" s="2">
        <v>1</v>
      </c>
    </row>
    <row r="82" spans="1:37" ht="15" hidden="1" customHeight="1">
      <c r="A82" s="187" t="s">
        <v>934</v>
      </c>
      <c r="B82" s="187">
        <v>10266861</v>
      </c>
      <c r="C82" s="187">
        <v>0.15</v>
      </c>
      <c r="D82" s="249" t="s">
        <v>1170</v>
      </c>
      <c r="E82" s="187" t="s">
        <v>792</v>
      </c>
      <c r="F82" s="187" t="s">
        <v>793</v>
      </c>
      <c r="G82" s="187">
        <v>8904422505780</v>
      </c>
      <c r="H82" s="187" t="s">
        <v>23</v>
      </c>
      <c r="I82" s="187" t="s">
        <v>794</v>
      </c>
      <c r="J82" s="187" t="s">
        <v>795</v>
      </c>
      <c r="K82" s="187"/>
      <c r="L82" s="187" t="s">
        <v>796</v>
      </c>
      <c r="M82" s="187">
        <v>85098000</v>
      </c>
      <c r="N82" s="375">
        <v>314.16000000000003</v>
      </c>
      <c r="O82" s="375">
        <v>366.98052863999999</v>
      </c>
      <c r="P82" s="375">
        <f>AE82*10%</f>
        <v>69.900000000000006</v>
      </c>
      <c r="Q82" s="375"/>
      <c r="R82" s="375">
        <v>50</v>
      </c>
      <c r="S82" s="375">
        <f>AE82*3%</f>
        <v>20.97</v>
      </c>
      <c r="T82" s="375"/>
      <c r="U82" s="375"/>
      <c r="V82" s="375">
        <f>C82*15</f>
        <v>2.25</v>
      </c>
      <c r="W82" s="375">
        <v>5</v>
      </c>
      <c r="X82" s="375">
        <f>AE82*5%</f>
        <v>34.950000000000003</v>
      </c>
      <c r="Y82" s="375">
        <f>AE82*3%</f>
        <v>20.97</v>
      </c>
      <c r="Z82" s="375">
        <f>AE82-(AE82/1.18)</f>
        <v>106.62711864406776</v>
      </c>
      <c r="AA82" s="375">
        <f>N82+Q82+R82+S82+T82+W82+X82+Y82+Z82+P82+V82</f>
        <v>624.8271186440677</v>
      </c>
      <c r="AB82" s="375">
        <f>AE82-AA82</f>
        <v>74.172881355932304</v>
      </c>
      <c r="AC82" s="228">
        <f>AB82/AE82</f>
        <v>0.10611284886399472</v>
      </c>
      <c r="AD82" s="228"/>
      <c r="AE82" s="375">
        <v>699</v>
      </c>
      <c r="AF82" s="375">
        <v>699</v>
      </c>
      <c r="AG82" s="187"/>
      <c r="AH82" s="2">
        <v>50</v>
      </c>
    </row>
    <row r="83" spans="1:37" ht="15" hidden="1" customHeight="1">
      <c r="A83" s="187"/>
      <c r="B83" s="187"/>
      <c r="C83" s="187"/>
      <c r="D83" s="249"/>
      <c r="E83" s="187" t="s">
        <v>797</v>
      </c>
      <c r="F83" s="187" t="s">
        <v>798</v>
      </c>
      <c r="G83" s="374">
        <v>8904422505728</v>
      </c>
      <c r="H83" s="187" t="s">
        <v>23</v>
      </c>
      <c r="I83" s="187" t="s">
        <v>799</v>
      </c>
      <c r="J83" s="187" t="s">
        <v>800</v>
      </c>
      <c r="K83" s="187"/>
      <c r="L83" s="187" t="s">
        <v>801</v>
      </c>
      <c r="M83" s="187">
        <v>90191020</v>
      </c>
      <c r="N83" s="375" t="e">
        <v>#N/A</v>
      </c>
      <c r="O83" s="375">
        <f>VLOOKUP(F83,'Amazon Live Products'!F:Q,12,0)</f>
        <v>940.54118399999993</v>
      </c>
      <c r="P83" s="375"/>
      <c r="Q83" s="375"/>
      <c r="R83" s="375"/>
      <c r="S83" s="375"/>
      <c r="T83" s="375"/>
      <c r="U83" s="375"/>
      <c r="V83" s="375"/>
      <c r="W83" s="375"/>
      <c r="X83" s="375"/>
      <c r="Y83" s="375"/>
      <c r="Z83" s="375"/>
      <c r="AA83" s="375"/>
      <c r="AB83" s="375"/>
      <c r="AC83" s="375"/>
      <c r="AD83" s="375"/>
      <c r="AE83" s="375"/>
      <c r="AF83" s="375">
        <v>2045</v>
      </c>
      <c r="AG83" s="187"/>
      <c r="AH83" s="2">
        <v>12</v>
      </c>
    </row>
    <row r="84" spans="1:37" ht="15" hidden="1" customHeight="1">
      <c r="A84" s="382" t="s">
        <v>934</v>
      </c>
      <c r="B84" s="382">
        <v>10245977</v>
      </c>
      <c r="C84" s="382">
        <v>1.1599999999999999</v>
      </c>
      <c r="D84" s="384" t="s">
        <v>1168</v>
      </c>
      <c r="E84" s="382" t="s">
        <v>802</v>
      </c>
      <c r="F84" s="382" t="s">
        <v>803</v>
      </c>
      <c r="G84" s="382">
        <v>8904422505735</v>
      </c>
      <c r="H84" s="382" t="s">
        <v>23</v>
      </c>
      <c r="I84" s="382" t="s">
        <v>804</v>
      </c>
      <c r="J84" s="382" t="s">
        <v>800</v>
      </c>
      <c r="K84" s="382"/>
      <c r="L84" s="382" t="s">
        <v>805</v>
      </c>
      <c r="M84" s="382">
        <v>90191020</v>
      </c>
      <c r="N84" s="375" t="e">
        <v>#N/A</v>
      </c>
      <c r="O84" s="385">
        <f>VLOOKUP(F84,'Amazon Live Products'!F:Q,12,0)</f>
        <v>928.7844192</v>
      </c>
      <c r="P84" s="385">
        <f>AE84*10%</f>
        <v>219.9</v>
      </c>
      <c r="Q84" s="407">
        <f>IF(AE84&lt;=300, AE84*2%,
   IF(AE84&lt;=400, AE84*4%,
      IF(AE84&lt;=500, AE84*6%,
         IF(AE84&lt;=700, AE84*10%, IF(AE84&lt;=900, AE84*17%, IF(AE84&lt;=1200, AE84*20%,
            IF(AE84&gt;1200, AE84*25%, 0)
         )
      )
   )
)))</f>
        <v>549.75</v>
      </c>
      <c r="R84" s="385">
        <v>50</v>
      </c>
      <c r="S84" s="385">
        <f>AE84*4%</f>
        <v>87.960000000000008</v>
      </c>
      <c r="T84" s="385">
        <v>71.959999999999994</v>
      </c>
      <c r="U84" s="385">
        <v>116.96</v>
      </c>
      <c r="V84" s="385">
        <f>C84*15</f>
        <v>17.399999999999999</v>
      </c>
      <c r="W84" s="385">
        <v>5</v>
      </c>
      <c r="X84" s="385">
        <f>AE84*5%</f>
        <v>109.95</v>
      </c>
      <c r="Y84" s="385">
        <f>AE84*3%</f>
        <v>65.97</v>
      </c>
      <c r="Z84" s="385">
        <f>AE84-(AE84/1.18)</f>
        <v>335.4406779661017</v>
      </c>
      <c r="AA84" s="385" t="e">
        <f>N84+P84+Q84+R84+S84+T84+V84+W84+X84+Y84+Z84</f>
        <v>#N/A</v>
      </c>
      <c r="AB84" s="385" t="e">
        <f>AE84-AA84</f>
        <v>#N/A</v>
      </c>
      <c r="AC84" s="387" t="e">
        <f>AB84/AE84</f>
        <v>#N/A</v>
      </c>
      <c r="AD84" s="387"/>
      <c r="AE84" s="385">
        <v>2199</v>
      </c>
      <c r="AF84" s="385">
        <v>2183</v>
      </c>
      <c r="AG84" s="393" t="s">
        <v>1215</v>
      </c>
      <c r="AH84" s="389">
        <v>14</v>
      </c>
    </row>
    <row r="85" spans="1:37" ht="15" customHeight="1">
      <c r="A85" s="187" t="s">
        <v>934</v>
      </c>
      <c r="B85" s="187">
        <v>10235853</v>
      </c>
      <c r="C85" s="187">
        <v>0.3</v>
      </c>
      <c r="D85" s="249" t="s">
        <v>1173</v>
      </c>
      <c r="E85" s="187" t="s">
        <v>615</v>
      </c>
      <c r="F85" s="187" t="s">
        <v>616</v>
      </c>
      <c r="G85" s="187">
        <v>8904422504929</v>
      </c>
      <c r="H85" s="187" t="s">
        <v>23</v>
      </c>
      <c r="I85" s="187" t="s">
        <v>617</v>
      </c>
      <c r="J85" s="187" t="s">
        <v>314</v>
      </c>
      <c r="K85" s="187" t="s">
        <v>618</v>
      </c>
      <c r="L85" s="360" t="s">
        <v>620</v>
      </c>
      <c r="M85" s="187">
        <v>90191020</v>
      </c>
      <c r="N85" s="375">
        <v>474.32</v>
      </c>
      <c r="O85" s="375">
        <f>VLOOKUP(F85,'Amazon Live Products'!F:Q,12,0)</f>
        <v>524.47127040000021</v>
      </c>
      <c r="P85" s="375">
        <f>AE85*10%</f>
        <v>149.9</v>
      </c>
      <c r="Q85" s="377">
        <v>194.97</v>
      </c>
      <c r="R85" s="375">
        <v>50</v>
      </c>
      <c r="S85" s="375">
        <f>AE85*4%</f>
        <v>59.96</v>
      </c>
      <c r="T85" s="375">
        <v>67.5</v>
      </c>
      <c r="U85" s="375">
        <v>112.5</v>
      </c>
      <c r="V85" s="375">
        <f>C85*15</f>
        <v>4.5</v>
      </c>
      <c r="W85" s="375">
        <v>5</v>
      </c>
      <c r="X85" s="375">
        <f>AE85*5%</f>
        <v>74.95</v>
      </c>
      <c r="Y85" s="375">
        <f>AE85*3%</f>
        <v>44.97</v>
      </c>
      <c r="Z85" s="375">
        <f>AE85-(AE85/1.18)</f>
        <v>228.66101694915255</v>
      </c>
      <c r="AA85" s="375">
        <f>N85+P85+Q85+R85+S85+T85+V85+W85+X85+Y85+Z85</f>
        <v>1354.7310169491527</v>
      </c>
      <c r="AB85" s="375">
        <f>AE85-AA85</f>
        <v>144.26898305084728</v>
      </c>
      <c r="AC85" s="228">
        <f>AB85/AE85</f>
        <v>9.6243484356802717E-2</v>
      </c>
      <c r="AD85" s="228">
        <v>0.13</v>
      </c>
      <c r="AE85" s="375">
        <v>1499</v>
      </c>
      <c r="AF85" s="375">
        <v>1499</v>
      </c>
      <c r="AG85" s="380" t="s">
        <v>1195</v>
      </c>
      <c r="AH85" s="2">
        <v>40</v>
      </c>
      <c r="AJ85">
        <f>VLOOKUP(I85,'[1]Margin Data'!$C:$AF,30,0)</f>
        <v>2499</v>
      </c>
      <c r="AK85" s="568">
        <f>VLOOKUP(I85,[2]NexLev!$C:$D,2,0)</f>
        <v>2499</v>
      </c>
    </row>
    <row r="86" spans="1:37" ht="15" hidden="1" customHeight="1">
      <c r="A86" s="187"/>
      <c r="B86" s="187"/>
      <c r="C86" s="187"/>
      <c r="D86" s="249"/>
      <c r="E86" s="187" t="s">
        <v>815</v>
      </c>
      <c r="F86" s="187" t="s">
        <v>816</v>
      </c>
      <c r="G86" s="374">
        <v>8904422505773</v>
      </c>
      <c r="H86" s="187" t="s">
        <v>23</v>
      </c>
      <c r="I86" s="187" t="s">
        <v>817</v>
      </c>
      <c r="J86" s="187" t="s">
        <v>813</v>
      </c>
      <c r="K86" s="187"/>
      <c r="L86" s="187" t="s">
        <v>818</v>
      </c>
      <c r="M86" s="187">
        <v>94043090</v>
      </c>
      <c r="N86" s="375">
        <v>424.26</v>
      </c>
      <c r="O86" s="375">
        <f>VLOOKUP(F86,'Amazon Live Products'!F:Q,12,0)</f>
        <v>488.2880402089412</v>
      </c>
      <c r="P86" s="375"/>
      <c r="Q86" s="375"/>
      <c r="R86" s="375"/>
      <c r="S86" s="375"/>
      <c r="T86" s="375"/>
      <c r="U86" s="375"/>
      <c r="V86" s="375"/>
      <c r="W86" s="375"/>
      <c r="X86" s="375"/>
      <c r="Y86" s="375"/>
      <c r="Z86" s="375"/>
      <c r="AA86" s="375"/>
      <c r="AB86" s="375"/>
      <c r="AC86" s="375"/>
      <c r="AD86" s="375"/>
      <c r="AE86" s="375"/>
      <c r="AF86" s="375">
        <v>1099</v>
      </c>
      <c r="AG86" s="187"/>
      <c r="AH86" s="2">
        <v>36</v>
      </c>
    </row>
    <row r="87" spans="1:37" ht="15" hidden="1" customHeight="1">
      <c r="A87" s="187"/>
      <c r="B87" s="187"/>
      <c r="C87" s="187"/>
      <c r="D87" s="249"/>
      <c r="E87" s="187" t="s">
        <v>819</v>
      </c>
      <c r="F87" s="187" t="s">
        <v>820</v>
      </c>
      <c r="G87" s="374">
        <v>8904422505810</v>
      </c>
      <c r="H87" s="187" t="s">
        <v>23</v>
      </c>
      <c r="I87" s="187" t="s">
        <v>821</v>
      </c>
      <c r="J87" s="187" t="s">
        <v>234</v>
      </c>
      <c r="K87" s="225"/>
      <c r="L87" s="187" t="s">
        <v>822</v>
      </c>
      <c r="M87" s="187">
        <v>84213920</v>
      </c>
      <c r="N87" s="375">
        <v>8608.09</v>
      </c>
      <c r="O87" s="375">
        <f>VLOOKUP(F87,'Amazon Live Products'!F:Q,12,0)</f>
        <v>9732.3617880626825</v>
      </c>
      <c r="P87" s="375"/>
      <c r="Q87" s="375"/>
      <c r="R87" s="375"/>
      <c r="S87" s="375"/>
      <c r="T87" s="375"/>
      <c r="U87" s="375"/>
      <c r="V87" s="375"/>
      <c r="W87" s="375"/>
      <c r="X87" s="375"/>
      <c r="Y87" s="375"/>
      <c r="Z87" s="375"/>
      <c r="AA87" s="375"/>
      <c r="AB87" s="375"/>
      <c r="AC87" s="375"/>
      <c r="AD87" s="375"/>
      <c r="AE87" s="375"/>
      <c r="AF87" s="375">
        <v>15990</v>
      </c>
      <c r="AG87" s="187"/>
      <c r="AH87" s="2">
        <v>1</v>
      </c>
    </row>
    <row r="88" spans="1:37" ht="15" hidden="1" customHeight="1">
      <c r="A88" s="187"/>
      <c r="B88" s="187"/>
      <c r="C88" s="187"/>
      <c r="D88" s="249"/>
      <c r="E88" s="187" t="s">
        <v>827</v>
      </c>
      <c r="F88" s="187" t="s">
        <v>828</v>
      </c>
      <c r="G88" s="374">
        <v>8904422505797</v>
      </c>
      <c r="H88" s="187" t="s">
        <v>23</v>
      </c>
      <c r="I88" s="187" t="s">
        <v>829</v>
      </c>
      <c r="J88" s="187" t="s">
        <v>234</v>
      </c>
      <c r="K88" s="187"/>
      <c r="L88" s="187" t="s">
        <v>830</v>
      </c>
      <c r="M88" s="187">
        <v>85098000</v>
      </c>
      <c r="N88" s="375">
        <v>701.85</v>
      </c>
      <c r="O88" s="375">
        <f>VLOOKUP(F88,'Amazon Live Products'!F:Q,12,0)</f>
        <v>775.91836816715295</v>
      </c>
      <c r="P88" s="375"/>
      <c r="Q88" s="375"/>
      <c r="R88" s="375"/>
      <c r="S88" s="375"/>
      <c r="T88" s="375"/>
      <c r="U88" s="375"/>
      <c r="V88" s="375"/>
      <c r="W88" s="375"/>
      <c r="X88" s="375"/>
      <c r="Y88" s="375"/>
      <c r="Z88" s="375"/>
      <c r="AA88" s="375"/>
      <c r="AB88" s="375"/>
      <c r="AC88" s="375"/>
      <c r="AD88" s="375"/>
      <c r="AE88" s="375"/>
      <c r="AF88" s="375">
        <v>1849</v>
      </c>
      <c r="AG88" s="187"/>
      <c r="AH88" s="2">
        <v>6</v>
      </c>
    </row>
    <row r="89" spans="1:37" ht="15" hidden="1" customHeight="1">
      <c r="A89" s="187" t="s">
        <v>934</v>
      </c>
      <c r="B89" s="187">
        <v>10254576</v>
      </c>
      <c r="C89" s="187">
        <v>0.85</v>
      </c>
      <c r="D89" s="249" t="s">
        <v>1170</v>
      </c>
      <c r="E89" s="187" t="s">
        <v>831</v>
      </c>
      <c r="F89" s="187" t="s">
        <v>832</v>
      </c>
      <c r="G89" s="187">
        <v>8904422505803</v>
      </c>
      <c r="H89" s="187" t="s">
        <v>23</v>
      </c>
      <c r="I89" s="187" t="s">
        <v>833</v>
      </c>
      <c r="J89" s="187" t="s">
        <v>234</v>
      </c>
      <c r="K89" s="187"/>
      <c r="L89" s="187" t="s">
        <v>834</v>
      </c>
      <c r="M89" s="187">
        <v>85098000</v>
      </c>
      <c r="N89" s="375">
        <v>692.41</v>
      </c>
      <c r="O89" s="375">
        <f>VLOOKUP(F89,'Amazon Live Products'!F:Q,12,0)</f>
        <v>775.91836816715295</v>
      </c>
      <c r="P89" s="375">
        <f>AE89*10%</f>
        <v>174.9</v>
      </c>
      <c r="Q89" s="377">
        <f>IF(AE89&lt;=2000, AE89*2%,
   IF(AE89&lt;=3000, AE89*6%,
      IF(AE89&lt;=5000, AE89*9%,
            IF(AE89&gt;5000, AE89*11%, 0)
         )
      )
   )</f>
        <v>34.980000000000004</v>
      </c>
      <c r="R89" s="375">
        <v>50</v>
      </c>
      <c r="S89" s="375">
        <f>AE89*4%</f>
        <v>69.960000000000008</v>
      </c>
      <c r="T89" s="375">
        <v>157.30000000000001</v>
      </c>
      <c r="U89" s="375">
        <v>240.77</v>
      </c>
      <c r="V89" s="375">
        <f>C89*15</f>
        <v>12.75</v>
      </c>
      <c r="W89" s="375">
        <v>5</v>
      </c>
      <c r="X89" s="375">
        <f>AE89*5%</f>
        <v>87.45</v>
      </c>
      <c r="Y89" s="375">
        <f>AE89*3%</f>
        <v>52.47</v>
      </c>
      <c r="Z89" s="375">
        <f>AE89-(AE89/1.18)</f>
        <v>266.79661016949149</v>
      </c>
      <c r="AA89" s="375">
        <f>N89+P89+Q89+R89+S89+T89+V89+W89+X89+Y89+Z89</f>
        <v>1604.0166101694915</v>
      </c>
      <c r="AB89" s="375">
        <f>AE89-AA89</f>
        <v>144.98338983050849</v>
      </c>
      <c r="AC89" s="228">
        <f>AB89/AE89</f>
        <v>8.289501991452744E-2</v>
      </c>
      <c r="AD89" s="228"/>
      <c r="AE89" s="375">
        <v>1749</v>
      </c>
      <c r="AF89" s="375">
        <v>1799</v>
      </c>
      <c r="AG89" s="399" t="s">
        <v>1217</v>
      </c>
      <c r="AH89" s="2">
        <v>12</v>
      </c>
    </row>
    <row r="90" spans="1:37" ht="15" hidden="1" customHeight="1">
      <c r="A90" s="187"/>
      <c r="B90" s="187"/>
      <c r="C90" s="187"/>
      <c r="D90" s="249"/>
      <c r="E90" s="187" t="s">
        <v>855</v>
      </c>
      <c r="F90" s="187" t="s">
        <v>856</v>
      </c>
      <c r="G90" s="374">
        <v>8904422505889</v>
      </c>
      <c r="H90" s="187" t="s">
        <v>23</v>
      </c>
      <c r="I90" s="187" t="s">
        <v>857</v>
      </c>
      <c r="J90" s="187" t="s">
        <v>800</v>
      </c>
      <c r="K90" s="187"/>
      <c r="L90" s="187" t="s">
        <v>858</v>
      </c>
      <c r="M90" s="187">
        <v>90191020</v>
      </c>
      <c r="N90" s="375" t="e">
        <v>#N/A</v>
      </c>
      <c r="O90" s="375">
        <f>VLOOKUP(F90,'Amazon Live Products'!F:Q,12,0)</f>
        <v>940.54118399999993</v>
      </c>
      <c r="P90" s="375"/>
      <c r="Q90" s="375"/>
      <c r="R90" s="375"/>
      <c r="S90" s="375"/>
      <c r="T90" s="375"/>
      <c r="U90" s="375"/>
      <c r="V90" s="375"/>
      <c r="W90" s="375"/>
      <c r="X90" s="375"/>
      <c r="Y90" s="375"/>
      <c r="Z90" s="375"/>
      <c r="AA90" s="375"/>
      <c r="AB90" s="375"/>
      <c r="AC90" s="375"/>
      <c r="AD90" s="375"/>
      <c r="AE90" s="375"/>
      <c r="AF90" s="375">
        <v>1869</v>
      </c>
      <c r="AG90" s="187"/>
      <c r="AH90" s="2">
        <v>16</v>
      </c>
    </row>
    <row r="91" spans="1:37" ht="15" customHeight="1">
      <c r="A91" s="187" t="s">
        <v>934</v>
      </c>
      <c r="B91" s="565">
        <v>10245277</v>
      </c>
      <c r="C91" s="187">
        <v>0.7</v>
      </c>
      <c r="D91" s="249" t="s">
        <v>1165</v>
      </c>
      <c r="E91" s="187" t="s">
        <v>646</v>
      </c>
      <c r="F91" s="187" t="s">
        <v>647</v>
      </c>
      <c r="G91" s="187">
        <v>8904422505100</v>
      </c>
      <c r="H91" s="187" t="s">
        <v>23</v>
      </c>
      <c r="I91" s="272" t="s">
        <v>648</v>
      </c>
      <c r="J91" s="187" t="s">
        <v>628</v>
      </c>
      <c r="K91" s="187" t="s">
        <v>629</v>
      </c>
      <c r="L91" s="360" t="s">
        <v>949</v>
      </c>
      <c r="M91" s="187">
        <v>84148090</v>
      </c>
      <c r="N91" s="375">
        <v>693.69</v>
      </c>
      <c r="O91" s="375">
        <f>VLOOKUP(F91,'Amazon Live Products'!F:Q,12,0)</f>
        <v>802.58455199999992</v>
      </c>
      <c r="P91" s="375">
        <f>AE91*10%</f>
        <v>209.9</v>
      </c>
      <c r="Q91" s="400">
        <f>IF(AE91&lt;=300, AE91*2%,
   IF(AE91&lt;=400, AE91*3%,
      IF(AE91&lt;=500, AE91*4%,
         IF(AE91&lt;=700, AE91*5%, IF(AE91&lt;=900, AE91*8%, IF(AE91&lt;=1200, AE91*11%,
            IF(AE91&gt;1200, AE91*13%, 0)
         )
      )
   )
)))</f>
        <v>272.87</v>
      </c>
      <c r="R91" s="375">
        <v>50</v>
      </c>
      <c r="S91" s="375">
        <f>AE91*4%</f>
        <v>83.960000000000008</v>
      </c>
      <c r="T91" s="375">
        <v>67.5</v>
      </c>
      <c r="U91" s="375">
        <v>112.5</v>
      </c>
      <c r="V91" s="375">
        <f>C91*15</f>
        <v>10.5</v>
      </c>
      <c r="W91" s="375">
        <v>5</v>
      </c>
      <c r="X91" s="375">
        <f>AE91*5%</f>
        <v>104.95</v>
      </c>
      <c r="Y91" s="375">
        <f>AE91*3%</f>
        <v>62.97</v>
      </c>
      <c r="Z91" s="375">
        <f>AE91-(AE91/1.18)</f>
        <v>320.18644067796595</v>
      </c>
      <c r="AA91" s="375">
        <f>N91+P91+Q91+R91+S91+T91+V91+W91+X91+Y91+Z91</f>
        <v>1881.5264406779661</v>
      </c>
      <c r="AB91" s="375">
        <f>AE91-AA91</f>
        <v>217.47355932203391</v>
      </c>
      <c r="AC91" s="228">
        <f>AB91/AE91</f>
        <v>0.1036081749985869</v>
      </c>
      <c r="AD91" s="228">
        <v>0.13</v>
      </c>
      <c r="AE91" s="375">
        <v>2099</v>
      </c>
      <c r="AF91" s="375">
        <v>1699</v>
      </c>
      <c r="AG91" s="398" t="s">
        <v>1198</v>
      </c>
      <c r="AH91" s="2">
        <v>24</v>
      </c>
      <c r="AJ91">
        <f>VLOOKUP(I91,'[1]Margin Data'!$C:$AF,30,0)</f>
        <v>2799</v>
      </c>
      <c r="AK91" s="568">
        <f>VLOOKUP(I91,[2]NexLev!$C:$D,2,0)</f>
        <v>2799</v>
      </c>
    </row>
    <row r="92" spans="1:37" ht="15" hidden="1" customHeight="1">
      <c r="A92" s="187"/>
      <c r="B92" s="187"/>
      <c r="C92" s="187"/>
      <c r="D92" s="249"/>
      <c r="E92" s="187" t="s">
        <v>863</v>
      </c>
      <c r="F92" s="187" t="s">
        <v>864</v>
      </c>
      <c r="G92" s="374">
        <v>8904422505919</v>
      </c>
      <c r="H92" s="187" t="s">
        <v>23</v>
      </c>
      <c r="I92" s="187" t="s">
        <v>865</v>
      </c>
      <c r="J92" s="187" t="s">
        <v>314</v>
      </c>
      <c r="K92" s="187"/>
      <c r="L92" s="187" t="s">
        <v>866</v>
      </c>
      <c r="M92" s="187">
        <v>85101000</v>
      </c>
      <c r="N92" s="375">
        <v>997.05</v>
      </c>
      <c r="O92" s="375">
        <f>VLOOKUP(F92,'Amazon Live Products'!F:Q,12,0)</f>
        <v>1162.9664639999999</v>
      </c>
      <c r="P92" s="375"/>
      <c r="Q92" s="375"/>
      <c r="R92" s="375"/>
      <c r="S92" s="375"/>
      <c r="T92" s="375"/>
      <c r="U92" s="375"/>
      <c r="V92" s="375"/>
      <c r="W92" s="375"/>
      <c r="X92" s="375"/>
      <c r="Y92" s="375"/>
      <c r="Z92" s="375"/>
      <c r="AA92" s="375"/>
      <c r="AB92" s="375"/>
      <c r="AC92" s="375"/>
      <c r="AD92" s="375"/>
      <c r="AE92" s="375"/>
      <c r="AF92" s="375">
        <v>2499</v>
      </c>
      <c r="AG92" s="187"/>
      <c r="AH92" s="2">
        <v>24</v>
      </c>
    </row>
    <row r="93" spans="1:37" ht="15" hidden="1" customHeight="1">
      <c r="A93" s="187" t="s">
        <v>934</v>
      </c>
      <c r="B93" s="187">
        <v>10266337</v>
      </c>
      <c r="C93" s="187">
        <v>0.15</v>
      </c>
      <c r="D93" s="249" t="s">
        <v>1170</v>
      </c>
      <c r="E93" s="187" t="s">
        <v>870</v>
      </c>
      <c r="F93" s="187" t="s">
        <v>871</v>
      </c>
      <c r="G93" s="187">
        <v>8904422505933</v>
      </c>
      <c r="H93" s="187" t="s">
        <v>23</v>
      </c>
      <c r="I93" s="187" t="s">
        <v>872</v>
      </c>
      <c r="J93" s="187" t="s">
        <v>795</v>
      </c>
      <c r="K93" s="187"/>
      <c r="L93" s="187" t="s">
        <v>873</v>
      </c>
      <c r="M93" s="187">
        <v>85098000</v>
      </c>
      <c r="N93" s="375">
        <v>342.8</v>
      </c>
      <c r="O93" s="375">
        <v>366.98052863999999</v>
      </c>
      <c r="P93" s="375">
        <f t="shared" ref="P93:P103" si="36">AE93*10%</f>
        <v>69.900000000000006</v>
      </c>
      <c r="Q93" s="377">
        <f>IF(AE93&lt;=1200, AE93*2%,
   IF(AE93&lt;=1500, AE93*5%,
      IF(AE93&lt;=2000, AE93*7%,
         IF(AE93&lt;=3000, AE93*9%,
            IF(AE93&gt;3000, AE93*11%, 0)
         )
      )
   )
)</f>
        <v>13.98</v>
      </c>
      <c r="R93" s="375">
        <v>50</v>
      </c>
      <c r="S93" s="375">
        <f>AE93*3%</f>
        <v>20.97</v>
      </c>
      <c r="T93" s="375">
        <v>67.5</v>
      </c>
      <c r="U93" s="375">
        <v>112.5</v>
      </c>
      <c r="V93" s="375">
        <f t="shared" ref="V93:V110" si="37">C93*15</f>
        <v>2.25</v>
      </c>
      <c r="W93" s="375">
        <v>5</v>
      </c>
      <c r="X93" s="375">
        <f t="shared" ref="X93:X103" si="38">AE93*5%</f>
        <v>34.950000000000003</v>
      </c>
      <c r="Y93" s="375">
        <f t="shared" ref="Y93:Y103" si="39">AE93*3%</f>
        <v>20.97</v>
      </c>
      <c r="Z93" s="375">
        <f t="shared" ref="Z93:Z103" si="40">AE93-(AE93/1.18)</f>
        <v>106.62711864406776</v>
      </c>
      <c r="AA93" s="375">
        <f>N93+Q93+R93+S93+T93+W93+X93+Y93+Z93+P93+V93</f>
        <v>734.94711864406781</v>
      </c>
      <c r="AB93" s="375">
        <f t="shared" ref="AB93:AB110" si="41">AE93-AA93</f>
        <v>-35.947118644067814</v>
      </c>
      <c r="AC93" s="228">
        <f t="shared" ref="AC93:AC103" si="42">AB93/AE93</f>
        <v>-5.1426493053029779E-2</v>
      </c>
      <c r="AD93" s="228"/>
      <c r="AE93" s="375">
        <v>699</v>
      </c>
      <c r="AF93" s="375"/>
      <c r="AG93" s="187"/>
      <c r="AH93" s="2">
        <v>50</v>
      </c>
    </row>
    <row r="94" spans="1:37" ht="15" hidden="1" customHeight="1">
      <c r="A94" s="187" t="s">
        <v>934</v>
      </c>
      <c r="B94" s="187">
        <v>10254948</v>
      </c>
      <c r="C94" s="187">
        <v>1</v>
      </c>
      <c r="D94" s="249" t="s">
        <v>1170</v>
      </c>
      <c r="E94" s="187" t="s">
        <v>874</v>
      </c>
      <c r="F94" s="187" t="s">
        <v>875</v>
      </c>
      <c r="G94" s="187">
        <v>8904422506015</v>
      </c>
      <c r="H94" s="187" t="s">
        <v>23</v>
      </c>
      <c r="I94" s="187" t="s">
        <v>876</v>
      </c>
      <c r="J94" s="187" t="s">
        <v>234</v>
      </c>
      <c r="K94" s="187" t="s">
        <v>671</v>
      </c>
      <c r="L94" s="187" t="s">
        <v>878</v>
      </c>
      <c r="M94" s="187">
        <v>85167990</v>
      </c>
      <c r="N94" s="375">
        <v>40.909999999999997</v>
      </c>
      <c r="O94" s="375">
        <v>324.5</v>
      </c>
      <c r="P94" s="375">
        <f t="shared" si="36"/>
        <v>69.900000000000006</v>
      </c>
      <c r="Q94" s="377">
        <f>IF(AE94&lt;=2000, AE94*2%,
   IF(AE94&lt;=3000, AE94*6%,
      IF(AE94&lt;=5000, AE94*9%,
            IF(AE94&gt;5000, AE94*11%, 0)
         )
      )
   )</f>
        <v>13.98</v>
      </c>
      <c r="R94" s="375">
        <v>50</v>
      </c>
      <c r="S94" s="375">
        <f t="shared" ref="S94:S103" si="43">AE94*4%</f>
        <v>27.96</v>
      </c>
      <c r="T94" s="375">
        <v>91.36</v>
      </c>
      <c r="U94" s="375">
        <v>139.83000000000001</v>
      </c>
      <c r="V94" s="375">
        <f t="shared" si="37"/>
        <v>15</v>
      </c>
      <c r="W94" s="375">
        <v>5</v>
      </c>
      <c r="X94" s="375">
        <f t="shared" si="38"/>
        <v>34.950000000000003</v>
      </c>
      <c r="Y94" s="375">
        <f t="shared" si="39"/>
        <v>20.97</v>
      </c>
      <c r="Z94" s="375">
        <f t="shared" si="40"/>
        <v>106.62711864406776</v>
      </c>
      <c r="AA94" s="375">
        <f t="shared" ref="AA94:AA99" si="44">N94+P94+Q94+R94+S94+T94+V94+W94+X94+Y94+Z94</f>
        <v>476.65711864406774</v>
      </c>
      <c r="AB94" s="375">
        <f t="shared" si="41"/>
        <v>222.34288135593226</v>
      </c>
      <c r="AC94" s="228">
        <f t="shared" si="42"/>
        <v>0.31808709779103328</v>
      </c>
      <c r="AD94" s="228"/>
      <c r="AE94" s="375">
        <v>699</v>
      </c>
      <c r="AF94" s="375">
        <v>699</v>
      </c>
      <c r="AG94" s="187"/>
      <c r="AH94" s="2">
        <v>60</v>
      </c>
    </row>
    <row r="95" spans="1:37" ht="15" customHeight="1">
      <c r="A95" s="187" t="s">
        <v>934</v>
      </c>
      <c r="B95" s="187">
        <v>10223639</v>
      </c>
      <c r="C95" s="187">
        <v>2.2000000000000002</v>
      </c>
      <c r="D95" s="249" t="s">
        <v>1173</v>
      </c>
      <c r="E95" s="187" t="s">
        <v>783</v>
      </c>
      <c r="F95" s="187" t="s">
        <v>784</v>
      </c>
      <c r="G95" s="187">
        <v>8904422505520</v>
      </c>
      <c r="H95" s="187" t="s">
        <v>23</v>
      </c>
      <c r="I95" s="272" t="s">
        <v>785</v>
      </c>
      <c r="J95" s="118" t="s">
        <v>249</v>
      </c>
      <c r="K95" s="560"/>
      <c r="L95" s="562" t="s">
        <v>787</v>
      </c>
      <c r="M95" s="118">
        <v>85098000</v>
      </c>
      <c r="N95" s="375">
        <v>1222.67</v>
      </c>
      <c r="O95" s="375">
        <f>VLOOKUP(F95,'Amazon Live Products'!F:Q,12,0)</f>
        <v>1395.5597568000001</v>
      </c>
      <c r="P95" s="375">
        <f t="shared" si="36"/>
        <v>289.90000000000003</v>
      </c>
      <c r="Q95" s="377">
        <f>AE95*6%</f>
        <v>173.94</v>
      </c>
      <c r="R95" s="375">
        <v>50</v>
      </c>
      <c r="S95" s="375">
        <f t="shared" si="43"/>
        <v>115.96000000000001</v>
      </c>
      <c r="T95" s="375">
        <v>157.81</v>
      </c>
      <c r="U95" s="375">
        <v>241.54</v>
      </c>
      <c r="V95" s="375">
        <f t="shared" si="37"/>
        <v>33</v>
      </c>
      <c r="W95" s="375">
        <v>5</v>
      </c>
      <c r="X95" s="375">
        <f t="shared" si="38"/>
        <v>144.95000000000002</v>
      </c>
      <c r="Y95" s="375">
        <f t="shared" si="39"/>
        <v>86.97</v>
      </c>
      <c r="Z95" s="375">
        <f t="shared" si="40"/>
        <v>442.22033898305062</v>
      </c>
      <c r="AA95" s="375">
        <f t="shared" si="44"/>
        <v>2722.4203389830504</v>
      </c>
      <c r="AB95" s="375">
        <f t="shared" si="41"/>
        <v>176.57966101694956</v>
      </c>
      <c r="AC95" s="228">
        <f t="shared" si="42"/>
        <v>6.0910541916850483E-2</v>
      </c>
      <c r="AD95" s="228">
        <v>0.06</v>
      </c>
      <c r="AE95" s="375">
        <v>2899</v>
      </c>
      <c r="AF95" s="375">
        <v>2899</v>
      </c>
      <c r="AG95" s="380" t="s">
        <v>1214</v>
      </c>
      <c r="AH95" s="2">
        <v>6</v>
      </c>
      <c r="AJ95">
        <f>VLOOKUP(I95,'[1]Margin Data'!$C:$AF,30,0)</f>
        <v>5499</v>
      </c>
      <c r="AK95" s="568">
        <f>VLOOKUP(I95,[2]NexLev!$C:$D,2,0)</f>
        <v>5499</v>
      </c>
    </row>
    <row r="96" spans="1:37" ht="15" customHeight="1">
      <c r="A96" s="187" t="s">
        <v>934</v>
      </c>
      <c r="B96" s="187">
        <v>10229301</v>
      </c>
      <c r="C96" s="187">
        <v>0.54</v>
      </c>
      <c r="D96" s="249" t="s">
        <v>1173</v>
      </c>
      <c r="E96" s="187" t="s">
        <v>1259</v>
      </c>
      <c r="F96" s="187" t="s">
        <v>1260</v>
      </c>
      <c r="G96" s="187">
        <v>8904422503601</v>
      </c>
      <c r="H96" s="187" t="s">
        <v>1222</v>
      </c>
      <c r="I96" s="187" t="s">
        <v>1261</v>
      </c>
      <c r="J96" s="401" t="s">
        <v>1262</v>
      </c>
      <c r="K96" s="401" t="s">
        <v>1263</v>
      </c>
      <c r="L96" s="360" t="s">
        <v>1264</v>
      </c>
      <c r="M96" s="187">
        <v>85181000</v>
      </c>
      <c r="N96" s="375">
        <v>2280.5300000000002</v>
      </c>
      <c r="O96" s="375">
        <v>2682.2484894360005</v>
      </c>
      <c r="P96" s="375">
        <f t="shared" si="36"/>
        <v>509.90000000000003</v>
      </c>
      <c r="Q96" s="377">
        <f>IF(AE96&lt;=700, AE96*2%,
   IF(AE96&lt;=900, AE96*4%,
      IF(AE96&lt;=1200, AE96*6%,
            IF(AE96&gt;1200, AE96*8%, 0)
         )
      )
   )</f>
        <v>407.92</v>
      </c>
      <c r="R96" s="375">
        <v>50</v>
      </c>
      <c r="S96" s="375">
        <f t="shared" si="43"/>
        <v>203.96</v>
      </c>
      <c r="T96" s="375">
        <v>67.5</v>
      </c>
      <c r="U96" s="375">
        <v>112.5</v>
      </c>
      <c r="V96" s="375">
        <f t="shared" si="37"/>
        <v>8.1000000000000014</v>
      </c>
      <c r="W96" s="375">
        <v>5</v>
      </c>
      <c r="X96" s="375">
        <f t="shared" si="38"/>
        <v>254.95000000000002</v>
      </c>
      <c r="Y96" s="375">
        <f t="shared" si="39"/>
        <v>152.97</v>
      </c>
      <c r="Z96" s="375">
        <f t="shared" si="40"/>
        <v>777.81355932203405</v>
      </c>
      <c r="AA96" s="375">
        <f t="shared" si="44"/>
        <v>4718.643559322034</v>
      </c>
      <c r="AB96" s="375">
        <f t="shared" si="41"/>
        <v>380.35644067796602</v>
      </c>
      <c r="AC96" s="228">
        <f t="shared" si="42"/>
        <v>7.4594320587951762E-2</v>
      </c>
      <c r="AD96" s="228">
        <v>0.08</v>
      </c>
      <c r="AE96" s="375">
        <v>5099</v>
      </c>
      <c r="AF96" s="375">
        <v>5099</v>
      </c>
      <c r="AG96" s="396" t="s">
        <v>1265</v>
      </c>
      <c r="AH96" s="2">
        <v>20</v>
      </c>
      <c r="AI96" s="263"/>
      <c r="AJ96">
        <f>VLOOKUP(I96,'[1]Margin Data'!$C:$AF,30,0)</f>
        <v>9999</v>
      </c>
      <c r="AK96" s="568">
        <f>VLOOKUP(I96,'[2]Audio Array'!$C:$D,2,0)</f>
        <v>9999</v>
      </c>
    </row>
    <row r="97" spans="1:37" ht="15" customHeight="1">
      <c r="A97" s="187" t="s">
        <v>934</v>
      </c>
      <c r="B97" s="187">
        <v>10223872</v>
      </c>
      <c r="C97" s="187">
        <v>2.46</v>
      </c>
      <c r="D97" s="249" t="s">
        <v>1165</v>
      </c>
      <c r="E97" s="187" t="s">
        <v>246</v>
      </c>
      <c r="F97" s="187" t="s">
        <v>247</v>
      </c>
      <c r="G97" s="187">
        <v>8904422503380</v>
      </c>
      <c r="H97" s="187" t="s">
        <v>23</v>
      </c>
      <c r="I97" s="249" t="s">
        <v>248</v>
      </c>
      <c r="J97" s="118" t="s">
        <v>234</v>
      </c>
      <c r="K97" s="559" t="s">
        <v>249</v>
      </c>
      <c r="L97" s="360" t="s">
        <v>251</v>
      </c>
      <c r="M97" s="187">
        <v>85098000</v>
      </c>
      <c r="N97" s="375">
        <v>1513.44</v>
      </c>
      <c r="O97" s="375">
        <f>VLOOKUP(F97,'Amazon Live Products'!F:Q,12,0)</f>
        <v>1760.0351637647057</v>
      </c>
      <c r="P97" s="375">
        <f t="shared" si="36"/>
        <v>364.90000000000003</v>
      </c>
      <c r="Q97" s="377">
        <f>AE97*9%</f>
        <v>328.40999999999997</v>
      </c>
      <c r="R97" s="375">
        <v>50</v>
      </c>
      <c r="S97" s="375">
        <f t="shared" si="43"/>
        <v>145.96</v>
      </c>
      <c r="T97" s="375">
        <v>159.41999999999999</v>
      </c>
      <c r="U97" s="375">
        <v>275.74</v>
      </c>
      <c r="V97" s="375">
        <f t="shared" si="37"/>
        <v>36.9</v>
      </c>
      <c r="W97" s="375">
        <v>5</v>
      </c>
      <c r="X97" s="375">
        <f t="shared" si="38"/>
        <v>182.45000000000002</v>
      </c>
      <c r="Y97" s="375">
        <f t="shared" si="39"/>
        <v>109.47</v>
      </c>
      <c r="Z97" s="375">
        <f t="shared" si="40"/>
        <v>556.62711864406765</v>
      </c>
      <c r="AA97" s="375">
        <f t="shared" si="44"/>
        <v>3452.5771186440675</v>
      </c>
      <c r="AB97" s="375">
        <f t="shared" si="41"/>
        <v>196.42288135593253</v>
      </c>
      <c r="AC97" s="228">
        <f t="shared" si="42"/>
        <v>5.3829235778550984E-2</v>
      </c>
      <c r="AD97" s="228">
        <v>0.09</v>
      </c>
      <c r="AE97" s="375">
        <v>3649</v>
      </c>
      <c r="AF97" s="375">
        <v>3649</v>
      </c>
      <c r="AG97" s="378" t="s">
        <v>1167</v>
      </c>
      <c r="AH97" s="2">
        <v>6</v>
      </c>
      <c r="AJ97">
        <f>VLOOKUP(I97,'[1]Margin Data'!$C:$AF,30,0)</f>
        <v>9999</v>
      </c>
      <c r="AK97" s="568">
        <f>VLOOKUP(I97,[2]NexLev!$C:$D,2,0)</f>
        <v>9999</v>
      </c>
    </row>
    <row r="98" spans="1:37" ht="15" customHeight="1">
      <c r="A98" s="187" t="s">
        <v>934</v>
      </c>
      <c r="B98" s="249">
        <v>10245186</v>
      </c>
      <c r="C98" s="187">
        <v>0.3</v>
      </c>
      <c r="D98" s="249" t="s">
        <v>1165</v>
      </c>
      <c r="E98" s="187" t="s">
        <v>580</v>
      </c>
      <c r="F98" s="187" t="s">
        <v>581</v>
      </c>
      <c r="G98" s="187">
        <v>8904422504813</v>
      </c>
      <c r="H98" s="187" t="s">
        <v>23</v>
      </c>
      <c r="I98" s="187" t="s">
        <v>582</v>
      </c>
      <c r="J98" s="118" t="s">
        <v>314</v>
      </c>
      <c r="K98" s="118" t="s">
        <v>465</v>
      </c>
      <c r="L98" s="360" t="s">
        <v>583</v>
      </c>
      <c r="M98" s="187">
        <v>85163200</v>
      </c>
      <c r="N98" s="375">
        <v>881.2</v>
      </c>
      <c r="O98" s="375">
        <f>VLOOKUP(F98,'Amazon Live Products'!F:Q,12,0)</f>
        <v>954.92468543999996</v>
      </c>
      <c r="P98" s="375">
        <f t="shared" si="36"/>
        <v>259.90000000000003</v>
      </c>
      <c r="Q98" s="377">
        <f>IF(AE98&lt;=1200, AE98*2%,
   IF(AE98&lt;=1500, AE98*5%,
      IF(AE98&lt;=2000, AE98*7%,
         IF(AE98&lt;=3000, AE98*9%,
            IF(AE98&gt;3000, AE98*11%, 0)
         )
      )
   )
)</f>
        <v>233.91</v>
      </c>
      <c r="R98" s="375">
        <v>50</v>
      </c>
      <c r="S98" s="375">
        <f t="shared" si="43"/>
        <v>103.96000000000001</v>
      </c>
      <c r="T98" s="375">
        <v>67.5</v>
      </c>
      <c r="U98" s="375">
        <v>112.5</v>
      </c>
      <c r="V98" s="375">
        <f t="shared" si="37"/>
        <v>4.5</v>
      </c>
      <c r="W98" s="375">
        <v>5</v>
      </c>
      <c r="X98" s="375">
        <f t="shared" si="38"/>
        <v>129.95000000000002</v>
      </c>
      <c r="Y98" s="375">
        <f t="shared" si="39"/>
        <v>77.97</v>
      </c>
      <c r="Z98" s="375">
        <f t="shared" si="40"/>
        <v>396.45762711864381</v>
      </c>
      <c r="AA98" s="375">
        <f t="shared" si="44"/>
        <v>2210.3476271186441</v>
      </c>
      <c r="AB98" s="375">
        <f t="shared" si="41"/>
        <v>388.65237288135586</v>
      </c>
      <c r="AC98" s="228">
        <f t="shared" si="42"/>
        <v>0.14953919695319579</v>
      </c>
      <c r="AD98" s="228">
        <v>0.09</v>
      </c>
      <c r="AE98" s="375">
        <v>2599</v>
      </c>
      <c r="AF98" s="375">
        <v>2699</v>
      </c>
      <c r="AG98" s="380" t="s">
        <v>1190</v>
      </c>
      <c r="AH98" s="2">
        <v>60</v>
      </c>
      <c r="AJ98">
        <f>VLOOKUP(I98,'[1]Margin Data'!$C:$AF,30,0)</f>
        <v>3699</v>
      </c>
      <c r="AK98" s="573">
        <f>VLOOKUP(I98,[2]NexLev!$C:$D,2,0)</f>
        <v>4499</v>
      </c>
    </row>
    <row r="99" spans="1:37" ht="15" customHeight="1">
      <c r="A99" s="187" t="s">
        <v>934</v>
      </c>
      <c r="B99" s="187">
        <v>10236255</v>
      </c>
      <c r="C99" s="187">
        <v>1.6</v>
      </c>
      <c r="D99" s="249" t="s">
        <v>1165</v>
      </c>
      <c r="E99" s="187" t="s">
        <v>424</v>
      </c>
      <c r="F99" s="187" t="s">
        <v>425</v>
      </c>
      <c r="G99" s="187">
        <v>8904422504080</v>
      </c>
      <c r="H99" s="187" t="s">
        <v>23</v>
      </c>
      <c r="I99" s="249" t="s">
        <v>426</v>
      </c>
      <c r="J99" s="118" t="s">
        <v>234</v>
      </c>
      <c r="K99" s="118" t="s">
        <v>249</v>
      </c>
      <c r="L99" s="360" t="s">
        <v>427</v>
      </c>
      <c r="M99" s="187">
        <v>85086000</v>
      </c>
      <c r="N99" s="375">
        <v>984.72</v>
      </c>
      <c r="O99" s="375">
        <f>VLOOKUP(F99,'Amazon Live Products'!F:Q,12,0)</f>
        <v>1105.1358912000003</v>
      </c>
      <c r="P99" s="375">
        <f t="shared" si="36"/>
        <v>299.90000000000003</v>
      </c>
      <c r="Q99" s="377">
        <f>AE99*6%</f>
        <v>179.94</v>
      </c>
      <c r="R99" s="375">
        <v>50</v>
      </c>
      <c r="S99" s="375">
        <f t="shared" si="43"/>
        <v>119.96000000000001</v>
      </c>
      <c r="T99" s="375">
        <v>212.57</v>
      </c>
      <c r="U99" s="375">
        <v>325.36</v>
      </c>
      <c r="V99" s="375">
        <f t="shared" si="37"/>
        <v>24</v>
      </c>
      <c r="W99" s="375">
        <v>5</v>
      </c>
      <c r="X99" s="375">
        <f t="shared" si="38"/>
        <v>149.95000000000002</v>
      </c>
      <c r="Y99" s="375">
        <f t="shared" si="39"/>
        <v>89.97</v>
      </c>
      <c r="Z99" s="375">
        <f t="shared" si="40"/>
        <v>457.47457627118638</v>
      </c>
      <c r="AA99" s="375">
        <f t="shared" si="44"/>
        <v>2573.4845762711866</v>
      </c>
      <c r="AB99" s="375">
        <f t="shared" si="41"/>
        <v>425.5154237288134</v>
      </c>
      <c r="AC99" s="228">
        <f t="shared" si="42"/>
        <v>0.14188576983288209</v>
      </c>
      <c r="AD99" s="228">
        <v>0.06</v>
      </c>
      <c r="AE99" s="375">
        <v>2999</v>
      </c>
      <c r="AF99" s="375">
        <v>2999</v>
      </c>
      <c r="AG99" s="380" t="s">
        <v>1171</v>
      </c>
      <c r="AH99" s="2">
        <v>6</v>
      </c>
      <c r="AJ99">
        <f>VLOOKUP(I99,'[1]Margin Data'!$C:$AF,30,0)</f>
        <v>5499</v>
      </c>
      <c r="AK99" s="568">
        <f>VLOOKUP(I99,[2]NexLev!$C:$D,2,0)</f>
        <v>5499</v>
      </c>
    </row>
    <row r="100" spans="1:37" ht="15" hidden="1" customHeight="1">
      <c r="A100" s="187" t="s">
        <v>934</v>
      </c>
      <c r="B100" s="187">
        <v>10245991</v>
      </c>
      <c r="C100" s="187">
        <v>0.49</v>
      </c>
      <c r="D100" s="249" t="s">
        <v>1168</v>
      </c>
      <c r="E100" s="187" t="s">
        <v>1247</v>
      </c>
      <c r="F100" s="187" t="s">
        <v>1248</v>
      </c>
      <c r="G100" s="187">
        <v>8904422503809</v>
      </c>
      <c r="H100" s="187" t="s">
        <v>1222</v>
      </c>
      <c r="I100" s="187" t="s">
        <v>1249</v>
      </c>
      <c r="J100" s="401" t="s">
        <v>1250</v>
      </c>
      <c r="K100" s="401" t="s">
        <v>1251</v>
      </c>
      <c r="L100" s="187" t="s">
        <v>1252</v>
      </c>
      <c r="M100" s="187">
        <v>85181000</v>
      </c>
      <c r="N100" s="375">
        <v>521.07000000000005</v>
      </c>
      <c r="O100" s="375">
        <v>565.31694620400003</v>
      </c>
      <c r="P100" s="375">
        <f t="shared" si="36"/>
        <v>129.9</v>
      </c>
      <c r="Q100" s="377">
        <f>IF(AE100&lt;=700, AE100*2%,
   IF(AE100&lt;=900, AE100*4%,
      IF(AE100&lt;=1200, AE100*6%,
            IF(AE100&gt;1200, AE100*8%, 0)
         )
      )
   )</f>
        <v>103.92</v>
      </c>
      <c r="R100" s="375">
        <v>50</v>
      </c>
      <c r="S100" s="375">
        <f t="shared" si="43"/>
        <v>51.96</v>
      </c>
      <c r="T100" s="375">
        <v>67.5</v>
      </c>
      <c r="U100" s="375">
        <v>112.5</v>
      </c>
      <c r="V100" s="375">
        <f t="shared" si="37"/>
        <v>7.35</v>
      </c>
      <c r="W100" s="375">
        <v>5</v>
      </c>
      <c r="X100" s="375">
        <f t="shared" si="38"/>
        <v>64.95</v>
      </c>
      <c r="Y100" s="375">
        <f t="shared" si="39"/>
        <v>38.97</v>
      </c>
      <c r="Z100" s="375">
        <f t="shared" si="40"/>
        <v>198.15254237288127</v>
      </c>
      <c r="AA100" s="375">
        <f t="shared" ref="AA100:AA110" si="45">N100+Q100+R100+S100+T100+W100+X100+Y100+Z100+P100+V100</f>
        <v>1238.7725423728814</v>
      </c>
      <c r="AB100" s="375">
        <f t="shared" si="41"/>
        <v>60.227457627118611</v>
      </c>
      <c r="AC100" s="228">
        <f t="shared" si="42"/>
        <v>4.636447854281648E-2</v>
      </c>
      <c r="AD100" s="228"/>
      <c r="AE100" s="375">
        <v>1299</v>
      </c>
      <c r="AF100" s="375">
        <v>1199</v>
      </c>
      <c r="AG100" s="396" t="s">
        <v>1253</v>
      </c>
      <c r="AH100" s="2">
        <v>30</v>
      </c>
      <c r="AI100" s="263"/>
    </row>
    <row r="101" spans="1:37" ht="15" customHeight="1">
      <c r="A101" s="187" t="s">
        <v>934</v>
      </c>
      <c r="B101" s="187">
        <v>10225087</v>
      </c>
      <c r="C101" s="187">
        <v>2</v>
      </c>
      <c r="D101" s="249" t="s">
        <v>1173</v>
      </c>
      <c r="E101" s="187" t="s">
        <v>859</v>
      </c>
      <c r="F101" s="187" t="s">
        <v>860</v>
      </c>
      <c r="G101" s="187">
        <v>8904422505896</v>
      </c>
      <c r="H101" s="187" t="s">
        <v>23</v>
      </c>
      <c r="I101" s="187" t="s">
        <v>861</v>
      </c>
      <c r="J101" s="118" t="s">
        <v>234</v>
      </c>
      <c r="K101" s="559"/>
      <c r="L101" s="360" t="s">
        <v>862</v>
      </c>
      <c r="M101" s="187">
        <v>84213920</v>
      </c>
      <c r="N101" s="375">
        <v>1698.61</v>
      </c>
      <c r="O101" s="375">
        <f>VLOOKUP(F101,'Amazon Live Products'!F:Q,12,0)</f>
        <v>2057.4338400000001</v>
      </c>
      <c r="P101" s="375">
        <f t="shared" si="36"/>
        <v>419.90000000000003</v>
      </c>
      <c r="Q101" s="377">
        <f>AE101*4%</f>
        <v>167.96</v>
      </c>
      <c r="R101" s="375">
        <v>50</v>
      </c>
      <c r="S101" s="375">
        <f t="shared" si="43"/>
        <v>167.96</v>
      </c>
      <c r="T101" s="375">
        <v>155.66999999999999</v>
      </c>
      <c r="U101" s="375">
        <v>238.27</v>
      </c>
      <c r="V101" s="375">
        <f t="shared" si="37"/>
        <v>30</v>
      </c>
      <c r="W101" s="375">
        <v>5</v>
      </c>
      <c r="X101" s="375">
        <f t="shared" si="38"/>
        <v>209.95000000000002</v>
      </c>
      <c r="Y101" s="375">
        <f t="shared" si="39"/>
        <v>125.97</v>
      </c>
      <c r="Z101" s="375">
        <f t="shared" si="40"/>
        <v>640.52542372881317</v>
      </c>
      <c r="AA101" s="375">
        <f t="shared" si="45"/>
        <v>3671.5454237288127</v>
      </c>
      <c r="AB101" s="375">
        <f t="shared" si="41"/>
        <v>527.45457627118731</v>
      </c>
      <c r="AC101" s="228">
        <f t="shared" si="42"/>
        <v>0.12561433109578168</v>
      </c>
      <c r="AD101" s="228">
        <v>0.02</v>
      </c>
      <c r="AE101" s="375">
        <v>4199</v>
      </c>
      <c r="AF101" s="375">
        <v>4199</v>
      </c>
      <c r="AG101" s="408" t="s">
        <v>1218</v>
      </c>
      <c r="AH101" s="2">
        <v>4</v>
      </c>
      <c r="AJ101" s="570">
        <f>VLOOKUP(I101,'[1]Margin Data'!$C:$AF,30,0)</f>
        <v>7999</v>
      </c>
      <c r="AK101" s="568">
        <f>VLOOKUP(I101,[2]NexLev!$C:$D,2,0)</f>
        <v>7999</v>
      </c>
    </row>
    <row r="102" spans="1:37" ht="15" customHeight="1">
      <c r="A102" s="187" t="s">
        <v>934</v>
      </c>
      <c r="B102" s="187">
        <v>10247251</v>
      </c>
      <c r="C102" s="187">
        <v>0.83</v>
      </c>
      <c r="D102" s="249" t="s">
        <v>1165</v>
      </c>
      <c r="E102" s="187" t="s">
        <v>1228</v>
      </c>
      <c r="F102" s="187" t="s">
        <v>1229</v>
      </c>
      <c r="G102" s="187">
        <v>8904422503083</v>
      </c>
      <c r="H102" s="187" t="s">
        <v>1222</v>
      </c>
      <c r="I102" s="187" t="s">
        <v>1230</v>
      </c>
      <c r="J102" s="401" t="s">
        <v>1231</v>
      </c>
      <c r="K102" s="401" t="s">
        <v>1231</v>
      </c>
      <c r="L102" s="360" t="s">
        <v>1232</v>
      </c>
      <c r="M102" s="187">
        <v>85437029</v>
      </c>
      <c r="N102" s="375">
        <v>1761.06</v>
      </c>
      <c r="O102" s="375">
        <v>1997.4513878047462</v>
      </c>
      <c r="P102" s="375">
        <f t="shared" si="36"/>
        <v>479.90000000000003</v>
      </c>
      <c r="Q102" s="377">
        <f>IF(AE102&lt;=700,AE102*2%,IF(AE102&lt;=900,AE102*4%,IF(AE102&lt;=1200,AE102*6%,AE102*8%)))</f>
        <v>383.92</v>
      </c>
      <c r="R102" s="375">
        <v>50</v>
      </c>
      <c r="S102" s="375">
        <f t="shared" si="43"/>
        <v>191.96</v>
      </c>
      <c r="T102" s="375">
        <v>67.5</v>
      </c>
      <c r="U102" s="375">
        <v>112.5</v>
      </c>
      <c r="V102" s="375">
        <f t="shared" si="37"/>
        <v>12.45</v>
      </c>
      <c r="W102" s="375">
        <v>5</v>
      </c>
      <c r="X102" s="375">
        <f t="shared" si="38"/>
        <v>239.95000000000002</v>
      </c>
      <c r="Y102" s="375">
        <f t="shared" si="39"/>
        <v>143.97</v>
      </c>
      <c r="Z102" s="375">
        <f t="shared" si="40"/>
        <v>732.05084745762679</v>
      </c>
      <c r="AA102" s="375">
        <f t="shared" si="45"/>
        <v>4067.7608474576264</v>
      </c>
      <c r="AB102" s="375">
        <f t="shared" si="41"/>
        <v>731.23915254237363</v>
      </c>
      <c r="AC102" s="228">
        <f t="shared" si="42"/>
        <v>0.15237323453685636</v>
      </c>
      <c r="AD102" s="228">
        <v>0.11</v>
      </c>
      <c r="AE102" s="375">
        <v>4799</v>
      </c>
      <c r="AF102" s="375">
        <v>4899</v>
      </c>
      <c r="AG102" s="396" t="s">
        <v>1233</v>
      </c>
      <c r="AH102" s="2">
        <v>15</v>
      </c>
      <c r="AI102" s="263"/>
      <c r="AJ102">
        <v>9999</v>
      </c>
      <c r="AK102" s="568">
        <v>9999</v>
      </c>
    </row>
    <row r="103" spans="1:37" ht="15" hidden="1" customHeight="1">
      <c r="A103" s="187" t="s">
        <v>934</v>
      </c>
      <c r="B103" s="187">
        <v>10248065</v>
      </c>
      <c r="C103" s="187">
        <v>0.70499999999999996</v>
      </c>
      <c r="D103" s="249" t="s">
        <v>1168</v>
      </c>
      <c r="E103" s="187" t="s">
        <v>1266</v>
      </c>
      <c r="F103" s="187" t="s">
        <v>1267</v>
      </c>
      <c r="G103" s="187">
        <v>8904422505995</v>
      </c>
      <c r="H103" s="187" t="s">
        <v>1222</v>
      </c>
      <c r="I103" s="272" t="s">
        <v>1268</v>
      </c>
      <c r="J103" s="401" t="s">
        <v>1269</v>
      </c>
      <c r="K103" s="401" t="s">
        <v>1269</v>
      </c>
      <c r="L103" s="187" t="s">
        <v>1776</v>
      </c>
      <c r="M103" s="187">
        <v>85182290</v>
      </c>
      <c r="N103" s="375">
        <v>580</v>
      </c>
      <c r="O103" s="375">
        <v>684.4</v>
      </c>
      <c r="P103" s="375">
        <f t="shared" si="36"/>
        <v>114.9</v>
      </c>
      <c r="Q103" s="377">
        <f>IF(AE103&lt;=700, AE103*2%,
   IF(AE103&lt;=900, AE103*4%,
      IF(AE103&lt;=1200, AE103*6%,
            IF(AE103&gt;1200, AE103*8%, 0)
         )
      )
   )</f>
        <v>68.94</v>
      </c>
      <c r="R103" s="375">
        <v>50</v>
      </c>
      <c r="S103" s="375">
        <f t="shared" si="43"/>
        <v>45.96</v>
      </c>
      <c r="T103" s="375">
        <v>71.12</v>
      </c>
      <c r="U103" s="375">
        <v>116.12</v>
      </c>
      <c r="V103" s="375">
        <f t="shared" si="37"/>
        <v>10.574999999999999</v>
      </c>
      <c r="W103" s="375">
        <v>5</v>
      </c>
      <c r="X103" s="375">
        <f t="shared" si="38"/>
        <v>57.45</v>
      </c>
      <c r="Y103" s="375">
        <f t="shared" si="39"/>
        <v>34.47</v>
      </c>
      <c r="Z103" s="375">
        <f t="shared" si="40"/>
        <v>175.27118644067787</v>
      </c>
      <c r="AA103" s="375">
        <f t="shared" si="45"/>
        <v>1213.6861864406781</v>
      </c>
      <c r="AB103" s="375">
        <f t="shared" si="41"/>
        <v>-64.686186440678057</v>
      </c>
      <c r="AC103" s="228">
        <f t="shared" si="42"/>
        <v>-5.6297812393975681E-2</v>
      </c>
      <c r="AD103" s="228">
        <v>0.06</v>
      </c>
      <c r="AE103" s="375">
        <v>1149</v>
      </c>
      <c r="AF103" s="375">
        <v>1199</v>
      </c>
      <c r="AG103" s="410" t="s">
        <v>1270</v>
      </c>
      <c r="AH103" s="263">
        <v>12</v>
      </c>
      <c r="AI103" s="263"/>
      <c r="AJ103">
        <v>2299</v>
      </c>
      <c r="AK103" s="568">
        <f>VLOOKUP(I103,'[2]Audio Array'!$C:$D,2,0)</f>
        <v>2299</v>
      </c>
    </row>
    <row r="104" spans="1:37" ht="15" hidden="1" customHeight="1">
      <c r="A104" s="382" t="s">
        <v>934</v>
      </c>
      <c r="B104" s="382">
        <v>10248170</v>
      </c>
      <c r="C104" s="382">
        <v>2.2000000000000002</v>
      </c>
      <c r="D104" s="384" t="s">
        <v>1168</v>
      </c>
      <c r="E104" s="382" t="s">
        <v>1271</v>
      </c>
      <c r="F104" s="382" t="s">
        <v>1272</v>
      </c>
      <c r="G104" s="382">
        <v>8904422505445</v>
      </c>
      <c r="H104" s="382" t="s">
        <v>1273</v>
      </c>
      <c r="I104" s="390" t="s">
        <v>1274</v>
      </c>
      <c r="J104" s="382" t="s">
        <v>1275</v>
      </c>
      <c r="K104" s="382" t="s">
        <v>1275</v>
      </c>
      <c r="L104" s="382" t="s">
        <v>1276</v>
      </c>
      <c r="M104" s="382">
        <v>85299090</v>
      </c>
      <c r="N104" s="375" t="e">
        <v>#N/A</v>
      </c>
      <c r="O104" s="385">
        <v>1125.6255999999998</v>
      </c>
      <c r="P104" s="385">
        <f t="shared" ref="P104:P109" si="46">AE104*10%</f>
        <v>299.90000000000003</v>
      </c>
      <c r="Q104" s="386">
        <f t="shared" ref="Q104:Q105" si="47">IF(AE104&lt;=700, AE104*2%,
   IF(AE104&lt;=900, AE104*4%,
      IF(AE104&lt;=1200, AE104*6%,
            IF(AE104&gt;1200, AE104*8%, 0)
         )
      )
   )</f>
        <v>239.92000000000002</v>
      </c>
      <c r="R104" s="385">
        <v>50</v>
      </c>
      <c r="S104" s="385">
        <f t="shared" ref="S104:S109" si="48">AE104*4%</f>
        <v>119.96000000000001</v>
      </c>
      <c r="T104" s="385">
        <v>90.26</v>
      </c>
      <c r="U104" s="385">
        <v>138.15</v>
      </c>
      <c r="V104" s="375">
        <f t="shared" si="37"/>
        <v>33</v>
      </c>
      <c r="W104" s="385">
        <v>5</v>
      </c>
      <c r="X104" s="385">
        <f t="shared" ref="X104:X109" si="49">AE104*5%</f>
        <v>149.95000000000002</v>
      </c>
      <c r="Y104" s="385">
        <f t="shared" ref="Y104:Y110" si="50">AE104*3%</f>
        <v>89.97</v>
      </c>
      <c r="Z104" s="385">
        <f t="shared" ref="Z104:Z109" si="51">AE104-(AE104/1.18)</f>
        <v>457.47457627118638</v>
      </c>
      <c r="AA104" s="375" t="e">
        <f t="shared" si="45"/>
        <v>#N/A</v>
      </c>
      <c r="AB104" s="385" t="e">
        <f t="shared" si="41"/>
        <v>#N/A</v>
      </c>
      <c r="AC104" s="387" t="e">
        <f t="shared" ref="AC104:AC110" si="52">AB104/AE104</f>
        <v>#N/A</v>
      </c>
      <c r="AD104" s="387"/>
      <c r="AE104" s="375">
        <v>2999</v>
      </c>
      <c r="AF104" s="375">
        <v>2999</v>
      </c>
      <c r="AG104" s="411" t="s">
        <v>1277</v>
      </c>
      <c r="AH104" s="412">
        <v>1</v>
      </c>
      <c r="AI104" s="412"/>
    </row>
    <row r="105" spans="1:37" ht="15" hidden="1" customHeight="1">
      <c r="A105" s="382" t="s">
        <v>934</v>
      </c>
      <c r="B105" s="382">
        <v>10248166</v>
      </c>
      <c r="C105" s="382">
        <v>5</v>
      </c>
      <c r="D105" s="384" t="s">
        <v>1168</v>
      </c>
      <c r="E105" s="382" t="s">
        <v>1278</v>
      </c>
      <c r="F105" s="382" t="s">
        <v>1279</v>
      </c>
      <c r="G105" s="382">
        <v>8904422504981</v>
      </c>
      <c r="H105" s="382" t="s">
        <v>1273</v>
      </c>
      <c r="I105" s="390" t="s">
        <v>1280</v>
      </c>
      <c r="J105" s="382" t="s">
        <v>1275</v>
      </c>
      <c r="K105" s="382" t="s">
        <v>1275</v>
      </c>
      <c r="L105" s="382" t="s">
        <v>1281</v>
      </c>
      <c r="M105" s="382">
        <v>85299090</v>
      </c>
      <c r="N105" s="375" t="e">
        <v>#N/A</v>
      </c>
      <c r="O105" s="385">
        <v>641.50699999999995</v>
      </c>
      <c r="P105" s="385">
        <f t="shared" si="46"/>
        <v>183.9</v>
      </c>
      <c r="Q105" s="386">
        <f t="shared" si="47"/>
        <v>147.12</v>
      </c>
      <c r="R105" s="385">
        <v>50</v>
      </c>
      <c r="S105" s="385">
        <f t="shared" si="48"/>
        <v>73.56</v>
      </c>
      <c r="T105" s="385">
        <v>79.099999999999994</v>
      </c>
      <c r="U105" s="385">
        <v>124.1</v>
      </c>
      <c r="V105" s="375">
        <f t="shared" si="37"/>
        <v>75</v>
      </c>
      <c r="W105" s="385">
        <v>5</v>
      </c>
      <c r="X105" s="385">
        <f t="shared" si="49"/>
        <v>91.95</v>
      </c>
      <c r="Y105" s="385">
        <f t="shared" si="50"/>
        <v>55.169999999999995</v>
      </c>
      <c r="Z105" s="385">
        <f t="shared" si="51"/>
        <v>280.52542372881339</v>
      </c>
      <c r="AA105" s="375" t="e">
        <f t="shared" si="45"/>
        <v>#N/A</v>
      </c>
      <c r="AB105" s="385" t="e">
        <f t="shared" si="41"/>
        <v>#N/A</v>
      </c>
      <c r="AC105" s="387" t="e">
        <f t="shared" si="52"/>
        <v>#N/A</v>
      </c>
      <c r="AD105" s="387"/>
      <c r="AE105" s="375">
        <v>1839</v>
      </c>
      <c r="AF105" s="375">
        <v>1572</v>
      </c>
      <c r="AG105" s="411" t="s">
        <v>1282</v>
      </c>
      <c r="AH105" s="412">
        <v>1</v>
      </c>
      <c r="AI105" s="412"/>
    </row>
    <row r="106" spans="1:37" ht="15" hidden="1" customHeight="1">
      <c r="C106" s="2">
        <v>1</v>
      </c>
      <c r="E106" s="413" t="s">
        <v>874</v>
      </c>
      <c r="F106" s="141" t="s">
        <v>875</v>
      </c>
      <c r="G106" s="2">
        <v>8904422506015</v>
      </c>
      <c r="H106" s="414" t="s">
        <v>23</v>
      </c>
      <c r="I106" s="141" t="s">
        <v>876</v>
      </c>
      <c r="J106" s="142" t="s">
        <v>234</v>
      </c>
      <c r="K106" s="141" t="s">
        <v>671</v>
      </c>
      <c r="L106" s="263" t="s">
        <v>878</v>
      </c>
      <c r="M106" s="263">
        <v>85167990</v>
      </c>
      <c r="N106" s="375">
        <v>40.909999999999997</v>
      </c>
      <c r="O106" s="263" t="s">
        <v>1283</v>
      </c>
      <c r="P106" s="415">
        <f t="shared" si="46"/>
        <v>64.100000000000009</v>
      </c>
      <c r="Q106" s="377">
        <f t="shared" ref="Q106:Q109" si="53">IF(AE106&lt;=2000, AE106*2%,
   IF(AE106&lt;=3000, AE106*6%,
      IF(AE106&lt;=5000, AE106*9%,
            IF(AE106&gt;5000, AE106*11%, 0)
         )
      )
   )</f>
        <v>12.82</v>
      </c>
      <c r="R106" s="415">
        <v>50</v>
      </c>
      <c r="S106" s="415">
        <f t="shared" si="48"/>
        <v>25.64</v>
      </c>
      <c r="T106" s="415">
        <v>98.5</v>
      </c>
      <c r="U106" s="415">
        <v>150.77000000000001</v>
      </c>
      <c r="V106" s="415">
        <f t="shared" si="37"/>
        <v>15</v>
      </c>
      <c r="W106" s="415">
        <v>5</v>
      </c>
      <c r="X106" s="415">
        <f t="shared" si="49"/>
        <v>32.050000000000004</v>
      </c>
      <c r="Y106" s="415">
        <f t="shared" si="50"/>
        <v>19.23</v>
      </c>
      <c r="Z106" s="415">
        <f t="shared" si="51"/>
        <v>97.779661016949149</v>
      </c>
      <c r="AA106" s="375">
        <f t="shared" si="45"/>
        <v>461.02966101694921</v>
      </c>
      <c r="AB106" s="415">
        <f t="shared" si="41"/>
        <v>179.97033898305079</v>
      </c>
      <c r="AC106" s="416">
        <f t="shared" si="52"/>
        <v>0.28076495941193574</v>
      </c>
      <c r="AD106" s="416"/>
      <c r="AE106" s="415">
        <v>641</v>
      </c>
      <c r="AF106" s="415">
        <v>641</v>
      </c>
      <c r="AG106" s="410" t="s">
        <v>1282</v>
      </c>
      <c r="AH106" s="263">
        <v>1</v>
      </c>
      <c r="AI106" s="263"/>
    </row>
    <row r="107" spans="1:37" ht="15" hidden="1" customHeight="1">
      <c r="A107" s="212"/>
      <c r="B107" s="417"/>
      <c r="C107" s="263">
        <v>0.16</v>
      </c>
      <c r="E107" s="6" t="s">
        <v>879</v>
      </c>
      <c r="F107" s="6" t="s">
        <v>880</v>
      </c>
      <c r="G107" s="417">
        <v>8904422506183</v>
      </c>
      <c r="H107" s="414" t="s">
        <v>23</v>
      </c>
      <c r="I107" s="141" t="s">
        <v>881</v>
      </c>
      <c r="J107" s="142" t="s">
        <v>234</v>
      </c>
      <c r="K107" s="141" t="s">
        <v>671</v>
      </c>
      <c r="L107" s="263" t="s">
        <v>883</v>
      </c>
      <c r="M107" s="263">
        <v>85094090</v>
      </c>
      <c r="N107" s="375">
        <v>220.94</v>
      </c>
      <c r="O107" s="263" t="s">
        <v>1284</v>
      </c>
      <c r="P107" s="415">
        <f t="shared" si="46"/>
        <v>54.900000000000006</v>
      </c>
      <c r="Q107" s="377">
        <f t="shared" si="53"/>
        <v>10.98</v>
      </c>
      <c r="R107" s="415">
        <v>50</v>
      </c>
      <c r="S107" s="415">
        <f t="shared" si="48"/>
        <v>21.96</v>
      </c>
      <c r="T107" s="415">
        <v>67.5</v>
      </c>
      <c r="U107" s="415">
        <v>112.5</v>
      </c>
      <c r="V107" s="415">
        <f t="shared" si="37"/>
        <v>2.4</v>
      </c>
      <c r="W107" s="415">
        <v>5</v>
      </c>
      <c r="X107" s="415">
        <f t="shared" si="49"/>
        <v>27.450000000000003</v>
      </c>
      <c r="Y107" s="415">
        <f t="shared" si="50"/>
        <v>16.47</v>
      </c>
      <c r="Z107" s="415">
        <f t="shared" si="51"/>
        <v>83.745762711864359</v>
      </c>
      <c r="AA107" s="415">
        <f t="shared" si="45"/>
        <v>561.34576271186427</v>
      </c>
      <c r="AB107" s="415">
        <f t="shared" si="41"/>
        <v>-12.345762711864268</v>
      </c>
      <c r="AC107" s="416">
        <f t="shared" si="52"/>
        <v>-2.2487728072612508E-2</v>
      </c>
      <c r="AD107" s="416"/>
      <c r="AE107" s="415">
        <v>549</v>
      </c>
      <c r="AF107" s="415">
        <v>549</v>
      </c>
      <c r="AG107" s="410" t="s">
        <v>1282</v>
      </c>
      <c r="AH107" s="263">
        <v>1</v>
      </c>
      <c r="AI107" s="263"/>
    </row>
    <row r="108" spans="1:37" ht="15" hidden="1" customHeight="1">
      <c r="A108" s="212"/>
      <c r="B108" s="417"/>
      <c r="C108" s="263">
        <v>0.3</v>
      </c>
      <c r="E108" s="6" t="s">
        <v>884</v>
      </c>
      <c r="F108" s="6" t="s">
        <v>885</v>
      </c>
      <c r="G108" s="417">
        <v>8904422506176</v>
      </c>
      <c r="H108" s="414" t="s">
        <v>23</v>
      </c>
      <c r="I108" s="141" t="s">
        <v>886</v>
      </c>
      <c r="J108" s="142" t="s">
        <v>234</v>
      </c>
      <c r="K108" s="141" t="s">
        <v>671</v>
      </c>
      <c r="L108" s="263" t="s">
        <v>888</v>
      </c>
      <c r="M108" s="263">
        <v>85094090</v>
      </c>
      <c r="N108" s="375">
        <v>254.14</v>
      </c>
      <c r="O108" s="263" t="s">
        <v>1285</v>
      </c>
      <c r="P108" s="415">
        <f t="shared" si="46"/>
        <v>59.900000000000006</v>
      </c>
      <c r="Q108" s="377">
        <f t="shared" si="53"/>
        <v>11.98</v>
      </c>
      <c r="R108" s="415">
        <v>50</v>
      </c>
      <c r="S108" s="415">
        <f t="shared" si="48"/>
        <v>23.96</v>
      </c>
      <c r="T108" s="415">
        <v>67.5</v>
      </c>
      <c r="U108" s="415">
        <v>112.5</v>
      </c>
      <c r="V108" s="415">
        <f t="shared" si="37"/>
        <v>4.5</v>
      </c>
      <c r="W108" s="415">
        <v>5</v>
      </c>
      <c r="X108" s="415">
        <f t="shared" si="49"/>
        <v>29.950000000000003</v>
      </c>
      <c r="Y108" s="415">
        <f t="shared" si="50"/>
        <v>17.97</v>
      </c>
      <c r="Z108" s="415">
        <f t="shared" si="51"/>
        <v>91.372881355932179</v>
      </c>
      <c r="AA108" s="415">
        <f t="shared" si="45"/>
        <v>616.2728813559321</v>
      </c>
      <c r="AB108" s="415">
        <f t="shared" si="41"/>
        <v>-17.2728813559321</v>
      </c>
      <c r="AC108" s="416">
        <f t="shared" si="52"/>
        <v>-2.8836195919753088E-2</v>
      </c>
      <c r="AD108" s="416"/>
      <c r="AE108" s="415">
        <v>599</v>
      </c>
      <c r="AF108" s="415">
        <v>599</v>
      </c>
      <c r="AG108" s="410" t="s">
        <v>1282</v>
      </c>
      <c r="AH108" s="263">
        <v>1</v>
      </c>
      <c r="AI108" s="263"/>
    </row>
    <row r="109" spans="1:37" ht="15" hidden="1" customHeight="1">
      <c r="A109" s="212"/>
      <c r="B109" s="417"/>
      <c r="C109" s="263">
        <v>0.8</v>
      </c>
      <c r="E109" s="6" t="s">
        <v>889</v>
      </c>
      <c r="F109" s="6" t="s">
        <v>890</v>
      </c>
      <c r="G109" s="417">
        <v>8904422506169</v>
      </c>
      <c r="H109" s="414" t="s">
        <v>23</v>
      </c>
      <c r="I109" s="141" t="s">
        <v>891</v>
      </c>
      <c r="J109" s="142" t="s">
        <v>234</v>
      </c>
      <c r="K109" s="141" t="s">
        <v>671</v>
      </c>
      <c r="L109" s="263" t="s">
        <v>893</v>
      </c>
      <c r="M109" s="263">
        <v>85094090</v>
      </c>
      <c r="N109" s="375">
        <v>1107.51</v>
      </c>
      <c r="O109" s="263" t="s">
        <v>1286</v>
      </c>
      <c r="P109" s="415">
        <f t="shared" si="46"/>
        <v>209.9</v>
      </c>
      <c r="Q109" s="377">
        <f t="shared" si="53"/>
        <v>125.94</v>
      </c>
      <c r="R109" s="415">
        <v>50</v>
      </c>
      <c r="S109" s="415">
        <f t="shared" si="48"/>
        <v>83.960000000000008</v>
      </c>
      <c r="T109" s="415">
        <v>67.5</v>
      </c>
      <c r="U109" s="415">
        <v>112.5</v>
      </c>
      <c r="V109" s="415">
        <f t="shared" si="37"/>
        <v>12</v>
      </c>
      <c r="W109" s="415">
        <v>5</v>
      </c>
      <c r="X109" s="415">
        <f t="shared" si="49"/>
        <v>104.95</v>
      </c>
      <c r="Y109" s="415">
        <f t="shared" si="50"/>
        <v>62.97</v>
      </c>
      <c r="Z109" s="415">
        <f t="shared" si="51"/>
        <v>320.18644067796595</v>
      </c>
      <c r="AA109" s="415">
        <f t="shared" si="45"/>
        <v>2149.916440677966</v>
      </c>
      <c r="AB109" s="415">
        <f t="shared" si="41"/>
        <v>-50.916440677965966</v>
      </c>
      <c r="AC109" s="416">
        <f t="shared" si="52"/>
        <v>-2.4257475311084308E-2</v>
      </c>
      <c r="AD109" s="416"/>
      <c r="AE109" s="415">
        <v>2099</v>
      </c>
      <c r="AF109" s="415">
        <v>2099</v>
      </c>
      <c r="AG109" s="410" t="s">
        <v>1282</v>
      </c>
      <c r="AH109" s="263">
        <v>1</v>
      </c>
      <c r="AI109" s="263"/>
    </row>
    <row r="110" spans="1:37" ht="15" hidden="1" customHeight="1">
      <c r="A110" s="69"/>
      <c r="B110" s="418"/>
      <c r="C110" s="263"/>
      <c r="E110" s="263"/>
      <c r="F110" s="263"/>
      <c r="G110" s="418"/>
      <c r="H110" s="263"/>
      <c r="I110" s="263"/>
      <c r="J110" s="263"/>
      <c r="K110" s="263"/>
      <c r="L110" s="563"/>
      <c r="M110" s="263"/>
      <c r="N110" s="263">
        <v>952</v>
      </c>
      <c r="O110" s="263">
        <v>1200</v>
      </c>
      <c r="P110" s="265">
        <v>120</v>
      </c>
      <c r="Q110" s="263">
        <v>360</v>
      </c>
      <c r="R110" s="415">
        <v>50</v>
      </c>
      <c r="S110" s="263">
        <v>48</v>
      </c>
      <c r="T110" s="263">
        <v>67.5</v>
      </c>
      <c r="U110" s="263"/>
      <c r="V110" s="415">
        <f t="shared" si="37"/>
        <v>0</v>
      </c>
      <c r="W110" s="263">
        <v>5</v>
      </c>
      <c r="X110" s="263">
        <v>70</v>
      </c>
      <c r="Y110" s="263">
        <f t="shared" si="50"/>
        <v>66</v>
      </c>
      <c r="Z110" s="263">
        <v>200</v>
      </c>
      <c r="AA110" s="375">
        <f t="shared" si="45"/>
        <v>1938.5</v>
      </c>
      <c r="AB110" s="263">
        <f t="shared" si="41"/>
        <v>261.5</v>
      </c>
      <c r="AC110" s="263">
        <f t="shared" si="52"/>
        <v>0.11886363636363637</v>
      </c>
      <c r="AD110" s="263"/>
      <c r="AE110" s="263">
        <v>2200</v>
      </c>
      <c r="AF110" s="418"/>
      <c r="AG110" s="263"/>
      <c r="AH110" s="263"/>
      <c r="AI110" s="263"/>
    </row>
    <row r="111" spans="1:37" ht="15" customHeight="1">
      <c r="A111" s="69"/>
      <c r="B111" s="418"/>
      <c r="C111" s="263"/>
      <c r="E111" s="263"/>
      <c r="F111" s="263"/>
      <c r="G111" s="418"/>
      <c r="H111" s="263"/>
      <c r="I111" s="263"/>
      <c r="J111" s="263"/>
      <c r="K111" s="263"/>
      <c r="L111" s="563"/>
      <c r="M111" s="263"/>
      <c r="N111" s="263"/>
      <c r="O111" s="263"/>
      <c r="P111" s="265"/>
      <c r="Q111" s="263"/>
      <c r="R111" s="263"/>
      <c r="S111" s="263"/>
      <c r="T111" s="263"/>
      <c r="U111" s="263"/>
      <c r="V111" s="263"/>
      <c r="W111" s="263"/>
      <c r="X111" s="263"/>
      <c r="Y111" s="263"/>
      <c r="Z111" s="263"/>
      <c r="AA111" s="263"/>
      <c r="AB111" s="263"/>
      <c r="AC111" s="263"/>
      <c r="AD111" s="263"/>
      <c r="AE111" s="263"/>
      <c r="AF111" s="418"/>
      <c r="AG111" s="263"/>
      <c r="AH111" s="263"/>
      <c r="AI111" s="263"/>
    </row>
    <row r="112" spans="1:37" ht="15" customHeight="1">
      <c r="A112" s="69"/>
      <c r="B112" s="418"/>
      <c r="C112" s="263"/>
      <c r="E112" s="263"/>
      <c r="F112" s="263"/>
      <c r="G112" s="418"/>
      <c r="H112" s="263"/>
      <c r="I112" s="263"/>
      <c r="J112" s="263"/>
      <c r="K112" s="263"/>
      <c r="L112" s="563"/>
      <c r="M112" s="263"/>
      <c r="N112" s="263"/>
      <c r="O112" s="263"/>
      <c r="P112" s="265"/>
      <c r="Q112" s="263"/>
      <c r="R112" s="263"/>
      <c r="S112" s="263"/>
      <c r="T112" s="263"/>
      <c r="U112" s="263"/>
      <c r="V112" s="263"/>
      <c r="W112" s="263"/>
      <c r="X112" s="263"/>
      <c r="Y112" s="263"/>
      <c r="Z112" s="263"/>
      <c r="AA112" s="263"/>
      <c r="AB112" s="263"/>
      <c r="AC112" s="263"/>
      <c r="AD112" s="263"/>
      <c r="AE112" s="263"/>
      <c r="AF112" s="418"/>
      <c r="AG112" s="263"/>
      <c r="AH112" s="263"/>
      <c r="AI112" s="263"/>
    </row>
    <row r="113" spans="1:35" ht="15" customHeight="1">
      <c r="A113" s="69"/>
      <c r="B113" s="418"/>
      <c r="C113" s="263"/>
      <c r="E113" s="263"/>
      <c r="F113" s="263"/>
      <c r="G113" s="418"/>
      <c r="H113" s="263"/>
      <c r="I113" s="263"/>
      <c r="J113" s="263"/>
      <c r="K113" s="263"/>
      <c r="L113" s="563"/>
      <c r="M113" s="263"/>
      <c r="N113" s="263"/>
      <c r="O113" s="263"/>
      <c r="P113" s="265"/>
      <c r="Q113" s="263"/>
      <c r="R113" s="263"/>
      <c r="S113" s="263"/>
      <c r="T113" s="263"/>
      <c r="U113" s="263"/>
      <c r="V113" s="263"/>
      <c r="W113" s="263"/>
      <c r="X113" s="263"/>
      <c r="Y113" s="263"/>
      <c r="Z113" s="263"/>
      <c r="AA113" s="263"/>
      <c r="AB113" s="263"/>
      <c r="AC113" s="263"/>
      <c r="AD113" s="263"/>
      <c r="AE113" s="263"/>
      <c r="AF113" s="418"/>
      <c r="AG113" s="263"/>
      <c r="AH113" s="263"/>
      <c r="AI113" s="263"/>
    </row>
    <row r="114" spans="1:35" ht="15" customHeight="1">
      <c r="A114" s="69"/>
      <c r="B114" s="418"/>
      <c r="C114" s="263"/>
      <c r="E114" s="263"/>
      <c r="F114" s="263"/>
      <c r="G114" s="418"/>
      <c r="H114" s="263"/>
      <c r="I114" s="263"/>
      <c r="J114" s="263"/>
      <c r="K114" s="263"/>
      <c r="L114" s="563"/>
      <c r="M114" s="263"/>
      <c r="N114" s="263"/>
      <c r="O114" s="263"/>
      <c r="P114" s="265"/>
      <c r="Q114" s="263"/>
      <c r="R114" s="263"/>
      <c r="S114" s="263"/>
      <c r="T114" s="263"/>
      <c r="U114" s="263"/>
      <c r="V114" s="263"/>
      <c r="W114" s="263"/>
      <c r="X114" s="263"/>
      <c r="Y114" s="263"/>
      <c r="Z114" s="263"/>
      <c r="AA114" s="263"/>
      <c r="AB114" s="263"/>
      <c r="AC114" s="263"/>
      <c r="AD114" s="263"/>
      <c r="AE114" s="263"/>
      <c r="AF114" s="418"/>
      <c r="AG114" s="263"/>
      <c r="AH114" s="263"/>
      <c r="AI114" s="263"/>
    </row>
    <row r="115" spans="1:35" ht="15" customHeight="1">
      <c r="A115" s="69"/>
      <c r="B115" s="418"/>
      <c r="C115" s="263"/>
      <c r="E115" s="263"/>
      <c r="F115" s="263"/>
      <c r="G115" s="418"/>
      <c r="H115" s="263"/>
      <c r="I115" s="263"/>
      <c r="J115" s="263"/>
      <c r="K115" s="263"/>
      <c r="L115" s="563"/>
      <c r="M115" s="263"/>
      <c r="N115" s="263"/>
      <c r="O115" s="263"/>
      <c r="P115" s="265"/>
      <c r="Q115" s="263"/>
      <c r="R115" s="263"/>
      <c r="S115" s="263"/>
      <c r="T115" s="263"/>
      <c r="U115" s="263"/>
      <c r="V115" s="263"/>
      <c r="W115" s="263"/>
      <c r="X115" s="263"/>
      <c r="Y115" s="263"/>
      <c r="Z115" s="263"/>
      <c r="AA115" s="263"/>
      <c r="AB115" s="263"/>
      <c r="AC115" s="263"/>
      <c r="AD115" s="263"/>
      <c r="AE115" s="263"/>
      <c r="AF115" s="418"/>
      <c r="AG115" s="263"/>
      <c r="AH115" s="263"/>
      <c r="AI115" s="263"/>
    </row>
    <row r="116" spans="1:35" ht="15" customHeight="1">
      <c r="A116" s="69"/>
      <c r="B116" s="418"/>
      <c r="C116" s="263"/>
      <c r="E116" s="263"/>
      <c r="F116" s="263"/>
      <c r="G116" s="418"/>
      <c r="H116" s="263"/>
      <c r="I116" s="263"/>
      <c r="J116" s="263"/>
      <c r="K116" s="263"/>
      <c r="L116" s="563"/>
      <c r="M116" s="263"/>
      <c r="N116" s="263"/>
      <c r="O116" s="263"/>
      <c r="P116" s="265"/>
      <c r="Q116" s="263"/>
      <c r="R116" s="263"/>
      <c r="S116" s="263"/>
      <c r="T116" s="263"/>
      <c r="U116" s="263"/>
      <c r="V116" s="263"/>
      <c r="W116" s="263"/>
      <c r="X116" s="263"/>
      <c r="Y116" s="263"/>
      <c r="Z116" s="263"/>
      <c r="AA116" s="263"/>
      <c r="AB116" s="263"/>
      <c r="AC116" s="263"/>
      <c r="AD116" s="263"/>
      <c r="AE116" s="263"/>
      <c r="AF116" s="418"/>
      <c r="AG116" s="263"/>
      <c r="AH116" s="263"/>
      <c r="AI116" s="263"/>
    </row>
    <row r="117" spans="1:35" ht="15" customHeight="1">
      <c r="A117" s="69"/>
      <c r="B117" s="418"/>
      <c r="C117" s="263"/>
      <c r="E117" s="263"/>
      <c r="F117" s="263"/>
      <c r="G117" s="418"/>
      <c r="H117" s="263"/>
      <c r="I117" s="263"/>
      <c r="J117" s="263"/>
      <c r="K117" s="263"/>
      <c r="L117" s="563"/>
      <c r="M117" s="263"/>
      <c r="N117" s="263"/>
      <c r="O117" s="263"/>
      <c r="P117" s="265"/>
      <c r="Q117" s="263"/>
      <c r="R117" s="263"/>
      <c r="S117" s="263"/>
      <c r="T117" s="263"/>
      <c r="U117" s="263"/>
      <c r="V117" s="263"/>
      <c r="W117" s="263"/>
      <c r="X117" s="263"/>
      <c r="Y117" s="263"/>
      <c r="Z117" s="263"/>
      <c r="AA117" s="263"/>
      <c r="AB117" s="263"/>
      <c r="AC117" s="263"/>
      <c r="AD117" s="263"/>
      <c r="AE117" s="263"/>
      <c r="AF117" s="418"/>
      <c r="AG117" s="263"/>
      <c r="AH117" s="263"/>
      <c r="AI117" s="263"/>
    </row>
    <row r="118" spans="1:35" ht="15" customHeight="1">
      <c r="A118" s="69"/>
      <c r="B118" s="418"/>
      <c r="C118" s="263"/>
      <c r="E118" s="263"/>
      <c r="F118" s="263"/>
      <c r="G118" s="418"/>
      <c r="H118" s="263"/>
      <c r="I118" s="263"/>
      <c r="J118" s="263"/>
      <c r="K118" s="263"/>
      <c r="L118" s="563"/>
      <c r="M118" s="263"/>
      <c r="N118" s="263"/>
      <c r="O118" s="263"/>
      <c r="P118" s="265"/>
      <c r="Q118" s="263"/>
      <c r="R118" s="263"/>
      <c r="S118" s="263"/>
      <c r="T118" s="263"/>
      <c r="U118" s="263"/>
      <c r="V118" s="263"/>
      <c r="W118" s="263"/>
      <c r="X118" s="263"/>
      <c r="Y118" s="263"/>
      <c r="Z118" s="263"/>
      <c r="AA118" s="263"/>
      <c r="AB118" s="263"/>
      <c r="AC118" s="263"/>
      <c r="AD118" s="263"/>
      <c r="AE118" s="263"/>
      <c r="AF118" s="418"/>
      <c r="AG118" s="263"/>
      <c r="AH118" s="263"/>
      <c r="AI118" s="263"/>
    </row>
    <row r="119" spans="1:35" ht="15" customHeight="1">
      <c r="A119" s="69"/>
      <c r="B119" s="418"/>
      <c r="C119" s="263"/>
      <c r="E119" s="263"/>
      <c r="F119" s="263"/>
      <c r="G119" s="418"/>
      <c r="H119" s="263"/>
      <c r="I119" s="263"/>
      <c r="J119" s="263"/>
      <c r="K119" s="263"/>
      <c r="L119" s="563"/>
      <c r="M119" s="263"/>
      <c r="N119" s="263"/>
      <c r="O119" s="263"/>
      <c r="P119" s="265"/>
      <c r="Q119" s="263"/>
      <c r="R119" s="263"/>
      <c r="S119" s="263"/>
      <c r="T119" s="263"/>
      <c r="U119" s="263"/>
      <c r="V119" s="263"/>
      <c r="W119" s="263"/>
      <c r="X119" s="263"/>
      <c r="Y119" s="263"/>
      <c r="Z119" s="263"/>
      <c r="AA119" s="263"/>
      <c r="AB119" s="263"/>
      <c r="AC119" s="263"/>
      <c r="AD119" s="263"/>
      <c r="AE119" s="263"/>
      <c r="AF119" s="418"/>
      <c r="AG119" s="263"/>
      <c r="AH119" s="263"/>
      <c r="AI119" s="263"/>
    </row>
    <row r="120" spans="1:35" ht="15" customHeight="1">
      <c r="A120" s="69"/>
      <c r="B120" s="418"/>
      <c r="C120" s="263"/>
      <c r="E120" s="263"/>
      <c r="F120" s="263"/>
      <c r="G120" s="418"/>
      <c r="H120" s="263"/>
      <c r="I120" s="263"/>
      <c r="J120" s="263"/>
      <c r="K120" s="263"/>
      <c r="L120" s="563"/>
      <c r="M120" s="263"/>
      <c r="N120" s="263"/>
      <c r="O120" s="263"/>
      <c r="P120" s="265"/>
      <c r="Q120" s="263"/>
      <c r="R120" s="263"/>
      <c r="S120" s="263"/>
      <c r="T120" s="263"/>
      <c r="U120" s="263"/>
      <c r="V120" s="263"/>
      <c r="W120" s="263"/>
      <c r="X120" s="263"/>
      <c r="Y120" s="263"/>
      <c r="Z120" s="263"/>
      <c r="AA120" s="263"/>
      <c r="AB120" s="263"/>
      <c r="AC120" s="263"/>
      <c r="AD120" s="263"/>
      <c r="AE120" s="263"/>
      <c r="AF120" s="418"/>
      <c r="AG120" s="263"/>
      <c r="AH120" s="263"/>
      <c r="AI120" s="263"/>
    </row>
    <row r="121" spans="1:35" ht="15" customHeight="1">
      <c r="A121" s="69"/>
      <c r="B121" s="418"/>
      <c r="C121" s="263"/>
      <c r="E121" s="263"/>
      <c r="F121" s="263"/>
      <c r="G121" s="418"/>
      <c r="H121" s="263"/>
      <c r="I121" s="263"/>
      <c r="J121" s="263"/>
      <c r="K121" s="263"/>
      <c r="L121" s="563"/>
      <c r="M121" s="263"/>
      <c r="N121" s="263"/>
      <c r="O121" s="263"/>
      <c r="P121" s="265"/>
      <c r="Q121" s="263"/>
      <c r="R121" s="263"/>
      <c r="S121" s="263"/>
      <c r="T121" s="263"/>
      <c r="U121" s="263"/>
      <c r="V121" s="263"/>
      <c r="W121" s="263"/>
      <c r="X121" s="263"/>
      <c r="Y121" s="263"/>
      <c r="Z121" s="263"/>
      <c r="AA121" s="263"/>
      <c r="AB121" s="263"/>
      <c r="AC121" s="263"/>
      <c r="AD121" s="263"/>
      <c r="AE121" s="263"/>
      <c r="AF121" s="418"/>
      <c r="AG121" s="263"/>
      <c r="AH121" s="263"/>
      <c r="AI121" s="263"/>
    </row>
    <row r="122" spans="1:35" ht="15" customHeight="1">
      <c r="A122" s="69"/>
      <c r="B122" s="418"/>
      <c r="C122" s="263"/>
      <c r="E122" s="263"/>
      <c r="F122" s="263"/>
      <c r="G122" s="418"/>
      <c r="H122" s="263"/>
      <c r="I122" s="263"/>
      <c r="J122" s="263"/>
      <c r="K122" s="263"/>
      <c r="L122" s="563"/>
      <c r="M122" s="263"/>
      <c r="N122" s="263"/>
      <c r="O122" s="263"/>
      <c r="P122" s="265"/>
      <c r="Q122" s="263"/>
      <c r="R122" s="263"/>
      <c r="S122" s="263"/>
      <c r="T122" s="263"/>
      <c r="U122" s="263"/>
      <c r="V122" s="263"/>
      <c r="W122" s="263"/>
      <c r="X122" s="263"/>
      <c r="Y122" s="263"/>
      <c r="Z122" s="263"/>
      <c r="AA122" s="263"/>
      <c r="AB122" s="263"/>
      <c r="AC122" s="263"/>
      <c r="AD122" s="263"/>
      <c r="AE122" s="263"/>
      <c r="AF122" s="418"/>
      <c r="AG122" s="263"/>
      <c r="AH122" s="263"/>
      <c r="AI122" s="263"/>
    </row>
    <row r="123" spans="1:35" ht="15" customHeight="1">
      <c r="A123" s="69"/>
      <c r="B123" s="418"/>
      <c r="C123" s="263"/>
      <c r="E123" s="263"/>
      <c r="F123" s="263"/>
      <c r="G123" s="418"/>
      <c r="H123" s="263"/>
      <c r="I123" s="263"/>
      <c r="J123" s="263"/>
      <c r="K123" s="263"/>
      <c r="L123" s="563"/>
      <c r="M123" s="263"/>
      <c r="N123" s="263"/>
      <c r="O123" s="263"/>
      <c r="P123" s="265"/>
      <c r="Q123" s="263"/>
      <c r="R123" s="263"/>
      <c r="S123" s="263"/>
      <c r="T123" s="263"/>
      <c r="U123" s="263"/>
      <c r="V123" s="263"/>
      <c r="W123" s="263"/>
      <c r="X123" s="263"/>
      <c r="Y123" s="263"/>
      <c r="Z123" s="263"/>
      <c r="AA123" s="263"/>
      <c r="AB123" s="263"/>
      <c r="AC123" s="263"/>
      <c r="AD123" s="263"/>
      <c r="AE123" s="263"/>
      <c r="AF123" s="418"/>
      <c r="AG123" s="263"/>
      <c r="AH123" s="263"/>
      <c r="AI123" s="263"/>
    </row>
    <row r="124" spans="1:35" ht="15" customHeight="1">
      <c r="A124" s="69"/>
      <c r="B124" s="418"/>
      <c r="C124" s="263"/>
      <c r="E124" s="263"/>
      <c r="F124" s="263"/>
      <c r="G124" s="418"/>
      <c r="H124" s="263"/>
      <c r="I124" s="263"/>
      <c r="J124" s="263"/>
      <c r="K124" s="263"/>
      <c r="L124" s="563"/>
      <c r="M124" s="263"/>
      <c r="N124" s="263"/>
      <c r="O124" s="263"/>
      <c r="P124" s="265"/>
      <c r="Q124" s="263"/>
      <c r="R124" s="263"/>
      <c r="S124" s="263"/>
      <c r="T124" s="263"/>
      <c r="U124" s="263"/>
      <c r="V124" s="263"/>
      <c r="W124" s="263"/>
      <c r="X124" s="263"/>
      <c r="Y124" s="263"/>
      <c r="Z124" s="263"/>
      <c r="AA124" s="263"/>
      <c r="AB124" s="263"/>
      <c r="AC124" s="263"/>
      <c r="AD124" s="263"/>
      <c r="AE124" s="263"/>
      <c r="AF124" s="418"/>
      <c r="AG124" s="263"/>
      <c r="AH124" s="263"/>
      <c r="AI124" s="263"/>
    </row>
    <row r="125" spans="1:35" ht="15" customHeight="1">
      <c r="A125" s="69"/>
      <c r="B125" s="418"/>
      <c r="C125" s="263"/>
      <c r="E125" s="263"/>
      <c r="F125" s="263"/>
      <c r="G125" s="418"/>
      <c r="H125" s="263"/>
      <c r="I125" s="263"/>
      <c r="J125" s="263"/>
      <c r="K125" s="263"/>
      <c r="L125" s="563"/>
      <c r="M125" s="263"/>
      <c r="N125" s="263"/>
      <c r="O125" s="263"/>
      <c r="P125" s="265"/>
      <c r="Q125" s="263"/>
      <c r="R125" s="263"/>
      <c r="S125" s="263"/>
      <c r="T125" s="263"/>
      <c r="U125" s="263"/>
      <c r="V125" s="263"/>
      <c r="W125" s="263"/>
      <c r="X125" s="263"/>
      <c r="Y125" s="263"/>
      <c r="Z125" s="263"/>
      <c r="AA125" s="263"/>
      <c r="AB125" s="263"/>
      <c r="AC125" s="263"/>
      <c r="AD125" s="263"/>
      <c r="AE125" s="263"/>
      <c r="AF125" s="418"/>
      <c r="AG125" s="263"/>
      <c r="AH125" s="263"/>
      <c r="AI125" s="263"/>
    </row>
    <row r="126" spans="1:35" ht="15" customHeight="1">
      <c r="A126" s="69"/>
      <c r="B126" s="418"/>
      <c r="C126" s="263"/>
      <c r="E126" s="263"/>
      <c r="F126" s="263"/>
      <c r="G126" s="418"/>
      <c r="H126" s="263"/>
      <c r="I126" s="263"/>
      <c r="J126" s="263"/>
      <c r="K126" s="263"/>
      <c r="L126" s="563"/>
      <c r="M126" s="263"/>
      <c r="N126" s="263"/>
      <c r="O126" s="263"/>
      <c r="P126" s="265"/>
      <c r="Q126" s="263"/>
      <c r="R126" s="263"/>
      <c r="S126" s="263"/>
      <c r="T126" s="263"/>
      <c r="U126" s="263"/>
      <c r="V126" s="263"/>
      <c r="W126" s="263"/>
      <c r="X126" s="263"/>
      <c r="Y126" s="263"/>
      <c r="Z126" s="263"/>
      <c r="AA126" s="263"/>
      <c r="AB126" s="263"/>
      <c r="AC126" s="263"/>
      <c r="AD126" s="263"/>
      <c r="AE126" s="263"/>
      <c r="AF126" s="418"/>
      <c r="AG126" s="263"/>
      <c r="AH126" s="263"/>
      <c r="AI126" s="263"/>
    </row>
    <row r="127" spans="1:35" ht="15" customHeight="1">
      <c r="A127" s="69"/>
      <c r="B127" s="418"/>
      <c r="C127" s="263"/>
      <c r="E127" s="263"/>
      <c r="F127" s="263"/>
      <c r="G127" s="418"/>
      <c r="H127" s="263"/>
      <c r="I127" s="263"/>
      <c r="J127" s="263"/>
      <c r="K127" s="263"/>
      <c r="L127" s="563"/>
      <c r="M127" s="263"/>
      <c r="N127" s="263"/>
      <c r="O127" s="263"/>
      <c r="P127" s="265"/>
      <c r="Q127" s="263"/>
      <c r="R127" s="263"/>
      <c r="S127" s="263"/>
      <c r="T127" s="263"/>
      <c r="U127" s="263"/>
      <c r="V127" s="263"/>
      <c r="W127" s="263"/>
      <c r="X127" s="263"/>
      <c r="Y127" s="263"/>
      <c r="Z127" s="263"/>
      <c r="AA127" s="263"/>
      <c r="AB127" s="263"/>
      <c r="AC127" s="263"/>
      <c r="AD127" s="263"/>
      <c r="AE127" s="263"/>
      <c r="AF127" s="418"/>
      <c r="AG127" s="263"/>
      <c r="AH127" s="263"/>
      <c r="AI127" s="263"/>
    </row>
    <row r="128" spans="1:35" ht="15" customHeight="1">
      <c r="A128" s="69"/>
      <c r="B128" s="418"/>
      <c r="C128" s="263"/>
      <c r="E128" s="263"/>
      <c r="F128" s="263"/>
      <c r="G128" s="418"/>
      <c r="H128" s="263"/>
      <c r="I128" s="263"/>
      <c r="J128" s="263"/>
      <c r="K128" s="263"/>
      <c r="L128" s="563"/>
      <c r="M128" s="263"/>
      <c r="N128" s="263"/>
      <c r="O128" s="263"/>
      <c r="P128" s="265"/>
      <c r="Q128" s="263"/>
      <c r="R128" s="263"/>
      <c r="S128" s="263"/>
      <c r="T128" s="263"/>
      <c r="U128" s="263"/>
      <c r="V128" s="263"/>
      <c r="W128" s="263"/>
      <c r="X128" s="263"/>
      <c r="Y128" s="263"/>
      <c r="Z128" s="263"/>
      <c r="AA128" s="263"/>
      <c r="AB128" s="263"/>
      <c r="AC128" s="263"/>
      <c r="AD128" s="263"/>
      <c r="AE128" s="263"/>
      <c r="AF128" s="418"/>
      <c r="AG128" s="263"/>
      <c r="AH128" s="263"/>
      <c r="AI128" s="263"/>
    </row>
    <row r="129" spans="1:35" ht="15" customHeight="1">
      <c r="A129" s="69"/>
      <c r="B129" s="418"/>
      <c r="C129" s="263"/>
      <c r="E129" s="263"/>
      <c r="F129" s="263"/>
      <c r="G129" s="418"/>
      <c r="H129" s="263"/>
      <c r="I129" s="263"/>
      <c r="J129" s="263"/>
      <c r="K129" s="263"/>
      <c r="L129" s="563"/>
      <c r="M129" s="263"/>
      <c r="N129" s="263"/>
      <c r="O129" s="263"/>
      <c r="P129" s="265"/>
      <c r="Q129" s="263"/>
      <c r="R129" s="263"/>
      <c r="S129" s="263"/>
      <c r="T129" s="263"/>
      <c r="U129" s="263"/>
      <c r="V129" s="263"/>
      <c r="W129" s="263"/>
      <c r="X129" s="263"/>
      <c r="Y129" s="263"/>
      <c r="Z129" s="263"/>
      <c r="AA129" s="263"/>
      <c r="AB129" s="263"/>
      <c r="AC129" s="263"/>
      <c r="AD129" s="263"/>
      <c r="AE129" s="263"/>
      <c r="AF129" s="418"/>
      <c r="AG129" s="263"/>
      <c r="AH129" s="263"/>
      <c r="AI129" s="263"/>
    </row>
    <row r="130" spans="1:35" ht="15" customHeight="1">
      <c r="A130" s="69"/>
      <c r="B130" s="418"/>
      <c r="C130" s="263"/>
      <c r="E130" s="263"/>
      <c r="F130" s="263"/>
      <c r="G130" s="418"/>
      <c r="H130" s="263"/>
      <c r="I130" s="263"/>
      <c r="J130" s="263"/>
      <c r="K130" s="263"/>
      <c r="L130" s="563"/>
      <c r="M130" s="263"/>
      <c r="N130" s="263"/>
      <c r="O130" s="263"/>
      <c r="P130" s="265"/>
      <c r="Q130" s="263"/>
      <c r="R130" s="263"/>
      <c r="S130" s="263"/>
      <c r="T130" s="263"/>
      <c r="U130" s="263"/>
      <c r="V130" s="263"/>
      <c r="W130" s="263"/>
      <c r="X130" s="263"/>
      <c r="Y130" s="263"/>
      <c r="Z130" s="263"/>
      <c r="AA130" s="263"/>
      <c r="AB130" s="263"/>
      <c r="AC130" s="263"/>
      <c r="AD130" s="263"/>
      <c r="AE130" s="263"/>
      <c r="AF130" s="418"/>
      <c r="AG130" s="263"/>
      <c r="AH130" s="263"/>
      <c r="AI130" s="263"/>
    </row>
    <row r="131" spans="1:35" ht="15" customHeight="1">
      <c r="A131" s="69"/>
      <c r="B131" s="418"/>
      <c r="C131" s="263"/>
      <c r="E131" s="263"/>
      <c r="F131" s="263"/>
      <c r="G131" s="418"/>
      <c r="H131" s="263"/>
      <c r="I131" s="263"/>
      <c r="J131" s="263"/>
      <c r="K131" s="263"/>
      <c r="L131" s="563"/>
      <c r="M131" s="263"/>
      <c r="N131" s="263"/>
      <c r="O131" s="263"/>
      <c r="P131" s="265"/>
      <c r="Q131" s="263"/>
      <c r="R131" s="263"/>
      <c r="S131" s="263"/>
      <c r="T131" s="263"/>
      <c r="U131" s="263"/>
      <c r="V131" s="263"/>
      <c r="W131" s="263"/>
      <c r="X131" s="263"/>
      <c r="Y131" s="263"/>
      <c r="Z131" s="263"/>
      <c r="AA131" s="263"/>
      <c r="AB131" s="263"/>
      <c r="AC131" s="263"/>
      <c r="AD131" s="263"/>
      <c r="AE131" s="263"/>
      <c r="AF131" s="418"/>
      <c r="AG131" s="263"/>
      <c r="AH131" s="263"/>
      <c r="AI131" s="263"/>
    </row>
    <row r="132" spans="1:35" ht="15" customHeight="1">
      <c r="A132" s="69"/>
      <c r="B132" s="418"/>
      <c r="C132" s="263"/>
      <c r="E132" s="263"/>
      <c r="F132" s="263"/>
      <c r="G132" s="418"/>
      <c r="H132" s="263"/>
      <c r="I132" s="263"/>
      <c r="J132" s="263"/>
      <c r="K132" s="263"/>
      <c r="L132" s="563"/>
      <c r="M132" s="263"/>
      <c r="N132" s="263"/>
      <c r="O132" s="263"/>
      <c r="P132" s="265"/>
      <c r="Q132" s="263"/>
      <c r="R132" s="263"/>
      <c r="S132" s="263"/>
      <c r="T132" s="263"/>
      <c r="U132" s="263"/>
      <c r="V132" s="263"/>
      <c r="W132" s="263"/>
      <c r="X132" s="263"/>
      <c r="Y132" s="263"/>
      <c r="Z132" s="263"/>
      <c r="AA132" s="263"/>
      <c r="AB132" s="263"/>
      <c r="AC132" s="263"/>
      <c r="AD132" s="263"/>
      <c r="AE132" s="263"/>
      <c r="AF132" s="418"/>
      <c r="AG132" s="263"/>
      <c r="AH132" s="263"/>
      <c r="AI132" s="263"/>
    </row>
    <row r="133" spans="1:35" ht="15" customHeight="1">
      <c r="A133" s="69"/>
      <c r="B133" s="418"/>
      <c r="C133" s="263"/>
      <c r="E133" s="263"/>
      <c r="F133" s="263"/>
      <c r="G133" s="418"/>
      <c r="H133" s="263"/>
      <c r="I133" s="263"/>
      <c r="J133" s="263"/>
      <c r="K133" s="263"/>
      <c r="L133" s="563"/>
      <c r="M133" s="263"/>
      <c r="N133" s="263"/>
      <c r="O133" s="263"/>
      <c r="P133" s="265"/>
      <c r="Q133" s="263"/>
      <c r="R133" s="263"/>
      <c r="S133" s="263"/>
      <c r="T133" s="263"/>
      <c r="U133" s="263"/>
      <c r="V133" s="263"/>
      <c r="W133" s="263"/>
      <c r="X133" s="263"/>
      <c r="Y133" s="263"/>
      <c r="Z133" s="263"/>
      <c r="AA133" s="263"/>
      <c r="AB133" s="263"/>
      <c r="AC133" s="263"/>
      <c r="AD133" s="263"/>
      <c r="AE133" s="263"/>
      <c r="AF133" s="418"/>
      <c r="AG133" s="263"/>
      <c r="AH133" s="263"/>
      <c r="AI133" s="263"/>
    </row>
    <row r="134" spans="1:35" ht="15" customHeight="1">
      <c r="A134" s="69"/>
      <c r="B134" s="418"/>
      <c r="C134" s="263"/>
      <c r="E134" s="263"/>
      <c r="F134" s="263"/>
      <c r="G134" s="418"/>
      <c r="H134" s="263"/>
      <c r="I134" s="263"/>
      <c r="J134" s="263"/>
      <c r="K134" s="263"/>
      <c r="L134" s="563"/>
      <c r="M134" s="263"/>
      <c r="N134" s="263"/>
      <c r="O134" s="263"/>
      <c r="P134" s="265"/>
      <c r="Q134" s="263"/>
      <c r="R134" s="263"/>
      <c r="S134" s="263"/>
      <c r="T134" s="263"/>
      <c r="U134" s="263"/>
      <c r="V134" s="263"/>
      <c r="W134" s="263"/>
      <c r="X134" s="263"/>
      <c r="Y134" s="263"/>
      <c r="Z134" s="263"/>
      <c r="AA134" s="263"/>
      <c r="AB134" s="263"/>
      <c r="AC134" s="263"/>
      <c r="AD134" s="263"/>
      <c r="AE134" s="263"/>
      <c r="AF134" s="418"/>
      <c r="AG134" s="263"/>
      <c r="AH134" s="263"/>
      <c r="AI134" s="263"/>
    </row>
    <row r="135" spans="1:35" ht="15" customHeight="1">
      <c r="A135" s="69"/>
      <c r="B135" s="418"/>
      <c r="C135" s="263"/>
      <c r="E135" s="263"/>
      <c r="F135" s="263"/>
      <c r="G135" s="418"/>
      <c r="H135" s="263"/>
      <c r="I135" s="263"/>
      <c r="J135" s="263"/>
      <c r="K135" s="263"/>
      <c r="L135" s="563"/>
      <c r="M135" s="263"/>
      <c r="N135" s="263"/>
      <c r="O135" s="263"/>
      <c r="P135" s="265"/>
      <c r="Q135" s="263"/>
      <c r="R135" s="263"/>
      <c r="S135" s="263"/>
      <c r="T135" s="263"/>
      <c r="U135" s="263"/>
      <c r="V135" s="263"/>
      <c r="W135" s="263"/>
      <c r="X135" s="263"/>
      <c r="Y135" s="263"/>
      <c r="Z135" s="263"/>
      <c r="AA135" s="263"/>
      <c r="AB135" s="263"/>
      <c r="AC135" s="263"/>
      <c r="AD135" s="263"/>
      <c r="AE135" s="263"/>
      <c r="AF135" s="418"/>
      <c r="AG135" s="263"/>
      <c r="AH135" s="263"/>
      <c r="AI135" s="263"/>
    </row>
    <row r="136" spans="1:35" ht="15" customHeight="1">
      <c r="A136" s="69"/>
      <c r="B136" s="418"/>
      <c r="C136" s="263"/>
      <c r="E136" s="263"/>
      <c r="F136" s="263"/>
      <c r="G136" s="418"/>
      <c r="H136" s="263"/>
      <c r="I136" s="263"/>
      <c r="J136" s="263"/>
      <c r="K136" s="263"/>
      <c r="L136" s="563"/>
      <c r="M136" s="263"/>
      <c r="N136" s="263"/>
      <c r="O136" s="263"/>
      <c r="P136" s="265"/>
      <c r="Q136" s="263"/>
      <c r="R136" s="263"/>
      <c r="S136" s="263"/>
      <c r="T136" s="263"/>
      <c r="U136" s="263"/>
      <c r="V136" s="263"/>
      <c r="W136" s="263"/>
      <c r="X136" s="263"/>
      <c r="Y136" s="263"/>
      <c r="Z136" s="263"/>
      <c r="AA136" s="263"/>
      <c r="AB136" s="263"/>
      <c r="AC136" s="263"/>
      <c r="AD136" s="263"/>
      <c r="AE136" s="263"/>
      <c r="AF136" s="418"/>
      <c r="AG136" s="263"/>
      <c r="AH136" s="263"/>
      <c r="AI136" s="263"/>
    </row>
    <row r="137" spans="1:35" ht="15" customHeight="1">
      <c r="A137" s="69"/>
      <c r="B137" s="418"/>
      <c r="C137" s="263"/>
      <c r="E137" s="263"/>
      <c r="F137" s="263"/>
      <c r="G137" s="418"/>
      <c r="H137" s="263"/>
      <c r="I137" s="263"/>
      <c r="J137" s="263"/>
      <c r="K137" s="263"/>
      <c r="L137" s="563"/>
      <c r="M137" s="263"/>
      <c r="N137" s="263"/>
      <c r="O137" s="263"/>
      <c r="P137" s="265"/>
      <c r="Q137" s="263"/>
      <c r="R137" s="263"/>
      <c r="S137" s="263"/>
      <c r="T137" s="263"/>
      <c r="U137" s="263"/>
      <c r="V137" s="263"/>
      <c r="W137" s="263"/>
      <c r="X137" s="263"/>
      <c r="Y137" s="263"/>
      <c r="Z137" s="263"/>
      <c r="AA137" s="263"/>
      <c r="AB137" s="263"/>
      <c r="AC137" s="263"/>
      <c r="AD137" s="263"/>
      <c r="AE137" s="263"/>
      <c r="AF137" s="418"/>
      <c r="AG137" s="263"/>
      <c r="AH137" s="263"/>
      <c r="AI137" s="263"/>
    </row>
    <row r="138" spans="1:35" ht="15" customHeight="1">
      <c r="A138" s="69"/>
      <c r="B138" s="418"/>
      <c r="C138" s="263"/>
      <c r="E138" s="263"/>
      <c r="F138" s="263"/>
      <c r="G138" s="418"/>
      <c r="H138" s="263"/>
      <c r="I138" s="263"/>
      <c r="J138" s="263"/>
      <c r="K138" s="263"/>
      <c r="L138" s="563"/>
      <c r="M138" s="263"/>
      <c r="N138" s="263"/>
      <c r="O138" s="263"/>
      <c r="P138" s="265"/>
      <c r="Q138" s="263"/>
      <c r="R138" s="263"/>
      <c r="S138" s="263"/>
      <c r="T138" s="263"/>
      <c r="U138" s="263"/>
      <c r="V138" s="263"/>
      <c r="W138" s="263"/>
      <c r="X138" s="263"/>
      <c r="Y138" s="263"/>
      <c r="Z138" s="263"/>
      <c r="AA138" s="263"/>
      <c r="AB138" s="263"/>
      <c r="AC138" s="263"/>
      <c r="AD138" s="263"/>
      <c r="AE138" s="263"/>
      <c r="AF138" s="418"/>
      <c r="AG138" s="263"/>
      <c r="AH138" s="263"/>
      <c r="AI138" s="263"/>
    </row>
    <row r="139" spans="1:35" ht="15" customHeight="1">
      <c r="A139" s="69"/>
      <c r="B139" s="418"/>
      <c r="C139" s="263"/>
      <c r="E139" s="263"/>
      <c r="F139" s="263"/>
      <c r="G139" s="418"/>
      <c r="H139" s="263"/>
      <c r="I139" s="263"/>
      <c r="J139" s="263"/>
      <c r="K139" s="263"/>
      <c r="L139" s="563"/>
      <c r="M139" s="263"/>
      <c r="N139" s="263"/>
      <c r="O139" s="263"/>
      <c r="P139" s="265"/>
      <c r="Q139" s="263"/>
      <c r="R139" s="263"/>
      <c r="S139" s="263"/>
      <c r="T139" s="263"/>
      <c r="U139" s="263"/>
      <c r="V139" s="263"/>
      <c r="W139" s="263"/>
      <c r="X139" s="263"/>
      <c r="Y139" s="263"/>
      <c r="Z139" s="263"/>
      <c r="AA139" s="263"/>
      <c r="AB139" s="263"/>
      <c r="AC139" s="263"/>
      <c r="AD139" s="263"/>
      <c r="AE139" s="263"/>
      <c r="AF139" s="418"/>
      <c r="AG139" s="263"/>
      <c r="AH139" s="263"/>
      <c r="AI139" s="263"/>
    </row>
    <row r="140" spans="1:35" ht="15" customHeight="1">
      <c r="A140" s="69"/>
      <c r="B140" s="418"/>
      <c r="C140" s="263"/>
      <c r="E140" s="263"/>
      <c r="F140" s="263"/>
      <c r="G140" s="418"/>
      <c r="H140" s="263"/>
      <c r="I140" s="263"/>
      <c r="J140" s="263"/>
      <c r="K140" s="263"/>
      <c r="L140" s="563"/>
      <c r="M140" s="263"/>
      <c r="N140" s="263"/>
      <c r="O140" s="263"/>
      <c r="P140" s="265"/>
      <c r="Q140" s="263"/>
      <c r="R140" s="263"/>
      <c r="S140" s="263"/>
      <c r="T140" s="263"/>
      <c r="U140" s="263"/>
      <c r="V140" s="263"/>
      <c r="W140" s="263"/>
      <c r="X140" s="263"/>
      <c r="Y140" s="263"/>
      <c r="Z140" s="263"/>
      <c r="AA140" s="263"/>
      <c r="AB140" s="263"/>
      <c r="AC140" s="263"/>
      <c r="AD140" s="263"/>
      <c r="AE140" s="263"/>
      <c r="AF140" s="418"/>
      <c r="AG140" s="263"/>
      <c r="AH140" s="263"/>
      <c r="AI140" s="263"/>
    </row>
    <row r="141" spans="1:35" ht="15" customHeight="1">
      <c r="A141" s="69"/>
      <c r="B141" s="418"/>
      <c r="C141" s="263"/>
      <c r="E141" s="263"/>
      <c r="F141" s="263"/>
      <c r="G141" s="418"/>
      <c r="H141" s="263"/>
      <c r="I141" s="263"/>
      <c r="J141" s="263"/>
      <c r="K141" s="263"/>
      <c r="L141" s="563"/>
      <c r="M141" s="263"/>
      <c r="N141" s="263"/>
      <c r="O141" s="263"/>
      <c r="P141" s="265"/>
      <c r="Q141" s="263"/>
      <c r="R141" s="263"/>
      <c r="S141" s="263"/>
      <c r="T141" s="263"/>
      <c r="U141" s="263"/>
      <c r="V141" s="263"/>
      <c r="W141" s="263"/>
      <c r="X141" s="263"/>
      <c r="Y141" s="263"/>
      <c r="Z141" s="263"/>
      <c r="AA141" s="263"/>
      <c r="AB141" s="263"/>
      <c r="AC141" s="263"/>
      <c r="AD141" s="263"/>
      <c r="AE141" s="263"/>
      <c r="AF141" s="418"/>
      <c r="AG141" s="263"/>
      <c r="AH141" s="263"/>
      <c r="AI141" s="263"/>
    </row>
    <row r="142" spans="1:35" ht="15" customHeight="1">
      <c r="A142" s="69"/>
      <c r="B142" s="418"/>
      <c r="C142" s="263"/>
      <c r="E142" s="263"/>
      <c r="F142" s="263"/>
      <c r="G142" s="418"/>
      <c r="H142" s="263"/>
      <c r="I142" s="263"/>
      <c r="J142" s="263"/>
      <c r="K142" s="263"/>
      <c r="L142" s="563"/>
      <c r="M142" s="263"/>
      <c r="N142" s="263"/>
      <c r="O142" s="263"/>
      <c r="P142" s="265"/>
      <c r="Q142" s="263"/>
      <c r="R142" s="263"/>
      <c r="S142" s="263"/>
      <c r="T142" s="263"/>
      <c r="U142" s="263"/>
      <c r="V142" s="263"/>
      <c r="W142" s="263"/>
      <c r="X142" s="263"/>
      <c r="Y142" s="263"/>
      <c r="Z142" s="263"/>
      <c r="AA142" s="263"/>
      <c r="AB142" s="263"/>
      <c r="AC142" s="263"/>
      <c r="AD142" s="263"/>
      <c r="AE142" s="263"/>
      <c r="AF142" s="418"/>
      <c r="AG142" s="263"/>
      <c r="AH142" s="263"/>
      <c r="AI142" s="263"/>
    </row>
    <row r="143" spans="1:35" ht="15" customHeight="1">
      <c r="A143" s="69"/>
      <c r="B143" s="418"/>
      <c r="C143" s="263"/>
      <c r="E143" s="263"/>
      <c r="F143" s="263"/>
      <c r="G143" s="418"/>
      <c r="H143" s="263"/>
      <c r="I143" s="263"/>
      <c r="J143" s="263"/>
      <c r="K143" s="263"/>
      <c r="L143" s="563"/>
      <c r="M143" s="263"/>
      <c r="N143" s="263"/>
      <c r="O143" s="263"/>
      <c r="P143" s="265"/>
      <c r="Q143" s="263"/>
      <c r="R143" s="263"/>
      <c r="S143" s="263"/>
      <c r="T143" s="263"/>
      <c r="U143" s="263"/>
      <c r="V143" s="263"/>
      <c r="W143" s="263"/>
      <c r="X143" s="263"/>
      <c r="Y143" s="263"/>
      <c r="Z143" s="263"/>
      <c r="AA143" s="263"/>
      <c r="AB143" s="263"/>
      <c r="AC143" s="263"/>
      <c r="AD143" s="263"/>
      <c r="AE143" s="263"/>
      <c r="AF143" s="418"/>
      <c r="AG143" s="263"/>
      <c r="AH143" s="263"/>
      <c r="AI143" s="263"/>
    </row>
    <row r="144" spans="1:35" ht="15" customHeight="1">
      <c r="A144" s="69"/>
      <c r="B144" s="418"/>
      <c r="C144" s="263"/>
      <c r="E144" s="263"/>
      <c r="F144" s="263"/>
      <c r="G144" s="418"/>
      <c r="H144" s="263"/>
      <c r="I144" s="263"/>
      <c r="J144" s="263"/>
      <c r="K144" s="263"/>
      <c r="L144" s="563"/>
      <c r="M144" s="263"/>
      <c r="N144" s="263"/>
      <c r="O144" s="263"/>
      <c r="P144" s="265"/>
      <c r="Q144" s="263"/>
      <c r="R144" s="263"/>
      <c r="S144" s="263"/>
      <c r="T144" s="263"/>
      <c r="U144" s="263"/>
      <c r="V144" s="263"/>
      <c r="W144" s="263"/>
      <c r="X144" s="263"/>
      <c r="Y144" s="263"/>
      <c r="Z144" s="263"/>
      <c r="AA144" s="263"/>
      <c r="AB144" s="263"/>
      <c r="AC144" s="263"/>
      <c r="AD144" s="263"/>
      <c r="AE144" s="263"/>
      <c r="AF144" s="418"/>
      <c r="AG144" s="263"/>
      <c r="AH144" s="263"/>
      <c r="AI144" s="263"/>
    </row>
    <row r="145" spans="1:35" ht="15" customHeight="1">
      <c r="A145" s="69"/>
      <c r="B145" s="418"/>
      <c r="C145" s="263"/>
      <c r="E145" s="263"/>
      <c r="F145" s="263"/>
      <c r="G145" s="418"/>
      <c r="H145" s="263"/>
      <c r="I145" s="263"/>
      <c r="J145" s="263"/>
      <c r="K145" s="263"/>
      <c r="L145" s="563"/>
      <c r="M145" s="263"/>
      <c r="N145" s="263"/>
      <c r="O145" s="263"/>
      <c r="P145" s="265"/>
      <c r="Q145" s="263"/>
      <c r="R145" s="263"/>
      <c r="S145" s="263"/>
      <c r="T145" s="263"/>
      <c r="U145" s="263"/>
      <c r="V145" s="263"/>
      <c r="W145" s="263"/>
      <c r="X145" s="263"/>
      <c r="Y145" s="263"/>
      <c r="Z145" s="263"/>
      <c r="AA145" s="263"/>
      <c r="AB145" s="263"/>
      <c r="AC145" s="263"/>
      <c r="AD145" s="263"/>
      <c r="AE145" s="263"/>
      <c r="AF145" s="418"/>
      <c r="AG145" s="263"/>
      <c r="AH145" s="263"/>
      <c r="AI145" s="263"/>
    </row>
    <row r="146" spans="1:35" ht="15" customHeight="1">
      <c r="A146" s="69"/>
      <c r="B146" s="418"/>
      <c r="C146" s="263"/>
      <c r="E146" s="263"/>
      <c r="F146" s="263"/>
      <c r="G146" s="418"/>
      <c r="H146" s="263"/>
      <c r="I146" s="263"/>
      <c r="J146" s="263"/>
      <c r="K146" s="263"/>
      <c r="L146" s="563"/>
      <c r="M146" s="263"/>
      <c r="N146" s="263"/>
      <c r="O146" s="263"/>
      <c r="P146" s="265"/>
      <c r="Q146" s="263"/>
      <c r="R146" s="263"/>
      <c r="S146" s="263"/>
      <c r="T146" s="263"/>
      <c r="U146" s="263"/>
      <c r="V146" s="263"/>
      <c r="W146" s="263"/>
      <c r="X146" s="263"/>
      <c r="Y146" s="263"/>
      <c r="Z146" s="263"/>
      <c r="AA146" s="263"/>
      <c r="AB146" s="263"/>
      <c r="AC146" s="263"/>
      <c r="AD146" s="263"/>
      <c r="AE146" s="263"/>
      <c r="AF146" s="418"/>
      <c r="AG146" s="263"/>
      <c r="AH146" s="263"/>
      <c r="AI146" s="263"/>
    </row>
    <row r="147" spans="1:35" ht="15" customHeight="1">
      <c r="A147" s="69"/>
      <c r="B147" s="418"/>
      <c r="C147" s="263"/>
      <c r="E147" s="263"/>
      <c r="F147" s="263"/>
      <c r="G147" s="418"/>
      <c r="H147" s="263"/>
      <c r="I147" s="263"/>
      <c r="J147" s="263"/>
      <c r="K147" s="263"/>
      <c r="L147" s="563"/>
      <c r="M147" s="263"/>
      <c r="N147" s="263"/>
      <c r="O147" s="263"/>
      <c r="P147" s="265"/>
      <c r="Q147" s="263"/>
      <c r="R147" s="263"/>
      <c r="S147" s="263"/>
      <c r="T147" s="263"/>
      <c r="U147" s="263"/>
      <c r="V147" s="263"/>
      <c r="W147" s="263"/>
      <c r="X147" s="263"/>
      <c r="Y147" s="263"/>
      <c r="Z147" s="263"/>
      <c r="AA147" s="263"/>
      <c r="AB147" s="263"/>
      <c r="AC147" s="263"/>
      <c r="AD147" s="263"/>
      <c r="AE147" s="263"/>
      <c r="AF147" s="418"/>
      <c r="AG147" s="263"/>
      <c r="AH147" s="263"/>
      <c r="AI147" s="263"/>
    </row>
    <row r="148" spans="1:35" ht="15" customHeight="1">
      <c r="A148" s="69"/>
      <c r="B148" s="418"/>
      <c r="C148" s="263"/>
      <c r="E148" s="263"/>
      <c r="F148" s="263"/>
      <c r="G148" s="418"/>
      <c r="H148" s="263"/>
      <c r="I148" s="263"/>
      <c r="J148" s="263"/>
      <c r="K148" s="263"/>
      <c r="L148" s="563"/>
      <c r="M148" s="263"/>
      <c r="N148" s="263"/>
      <c r="O148" s="263"/>
      <c r="P148" s="265"/>
      <c r="Q148" s="263"/>
      <c r="R148" s="263"/>
      <c r="S148" s="263"/>
      <c r="T148" s="263"/>
      <c r="U148" s="263"/>
      <c r="V148" s="263"/>
      <c r="W148" s="263"/>
      <c r="X148" s="263"/>
      <c r="Y148" s="263"/>
      <c r="Z148" s="263"/>
      <c r="AA148" s="263"/>
      <c r="AB148" s="263"/>
      <c r="AC148" s="263"/>
      <c r="AD148" s="263"/>
      <c r="AE148" s="263"/>
      <c r="AF148" s="418"/>
      <c r="AG148" s="263"/>
      <c r="AH148" s="263"/>
      <c r="AI148" s="263"/>
    </row>
    <row r="149" spans="1:35" ht="15" customHeight="1">
      <c r="A149" s="69"/>
      <c r="B149" s="418"/>
      <c r="C149" s="263"/>
      <c r="E149" s="263"/>
      <c r="F149" s="263"/>
      <c r="G149" s="418"/>
      <c r="H149" s="263"/>
      <c r="I149" s="263"/>
      <c r="J149" s="263"/>
      <c r="K149" s="263"/>
      <c r="L149" s="563"/>
      <c r="M149" s="263"/>
      <c r="N149" s="263"/>
      <c r="O149" s="263"/>
      <c r="P149" s="265"/>
      <c r="Q149" s="263"/>
      <c r="R149" s="263"/>
      <c r="S149" s="263"/>
      <c r="T149" s="263"/>
      <c r="U149" s="263"/>
      <c r="V149" s="263"/>
      <c r="W149" s="263"/>
      <c r="X149" s="263"/>
      <c r="Y149" s="263"/>
      <c r="Z149" s="263"/>
      <c r="AA149" s="263"/>
      <c r="AB149" s="263"/>
      <c r="AC149" s="263"/>
      <c r="AD149" s="263"/>
      <c r="AE149" s="263"/>
      <c r="AF149" s="418"/>
      <c r="AG149" s="263"/>
      <c r="AH149" s="263"/>
      <c r="AI149" s="263"/>
    </row>
    <row r="150" spans="1:35" ht="15" customHeight="1">
      <c r="A150" s="69"/>
      <c r="B150" s="418"/>
      <c r="C150" s="263"/>
      <c r="E150" s="263"/>
      <c r="F150" s="263"/>
      <c r="G150" s="418"/>
      <c r="H150" s="263"/>
      <c r="I150" s="263"/>
      <c r="J150" s="263"/>
      <c r="K150" s="263"/>
      <c r="L150" s="563"/>
      <c r="M150" s="263"/>
      <c r="N150" s="263"/>
      <c r="O150" s="263"/>
      <c r="P150" s="265"/>
      <c r="Q150" s="263"/>
      <c r="R150" s="263"/>
      <c r="S150" s="263"/>
      <c r="T150" s="263"/>
      <c r="U150" s="263"/>
      <c r="V150" s="263"/>
      <c r="W150" s="263"/>
      <c r="X150" s="263"/>
      <c r="Y150" s="263"/>
      <c r="Z150" s="263"/>
      <c r="AA150" s="263"/>
      <c r="AB150" s="263"/>
      <c r="AC150" s="263"/>
      <c r="AD150" s="263"/>
      <c r="AE150" s="263"/>
      <c r="AF150" s="418"/>
      <c r="AG150" s="263"/>
      <c r="AH150" s="263"/>
      <c r="AI150" s="263"/>
    </row>
    <row r="151" spans="1:35" ht="15" customHeight="1">
      <c r="A151" s="69"/>
      <c r="B151" s="418"/>
      <c r="C151" s="263"/>
      <c r="E151" s="263"/>
      <c r="F151" s="263"/>
      <c r="G151" s="418"/>
      <c r="H151" s="263"/>
      <c r="I151" s="263"/>
      <c r="J151" s="263"/>
      <c r="K151" s="263"/>
      <c r="L151" s="563"/>
      <c r="M151" s="263"/>
      <c r="N151" s="263"/>
      <c r="O151" s="263"/>
      <c r="P151" s="265"/>
      <c r="Q151" s="263"/>
      <c r="R151" s="263"/>
      <c r="S151" s="263"/>
      <c r="T151" s="263"/>
      <c r="U151" s="263"/>
      <c r="V151" s="263"/>
      <c r="W151" s="263"/>
      <c r="X151" s="263"/>
      <c r="Y151" s="263"/>
      <c r="Z151" s="263"/>
      <c r="AA151" s="263"/>
      <c r="AB151" s="263"/>
      <c r="AC151" s="263"/>
      <c r="AD151" s="263"/>
      <c r="AE151" s="263"/>
      <c r="AF151" s="418"/>
      <c r="AG151" s="263"/>
      <c r="AH151" s="263"/>
      <c r="AI151" s="263"/>
    </row>
    <row r="152" spans="1:35" ht="15" customHeight="1">
      <c r="A152" s="69"/>
      <c r="B152" s="418"/>
      <c r="C152" s="263"/>
      <c r="E152" s="263"/>
      <c r="F152" s="263"/>
      <c r="G152" s="418"/>
      <c r="H152" s="263"/>
      <c r="I152" s="263"/>
      <c r="J152" s="263"/>
      <c r="K152" s="263"/>
      <c r="L152" s="563"/>
      <c r="M152" s="263"/>
      <c r="N152" s="263"/>
      <c r="O152" s="263"/>
      <c r="P152" s="265"/>
      <c r="Q152" s="263"/>
      <c r="R152" s="263"/>
      <c r="S152" s="263"/>
      <c r="T152" s="263"/>
      <c r="U152" s="263"/>
      <c r="V152" s="263"/>
      <c r="W152" s="263"/>
      <c r="X152" s="263"/>
      <c r="Y152" s="263"/>
      <c r="Z152" s="263"/>
      <c r="AA152" s="263"/>
      <c r="AB152" s="263"/>
      <c r="AC152" s="263"/>
      <c r="AD152" s="263"/>
      <c r="AE152" s="263"/>
      <c r="AF152" s="418"/>
      <c r="AG152" s="263"/>
      <c r="AH152" s="263"/>
      <c r="AI152" s="263"/>
    </row>
    <row r="153" spans="1:35" ht="15" customHeight="1">
      <c r="A153" s="69"/>
      <c r="B153" s="418"/>
      <c r="C153" s="263"/>
      <c r="E153" s="263"/>
      <c r="F153" s="263"/>
      <c r="G153" s="418"/>
      <c r="H153" s="263"/>
      <c r="I153" s="263"/>
      <c r="J153" s="263"/>
      <c r="K153" s="263"/>
      <c r="L153" s="563"/>
      <c r="M153" s="263"/>
      <c r="N153" s="263"/>
      <c r="O153" s="263"/>
      <c r="P153" s="265"/>
      <c r="Q153" s="263"/>
      <c r="R153" s="263"/>
      <c r="S153" s="263"/>
      <c r="T153" s="263"/>
      <c r="U153" s="263"/>
      <c r="V153" s="263"/>
      <c r="W153" s="263"/>
      <c r="X153" s="263"/>
      <c r="Y153" s="263"/>
      <c r="Z153" s="263"/>
      <c r="AA153" s="263"/>
      <c r="AB153" s="263"/>
      <c r="AC153" s="263"/>
      <c r="AD153" s="263"/>
      <c r="AE153" s="263"/>
      <c r="AF153" s="418"/>
      <c r="AG153" s="263"/>
      <c r="AH153" s="263"/>
      <c r="AI153" s="263"/>
    </row>
    <row r="154" spans="1:35" ht="15" customHeight="1">
      <c r="A154" s="69"/>
      <c r="B154" s="418"/>
      <c r="C154" s="263"/>
      <c r="E154" s="263"/>
      <c r="F154" s="263"/>
      <c r="G154" s="418"/>
      <c r="H154" s="263"/>
      <c r="I154" s="263"/>
      <c r="J154" s="263"/>
      <c r="K154" s="263"/>
      <c r="L154" s="563"/>
      <c r="M154" s="263"/>
      <c r="N154" s="263"/>
      <c r="O154" s="263"/>
      <c r="P154" s="265"/>
      <c r="Q154" s="263"/>
      <c r="R154" s="263"/>
      <c r="S154" s="263"/>
      <c r="T154" s="263"/>
      <c r="U154" s="263"/>
      <c r="V154" s="263"/>
      <c r="W154" s="263"/>
      <c r="X154" s="263"/>
      <c r="Y154" s="263"/>
      <c r="Z154" s="263"/>
      <c r="AA154" s="263"/>
      <c r="AB154" s="263"/>
      <c r="AC154" s="263"/>
      <c r="AD154" s="263"/>
      <c r="AE154" s="263"/>
      <c r="AF154" s="418"/>
      <c r="AG154" s="263"/>
      <c r="AH154" s="263"/>
      <c r="AI154" s="263"/>
    </row>
    <row r="155" spans="1:35" ht="15" customHeight="1">
      <c r="A155" s="69"/>
      <c r="B155" s="418"/>
      <c r="C155" s="263"/>
      <c r="E155" s="263"/>
      <c r="F155" s="263"/>
      <c r="G155" s="418"/>
      <c r="H155" s="263"/>
      <c r="I155" s="263"/>
      <c r="J155" s="263"/>
      <c r="K155" s="263"/>
      <c r="L155" s="563"/>
      <c r="M155" s="263"/>
      <c r="N155" s="263"/>
      <c r="O155" s="263"/>
      <c r="P155" s="265"/>
      <c r="Q155" s="263"/>
      <c r="R155" s="263"/>
      <c r="S155" s="263"/>
      <c r="T155" s="263"/>
      <c r="U155" s="263"/>
      <c r="V155" s="263"/>
      <c r="W155" s="263"/>
      <c r="X155" s="263"/>
      <c r="Y155" s="263"/>
      <c r="Z155" s="263"/>
      <c r="AA155" s="263"/>
      <c r="AB155" s="263"/>
      <c r="AC155" s="263"/>
      <c r="AD155" s="263"/>
      <c r="AE155" s="263"/>
      <c r="AF155" s="418"/>
      <c r="AG155" s="263"/>
      <c r="AH155" s="263"/>
      <c r="AI155" s="263"/>
    </row>
    <row r="156" spans="1:35" ht="15" customHeight="1">
      <c r="A156" s="69"/>
      <c r="B156" s="418"/>
      <c r="C156" s="263"/>
      <c r="E156" s="263"/>
      <c r="F156" s="263"/>
      <c r="G156" s="418"/>
      <c r="H156" s="263"/>
      <c r="I156" s="263"/>
      <c r="J156" s="263"/>
      <c r="K156" s="263"/>
      <c r="L156" s="563"/>
      <c r="M156" s="263"/>
      <c r="N156" s="263"/>
      <c r="O156" s="263"/>
      <c r="P156" s="265"/>
      <c r="Q156" s="263"/>
      <c r="R156" s="263"/>
      <c r="S156" s="263"/>
      <c r="T156" s="263"/>
      <c r="U156" s="263"/>
      <c r="V156" s="263"/>
      <c r="W156" s="263"/>
      <c r="X156" s="263"/>
      <c r="Y156" s="263"/>
      <c r="Z156" s="263"/>
      <c r="AA156" s="263"/>
      <c r="AB156" s="263"/>
      <c r="AC156" s="263"/>
      <c r="AD156" s="263"/>
      <c r="AE156" s="263"/>
      <c r="AF156" s="418"/>
      <c r="AG156" s="263"/>
      <c r="AH156" s="263"/>
      <c r="AI156" s="263"/>
    </row>
    <row r="157" spans="1:35" ht="15" customHeight="1">
      <c r="A157" s="69"/>
      <c r="B157" s="418"/>
      <c r="C157" s="263"/>
      <c r="E157" s="263"/>
      <c r="F157" s="263"/>
      <c r="G157" s="418"/>
      <c r="H157" s="263"/>
      <c r="I157" s="263"/>
      <c r="J157" s="263"/>
      <c r="K157" s="263"/>
      <c r="L157" s="563"/>
      <c r="M157" s="263"/>
      <c r="N157" s="263"/>
      <c r="O157" s="263"/>
      <c r="P157" s="265"/>
      <c r="Q157" s="263"/>
      <c r="R157" s="263"/>
      <c r="S157" s="263"/>
      <c r="T157" s="263"/>
      <c r="U157" s="263"/>
      <c r="V157" s="263"/>
      <c r="W157" s="263"/>
      <c r="X157" s="263"/>
      <c r="Y157" s="263"/>
      <c r="Z157" s="263"/>
      <c r="AA157" s="263"/>
      <c r="AB157" s="263"/>
      <c r="AC157" s="263"/>
      <c r="AD157" s="263"/>
      <c r="AE157" s="263"/>
      <c r="AF157" s="418"/>
      <c r="AG157" s="263"/>
      <c r="AH157" s="263"/>
      <c r="AI157" s="263"/>
    </row>
    <row r="158" spans="1:35" ht="15" customHeight="1">
      <c r="A158" s="69"/>
      <c r="B158" s="418"/>
      <c r="C158" s="263"/>
      <c r="E158" s="263"/>
      <c r="F158" s="263"/>
      <c r="G158" s="418"/>
      <c r="H158" s="263"/>
      <c r="I158" s="263"/>
      <c r="J158" s="263"/>
      <c r="K158" s="263"/>
      <c r="L158" s="563"/>
      <c r="M158" s="263"/>
      <c r="N158" s="263"/>
      <c r="O158" s="263"/>
      <c r="P158" s="265"/>
      <c r="Q158" s="263"/>
      <c r="R158" s="263"/>
      <c r="S158" s="263"/>
      <c r="T158" s="263"/>
      <c r="U158" s="263"/>
      <c r="V158" s="263"/>
      <c r="W158" s="263"/>
      <c r="X158" s="263"/>
      <c r="Y158" s="263"/>
      <c r="Z158" s="263"/>
      <c r="AA158" s="263"/>
      <c r="AB158" s="263"/>
      <c r="AC158" s="263"/>
      <c r="AD158" s="263"/>
      <c r="AE158" s="263"/>
      <c r="AF158" s="418"/>
      <c r="AG158" s="263"/>
      <c r="AH158" s="263"/>
      <c r="AI158" s="263"/>
    </row>
    <row r="159" spans="1:35" ht="15" customHeight="1">
      <c r="A159" s="69"/>
      <c r="B159" s="418"/>
      <c r="C159" s="263"/>
      <c r="E159" s="263"/>
      <c r="F159" s="263"/>
      <c r="G159" s="418"/>
      <c r="H159" s="263"/>
      <c r="I159" s="263"/>
      <c r="J159" s="263"/>
      <c r="K159" s="263"/>
      <c r="L159" s="563"/>
      <c r="M159" s="263"/>
      <c r="N159" s="263"/>
      <c r="O159" s="263"/>
      <c r="P159" s="265"/>
      <c r="Q159" s="263"/>
      <c r="R159" s="263"/>
      <c r="S159" s="263"/>
      <c r="T159" s="263"/>
      <c r="U159" s="263"/>
      <c r="V159" s="263"/>
      <c r="W159" s="263"/>
      <c r="X159" s="263"/>
      <c r="Y159" s="263"/>
      <c r="Z159" s="263"/>
      <c r="AA159" s="263"/>
      <c r="AB159" s="263"/>
      <c r="AC159" s="263"/>
      <c r="AD159" s="263"/>
      <c r="AE159" s="263"/>
      <c r="AF159" s="418"/>
      <c r="AG159" s="263"/>
      <c r="AH159" s="263"/>
      <c r="AI159" s="263"/>
    </row>
    <row r="160" spans="1:35" ht="15" customHeight="1">
      <c r="A160" s="69"/>
      <c r="B160" s="418"/>
      <c r="C160" s="263"/>
      <c r="E160" s="263"/>
      <c r="F160" s="263"/>
      <c r="G160" s="418"/>
      <c r="H160" s="263"/>
      <c r="I160" s="263"/>
      <c r="J160" s="263"/>
      <c r="K160" s="263"/>
      <c r="L160" s="563"/>
      <c r="M160" s="263"/>
      <c r="N160" s="263"/>
      <c r="O160" s="263"/>
      <c r="P160" s="265"/>
      <c r="Q160" s="263"/>
      <c r="R160" s="263"/>
      <c r="S160" s="263"/>
      <c r="T160" s="263"/>
      <c r="U160" s="263"/>
      <c r="V160" s="263"/>
      <c r="W160" s="263"/>
      <c r="X160" s="263"/>
      <c r="Y160" s="263"/>
      <c r="Z160" s="263"/>
      <c r="AA160" s="263"/>
      <c r="AB160" s="263"/>
      <c r="AC160" s="263"/>
      <c r="AD160" s="263"/>
      <c r="AE160" s="263"/>
      <c r="AF160" s="418"/>
      <c r="AG160" s="263"/>
      <c r="AH160" s="263"/>
      <c r="AI160" s="263"/>
    </row>
    <row r="161" spans="1:35" ht="15" customHeight="1">
      <c r="A161" s="69"/>
      <c r="B161" s="418"/>
      <c r="C161" s="263"/>
      <c r="E161" s="263"/>
      <c r="F161" s="263"/>
      <c r="G161" s="418"/>
      <c r="H161" s="263"/>
      <c r="I161" s="263"/>
      <c r="J161" s="263"/>
      <c r="K161" s="263"/>
      <c r="L161" s="563"/>
      <c r="M161" s="263"/>
      <c r="N161" s="263"/>
      <c r="O161" s="263"/>
      <c r="P161" s="265"/>
      <c r="Q161" s="263"/>
      <c r="R161" s="263"/>
      <c r="S161" s="263"/>
      <c r="T161" s="263"/>
      <c r="U161" s="263"/>
      <c r="V161" s="263"/>
      <c r="W161" s="263"/>
      <c r="X161" s="263"/>
      <c r="Y161" s="263"/>
      <c r="Z161" s="263"/>
      <c r="AA161" s="263"/>
      <c r="AB161" s="263"/>
      <c r="AC161" s="263"/>
      <c r="AD161" s="263"/>
      <c r="AE161" s="263"/>
      <c r="AF161" s="418"/>
      <c r="AG161" s="263"/>
      <c r="AH161" s="263"/>
      <c r="AI161" s="263"/>
    </row>
    <row r="162" spans="1:35" ht="15" customHeight="1">
      <c r="A162" s="69"/>
      <c r="B162" s="418"/>
      <c r="C162" s="263"/>
      <c r="E162" s="263"/>
      <c r="F162" s="263"/>
      <c r="G162" s="418"/>
      <c r="H162" s="263"/>
      <c r="I162" s="263"/>
      <c r="J162" s="263"/>
      <c r="K162" s="263"/>
      <c r="L162" s="563"/>
      <c r="M162" s="263"/>
      <c r="N162" s="263"/>
      <c r="O162" s="263"/>
      <c r="P162" s="265"/>
      <c r="Q162" s="263"/>
      <c r="R162" s="263"/>
      <c r="S162" s="263"/>
      <c r="T162" s="263"/>
      <c r="U162" s="263"/>
      <c r="V162" s="263"/>
      <c r="W162" s="263"/>
      <c r="X162" s="263"/>
      <c r="Y162" s="263"/>
      <c r="Z162" s="263"/>
      <c r="AA162" s="263"/>
      <c r="AB162" s="263"/>
      <c r="AC162" s="263"/>
      <c r="AD162" s="263"/>
      <c r="AE162" s="263"/>
      <c r="AF162" s="418"/>
      <c r="AG162" s="263"/>
      <c r="AH162" s="263"/>
      <c r="AI162" s="263"/>
    </row>
    <row r="163" spans="1:35" ht="15" customHeight="1">
      <c r="A163" s="69"/>
      <c r="B163" s="418"/>
      <c r="C163" s="263"/>
      <c r="E163" s="263"/>
      <c r="F163" s="263"/>
      <c r="G163" s="418"/>
      <c r="H163" s="263"/>
      <c r="I163" s="263"/>
      <c r="J163" s="263"/>
      <c r="K163" s="263"/>
      <c r="L163" s="563"/>
      <c r="M163" s="263"/>
      <c r="N163" s="263"/>
      <c r="O163" s="263"/>
      <c r="P163" s="265"/>
      <c r="Q163" s="263"/>
      <c r="R163" s="263"/>
      <c r="S163" s="263"/>
      <c r="T163" s="263"/>
      <c r="U163" s="263"/>
      <c r="V163" s="263"/>
      <c r="W163" s="263"/>
      <c r="X163" s="263"/>
      <c r="Y163" s="263"/>
      <c r="Z163" s="263"/>
      <c r="AA163" s="263"/>
      <c r="AB163" s="263"/>
      <c r="AC163" s="263"/>
      <c r="AD163" s="263"/>
      <c r="AE163" s="263"/>
      <c r="AF163" s="418"/>
      <c r="AG163" s="263"/>
      <c r="AH163" s="263"/>
      <c r="AI163" s="263"/>
    </row>
    <row r="164" spans="1:35" ht="15" customHeight="1">
      <c r="A164" s="69"/>
      <c r="B164" s="418"/>
      <c r="C164" s="263"/>
      <c r="E164" s="263"/>
      <c r="F164" s="263"/>
      <c r="G164" s="418"/>
      <c r="H164" s="263"/>
      <c r="I164" s="263"/>
      <c r="J164" s="263"/>
      <c r="K164" s="263"/>
      <c r="L164" s="563"/>
      <c r="M164" s="263"/>
      <c r="N164" s="263"/>
      <c r="O164" s="263"/>
      <c r="P164" s="265"/>
      <c r="Q164" s="263"/>
      <c r="R164" s="263"/>
      <c r="S164" s="263"/>
      <c r="T164" s="263"/>
      <c r="U164" s="263"/>
      <c r="V164" s="263"/>
      <c r="W164" s="263"/>
      <c r="X164" s="263"/>
      <c r="Y164" s="263"/>
      <c r="Z164" s="263"/>
      <c r="AA164" s="263"/>
      <c r="AB164" s="263"/>
      <c r="AC164" s="263"/>
      <c r="AD164" s="263"/>
      <c r="AE164" s="263"/>
      <c r="AF164" s="418"/>
      <c r="AG164" s="263"/>
      <c r="AH164" s="263"/>
      <c r="AI164" s="263"/>
    </row>
    <row r="165" spans="1:35" ht="15" customHeight="1">
      <c r="A165" s="69"/>
      <c r="B165" s="418"/>
      <c r="C165" s="263"/>
      <c r="E165" s="263"/>
      <c r="F165" s="263"/>
      <c r="G165" s="418"/>
      <c r="H165" s="263"/>
      <c r="I165" s="263"/>
      <c r="J165" s="263"/>
      <c r="K165" s="263"/>
      <c r="L165" s="563"/>
      <c r="M165" s="263"/>
      <c r="N165" s="263"/>
      <c r="O165" s="263"/>
      <c r="P165" s="265"/>
      <c r="Q165" s="263"/>
      <c r="R165" s="263"/>
      <c r="S165" s="263"/>
      <c r="T165" s="263"/>
      <c r="U165" s="263"/>
      <c r="V165" s="263"/>
      <c r="W165" s="263"/>
      <c r="X165" s="263"/>
      <c r="Y165" s="263"/>
      <c r="Z165" s="263"/>
      <c r="AA165" s="263"/>
      <c r="AB165" s="263"/>
      <c r="AC165" s="263"/>
      <c r="AD165" s="263"/>
      <c r="AE165" s="263"/>
      <c r="AF165" s="418"/>
      <c r="AG165" s="263"/>
      <c r="AH165" s="263"/>
      <c r="AI165" s="263"/>
    </row>
    <row r="166" spans="1:35" ht="15" customHeight="1">
      <c r="A166" s="69"/>
      <c r="B166" s="418"/>
      <c r="C166" s="263"/>
      <c r="E166" s="263"/>
      <c r="F166" s="263"/>
      <c r="G166" s="418"/>
      <c r="H166" s="263"/>
      <c r="I166" s="263"/>
      <c r="J166" s="263"/>
      <c r="K166" s="263"/>
      <c r="L166" s="563"/>
      <c r="M166" s="263"/>
      <c r="N166" s="263"/>
      <c r="O166" s="263"/>
      <c r="P166" s="265"/>
      <c r="Q166" s="263"/>
      <c r="R166" s="263"/>
      <c r="S166" s="263"/>
      <c r="T166" s="263"/>
      <c r="U166" s="263"/>
      <c r="V166" s="263"/>
      <c r="W166" s="263"/>
      <c r="X166" s="263"/>
      <c r="Y166" s="263"/>
      <c r="Z166" s="263"/>
      <c r="AA166" s="263"/>
      <c r="AB166" s="263"/>
      <c r="AC166" s="263"/>
      <c r="AD166" s="263"/>
      <c r="AE166" s="263"/>
      <c r="AF166" s="418"/>
      <c r="AG166" s="263"/>
      <c r="AH166" s="263"/>
      <c r="AI166" s="263"/>
    </row>
    <row r="167" spans="1:35" ht="15" customHeight="1">
      <c r="A167" s="69"/>
      <c r="B167" s="418"/>
      <c r="C167" s="263"/>
      <c r="E167" s="263"/>
      <c r="F167" s="263"/>
      <c r="G167" s="418"/>
      <c r="H167" s="263"/>
      <c r="I167" s="263"/>
      <c r="J167" s="263"/>
      <c r="K167" s="263"/>
      <c r="L167" s="563"/>
      <c r="M167" s="263"/>
      <c r="N167" s="263"/>
      <c r="O167" s="263"/>
      <c r="P167" s="265"/>
      <c r="Q167" s="263"/>
      <c r="R167" s="263"/>
      <c r="S167" s="263"/>
      <c r="T167" s="263"/>
      <c r="U167" s="263"/>
      <c r="V167" s="263"/>
      <c r="W167" s="263"/>
      <c r="X167" s="263"/>
      <c r="Y167" s="263"/>
      <c r="Z167" s="263"/>
      <c r="AA167" s="263"/>
      <c r="AB167" s="263"/>
      <c r="AC167" s="263"/>
      <c r="AD167" s="263"/>
      <c r="AE167" s="263"/>
      <c r="AF167" s="418"/>
      <c r="AG167" s="263"/>
      <c r="AH167" s="263"/>
      <c r="AI167" s="263"/>
    </row>
    <row r="168" spans="1:35" ht="15" customHeight="1">
      <c r="A168" s="69"/>
      <c r="B168" s="418"/>
      <c r="C168" s="263"/>
      <c r="E168" s="263"/>
      <c r="F168" s="263"/>
      <c r="G168" s="418"/>
      <c r="H168" s="263"/>
      <c r="I168" s="263"/>
      <c r="J168" s="263"/>
      <c r="K168" s="263"/>
      <c r="L168" s="563"/>
      <c r="M168" s="263"/>
      <c r="N168" s="263"/>
      <c r="O168" s="263"/>
      <c r="P168" s="265"/>
      <c r="Q168" s="263"/>
      <c r="R168" s="263"/>
      <c r="S168" s="263"/>
      <c r="T168" s="263"/>
      <c r="U168" s="263"/>
      <c r="V168" s="263"/>
      <c r="W168" s="263"/>
      <c r="X168" s="263"/>
      <c r="Y168" s="263"/>
      <c r="Z168" s="263"/>
      <c r="AA168" s="263"/>
      <c r="AB168" s="263"/>
      <c r="AC168" s="263"/>
      <c r="AD168" s="263"/>
      <c r="AE168" s="263"/>
      <c r="AF168" s="418"/>
      <c r="AG168" s="263"/>
      <c r="AH168" s="263"/>
      <c r="AI168" s="263"/>
    </row>
    <row r="169" spans="1:35" ht="15" customHeight="1">
      <c r="A169" s="69"/>
      <c r="B169" s="418"/>
      <c r="C169" s="263"/>
      <c r="E169" s="263"/>
      <c r="F169" s="263"/>
      <c r="G169" s="418"/>
      <c r="H169" s="263"/>
      <c r="I169" s="263"/>
      <c r="J169" s="263"/>
      <c r="K169" s="263"/>
      <c r="L169" s="563"/>
      <c r="M169" s="263"/>
      <c r="N169" s="263"/>
      <c r="O169" s="263"/>
      <c r="P169" s="265"/>
      <c r="Q169" s="263"/>
      <c r="R169" s="263"/>
      <c r="S169" s="263"/>
      <c r="T169" s="263"/>
      <c r="U169" s="263"/>
      <c r="V169" s="263"/>
      <c r="W169" s="263"/>
      <c r="X169" s="263"/>
      <c r="Y169" s="263"/>
      <c r="Z169" s="263"/>
      <c r="AA169" s="263"/>
      <c r="AB169" s="263"/>
      <c r="AC169" s="263"/>
      <c r="AD169" s="263"/>
      <c r="AE169" s="263"/>
      <c r="AF169" s="418"/>
      <c r="AG169" s="263"/>
      <c r="AH169" s="263"/>
      <c r="AI169" s="263"/>
    </row>
    <row r="170" spans="1:35" ht="15" customHeight="1">
      <c r="A170" s="69"/>
      <c r="B170" s="418"/>
      <c r="C170" s="263"/>
      <c r="E170" s="263"/>
      <c r="F170" s="263"/>
      <c r="G170" s="418"/>
      <c r="H170" s="263"/>
      <c r="I170" s="263"/>
      <c r="J170" s="263"/>
      <c r="K170" s="263"/>
      <c r="L170" s="563"/>
      <c r="M170" s="263"/>
      <c r="N170" s="263"/>
      <c r="O170" s="263"/>
      <c r="P170" s="265"/>
      <c r="Q170" s="263"/>
      <c r="R170" s="263"/>
      <c r="S170" s="263"/>
      <c r="T170" s="263"/>
      <c r="U170" s="263"/>
      <c r="V170" s="263"/>
      <c r="W170" s="263"/>
      <c r="X170" s="263"/>
      <c r="Y170" s="263"/>
      <c r="Z170" s="263"/>
      <c r="AA170" s="263"/>
      <c r="AB170" s="263"/>
      <c r="AC170" s="263"/>
      <c r="AD170" s="263"/>
      <c r="AE170" s="263"/>
      <c r="AF170" s="418"/>
      <c r="AG170" s="263"/>
      <c r="AH170" s="263"/>
      <c r="AI170" s="263"/>
    </row>
    <row r="171" spans="1:35" ht="15" customHeight="1">
      <c r="A171" s="69"/>
      <c r="B171" s="418"/>
      <c r="C171" s="263"/>
      <c r="E171" s="263"/>
      <c r="F171" s="263"/>
      <c r="G171" s="418"/>
      <c r="H171" s="263"/>
      <c r="I171" s="263"/>
      <c r="J171" s="263"/>
      <c r="K171" s="263"/>
      <c r="L171" s="563"/>
      <c r="M171" s="263"/>
      <c r="N171" s="263"/>
      <c r="O171" s="263"/>
      <c r="P171" s="265"/>
      <c r="Q171" s="263"/>
      <c r="R171" s="263"/>
      <c r="S171" s="263"/>
      <c r="T171" s="263"/>
      <c r="U171" s="263"/>
      <c r="V171" s="263"/>
      <c r="W171" s="263"/>
      <c r="X171" s="263"/>
      <c r="Y171" s="263"/>
      <c r="Z171" s="263"/>
      <c r="AA171" s="263"/>
      <c r="AB171" s="263"/>
      <c r="AC171" s="263"/>
      <c r="AD171" s="263"/>
      <c r="AE171" s="263"/>
      <c r="AF171" s="418"/>
      <c r="AG171" s="263"/>
      <c r="AH171" s="263"/>
      <c r="AI171" s="263"/>
    </row>
    <row r="172" spans="1:35" ht="15" customHeight="1">
      <c r="A172" s="69"/>
      <c r="B172" s="418"/>
      <c r="C172" s="263"/>
      <c r="E172" s="263"/>
      <c r="F172" s="263"/>
      <c r="G172" s="418"/>
      <c r="H172" s="263"/>
      <c r="I172" s="263"/>
      <c r="J172" s="263"/>
      <c r="K172" s="263"/>
      <c r="L172" s="563"/>
      <c r="M172" s="263"/>
      <c r="N172" s="263"/>
      <c r="O172" s="263"/>
      <c r="P172" s="265"/>
      <c r="Q172" s="263"/>
      <c r="R172" s="263"/>
      <c r="S172" s="263"/>
      <c r="T172" s="263"/>
      <c r="U172" s="263"/>
      <c r="V172" s="263"/>
      <c r="W172" s="263"/>
      <c r="X172" s="263"/>
      <c r="Y172" s="263"/>
      <c r="Z172" s="263"/>
      <c r="AA172" s="263"/>
      <c r="AB172" s="263"/>
      <c r="AC172" s="263"/>
      <c r="AD172" s="263"/>
      <c r="AE172" s="263"/>
      <c r="AF172" s="418"/>
      <c r="AG172" s="263"/>
      <c r="AH172" s="263"/>
      <c r="AI172" s="263"/>
    </row>
    <row r="173" spans="1:35" ht="15" customHeight="1">
      <c r="A173" s="69"/>
      <c r="B173" s="418"/>
      <c r="C173" s="263"/>
      <c r="E173" s="263"/>
      <c r="F173" s="263"/>
      <c r="G173" s="418"/>
      <c r="H173" s="263"/>
      <c r="I173" s="263"/>
      <c r="J173" s="263"/>
      <c r="K173" s="263"/>
      <c r="L173" s="563"/>
      <c r="M173" s="263"/>
      <c r="N173" s="263"/>
      <c r="O173" s="263"/>
      <c r="P173" s="265"/>
      <c r="Q173" s="263"/>
      <c r="R173" s="263"/>
      <c r="S173" s="263"/>
      <c r="T173" s="263"/>
      <c r="U173" s="263"/>
      <c r="V173" s="263"/>
      <c r="W173" s="263"/>
      <c r="X173" s="263"/>
      <c r="Y173" s="263"/>
      <c r="Z173" s="263"/>
      <c r="AA173" s="263"/>
      <c r="AB173" s="263"/>
      <c r="AC173" s="263"/>
      <c r="AD173" s="263"/>
      <c r="AE173" s="263"/>
      <c r="AF173" s="418"/>
      <c r="AG173" s="263"/>
      <c r="AH173" s="263"/>
      <c r="AI173" s="263"/>
    </row>
    <row r="174" spans="1:35" ht="15" customHeight="1">
      <c r="A174" s="69"/>
      <c r="B174" s="418"/>
      <c r="C174" s="263"/>
      <c r="E174" s="263"/>
      <c r="F174" s="263"/>
      <c r="G174" s="418"/>
      <c r="H174" s="263"/>
      <c r="I174" s="263"/>
      <c r="J174" s="263"/>
      <c r="K174" s="263"/>
      <c r="L174" s="563"/>
      <c r="M174" s="263"/>
      <c r="N174" s="263"/>
      <c r="O174" s="263"/>
      <c r="P174" s="265"/>
      <c r="Q174" s="263"/>
      <c r="R174" s="263"/>
      <c r="S174" s="263"/>
      <c r="T174" s="263"/>
      <c r="U174" s="263"/>
      <c r="V174" s="263"/>
      <c r="W174" s="263"/>
      <c r="X174" s="263"/>
      <c r="Y174" s="263"/>
      <c r="Z174" s="263"/>
      <c r="AA174" s="263"/>
      <c r="AB174" s="263"/>
      <c r="AC174" s="263"/>
      <c r="AD174" s="263"/>
      <c r="AE174" s="263"/>
      <c r="AF174" s="418"/>
      <c r="AG174" s="263"/>
      <c r="AH174" s="263"/>
      <c r="AI174" s="263"/>
    </row>
    <row r="175" spans="1:35" ht="15" customHeight="1">
      <c r="A175" s="69"/>
      <c r="B175" s="418"/>
      <c r="C175" s="263"/>
      <c r="E175" s="263"/>
      <c r="F175" s="263"/>
      <c r="G175" s="418"/>
      <c r="H175" s="263"/>
      <c r="I175" s="263"/>
      <c r="J175" s="263"/>
      <c r="K175" s="263"/>
      <c r="L175" s="563"/>
      <c r="M175" s="263"/>
      <c r="N175" s="263"/>
      <c r="O175" s="263"/>
      <c r="P175" s="265"/>
      <c r="Q175" s="263"/>
      <c r="R175" s="263"/>
      <c r="S175" s="263"/>
      <c r="T175" s="263"/>
      <c r="U175" s="263"/>
      <c r="V175" s="263"/>
      <c r="W175" s="263"/>
      <c r="X175" s="263"/>
      <c r="Y175" s="263"/>
      <c r="Z175" s="263"/>
      <c r="AA175" s="263"/>
      <c r="AB175" s="263"/>
      <c r="AC175" s="263"/>
      <c r="AD175" s="263"/>
      <c r="AE175" s="263"/>
      <c r="AF175" s="418"/>
      <c r="AG175" s="263"/>
      <c r="AH175" s="263"/>
      <c r="AI175" s="263"/>
    </row>
    <row r="176" spans="1:35" ht="15" customHeight="1">
      <c r="A176" s="69"/>
      <c r="B176" s="418"/>
      <c r="C176" s="263"/>
      <c r="E176" s="263"/>
      <c r="F176" s="263"/>
      <c r="G176" s="418"/>
      <c r="H176" s="263"/>
      <c r="I176" s="263"/>
      <c r="J176" s="263"/>
      <c r="K176" s="263"/>
      <c r="L176" s="563"/>
      <c r="M176" s="263"/>
      <c r="N176" s="263"/>
      <c r="O176" s="263"/>
      <c r="P176" s="265"/>
      <c r="Q176" s="263"/>
      <c r="R176" s="263"/>
      <c r="S176" s="263"/>
      <c r="T176" s="263"/>
      <c r="U176" s="263"/>
      <c r="V176" s="263"/>
      <c r="W176" s="263"/>
      <c r="X176" s="263"/>
      <c r="Y176" s="263"/>
      <c r="Z176" s="263"/>
      <c r="AA176" s="263"/>
      <c r="AB176" s="263"/>
      <c r="AC176" s="263"/>
      <c r="AD176" s="263"/>
      <c r="AE176" s="263"/>
      <c r="AF176" s="418"/>
      <c r="AG176" s="263"/>
      <c r="AH176" s="263"/>
      <c r="AI176" s="263"/>
    </row>
    <row r="177" spans="1:35" ht="15" customHeight="1">
      <c r="A177" s="69"/>
      <c r="B177" s="418"/>
      <c r="C177" s="263"/>
      <c r="E177" s="263"/>
      <c r="F177" s="263"/>
      <c r="G177" s="418"/>
      <c r="H177" s="263"/>
      <c r="I177" s="263"/>
      <c r="J177" s="263"/>
      <c r="K177" s="263"/>
      <c r="L177" s="563"/>
      <c r="M177" s="263"/>
      <c r="N177" s="263"/>
      <c r="O177" s="263"/>
      <c r="P177" s="265"/>
      <c r="Q177" s="263"/>
      <c r="R177" s="263"/>
      <c r="S177" s="263"/>
      <c r="T177" s="263"/>
      <c r="U177" s="263"/>
      <c r="V177" s="263"/>
      <c r="W177" s="263"/>
      <c r="X177" s="263"/>
      <c r="Y177" s="263"/>
      <c r="Z177" s="263"/>
      <c r="AA177" s="263"/>
      <c r="AB177" s="263"/>
      <c r="AC177" s="263"/>
      <c r="AD177" s="263"/>
      <c r="AE177" s="263"/>
      <c r="AF177" s="418"/>
      <c r="AG177" s="263"/>
      <c r="AH177" s="263"/>
      <c r="AI177" s="263"/>
    </row>
    <row r="178" spans="1:35" ht="15" customHeight="1">
      <c r="A178" s="69"/>
      <c r="B178" s="418"/>
      <c r="C178" s="263"/>
      <c r="E178" s="263"/>
      <c r="F178" s="263"/>
      <c r="G178" s="418"/>
      <c r="H178" s="263"/>
      <c r="I178" s="263"/>
      <c r="J178" s="263"/>
      <c r="K178" s="263"/>
      <c r="L178" s="563"/>
      <c r="M178" s="263"/>
      <c r="N178" s="263"/>
      <c r="O178" s="263"/>
      <c r="P178" s="265"/>
      <c r="Q178" s="263"/>
      <c r="R178" s="263"/>
      <c r="S178" s="263"/>
      <c r="T178" s="263"/>
      <c r="U178" s="263"/>
      <c r="V178" s="263"/>
      <c r="W178" s="263"/>
      <c r="X178" s="263"/>
      <c r="Y178" s="263"/>
      <c r="Z178" s="263"/>
      <c r="AA178" s="263"/>
      <c r="AB178" s="263"/>
      <c r="AC178" s="263"/>
      <c r="AD178" s="263"/>
      <c r="AE178" s="263"/>
      <c r="AF178" s="418"/>
      <c r="AG178" s="263"/>
      <c r="AH178" s="263"/>
      <c r="AI178" s="263"/>
    </row>
    <row r="179" spans="1:35" ht="15" customHeight="1">
      <c r="A179" s="69"/>
      <c r="B179" s="418"/>
      <c r="C179" s="263"/>
      <c r="E179" s="263"/>
      <c r="F179" s="263"/>
      <c r="G179" s="418"/>
      <c r="H179" s="263"/>
      <c r="I179" s="263"/>
      <c r="J179" s="263"/>
      <c r="K179" s="263"/>
      <c r="L179" s="563"/>
      <c r="M179" s="263"/>
      <c r="N179" s="263"/>
      <c r="O179" s="263"/>
      <c r="P179" s="265"/>
      <c r="Q179" s="263"/>
      <c r="R179" s="263"/>
      <c r="S179" s="263"/>
      <c r="T179" s="263"/>
      <c r="U179" s="263"/>
      <c r="V179" s="263"/>
      <c r="W179" s="263"/>
      <c r="X179" s="263"/>
      <c r="Y179" s="263"/>
      <c r="Z179" s="263"/>
      <c r="AA179" s="263"/>
      <c r="AB179" s="263"/>
      <c r="AC179" s="263"/>
      <c r="AD179" s="263"/>
      <c r="AE179" s="263"/>
      <c r="AF179" s="418"/>
      <c r="AG179" s="263"/>
      <c r="AH179" s="263"/>
      <c r="AI179" s="263"/>
    </row>
    <row r="180" spans="1:35" ht="15" customHeight="1">
      <c r="A180" s="69"/>
      <c r="B180" s="418"/>
      <c r="C180" s="263"/>
      <c r="E180" s="263"/>
      <c r="F180" s="263"/>
      <c r="G180" s="418"/>
      <c r="H180" s="263"/>
      <c r="I180" s="263"/>
      <c r="J180" s="263"/>
      <c r="K180" s="263"/>
      <c r="L180" s="563"/>
      <c r="M180" s="263"/>
      <c r="N180" s="263"/>
      <c r="O180" s="263"/>
      <c r="P180" s="265"/>
      <c r="Q180" s="263"/>
      <c r="R180" s="263"/>
      <c r="S180" s="263"/>
      <c r="T180" s="263"/>
      <c r="U180" s="263"/>
      <c r="V180" s="263"/>
      <c r="W180" s="263"/>
      <c r="X180" s="263"/>
      <c r="Y180" s="263"/>
      <c r="Z180" s="263"/>
      <c r="AA180" s="263"/>
      <c r="AB180" s="263"/>
      <c r="AC180" s="263"/>
      <c r="AD180" s="263"/>
      <c r="AE180" s="263"/>
      <c r="AF180" s="418"/>
      <c r="AG180" s="263"/>
      <c r="AH180" s="263"/>
      <c r="AI180" s="263"/>
    </row>
    <row r="181" spans="1:35" ht="15" customHeight="1">
      <c r="A181" s="69"/>
      <c r="B181" s="418"/>
      <c r="C181" s="263"/>
      <c r="E181" s="263"/>
      <c r="F181" s="263"/>
      <c r="G181" s="418"/>
      <c r="H181" s="263"/>
      <c r="I181" s="263"/>
      <c r="J181" s="263"/>
      <c r="K181" s="263"/>
      <c r="L181" s="563"/>
      <c r="M181" s="263"/>
      <c r="N181" s="263"/>
      <c r="O181" s="263"/>
      <c r="P181" s="265"/>
      <c r="Q181" s="263"/>
      <c r="R181" s="263"/>
      <c r="S181" s="263"/>
      <c r="T181" s="263"/>
      <c r="U181" s="263"/>
      <c r="V181" s="263"/>
      <c r="W181" s="263"/>
      <c r="X181" s="263"/>
      <c r="Y181" s="263"/>
      <c r="Z181" s="263"/>
      <c r="AA181" s="263"/>
      <c r="AB181" s="263"/>
      <c r="AC181" s="263"/>
      <c r="AD181" s="263"/>
      <c r="AE181" s="263"/>
      <c r="AF181" s="418"/>
      <c r="AG181" s="263"/>
      <c r="AH181" s="263"/>
      <c r="AI181" s="263"/>
    </row>
    <row r="182" spans="1:35" ht="15" customHeight="1">
      <c r="A182" s="69"/>
      <c r="B182" s="418"/>
      <c r="C182" s="263"/>
      <c r="E182" s="263"/>
      <c r="F182" s="263"/>
      <c r="G182" s="418"/>
      <c r="H182" s="263"/>
      <c r="I182" s="263"/>
      <c r="J182" s="263"/>
      <c r="K182" s="263"/>
      <c r="L182" s="563"/>
      <c r="M182" s="263"/>
      <c r="N182" s="263"/>
      <c r="O182" s="263"/>
      <c r="P182" s="265"/>
      <c r="Q182" s="263"/>
      <c r="R182" s="263"/>
      <c r="S182" s="263"/>
      <c r="T182" s="263"/>
      <c r="U182" s="263"/>
      <c r="V182" s="263"/>
      <c r="W182" s="263"/>
      <c r="X182" s="263"/>
      <c r="Y182" s="263"/>
      <c r="Z182" s="263"/>
      <c r="AA182" s="263"/>
      <c r="AB182" s="263"/>
      <c r="AC182" s="263"/>
      <c r="AD182" s="263"/>
      <c r="AE182" s="263"/>
      <c r="AF182" s="418"/>
      <c r="AG182" s="263"/>
      <c r="AH182" s="263"/>
      <c r="AI182" s="263"/>
    </row>
    <row r="183" spans="1:35" ht="15" customHeight="1">
      <c r="A183" s="69"/>
      <c r="B183" s="418"/>
      <c r="C183" s="263"/>
      <c r="E183" s="263"/>
      <c r="F183" s="263"/>
      <c r="G183" s="418"/>
      <c r="H183" s="263"/>
      <c r="I183" s="263"/>
      <c r="J183" s="263"/>
      <c r="K183" s="263"/>
      <c r="L183" s="563"/>
      <c r="M183" s="263"/>
      <c r="N183" s="263"/>
      <c r="O183" s="263"/>
      <c r="P183" s="265"/>
      <c r="Q183" s="263"/>
      <c r="R183" s="263"/>
      <c r="S183" s="263"/>
      <c r="T183" s="263"/>
      <c r="U183" s="263"/>
      <c r="V183" s="263"/>
      <c r="W183" s="263"/>
      <c r="X183" s="263"/>
      <c r="Y183" s="263"/>
      <c r="Z183" s="263"/>
      <c r="AA183" s="263"/>
      <c r="AB183" s="263"/>
      <c r="AC183" s="263"/>
      <c r="AD183" s="263"/>
      <c r="AE183" s="263"/>
      <c r="AF183" s="418"/>
      <c r="AG183" s="263"/>
      <c r="AH183" s="263"/>
      <c r="AI183" s="263"/>
    </row>
    <row r="184" spans="1:35" ht="15" customHeight="1">
      <c r="A184" s="69"/>
      <c r="B184" s="418"/>
      <c r="C184" s="263"/>
      <c r="E184" s="263"/>
      <c r="F184" s="263"/>
      <c r="G184" s="418"/>
      <c r="H184" s="263"/>
      <c r="I184" s="263"/>
      <c r="J184" s="263"/>
      <c r="K184" s="263"/>
      <c r="L184" s="563"/>
      <c r="M184" s="263"/>
      <c r="N184" s="263"/>
      <c r="O184" s="263"/>
      <c r="P184" s="265"/>
      <c r="Q184" s="263"/>
      <c r="R184" s="263"/>
      <c r="S184" s="263"/>
      <c r="T184" s="263"/>
      <c r="U184" s="263"/>
      <c r="V184" s="263"/>
      <c r="W184" s="263"/>
      <c r="X184" s="263"/>
      <c r="Y184" s="263"/>
      <c r="Z184" s="263"/>
      <c r="AA184" s="263"/>
      <c r="AB184" s="263"/>
      <c r="AC184" s="263"/>
      <c r="AD184" s="263"/>
      <c r="AE184" s="263"/>
      <c r="AF184" s="418"/>
      <c r="AG184" s="263"/>
      <c r="AH184" s="263"/>
      <c r="AI184" s="263"/>
    </row>
    <row r="185" spans="1:35" ht="15" customHeight="1">
      <c r="A185" s="69"/>
      <c r="B185" s="418"/>
      <c r="C185" s="263"/>
      <c r="E185" s="263"/>
      <c r="F185" s="263"/>
      <c r="G185" s="418"/>
      <c r="H185" s="263"/>
      <c r="I185" s="263"/>
      <c r="J185" s="263"/>
      <c r="K185" s="263"/>
      <c r="L185" s="563"/>
      <c r="M185" s="263"/>
      <c r="N185" s="263"/>
      <c r="O185" s="263"/>
      <c r="P185" s="265"/>
      <c r="Q185" s="263"/>
      <c r="R185" s="263"/>
      <c r="S185" s="263"/>
      <c r="T185" s="263"/>
      <c r="U185" s="263"/>
      <c r="V185" s="263"/>
      <c r="W185" s="263"/>
      <c r="X185" s="263"/>
      <c r="Y185" s="263"/>
      <c r="Z185" s="263"/>
      <c r="AA185" s="263"/>
      <c r="AB185" s="263"/>
      <c r="AC185" s="263"/>
      <c r="AD185" s="263"/>
      <c r="AE185" s="263"/>
      <c r="AF185" s="418"/>
      <c r="AG185" s="263"/>
      <c r="AH185" s="263"/>
      <c r="AI185" s="263"/>
    </row>
    <row r="186" spans="1:35" ht="15" customHeight="1">
      <c r="A186" s="69"/>
      <c r="B186" s="418"/>
      <c r="C186" s="263"/>
      <c r="E186" s="263"/>
      <c r="F186" s="263"/>
      <c r="G186" s="418"/>
      <c r="H186" s="263"/>
      <c r="I186" s="263"/>
      <c r="J186" s="263"/>
      <c r="K186" s="263"/>
      <c r="L186" s="563"/>
      <c r="M186" s="263"/>
      <c r="N186" s="263"/>
      <c r="O186" s="263"/>
      <c r="P186" s="265"/>
      <c r="Q186" s="263"/>
      <c r="R186" s="263"/>
      <c r="S186" s="263"/>
      <c r="T186" s="263"/>
      <c r="U186" s="263"/>
      <c r="V186" s="263"/>
      <c r="W186" s="263"/>
      <c r="X186" s="263"/>
      <c r="Y186" s="263"/>
      <c r="Z186" s="263"/>
      <c r="AA186" s="263"/>
      <c r="AB186" s="263"/>
      <c r="AC186" s="263"/>
      <c r="AD186" s="263"/>
      <c r="AE186" s="263"/>
      <c r="AF186" s="418"/>
      <c r="AG186" s="263"/>
      <c r="AH186" s="263"/>
      <c r="AI186" s="263"/>
    </row>
    <row r="187" spans="1:35" ht="15" customHeight="1">
      <c r="A187" s="69"/>
      <c r="B187" s="418"/>
      <c r="C187" s="263"/>
      <c r="E187" s="263"/>
      <c r="F187" s="263"/>
      <c r="G187" s="418"/>
      <c r="H187" s="263"/>
      <c r="I187" s="263"/>
      <c r="J187" s="263"/>
      <c r="K187" s="263"/>
      <c r="L187" s="563"/>
      <c r="M187" s="263"/>
      <c r="N187" s="263"/>
      <c r="O187" s="263"/>
      <c r="P187" s="265"/>
      <c r="Q187" s="263"/>
      <c r="R187" s="263"/>
      <c r="S187" s="263"/>
      <c r="T187" s="263"/>
      <c r="U187" s="263"/>
      <c r="V187" s="263"/>
      <c r="W187" s="263"/>
      <c r="X187" s="263"/>
      <c r="Y187" s="263"/>
      <c r="Z187" s="263"/>
      <c r="AA187" s="263"/>
      <c r="AB187" s="263"/>
      <c r="AC187" s="263"/>
      <c r="AD187" s="263"/>
      <c r="AE187" s="263"/>
      <c r="AF187" s="418"/>
      <c r="AG187" s="263"/>
      <c r="AH187" s="263"/>
      <c r="AI187" s="263"/>
    </row>
    <row r="188" spans="1:35" ht="15" customHeight="1">
      <c r="A188" s="69"/>
      <c r="B188" s="418"/>
      <c r="C188" s="263"/>
      <c r="E188" s="263"/>
      <c r="F188" s="263"/>
      <c r="G188" s="418"/>
      <c r="H188" s="263"/>
      <c r="I188" s="263"/>
      <c r="J188" s="263"/>
      <c r="K188" s="263"/>
      <c r="L188" s="563"/>
      <c r="M188" s="263"/>
      <c r="N188" s="263"/>
      <c r="O188" s="263"/>
      <c r="P188" s="265"/>
      <c r="Q188" s="263"/>
      <c r="R188" s="263"/>
      <c r="S188" s="263"/>
      <c r="T188" s="263"/>
      <c r="U188" s="263"/>
      <c r="V188" s="263"/>
      <c r="W188" s="263"/>
      <c r="X188" s="263"/>
      <c r="Y188" s="263"/>
      <c r="Z188" s="263"/>
      <c r="AA188" s="263"/>
      <c r="AB188" s="263"/>
      <c r="AC188" s="263"/>
      <c r="AD188" s="263"/>
      <c r="AE188" s="263"/>
      <c r="AF188" s="418"/>
      <c r="AG188" s="263"/>
      <c r="AH188" s="263"/>
      <c r="AI188" s="263"/>
    </row>
    <row r="189" spans="1:35" ht="15" customHeight="1">
      <c r="A189" s="69"/>
      <c r="B189" s="418"/>
      <c r="C189" s="263"/>
      <c r="E189" s="263"/>
      <c r="F189" s="263"/>
      <c r="G189" s="418"/>
      <c r="H189" s="263"/>
      <c r="I189" s="263"/>
      <c r="J189" s="263"/>
      <c r="K189" s="263"/>
      <c r="L189" s="563"/>
      <c r="M189" s="263"/>
      <c r="N189" s="263"/>
      <c r="O189" s="263"/>
      <c r="P189" s="265"/>
      <c r="Q189" s="263"/>
      <c r="R189" s="263"/>
      <c r="S189" s="263"/>
      <c r="T189" s="263"/>
      <c r="U189" s="263"/>
      <c r="V189" s="263"/>
      <c r="W189" s="263"/>
      <c r="X189" s="263"/>
      <c r="Y189" s="263"/>
      <c r="Z189" s="263"/>
      <c r="AA189" s="263"/>
      <c r="AB189" s="263"/>
      <c r="AC189" s="263"/>
      <c r="AD189" s="263"/>
      <c r="AE189" s="263"/>
      <c r="AF189" s="418"/>
      <c r="AG189" s="263"/>
      <c r="AH189" s="263"/>
      <c r="AI189" s="263"/>
    </row>
    <row r="190" spans="1:35" ht="15" customHeight="1">
      <c r="A190" s="69"/>
      <c r="B190" s="418"/>
      <c r="C190" s="263"/>
      <c r="E190" s="263"/>
      <c r="F190" s="263"/>
      <c r="G190" s="418"/>
      <c r="H190" s="263"/>
      <c r="I190" s="263"/>
      <c r="J190" s="263"/>
      <c r="K190" s="263"/>
      <c r="L190" s="563"/>
      <c r="M190" s="263"/>
      <c r="N190" s="263"/>
      <c r="O190" s="263"/>
      <c r="P190" s="265"/>
      <c r="Q190" s="263"/>
      <c r="R190" s="263"/>
      <c r="S190" s="263"/>
      <c r="T190" s="263"/>
      <c r="U190" s="263"/>
      <c r="V190" s="263"/>
      <c r="W190" s="263"/>
      <c r="X190" s="263"/>
      <c r="Y190" s="263"/>
      <c r="Z190" s="263"/>
      <c r="AA190" s="263"/>
      <c r="AB190" s="263"/>
      <c r="AC190" s="263"/>
      <c r="AD190" s="263"/>
      <c r="AE190" s="263"/>
      <c r="AF190" s="418"/>
      <c r="AG190" s="263"/>
      <c r="AH190" s="263"/>
      <c r="AI190" s="263"/>
    </row>
    <row r="191" spans="1:35" ht="15" customHeight="1">
      <c r="A191" s="69"/>
      <c r="B191" s="418"/>
      <c r="C191" s="263"/>
      <c r="E191" s="263"/>
      <c r="F191" s="263"/>
      <c r="G191" s="418"/>
      <c r="H191" s="263"/>
      <c r="I191" s="263"/>
      <c r="J191" s="263"/>
      <c r="K191" s="263"/>
      <c r="L191" s="563"/>
      <c r="M191" s="263"/>
      <c r="N191" s="263"/>
      <c r="O191" s="263"/>
      <c r="P191" s="265"/>
      <c r="Q191" s="263"/>
      <c r="R191" s="263"/>
      <c r="S191" s="263"/>
      <c r="T191" s="263"/>
      <c r="U191" s="263"/>
      <c r="V191" s="263"/>
      <c r="W191" s="263"/>
      <c r="X191" s="263"/>
      <c r="Y191" s="263"/>
      <c r="Z191" s="263"/>
      <c r="AA191" s="263"/>
      <c r="AB191" s="263"/>
      <c r="AC191" s="263"/>
      <c r="AD191" s="263"/>
      <c r="AE191" s="263"/>
      <c r="AF191" s="418"/>
      <c r="AG191" s="263"/>
      <c r="AH191" s="263"/>
      <c r="AI191" s="263"/>
    </row>
    <row r="192" spans="1:35" ht="15" customHeight="1">
      <c r="A192" s="69"/>
      <c r="B192" s="418"/>
      <c r="C192" s="263"/>
      <c r="E192" s="263"/>
      <c r="F192" s="263"/>
      <c r="G192" s="418"/>
      <c r="H192" s="263"/>
      <c r="I192" s="263"/>
      <c r="J192" s="263"/>
      <c r="K192" s="263"/>
      <c r="L192" s="563"/>
      <c r="M192" s="263"/>
      <c r="N192" s="263"/>
      <c r="O192" s="263"/>
      <c r="P192" s="265"/>
      <c r="Q192" s="263"/>
      <c r="R192" s="263"/>
      <c r="S192" s="263"/>
      <c r="T192" s="263"/>
      <c r="U192" s="263"/>
      <c r="V192" s="263"/>
      <c r="W192" s="263"/>
      <c r="X192" s="263"/>
      <c r="Y192" s="263"/>
      <c r="Z192" s="263"/>
      <c r="AA192" s="263"/>
      <c r="AB192" s="263"/>
      <c r="AC192" s="263"/>
      <c r="AD192" s="263"/>
      <c r="AE192" s="263"/>
      <c r="AF192" s="418"/>
      <c r="AG192" s="263"/>
      <c r="AH192" s="263"/>
      <c r="AI192" s="263"/>
    </row>
    <row r="193" spans="1:35" ht="15" customHeight="1">
      <c r="A193" s="69"/>
      <c r="B193" s="418"/>
      <c r="C193" s="263"/>
      <c r="E193" s="263"/>
      <c r="F193" s="263"/>
      <c r="G193" s="418"/>
      <c r="H193" s="263"/>
      <c r="I193" s="263"/>
      <c r="J193" s="263"/>
      <c r="K193" s="263"/>
      <c r="L193" s="563"/>
      <c r="M193" s="263"/>
      <c r="N193" s="263"/>
      <c r="O193" s="263"/>
      <c r="P193" s="265"/>
      <c r="Q193" s="263"/>
      <c r="R193" s="263"/>
      <c r="S193" s="263"/>
      <c r="T193" s="263"/>
      <c r="U193" s="263"/>
      <c r="V193" s="263"/>
      <c r="W193" s="263"/>
      <c r="X193" s="263"/>
      <c r="Y193" s="263"/>
      <c r="Z193" s="263"/>
      <c r="AA193" s="263"/>
      <c r="AB193" s="263"/>
      <c r="AC193" s="263"/>
      <c r="AD193" s="263"/>
      <c r="AE193" s="263"/>
      <c r="AF193" s="418"/>
      <c r="AG193" s="263"/>
      <c r="AH193" s="263"/>
      <c r="AI193" s="263"/>
    </row>
    <row r="194" spans="1:35" ht="15" customHeight="1">
      <c r="A194" s="69"/>
      <c r="B194" s="418"/>
      <c r="C194" s="263"/>
      <c r="E194" s="263"/>
      <c r="F194" s="263"/>
      <c r="G194" s="418"/>
      <c r="H194" s="263"/>
      <c r="I194" s="263"/>
      <c r="J194" s="263"/>
      <c r="K194" s="263"/>
      <c r="L194" s="563"/>
      <c r="M194" s="263"/>
      <c r="N194" s="263"/>
      <c r="O194" s="263"/>
      <c r="P194" s="265"/>
      <c r="Q194" s="263"/>
      <c r="R194" s="263"/>
      <c r="S194" s="263"/>
      <c r="T194" s="263"/>
      <c r="U194" s="263"/>
      <c r="V194" s="263"/>
      <c r="W194" s="263"/>
      <c r="X194" s="263"/>
      <c r="Y194" s="263"/>
      <c r="Z194" s="263"/>
      <c r="AA194" s="263"/>
      <c r="AB194" s="263"/>
      <c r="AC194" s="263"/>
      <c r="AD194" s="263"/>
      <c r="AE194" s="263"/>
      <c r="AF194" s="418"/>
      <c r="AG194" s="263"/>
      <c r="AH194" s="263"/>
      <c r="AI194" s="263"/>
    </row>
    <row r="195" spans="1:35" ht="15" customHeight="1">
      <c r="A195" s="69"/>
      <c r="B195" s="418"/>
      <c r="C195" s="263"/>
      <c r="E195" s="263"/>
      <c r="F195" s="263"/>
      <c r="G195" s="418"/>
      <c r="H195" s="263"/>
      <c r="I195" s="263"/>
      <c r="J195" s="263"/>
      <c r="K195" s="263"/>
      <c r="L195" s="563"/>
      <c r="M195" s="263"/>
      <c r="N195" s="263"/>
      <c r="O195" s="263"/>
      <c r="P195" s="265"/>
      <c r="Q195" s="263"/>
      <c r="R195" s="263"/>
      <c r="S195" s="263"/>
      <c r="T195" s="263"/>
      <c r="U195" s="263"/>
      <c r="V195" s="263"/>
      <c r="W195" s="263"/>
      <c r="X195" s="263"/>
      <c r="Y195" s="263"/>
      <c r="Z195" s="263"/>
      <c r="AA195" s="263"/>
      <c r="AB195" s="263"/>
      <c r="AC195" s="263"/>
      <c r="AD195" s="263"/>
      <c r="AE195" s="263"/>
      <c r="AF195" s="418"/>
      <c r="AG195" s="263"/>
      <c r="AH195" s="263"/>
      <c r="AI195" s="263"/>
    </row>
    <row r="196" spans="1:35" ht="15" customHeight="1">
      <c r="A196" s="69"/>
      <c r="B196" s="418"/>
      <c r="C196" s="263"/>
      <c r="E196" s="263"/>
      <c r="F196" s="263"/>
      <c r="G196" s="418"/>
      <c r="H196" s="263"/>
      <c r="I196" s="263"/>
      <c r="J196" s="263"/>
      <c r="K196" s="263"/>
      <c r="L196" s="563"/>
      <c r="M196" s="263"/>
      <c r="N196" s="263"/>
      <c r="O196" s="263"/>
      <c r="P196" s="265"/>
      <c r="Q196" s="263"/>
      <c r="R196" s="263"/>
      <c r="S196" s="263"/>
      <c r="T196" s="263"/>
      <c r="U196" s="263"/>
      <c r="V196" s="263"/>
      <c r="W196" s="263"/>
      <c r="X196" s="263"/>
      <c r="Y196" s="263"/>
      <c r="Z196" s="263"/>
      <c r="AA196" s="263"/>
      <c r="AB196" s="263"/>
      <c r="AC196" s="263"/>
      <c r="AD196" s="263"/>
      <c r="AE196" s="263"/>
      <c r="AF196" s="418"/>
      <c r="AG196" s="263"/>
      <c r="AH196" s="263"/>
      <c r="AI196" s="263"/>
    </row>
    <row r="197" spans="1:35" ht="15" customHeight="1">
      <c r="A197" s="69"/>
      <c r="B197" s="418"/>
      <c r="C197" s="263"/>
      <c r="E197" s="263"/>
      <c r="F197" s="263"/>
      <c r="G197" s="418"/>
      <c r="H197" s="263"/>
      <c r="I197" s="263"/>
      <c r="J197" s="263"/>
      <c r="K197" s="263"/>
      <c r="L197" s="563"/>
      <c r="M197" s="263"/>
      <c r="N197" s="263"/>
      <c r="O197" s="263"/>
      <c r="P197" s="265"/>
      <c r="Q197" s="263"/>
      <c r="R197" s="263"/>
      <c r="S197" s="263"/>
      <c r="T197" s="263"/>
      <c r="U197" s="263"/>
      <c r="V197" s="263"/>
      <c r="W197" s="263"/>
      <c r="X197" s="263"/>
      <c r="Y197" s="263"/>
      <c r="Z197" s="263"/>
      <c r="AA197" s="263"/>
      <c r="AB197" s="263"/>
      <c r="AC197" s="263"/>
      <c r="AD197" s="263"/>
      <c r="AE197" s="263"/>
      <c r="AF197" s="418"/>
      <c r="AG197" s="263"/>
      <c r="AH197" s="263"/>
      <c r="AI197" s="263"/>
    </row>
    <row r="198" spans="1:35" ht="15" customHeight="1">
      <c r="A198" s="69"/>
      <c r="B198" s="418"/>
      <c r="C198" s="263"/>
      <c r="E198" s="263"/>
      <c r="F198" s="263"/>
      <c r="G198" s="418"/>
      <c r="H198" s="263"/>
      <c r="I198" s="263"/>
      <c r="J198" s="263"/>
      <c r="K198" s="263"/>
      <c r="L198" s="563"/>
      <c r="M198" s="263"/>
      <c r="N198" s="263"/>
      <c r="O198" s="263"/>
      <c r="P198" s="265"/>
      <c r="Q198" s="263"/>
      <c r="R198" s="263"/>
      <c r="S198" s="263"/>
      <c r="T198" s="263"/>
      <c r="U198" s="263"/>
      <c r="V198" s="263"/>
      <c r="W198" s="263"/>
      <c r="X198" s="263"/>
      <c r="Y198" s="263"/>
      <c r="Z198" s="263"/>
      <c r="AA198" s="263"/>
      <c r="AB198" s="263"/>
      <c r="AC198" s="263"/>
      <c r="AD198" s="263"/>
      <c r="AE198" s="263"/>
      <c r="AF198" s="418"/>
      <c r="AG198" s="263"/>
      <c r="AH198" s="263"/>
      <c r="AI198" s="263"/>
    </row>
    <row r="199" spans="1:35" ht="15" customHeight="1">
      <c r="A199" s="69"/>
      <c r="B199" s="418"/>
      <c r="C199" s="263"/>
      <c r="E199" s="263"/>
      <c r="F199" s="263"/>
      <c r="G199" s="418"/>
      <c r="H199" s="263"/>
      <c r="I199" s="263"/>
      <c r="J199" s="263"/>
      <c r="K199" s="263"/>
      <c r="L199" s="563"/>
      <c r="M199" s="263"/>
      <c r="N199" s="263"/>
      <c r="O199" s="263"/>
      <c r="P199" s="265"/>
      <c r="Q199" s="263"/>
      <c r="R199" s="263"/>
      <c r="S199" s="263"/>
      <c r="T199" s="263"/>
      <c r="U199" s="263"/>
      <c r="V199" s="263"/>
      <c r="W199" s="263"/>
      <c r="X199" s="263"/>
      <c r="Y199" s="263"/>
      <c r="Z199" s="263"/>
      <c r="AA199" s="263"/>
      <c r="AB199" s="263"/>
      <c r="AC199" s="263"/>
      <c r="AD199" s="263"/>
      <c r="AE199" s="263"/>
      <c r="AF199" s="418"/>
      <c r="AG199" s="263"/>
      <c r="AH199" s="263"/>
      <c r="AI199" s="263"/>
    </row>
    <row r="200" spans="1:35" ht="15" customHeight="1">
      <c r="A200" s="69"/>
      <c r="B200" s="418"/>
      <c r="C200" s="263"/>
      <c r="E200" s="263"/>
      <c r="F200" s="263"/>
      <c r="G200" s="418"/>
      <c r="H200" s="263"/>
      <c r="I200" s="263"/>
      <c r="J200" s="263"/>
      <c r="K200" s="263"/>
      <c r="L200" s="563"/>
      <c r="M200" s="263"/>
      <c r="N200" s="263"/>
      <c r="O200" s="263"/>
      <c r="P200" s="265"/>
      <c r="Q200" s="263"/>
      <c r="R200" s="263"/>
      <c r="S200" s="263"/>
      <c r="T200" s="263"/>
      <c r="U200" s="263"/>
      <c r="V200" s="263"/>
      <c r="W200" s="263"/>
      <c r="X200" s="263"/>
      <c r="Y200" s="263"/>
      <c r="Z200" s="263"/>
      <c r="AA200" s="263"/>
      <c r="AB200" s="263"/>
      <c r="AC200" s="263"/>
      <c r="AD200" s="263"/>
      <c r="AE200" s="263"/>
      <c r="AF200" s="418"/>
      <c r="AG200" s="263"/>
      <c r="AH200" s="263"/>
      <c r="AI200" s="263"/>
    </row>
    <row r="201" spans="1:35" ht="15" customHeight="1">
      <c r="A201" s="69"/>
      <c r="B201" s="418"/>
      <c r="C201" s="263"/>
      <c r="E201" s="263"/>
      <c r="F201" s="263"/>
      <c r="G201" s="418"/>
      <c r="H201" s="263"/>
      <c r="I201" s="263"/>
      <c r="J201" s="263"/>
      <c r="K201" s="263"/>
      <c r="L201" s="563"/>
      <c r="M201" s="263"/>
      <c r="N201" s="263"/>
      <c r="O201" s="263"/>
      <c r="P201" s="265"/>
      <c r="Q201" s="263"/>
      <c r="R201" s="263"/>
      <c r="S201" s="263"/>
      <c r="T201" s="263"/>
      <c r="U201" s="263"/>
      <c r="V201" s="263"/>
      <c r="W201" s="263"/>
      <c r="X201" s="263"/>
      <c r="Y201" s="263"/>
      <c r="Z201" s="263"/>
      <c r="AA201" s="263"/>
      <c r="AB201" s="263"/>
      <c r="AC201" s="263"/>
      <c r="AD201" s="263"/>
      <c r="AE201" s="263"/>
      <c r="AF201" s="418"/>
      <c r="AG201" s="263"/>
      <c r="AH201" s="263"/>
      <c r="AI201" s="263"/>
    </row>
    <row r="202" spans="1:35" ht="15" customHeight="1">
      <c r="A202" s="69"/>
      <c r="B202" s="418"/>
      <c r="C202" s="263"/>
      <c r="E202" s="263"/>
      <c r="F202" s="263"/>
      <c r="G202" s="418"/>
      <c r="H202" s="263"/>
      <c r="I202" s="263"/>
      <c r="J202" s="263"/>
      <c r="K202" s="263"/>
      <c r="L202" s="563"/>
      <c r="M202" s="263"/>
      <c r="N202" s="263"/>
      <c r="O202" s="263"/>
      <c r="P202" s="265"/>
      <c r="Q202" s="263"/>
      <c r="R202" s="263"/>
      <c r="S202" s="263"/>
      <c r="T202" s="263"/>
      <c r="U202" s="263"/>
      <c r="V202" s="263"/>
      <c r="W202" s="263"/>
      <c r="X202" s="263"/>
      <c r="Y202" s="263"/>
      <c r="Z202" s="263"/>
      <c r="AA202" s="263"/>
      <c r="AB202" s="263"/>
      <c r="AC202" s="263"/>
      <c r="AD202" s="263"/>
      <c r="AE202" s="263"/>
      <c r="AF202" s="418"/>
      <c r="AG202" s="263"/>
      <c r="AH202" s="263"/>
      <c r="AI202" s="263"/>
    </row>
    <row r="203" spans="1:35" ht="15" customHeight="1">
      <c r="A203" s="69"/>
      <c r="B203" s="418"/>
      <c r="C203" s="263"/>
      <c r="E203" s="263"/>
      <c r="F203" s="263"/>
      <c r="G203" s="418"/>
      <c r="H203" s="263"/>
      <c r="I203" s="263"/>
      <c r="J203" s="263"/>
      <c r="K203" s="263"/>
      <c r="L203" s="563"/>
      <c r="M203" s="263"/>
      <c r="N203" s="263"/>
      <c r="O203" s="263"/>
      <c r="P203" s="265"/>
      <c r="Q203" s="263"/>
      <c r="R203" s="263"/>
      <c r="S203" s="263"/>
      <c r="T203" s="263"/>
      <c r="U203" s="263"/>
      <c r="V203" s="263"/>
      <c r="W203" s="263"/>
      <c r="X203" s="263"/>
      <c r="Y203" s="263"/>
      <c r="Z203" s="263"/>
      <c r="AA203" s="263"/>
      <c r="AB203" s="263"/>
      <c r="AC203" s="263"/>
      <c r="AD203" s="263"/>
      <c r="AE203" s="263"/>
      <c r="AF203" s="418"/>
      <c r="AG203" s="263"/>
      <c r="AH203" s="263"/>
      <c r="AI203" s="263"/>
    </row>
    <row r="204" spans="1:35" ht="15" customHeight="1">
      <c r="A204" s="69"/>
      <c r="B204" s="418"/>
      <c r="C204" s="263"/>
      <c r="E204" s="263"/>
      <c r="F204" s="263"/>
      <c r="G204" s="418"/>
      <c r="H204" s="263"/>
      <c r="I204" s="263"/>
      <c r="J204" s="263"/>
      <c r="K204" s="263"/>
      <c r="L204" s="563"/>
      <c r="M204" s="263"/>
      <c r="N204" s="263"/>
      <c r="O204" s="263"/>
      <c r="P204" s="265"/>
      <c r="Q204" s="263"/>
      <c r="R204" s="263"/>
      <c r="S204" s="263"/>
      <c r="T204" s="263"/>
      <c r="U204" s="263"/>
      <c r="V204" s="263"/>
      <c r="W204" s="263"/>
      <c r="X204" s="263"/>
      <c r="Y204" s="263"/>
      <c r="Z204" s="263"/>
      <c r="AA204" s="263"/>
      <c r="AB204" s="263"/>
      <c r="AC204" s="263"/>
      <c r="AD204" s="263"/>
      <c r="AE204" s="263"/>
      <c r="AF204" s="418"/>
      <c r="AG204" s="263"/>
      <c r="AH204" s="263"/>
      <c r="AI204" s="263"/>
    </row>
    <row r="205" spans="1:35" ht="15" customHeight="1">
      <c r="A205" s="69"/>
      <c r="B205" s="418"/>
      <c r="C205" s="263"/>
      <c r="E205" s="263"/>
      <c r="F205" s="263"/>
      <c r="G205" s="418"/>
      <c r="H205" s="263"/>
      <c r="I205" s="263"/>
      <c r="J205" s="263"/>
      <c r="K205" s="263"/>
      <c r="L205" s="563"/>
      <c r="M205" s="263"/>
      <c r="N205" s="263"/>
      <c r="O205" s="263"/>
      <c r="P205" s="265"/>
      <c r="Q205" s="263"/>
      <c r="R205" s="263"/>
      <c r="S205" s="263"/>
      <c r="T205" s="263"/>
      <c r="U205" s="263"/>
      <c r="V205" s="263"/>
      <c r="W205" s="263"/>
      <c r="X205" s="263"/>
      <c r="Y205" s="263"/>
      <c r="Z205" s="263"/>
      <c r="AA205" s="263"/>
      <c r="AB205" s="263"/>
      <c r="AC205" s="263"/>
      <c r="AD205" s="263"/>
      <c r="AE205" s="263"/>
      <c r="AF205" s="418"/>
      <c r="AG205" s="263"/>
      <c r="AH205" s="263"/>
      <c r="AI205" s="263"/>
    </row>
    <row r="206" spans="1:35" ht="15" customHeight="1">
      <c r="A206" s="69"/>
      <c r="B206" s="418"/>
      <c r="C206" s="263"/>
      <c r="E206" s="263"/>
      <c r="F206" s="263"/>
      <c r="G206" s="418"/>
      <c r="H206" s="263"/>
      <c r="I206" s="263"/>
      <c r="J206" s="263"/>
      <c r="K206" s="263"/>
      <c r="L206" s="563"/>
      <c r="M206" s="263"/>
      <c r="N206" s="263"/>
      <c r="O206" s="263"/>
      <c r="P206" s="265"/>
      <c r="Q206" s="263"/>
      <c r="R206" s="263"/>
      <c r="S206" s="263"/>
      <c r="T206" s="263"/>
      <c r="U206" s="263"/>
      <c r="V206" s="263"/>
      <c r="W206" s="263"/>
      <c r="X206" s="263"/>
      <c r="Y206" s="263"/>
      <c r="Z206" s="263"/>
      <c r="AA206" s="263"/>
      <c r="AB206" s="263"/>
      <c r="AC206" s="263"/>
      <c r="AD206" s="263"/>
      <c r="AE206" s="263"/>
      <c r="AF206" s="418"/>
      <c r="AG206" s="263"/>
      <c r="AH206" s="263"/>
      <c r="AI206" s="263"/>
    </row>
    <row r="207" spans="1:35" ht="15" customHeight="1">
      <c r="A207" s="69"/>
      <c r="B207" s="418"/>
      <c r="C207" s="263"/>
      <c r="E207" s="263"/>
      <c r="F207" s="263"/>
      <c r="G207" s="418"/>
      <c r="H207" s="263"/>
      <c r="I207" s="263"/>
      <c r="J207" s="263"/>
      <c r="K207" s="263"/>
      <c r="L207" s="563"/>
      <c r="M207" s="263"/>
      <c r="N207" s="263"/>
      <c r="O207" s="263"/>
      <c r="P207" s="265"/>
      <c r="Q207" s="263"/>
      <c r="R207" s="263"/>
      <c r="S207" s="263"/>
      <c r="T207" s="263"/>
      <c r="U207" s="263"/>
      <c r="V207" s="263"/>
      <c r="W207" s="263"/>
      <c r="X207" s="263"/>
      <c r="Y207" s="263"/>
      <c r="Z207" s="263"/>
      <c r="AA207" s="263"/>
      <c r="AB207" s="263"/>
      <c r="AC207" s="263"/>
      <c r="AD207" s="263"/>
      <c r="AE207" s="263"/>
      <c r="AF207" s="418"/>
      <c r="AG207" s="263"/>
      <c r="AH207" s="263"/>
      <c r="AI207" s="263"/>
    </row>
    <row r="208" spans="1:35" ht="15" customHeight="1">
      <c r="A208" s="69"/>
      <c r="B208" s="418"/>
      <c r="C208" s="263"/>
      <c r="E208" s="263"/>
      <c r="F208" s="263"/>
      <c r="G208" s="418"/>
      <c r="H208" s="263"/>
      <c r="I208" s="263"/>
      <c r="J208" s="263"/>
      <c r="K208" s="263"/>
      <c r="L208" s="563"/>
      <c r="M208" s="263"/>
      <c r="N208" s="263"/>
      <c r="O208" s="263"/>
      <c r="P208" s="265"/>
      <c r="Q208" s="263"/>
      <c r="R208" s="263"/>
      <c r="S208" s="263"/>
      <c r="T208" s="263"/>
      <c r="U208" s="263"/>
      <c r="V208" s="263"/>
      <c r="W208" s="263"/>
      <c r="X208" s="263"/>
      <c r="Y208" s="263"/>
      <c r="Z208" s="263"/>
      <c r="AA208" s="263"/>
      <c r="AB208" s="263"/>
      <c r="AC208" s="263"/>
      <c r="AD208" s="263"/>
      <c r="AE208" s="263"/>
      <c r="AF208" s="418"/>
      <c r="AG208" s="263"/>
      <c r="AH208" s="263"/>
      <c r="AI208" s="263"/>
    </row>
    <row r="209" spans="1:35" ht="15" customHeight="1">
      <c r="A209" s="69"/>
      <c r="B209" s="418"/>
      <c r="C209" s="263"/>
      <c r="E209" s="263"/>
      <c r="F209" s="263"/>
      <c r="G209" s="418"/>
      <c r="H209" s="263"/>
      <c r="I209" s="263"/>
      <c r="J209" s="263"/>
      <c r="K209" s="263"/>
      <c r="L209" s="563"/>
      <c r="M209" s="263"/>
      <c r="N209" s="263"/>
      <c r="O209" s="263"/>
      <c r="P209" s="265"/>
      <c r="Q209" s="263"/>
      <c r="R209" s="263"/>
      <c r="S209" s="263"/>
      <c r="T209" s="263"/>
      <c r="U209" s="263"/>
      <c r="V209" s="263"/>
      <c r="W209" s="263"/>
      <c r="X209" s="263"/>
      <c r="Y209" s="263"/>
      <c r="Z209" s="263"/>
      <c r="AA209" s="263"/>
      <c r="AB209" s="263"/>
      <c r="AC209" s="263"/>
      <c r="AD209" s="263"/>
      <c r="AE209" s="263"/>
      <c r="AF209" s="418"/>
      <c r="AG209" s="263"/>
      <c r="AH209" s="263"/>
      <c r="AI209" s="263"/>
    </row>
    <row r="210" spans="1:35" ht="15" customHeight="1">
      <c r="A210" s="69"/>
      <c r="B210" s="418"/>
      <c r="C210" s="263"/>
      <c r="E210" s="263"/>
      <c r="F210" s="263"/>
      <c r="G210" s="418"/>
      <c r="H210" s="263"/>
      <c r="I210" s="263"/>
      <c r="J210" s="263"/>
      <c r="K210" s="263"/>
      <c r="L210" s="563"/>
      <c r="M210" s="263"/>
      <c r="N210" s="263"/>
      <c r="O210" s="263"/>
      <c r="P210" s="265"/>
      <c r="Q210" s="263"/>
      <c r="R210" s="263"/>
      <c r="S210" s="263"/>
      <c r="T210" s="263"/>
      <c r="U210" s="263"/>
      <c r="V210" s="263"/>
      <c r="W210" s="263"/>
      <c r="X210" s="263"/>
      <c r="Y210" s="263"/>
      <c r="Z210" s="263"/>
      <c r="AA210" s="263"/>
      <c r="AB210" s="263"/>
      <c r="AC210" s="263"/>
      <c r="AD210" s="263"/>
      <c r="AE210" s="263"/>
      <c r="AF210" s="418"/>
      <c r="AG210" s="263"/>
      <c r="AH210" s="263"/>
      <c r="AI210" s="263"/>
    </row>
    <row r="211" spans="1:35" ht="15" customHeight="1">
      <c r="A211" s="69"/>
      <c r="B211" s="418"/>
      <c r="C211" s="263"/>
      <c r="E211" s="263"/>
      <c r="F211" s="263"/>
      <c r="G211" s="418"/>
      <c r="H211" s="263"/>
      <c r="I211" s="263"/>
      <c r="J211" s="263"/>
      <c r="K211" s="263"/>
      <c r="L211" s="563"/>
      <c r="M211" s="263"/>
      <c r="N211" s="263"/>
      <c r="O211" s="263"/>
      <c r="P211" s="265"/>
      <c r="Q211" s="263"/>
      <c r="R211" s="263"/>
      <c r="S211" s="263"/>
      <c r="T211" s="263"/>
      <c r="U211" s="263"/>
      <c r="V211" s="263"/>
      <c r="W211" s="263"/>
      <c r="X211" s="263"/>
      <c r="Y211" s="263"/>
      <c r="Z211" s="263"/>
      <c r="AA211" s="263"/>
      <c r="AB211" s="263"/>
      <c r="AC211" s="263"/>
      <c r="AD211" s="263"/>
      <c r="AE211" s="263"/>
      <c r="AF211" s="418"/>
      <c r="AG211" s="263"/>
      <c r="AH211" s="263"/>
      <c r="AI211" s="263"/>
    </row>
    <row r="212" spans="1:35" ht="15" customHeight="1">
      <c r="A212" s="69"/>
      <c r="B212" s="418"/>
      <c r="C212" s="263"/>
      <c r="E212" s="263"/>
      <c r="F212" s="263"/>
      <c r="G212" s="418"/>
      <c r="H212" s="263"/>
      <c r="I212" s="263"/>
      <c r="J212" s="263"/>
      <c r="K212" s="263"/>
      <c r="L212" s="563"/>
      <c r="M212" s="263"/>
      <c r="N212" s="263"/>
      <c r="O212" s="263"/>
      <c r="P212" s="265"/>
      <c r="Q212" s="263"/>
      <c r="R212" s="263"/>
      <c r="S212" s="263"/>
      <c r="T212" s="263"/>
      <c r="U212" s="263"/>
      <c r="V212" s="263"/>
      <c r="W212" s="263"/>
      <c r="X212" s="263"/>
      <c r="Y212" s="263"/>
      <c r="Z212" s="263"/>
      <c r="AA212" s="263"/>
      <c r="AB212" s="263"/>
      <c r="AC212" s="263"/>
      <c r="AD212" s="263"/>
      <c r="AE212" s="263"/>
      <c r="AF212" s="418"/>
      <c r="AG212" s="263"/>
      <c r="AH212" s="263"/>
      <c r="AI212" s="263"/>
    </row>
    <row r="213" spans="1:35" ht="15" customHeight="1">
      <c r="A213" s="69"/>
      <c r="B213" s="418"/>
      <c r="C213" s="263"/>
      <c r="E213" s="263"/>
      <c r="F213" s="263"/>
      <c r="G213" s="418"/>
      <c r="H213" s="263"/>
      <c r="I213" s="263"/>
      <c r="J213" s="263"/>
      <c r="K213" s="263"/>
      <c r="L213" s="563"/>
      <c r="M213" s="263"/>
      <c r="N213" s="263"/>
      <c r="O213" s="263"/>
      <c r="P213" s="265"/>
      <c r="Q213" s="263"/>
      <c r="R213" s="263"/>
      <c r="S213" s="263"/>
      <c r="T213" s="263"/>
      <c r="U213" s="263"/>
      <c r="V213" s="263"/>
      <c r="W213" s="263"/>
      <c r="X213" s="263"/>
      <c r="Y213" s="263"/>
      <c r="Z213" s="263"/>
      <c r="AA213" s="263"/>
      <c r="AB213" s="263"/>
      <c r="AC213" s="263"/>
      <c r="AD213" s="263"/>
      <c r="AE213" s="263"/>
      <c r="AF213" s="418"/>
      <c r="AG213" s="263"/>
      <c r="AH213" s="263"/>
      <c r="AI213" s="263"/>
    </row>
    <row r="214" spans="1:35" ht="15" customHeight="1">
      <c r="A214" s="69"/>
      <c r="B214" s="418"/>
      <c r="C214" s="263"/>
      <c r="E214" s="263"/>
      <c r="F214" s="263"/>
      <c r="G214" s="418"/>
      <c r="H214" s="263"/>
      <c r="I214" s="263"/>
      <c r="J214" s="263"/>
      <c r="K214" s="263"/>
      <c r="L214" s="563"/>
      <c r="M214" s="263"/>
      <c r="N214" s="263"/>
      <c r="O214" s="263"/>
      <c r="P214" s="265"/>
      <c r="Q214" s="263"/>
      <c r="R214" s="263"/>
      <c r="S214" s="263"/>
      <c r="T214" s="263"/>
      <c r="U214" s="263"/>
      <c r="V214" s="263"/>
      <c r="W214" s="263"/>
      <c r="X214" s="263"/>
      <c r="Y214" s="263"/>
      <c r="Z214" s="263"/>
      <c r="AA214" s="263"/>
      <c r="AB214" s="263"/>
      <c r="AC214" s="263"/>
      <c r="AD214" s="263"/>
      <c r="AE214" s="263"/>
      <c r="AF214" s="418"/>
      <c r="AG214" s="263"/>
      <c r="AH214" s="263"/>
      <c r="AI214" s="263"/>
    </row>
    <row r="215" spans="1:35" ht="15" customHeight="1">
      <c r="A215" s="69"/>
      <c r="B215" s="418"/>
      <c r="C215" s="263"/>
      <c r="E215" s="263"/>
      <c r="F215" s="263"/>
      <c r="G215" s="418"/>
      <c r="H215" s="263"/>
      <c r="I215" s="263"/>
      <c r="J215" s="263"/>
      <c r="K215" s="263"/>
      <c r="L215" s="563"/>
      <c r="M215" s="263"/>
      <c r="N215" s="263"/>
      <c r="O215" s="263"/>
      <c r="P215" s="265"/>
      <c r="Q215" s="263"/>
      <c r="R215" s="263"/>
      <c r="S215" s="263"/>
      <c r="T215" s="263"/>
      <c r="U215" s="263"/>
      <c r="V215" s="263"/>
      <c r="W215" s="263"/>
      <c r="X215" s="263"/>
      <c r="Y215" s="263"/>
      <c r="Z215" s="263"/>
      <c r="AA215" s="263"/>
      <c r="AB215" s="263"/>
      <c r="AC215" s="263"/>
      <c r="AD215" s="263"/>
      <c r="AE215" s="263"/>
      <c r="AF215" s="418"/>
      <c r="AG215" s="263"/>
      <c r="AH215" s="263"/>
      <c r="AI215" s="263"/>
    </row>
    <row r="216" spans="1:35" ht="15" customHeight="1">
      <c r="A216" s="69"/>
      <c r="B216" s="418"/>
      <c r="C216" s="263"/>
      <c r="E216" s="263"/>
      <c r="F216" s="263"/>
      <c r="G216" s="418"/>
      <c r="H216" s="263"/>
      <c r="I216" s="263"/>
      <c r="J216" s="263"/>
      <c r="K216" s="263"/>
      <c r="L216" s="563"/>
      <c r="M216" s="263"/>
      <c r="N216" s="263"/>
      <c r="O216" s="263"/>
      <c r="P216" s="265"/>
      <c r="Q216" s="263"/>
      <c r="R216" s="263"/>
      <c r="S216" s="263"/>
      <c r="T216" s="263"/>
      <c r="U216" s="263"/>
      <c r="V216" s="263"/>
      <c r="W216" s="263"/>
      <c r="X216" s="263"/>
      <c r="Y216" s="263"/>
      <c r="Z216" s="263"/>
      <c r="AA216" s="263"/>
      <c r="AB216" s="263"/>
      <c r="AC216" s="263"/>
      <c r="AD216" s="263"/>
      <c r="AE216" s="263"/>
      <c r="AF216" s="418"/>
      <c r="AG216" s="263"/>
      <c r="AH216" s="263"/>
      <c r="AI216" s="263"/>
    </row>
    <row r="217" spans="1:35" ht="15" customHeight="1">
      <c r="A217" s="69"/>
      <c r="B217" s="418"/>
      <c r="C217" s="263"/>
      <c r="E217" s="263"/>
      <c r="F217" s="263"/>
      <c r="G217" s="418"/>
      <c r="H217" s="263"/>
      <c r="I217" s="263"/>
      <c r="J217" s="263"/>
      <c r="K217" s="263"/>
      <c r="L217" s="563"/>
      <c r="M217" s="263"/>
      <c r="N217" s="263"/>
      <c r="O217" s="263"/>
      <c r="P217" s="265"/>
      <c r="Q217" s="263"/>
      <c r="R217" s="263"/>
      <c r="S217" s="263"/>
      <c r="T217" s="263"/>
      <c r="U217" s="263"/>
      <c r="V217" s="263"/>
      <c r="W217" s="263"/>
      <c r="X217" s="263"/>
      <c r="Y217" s="263"/>
      <c r="Z217" s="263"/>
      <c r="AA217" s="263"/>
      <c r="AB217" s="263"/>
      <c r="AC217" s="263"/>
      <c r="AD217" s="263"/>
      <c r="AE217" s="263"/>
      <c r="AF217" s="418"/>
      <c r="AG217" s="263"/>
      <c r="AH217" s="263"/>
      <c r="AI217" s="263"/>
    </row>
    <row r="218" spans="1:35" ht="15" customHeight="1">
      <c r="A218" s="69"/>
      <c r="B218" s="418"/>
      <c r="C218" s="263"/>
      <c r="E218" s="263"/>
      <c r="F218" s="263"/>
      <c r="G218" s="418"/>
      <c r="H218" s="263"/>
      <c r="I218" s="263"/>
      <c r="J218" s="263"/>
      <c r="K218" s="263"/>
      <c r="L218" s="563"/>
      <c r="M218" s="263"/>
      <c r="N218" s="263"/>
      <c r="O218" s="263"/>
      <c r="P218" s="265"/>
      <c r="Q218" s="263"/>
      <c r="R218" s="263"/>
      <c r="S218" s="263"/>
      <c r="T218" s="263"/>
      <c r="U218" s="263"/>
      <c r="V218" s="263"/>
      <c r="W218" s="263"/>
      <c r="X218" s="263"/>
      <c r="Y218" s="263"/>
      <c r="Z218" s="263"/>
      <c r="AA218" s="263"/>
      <c r="AB218" s="263"/>
      <c r="AC218" s="263"/>
      <c r="AD218" s="263"/>
      <c r="AE218" s="263"/>
      <c r="AF218" s="418"/>
      <c r="AG218" s="263"/>
      <c r="AH218" s="263"/>
      <c r="AI218" s="263"/>
    </row>
    <row r="219" spans="1:35" ht="15" customHeight="1">
      <c r="A219" s="69"/>
      <c r="B219" s="418"/>
      <c r="C219" s="263"/>
      <c r="E219" s="263"/>
      <c r="F219" s="263"/>
      <c r="G219" s="418"/>
      <c r="H219" s="263"/>
      <c r="I219" s="263"/>
      <c r="J219" s="263"/>
      <c r="K219" s="263"/>
      <c r="L219" s="563"/>
      <c r="M219" s="263"/>
      <c r="N219" s="263"/>
      <c r="O219" s="263"/>
      <c r="P219" s="265"/>
      <c r="Q219" s="263"/>
      <c r="R219" s="263"/>
      <c r="S219" s="263"/>
      <c r="T219" s="263"/>
      <c r="U219" s="263"/>
      <c r="V219" s="263"/>
      <c r="W219" s="263"/>
      <c r="X219" s="263"/>
      <c r="Y219" s="263"/>
      <c r="Z219" s="263"/>
      <c r="AA219" s="263"/>
      <c r="AB219" s="263"/>
      <c r="AC219" s="263"/>
      <c r="AD219" s="263"/>
      <c r="AE219" s="263"/>
      <c r="AF219" s="418"/>
      <c r="AG219" s="263"/>
      <c r="AH219" s="263"/>
      <c r="AI219" s="263"/>
    </row>
    <row r="220" spans="1:35" ht="15" customHeight="1">
      <c r="A220" s="69"/>
      <c r="B220" s="418"/>
      <c r="C220" s="263"/>
      <c r="E220" s="263"/>
      <c r="F220" s="263"/>
      <c r="G220" s="418"/>
      <c r="H220" s="263"/>
      <c r="I220" s="263"/>
      <c r="J220" s="263"/>
      <c r="K220" s="263"/>
      <c r="L220" s="563"/>
      <c r="M220" s="263"/>
      <c r="N220" s="263"/>
      <c r="O220" s="263"/>
      <c r="P220" s="265"/>
      <c r="Q220" s="263"/>
      <c r="R220" s="263"/>
      <c r="S220" s="263"/>
      <c r="T220" s="263"/>
      <c r="U220" s="263"/>
      <c r="V220" s="263"/>
      <c r="W220" s="263"/>
      <c r="X220" s="263"/>
      <c r="Y220" s="263"/>
      <c r="Z220" s="263"/>
      <c r="AA220" s="263"/>
      <c r="AB220" s="263"/>
      <c r="AC220" s="263"/>
      <c r="AD220" s="263"/>
      <c r="AE220" s="263"/>
      <c r="AF220" s="418"/>
      <c r="AG220" s="263"/>
      <c r="AH220" s="263"/>
      <c r="AI220" s="263"/>
    </row>
    <row r="221" spans="1:35" ht="15" customHeight="1">
      <c r="A221" s="69"/>
      <c r="B221" s="418"/>
      <c r="C221" s="263"/>
      <c r="E221" s="263"/>
      <c r="F221" s="263"/>
      <c r="G221" s="418"/>
      <c r="H221" s="263"/>
      <c r="I221" s="263"/>
      <c r="J221" s="263"/>
      <c r="K221" s="263"/>
      <c r="L221" s="563"/>
      <c r="M221" s="263"/>
      <c r="N221" s="263"/>
      <c r="O221" s="263"/>
      <c r="P221" s="265"/>
      <c r="Q221" s="263"/>
      <c r="R221" s="263"/>
      <c r="S221" s="263"/>
      <c r="T221" s="263"/>
      <c r="U221" s="263"/>
      <c r="V221" s="263"/>
      <c r="W221" s="263"/>
      <c r="X221" s="263"/>
      <c r="Y221" s="263"/>
      <c r="Z221" s="263"/>
      <c r="AA221" s="263"/>
      <c r="AB221" s="263"/>
      <c r="AC221" s="263"/>
      <c r="AD221" s="263"/>
      <c r="AE221" s="263"/>
      <c r="AF221" s="418"/>
      <c r="AG221" s="263"/>
      <c r="AH221" s="263"/>
      <c r="AI221" s="263"/>
    </row>
    <row r="222" spans="1:35" ht="15" customHeight="1">
      <c r="A222" s="69"/>
      <c r="B222" s="418"/>
      <c r="C222" s="263"/>
      <c r="E222" s="263"/>
      <c r="F222" s="263"/>
      <c r="G222" s="418"/>
      <c r="H222" s="263"/>
      <c r="I222" s="263"/>
      <c r="J222" s="263"/>
      <c r="K222" s="263"/>
      <c r="L222" s="563"/>
      <c r="M222" s="263"/>
      <c r="N222" s="263"/>
      <c r="O222" s="263"/>
      <c r="P222" s="265"/>
      <c r="Q222" s="263"/>
      <c r="R222" s="263"/>
      <c r="S222" s="263"/>
      <c r="T222" s="263"/>
      <c r="U222" s="263"/>
      <c r="V222" s="263"/>
      <c r="W222" s="263"/>
      <c r="X222" s="263"/>
      <c r="Y222" s="263"/>
      <c r="Z222" s="263"/>
      <c r="AA222" s="263"/>
      <c r="AB222" s="263"/>
      <c r="AC222" s="263"/>
      <c r="AD222" s="263"/>
      <c r="AE222" s="263"/>
      <c r="AF222" s="418"/>
      <c r="AG222" s="263"/>
      <c r="AH222" s="263"/>
      <c r="AI222" s="263"/>
    </row>
    <row r="223" spans="1:35" ht="15" customHeight="1">
      <c r="A223" s="69"/>
      <c r="B223" s="418"/>
      <c r="C223" s="263"/>
      <c r="E223" s="263"/>
      <c r="F223" s="263"/>
      <c r="G223" s="418"/>
      <c r="H223" s="263"/>
      <c r="I223" s="263"/>
      <c r="J223" s="263"/>
      <c r="K223" s="263"/>
      <c r="L223" s="563"/>
      <c r="M223" s="263"/>
      <c r="N223" s="263"/>
      <c r="O223" s="263"/>
      <c r="P223" s="265"/>
      <c r="Q223" s="263"/>
      <c r="R223" s="263"/>
      <c r="S223" s="263"/>
      <c r="T223" s="263"/>
      <c r="U223" s="263"/>
      <c r="V223" s="263"/>
      <c r="W223" s="263"/>
      <c r="X223" s="263"/>
      <c r="Y223" s="263"/>
      <c r="Z223" s="263"/>
      <c r="AA223" s="263"/>
      <c r="AB223" s="263"/>
      <c r="AC223" s="263"/>
      <c r="AD223" s="263"/>
      <c r="AE223" s="263"/>
      <c r="AF223" s="418"/>
      <c r="AG223" s="263"/>
      <c r="AH223" s="263"/>
      <c r="AI223" s="263"/>
    </row>
    <row r="224" spans="1:35" ht="15" customHeight="1">
      <c r="A224" s="69"/>
      <c r="B224" s="418"/>
      <c r="C224" s="263"/>
      <c r="E224" s="263"/>
      <c r="F224" s="263"/>
      <c r="G224" s="418"/>
      <c r="H224" s="263"/>
      <c r="I224" s="263"/>
      <c r="J224" s="263"/>
      <c r="K224" s="263"/>
      <c r="L224" s="563"/>
      <c r="M224" s="263"/>
      <c r="N224" s="263"/>
      <c r="O224" s="263"/>
      <c r="P224" s="265"/>
      <c r="Q224" s="263"/>
      <c r="R224" s="263"/>
      <c r="S224" s="263"/>
      <c r="T224" s="263"/>
      <c r="U224" s="263"/>
      <c r="V224" s="263"/>
      <c r="W224" s="263"/>
      <c r="X224" s="263"/>
      <c r="Y224" s="263"/>
      <c r="Z224" s="263"/>
      <c r="AA224" s="263"/>
      <c r="AB224" s="263"/>
      <c r="AC224" s="263"/>
      <c r="AD224" s="263"/>
      <c r="AE224" s="263"/>
      <c r="AF224" s="418"/>
      <c r="AG224" s="263"/>
      <c r="AH224" s="263"/>
      <c r="AI224" s="263"/>
    </row>
    <row r="225" spans="1:35" ht="15" customHeight="1">
      <c r="A225" s="69"/>
      <c r="B225" s="418"/>
      <c r="C225" s="263"/>
      <c r="E225" s="263"/>
      <c r="F225" s="263"/>
      <c r="G225" s="418"/>
      <c r="H225" s="263"/>
      <c r="I225" s="263"/>
      <c r="J225" s="263"/>
      <c r="K225" s="263"/>
      <c r="L225" s="563"/>
      <c r="M225" s="263"/>
      <c r="N225" s="263"/>
      <c r="O225" s="263"/>
      <c r="P225" s="265"/>
      <c r="Q225" s="263"/>
      <c r="R225" s="263"/>
      <c r="S225" s="263"/>
      <c r="T225" s="263"/>
      <c r="U225" s="263"/>
      <c r="V225" s="263"/>
      <c r="W225" s="263"/>
      <c r="X225" s="263"/>
      <c r="Y225" s="263"/>
      <c r="Z225" s="263"/>
      <c r="AA225" s="263"/>
      <c r="AB225" s="263"/>
      <c r="AC225" s="263"/>
      <c r="AD225" s="263"/>
      <c r="AE225" s="263"/>
      <c r="AF225" s="418"/>
      <c r="AG225" s="263"/>
      <c r="AH225" s="263"/>
      <c r="AI225" s="263"/>
    </row>
    <row r="226" spans="1:35" ht="15" customHeight="1">
      <c r="A226" s="69"/>
      <c r="B226" s="418"/>
      <c r="C226" s="263"/>
      <c r="E226" s="263"/>
      <c r="F226" s="263"/>
      <c r="G226" s="418"/>
      <c r="H226" s="263"/>
      <c r="I226" s="263"/>
      <c r="J226" s="263"/>
      <c r="K226" s="263"/>
      <c r="L226" s="563"/>
      <c r="M226" s="263"/>
      <c r="N226" s="263"/>
      <c r="O226" s="263"/>
      <c r="P226" s="265"/>
      <c r="Q226" s="263"/>
      <c r="R226" s="263"/>
      <c r="S226" s="263"/>
      <c r="T226" s="263"/>
      <c r="U226" s="263"/>
      <c r="V226" s="263"/>
      <c r="W226" s="263"/>
      <c r="X226" s="263"/>
      <c r="Y226" s="263"/>
      <c r="Z226" s="263"/>
      <c r="AA226" s="263"/>
      <c r="AB226" s="263"/>
      <c r="AC226" s="263"/>
      <c r="AD226" s="263"/>
      <c r="AE226" s="263"/>
      <c r="AF226" s="418"/>
      <c r="AG226" s="263"/>
      <c r="AH226" s="263"/>
      <c r="AI226" s="263"/>
    </row>
    <row r="227" spans="1:35" ht="15" customHeight="1">
      <c r="A227" s="69"/>
      <c r="B227" s="418"/>
      <c r="C227" s="263"/>
      <c r="E227" s="263"/>
      <c r="F227" s="263"/>
      <c r="G227" s="418"/>
      <c r="H227" s="263"/>
      <c r="I227" s="263"/>
      <c r="J227" s="263"/>
      <c r="K227" s="263"/>
      <c r="L227" s="563"/>
      <c r="M227" s="263"/>
      <c r="N227" s="263"/>
      <c r="O227" s="263"/>
      <c r="P227" s="265"/>
      <c r="Q227" s="263"/>
      <c r="R227" s="263"/>
      <c r="S227" s="263"/>
      <c r="T227" s="263"/>
      <c r="U227" s="263"/>
      <c r="V227" s="263"/>
      <c r="W227" s="263"/>
      <c r="X227" s="263"/>
      <c r="Y227" s="263"/>
      <c r="Z227" s="263"/>
      <c r="AA227" s="263"/>
      <c r="AB227" s="263"/>
      <c r="AC227" s="263"/>
      <c r="AD227" s="263"/>
      <c r="AE227" s="263"/>
      <c r="AF227" s="418"/>
      <c r="AG227" s="263"/>
      <c r="AH227" s="263"/>
      <c r="AI227" s="263"/>
    </row>
    <row r="228" spans="1:35" ht="15" customHeight="1">
      <c r="A228" s="69"/>
      <c r="B228" s="418"/>
      <c r="C228" s="263"/>
      <c r="E228" s="263"/>
      <c r="F228" s="263"/>
      <c r="G228" s="418"/>
      <c r="H228" s="263"/>
      <c r="I228" s="263"/>
      <c r="J228" s="263"/>
      <c r="K228" s="263"/>
      <c r="L228" s="563"/>
      <c r="M228" s="263"/>
      <c r="N228" s="263"/>
      <c r="O228" s="263"/>
      <c r="P228" s="265"/>
      <c r="Q228" s="263"/>
      <c r="R228" s="263"/>
      <c r="S228" s="263"/>
      <c r="T228" s="263"/>
      <c r="U228" s="263"/>
      <c r="V228" s="263"/>
      <c r="W228" s="263"/>
      <c r="X228" s="263"/>
      <c r="Y228" s="263"/>
      <c r="Z228" s="263"/>
      <c r="AA228" s="263"/>
      <c r="AB228" s="263"/>
      <c r="AC228" s="263"/>
      <c r="AD228" s="263"/>
      <c r="AE228" s="263"/>
      <c r="AF228" s="418"/>
      <c r="AG228" s="263"/>
      <c r="AH228" s="263"/>
      <c r="AI228" s="263"/>
    </row>
    <row r="229" spans="1:35" ht="15" customHeight="1">
      <c r="A229" s="69"/>
      <c r="B229" s="418"/>
      <c r="C229" s="263"/>
      <c r="E229" s="263"/>
      <c r="F229" s="263"/>
      <c r="G229" s="418"/>
      <c r="H229" s="263"/>
      <c r="I229" s="263"/>
      <c r="J229" s="263"/>
      <c r="K229" s="263"/>
      <c r="L229" s="563"/>
      <c r="M229" s="263"/>
      <c r="N229" s="263"/>
      <c r="O229" s="263"/>
      <c r="P229" s="265"/>
      <c r="Q229" s="263"/>
      <c r="R229" s="263"/>
      <c r="S229" s="263"/>
      <c r="T229" s="263"/>
      <c r="U229" s="263"/>
      <c r="V229" s="263"/>
      <c r="W229" s="263"/>
      <c r="X229" s="263"/>
      <c r="Y229" s="263"/>
      <c r="Z229" s="263"/>
      <c r="AA229" s="263"/>
      <c r="AB229" s="263"/>
      <c r="AC229" s="263"/>
      <c r="AD229" s="263"/>
      <c r="AE229" s="263"/>
      <c r="AF229" s="418"/>
      <c r="AG229" s="263"/>
      <c r="AH229" s="263"/>
      <c r="AI229" s="263"/>
    </row>
    <row r="230" spans="1:35" ht="15" customHeight="1">
      <c r="A230" s="69"/>
      <c r="B230" s="418"/>
      <c r="C230" s="263"/>
      <c r="E230" s="263"/>
      <c r="F230" s="263"/>
      <c r="G230" s="418"/>
      <c r="H230" s="263"/>
      <c r="I230" s="263"/>
      <c r="J230" s="263"/>
      <c r="K230" s="263"/>
      <c r="L230" s="563"/>
      <c r="M230" s="263"/>
      <c r="N230" s="263"/>
      <c r="O230" s="263"/>
      <c r="P230" s="265"/>
      <c r="Q230" s="263"/>
      <c r="R230" s="263"/>
      <c r="S230" s="263"/>
      <c r="T230" s="263"/>
      <c r="U230" s="263"/>
      <c r="V230" s="263"/>
      <c r="W230" s="263"/>
      <c r="X230" s="263"/>
      <c r="Y230" s="263"/>
      <c r="Z230" s="263"/>
      <c r="AA230" s="263"/>
      <c r="AB230" s="263"/>
      <c r="AC230" s="263"/>
      <c r="AD230" s="263"/>
      <c r="AE230" s="263"/>
      <c r="AF230" s="418"/>
      <c r="AG230" s="263"/>
      <c r="AH230" s="263"/>
      <c r="AI230" s="263"/>
    </row>
    <row r="231" spans="1:35" ht="15" customHeight="1">
      <c r="A231" s="69"/>
      <c r="B231" s="418"/>
      <c r="C231" s="263"/>
      <c r="E231" s="263"/>
      <c r="F231" s="263"/>
      <c r="G231" s="418"/>
      <c r="H231" s="263"/>
      <c r="I231" s="263"/>
      <c r="J231" s="263"/>
      <c r="K231" s="263"/>
      <c r="L231" s="563"/>
      <c r="M231" s="263"/>
      <c r="N231" s="263"/>
      <c r="O231" s="263"/>
      <c r="P231" s="265"/>
      <c r="Q231" s="263"/>
      <c r="R231" s="263"/>
      <c r="S231" s="263"/>
      <c r="T231" s="263"/>
      <c r="U231" s="263"/>
      <c r="V231" s="263"/>
      <c r="W231" s="263"/>
      <c r="X231" s="263"/>
      <c r="Y231" s="263"/>
      <c r="Z231" s="263"/>
      <c r="AA231" s="263"/>
      <c r="AB231" s="263"/>
      <c r="AC231" s="263"/>
      <c r="AD231" s="263"/>
      <c r="AE231" s="263"/>
      <c r="AF231" s="418"/>
      <c r="AG231" s="263"/>
      <c r="AH231" s="263"/>
      <c r="AI231" s="263"/>
    </row>
    <row r="232" spans="1:35" ht="15" customHeight="1">
      <c r="A232" s="69"/>
      <c r="B232" s="418"/>
      <c r="C232" s="263"/>
      <c r="E232" s="263"/>
      <c r="F232" s="263"/>
      <c r="G232" s="418"/>
      <c r="H232" s="263"/>
      <c r="I232" s="263"/>
      <c r="J232" s="263"/>
      <c r="K232" s="263"/>
      <c r="L232" s="563"/>
      <c r="M232" s="263"/>
      <c r="N232" s="263"/>
      <c r="O232" s="263"/>
      <c r="P232" s="265"/>
      <c r="Q232" s="263"/>
      <c r="R232" s="263"/>
      <c r="S232" s="263"/>
      <c r="T232" s="263"/>
      <c r="U232" s="263"/>
      <c r="V232" s="263"/>
      <c r="W232" s="263"/>
      <c r="X232" s="263"/>
      <c r="Y232" s="263"/>
      <c r="Z232" s="263"/>
      <c r="AA232" s="263"/>
      <c r="AB232" s="263"/>
      <c r="AC232" s="263"/>
      <c r="AD232" s="263"/>
      <c r="AE232" s="263"/>
      <c r="AF232" s="418"/>
      <c r="AG232" s="263"/>
      <c r="AH232" s="263"/>
      <c r="AI232" s="263"/>
    </row>
    <row r="233" spans="1:35" ht="15" customHeight="1">
      <c r="A233" s="69"/>
      <c r="B233" s="418"/>
      <c r="C233" s="263"/>
      <c r="E233" s="263"/>
      <c r="F233" s="263"/>
      <c r="G233" s="418"/>
      <c r="H233" s="263"/>
      <c r="I233" s="263"/>
      <c r="J233" s="263"/>
      <c r="K233" s="263"/>
      <c r="L233" s="563"/>
      <c r="M233" s="263"/>
      <c r="N233" s="263"/>
      <c r="O233" s="263"/>
      <c r="P233" s="265"/>
      <c r="Q233" s="263"/>
      <c r="R233" s="263"/>
      <c r="S233" s="263"/>
      <c r="T233" s="263"/>
      <c r="U233" s="263"/>
      <c r="V233" s="263"/>
      <c r="W233" s="263"/>
      <c r="X233" s="263"/>
      <c r="Y233" s="263"/>
      <c r="Z233" s="263"/>
      <c r="AA233" s="263"/>
      <c r="AB233" s="263"/>
      <c r="AC233" s="263"/>
      <c r="AD233" s="263"/>
      <c r="AE233" s="263"/>
      <c r="AF233" s="418"/>
      <c r="AG233" s="263"/>
      <c r="AH233" s="263"/>
      <c r="AI233" s="263"/>
    </row>
    <row r="234" spans="1:35" ht="15" customHeight="1">
      <c r="A234" s="69"/>
      <c r="B234" s="418"/>
      <c r="C234" s="263"/>
      <c r="E234" s="263"/>
      <c r="F234" s="263"/>
      <c r="G234" s="418"/>
      <c r="H234" s="263"/>
      <c r="I234" s="263"/>
      <c r="J234" s="263"/>
      <c r="K234" s="263"/>
      <c r="L234" s="563"/>
      <c r="M234" s="263"/>
      <c r="N234" s="263"/>
      <c r="O234" s="263"/>
      <c r="P234" s="265"/>
      <c r="Q234" s="263"/>
      <c r="R234" s="263"/>
      <c r="S234" s="263"/>
      <c r="T234" s="263"/>
      <c r="U234" s="263"/>
      <c r="V234" s="263"/>
      <c r="W234" s="263"/>
      <c r="X234" s="263"/>
      <c r="Y234" s="263"/>
      <c r="Z234" s="263"/>
      <c r="AA234" s="263"/>
      <c r="AB234" s="263"/>
      <c r="AC234" s="263"/>
      <c r="AD234" s="263"/>
      <c r="AE234" s="263"/>
      <c r="AF234" s="418"/>
      <c r="AG234" s="263"/>
      <c r="AH234" s="263"/>
      <c r="AI234" s="263"/>
    </row>
    <row r="235" spans="1:35" ht="15" customHeight="1">
      <c r="A235" s="69"/>
      <c r="B235" s="418"/>
      <c r="C235" s="263"/>
      <c r="E235" s="263"/>
      <c r="F235" s="263"/>
      <c r="G235" s="418"/>
      <c r="H235" s="263"/>
      <c r="I235" s="263"/>
      <c r="J235" s="263"/>
      <c r="K235" s="263"/>
      <c r="L235" s="563"/>
      <c r="M235" s="263"/>
      <c r="N235" s="263"/>
      <c r="O235" s="263"/>
      <c r="P235" s="265"/>
      <c r="Q235" s="263"/>
      <c r="R235" s="263"/>
      <c r="S235" s="263"/>
      <c r="T235" s="263"/>
      <c r="U235" s="263"/>
      <c r="V235" s="263"/>
      <c r="W235" s="263"/>
      <c r="X235" s="263"/>
      <c r="Y235" s="263"/>
      <c r="Z235" s="263"/>
      <c r="AA235" s="263"/>
      <c r="AB235" s="263"/>
      <c r="AC235" s="263"/>
      <c r="AD235" s="263"/>
      <c r="AE235" s="263"/>
      <c r="AF235" s="418"/>
      <c r="AG235" s="263"/>
      <c r="AH235" s="263"/>
      <c r="AI235" s="263"/>
    </row>
    <row r="236" spans="1:35" ht="15" customHeight="1">
      <c r="A236" s="69"/>
      <c r="B236" s="418"/>
      <c r="C236" s="263"/>
      <c r="E236" s="263"/>
      <c r="F236" s="263"/>
      <c r="G236" s="418"/>
      <c r="H236" s="263"/>
      <c r="I236" s="263"/>
      <c r="J236" s="263"/>
      <c r="K236" s="263"/>
      <c r="L236" s="563"/>
      <c r="M236" s="263"/>
      <c r="N236" s="263"/>
      <c r="O236" s="263"/>
      <c r="P236" s="265"/>
      <c r="Q236" s="263"/>
      <c r="R236" s="263"/>
      <c r="S236" s="263"/>
      <c r="T236" s="263"/>
      <c r="U236" s="263"/>
      <c r="V236" s="263"/>
      <c r="W236" s="263"/>
      <c r="X236" s="263"/>
      <c r="Y236" s="263"/>
      <c r="Z236" s="263"/>
      <c r="AA236" s="263"/>
      <c r="AB236" s="263"/>
      <c r="AC236" s="263"/>
      <c r="AD236" s="263"/>
      <c r="AE236" s="263"/>
      <c r="AF236" s="418"/>
      <c r="AG236" s="263"/>
      <c r="AH236" s="263"/>
      <c r="AI236" s="263"/>
    </row>
    <row r="237" spans="1:35" ht="15" customHeight="1">
      <c r="A237" s="69"/>
      <c r="B237" s="418"/>
      <c r="C237" s="263"/>
      <c r="E237" s="263"/>
      <c r="F237" s="263"/>
      <c r="G237" s="418"/>
      <c r="H237" s="263"/>
      <c r="I237" s="263"/>
      <c r="J237" s="263"/>
      <c r="K237" s="263"/>
      <c r="L237" s="563"/>
      <c r="M237" s="263"/>
      <c r="N237" s="263"/>
      <c r="O237" s="263"/>
      <c r="P237" s="265"/>
      <c r="Q237" s="263"/>
      <c r="R237" s="263"/>
      <c r="S237" s="263"/>
      <c r="T237" s="263"/>
      <c r="U237" s="263"/>
      <c r="V237" s="263"/>
      <c r="W237" s="263"/>
      <c r="X237" s="263"/>
      <c r="Y237" s="263"/>
      <c r="Z237" s="263"/>
      <c r="AA237" s="263"/>
      <c r="AB237" s="263"/>
      <c r="AC237" s="263"/>
      <c r="AD237" s="263"/>
      <c r="AE237" s="263"/>
      <c r="AF237" s="418"/>
      <c r="AG237" s="263"/>
      <c r="AH237" s="263"/>
      <c r="AI237" s="263"/>
    </row>
    <row r="238" spans="1:35" ht="15" customHeight="1">
      <c r="A238" s="69"/>
      <c r="B238" s="418"/>
      <c r="C238" s="263"/>
      <c r="E238" s="263"/>
      <c r="F238" s="263"/>
      <c r="G238" s="418"/>
      <c r="H238" s="263"/>
      <c r="I238" s="263"/>
      <c r="J238" s="263"/>
      <c r="K238" s="263"/>
      <c r="L238" s="563"/>
      <c r="M238" s="263"/>
      <c r="N238" s="263"/>
      <c r="O238" s="263"/>
      <c r="P238" s="265"/>
      <c r="Q238" s="263"/>
      <c r="R238" s="263"/>
      <c r="S238" s="263"/>
      <c r="T238" s="263"/>
      <c r="U238" s="263"/>
      <c r="V238" s="263"/>
      <c r="W238" s="263"/>
      <c r="X238" s="263"/>
      <c r="Y238" s="263"/>
      <c r="Z238" s="263"/>
      <c r="AA238" s="263"/>
      <c r="AB238" s="263"/>
      <c r="AC238" s="263"/>
      <c r="AD238" s="263"/>
      <c r="AE238" s="263"/>
      <c r="AF238" s="418"/>
      <c r="AG238" s="263"/>
      <c r="AH238" s="263"/>
      <c r="AI238" s="263"/>
    </row>
    <row r="239" spans="1:35" ht="15" customHeight="1">
      <c r="A239" s="69"/>
      <c r="B239" s="418"/>
      <c r="C239" s="263"/>
      <c r="E239" s="263"/>
      <c r="F239" s="263"/>
      <c r="G239" s="418"/>
      <c r="H239" s="263"/>
      <c r="I239" s="263"/>
      <c r="J239" s="263"/>
      <c r="K239" s="263"/>
      <c r="L239" s="563"/>
      <c r="M239" s="263"/>
      <c r="N239" s="263"/>
      <c r="O239" s="263"/>
      <c r="P239" s="265"/>
      <c r="Q239" s="263"/>
      <c r="R239" s="263"/>
      <c r="S239" s="263"/>
      <c r="T239" s="263"/>
      <c r="U239" s="263"/>
      <c r="V239" s="263"/>
      <c r="W239" s="263"/>
      <c r="X239" s="263"/>
      <c r="Y239" s="263"/>
      <c r="Z239" s="263"/>
      <c r="AA239" s="263"/>
      <c r="AB239" s="263"/>
      <c r="AC239" s="263"/>
      <c r="AD239" s="263"/>
      <c r="AE239" s="263"/>
      <c r="AF239" s="418"/>
      <c r="AG239" s="263"/>
      <c r="AH239" s="263"/>
      <c r="AI239" s="263"/>
    </row>
    <row r="240" spans="1:35" ht="15" customHeight="1">
      <c r="A240" s="69"/>
      <c r="B240" s="418"/>
      <c r="C240" s="263"/>
      <c r="E240" s="263"/>
      <c r="F240" s="263"/>
      <c r="G240" s="418"/>
      <c r="H240" s="263"/>
      <c r="I240" s="263"/>
      <c r="J240" s="263"/>
      <c r="K240" s="263"/>
      <c r="L240" s="563"/>
      <c r="M240" s="263"/>
      <c r="N240" s="263"/>
      <c r="O240" s="263"/>
      <c r="P240" s="265"/>
      <c r="Q240" s="263"/>
      <c r="R240" s="263"/>
      <c r="S240" s="263"/>
      <c r="T240" s="263"/>
      <c r="U240" s="263"/>
      <c r="V240" s="263"/>
      <c r="W240" s="263"/>
      <c r="X240" s="263"/>
      <c r="Y240" s="263"/>
      <c r="Z240" s="263"/>
      <c r="AA240" s="263"/>
      <c r="AB240" s="263"/>
      <c r="AC240" s="263"/>
      <c r="AD240" s="263"/>
      <c r="AE240" s="263"/>
      <c r="AF240" s="418"/>
      <c r="AG240" s="263"/>
      <c r="AH240" s="263"/>
      <c r="AI240" s="263"/>
    </row>
    <row r="241" spans="1:35" ht="15" customHeight="1">
      <c r="A241" s="69"/>
      <c r="B241" s="418"/>
      <c r="C241" s="263"/>
      <c r="E241" s="263"/>
      <c r="F241" s="263"/>
      <c r="G241" s="418"/>
      <c r="H241" s="263"/>
      <c r="I241" s="263"/>
      <c r="J241" s="263"/>
      <c r="K241" s="263"/>
      <c r="L241" s="563"/>
      <c r="M241" s="263"/>
      <c r="N241" s="263"/>
      <c r="O241" s="263"/>
      <c r="P241" s="265"/>
      <c r="Q241" s="263"/>
      <c r="R241" s="263"/>
      <c r="S241" s="263"/>
      <c r="T241" s="263"/>
      <c r="U241" s="263"/>
      <c r="V241" s="263"/>
      <c r="W241" s="263"/>
      <c r="X241" s="263"/>
      <c r="Y241" s="263"/>
      <c r="Z241" s="263"/>
      <c r="AA241" s="263"/>
      <c r="AB241" s="263"/>
      <c r="AC241" s="263"/>
      <c r="AD241" s="263"/>
      <c r="AE241" s="263"/>
      <c r="AF241" s="418"/>
      <c r="AG241" s="263"/>
      <c r="AH241" s="263"/>
      <c r="AI241" s="263"/>
    </row>
    <row r="242" spans="1:35" ht="15" customHeight="1">
      <c r="A242" s="69"/>
      <c r="B242" s="418"/>
      <c r="C242" s="263"/>
      <c r="E242" s="263"/>
      <c r="F242" s="263"/>
      <c r="G242" s="418"/>
      <c r="H242" s="263"/>
      <c r="I242" s="263"/>
      <c r="J242" s="263"/>
      <c r="K242" s="263"/>
      <c r="L242" s="563"/>
      <c r="M242" s="263"/>
      <c r="N242" s="263"/>
      <c r="O242" s="263"/>
      <c r="P242" s="265"/>
      <c r="Q242" s="263"/>
      <c r="R242" s="263"/>
      <c r="S242" s="263"/>
      <c r="T242" s="263"/>
      <c r="U242" s="263"/>
      <c r="V242" s="263"/>
      <c r="W242" s="263"/>
      <c r="X242" s="263"/>
      <c r="Y242" s="263"/>
      <c r="Z242" s="263"/>
      <c r="AA242" s="263"/>
      <c r="AB242" s="263"/>
      <c r="AC242" s="263"/>
      <c r="AD242" s="263"/>
      <c r="AE242" s="263"/>
      <c r="AF242" s="418"/>
      <c r="AG242" s="263"/>
      <c r="AH242" s="263"/>
      <c r="AI242" s="263"/>
    </row>
    <row r="243" spans="1:35" ht="15" customHeight="1">
      <c r="A243" s="69"/>
      <c r="B243" s="418"/>
      <c r="C243" s="263"/>
      <c r="E243" s="263"/>
      <c r="F243" s="263"/>
      <c r="G243" s="418"/>
      <c r="H243" s="263"/>
      <c r="I243" s="263"/>
      <c r="J243" s="263"/>
      <c r="K243" s="263"/>
      <c r="L243" s="563"/>
      <c r="M243" s="263"/>
      <c r="N243" s="263"/>
      <c r="O243" s="263"/>
      <c r="P243" s="265"/>
      <c r="Q243" s="263"/>
      <c r="R243" s="263"/>
      <c r="S243" s="263"/>
      <c r="T243" s="263"/>
      <c r="U243" s="263"/>
      <c r="V243" s="263"/>
      <c r="W243" s="263"/>
      <c r="X243" s="263"/>
      <c r="Y243" s="263"/>
      <c r="Z243" s="263"/>
      <c r="AA243" s="263"/>
      <c r="AB243" s="263"/>
      <c r="AC243" s="263"/>
      <c r="AD243" s="263"/>
      <c r="AE243" s="263"/>
      <c r="AF243" s="418"/>
      <c r="AG243" s="263"/>
      <c r="AH243" s="263"/>
      <c r="AI243" s="263"/>
    </row>
    <row r="244" spans="1:35" ht="15" customHeight="1">
      <c r="A244" s="69"/>
      <c r="B244" s="418"/>
      <c r="C244" s="263"/>
      <c r="E244" s="263"/>
      <c r="F244" s="263"/>
      <c r="G244" s="418"/>
      <c r="H244" s="263"/>
      <c r="I244" s="263"/>
      <c r="J244" s="263"/>
      <c r="K244" s="263"/>
      <c r="L244" s="563"/>
      <c r="M244" s="263"/>
      <c r="N244" s="263"/>
      <c r="O244" s="263"/>
      <c r="P244" s="265"/>
      <c r="Q244" s="263"/>
      <c r="R244" s="263"/>
      <c r="S244" s="263"/>
      <c r="T244" s="263"/>
      <c r="U244" s="263"/>
      <c r="V244" s="263"/>
      <c r="W244" s="263"/>
      <c r="X244" s="263"/>
      <c r="Y244" s="263"/>
      <c r="Z244" s="263"/>
      <c r="AA244" s="263"/>
      <c r="AB244" s="263"/>
      <c r="AC244" s="263"/>
      <c r="AD244" s="263"/>
      <c r="AE244" s="263"/>
      <c r="AF244" s="418"/>
      <c r="AG244" s="263"/>
      <c r="AH244" s="263"/>
      <c r="AI244" s="263"/>
    </row>
    <row r="245" spans="1:35" ht="15" customHeight="1">
      <c r="A245" s="69"/>
      <c r="B245" s="418"/>
      <c r="C245" s="263"/>
      <c r="E245" s="263"/>
      <c r="F245" s="263"/>
      <c r="G245" s="418"/>
      <c r="H245" s="263"/>
      <c r="I245" s="263"/>
      <c r="J245" s="263"/>
      <c r="K245" s="263"/>
      <c r="L245" s="563"/>
      <c r="M245" s="263"/>
      <c r="N245" s="263"/>
      <c r="O245" s="263"/>
      <c r="P245" s="265"/>
      <c r="Q245" s="263"/>
      <c r="R245" s="263"/>
      <c r="S245" s="263"/>
      <c r="T245" s="263"/>
      <c r="U245" s="263"/>
      <c r="V245" s="263"/>
      <c r="W245" s="263"/>
      <c r="X245" s="263"/>
      <c r="Y245" s="263"/>
      <c r="Z245" s="263"/>
      <c r="AA245" s="263"/>
      <c r="AB245" s="263"/>
      <c r="AC245" s="263"/>
      <c r="AD245" s="263"/>
      <c r="AE245" s="263"/>
      <c r="AF245" s="418"/>
      <c r="AG245" s="263"/>
      <c r="AH245" s="263"/>
      <c r="AI245" s="263"/>
    </row>
    <row r="246" spans="1:35" ht="15" customHeight="1">
      <c r="A246" s="69"/>
      <c r="B246" s="418"/>
      <c r="C246" s="263"/>
      <c r="E246" s="263"/>
      <c r="F246" s="263"/>
      <c r="G246" s="418"/>
      <c r="H246" s="263"/>
      <c r="I246" s="263"/>
      <c r="J246" s="263"/>
      <c r="K246" s="263"/>
      <c r="L246" s="563"/>
      <c r="M246" s="263"/>
      <c r="N246" s="263"/>
      <c r="O246" s="263"/>
      <c r="P246" s="265"/>
      <c r="Q246" s="263"/>
      <c r="R246" s="263"/>
      <c r="S246" s="263"/>
      <c r="T246" s="263"/>
      <c r="U246" s="263"/>
      <c r="V246" s="263"/>
      <c r="W246" s="263"/>
      <c r="X246" s="263"/>
      <c r="Y246" s="263"/>
      <c r="Z246" s="263"/>
      <c r="AA246" s="263"/>
      <c r="AB246" s="263"/>
      <c r="AC246" s="263"/>
      <c r="AD246" s="263"/>
      <c r="AE246" s="263"/>
      <c r="AF246" s="418"/>
      <c r="AG246" s="263"/>
      <c r="AH246" s="263"/>
      <c r="AI246" s="263"/>
    </row>
    <row r="247" spans="1:35" ht="15" customHeight="1">
      <c r="A247" s="69"/>
      <c r="B247" s="418"/>
      <c r="C247" s="263"/>
      <c r="E247" s="263"/>
      <c r="F247" s="263"/>
      <c r="G247" s="418"/>
      <c r="H247" s="263"/>
      <c r="I247" s="263"/>
      <c r="J247" s="263"/>
      <c r="K247" s="263"/>
      <c r="L247" s="563"/>
      <c r="M247" s="263"/>
      <c r="N247" s="263"/>
      <c r="O247" s="263"/>
      <c r="P247" s="265"/>
      <c r="Q247" s="263"/>
      <c r="R247" s="263"/>
      <c r="S247" s="263"/>
      <c r="T247" s="263"/>
      <c r="U247" s="263"/>
      <c r="V247" s="263"/>
      <c r="W247" s="263"/>
      <c r="X247" s="263"/>
      <c r="Y247" s="263"/>
      <c r="Z247" s="263"/>
      <c r="AA247" s="263"/>
      <c r="AB247" s="263"/>
      <c r="AC247" s="263"/>
      <c r="AD247" s="263"/>
      <c r="AE247" s="263"/>
      <c r="AF247" s="418"/>
      <c r="AG247" s="263"/>
      <c r="AH247" s="263"/>
      <c r="AI247" s="263"/>
    </row>
    <row r="248" spans="1:35" ht="15" customHeight="1">
      <c r="A248" s="69"/>
      <c r="B248" s="418"/>
      <c r="C248" s="263"/>
      <c r="E248" s="263"/>
      <c r="F248" s="263"/>
      <c r="G248" s="418"/>
      <c r="H248" s="263"/>
      <c r="I248" s="263"/>
      <c r="J248" s="263"/>
      <c r="K248" s="263"/>
      <c r="L248" s="563"/>
      <c r="M248" s="263"/>
      <c r="N248" s="263"/>
      <c r="O248" s="263"/>
      <c r="P248" s="265"/>
      <c r="Q248" s="263"/>
      <c r="R248" s="263"/>
      <c r="S248" s="263"/>
      <c r="T248" s="263"/>
      <c r="U248" s="263"/>
      <c r="V248" s="263"/>
      <c r="W248" s="263"/>
      <c r="X248" s="263"/>
      <c r="Y248" s="263"/>
      <c r="Z248" s="263"/>
      <c r="AA248" s="263"/>
      <c r="AB248" s="263"/>
      <c r="AC248" s="263"/>
      <c r="AD248" s="263"/>
      <c r="AE248" s="263"/>
      <c r="AF248" s="418"/>
      <c r="AG248" s="263"/>
      <c r="AH248" s="263"/>
      <c r="AI248" s="263"/>
    </row>
    <row r="249" spans="1:35" ht="15" customHeight="1">
      <c r="A249" s="69"/>
      <c r="B249" s="418"/>
      <c r="C249" s="263"/>
      <c r="E249" s="263"/>
      <c r="F249" s="263"/>
      <c r="G249" s="418"/>
      <c r="H249" s="263"/>
      <c r="I249" s="263"/>
      <c r="J249" s="263"/>
      <c r="K249" s="263"/>
      <c r="L249" s="563"/>
      <c r="M249" s="263"/>
      <c r="N249" s="263"/>
      <c r="O249" s="263"/>
      <c r="P249" s="265"/>
      <c r="Q249" s="263"/>
      <c r="R249" s="263"/>
      <c r="S249" s="263"/>
      <c r="T249" s="263"/>
      <c r="U249" s="263"/>
      <c r="V249" s="263"/>
      <c r="W249" s="263"/>
      <c r="X249" s="263"/>
      <c r="Y249" s="263"/>
      <c r="Z249" s="263"/>
      <c r="AA249" s="263"/>
      <c r="AB249" s="263"/>
      <c r="AC249" s="263"/>
      <c r="AD249" s="263"/>
      <c r="AE249" s="263"/>
      <c r="AF249" s="418"/>
      <c r="AG249" s="263"/>
      <c r="AH249" s="263"/>
      <c r="AI249" s="263"/>
    </row>
    <row r="250" spans="1:35" ht="15" customHeight="1">
      <c r="A250" s="69"/>
      <c r="B250" s="418"/>
      <c r="C250" s="263"/>
      <c r="E250" s="263"/>
      <c r="F250" s="263"/>
      <c r="G250" s="418"/>
      <c r="H250" s="263"/>
      <c r="I250" s="263"/>
      <c r="J250" s="263"/>
      <c r="K250" s="263"/>
      <c r="L250" s="563"/>
      <c r="M250" s="263"/>
      <c r="N250" s="263"/>
      <c r="O250" s="263"/>
      <c r="P250" s="265"/>
      <c r="Q250" s="263"/>
      <c r="R250" s="263"/>
      <c r="S250" s="263"/>
      <c r="T250" s="263"/>
      <c r="U250" s="263"/>
      <c r="V250" s="263"/>
      <c r="W250" s="263"/>
      <c r="X250" s="263"/>
      <c r="Y250" s="263"/>
      <c r="Z250" s="263"/>
      <c r="AA250" s="263"/>
      <c r="AB250" s="263"/>
      <c r="AC250" s="263"/>
      <c r="AD250" s="263"/>
      <c r="AE250" s="263"/>
      <c r="AF250" s="418"/>
      <c r="AG250" s="263"/>
      <c r="AH250" s="263"/>
      <c r="AI250" s="263"/>
    </row>
    <row r="251" spans="1:35" ht="15" customHeight="1">
      <c r="A251" s="69"/>
      <c r="B251" s="418"/>
      <c r="C251" s="263"/>
      <c r="E251" s="263"/>
      <c r="F251" s="263"/>
      <c r="G251" s="418"/>
      <c r="H251" s="263"/>
      <c r="I251" s="263"/>
      <c r="J251" s="263"/>
      <c r="K251" s="263"/>
      <c r="L251" s="563"/>
      <c r="M251" s="263"/>
      <c r="N251" s="263"/>
      <c r="O251" s="263"/>
      <c r="P251" s="265"/>
      <c r="Q251" s="263"/>
      <c r="R251" s="263"/>
      <c r="S251" s="263"/>
      <c r="T251" s="263"/>
      <c r="U251" s="263"/>
      <c r="V251" s="263"/>
      <c r="W251" s="263"/>
      <c r="X251" s="263"/>
      <c r="Y251" s="263"/>
      <c r="Z251" s="263"/>
      <c r="AA251" s="263"/>
      <c r="AB251" s="263"/>
      <c r="AC251" s="263"/>
      <c r="AD251" s="263"/>
      <c r="AE251" s="263"/>
      <c r="AF251" s="418"/>
      <c r="AG251" s="263"/>
      <c r="AH251" s="263"/>
      <c r="AI251" s="263"/>
    </row>
    <row r="252" spans="1:35" ht="15" customHeight="1">
      <c r="A252" s="69"/>
      <c r="B252" s="418"/>
      <c r="C252" s="263"/>
      <c r="E252" s="263"/>
      <c r="F252" s="263"/>
      <c r="G252" s="418"/>
      <c r="H252" s="263"/>
      <c r="I252" s="263"/>
      <c r="J252" s="263"/>
      <c r="K252" s="263"/>
      <c r="L252" s="563"/>
      <c r="M252" s="263"/>
      <c r="N252" s="263"/>
      <c r="O252" s="263"/>
      <c r="P252" s="265"/>
      <c r="Q252" s="263"/>
      <c r="R252" s="263"/>
      <c r="S252" s="263"/>
      <c r="T252" s="263"/>
      <c r="U252" s="263"/>
      <c r="V252" s="263"/>
      <c r="W252" s="263"/>
      <c r="X252" s="263"/>
      <c r="Y252" s="263"/>
      <c r="Z252" s="263"/>
      <c r="AA252" s="263"/>
      <c r="AB252" s="263"/>
      <c r="AC252" s="263"/>
      <c r="AD252" s="263"/>
      <c r="AE252" s="263"/>
      <c r="AF252" s="418"/>
      <c r="AG252" s="263"/>
      <c r="AH252" s="263"/>
      <c r="AI252" s="263"/>
    </row>
    <row r="253" spans="1:35" ht="15" customHeight="1">
      <c r="A253" s="69"/>
      <c r="B253" s="418"/>
      <c r="C253" s="263"/>
      <c r="E253" s="263"/>
      <c r="F253" s="263"/>
      <c r="G253" s="418"/>
      <c r="H253" s="263"/>
      <c r="I253" s="263"/>
      <c r="J253" s="263"/>
      <c r="K253" s="263"/>
      <c r="L253" s="563"/>
      <c r="M253" s="263"/>
      <c r="N253" s="263"/>
      <c r="O253" s="263"/>
      <c r="P253" s="265"/>
      <c r="Q253" s="263"/>
      <c r="R253" s="263"/>
      <c r="S253" s="263"/>
      <c r="T253" s="263"/>
      <c r="U253" s="263"/>
      <c r="V253" s="263"/>
      <c r="W253" s="263"/>
      <c r="X253" s="263"/>
      <c r="Y253" s="263"/>
      <c r="Z253" s="263"/>
      <c r="AA253" s="263"/>
      <c r="AB253" s="263"/>
      <c r="AC253" s="263"/>
      <c r="AD253" s="263"/>
      <c r="AE253" s="263"/>
      <c r="AF253" s="418"/>
      <c r="AG253" s="263"/>
      <c r="AH253" s="263"/>
      <c r="AI253" s="263"/>
    </row>
    <row r="254" spans="1:35" ht="15" customHeight="1">
      <c r="A254" s="69"/>
      <c r="B254" s="418"/>
      <c r="C254" s="263"/>
      <c r="E254" s="263"/>
      <c r="F254" s="263"/>
      <c r="G254" s="418"/>
      <c r="H254" s="263"/>
      <c r="I254" s="263"/>
      <c r="J254" s="263"/>
      <c r="K254" s="263"/>
      <c r="L254" s="563"/>
      <c r="M254" s="263"/>
      <c r="N254" s="263"/>
      <c r="O254" s="263"/>
      <c r="P254" s="265"/>
      <c r="Q254" s="263"/>
      <c r="R254" s="263"/>
      <c r="S254" s="263"/>
      <c r="T254" s="263"/>
      <c r="U254" s="263"/>
      <c r="V254" s="263"/>
      <c r="W254" s="263"/>
      <c r="X254" s="263"/>
      <c r="Y254" s="263"/>
      <c r="Z254" s="263"/>
      <c r="AA254" s="263"/>
      <c r="AB254" s="263"/>
      <c r="AC254" s="263"/>
      <c r="AD254" s="263"/>
      <c r="AE254" s="263"/>
      <c r="AF254" s="418"/>
      <c r="AG254" s="263"/>
      <c r="AH254" s="263"/>
      <c r="AI254" s="263"/>
    </row>
    <row r="255" spans="1:35" ht="15" customHeight="1">
      <c r="A255" s="69"/>
      <c r="B255" s="418"/>
      <c r="C255" s="263"/>
      <c r="E255" s="263"/>
      <c r="F255" s="263"/>
      <c r="G255" s="418"/>
      <c r="H255" s="263"/>
      <c r="I255" s="263"/>
      <c r="J255" s="263"/>
      <c r="K255" s="263"/>
      <c r="L255" s="563"/>
      <c r="M255" s="263"/>
      <c r="N255" s="263"/>
      <c r="O255" s="263"/>
      <c r="P255" s="265"/>
      <c r="Q255" s="263"/>
      <c r="R255" s="263"/>
      <c r="S255" s="263"/>
      <c r="T255" s="263"/>
      <c r="U255" s="263"/>
      <c r="V255" s="263"/>
      <c r="W255" s="263"/>
      <c r="X255" s="263"/>
      <c r="Y255" s="263"/>
      <c r="Z255" s="263"/>
      <c r="AA255" s="263"/>
      <c r="AB255" s="263"/>
      <c r="AC255" s="263"/>
      <c r="AD255" s="263"/>
      <c r="AE255" s="263"/>
      <c r="AF255" s="418"/>
      <c r="AG255" s="263"/>
      <c r="AH255" s="263"/>
      <c r="AI255" s="263"/>
    </row>
    <row r="256" spans="1:35" ht="15" customHeight="1">
      <c r="A256" s="69"/>
      <c r="B256" s="418"/>
      <c r="C256" s="263"/>
      <c r="E256" s="263"/>
      <c r="F256" s="263"/>
      <c r="G256" s="418"/>
      <c r="H256" s="263"/>
      <c r="I256" s="263"/>
      <c r="J256" s="263"/>
      <c r="K256" s="263"/>
      <c r="L256" s="563"/>
      <c r="M256" s="263"/>
      <c r="N256" s="263"/>
      <c r="O256" s="263"/>
      <c r="P256" s="265"/>
      <c r="Q256" s="263"/>
      <c r="R256" s="263"/>
      <c r="S256" s="263"/>
      <c r="T256" s="263"/>
      <c r="U256" s="263"/>
      <c r="V256" s="263"/>
      <c r="W256" s="263"/>
      <c r="X256" s="263"/>
      <c r="Y256" s="263"/>
      <c r="Z256" s="263"/>
      <c r="AA256" s="263"/>
      <c r="AB256" s="263"/>
      <c r="AC256" s="263"/>
      <c r="AD256" s="263"/>
      <c r="AE256" s="263"/>
      <c r="AF256" s="418"/>
      <c r="AG256" s="263"/>
      <c r="AH256" s="263"/>
      <c r="AI256" s="263"/>
    </row>
    <row r="257" spans="1:35" ht="15" customHeight="1">
      <c r="A257" s="69"/>
      <c r="B257" s="418"/>
      <c r="C257" s="263"/>
      <c r="E257" s="263"/>
      <c r="F257" s="263"/>
      <c r="G257" s="418"/>
      <c r="H257" s="263"/>
      <c r="I257" s="263"/>
      <c r="J257" s="263"/>
      <c r="K257" s="263"/>
      <c r="L257" s="563"/>
      <c r="M257" s="263"/>
      <c r="N257" s="263"/>
      <c r="O257" s="263"/>
      <c r="P257" s="265"/>
      <c r="Q257" s="263"/>
      <c r="R257" s="263"/>
      <c r="S257" s="263"/>
      <c r="T257" s="263"/>
      <c r="U257" s="263"/>
      <c r="V257" s="263"/>
      <c r="W257" s="263"/>
      <c r="X257" s="263"/>
      <c r="Y257" s="263"/>
      <c r="Z257" s="263"/>
      <c r="AA257" s="263"/>
      <c r="AB257" s="263"/>
      <c r="AC257" s="263"/>
      <c r="AD257" s="263"/>
      <c r="AE257" s="263"/>
      <c r="AF257" s="418"/>
      <c r="AG257" s="263"/>
      <c r="AH257" s="263"/>
      <c r="AI257" s="263"/>
    </row>
    <row r="258" spans="1:35" ht="15" customHeight="1">
      <c r="A258" s="69"/>
      <c r="B258" s="418"/>
      <c r="C258" s="263"/>
      <c r="E258" s="263"/>
      <c r="F258" s="263"/>
      <c r="G258" s="418"/>
      <c r="H258" s="263"/>
      <c r="I258" s="263"/>
      <c r="J258" s="263"/>
      <c r="K258" s="263"/>
      <c r="L258" s="563"/>
      <c r="M258" s="263"/>
      <c r="N258" s="263"/>
      <c r="O258" s="263"/>
      <c r="P258" s="265"/>
      <c r="Q258" s="263"/>
      <c r="R258" s="263"/>
      <c r="S258" s="263"/>
      <c r="T258" s="263"/>
      <c r="U258" s="263"/>
      <c r="V258" s="263"/>
      <c r="W258" s="263"/>
      <c r="X258" s="263"/>
      <c r="Y258" s="263"/>
      <c r="Z258" s="263"/>
      <c r="AA258" s="263"/>
      <c r="AB258" s="263"/>
      <c r="AC258" s="263"/>
      <c r="AD258" s="263"/>
      <c r="AE258" s="263"/>
      <c r="AF258" s="418"/>
      <c r="AG258" s="263"/>
      <c r="AH258" s="263"/>
      <c r="AI258" s="263"/>
    </row>
    <row r="259" spans="1:35" ht="15" customHeight="1">
      <c r="A259" s="69"/>
      <c r="B259" s="418"/>
      <c r="C259" s="263"/>
      <c r="E259" s="263"/>
      <c r="F259" s="263"/>
      <c r="G259" s="418"/>
      <c r="H259" s="263"/>
      <c r="I259" s="263"/>
      <c r="J259" s="263"/>
      <c r="K259" s="263"/>
      <c r="L259" s="563"/>
      <c r="M259" s="263"/>
      <c r="N259" s="263"/>
      <c r="O259" s="263"/>
      <c r="P259" s="265"/>
      <c r="Q259" s="263"/>
      <c r="R259" s="263"/>
      <c r="S259" s="263"/>
      <c r="T259" s="263"/>
      <c r="U259" s="263"/>
      <c r="V259" s="263"/>
      <c r="W259" s="263"/>
      <c r="X259" s="263"/>
      <c r="Y259" s="263"/>
      <c r="Z259" s="263"/>
      <c r="AA259" s="263"/>
      <c r="AB259" s="263"/>
      <c r="AC259" s="263"/>
      <c r="AD259" s="263"/>
      <c r="AE259" s="263"/>
      <c r="AF259" s="418"/>
      <c r="AG259" s="263"/>
      <c r="AH259" s="263"/>
      <c r="AI259" s="263"/>
    </row>
    <row r="260" spans="1:35" ht="15" customHeight="1">
      <c r="A260" s="69"/>
      <c r="B260" s="418"/>
      <c r="C260" s="263"/>
      <c r="E260" s="263"/>
      <c r="F260" s="263"/>
      <c r="G260" s="418"/>
      <c r="H260" s="263"/>
      <c r="I260" s="263"/>
      <c r="J260" s="263"/>
      <c r="K260" s="263"/>
      <c r="L260" s="563"/>
      <c r="M260" s="263"/>
      <c r="N260" s="263"/>
      <c r="O260" s="263"/>
      <c r="P260" s="265"/>
      <c r="Q260" s="263"/>
      <c r="R260" s="263"/>
      <c r="S260" s="263"/>
      <c r="T260" s="263"/>
      <c r="U260" s="263"/>
      <c r="V260" s="263"/>
      <c r="W260" s="263"/>
      <c r="X260" s="263"/>
      <c r="Y260" s="263"/>
      <c r="Z260" s="263"/>
      <c r="AA260" s="263"/>
      <c r="AB260" s="263"/>
      <c r="AC260" s="263"/>
      <c r="AD260" s="263"/>
      <c r="AE260" s="263"/>
      <c r="AF260" s="418"/>
      <c r="AG260" s="263"/>
      <c r="AH260" s="263"/>
      <c r="AI260" s="263"/>
    </row>
    <row r="261" spans="1:35" ht="15" customHeight="1">
      <c r="A261" s="69"/>
      <c r="B261" s="418"/>
      <c r="C261" s="263"/>
      <c r="E261" s="263"/>
      <c r="F261" s="263"/>
      <c r="G261" s="418"/>
      <c r="H261" s="263"/>
      <c r="I261" s="263"/>
      <c r="J261" s="263"/>
      <c r="K261" s="263"/>
      <c r="L261" s="563"/>
      <c r="M261" s="263"/>
      <c r="N261" s="263"/>
      <c r="O261" s="263"/>
      <c r="P261" s="265"/>
      <c r="Q261" s="263"/>
      <c r="R261" s="263"/>
      <c r="S261" s="263"/>
      <c r="T261" s="263"/>
      <c r="U261" s="263"/>
      <c r="V261" s="263"/>
      <c r="W261" s="263"/>
      <c r="X261" s="263"/>
      <c r="Y261" s="263"/>
      <c r="Z261" s="263"/>
      <c r="AA261" s="263"/>
      <c r="AB261" s="263"/>
      <c r="AC261" s="263"/>
      <c r="AD261" s="263"/>
      <c r="AE261" s="263"/>
      <c r="AF261" s="418"/>
      <c r="AG261" s="263"/>
      <c r="AH261" s="263"/>
      <c r="AI261" s="263"/>
    </row>
    <row r="262" spans="1:35" ht="15" customHeight="1">
      <c r="A262" s="69"/>
      <c r="B262" s="418"/>
      <c r="C262" s="263"/>
      <c r="E262" s="263"/>
      <c r="F262" s="263"/>
      <c r="G262" s="418"/>
      <c r="H262" s="263"/>
      <c r="I262" s="263"/>
      <c r="J262" s="263"/>
      <c r="K262" s="263"/>
      <c r="L262" s="563"/>
      <c r="M262" s="263"/>
      <c r="N262" s="263"/>
      <c r="O262" s="263"/>
      <c r="P262" s="265"/>
      <c r="Q262" s="263"/>
      <c r="R262" s="263"/>
      <c r="S262" s="263"/>
      <c r="T262" s="263"/>
      <c r="U262" s="263"/>
      <c r="V262" s="263"/>
      <c r="W262" s="263"/>
      <c r="X262" s="263"/>
      <c r="Y262" s="263"/>
      <c r="Z262" s="263"/>
      <c r="AA262" s="263"/>
      <c r="AB262" s="263"/>
      <c r="AC262" s="263"/>
      <c r="AD262" s="263"/>
      <c r="AE262" s="263"/>
      <c r="AF262" s="418"/>
      <c r="AG262" s="263"/>
      <c r="AH262" s="263"/>
      <c r="AI262" s="263"/>
    </row>
    <row r="263" spans="1:35" ht="15" customHeight="1">
      <c r="A263" s="69"/>
      <c r="B263" s="418"/>
      <c r="C263" s="263"/>
      <c r="E263" s="263"/>
      <c r="F263" s="263"/>
      <c r="G263" s="418"/>
      <c r="H263" s="263"/>
      <c r="I263" s="263"/>
      <c r="J263" s="263"/>
      <c r="K263" s="263"/>
      <c r="L263" s="563"/>
      <c r="M263" s="263"/>
      <c r="N263" s="263"/>
      <c r="O263" s="263"/>
      <c r="P263" s="265"/>
      <c r="Q263" s="263"/>
      <c r="R263" s="263"/>
      <c r="S263" s="263"/>
      <c r="T263" s="263"/>
      <c r="U263" s="263"/>
      <c r="V263" s="263"/>
      <c r="W263" s="263"/>
      <c r="X263" s="263"/>
      <c r="Y263" s="263"/>
      <c r="Z263" s="263"/>
      <c r="AA263" s="263"/>
      <c r="AB263" s="263"/>
      <c r="AC263" s="263"/>
      <c r="AD263" s="263"/>
      <c r="AE263" s="263"/>
      <c r="AF263" s="418"/>
      <c r="AG263" s="263"/>
      <c r="AH263" s="263"/>
      <c r="AI263" s="263"/>
    </row>
    <row r="264" spans="1:35" ht="15" customHeight="1">
      <c r="A264" s="69"/>
      <c r="B264" s="418"/>
      <c r="C264" s="263"/>
      <c r="E264" s="263"/>
      <c r="F264" s="263"/>
      <c r="G264" s="418"/>
      <c r="H264" s="263"/>
      <c r="I264" s="263"/>
      <c r="J264" s="263"/>
      <c r="K264" s="263"/>
      <c r="L264" s="563"/>
      <c r="M264" s="263"/>
      <c r="N264" s="263"/>
      <c r="O264" s="263"/>
      <c r="P264" s="265"/>
      <c r="Q264" s="263"/>
      <c r="R264" s="263"/>
      <c r="S264" s="263"/>
      <c r="T264" s="263"/>
      <c r="U264" s="263"/>
      <c r="V264" s="263"/>
      <c r="W264" s="263"/>
      <c r="X264" s="263"/>
      <c r="Y264" s="263"/>
      <c r="Z264" s="263"/>
      <c r="AA264" s="263"/>
      <c r="AB264" s="263"/>
      <c r="AC264" s="263"/>
      <c r="AD264" s="263"/>
      <c r="AE264" s="263"/>
      <c r="AF264" s="418"/>
      <c r="AG264" s="263"/>
      <c r="AH264" s="263"/>
      <c r="AI264" s="263"/>
    </row>
    <row r="265" spans="1:35" ht="15" customHeight="1">
      <c r="A265" s="69"/>
      <c r="B265" s="418"/>
      <c r="C265" s="263"/>
      <c r="E265" s="263"/>
      <c r="F265" s="263"/>
      <c r="G265" s="418"/>
      <c r="H265" s="263"/>
      <c r="I265" s="263"/>
      <c r="J265" s="263"/>
      <c r="K265" s="263"/>
      <c r="L265" s="563"/>
      <c r="M265" s="263"/>
      <c r="N265" s="263"/>
      <c r="O265" s="263"/>
      <c r="P265" s="265"/>
      <c r="Q265" s="263"/>
      <c r="R265" s="263"/>
      <c r="S265" s="263"/>
      <c r="T265" s="263"/>
      <c r="U265" s="263"/>
      <c r="V265" s="263"/>
      <c r="W265" s="263"/>
      <c r="X265" s="263"/>
      <c r="Y265" s="263"/>
      <c r="Z265" s="263"/>
      <c r="AA265" s="263"/>
      <c r="AB265" s="263"/>
      <c r="AC265" s="263"/>
      <c r="AD265" s="263"/>
      <c r="AE265" s="263"/>
      <c r="AF265" s="418"/>
      <c r="AG265" s="263"/>
      <c r="AH265" s="263"/>
      <c r="AI265" s="263"/>
    </row>
    <row r="266" spans="1:35" ht="15" customHeight="1">
      <c r="A266" s="69"/>
      <c r="B266" s="418"/>
      <c r="C266" s="263"/>
      <c r="E266" s="263"/>
      <c r="F266" s="263"/>
      <c r="G266" s="418"/>
      <c r="H266" s="263"/>
      <c r="I266" s="263"/>
      <c r="J266" s="263"/>
      <c r="K266" s="263"/>
      <c r="L266" s="563"/>
      <c r="M266" s="263"/>
      <c r="N266" s="263"/>
      <c r="O266" s="263"/>
      <c r="P266" s="265"/>
      <c r="Q266" s="263"/>
      <c r="R266" s="263"/>
      <c r="S266" s="263"/>
      <c r="T266" s="263"/>
      <c r="U266" s="263"/>
      <c r="V266" s="263"/>
      <c r="W266" s="263"/>
      <c r="X266" s="263"/>
      <c r="Y266" s="263"/>
      <c r="Z266" s="263"/>
      <c r="AA266" s="263"/>
      <c r="AB266" s="263"/>
      <c r="AC266" s="263"/>
      <c r="AD266" s="263"/>
      <c r="AE266" s="263"/>
      <c r="AF266" s="418"/>
      <c r="AG266" s="263"/>
      <c r="AH266" s="263"/>
      <c r="AI266" s="263"/>
    </row>
    <row r="267" spans="1:35" ht="15" customHeight="1">
      <c r="A267" s="69"/>
      <c r="B267" s="418"/>
      <c r="C267" s="263"/>
      <c r="E267" s="263"/>
      <c r="F267" s="263"/>
      <c r="G267" s="418"/>
      <c r="H267" s="263"/>
      <c r="I267" s="263"/>
      <c r="J267" s="263"/>
      <c r="K267" s="263"/>
      <c r="L267" s="563"/>
      <c r="M267" s="263"/>
      <c r="N267" s="263"/>
      <c r="O267" s="263"/>
      <c r="P267" s="265"/>
      <c r="Q267" s="263"/>
      <c r="R267" s="263"/>
      <c r="S267" s="263"/>
      <c r="T267" s="263"/>
      <c r="U267" s="263"/>
      <c r="V267" s="263"/>
      <c r="W267" s="263"/>
      <c r="X267" s="263"/>
      <c r="Y267" s="263"/>
      <c r="Z267" s="263"/>
      <c r="AA267" s="263"/>
      <c r="AB267" s="263"/>
      <c r="AC267" s="263"/>
      <c r="AD267" s="263"/>
      <c r="AE267" s="263"/>
      <c r="AF267" s="418"/>
      <c r="AG267" s="263"/>
      <c r="AH267" s="263"/>
      <c r="AI267" s="263"/>
    </row>
    <row r="268" spans="1:35" ht="15" customHeight="1">
      <c r="A268" s="69"/>
      <c r="B268" s="418"/>
      <c r="C268" s="263"/>
      <c r="E268" s="263"/>
      <c r="F268" s="263"/>
      <c r="G268" s="418"/>
      <c r="H268" s="263"/>
      <c r="I268" s="263"/>
      <c r="J268" s="263"/>
      <c r="K268" s="263"/>
      <c r="L268" s="563"/>
      <c r="M268" s="263"/>
      <c r="N268" s="263"/>
      <c r="O268" s="263"/>
      <c r="P268" s="265"/>
      <c r="Q268" s="263"/>
      <c r="R268" s="263"/>
      <c r="S268" s="263"/>
      <c r="T268" s="263"/>
      <c r="U268" s="263"/>
      <c r="V268" s="263"/>
      <c r="W268" s="263"/>
      <c r="X268" s="263"/>
      <c r="Y268" s="263"/>
      <c r="Z268" s="263"/>
      <c r="AA268" s="263"/>
      <c r="AB268" s="263"/>
      <c r="AC268" s="263"/>
      <c r="AD268" s="263"/>
      <c r="AE268" s="263"/>
      <c r="AF268" s="418"/>
      <c r="AG268" s="263"/>
      <c r="AH268" s="263"/>
      <c r="AI268" s="263"/>
    </row>
    <row r="269" spans="1:35" ht="15" customHeight="1">
      <c r="A269" s="69"/>
      <c r="B269" s="418"/>
      <c r="C269" s="263"/>
      <c r="E269" s="263"/>
      <c r="F269" s="263"/>
      <c r="G269" s="418"/>
      <c r="H269" s="263"/>
      <c r="I269" s="263"/>
      <c r="J269" s="263"/>
      <c r="K269" s="263"/>
      <c r="L269" s="563"/>
      <c r="M269" s="263"/>
      <c r="N269" s="263"/>
      <c r="O269" s="263"/>
      <c r="P269" s="265"/>
      <c r="Q269" s="263"/>
      <c r="R269" s="263"/>
      <c r="S269" s="263"/>
      <c r="T269" s="263"/>
      <c r="U269" s="263"/>
      <c r="V269" s="263"/>
      <c r="W269" s="263"/>
      <c r="X269" s="263"/>
      <c r="Y269" s="263"/>
      <c r="Z269" s="263"/>
      <c r="AA269" s="263"/>
      <c r="AB269" s="263"/>
      <c r="AC269" s="263"/>
      <c r="AD269" s="263"/>
      <c r="AE269" s="263"/>
      <c r="AF269" s="418"/>
      <c r="AG269" s="263"/>
      <c r="AH269" s="263"/>
      <c r="AI269" s="263"/>
    </row>
    <row r="270" spans="1:35" ht="15" customHeight="1">
      <c r="A270" s="69"/>
      <c r="B270" s="418"/>
      <c r="C270" s="263"/>
      <c r="E270" s="263"/>
      <c r="F270" s="263"/>
      <c r="G270" s="418"/>
      <c r="H270" s="263"/>
      <c r="I270" s="263"/>
      <c r="J270" s="263"/>
      <c r="K270" s="263"/>
      <c r="L270" s="563"/>
      <c r="M270" s="263"/>
      <c r="N270" s="263"/>
      <c r="O270" s="263"/>
      <c r="P270" s="265"/>
      <c r="Q270" s="263"/>
      <c r="R270" s="263"/>
      <c r="S270" s="263"/>
      <c r="T270" s="263"/>
      <c r="U270" s="263"/>
      <c r="V270" s="263"/>
      <c r="W270" s="263"/>
      <c r="X270" s="263"/>
      <c r="Y270" s="263"/>
      <c r="Z270" s="263"/>
      <c r="AA270" s="263"/>
      <c r="AB270" s="263"/>
      <c r="AC270" s="263"/>
      <c r="AD270" s="263"/>
      <c r="AE270" s="263"/>
      <c r="AF270" s="418"/>
      <c r="AG270" s="263"/>
      <c r="AH270" s="263"/>
      <c r="AI270" s="263"/>
    </row>
    <row r="271" spans="1:35" ht="15" customHeight="1">
      <c r="A271" s="69"/>
      <c r="B271" s="418"/>
      <c r="C271" s="263"/>
      <c r="E271" s="263"/>
      <c r="F271" s="263"/>
      <c r="G271" s="418"/>
      <c r="H271" s="263"/>
      <c r="I271" s="263"/>
      <c r="J271" s="263"/>
      <c r="K271" s="263"/>
      <c r="L271" s="563"/>
      <c r="M271" s="263"/>
      <c r="N271" s="263"/>
      <c r="O271" s="263"/>
      <c r="P271" s="265"/>
      <c r="Q271" s="263"/>
      <c r="R271" s="263"/>
      <c r="S271" s="263"/>
      <c r="T271" s="263"/>
      <c r="U271" s="263"/>
      <c r="V271" s="263"/>
      <c r="W271" s="263"/>
      <c r="X271" s="263"/>
      <c r="Y271" s="263"/>
      <c r="Z271" s="263"/>
      <c r="AA271" s="263"/>
      <c r="AB271" s="263"/>
      <c r="AC271" s="263"/>
      <c r="AD271" s="263"/>
      <c r="AE271" s="263"/>
      <c r="AF271" s="418"/>
      <c r="AG271" s="263"/>
      <c r="AH271" s="263"/>
      <c r="AI271" s="263"/>
    </row>
    <row r="272" spans="1:35" ht="15" customHeight="1">
      <c r="A272" s="69"/>
      <c r="B272" s="418"/>
      <c r="C272" s="263"/>
      <c r="E272" s="263"/>
      <c r="F272" s="263"/>
      <c r="G272" s="418"/>
      <c r="H272" s="263"/>
      <c r="I272" s="263"/>
      <c r="J272" s="263"/>
      <c r="K272" s="263"/>
      <c r="L272" s="563"/>
      <c r="M272" s="263"/>
      <c r="N272" s="263"/>
      <c r="O272" s="263"/>
      <c r="P272" s="265"/>
      <c r="Q272" s="263"/>
      <c r="R272" s="263"/>
      <c r="S272" s="263"/>
      <c r="T272" s="263"/>
      <c r="U272" s="263"/>
      <c r="V272" s="263"/>
      <c r="W272" s="263"/>
      <c r="X272" s="263"/>
      <c r="Y272" s="263"/>
      <c r="Z272" s="263"/>
      <c r="AA272" s="263"/>
      <c r="AB272" s="263"/>
      <c r="AC272" s="263"/>
      <c r="AD272" s="263"/>
      <c r="AE272" s="263"/>
      <c r="AF272" s="418"/>
      <c r="AG272" s="263"/>
      <c r="AH272" s="263"/>
      <c r="AI272" s="263"/>
    </row>
    <row r="273" spans="1:35" ht="15" customHeight="1">
      <c r="A273" s="69"/>
      <c r="B273" s="418"/>
      <c r="C273" s="263"/>
      <c r="E273" s="263"/>
      <c r="F273" s="263"/>
      <c r="G273" s="418"/>
      <c r="H273" s="263"/>
      <c r="I273" s="263"/>
      <c r="J273" s="263"/>
      <c r="K273" s="263"/>
      <c r="L273" s="563"/>
      <c r="M273" s="263"/>
      <c r="N273" s="263"/>
      <c r="O273" s="263"/>
      <c r="P273" s="265"/>
      <c r="Q273" s="263"/>
      <c r="R273" s="263"/>
      <c r="S273" s="263"/>
      <c r="T273" s="263"/>
      <c r="U273" s="263"/>
      <c r="V273" s="263"/>
      <c r="W273" s="263"/>
      <c r="X273" s="263"/>
      <c r="Y273" s="263"/>
      <c r="Z273" s="263"/>
      <c r="AA273" s="263"/>
      <c r="AB273" s="263"/>
      <c r="AC273" s="263"/>
      <c r="AD273" s="263"/>
      <c r="AE273" s="263"/>
      <c r="AF273" s="418"/>
      <c r="AG273" s="263"/>
      <c r="AH273" s="263"/>
      <c r="AI273" s="263"/>
    </row>
    <row r="274" spans="1:35" ht="15" customHeight="1">
      <c r="A274" s="69"/>
      <c r="B274" s="418"/>
      <c r="C274" s="263"/>
      <c r="E274" s="263"/>
      <c r="F274" s="263"/>
      <c r="G274" s="418"/>
      <c r="H274" s="263"/>
      <c r="I274" s="263"/>
      <c r="J274" s="263"/>
      <c r="K274" s="263"/>
      <c r="L274" s="563"/>
      <c r="M274" s="263"/>
      <c r="N274" s="263"/>
      <c r="O274" s="263"/>
      <c r="P274" s="265"/>
      <c r="Q274" s="263"/>
      <c r="R274" s="263"/>
      <c r="S274" s="263"/>
      <c r="T274" s="263"/>
      <c r="U274" s="263"/>
      <c r="V274" s="263"/>
      <c r="W274" s="263"/>
      <c r="X274" s="263"/>
      <c r="Y274" s="263"/>
      <c r="Z274" s="263"/>
      <c r="AA274" s="263"/>
      <c r="AB274" s="263"/>
      <c r="AC274" s="263"/>
      <c r="AD274" s="263"/>
      <c r="AE274" s="263"/>
      <c r="AF274" s="418"/>
      <c r="AG274" s="263"/>
      <c r="AH274" s="263"/>
      <c r="AI274" s="263"/>
    </row>
    <row r="275" spans="1:35" ht="15" customHeight="1">
      <c r="A275" s="69"/>
      <c r="B275" s="418"/>
      <c r="C275" s="263"/>
      <c r="E275" s="263"/>
      <c r="F275" s="263"/>
      <c r="G275" s="418"/>
      <c r="H275" s="263"/>
      <c r="I275" s="263"/>
      <c r="J275" s="263"/>
      <c r="K275" s="263"/>
      <c r="L275" s="563"/>
      <c r="M275" s="263"/>
      <c r="N275" s="263"/>
      <c r="O275" s="263"/>
      <c r="P275" s="265"/>
      <c r="Q275" s="263"/>
      <c r="R275" s="263"/>
      <c r="S275" s="263"/>
      <c r="T275" s="263"/>
      <c r="U275" s="263"/>
      <c r="V275" s="263"/>
      <c r="W275" s="263"/>
      <c r="X275" s="263"/>
      <c r="Y275" s="263"/>
      <c r="Z275" s="263"/>
      <c r="AA275" s="263"/>
      <c r="AB275" s="263"/>
      <c r="AC275" s="263"/>
      <c r="AD275" s="263"/>
      <c r="AE275" s="263"/>
      <c r="AF275" s="418"/>
      <c r="AG275" s="263"/>
      <c r="AH275" s="263"/>
      <c r="AI275" s="263"/>
    </row>
    <row r="276" spans="1:35" ht="15" customHeight="1">
      <c r="A276" s="69"/>
      <c r="B276" s="418"/>
      <c r="C276" s="263"/>
      <c r="E276" s="263"/>
      <c r="F276" s="263"/>
      <c r="G276" s="418"/>
      <c r="H276" s="263"/>
      <c r="I276" s="263"/>
      <c r="J276" s="263"/>
      <c r="K276" s="263"/>
      <c r="L276" s="563"/>
      <c r="M276" s="263"/>
      <c r="N276" s="263"/>
      <c r="O276" s="263"/>
      <c r="P276" s="265"/>
      <c r="Q276" s="263"/>
      <c r="R276" s="263"/>
      <c r="S276" s="263"/>
      <c r="T276" s="263"/>
      <c r="U276" s="263"/>
      <c r="V276" s="263"/>
      <c r="W276" s="263"/>
      <c r="X276" s="263"/>
      <c r="Y276" s="263"/>
      <c r="Z276" s="263"/>
      <c r="AA276" s="263"/>
      <c r="AB276" s="263"/>
      <c r="AC276" s="263"/>
      <c r="AD276" s="263"/>
      <c r="AE276" s="263"/>
      <c r="AF276" s="418"/>
      <c r="AG276" s="263"/>
      <c r="AH276" s="263"/>
      <c r="AI276" s="263"/>
    </row>
    <row r="277" spans="1:35" ht="15" customHeight="1">
      <c r="A277" s="69"/>
      <c r="B277" s="418"/>
      <c r="C277" s="263"/>
      <c r="E277" s="263"/>
      <c r="F277" s="263"/>
      <c r="G277" s="418"/>
      <c r="H277" s="263"/>
      <c r="I277" s="263"/>
      <c r="J277" s="263"/>
      <c r="K277" s="263"/>
      <c r="L277" s="563"/>
      <c r="M277" s="263"/>
      <c r="N277" s="263"/>
      <c r="O277" s="263"/>
      <c r="P277" s="265"/>
      <c r="Q277" s="263"/>
      <c r="R277" s="263"/>
      <c r="S277" s="263"/>
      <c r="T277" s="263"/>
      <c r="U277" s="263"/>
      <c r="V277" s="263"/>
      <c r="W277" s="263"/>
      <c r="X277" s="263"/>
      <c r="Y277" s="263"/>
      <c r="Z277" s="263"/>
      <c r="AA277" s="263"/>
      <c r="AB277" s="263"/>
      <c r="AC277" s="263"/>
      <c r="AD277" s="263"/>
      <c r="AE277" s="263"/>
      <c r="AF277" s="418"/>
      <c r="AG277" s="263"/>
      <c r="AH277" s="263"/>
      <c r="AI277" s="263"/>
    </row>
    <row r="278" spans="1:35" ht="15" customHeight="1">
      <c r="A278" s="69"/>
      <c r="B278" s="418"/>
      <c r="C278" s="263"/>
      <c r="E278" s="263"/>
      <c r="F278" s="263"/>
      <c r="G278" s="418"/>
      <c r="H278" s="263"/>
      <c r="I278" s="263"/>
      <c r="J278" s="263"/>
      <c r="K278" s="263"/>
      <c r="L278" s="563"/>
      <c r="M278" s="263"/>
      <c r="N278" s="263"/>
      <c r="O278" s="263"/>
      <c r="P278" s="265"/>
      <c r="Q278" s="263"/>
      <c r="R278" s="263"/>
      <c r="S278" s="263"/>
      <c r="T278" s="263"/>
      <c r="U278" s="263"/>
      <c r="V278" s="263"/>
      <c r="W278" s="263"/>
      <c r="X278" s="263"/>
      <c r="Y278" s="263"/>
      <c r="Z278" s="263"/>
      <c r="AA278" s="263"/>
      <c r="AB278" s="263"/>
      <c r="AC278" s="263"/>
      <c r="AD278" s="263"/>
      <c r="AE278" s="263"/>
      <c r="AF278" s="418"/>
      <c r="AG278" s="263"/>
      <c r="AH278" s="263"/>
      <c r="AI278" s="263"/>
    </row>
    <row r="279" spans="1:35" ht="15" customHeight="1">
      <c r="A279" s="69"/>
      <c r="B279" s="418"/>
      <c r="C279" s="263"/>
      <c r="E279" s="263"/>
      <c r="F279" s="263"/>
      <c r="G279" s="418"/>
      <c r="H279" s="263"/>
      <c r="I279" s="263"/>
      <c r="J279" s="263"/>
      <c r="K279" s="263"/>
      <c r="L279" s="563"/>
      <c r="M279" s="263"/>
      <c r="N279" s="263"/>
      <c r="O279" s="263"/>
      <c r="P279" s="265"/>
      <c r="Q279" s="263"/>
      <c r="R279" s="263"/>
      <c r="S279" s="263"/>
      <c r="T279" s="263"/>
      <c r="U279" s="263"/>
      <c r="V279" s="263"/>
      <c r="W279" s="263"/>
      <c r="X279" s="263"/>
      <c r="Y279" s="263"/>
      <c r="Z279" s="263"/>
      <c r="AA279" s="263"/>
      <c r="AB279" s="263"/>
      <c r="AC279" s="263"/>
      <c r="AD279" s="263"/>
      <c r="AE279" s="263"/>
      <c r="AF279" s="418"/>
      <c r="AG279" s="263"/>
      <c r="AH279" s="263"/>
      <c r="AI279" s="263"/>
    </row>
    <row r="280" spans="1:35" ht="15" customHeight="1">
      <c r="A280" s="69"/>
      <c r="B280" s="418"/>
      <c r="C280" s="263"/>
      <c r="E280" s="263"/>
      <c r="F280" s="263"/>
      <c r="G280" s="418"/>
      <c r="H280" s="263"/>
      <c r="I280" s="263"/>
      <c r="J280" s="263"/>
      <c r="K280" s="263"/>
      <c r="L280" s="563"/>
      <c r="M280" s="263"/>
      <c r="N280" s="263"/>
      <c r="O280" s="263"/>
      <c r="P280" s="265"/>
      <c r="Q280" s="263"/>
      <c r="R280" s="263"/>
      <c r="S280" s="263"/>
      <c r="T280" s="263"/>
      <c r="U280" s="263"/>
      <c r="V280" s="263"/>
      <c r="W280" s="263"/>
      <c r="X280" s="263"/>
      <c r="Y280" s="263"/>
      <c r="Z280" s="263"/>
      <c r="AA280" s="263"/>
      <c r="AB280" s="263"/>
      <c r="AC280" s="263"/>
      <c r="AD280" s="263"/>
      <c r="AE280" s="263"/>
      <c r="AF280" s="418"/>
      <c r="AG280" s="263"/>
      <c r="AH280" s="263"/>
      <c r="AI280" s="263"/>
    </row>
    <row r="281" spans="1:35" ht="15" customHeight="1">
      <c r="A281" s="69"/>
      <c r="B281" s="418"/>
      <c r="C281" s="263"/>
      <c r="E281" s="263"/>
      <c r="F281" s="263"/>
      <c r="G281" s="418"/>
      <c r="H281" s="263"/>
      <c r="I281" s="263"/>
      <c r="J281" s="263"/>
      <c r="K281" s="263"/>
      <c r="L281" s="563"/>
      <c r="M281" s="263"/>
      <c r="N281" s="263"/>
      <c r="O281" s="263"/>
      <c r="P281" s="265"/>
      <c r="Q281" s="263"/>
      <c r="R281" s="263"/>
      <c r="S281" s="263"/>
      <c r="T281" s="263"/>
      <c r="U281" s="263"/>
      <c r="V281" s="263"/>
      <c r="W281" s="263"/>
      <c r="X281" s="263"/>
      <c r="Y281" s="263"/>
      <c r="Z281" s="263"/>
      <c r="AA281" s="263"/>
      <c r="AB281" s="263"/>
      <c r="AC281" s="263"/>
      <c r="AD281" s="263"/>
      <c r="AE281" s="263"/>
      <c r="AF281" s="418"/>
      <c r="AG281" s="263"/>
      <c r="AH281" s="263"/>
      <c r="AI281" s="263"/>
    </row>
    <row r="282" spans="1:35" ht="15" customHeight="1">
      <c r="A282" s="69"/>
      <c r="B282" s="418"/>
      <c r="C282" s="263"/>
      <c r="E282" s="263"/>
      <c r="F282" s="263"/>
      <c r="G282" s="418"/>
      <c r="H282" s="263"/>
      <c r="I282" s="263"/>
      <c r="J282" s="263"/>
      <c r="K282" s="263"/>
      <c r="L282" s="563"/>
      <c r="M282" s="263"/>
      <c r="N282" s="263"/>
      <c r="O282" s="263"/>
      <c r="P282" s="265"/>
      <c r="Q282" s="263"/>
      <c r="R282" s="263"/>
      <c r="S282" s="263"/>
      <c r="T282" s="263"/>
      <c r="U282" s="263"/>
      <c r="V282" s="263"/>
      <c r="W282" s="263"/>
      <c r="X282" s="263"/>
      <c r="Y282" s="263"/>
      <c r="Z282" s="263"/>
      <c r="AA282" s="263"/>
      <c r="AB282" s="263"/>
      <c r="AC282" s="263"/>
      <c r="AD282" s="263"/>
      <c r="AE282" s="263"/>
      <c r="AF282" s="418"/>
      <c r="AG282" s="263"/>
      <c r="AH282" s="263"/>
      <c r="AI282" s="263"/>
    </row>
    <row r="283" spans="1:35" ht="15" customHeight="1">
      <c r="A283" s="69"/>
      <c r="B283" s="418"/>
      <c r="C283" s="263"/>
      <c r="E283" s="263"/>
      <c r="F283" s="263"/>
      <c r="G283" s="418"/>
      <c r="H283" s="263"/>
      <c r="I283" s="263"/>
      <c r="J283" s="263"/>
      <c r="K283" s="263"/>
      <c r="L283" s="563"/>
      <c r="M283" s="263"/>
      <c r="N283" s="263"/>
      <c r="O283" s="263"/>
      <c r="P283" s="265"/>
      <c r="Q283" s="263"/>
      <c r="R283" s="263"/>
      <c r="S283" s="263"/>
      <c r="T283" s="263"/>
      <c r="U283" s="263"/>
      <c r="V283" s="263"/>
      <c r="W283" s="263"/>
      <c r="X283" s="263"/>
      <c r="Y283" s="263"/>
      <c r="Z283" s="263"/>
      <c r="AA283" s="263"/>
      <c r="AB283" s="263"/>
      <c r="AC283" s="263"/>
      <c r="AD283" s="263"/>
      <c r="AE283" s="263"/>
      <c r="AF283" s="418"/>
      <c r="AG283" s="263"/>
      <c r="AH283" s="263"/>
      <c r="AI283" s="263"/>
    </row>
    <row r="284" spans="1:35" ht="15" customHeight="1">
      <c r="A284" s="69"/>
      <c r="B284" s="418"/>
      <c r="C284" s="263"/>
      <c r="E284" s="263"/>
      <c r="F284" s="263"/>
      <c r="G284" s="418"/>
      <c r="H284" s="263"/>
      <c r="I284" s="263"/>
      <c r="J284" s="263"/>
      <c r="K284" s="263"/>
      <c r="L284" s="563"/>
      <c r="M284" s="263"/>
      <c r="N284" s="263"/>
      <c r="O284" s="263"/>
      <c r="P284" s="265"/>
      <c r="Q284" s="263"/>
      <c r="R284" s="263"/>
      <c r="S284" s="263"/>
      <c r="T284" s="263"/>
      <c r="U284" s="263"/>
      <c r="V284" s="263"/>
      <c r="W284" s="263"/>
      <c r="X284" s="263"/>
      <c r="Y284" s="263"/>
      <c r="Z284" s="263"/>
      <c r="AA284" s="263"/>
      <c r="AB284" s="263"/>
      <c r="AC284" s="263"/>
      <c r="AD284" s="263"/>
      <c r="AE284" s="263"/>
      <c r="AF284" s="418"/>
      <c r="AG284" s="263"/>
      <c r="AH284" s="263"/>
      <c r="AI284" s="263"/>
    </row>
    <row r="285" spans="1:35" ht="15" customHeight="1">
      <c r="A285" s="69"/>
      <c r="B285" s="418"/>
      <c r="C285" s="263"/>
      <c r="E285" s="263"/>
      <c r="F285" s="263"/>
      <c r="G285" s="418"/>
      <c r="H285" s="263"/>
      <c r="I285" s="263"/>
      <c r="J285" s="263"/>
      <c r="K285" s="263"/>
      <c r="L285" s="563"/>
      <c r="M285" s="263"/>
      <c r="N285" s="263"/>
      <c r="O285" s="263"/>
      <c r="P285" s="265"/>
      <c r="Q285" s="263"/>
      <c r="R285" s="263"/>
      <c r="S285" s="263"/>
      <c r="T285" s="263"/>
      <c r="U285" s="263"/>
      <c r="V285" s="263"/>
      <c r="W285" s="263"/>
      <c r="X285" s="263"/>
      <c r="Y285" s="263"/>
      <c r="Z285" s="263"/>
      <c r="AA285" s="263"/>
      <c r="AB285" s="263"/>
      <c r="AC285" s="263"/>
      <c r="AD285" s="263"/>
      <c r="AE285" s="263"/>
      <c r="AF285" s="418"/>
      <c r="AG285" s="263"/>
      <c r="AH285" s="263"/>
      <c r="AI285" s="263"/>
    </row>
    <row r="286" spans="1:35" ht="15" customHeight="1">
      <c r="A286" s="69"/>
      <c r="B286" s="418"/>
      <c r="C286" s="263"/>
      <c r="E286" s="263"/>
      <c r="F286" s="263"/>
      <c r="G286" s="418"/>
      <c r="H286" s="263"/>
      <c r="I286" s="263"/>
      <c r="J286" s="263"/>
      <c r="K286" s="263"/>
      <c r="L286" s="563"/>
      <c r="M286" s="263"/>
      <c r="N286" s="263"/>
      <c r="O286" s="263"/>
      <c r="P286" s="265"/>
      <c r="Q286" s="263"/>
      <c r="R286" s="263"/>
      <c r="S286" s="263"/>
      <c r="T286" s="263"/>
      <c r="U286" s="263"/>
      <c r="V286" s="263"/>
      <c r="W286" s="263"/>
      <c r="X286" s="263"/>
      <c r="Y286" s="263"/>
      <c r="Z286" s="263"/>
      <c r="AA286" s="263"/>
      <c r="AB286" s="263"/>
      <c r="AC286" s="263"/>
      <c r="AD286" s="263"/>
      <c r="AE286" s="263"/>
      <c r="AF286" s="418"/>
      <c r="AG286" s="263"/>
      <c r="AH286" s="263"/>
      <c r="AI286" s="263"/>
    </row>
    <row r="287" spans="1:35" ht="15" customHeight="1">
      <c r="A287" s="69"/>
      <c r="B287" s="418"/>
      <c r="C287" s="263"/>
      <c r="E287" s="263"/>
      <c r="F287" s="263"/>
      <c r="G287" s="418"/>
      <c r="H287" s="263"/>
      <c r="I287" s="263"/>
      <c r="J287" s="263"/>
      <c r="K287" s="263"/>
      <c r="L287" s="563"/>
      <c r="M287" s="263"/>
      <c r="N287" s="263"/>
      <c r="O287" s="263"/>
      <c r="P287" s="265"/>
      <c r="Q287" s="263"/>
      <c r="R287" s="263"/>
      <c r="S287" s="263"/>
      <c r="T287" s="263"/>
      <c r="U287" s="263"/>
      <c r="V287" s="263"/>
      <c r="W287" s="263"/>
      <c r="X287" s="263"/>
      <c r="Y287" s="263"/>
      <c r="Z287" s="263"/>
      <c r="AA287" s="263"/>
      <c r="AB287" s="263"/>
      <c r="AC287" s="263"/>
      <c r="AD287" s="263"/>
      <c r="AE287" s="263"/>
      <c r="AF287" s="418"/>
      <c r="AG287" s="263"/>
      <c r="AH287" s="263"/>
      <c r="AI287" s="263"/>
    </row>
    <row r="288" spans="1:35" ht="15" customHeight="1">
      <c r="A288" s="69"/>
      <c r="B288" s="418"/>
      <c r="C288" s="263"/>
      <c r="E288" s="263"/>
      <c r="F288" s="263"/>
      <c r="G288" s="418"/>
      <c r="H288" s="263"/>
      <c r="I288" s="263"/>
      <c r="J288" s="263"/>
      <c r="K288" s="263"/>
      <c r="L288" s="563"/>
      <c r="M288" s="263"/>
      <c r="N288" s="263"/>
      <c r="O288" s="263"/>
      <c r="P288" s="265"/>
      <c r="Q288" s="263"/>
      <c r="R288" s="263"/>
      <c r="S288" s="263"/>
      <c r="T288" s="263"/>
      <c r="U288" s="263"/>
      <c r="V288" s="263"/>
      <c r="W288" s="263"/>
      <c r="X288" s="263"/>
      <c r="Y288" s="263"/>
      <c r="Z288" s="263"/>
      <c r="AA288" s="263"/>
      <c r="AB288" s="263"/>
      <c r="AC288" s="263"/>
      <c r="AD288" s="263"/>
      <c r="AE288" s="263"/>
      <c r="AF288" s="418"/>
      <c r="AG288" s="263"/>
      <c r="AH288" s="263"/>
      <c r="AI288" s="263"/>
    </row>
    <row r="289" spans="1:35" ht="15" customHeight="1">
      <c r="A289" s="69"/>
      <c r="B289" s="418"/>
      <c r="C289" s="263"/>
      <c r="E289" s="263"/>
      <c r="F289" s="263"/>
      <c r="G289" s="418"/>
      <c r="H289" s="263"/>
      <c r="I289" s="263"/>
      <c r="J289" s="263"/>
      <c r="K289" s="263"/>
      <c r="L289" s="563"/>
      <c r="M289" s="263"/>
      <c r="N289" s="263"/>
      <c r="O289" s="263"/>
      <c r="P289" s="265"/>
      <c r="Q289" s="263"/>
      <c r="R289" s="263"/>
      <c r="S289" s="263"/>
      <c r="T289" s="263"/>
      <c r="U289" s="263"/>
      <c r="V289" s="263"/>
      <c r="W289" s="263"/>
      <c r="X289" s="263"/>
      <c r="Y289" s="263"/>
      <c r="Z289" s="263"/>
      <c r="AA289" s="263"/>
      <c r="AB289" s="263"/>
      <c r="AC289" s="263"/>
      <c r="AD289" s="263"/>
      <c r="AE289" s="263"/>
      <c r="AF289" s="418"/>
      <c r="AG289" s="263"/>
      <c r="AH289" s="263"/>
      <c r="AI289" s="263"/>
    </row>
    <row r="290" spans="1:35" ht="15" customHeight="1">
      <c r="A290" s="69"/>
      <c r="B290" s="418"/>
      <c r="C290" s="263"/>
      <c r="E290" s="263"/>
      <c r="F290" s="263"/>
      <c r="G290" s="418"/>
      <c r="H290" s="263"/>
      <c r="I290" s="263"/>
      <c r="J290" s="263"/>
      <c r="K290" s="263"/>
      <c r="L290" s="563"/>
      <c r="M290" s="263"/>
      <c r="N290" s="263"/>
      <c r="O290" s="263"/>
      <c r="P290" s="265"/>
      <c r="Q290" s="263"/>
      <c r="R290" s="263"/>
      <c r="S290" s="263"/>
      <c r="T290" s="263"/>
      <c r="U290" s="263"/>
      <c r="V290" s="263"/>
      <c r="W290" s="263"/>
      <c r="X290" s="263"/>
      <c r="Y290" s="263"/>
      <c r="Z290" s="263"/>
      <c r="AA290" s="263"/>
      <c r="AB290" s="263"/>
      <c r="AC290" s="263"/>
      <c r="AD290" s="263"/>
      <c r="AE290" s="263"/>
      <c r="AF290" s="418"/>
      <c r="AG290" s="263"/>
      <c r="AH290" s="263"/>
      <c r="AI290" s="263"/>
    </row>
    <row r="291" spans="1:35" ht="15" customHeight="1">
      <c r="A291" s="69"/>
      <c r="B291" s="418"/>
      <c r="C291" s="263"/>
      <c r="E291" s="263"/>
      <c r="F291" s="263"/>
      <c r="G291" s="418"/>
      <c r="H291" s="263"/>
      <c r="I291" s="263"/>
      <c r="J291" s="263"/>
      <c r="K291" s="263"/>
      <c r="L291" s="563"/>
      <c r="M291" s="263"/>
      <c r="N291" s="263"/>
      <c r="O291" s="263"/>
      <c r="P291" s="265"/>
      <c r="Q291" s="263"/>
      <c r="R291" s="263"/>
      <c r="S291" s="263"/>
      <c r="T291" s="263"/>
      <c r="U291" s="263"/>
      <c r="V291" s="263"/>
      <c r="W291" s="263"/>
      <c r="X291" s="263"/>
      <c r="Y291" s="263"/>
      <c r="Z291" s="263"/>
      <c r="AA291" s="263"/>
      <c r="AB291" s="263"/>
      <c r="AC291" s="263"/>
      <c r="AD291" s="263"/>
      <c r="AE291" s="263"/>
      <c r="AF291" s="418"/>
      <c r="AG291" s="263"/>
      <c r="AH291" s="263"/>
      <c r="AI291" s="263"/>
    </row>
    <row r="292" spans="1:35" ht="15" customHeight="1">
      <c r="A292" s="69"/>
      <c r="B292" s="418"/>
      <c r="C292" s="263"/>
      <c r="E292" s="263"/>
      <c r="F292" s="263"/>
      <c r="G292" s="418"/>
      <c r="H292" s="263"/>
      <c r="I292" s="263"/>
      <c r="J292" s="263"/>
      <c r="K292" s="263"/>
      <c r="L292" s="563"/>
      <c r="M292" s="263"/>
      <c r="N292" s="263"/>
      <c r="O292" s="263"/>
      <c r="P292" s="265"/>
      <c r="Q292" s="263"/>
      <c r="R292" s="263"/>
      <c r="S292" s="263"/>
      <c r="T292" s="263"/>
      <c r="U292" s="263"/>
      <c r="V292" s="263"/>
      <c r="W292" s="263"/>
      <c r="X292" s="263"/>
      <c r="Y292" s="263"/>
      <c r="Z292" s="263"/>
      <c r="AA292" s="263"/>
      <c r="AB292" s="263"/>
      <c r="AC292" s="263"/>
      <c r="AD292" s="263"/>
      <c r="AE292" s="263"/>
      <c r="AF292" s="418"/>
      <c r="AG292" s="263"/>
      <c r="AH292" s="263"/>
      <c r="AI292" s="263"/>
    </row>
    <row r="293" spans="1:35" ht="15" customHeight="1">
      <c r="A293" s="69"/>
      <c r="B293" s="418"/>
      <c r="C293" s="263"/>
      <c r="E293" s="263"/>
      <c r="F293" s="263"/>
      <c r="G293" s="418"/>
      <c r="H293" s="263"/>
      <c r="I293" s="263"/>
      <c r="J293" s="263"/>
      <c r="K293" s="263"/>
      <c r="L293" s="563"/>
      <c r="M293" s="263"/>
      <c r="N293" s="263"/>
      <c r="O293" s="263"/>
      <c r="P293" s="265"/>
      <c r="Q293" s="263"/>
      <c r="R293" s="263"/>
      <c r="S293" s="263"/>
      <c r="T293" s="263"/>
      <c r="U293" s="263"/>
      <c r="V293" s="263"/>
      <c r="W293" s="263"/>
      <c r="X293" s="263"/>
      <c r="Y293" s="263"/>
      <c r="Z293" s="263"/>
      <c r="AA293" s="263"/>
      <c r="AB293" s="263"/>
      <c r="AC293" s="263"/>
      <c r="AD293" s="263"/>
      <c r="AE293" s="263"/>
      <c r="AF293" s="418"/>
      <c r="AG293" s="263"/>
      <c r="AH293" s="263"/>
      <c r="AI293" s="263"/>
    </row>
    <row r="294" spans="1:35" ht="15" customHeight="1">
      <c r="A294" s="69"/>
      <c r="B294" s="418"/>
      <c r="C294" s="263"/>
      <c r="E294" s="263"/>
      <c r="F294" s="263"/>
      <c r="G294" s="418"/>
      <c r="H294" s="263"/>
      <c r="I294" s="263"/>
      <c r="J294" s="263"/>
      <c r="K294" s="263"/>
      <c r="L294" s="563"/>
      <c r="M294" s="263"/>
      <c r="N294" s="263"/>
      <c r="O294" s="263"/>
      <c r="P294" s="265"/>
      <c r="Q294" s="263"/>
      <c r="R294" s="263"/>
      <c r="S294" s="263"/>
      <c r="T294" s="263"/>
      <c r="U294" s="263"/>
      <c r="V294" s="263"/>
      <c r="W294" s="263"/>
      <c r="X294" s="263"/>
      <c r="Y294" s="263"/>
      <c r="Z294" s="263"/>
      <c r="AA294" s="263"/>
      <c r="AB294" s="263"/>
      <c r="AC294" s="263"/>
      <c r="AD294" s="263"/>
      <c r="AE294" s="263"/>
      <c r="AF294" s="418"/>
      <c r="AG294" s="263"/>
      <c r="AH294" s="263"/>
      <c r="AI294" s="263"/>
    </row>
    <row r="295" spans="1:35" ht="15" customHeight="1">
      <c r="A295" s="69"/>
      <c r="B295" s="418"/>
      <c r="C295" s="263"/>
      <c r="E295" s="263"/>
      <c r="F295" s="263"/>
      <c r="G295" s="418"/>
      <c r="H295" s="263"/>
      <c r="I295" s="263"/>
      <c r="J295" s="263"/>
      <c r="K295" s="263"/>
      <c r="L295" s="563"/>
      <c r="M295" s="263"/>
      <c r="N295" s="263"/>
      <c r="O295" s="263"/>
      <c r="P295" s="265"/>
      <c r="Q295" s="263"/>
      <c r="R295" s="263"/>
      <c r="S295" s="263"/>
      <c r="T295" s="263"/>
      <c r="U295" s="263"/>
      <c r="V295" s="263"/>
      <c r="W295" s="263"/>
      <c r="X295" s="263"/>
      <c r="Y295" s="263"/>
      <c r="Z295" s="263"/>
      <c r="AA295" s="263"/>
      <c r="AB295" s="263"/>
      <c r="AC295" s="263"/>
      <c r="AD295" s="263"/>
      <c r="AE295" s="263"/>
      <c r="AF295" s="418"/>
      <c r="AG295" s="263"/>
      <c r="AH295" s="263"/>
      <c r="AI295" s="263"/>
    </row>
    <row r="296" spans="1:35" ht="15" customHeight="1">
      <c r="A296" s="69"/>
      <c r="B296" s="418"/>
      <c r="C296" s="263"/>
      <c r="E296" s="263"/>
      <c r="F296" s="263"/>
      <c r="G296" s="418"/>
      <c r="H296" s="263"/>
      <c r="I296" s="263"/>
      <c r="J296" s="263"/>
      <c r="K296" s="263"/>
      <c r="L296" s="563"/>
      <c r="M296" s="263"/>
      <c r="N296" s="263"/>
      <c r="O296" s="263"/>
      <c r="P296" s="265"/>
      <c r="Q296" s="263"/>
      <c r="R296" s="263"/>
      <c r="S296" s="263"/>
      <c r="T296" s="263"/>
      <c r="U296" s="263"/>
      <c r="V296" s="263"/>
      <c r="W296" s="263"/>
      <c r="X296" s="263"/>
      <c r="Y296" s="263"/>
      <c r="Z296" s="263"/>
      <c r="AA296" s="263"/>
      <c r="AB296" s="263"/>
      <c r="AC296" s="263"/>
      <c r="AD296" s="263"/>
      <c r="AE296" s="263"/>
      <c r="AF296" s="418"/>
      <c r="AG296" s="263"/>
      <c r="AH296" s="263"/>
      <c r="AI296" s="263"/>
    </row>
    <row r="297" spans="1:35" ht="15" customHeight="1">
      <c r="A297" s="69"/>
      <c r="B297" s="418"/>
      <c r="C297" s="263"/>
      <c r="E297" s="263"/>
      <c r="F297" s="263"/>
      <c r="G297" s="418"/>
      <c r="H297" s="263"/>
      <c r="I297" s="263"/>
      <c r="J297" s="263"/>
      <c r="K297" s="263"/>
      <c r="L297" s="563"/>
      <c r="M297" s="263"/>
      <c r="N297" s="263"/>
      <c r="O297" s="263"/>
      <c r="P297" s="265"/>
      <c r="Q297" s="263"/>
      <c r="R297" s="263"/>
      <c r="S297" s="263"/>
      <c r="T297" s="263"/>
      <c r="U297" s="263"/>
      <c r="V297" s="263"/>
      <c r="W297" s="263"/>
      <c r="X297" s="263"/>
      <c r="Y297" s="263"/>
      <c r="Z297" s="263"/>
      <c r="AA297" s="263"/>
      <c r="AB297" s="263"/>
      <c r="AC297" s="263"/>
      <c r="AD297" s="263"/>
      <c r="AE297" s="263"/>
      <c r="AF297" s="418"/>
      <c r="AG297" s="263"/>
      <c r="AH297" s="263"/>
      <c r="AI297" s="263"/>
    </row>
    <row r="298" spans="1:35" ht="15" customHeight="1">
      <c r="A298" s="69"/>
      <c r="B298" s="418"/>
      <c r="C298" s="263"/>
      <c r="E298" s="263"/>
      <c r="F298" s="263"/>
      <c r="G298" s="418"/>
      <c r="H298" s="263"/>
      <c r="I298" s="263"/>
      <c r="J298" s="263"/>
      <c r="K298" s="263"/>
      <c r="L298" s="563"/>
      <c r="M298" s="263"/>
      <c r="N298" s="263"/>
      <c r="O298" s="263"/>
      <c r="P298" s="265"/>
      <c r="Q298" s="263"/>
      <c r="R298" s="263"/>
      <c r="S298" s="263"/>
      <c r="T298" s="263"/>
      <c r="U298" s="263"/>
      <c r="V298" s="263"/>
      <c r="W298" s="263"/>
      <c r="X298" s="263"/>
      <c r="Y298" s="263"/>
      <c r="Z298" s="263"/>
      <c r="AA298" s="263"/>
      <c r="AB298" s="263"/>
      <c r="AC298" s="263"/>
      <c r="AD298" s="263"/>
      <c r="AE298" s="263"/>
      <c r="AF298" s="418"/>
      <c r="AG298" s="263"/>
      <c r="AH298" s="263"/>
      <c r="AI298" s="263"/>
    </row>
    <row r="299" spans="1:35" ht="15" customHeight="1">
      <c r="A299" s="69"/>
      <c r="B299" s="418"/>
      <c r="C299" s="263"/>
      <c r="E299" s="263"/>
      <c r="F299" s="263"/>
      <c r="G299" s="418"/>
      <c r="H299" s="263"/>
      <c r="I299" s="263"/>
      <c r="J299" s="263"/>
      <c r="K299" s="263"/>
      <c r="L299" s="563"/>
      <c r="M299" s="263"/>
      <c r="N299" s="263"/>
      <c r="O299" s="263"/>
      <c r="P299" s="265"/>
      <c r="Q299" s="263"/>
      <c r="R299" s="263"/>
      <c r="S299" s="263"/>
      <c r="T299" s="263"/>
      <c r="U299" s="263"/>
      <c r="V299" s="263"/>
      <c r="W299" s="263"/>
      <c r="X299" s="263"/>
      <c r="Y299" s="263"/>
      <c r="Z299" s="263"/>
      <c r="AA299" s="263"/>
      <c r="AB299" s="263"/>
      <c r="AC299" s="263"/>
      <c r="AD299" s="263"/>
      <c r="AE299" s="263"/>
      <c r="AF299" s="418"/>
      <c r="AG299" s="263"/>
      <c r="AH299" s="263"/>
      <c r="AI299" s="263"/>
    </row>
    <row r="300" spans="1:35" ht="15" customHeight="1">
      <c r="A300" s="69"/>
      <c r="B300" s="418"/>
      <c r="C300" s="263"/>
      <c r="E300" s="263"/>
      <c r="F300" s="263"/>
      <c r="G300" s="418"/>
      <c r="H300" s="263"/>
      <c r="I300" s="263"/>
      <c r="J300" s="263"/>
      <c r="K300" s="263"/>
      <c r="L300" s="563"/>
      <c r="M300" s="263"/>
      <c r="N300" s="263"/>
      <c r="O300" s="263"/>
      <c r="P300" s="265"/>
      <c r="Q300" s="263"/>
      <c r="R300" s="263"/>
      <c r="S300" s="263"/>
      <c r="T300" s="263"/>
      <c r="U300" s="263"/>
      <c r="V300" s="263"/>
      <c r="W300" s="263"/>
      <c r="X300" s="263"/>
      <c r="Y300" s="263"/>
      <c r="Z300" s="263"/>
      <c r="AA300" s="263"/>
      <c r="AB300" s="263"/>
      <c r="AC300" s="263"/>
      <c r="AD300" s="263"/>
      <c r="AE300" s="263"/>
      <c r="AF300" s="418"/>
      <c r="AG300" s="263"/>
      <c r="AH300" s="263"/>
      <c r="AI300" s="263"/>
    </row>
    <row r="301" spans="1:35" ht="15" customHeight="1">
      <c r="A301" s="69"/>
      <c r="B301" s="418"/>
      <c r="C301" s="263"/>
      <c r="E301" s="263"/>
      <c r="F301" s="263"/>
      <c r="G301" s="418"/>
      <c r="H301" s="263"/>
      <c r="I301" s="263"/>
      <c r="J301" s="263"/>
      <c r="K301" s="263"/>
      <c r="L301" s="563"/>
      <c r="M301" s="263"/>
      <c r="N301" s="263"/>
      <c r="O301" s="263"/>
      <c r="P301" s="265"/>
      <c r="Q301" s="263"/>
      <c r="R301" s="263"/>
      <c r="S301" s="263"/>
      <c r="T301" s="263"/>
      <c r="U301" s="263"/>
      <c r="V301" s="263"/>
      <c r="W301" s="263"/>
      <c r="X301" s="263"/>
      <c r="Y301" s="263"/>
      <c r="Z301" s="263"/>
      <c r="AA301" s="263"/>
      <c r="AB301" s="263"/>
      <c r="AC301" s="263"/>
      <c r="AD301" s="263"/>
      <c r="AE301" s="263"/>
      <c r="AF301" s="418"/>
      <c r="AG301" s="263"/>
      <c r="AH301" s="263"/>
      <c r="AI301" s="263"/>
    </row>
    <row r="302" spans="1:35" ht="15" customHeight="1">
      <c r="A302" s="69"/>
      <c r="B302" s="418"/>
      <c r="C302" s="263"/>
      <c r="E302" s="263"/>
      <c r="F302" s="263"/>
      <c r="G302" s="418"/>
      <c r="H302" s="263"/>
      <c r="I302" s="263"/>
      <c r="J302" s="263"/>
      <c r="K302" s="263"/>
      <c r="L302" s="563"/>
      <c r="M302" s="263"/>
      <c r="N302" s="263"/>
      <c r="O302" s="263"/>
      <c r="P302" s="265"/>
      <c r="Q302" s="263"/>
      <c r="R302" s="263"/>
      <c r="S302" s="263"/>
      <c r="T302" s="263"/>
      <c r="U302" s="263"/>
      <c r="V302" s="263"/>
      <c r="W302" s="263"/>
      <c r="X302" s="263"/>
      <c r="Y302" s="263"/>
      <c r="Z302" s="263"/>
      <c r="AA302" s="263"/>
      <c r="AB302" s="263"/>
      <c r="AC302" s="263"/>
      <c r="AD302" s="263"/>
      <c r="AE302" s="263"/>
      <c r="AF302" s="418"/>
      <c r="AG302" s="263"/>
      <c r="AH302" s="263"/>
      <c r="AI302" s="263"/>
    </row>
    <row r="303" spans="1:35" ht="15" customHeight="1">
      <c r="A303" s="69"/>
      <c r="B303" s="418"/>
      <c r="C303" s="263"/>
      <c r="E303" s="263"/>
      <c r="F303" s="263"/>
      <c r="G303" s="418"/>
      <c r="H303" s="263"/>
      <c r="I303" s="263"/>
      <c r="J303" s="263"/>
      <c r="K303" s="263"/>
      <c r="L303" s="563"/>
      <c r="M303" s="263"/>
      <c r="N303" s="263"/>
      <c r="O303" s="263"/>
      <c r="P303" s="265"/>
      <c r="Q303" s="263"/>
      <c r="R303" s="263"/>
      <c r="S303" s="263"/>
      <c r="T303" s="263"/>
      <c r="U303" s="263"/>
      <c r="V303" s="263"/>
      <c r="W303" s="263"/>
      <c r="X303" s="263"/>
      <c r="Y303" s="263"/>
      <c r="Z303" s="263"/>
      <c r="AA303" s="263"/>
      <c r="AB303" s="263"/>
      <c r="AC303" s="263"/>
      <c r="AD303" s="263"/>
      <c r="AE303" s="263"/>
      <c r="AF303" s="418"/>
      <c r="AG303" s="263"/>
      <c r="AH303" s="263"/>
      <c r="AI303" s="263"/>
    </row>
    <row r="304" spans="1:35" ht="15" customHeight="1">
      <c r="A304" s="69"/>
      <c r="B304" s="418"/>
      <c r="C304" s="263"/>
      <c r="E304" s="263"/>
      <c r="F304" s="263"/>
      <c r="G304" s="418"/>
      <c r="H304" s="263"/>
      <c r="I304" s="263"/>
      <c r="J304" s="263"/>
      <c r="K304" s="263"/>
      <c r="L304" s="563"/>
      <c r="M304" s="263"/>
      <c r="N304" s="263"/>
      <c r="O304" s="263"/>
      <c r="P304" s="265"/>
      <c r="Q304" s="263"/>
      <c r="R304" s="263"/>
      <c r="S304" s="263"/>
      <c r="T304" s="263"/>
      <c r="U304" s="263"/>
      <c r="V304" s="263"/>
      <c r="W304" s="263"/>
      <c r="X304" s="263"/>
      <c r="Y304" s="263"/>
      <c r="Z304" s="263"/>
      <c r="AA304" s="263"/>
      <c r="AB304" s="263"/>
      <c r="AC304" s="263"/>
      <c r="AD304" s="263"/>
      <c r="AE304" s="263"/>
      <c r="AF304" s="418"/>
      <c r="AG304" s="263"/>
      <c r="AH304" s="263"/>
      <c r="AI304" s="263"/>
    </row>
    <row r="305" spans="1:35" ht="15" customHeight="1">
      <c r="A305" s="69"/>
      <c r="B305" s="418"/>
      <c r="C305" s="263"/>
      <c r="E305" s="263"/>
      <c r="F305" s="263"/>
      <c r="G305" s="418"/>
      <c r="H305" s="263"/>
      <c r="I305" s="263"/>
      <c r="J305" s="263"/>
      <c r="K305" s="263"/>
      <c r="L305" s="563"/>
      <c r="M305" s="263"/>
      <c r="N305" s="263"/>
      <c r="O305" s="263"/>
      <c r="P305" s="265"/>
      <c r="Q305" s="263"/>
      <c r="R305" s="263"/>
      <c r="S305" s="263"/>
      <c r="T305" s="263"/>
      <c r="U305" s="263"/>
      <c r="V305" s="263"/>
      <c r="W305" s="263"/>
      <c r="X305" s="263"/>
      <c r="Y305" s="263"/>
      <c r="Z305" s="263"/>
      <c r="AA305" s="263"/>
      <c r="AB305" s="263"/>
      <c r="AC305" s="263"/>
      <c r="AD305" s="263"/>
      <c r="AE305" s="263"/>
      <c r="AF305" s="418"/>
      <c r="AG305" s="263"/>
      <c r="AH305" s="263"/>
      <c r="AI305" s="263"/>
    </row>
    <row r="306" spans="1:35" ht="15" customHeight="1">
      <c r="A306" s="69"/>
      <c r="B306" s="418"/>
      <c r="C306" s="263"/>
      <c r="E306" s="263"/>
      <c r="F306" s="263"/>
      <c r="G306" s="418"/>
      <c r="H306" s="263"/>
      <c r="I306" s="263"/>
      <c r="J306" s="263"/>
      <c r="K306" s="263"/>
      <c r="L306" s="563"/>
      <c r="M306" s="263"/>
      <c r="N306" s="263"/>
      <c r="O306" s="263"/>
      <c r="P306" s="265"/>
      <c r="Q306" s="263"/>
      <c r="R306" s="263"/>
      <c r="S306" s="263"/>
      <c r="T306" s="263"/>
      <c r="U306" s="263"/>
      <c r="V306" s="263"/>
      <c r="W306" s="263"/>
      <c r="X306" s="263"/>
      <c r="Y306" s="263"/>
      <c r="Z306" s="263"/>
      <c r="AA306" s="263"/>
      <c r="AB306" s="263"/>
      <c r="AC306" s="263"/>
      <c r="AD306" s="263"/>
      <c r="AE306" s="263"/>
      <c r="AF306" s="418"/>
      <c r="AG306" s="263"/>
      <c r="AH306" s="263"/>
      <c r="AI306" s="263"/>
    </row>
    <row r="307" spans="1:35" ht="15" customHeight="1">
      <c r="A307" s="69"/>
      <c r="B307" s="418"/>
      <c r="C307" s="263"/>
      <c r="E307" s="263"/>
      <c r="F307" s="263"/>
      <c r="G307" s="418"/>
      <c r="H307" s="263"/>
      <c r="I307" s="263"/>
      <c r="J307" s="263"/>
      <c r="K307" s="263"/>
      <c r="L307" s="563"/>
      <c r="M307" s="263"/>
      <c r="N307" s="263"/>
      <c r="O307" s="263"/>
      <c r="P307" s="265"/>
      <c r="Q307" s="263"/>
      <c r="R307" s="263"/>
      <c r="S307" s="263"/>
      <c r="T307" s="263"/>
      <c r="U307" s="263"/>
      <c r="V307" s="263"/>
      <c r="W307" s="263"/>
      <c r="X307" s="263"/>
      <c r="Y307" s="263"/>
      <c r="Z307" s="263"/>
      <c r="AA307" s="263"/>
      <c r="AB307" s="263"/>
      <c r="AC307" s="263"/>
      <c r="AD307" s="263"/>
      <c r="AE307" s="263"/>
      <c r="AF307" s="418"/>
      <c r="AG307" s="263"/>
      <c r="AH307" s="263"/>
      <c r="AI307" s="263"/>
    </row>
    <row r="308" spans="1:35" ht="15" customHeight="1">
      <c r="A308" s="69"/>
      <c r="B308" s="418"/>
      <c r="C308" s="263"/>
      <c r="E308" s="263"/>
      <c r="F308" s="263"/>
      <c r="G308" s="418"/>
      <c r="H308" s="263"/>
      <c r="I308" s="263"/>
      <c r="J308" s="263"/>
      <c r="K308" s="263"/>
      <c r="L308" s="563"/>
      <c r="M308" s="263"/>
      <c r="N308" s="263"/>
      <c r="O308" s="263"/>
      <c r="P308" s="265"/>
      <c r="Q308" s="263"/>
      <c r="R308" s="263"/>
      <c r="S308" s="263"/>
      <c r="T308" s="263"/>
      <c r="U308" s="263"/>
      <c r="V308" s="263"/>
      <c r="W308" s="263"/>
      <c r="X308" s="263"/>
      <c r="Y308" s="263"/>
      <c r="Z308" s="263"/>
      <c r="AA308" s="263"/>
      <c r="AB308" s="263"/>
      <c r="AC308" s="263"/>
      <c r="AD308" s="263"/>
      <c r="AE308" s="263"/>
      <c r="AF308" s="418"/>
      <c r="AG308" s="263"/>
      <c r="AH308" s="263"/>
      <c r="AI308" s="263"/>
    </row>
    <row r="309" spans="1:35" ht="15" customHeight="1">
      <c r="A309" s="69"/>
      <c r="B309" s="418"/>
      <c r="C309" s="263"/>
      <c r="E309" s="263"/>
      <c r="F309" s="263"/>
      <c r="G309" s="418"/>
      <c r="H309" s="263"/>
      <c r="I309" s="263"/>
      <c r="J309" s="263"/>
      <c r="K309" s="263"/>
      <c r="L309" s="563"/>
      <c r="M309" s="263"/>
      <c r="N309" s="263"/>
      <c r="O309" s="263"/>
      <c r="P309" s="265"/>
      <c r="Q309" s="263"/>
      <c r="R309" s="263"/>
      <c r="S309" s="263"/>
      <c r="T309" s="263"/>
      <c r="U309" s="263"/>
      <c r="V309" s="263"/>
      <c r="W309" s="263"/>
      <c r="X309" s="263"/>
      <c r="Y309" s="263"/>
      <c r="Z309" s="263"/>
      <c r="AA309" s="263"/>
      <c r="AB309" s="263"/>
      <c r="AC309" s="263"/>
      <c r="AD309" s="263"/>
      <c r="AE309" s="263"/>
      <c r="AF309" s="418"/>
      <c r="AG309" s="263"/>
      <c r="AH309" s="263"/>
      <c r="AI309" s="263"/>
    </row>
    <row r="310" spans="1:35" ht="15" customHeight="1">
      <c r="A310" s="69"/>
      <c r="B310" s="418"/>
      <c r="C310" s="263"/>
      <c r="E310" s="263"/>
      <c r="F310" s="263"/>
      <c r="G310" s="418"/>
      <c r="H310" s="263"/>
      <c r="I310" s="263"/>
      <c r="J310" s="263"/>
      <c r="K310" s="263"/>
      <c r="L310" s="563"/>
      <c r="M310" s="263"/>
      <c r="N310" s="263"/>
      <c r="O310" s="263"/>
      <c r="P310" s="265"/>
      <c r="Q310" s="263"/>
      <c r="R310" s="263"/>
      <c r="S310" s="263"/>
      <c r="T310" s="263"/>
      <c r="U310" s="263"/>
      <c r="V310" s="263"/>
      <c r="W310" s="263"/>
      <c r="X310" s="263"/>
      <c r="Y310" s="263"/>
      <c r="Z310" s="263"/>
      <c r="AA310" s="263"/>
      <c r="AB310" s="263"/>
      <c r="AC310" s="263"/>
      <c r="AD310" s="263"/>
      <c r="AE310" s="263"/>
      <c r="AF310" s="418"/>
      <c r="AG310" s="263"/>
      <c r="AH310" s="263"/>
      <c r="AI310" s="263"/>
    </row>
    <row r="311" spans="1:35" ht="15" customHeight="1">
      <c r="A311" s="69"/>
      <c r="B311" s="418"/>
      <c r="C311" s="263"/>
      <c r="E311" s="263"/>
      <c r="F311" s="263"/>
      <c r="G311" s="418"/>
      <c r="H311" s="263"/>
      <c r="I311" s="263"/>
      <c r="J311" s="263"/>
      <c r="K311" s="263"/>
      <c r="L311" s="563"/>
      <c r="M311" s="263"/>
      <c r="N311" s="263"/>
      <c r="O311" s="263"/>
      <c r="P311" s="265"/>
      <c r="Q311" s="263"/>
      <c r="R311" s="263"/>
      <c r="S311" s="263"/>
      <c r="T311" s="263"/>
      <c r="U311" s="263"/>
      <c r="V311" s="263"/>
      <c r="W311" s="263"/>
      <c r="X311" s="263"/>
      <c r="Y311" s="263"/>
      <c r="Z311" s="263"/>
      <c r="AA311" s="263"/>
      <c r="AB311" s="263"/>
      <c r="AC311" s="263"/>
      <c r="AD311" s="263"/>
      <c r="AE311" s="263"/>
      <c r="AF311" s="418"/>
      <c r="AG311" s="263"/>
      <c r="AH311" s="263"/>
      <c r="AI311" s="263"/>
    </row>
    <row r="312" spans="1:35" ht="15" customHeight="1">
      <c r="A312" s="69"/>
      <c r="B312" s="418"/>
      <c r="C312" s="263"/>
      <c r="E312" s="263"/>
      <c r="F312" s="263"/>
      <c r="G312" s="418"/>
      <c r="H312" s="263"/>
      <c r="I312" s="263"/>
      <c r="J312" s="263"/>
      <c r="K312" s="263"/>
      <c r="L312" s="563"/>
      <c r="M312" s="263"/>
      <c r="N312" s="263"/>
      <c r="O312" s="263"/>
      <c r="P312" s="265"/>
      <c r="Q312" s="263"/>
      <c r="R312" s="263"/>
      <c r="S312" s="263"/>
      <c r="T312" s="263"/>
      <c r="U312" s="263"/>
      <c r="V312" s="263"/>
      <c r="W312" s="263"/>
      <c r="X312" s="263"/>
      <c r="Y312" s="263"/>
      <c r="Z312" s="263"/>
      <c r="AA312" s="263"/>
      <c r="AB312" s="263"/>
      <c r="AC312" s="263"/>
      <c r="AD312" s="263"/>
      <c r="AE312" s="263"/>
      <c r="AF312" s="418"/>
      <c r="AG312" s="263"/>
      <c r="AH312" s="263"/>
      <c r="AI312" s="263"/>
    </row>
    <row r="313" spans="1:35" ht="15" customHeight="1">
      <c r="A313" s="69"/>
      <c r="B313" s="418"/>
      <c r="C313" s="263"/>
      <c r="E313" s="263"/>
      <c r="F313" s="263"/>
      <c r="G313" s="418"/>
      <c r="H313" s="263"/>
      <c r="I313" s="263"/>
      <c r="J313" s="263"/>
      <c r="K313" s="263"/>
      <c r="L313" s="563"/>
      <c r="M313" s="263"/>
      <c r="N313" s="263"/>
      <c r="O313" s="263"/>
      <c r="P313" s="265"/>
      <c r="Q313" s="263"/>
      <c r="R313" s="263"/>
      <c r="S313" s="263"/>
      <c r="T313" s="263"/>
      <c r="U313" s="263"/>
      <c r="V313" s="263"/>
      <c r="W313" s="263"/>
      <c r="X313" s="263"/>
      <c r="Y313" s="263"/>
      <c r="Z313" s="263"/>
      <c r="AA313" s="263"/>
      <c r="AB313" s="263"/>
      <c r="AC313" s="263"/>
      <c r="AD313" s="263"/>
      <c r="AE313" s="263"/>
      <c r="AF313" s="418"/>
      <c r="AG313" s="263"/>
      <c r="AH313" s="263"/>
      <c r="AI313" s="263"/>
    </row>
    <row r="314" spans="1:35" ht="15" customHeight="1">
      <c r="A314" s="69"/>
      <c r="B314" s="418"/>
      <c r="C314" s="263"/>
      <c r="E314" s="263"/>
      <c r="F314" s="263"/>
      <c r="G314" s="418"/>
      <c r="H314" s="263"/>
      <c r="I314" s="263"/>
      <c r="J314" s="263"/>
      <c r="K314" s="263"/>
      <c r="L314" s="563"/>
      <c r="M314" s="263"/>
      <c r="N314" s="263"/>
      <c r="O314" s="263"/>
      <c r="P314" s="265"/>
      <c r="Q314" s="263"/>
      <c r="R314" s="263"/>
      <c r="S314" s="263"/>
      <c r="T314" s="263"/>
      <c r="U314" s="263"/>
      <c r="V314" s="263"/>
      <c r="W314" s="263"/>
      <c r="X314" s="263"/>
      <c r="Y314" s="263"/>
      <c r="Z314" s="263"/>
      <c r="AA314" s="263"/>
      <c r="AB314" s="263"/>
      <c r="AC314" s="263"/>
      <c r="AD314" s="263"/>
      <c r="AE314" s="263"/>
      <c r="AF314" s="418"/>
      <c r="AG314" s="263"/>
      <c r="AH314" s="263"/>
      <c r="AI314" s="263"/>
    </row>
    <row r="315" spans="1:35" ht="15" customHeight="1">
      <c r="A315" s="69"/>
      <c r="B315" s="418"/>
      <c r="C315" s="263"/>
      <c r="E315" s="263"/>
      <c r="F315" s="263"/>
      <c r="G315" s="418"/>
      <c r="H315" s="263"/>
      <c r="I315" s="263"/>
      <c r="J315" s="263"/>
      <c r="K315" s="263"/>
      <c r="L315" s="563"/>
      <c r="M315" s="263"/>
      <c r="N315" s="263"/>
      <c r="O315" s="263"/>
      <c r="P315" s="265"/>
      <c r="Q315" s="263"/>
      <c r="R315" s="263"/>
      <c r="S315" s="263"/>
      <c r="T315" s="263"/>
      <c r="U315" s="263"/>
      <c r="V315" s="263"/>
      <c r="W315" s="263"/>
      <c r="X315" s="263"/>
      <c r="Y315" s="263"/>
      <c r="Z315" s="263"/>
      <c r="AA315" s="263"/>
      <c r="AB315" s="263"/>
      <c r="AC315" s="263"/>
      <c r="AD315" s="263"/>
      <c r="AE315" s="263"/>
      <c r="AF315" s="418"/>
      <c r="AG315" s="263"/>
      <c r="AH315" s="263"/>
      <c r="AI315" s="263"/>
    </row>
    <row r="316" spans="1:35" ht="15" customHeight="1">
      <c r="A316" s="69"/>
      <c r="B316" s="418"/>
      <c r="C316" s="263"/>
      <c r="E316" s="263"/>
      <c r="F316" s="263"/>
      <c r="G316" s="418"/>
      <c r="H316" s="263"/>
      <c r="I316" s="263"/>
      <c r="J316" s="263"/>
      <c r="K316" s="263"/>
      <c r="L316" s="563"/>
      <c r="M316" s="263"/>
      <c r="N316" s="263"/>
      <c r="O316" s="263"/>
      <c r="P316" s="265"/>
      <c r="Q316" s="263"/>
      <c r="R316" s="263"/>
      <c r="S316" s="263"/>
      <c r="T316" s="263"/>
      <c r="U316" s="263"/>
      <c r="V316" s="263"/>
      <c r="W316" s="263"/>
      <c r="X316" s="263"/>
      <c r="Y316" s="263"/>
      <c r="Z316" s="263"/>
      <c r="AA316" s="263"/>
      <c r="AB316" s="263"/>
      <c r="AC316" s="263"/>
      <c r="AD316" s="263"/>
      <c r="AE316" s="263"/>
      <c r="AF316" s="418"/>
      <c r="AG316" s="263"/>
      <c r="AH316" s="263"/>
      <c r="AI316" s="263"/>
    </row>
    <row r="317" spans="1:35" ht="15" customHeight="1">
      <c r="A317" s="69"/>
      <c r="B317" s="418"/>
      <c r="C317" s="263"/>
      <c r="E317" s="263"/>
      <c r="F317" s="263"/>
      <c r="G317" s="418"/>
      <c r="H317" s="263"/>
      <c r="I317" s="263"/>
      <c r="J317" s="263"/>
      <c r="K317" s="263"/>
      <c r="L317" s="563"/>
      <c r="M317" s="263"/>
      <c r="N317" s="263"/>
      <c r="O317" s="263"/>
      <c r="P317" s="265"/>
      <c r="Q317" s="263"/>
      <c r="R317" s="263"/>
      <c r="S317" s="263"/>
      <c r="T317" s="263"/>
      <c r="U317" s="263"/>
      <c r="V317" s="263"/>
      <c r="W317" s="263"/>
      <c r="X317" s="263"/>
      <c r="Y317" s="263"/>
      <c r="Z317" s="263"/>
      <c r="AA317" s="263"/>
      <c r="AB317" s="263"/>
      <c r="AC317" s="263"/>
      <c r="AD317" s="263"/>
      <c r="AE317" s="263"/>
      <c r="AF317" s="418"/>
      <c r="AG317" s="263"/>
      <c r="AH317" s="263"/>
      <c r="AI317" s="263"/>
    </row>
    <row r="318" spans="1:35" ht="15" customHeight="1">
      <c r="A318" s="69"/>
      <c r="B318" s="418"/>
      <c r="C318" s="263"/>
      <c r="E318" s="263"/>
      <c r="F318" s="263"/>
      <c r="G318" s="418"/>
      <c r="H318" s="263"/>
      <c r="I318" s="263"/>
      <c r="J318" s="263"/>
      <c r="K318" s="263"/>
      <c r="L318" s="563"/>
      <c r="M318" s="263"/>
      <c r="N318" s="263"/>
      <c r="O318" s="263"/>
      <c r="P318" s="265"/>
      <c r="Q318" s="263"/>
      <c r="R318" s="263"/>
      <c r="S318" s="263"/>
      <c r="T318" s="263"/>
      <c r="U318" s="263"/>
      <c r="V318" s="263"/>
      <c r="W318" s="263"/>
      <c r="X318" s="263"/>
      <c r="Y318" s="263"/>
      <c r="Z318" s="263"/>
      <c r="AA318" s="263"/>
      <c r="AB318" s="263"/>
      <c r="AC318" s="263"/>
      <c r="AD318" s="263"/>
      <c r="AE318" s="263"/>
      <c r="AF318" s="418"/>
      <c r="AG318" s="263"/>
      <c r="AH318" s="263"/>
      <c r="AI318" s="263"/>
    </row>
    <row r="319" spans="1:35" ht="15" customHeight="1">
      <c r="A319" s="69"/>
      <c r="B319" s="418"/>
      <c r="C319" s="263"/>
      <c r="E319" s="263"/>
      <c r="F319" s="263"/>
      <c r="G319" s="418"/>
      <c r="H319" s="263"/>
      <c r="I319" s="263"/>
      <c r="J319" s="263"/>
      <c r="K319" s="263"/>
      <c r="L319" s="563"/>
      <c r="M319" s="263"/>
      <c r="N319" s="263"/>
      <c r="O319" s="263"/>
      <c r="P319" s="265"/>
      <c r="Q319" s="263"/>
      <c r="R319" s="263"/>
      <c r="S319" s="263"/>
      <c r="T319" s="263"/>
      <c r="U319" s="263"/>
      <c r="V319" s="263"/>
      <c r="W319" s="263"/>
      <c r="X319" s="263"/>
      <c r="Y319" s="263"/>
      <c r="Z319" s="263"/>
      <c r="AA319" s="263"/>
      <c r="AB319" s="263"/>
      <c r="AC319" s="263"/>
      <c r="AD319" s="263"/>
      <c r="AE319" s="263"/>
      <c r="AF319" s="418"/>
      <c r="AG319" s="263"/>
      <c r="AH319" s="263"/>
      <c r="AI319" s="263"/>
    </row>
    <row r="320" spans="1:35" ht="15" customHeight="1">
      <c r="A320" s="69"/>
      <c r="B320" s="418"/>
      <c r="C320" s="263"/>
      <c r="E320" s="263"/>
      <c r="F320" s="263"/>
      <c r="G320" s="418"/>
      <c r="H320" s="263"/>
      <c r="I320" s="263"/>
      <c r="J320" s="263"/>
      <c r="K320" s="263"/>
      <c r="L320" s="563"/>
      <c r="M320" s="263"/>
      <c r="N320" s="263"/>
      <c r="O320" s="263"/>
      <c r="P320" s="265"/>
      <c r="Q320" s="263"/>
      <c r="R320" s="263"/>
      <c r="S320" s="263"/>
      <c r="T320" s="263"/>
      <c r="U320" s="263"/>
      <c r="V320" s="263"/>
      <c r="W320" s="263"/>
      <c r="X320" s="263"/>
      <c r="Y320" s="263"/>
      <c r="Z320" s="263"/>
      <c r="AA320" s="263"/>
      <c r="AB320" s="263"/>
      <c r="AC320" s="263"/>
      <c r="AD320" s="263"/>
      <c r="AE320" s="263"/>
      <c r="AF320" s="418"/>
      <c r="AG320" s="263"/>
      <c r="AH320" s="263"/>
      <c r="AI320" s="263"/>
    </row>
    <row r="321" spans="1:35" ht="15" customHeight="1">
      <c r="A321" s="69"/>
      <c r="B321" s="418"/>
      <c r="C321" s="263"/>
      <c r="E321" s="263"/>
      <c r="F321" s="263"/>
      <c r="G321" s="418"/>
      <c r="H321" s="263"/>
      <c r="I321" s="263"/>
      <c r="J321" s="263"/>
      <c r="K321" s="263"/>
      <c r="L321" s="563"/>
      <c r="M321" s="263"/>
      <c r="N321" s="263"/>
      <c r="O321" s="263"/>
      <c r="P321" s="265"/>
      <c r="Q321" s="263"/>
      <c r="R321" s="263"/>
      <c r="S321" s="263"/>
      <c r="T321" s="263"/>
      <c r="U321" s="263"/>
      <c r="V321" s="263"/>
      <c r="W321" s="263"/>
      <c r="X321" s="263"/>
      <c r="Y321" s="263"/>
      <c r="Z321" s="263"/>
      <c r="AA321" s="263"/>
      <c r="AB321" s="263"/>
      <c r="AC321" s="263"/>
      <c r="AD321" s="263"/>
      <c r="AE321" s="263"/>
      <c r="AF321" s="418"/>
      <c r="AG321" s="263"/>
      <c r="AH321" s="263"/>
      <c r="AI321" s="263"/>
    </row>
    <row r="322" spans="1:35" ht="15" customHeight="1">
      <c r="A322" s="69"/>
      <c r="B322" s="418"/>
      <c r="C322" s="263"/>
      <c r="E322" s="263"/>
      <c r="F322" s="263"/>
      <c r="G322" s="418"/>
      <c r="H322" s="263"/>
      <c r="I322" s="263"/>
      <c r="J322" s="263"/>
      <c r="K322" s="263"/>
      <c r="L322" s="563"/>
      <c r="M322" s="263"/>
      <c r="N322" s="263"/>
      <c r="O322" s="263"/>
      <c r="P322" s="265"/>
      <c r="Q322" s="263"/>
      <c r="R322" s="263"/>
      <c r="S322" s="263"/>
      <c r="T322" s="263"/>
      <c r="U322" s="263"/>
      <c r="V322" s="263"/>
      <c r="W322" s="263"/>
      <c r="X322" s="263"/>
      <c r="Y322" s="263"/>
      <c r="Z322" s="263"/>
      <c r="AA322" s="263"/>
      <c r="AB322" s="263"/>
      <c r="AC322" s="263"/>
      <c r="AD322" s="263"/>
      <c r="AE322" s="263"/>
      <c r="AF322" s="418"/>
      <c r="AG322" s="263"/>
      <c r="AH322" s="263"/>
      <c r="AI322" s="263"/>
    </row>
    <row r="323" spans="1:35" ht="15" customHeight="1">
      <c r="A323" s="69"/>
      <c r="B323" s="418"/>
      <c r="C323" s="263"/>
      <c r="E323" s="263"/>
      <c r="F323" s="263"/>
      <c r="G323" s="418"/>
      <c r="H323" s="263"/>
      <c r="I323" s="263"/>
      <c r="J323" s="263"/>
      <c r="K323" s="263"/>
      <c r="L323" s="563"/>
      <c r="M323" s="263"/>
      <c r="N323" s="263"/>
      <c r="O323" s="263"/>
      <c r="P323" s="265"/>
      <c r="Q323" s="263"/>
      <c r="R323" s="263"/>
      <c r="S323" s="263"/>
      <c r="T323" s="263"/>
      <c r="U323" s="263"/>
      <c r="V323" s="263"/>
      <c r="W323" s="263"/>
      <c r="X323" s="263"/>
      <c r="Y323" s="263"/>
      <c r="Z323" s="263"/>
      <c r="AA323" s="263"/>
      <c r="AB323" s="263"/>
      <c r="AC323" s="263"/>
      <c r="AD323" s="263"/>
      <c r="AE323" s="263"/>
      <c r="AF323" s="418"/>
      <c r="AG323" s="263"/>
      <c r="AH323" s="263"/>
      <c r="AI323" s="263"/>
    </row>
    <row r="324" spans="1:35" ht="15" customHeight="1">
      <c r="A324" s="69"/>
      <c r="B324" s="418"/>
      <c r="C324" s="263"/>
      <c r="E324" s="263"/>
      <c r="F324" s="263"/>
      <c r="G324" s="418"/>
      <c r="H324" s="263"/>
      <c r="I324" s="263"/>
      <c r="J324" s="263"/>
      <c r="K324" s="263"/>
      <c r="L324" s="563"/>
      <c r="M324" s="263"/>
      <c r="N324" s="263"/>
      <c r="O324" s="263"/>
      <c r="P324" s="265"/>
      <c r="Q324" s="263"/>
      <c r="R324" s="263"/>
      <c r="S324" s="263"/>
      <c r="T324" s="263"/>
      <c r="U324" s="263"/>
      <c r="V324" s="263"/>
      <c r="W324" s="263"/>
      <c r="X324" s="263"/>
      <c r="Y324" s="263"/>
      <c r="Z324" s="263"/>
      <c r="AA324" s="263"/>
      <c r="AB324" s="263"/>
      <c r="AC324" s="263"/>
      <c r="AD324" s="263"/>
      <c r="AE324" s="263"/>
      <c r="AF324" s="418"/>
      <c r="AG324" s="263"/>
      <c r="AH324" s="263"/>
      <c r="AI324" s="263"/>
    </row>
    <row r="325" spans="1:35" ht="15" customHeight="1">
      <c r="A325" s="69"/>
      <c r="B325" s="418"/>
      <c r="C325" s="263"/>
      <c r="E325" s="263"/>
      <c r="F325" s="263"/>
      <c r="G325" s="418"/>
      <c r="H325" s="263"/>
      <c r="I325" s="263"/>
      <c r="J325" s="263"/>
      <c r="K325" s="263"/>
      <c r="L325" s="563"/>
      <c r="M325" s="263"/>
      <c r="N325" s="263"/>
      <c r="O325" s="263"/>
      <c r="P325" s="265"/>
      <c r="Q325" s="263"/>
      <c r="R325" s="263"/>
      <c r="S325" s="263"/>
      <c r="T325" s="263"/>
      <c r="U325" s="263"/>
      <c r="V325" s="263"/>
      <c r="W325" s="263"/>
      <c r="X325" s="263"/>
      <c r="Y325" s="263"/>
      <c r="Z325" s="263"/>
      <c r="AA325" s="263"/>
      <c r="AB325" s="263"/>
      <c r="AC325" s="263"/>
      <c r="AD325" s="263"/>
      <c r="AE325" s="263"/>
      <c r="AF325" s="418"/>
      <c r="AG325" s="263"/>
      <c r="AH325" s="263"/>
      <c r="AI325" s="263"/>
    </row>
    <row r="326" spans="1:35" ht="15" customHeight="1">
      <c r="A326" s="69"/>
      <c r="B326" s="418"/>
      <c r="C326" s="263"/>
      <c r="E326" s="263"/>
      <c r="F326" s="263"/>
      <c r="G326" s="418"/>
      <c r="H326" s="263"/>
      <c r="I326" s="263"/>
      <c r="J326" s="263"/>
      <c r="K326" s="263"/>
      <c r="L326" s="563"/>
      <c r="M326" s="263"/>
      <c r="N326" s="263"/>
      <c r="O326" s="263"/>
      <c r="P326" s="265"/>
      <c r="Q326" s="263"/>
      <c r="R326" s="263"/>
      <c r="S326" s="263"/>
      <c r="T326" s="263"/>
      <c r="U326" s="263"/>
      <c r="V326" s="263"/>
      <c r="W326" s="263"/>
      <c r="X326" s="263"/>
      <c r="Y326" s="263"/>
      <c r="Z326" s="263"/>
      <c r="AA326" s="263"/>
      <c r="AB326" s="263"/>
      <c r="AC326" s="263"/>
      <c r="AD326" s="263"/>
      <c r="AE326" s="263"/>
      <c r="AF326" s="418"/>
      <c r="AG326" s="263"/>
      <c r="AH326" s="263"/>
      <c r="AI326" s="263"/>
    </row>
    <row r="327" spans="1:35" ht="15" customHeight="1">
      <c r="A327" s="69"/>
      <c r="B327" s="418"/>
      <c r="C327" s="263"/>
      <c r="E327" s="263"/>
      <c r="F327" s="263"/>
      <c r="G327" s="418"/>
      <c r="H327" s="263"/>
      <c r="I327" s="263"/>
      <c r="J327" s="263"/>
      <c r="K327" s="263"/>
      <c r="L327" s="563"/>
      <c r="M327" s="263"/>
      <c r="N327" s="263"/>
      <c r="O327" s="263"/>
      <c r="P327" s="265"/>
      <c r="Q327" s="263"/>
      <c r="R327" s="263"/>
      <c r="S327" s="263"/>
      <c r="T327" s="263"/>
      <c r="U327" s="263"/>
      <c r="V327" s="263"/>
      <c r="W327" s="263"/>
      <c r="X327" s="263"/>
      <c r="Y327" s="263"/>
      <c r="Z327" s="263"/>
      <c r="AA327" s="263"/>
      <c r="AB327" s="263"/>
      <c r="AC327" s="263"/>
      <c r="AD327" s="263"/>
      <c r="AE327" s="263"/>
      <c r="AF327" s="418"/>
      <c r="AG327" s="263"/>
      <c r="AH327" s="263"/>
      <c r="AI327" s="263"/>
    </row>
    <row r="328" spans="1:35" ht="15" customHeight="1">
      <c r="A328" s="69"/>
      <c r="B328" s="418"/>
      <c r="C328" s="263"/>
      <c r="E328" s="263"/>
      <c r="F328" s="263"/>
      <c r="G328" s="418"/>
      <c r="H328" s="263"/>
      <c r="I328" s="263"/>
      <c r="J328" s="263"/>
      <c r="K328" s="263"/>
      <c r="L328" s="563"/>
      <c r="M328" s="263"/>
      <c r="N328" s="263"/>
      <c r="O328" s="263"/>
      <c r="P328" s="265"/>
      <c r="Q328" s="263"/>
      <c r="R328" s="263"/>
      <c r="S328" s="263"/>
      <c r="T328" s="263"/>
      <c r="U328" s="263"/>
      <c r="V328" s="263"/>
      <c r="W328" s="263"/>
      <c r="X328" s="263"/>
      <c r="Y328" s="263"/>
      <c r="Z328" s="263"/>
      <c r="AA328" s="263"/>
      <c r="AB328" s="263"/>
      <c r="AC328" s="263"/>
      <c r="AD328" s="263"/>
      <c r="AE328" s="263"/>
      <c r="AF328" s="418"/>
      <c r="AG328" s="263"/>
      <c r="AH328" s="263"/>
      <c r="AI328" s="263"/>
    </row>
    <row r="329" spans="1:35" ht="15" customHeight="1">
      <c r="A329" s="69"/>
      <c r="B329" s="418"/>
      <c r="C329" s="263"/>
      <c r="E329" s="263"/>
      <c r="F329" s="263"/>
      <c r="G329" s="418"/>
      <c r="H329" s="263"/>
      <c r="I329" s="263"/>
      <c r="J329" s="263"/>
      <c r="K329" s="263"/>
      <c r="L329" s="563"/>
      <c r="M329" s="263"/>
      <c r="N329" s="263"/>
      <c r="O329" s="263"/>
      <c r="P329" s="265"/>
      <c r="Q329" s="263"/>
      <c r="R329" s="263"/>
      <c r="S329" s="263"/>
      <c r="T329" s="263"/>
      <c r="U329" s="263"/>
      <c r="V329" s="263"/>
      <c r="W329" s="263"/>
      <c r="X329" s="263"/>
      <c r="Y329" s="263"/>
      <c r="Z329" s="263"/>
      <c r="AA329" s="263"/>
      <c r="AB329" s="263"/>
      <c r="AC329" s="263"/>
      <c r="AD329" s="263"/>
      <c r="AE329" s="263"/>
      <c r="AF329" s="418"/>
      <c r="AG329" s="263"/>
      <c r="AH329" s="263"/>
      <c r="AI329" s="263"/>
    </row>
    <row r="330" spans="1:35" ht="15" customHeight="1">
      <c r="A330" s="69"/>
      <c r="B330" s="418"/>
      <c r="C330" s="263"/>
      <c r="E330" s="263"/>
      <c r="F330" s="263"/>
      <c r="G330" s="418"/>
      <c r="H330" s="263"/>
      <c r="I330" s="263"/>
      <c r="J330" s="263"/>
      <c r="K330" s="263"/>
      <c r="L330" s="563"/>
      <c r="M330" s="263"/>
      <c r="N330" s="263"/>
      <c r="O330" s="263"/>
      <c r="P330" s="265"/>
      <c r="Q330" s="263"/>
      <c r="R330" s="263"/>
      <c r="S330" s="263"/>
      <c r="T330" s="263"/>
      <c r="U330" s="263"/>
      <c r="V330" s="263"/>
      <c r="W330" s="263"/>
      <c r="X330" s="263"/>
      <c r="Y330" s="263"/>
      <c r="Z330" s="263"/>
      <c r="AA330" s="263"/>
      <c r="AB330" s="263"/>
      <c r="AC330" s="263"/>
      <c r="AD330" s="263"/>
      <c r="AE330" s="263"/>
      <c r="AF330" s="418"/>
      <c r="AG330" s="263"/>
      <c r="AH330" s="263"/>
      <c r="AI330" s="263"/>
    </row>
    <row r="331" spans="1:35" ht="15" customHeight="1">
      <c r="A331" s="69"/>
      <c r="B331" s="418"/>
      <c r="C331" s="263"/>
      <c r="E331" s="263"/>
      <c r="F331" s="263"/>
      <c r="G331" s="418"/>
      <c r="H331" s="263"/>
      <c r="I331" s="263"/>
      <c r="J331" s="263"/>
      <c r="K331" s="263"/>
      <c r="L331" s="563"/>
      <c r="M331" s="263"/>
      <c r="N331" s="263"/>
      <c r="O331" s="263"/>
      <c r="P331" s="265"/>
      <c r="Q331" s="263"/>
      <c r="R331" s="263"/>
      <c r="S331" s="263"/>
      <c r="T331" s="263"/>
      <c r="U331" s="263"/>
      <c r="V331" s="263"/>
      <c r="W331" s="263"/>
      <c r="X331" s="263"/>
      <c r="Y331" s="263"/>
      <c r="Z331" s="263"/>
      <c r="AA331" s="263"/>
      <c r="AB331" s="263"/>
      <c r="AC331" s="263"/>
      <c r="AD331" s="263"/>
      <c r="AE331" s="263"/>
      <c r="AF331" s="418"/>
      <c r="AG331" s="263"/>
      <c r="AH331" s="263"/>
      <c r="AI331" s="263"/>
    </row>
    <row r="332" spans="1:35" ht="15" customHeight="1">
      <c r="A332" s="69"/>
      <c r="B332" s="418"/>
      <c r="C332" s="263"/>
      <c r="E332" s="263"/>
      <c r="F332" s="263"/>
      <c r="G332" s="418"/>
      <c r="H332" s="263"/>
      <c r="I332" s="263"/>
      <c r="J332" s="263"/>
      <c r="K332" s="263"/>
      <c r="L332" s="563"/>
      <c r="M332" s="263"/>
      <c r="N332" s="263"/>
      <c r="O332" s="263"/>
      <c r="P332" s="265"/>
      <c r="Q332" s="263"/>
      <c r="R332" s="263"/>
      <c r="S332" s="263"/>
      <c r="T332" s="263"/>
      <c r="U332" s="263"/>
      <c r="V332" s="263"/>
      <c r="W332" s="263"/>
      <c r="X332" s="263"/>
      <c r="Y332" s="263"/>
      <c r="Z332" s="263"/>
      <c r="AA332" s="263"/>
      <c r="AB332" s="263"/>
      <c r="AC332" s="263"/>
      <c r="AD332" s="263"/>
      <c r="AE332" s="263"/>
      <c r="AF332" s="418"/>
      <c r="AG332" s="263"/>
      <c r="AH332" s="263"/>
      <c r="AI332" s="263"/>
    </row>
    <row r="333" spans="1:35" ht="15" customHeight="1">
      <c r="A333" s="69"/>
      <c r="B333" s="418"/>
      <c r="C333" s="263"/>
      <c r="E333" s="263"/>
      <c r="F333" s="263"/>
      <c r="G333" s="418"/>
      <c r="H333" s="263"/>
      <c r="I333" s="263"/>
      <c r="J333" s="263"/>
      <c r="K333" s="263"/>
      <c r="L333" s="563"/>
      <c r="M333" s="263"/>
      <c r="N333" s="263"/>
      <c r="O333" s="263"/>
      <c r="P333" s="265"/>
      <c r="Q333" s="263"/>
      <c r="R333" s="263"/>
      <c r="S333" s="263"/>
      <c r="T333" s="263"/>
      <c r="U333" s="263"/>
      <c r="V333" s="263"/>
      <c r="W333" s="263"/>
      <c r="X333" s="263"/>
      <c r="Y333" s="263"/>
      <c r="Z333" s="263"/>
      <c r="AA333" s="263"/>
      <c r="AB333" s="263"/>
      <c r="AC333" s="263"/>
      <c r="AD333" s="263"/>
      <c r="AE333" s="263"/>
      <c r="AF333" s="418"/>
      <c r="AG333" s="263"/>
      <c r="AH333" s="263"/>
      <c r="AI333" s="263"/>
    </row>
    <row r="334" spans="1:35" ht="15" customHeight="1">
      <c r="A334" s="69"/>
      <c r="B334" s="418"/>
      <c r="C334" s="263"/>
      <c r="E334" s="263"/>
      <c r="F334" s="263"/>
      <c r="G334" s="418"/>
      <c r="H334" s="263"/>
      <c r="I334" s="263"/>
      <c r="J334" s="263"/>
      <c r="K334" s="263"/>
      <c r="L334" s="563"/>
      <c r="M334" s="263"/>
      <c r="N334" s="263"/>
      <c r="O334" s="263"/>
      <c r="P334" s="265"/>
      <c r="Q334" s="263"/>
      <c r="R334" s="263"/>
      <c r="S334" s="263"/>
      <c r="T334" s="263"/>
      <c r="U334" s="263"/>
      <c r="V334" s="263"/>
      <c r="W334" s="263"/>
      <c r="X334" s="263"/>
      <c r="Y334" s="263"/>
      <c r="Z334" s="263"/>
      <c r="AA334" s="263"/>
      <c r="AB334" s="263"/>
      <c r="AC334" s="263"/>
      <c r="AD334" s="263"/>
      <c r="AE334" s="263"/>
      <c r="AF334" s="418"/>
      <c r="AG334" s="263"/>
      <c r="AH334" s="263"/>
      <c r="AI334" s="263"/>
    </row>
    <row r="335" spans="1:35" ht="15" customHeight="1">
      <c r="A335" s="69"/>
      <c r="B335" s="418"/>
      <c r="C335" s="263"/>
      <c r="E335" s="263"/>
      <c r="F335" s="263"/>
      <c r="G335" s="418"/>
      <c r="H335" s="263"/>
      <c r="I335" s="263"/>
      <c r="J335" s="263"/>
      <c r="K335" s="263"/>
      <c r="L335" s="563"/>
      <c r="M335" s="263"/>
      <c r="N335" s="263"/>
      <c r="O335" s="263"/>
      <c r="P335" s="265"/>
      <c r="Q335" s="263"/>
      <c r="R335" s="263"/>
      <c r="S335" s="263"/>
      <c r="T335" s="263"/>
      <c r="U335" s="263"/>
      <c r="V335" s="263"/>
      <c r="W335" s="263"/>
      <c r="X335" s="263"/>
      <c r="Y335" s="263"/>
      <c r="Z335" s="263"/>
      <c r="AA335" s="263"/>
      <c r="AB335" s="263"/>
      <c r="AC335" s="263"/>
      <c r="AD335" s="263"/>
      <c r="AE335" s="263"/>
      <c r="AF335" s="418"/>
      <c r="AG335" s="263"/>
      <c r="AH335" s="263"/>
      <c r="AI335" s="263"/>
    </row>
    <row r="336" spans="1:35" ht="15" customHeight="1">
      <c r="A336" s="69"/>
      <c r="B336" s="418"/>
      <c r="C336" s="263"/>
      <c r="E336" s="263"/>
      <c r="F336" s="263"/>
      <c r="G336" s="418"/>
      <c r="H336" s="263"/>
      <c r="I336" s="263"/>
      <c r="J336" s="263"/>
      <c r="K336" s="263"/>
      <c r="L336" s="563"/>
      <c r="M336" s="263"/>
      <c r="N336" s="263"/>
      <c r="O336" s="263"/>
      <c r="P336" s="265"/>
      <c r="Q336" s="263"/>
      <c r="R336" s="263"/>
      <c r="S336" s="263"/>
      <c r="T336" s="263"/>
      <c r="U336" s="263"/>
      <c r="V336" s="263"/>
      <c r="W336" s="263"/>
      <c r="X336" s="263"/>
      <c r="Y336" s="263"/>
      <c r="Z336" s="263"/>
      <c r="AA336" s="263"/>
      <c r="AB336" s="263"/>
      <c r="AC336" s="263"/>
      <c r="AD336" s="263"/>
      <c r="AE336" s="263"/>
      <c r="AF336" s="418"/>
      <c r="AG336" s="263"/>
      <c r="AH336" s="263"/>
      <c r="AI336" s="263"/>
    </row>
    <row r="337" spans="1:35" ht="15" customHeight="1">
      <c r="A337" s="69"/>
      <c r="B337" s="418"/>
      <c r="C337" s="263"/>
      <c r="E337" s="263"/>
      <c r="F337" s="263"/>
      <c r="G337" s="418"/>
      <c r="H337" s="263"/>
      <c r="I337" s="263"/>
      <c r="J337" s="263"/>
      <c r="K337" s="263"/>
      <c r="L337" s="563"/>
      <c r="M337" s="263"/>
      <c r="N337" s="263"/>
      <c r="O337" s="263"/>
      <c r="P337" s="265"/>
      <c r="Q337" s="263"/>
      <c r="R337" s="263"/>
      <c r="S337" s="263"/>
      <c r="T337" s="263"/>
      <c r="U337" s="263"/>
      <c r="V337" s="263"/>
      <c r="W337" s="263"/>
      <c r="X337" s="263"/>
      <c r="Y337" s="263"/>
      <c r="Z337" s="263"/>
      <c r="AA337" s="263"/>
      <c r="AB337" s="263"/>
      <c r="AC337" s="263"/>
      <c r="AD337" s="263"/>
      <c r="AE337" s="263"/>
      <c r="AF337" s="418"/>
      <c r="AG337" s="263"/>
      <c r="AH337" s="263"/>
      <c r="AI337" s="263"/>
    </row>
    <row r="338" spans="1:35" ht="15" customHeight="1">
      <c r="A338" s="69"/>
      <c r="B338" s="418"/>
      <c r="C338" s="263"/>
      <c r="E338" s="263"/>
      <c r="F338" s="263"/>
      <c r="G338" s="418"/>
      <c r="H338" s="263"/>
      <c r="I338" s="263"/>
      <c r="J338" s="263"/>
      <c r="K338" s="263"/>
      <c r="L338" s="563"/>
      <c r="M338" s="263"/>
      <c r="N338" s="263"/>
      <c r="O338" s="263"/>
      <c r="P338" s="265"/>
      <c r="Q338" s="263"/>
      <c r="R338" s="263"/>
      <c r="S338" s="263"/>
      <c r="T338" s="263"/>
      <c r="U338" s="263"/>
      <c r="V338" s="263"/>
      <c r="W338" s="263"/>
      <c r="X338" s="263"/>
      <c r="Y338" s="263"/>
      <c r="Z338" s="263"/>
      <c r="AA338" s="263"/>
      <c r="AB338" s="263"/>
      <c r="AC338" s="263"/>
      <c r="AD338" s="263"/>
      <c r="AE338" s="263"/>
      <c r="AF338" s="418"/>
      <c r="AG338" s="263"/>
      <c r="AH338" s="263"/>
      <c r="AI338" s="263"/>
    </row>
    <row r="339" spans="1:35" ht="15" customHeight="1">
      <c r="A339" s="69"/>
      <c r="B339" s="418"/>
      <c r="C339" s="263"/>
      <c r="E339" s="263"/>
      <c r="F339" s="263"/>
      <c r="G339" s="418"/>
      <c r="H339" s="263"/>
      <c r="I339" s="263"/>
      <c r="J339" s="263"/>
      <c r="K339" s="263"/>
      <c r="L339" s="563"/>
      <c r="M339" s="263"/>
      <c r="N339" s="263"/>
      <c r="O339" s="263"/>
      <c r="P339" s="265"/>
      <c r="Q339" s="263"/>
      <c r="R339" s="263"/>
      <c r="S339" s="263"/>
      <c r="T339" s="263"/>
      <c r="U339" s="263"/>
      <c r="V339" s="263"/>
      <c r="W339" s="263"/>
      <c r="X339" s="263"/>
      <c r="Y339" s="263"/>
      <c r="Z339" s="263"/>
      <c r="AA339" s="263"/>
      <c r="AB339" s="263"/>
      <c r="AC339" s="263"/>
      <c r="AD339" s="263"/>
      <c r="AE339" s="263"/>
      <c r="AF339" s="418"/>
      <c r="AG339" s="263"/>
      <c r="AH339" s="263"/>
      <c r="AI339" s="263"/>
    </row>
    <row r="340" spans="1:35" ht="15" customHeight="1">
      <c r="A340" s="69"/>
      <c r="B340" s="418"/>
      <c r="C340" s="263"/>
      <c r="E340" s="263"/>
      <c r="F340" s="263"/>
      <c r="G340" s="418"/>
      <c r="H340" s="263"/>
      <c r="I340" s="263"/>
      <c r="J340" s="263"/>
      <c r="K340" s="263"/>
      <c r="L340" s="563"/>
      <c r="M340" s="263"/>
      <c r="N340" s="263"/>
      <c r="O340" s="263"/>
      <c r="P340" s="265"/>
      <c r="Q340" s="263"/>
      <c r="R340" s="263"/>
      <c r="S340" s="263"/>
      <c r="T340" s="263"/>
      <c r="U340" s="263"/>
      <c r="V340" s="263"/>
      <c r="W340" s="263"/>
      <c r="X340" s="263"/>
      <c r="Y340" s="263"/>
      <c r="Z340" s="263"/>
      <c r="AA340" s="263"/>
      <c r="AB340" s="263"/>
      <c r="AC340" s="263"/>
      <c r="AD340" s="263"/>
      <c r="AE340" s="263"/>
      <c r="AF340" s="418"/>
      <c r="AG340" s="263"/>
      <c r="AH340" s="263"/>
      <c r="AI340" s="263"/>
    </row>
    <row r="341" spans="1:35" ht="15" customHeight="1">
      <c r="A341" s="69"/>
      <c r="B341" s="418"/>
      <c r="C341" s="263"/>
      <c r="E341" s="263"/>
      <c r="F341" s="263"/>
      <c r="G341" s="418"/>
      <c r="H341" s="263"/>
      <c r="I341" s="263"/>
      <c r="J341" s="263"/>
      <c r="K341" s="263"/>
      <c r="L341" s="563"/>
      <c r="M341" s="263"/>
      <c r="N341" s="263"/>
      <c r="O341" s="263"/>
      <c r="P341" s="265"/>
      <c r="Q341" s="263"/>
      <c r="R341" s="263"/>
      <c r="S341" s="263"/>
      <c r="T341" s="263"/>
      <c r="U341" s="263"/>
      <c r="V341" s="263"/>
      <c r="W341" s="263"/>
      <c r="X341" s="263"/>
      <c r="Y341" s="263"/>
      <c r="Z341" s="263"/>
      <c r="AA341" s="263"/>
      <c r="AB341" s="263"/>
      <c r="AC341" s="263"/>
      <c r="AD341" s="263"/>
      <c r="AE341" s="263"/>
      <c r="AF341" s="418"/>
      <c r="AG341" s="263"/>
      <c r="AH341" s="263"/>
      <c r="AI341" s="263"/>
    </row>
    <row r="342" spans="1:35" ht="15" customHeight="1">
      <c r="A342" s="69"/>
      <c r="B342" s="418"/>
      <c r="C342" s="263"/>
      <c r="E342" s="263"/>
      <c r="F342" s="263"/>
      <c r="G342" s="418"/>
      <c r="H342" s="263"/>
      <c r="I342" s="263"/>
      <c r="J342" s="263"/>
      <c r="K342" s="263"/>
      <c r="L342" s="563"/>
      <c r="M342" s="263"/>
      <c r="N342" s="263"/>
      <c r="O342" s="263"/>
      <c r="P342" s="265"/>
      <c r="Q342" s="263"/>
      <c r="R342" s="263"/>
      <c r="S342" s="263"/>
      <c r="T342" s="263"/>
      <c r="U342" s="263"/>
      <c r="V342" s="263"/>
      <c r="W342" s="263"/>
      <c r="X342" s="263"/>
      <c r="Y342" s="263"/>
      <c r="Z342" s="263"/>
      <c r="AA342" s="263"/>
      <c r="AB342" s="263"/>
      <c r="AC342" s="263"/>
      <c r="AD342" s="263"/>
      <c r="AE342" s="263"/>
      <c r="AF342" s="418"/>
      <c r="AG342" s="263"/>
      <c r="AH342" s="263"/>
      <c r="AI342" s="263"/>
    </row>
    <row r="343" spans="1:35" ht="15" customHeight="1">
      <c r="A343" s="69"/>
      <c r="B343" s="418"/>
      <c r="C343" s="263"/>
      <c r="E343" s="263"/>
      <c r="F343" s="263"/>
      <c r="G343" s="418"/>
      <c r="H343" s="263"/>
      <c r="I343" s="263"/>
      <c r="J343" s="263"/>
      <c r="K343" s="263"/>
      <c r="L343" s="563"/>
      <c r="M343" s="263"/>
      <c r="N343" s="263"/>
      <c r="O343" s="263"/>
      <c r="P343" s="265"/>
      <c r="Q343" s="263"/>
      <c r="R343" s="263"/>
      <c r="S343" s="263"/>
      <c r="T343" s="263"/>
      <c r="U343" s="263"/>
      <c r="V343" s="263"/>
      <c r="W343" s="263"/>
      <c r="X343" s="263"/>
      <c r="Y343" s="263"/>
      <c r="Z343" s="263"/>
      <c r="AA343" s="263"/>
      <c r="AB343" s="263"/>
      <c r="AC343" s="263"/>
      <c r="AD343" s="263"/>
      <c r="AE343" s="263"/>
      <c r="AF343" s="418"/>
      <c r="AG343" s="263"/>
      <c r="AH343" s="263"/>
      <c r="AI343" s="263"/>
    </row>
    <row r="344" spans="1:35" ht="15" customHeight="1">
      <c r="A344" s="69"/>
      <c r="B344" s="418"/>
      <c r="C344" s="263"/>
      <c r="E344" s="263"/>
      <c r="F344" s="263"/>
      <c r="G344" s="418"/>
      <c r="H344" s="263"/>
      <c r="I344" s="263"/>
      <c r="J344" s="263"/>
      <c r="K344" s="263"/>
      <c r="L344" s="563"/>
      <c r="M344" s="263"/>
      <c r="N344" s="263"/>
      <c r="O344" s="263"/>
      <c r="P344" s="265"/>
      <c r="Q344" s="263"/>
      <c r="R344" s="263"/>
      <c r="S344" s="263"/>
      <c r="T344" s="263"/>
      <c r="U344" s="263"/>
      <c r="V344" s="263"/>
      <c r="W344" s="263"/>
      <c r="X344" s="263"/>
      <c r="Y344" s="263"/>
      <c r="Z344" s="263"/>
      <c r="AA344" s="263"/>
      <c r="AB344" s="263"/>
      <c r="AC344" s="263"/>
      <c r="AD344" s="263"/>
      <c r="AE344" s="263"/>
      <c r="AF344" s="418"/>
      <c r="AG344" s="263"/>
      <c r="AH344" s="263"/>
      <c r="AI344" s="263"/>
    </row>
    <row r="345" spans="1:35" ht="15" customHeight="1">
      <c r="A345" s="69"/>
      <c r="B345" s="418"/>
      <c r="C345" s="263"/>
      <c r="E345" s="263"/>
      <c r="F345" s="263"/>
      <c r="G345" s="418"/>
      <c r="H345" s="263"/>
      <c r="I345" s="263"/>
      <c r="J345" s="263"/>
      <c r="K345" s="263"/>
      <c r="L345" s="563"/>
      <c r="M345" s="263"/>
      <c r="N345" s="263"/>
      <c r="O345" s="263"/>
      <c r="P345" s="265"/>
      <c r="Q345" s="263"/>
      <c r="R345" s="263"/>
      <c r="S345" s="263"/>
      <c r="T345" s="263"/>
      <c r="U345" s="263"/>
      <c r="V345" s="263"/>
      <c r="W345" s="263"/>
      <c r="X345" s="263"/>
      <c r="Y345" s="263"/>
      <c r="Z345" s="263"/>
      <c r="AA345" s="263"/>
      <c r="AB345" s="263"/>
      <c r="AC345" s="263"/>
      <c r="AD345" s="263"/>
      <c r="AE345" s="263"/>
      <c r="AF345" s="418"/>
      <c r="AG345" s="263"/>
      <c r="AH345" s="263"/>
      <c r="AI345" s="263"/>
    </row>
    <row r="346" spans="1:35" ht="15" customHeight="1">
      <c r="A346" s="69"/>
      <c r="B346" s="418"/>
      <c r="C346" s="263"/>
      <c r="E346" s="263"/>
      <c r="F346" s="263"/>
      <c r="G346" s="418"/>
      <c r="H346" s="263"/>
      <c r="I346" s="263"/>
      <c r="J346" s="263"/>
      <c r="K346" s="263"/>
      <c r="L346" s="563"/>
      <c r="M346" s="263"/>
      <c r="N346" s="263"/>
      <c r="O346" s="263"/>
      <c r="P346" s="265"/>
      <c r="Q346" s="263"/>
      <c r="R346" s="263"/>
      <c r="S346" s="263"/>
      <c r="T346" s="263"/>
      <c r="U346" s="263"/>
      <c r="V346" s="263"/>
      <c r="W346" s="263"/>
      <c r="X346" s="263"/>
      <c r="Y346" s="263"/>
      <c r="Z346" s="263"/>
      <c r="AA346" s="263"/>
      <c r="AB346" s="263"/>
      <c r="AC346" s="263"/>
      <c r="AD346" s="263"/>
      <c r="AE346" s="263"/>
      <c r="AF346" s="418"/>
      <c r="AG346" s="263"/>
      <c r="AH346" s="263"/>
      <c r="AI346" s="263"/>
    </row>
    <row r="347" spans="1:35" ht="15" customHeight="1">
      <c r="A347" s="69"/>
      <c r="B347" s="418"/>
      <c r="C347" s="263"/>
      <c r="E347" s="263"/>
      <c r="F347" s="263"/>
      <c r="G347" s="418"/>
      <c r="H347" s="263"/>
      <c r="I347" s="263"/>
      <c r="J347" s="263"/>
      <c r="K347" s="263"/>
      <c r="L347" s="563"/>
      <c r="M347" s="263"/>
      <c r="N347" s="263"/>
      <c r="O347" s="263"/>
      <c r="P347" s="265"/>
      <c r="Q347" s="263"/>
      <c r="R347" s="263"/>
      <c r="S347" s="263"/>
      <c r="T347" s="263"/>
      <c r="U347" s="263"/>
      <c r="V347" s="263"/>
      <c r="W347" s="263"/>
      <c r="X347" s="263"/>
      <c r="Y347" s="263"/>
      <c r="Z347" s="263"/>
      <c r="AA347" s="263"/>
      <c r="AB347" s="263"/>
      <c r="AC347" s="263"/>
      <c r="AD347" s="263"/>
      <c r="AE347" s="263"/>
      <c r="AF347" s="418"/>
      <c r="AG347" s="263"/>
      <c r="AH347" s="263"/>
      <c r="AI347" s="263"/>
    </row>
    <row r="348" spans="1:35" ht="15" customHeight="1">
      <c r="A348" s="69"/>
      <c r="B348" s="418"/>
      <c r="C348" s="263"/>
      <c r="E348" s="263"/>
      <c r="F348" s="263"/>
      <c r="G348" s="418"/>
      <c r="H348" s="263"/>
      <c r="I348" s="263"/>
      <c r="J348" s="263"/>
      <c r="K348" s="263"/>
      <c r="L348" s="563"/>
      <c r="M348" s="263"/>
      <c r="N348" s="263"/>
      <c r="O348" s="263"/>
      <c r="P348" s="265"/>
      <c r="Q348" s="263"/>
      <c r="R348" s="263"/>
      <c r="S348" s="263"/>
      <c r="T348" s="263"/>
      <c r="U348" s="263"/>
      <c r="V348" s="263"/>
      <c r="W348" s="263"/>
      <c r="X348" s="263"/>
      <c r="Y348" s="263"/>
      <c r="Z348" s="263"/>
      <c r="AA348" s="263"/>
      <c r="AB348" s="263"/>
      <c r="AC348" s="263"/>
      <c r="AD348" s="263"/>
      <c r="AE348" s="263"/>
      <c r="AF348" s="418"/>
      <c r="AG348" s="263"/>
      <c r="AH348" s="263"/>
      <c r="AI348" s="263"/>
    </row>
    <row r="349" spans="1:35" ht="15" customHeight="1">
      <c r="A349" s="69"/>
      <c r="B349" s="418"/>
      <c r="C349" s="263"/>
      <c r="E349" s="263"/>
      <c r="F349" s="263"/>
      <c r="G349" s="418"/>
      <c r="H349" s="263"/>
      <c r="I349" s="263"/>
      <c r="J349" s="263"/>
      <c r="K349" s="263"/>
      <c r="L349" s="563"/>
      <c r="M349" s="263"/>
      <c r="N349" s="263"/>
      <c r="O349" s="263"/>
      <c r="P349" s="265"/>
      <c r="Q349" s="263"/>
      <c r="R349" s="263"/>
      <c r="S349" s="263"/>
      <c r="T349" s="263"/>
      <c r="U349" s="263"/>
      <c r="V349" s="263"/>
      <c r="W349" s="263"/>
      <c r="X349" s="263"/>
      <c r="Y349" s="263"/>
      <c r="Z349" s="263"/>
      <c r="AA349" s="263"/>
      <c r="AB349" s="263"/>
      <c r="AC349" s="263"/>
      <c r="AD349" s="263"/>
      <c r="AE349" s="263"/>
      <c r="AF349" s="418"/>
      <c r="AG349" s="263"/>
      <c r="AH349" s="263"/>
      <c r="AI349" s="263"/>
    </row>
    <row r="350" spans="1:35" ht="15" customHeight="1">
      <c r="A350" s="69"/>
      <c r="B350" s="418"/>
      <c r="C350" s="263"/>
      <c r="E350" s="263"/>
      <c r="F350" s="263"/>
      <c r="G350" s="418"/>
      <c r="H350" s="263"/>
      <c r="I350" s="263"/>
      <c r="J350" s="263"/>
      <c r="K350" s="263"/>
      <c r="L350" s="563"/>
      <c r="M350" s="263"/>
      <c r="N350" s="263"/>
      <c r="O350" s="263"/>
      <c r="P350" s="265"/>
      <c r="Q350" s="263"/>
      <c r="R350" s="263"/>
      <c r="S350" s="263"/>
      <c r="T350" s="263"/>
      <c r="U350" s="263"/>
      <c r="V350" s="263"/>
      <c r="W350" s="263"/>
      <c r="X350" s="263"/>
      <c r="Y350" s="263"/>
      <c r="Z350" s="263"/>
      <c r="AA350" s="263"/>
      <c r="AB350" s="263"/>
      <c r="AC350" s="263"/>
      <c r="AD350" s="263"/>
      <c r="AE350" s="263"/>
      <c r="AF350" s="418"/>
      <c r="AG350" s="263"/>
      <c r="AH350" s="263"/>
      <c r="AI350" s="263"/>
    </row>
    <row r="351" spans="1:35" ht="15" customHeight="1">
      <c r="A351" s="69"/>
      <c r="B351" s="418"/>
      <c r="C351" s="263"/>
      <c r="E351" s="263"/>
      <c r="F351" s="263"/>
      <c r="G351" s="418"/>
      <c r="H351" s="263"/>
      <c r="I351" s="263"/>
      <c r="J351" s="263"/>
      <c r="K351" s="263"/>
      <c r="L351" s="563"/>
      <c r="M351" s="263"/>
      <c r="N351" s="263"/>
      <c r="O351" s="263"/>
      <c r="P351" s="265"/>
      <c r="Q351" s="263"/>
      <c r="R351" s="263"/>
      <c r="S351" s="263"/>
      <c r="T351" s="263"/>
      <c r="U351" s="263"/>
      <c r="V351" s="263"/>
      <c r="W351" s="263"/>
      <c r="X351" s="263"/>
      <c r="Y351" s="263"/>
      <c r="Z351" s="263"/>
      <c r="AA351" s="263"/>
      <c r="AB351" s="263"/>
      <c r="AC351" s="263"/>
      <c r="AD351" s="263"/>
      <c r="AE351" s="263"/>
      <c r="AF351" s="418"/>
      <c r="AG351" s="263"/>
      <c r="AH351" s="263"/>
      <c r="AI351" s="263"/>
    </row>
    <row r="352" spans="1:35" ht="15" customHeight="1">
      <c r="A352" s="69"/>
      <c r="B352" s="418"/>
      <c r="C352" s="263"/>
      <c r="E352" s="263"/>
      <c r="F352" s="263"/>
      <c r="G352" s="418"/>
      <c r="H352" s="263"/>
      <c r="I352" s="263"/>
      <c r="J352" s="263"/>
      <c r="K352" s="263"/>
      <c r="L352" s="563"/>
      <c r="M352" s="263"/>
      <c r="N352" s="263"/>
      <c r="O352" s="263"/>
      <c r="P352" s="265"/>
      <c r="Q352" s="263"/>
      <c r="R352" s="263"/>
      <c r="S352" s="263"/>
      <c r="T352" s="263"/>
      <c r="U352" s="263"/>
      <c r="V352" s="263"/>
      <c r="W352" s="263"/>
      <c r="X352" s="263"/>
      <c r="Y352" s="263"/>
      <c r="Z352" s="263"/>
      <c r="AA352" s="263"/>
      <c r="AB352" s="263"/>
      <c r="AC352" s="263"/>
      <c r="AD352" s="263"/>
      <c r="AE352" s="263"/>
      <c r="AF352" s="418"/>
      <c r="AG352" s="263"/>
      <c r="AH352" s="263"/>
      <c r="AI352" s="263"/>
    </row>
    <row r="353" spans="1:35" ht="15" customHeight="1">
      <c r="A353" s="69"/>
      <c r="B353" s="418"/>
      <c r="C353" s="263"/>
      <c r="E353" s="263"/>
      <c r="F353" s="263"/>
      <c r="G353" s="418"/>
      <c r="H353" s="263"/>
      <c r="I353" s="263"/>
      <c r="J353" s="263"/>
      <c r="K353" s="263"/>
      <c r="L353" s="563"/>
      <c r="M353" s="263"/>
      <c r="N353" s="263"/>
      <c r="O353" s="263"/>
      <c r="P353" s="265"/>
      <c r="Q353" s="263"/>
      <c r="R353" s="263"/>
      <c r="S353" s="263"/>
      <c r="T353" s="263"/>
      <c r="U353" s="263"/>
      <c r="V353" s="263"/>
      <c r="W353" s="263"/>
      <c r="X353" s="263"/>
      <c r="Y353" s="263"/>
      <c r="Z353" s="263"/>
      <c r="AA353" s="263"/>
      <c r="AB353" s="263"/>
      <c r="AC353" s="263"/>
      <c r="AD353" s="263"/>
      <c r="AE353" s="263"/>
      <c r="AF353" s="418"/>
      <c r="AG353" s="263"/>
      <c r="AH353" s="263"/>
      <c r="AI353" s="263"/>
    </row>
    <row r="354" spans="1:35" ht="15" customHeight="1">
      <c r="A354" s="69"/>
      <c r="B354" s="418"/>
      <c r="C354" s="263"/>
      <c r="E354" s="263"/>
      <c r="F354" s="263"/>
      <c r="G354" s="418"/>
      <c r="H354" s="263"/>
      <c r="I354" s="263"/>
      <c r="J354" s="263"/>
      <c r="K354" s="263"/>
      <c r="L354" s="563"/>
      <c r="M354" s="263"/>
      <c r="N354" s="263"/>
      <c r="O354" s="263"/>
      <c r="P354" s="265"/>
      <c r="Q354" s="263"/>
      <c r="R354" s="263"/>
      <c r="S354" s="263"/>
      <c r="T354" s="263"/>
      <c r="U354" s="263"/>
      <c r="V354" s="263"/>
      <c r="W354" s="263"/>
      <c r="X354" s="263"/>
      <c r="Y354" s="263"/>
      <c r="Z354" s="263"/>
      <c r="AA354" s="263"/>
      <c r="AB354" s="263"/>
      <c r="AC354" s="263"/>
      <c r="AD354" s="263"/>
      <c r="AE354" s="263"/>
      <c r="AF354" s="418"/>
      <c r="AG354" s="263"/>
      <c r="AH354" s="263"/>
      <c r="AI354" s="263"/>
    </row>
    <row r="355" spans="1:35" ht="15" customHeight="1">
      <c r="A355" s="69"/>
      <c r="B355" s="418"/>
      <c r="C355" s="263"/>
      <c r="E355" s="263"/>
      <c r="F355" s="263"/>
      <c r="G355" s="418"/>
      <c r="H355" s="263"/>
      <c r="I355" s="263"/>
      <c r="J355" s="263"/>
      <c r="K355" s="263"/>
      <c r="L355" s="563"/>
      <c r="M355" s="263"/>
      <c r="N355" s="263"/>
      <c r="O355" s="263"/>
      <c r="P355" s="265"/>
      <c r="Q355" s="263"/>
      <c r="R355" s="263"/>
      <c r="S355" s="263"/>
      <c r="T355" s="263"/>
      <c r="U355" s="263"/>
      <c r="V355" s="263"/>
      <c r="W355" s="263"/>
      <c r="X355" s="263"/>
      <c r="Y355" s="263"/>
      <c r="Z355" s="263"/>
      <c r="AA355" s="263"/>
      <c r="AB355" s="263"/>
      <c r="AC355" s="263"/>
      <c r="AD355" s="263"/>
      <c r="AE355" s="263"/>
      <c r="AF355" s="418"/>
      <c r="AG355" s="263"/>
      <c r="AH355" s="263"/>
      <c r="AI355" s="263"/>
    </row>
    <row r="356" spans="1:35" ht="15" customHeight="1">
      <c r="A356" s="69"/>
      <c r="B356" s="418"/>
      <c r="C356" s="263"/>
      <c r="E356" s="263"/>
      <c r="F356" s="263"/>
      <c r="G356" s="418"/>
      <c r="H356" s="263"/>
      <c r="I356" s="263"/>
      <c r="J356" s="263"/>
      <c r="K356" s="263"/>
      <c r="L356" s="563"/>
      <c r="M356" s="263"/>
      <c r="N356" s="263"/>
      <c r="O356" s="263"/>
      <c r="P356" s="265"/>
      <c r="Q356" s="263"/>
      <c r="R356" s="263"/>
      <c r="S356" s="263"/>
      <c r="T356" s="263"/>
      <c r="U356" s="263"/>
      <c r="V356" s="263"/>
      <c r="W356" s="263"/>
      <c r="X356" s="263"/>
      <c r="Y356" s="263"/>
      <c r="Z356" s="263"/>
      <c r="AA356" s="263"/>
      <c r="AB356" s="263"/>
      <c r="AC356" s="263"/>
      <c r="AD356" s="263"/>
      <c r="AE356" s="263"/>
      <c r="AF356" s="418"/>
      <c r="AG356" s="263"/>
      <c r="AH356" s="263"/>
      <c r="AI356" s="263"/>
    </row>
    <row r="357" spans="1:35" ht="15" customHeight="1">
      <c r="A357" s="69"/>
      <c r="B357" s="418"/>
      <c r="C357" s="263"/>
      <c r="E357" s="263"/>
      <c r="F357" s="263"/>
      <c r="G357" s="418"/>
      <c r="H357" s="263"/>
      <c r="I357" s="263"/>
      <c r="J357" s="263"/>
      <c r="K357" s="263"/>
      <c r="L357" s="563"/>
      <c r="M357" s="263"/>
      <c r="N357" s="263"/>
      <c r="O357" s="263"/>
      <c r="P357" s="265"/>
      <c r="Q357" s="263"/>
      <c r="R357" s="263"/>
      <c r="S357" s="263"/>
      <c r="T357" s="263"/>
      <c r="U357" s="263"/>
      <c r="V357" s="263"/>
      <c r="W357" s="263"/>
      <c r="X357" s="263"/>
      <c r="Y357" s="263"/>
      <c r="Z357" s="263"/>
      <c r="AA357" s="263"/>
      <c r="AB357" s="263"/>
      <c r="AC357" s="263"/>
      <c r="AD357" s="263"/>
      <c r="AE357" s="263"/>
      <c r="AF357" s="418"/>
      <c r="AG357" s="263"/>
      <c r="AH357" s="263"/>
      <c r="AI357" s="263"/>
    </row>
    <row r="358" spans="1:35" ht="15" customHeight="1">
      <c r="A358" s="69"/>
      <c r="B358" s="418"/>
      <c r="C358" s="263"/>
      <c r="E358" s="263"/>
      <c r="F358" s="263"/>
      <c r="G358" s="418"/>
      <c r="H358" s="263"/>
      <c r="I358" s="263"/>
      <c r="J358" s="263"/>
      <c r="K358" s="263"/>
      <c r="L358" s="563"/>
      <c r="M358" s="263"/>
      <c r="N358" s="263"/>
      <c r="O358" s="263"/>
      <c r="P358" s="265"/>
      <c r="Q358" s="263"/>
      <c r="R358" s="263"/>
      <c r="S358" s="263"/>
      <c r="T358" s="263"/>
      <c r="U358" s="263"/>
      <c r="V358" s="263"/>
      <c r="W358" s="263"/>
      <c r="X358" s="263"/>
      <c r="Y358" s="263"/>
      <c r="Z358" s="263"/>
      <c r="AA358" s="263"/>
      <c r="AB358" s="263"/>
      <c r="AC358" s="263"/>
      <c r="AD358" s="263"/>
      <c r="AE358" s="263"/>
      <c r="AF358" s="418"/>
      <c r="AG358" s="263"/>
      <c r="AH358" s="263"/>
      <c r="AI358" s="263"/>
    </row>
    <row r="359" spans="1:35" ht="15" customHeight="1">
      <c r="A359" s="69"/>
      <c r="B359" s="418"/>
      <c r="C359" s="263"/>
      <c r="E359" s="263"/>
      <c r="F359" s="263"/>
      <c r="G359" s="418"/>
      <c r="H359" s="263"/>
      <c r="I359" s="263"/>
      <c r="J359" s="263"/>
      <c r="K359" s="263"/>
      <c r="L359" s="563"/>
      <c r="M359" s="263"/>
      <c r="N359" s="263"/>
      <c r="O359" s="263"/>
      <c r="P359" s="265"/>
      <c r="Q359" s="263"/>
      <c r="R359" s="263"/>
      <c r="S359" s="263"/>
      <c r="T359" s="263"/>
      <c r="U359" s="263"/>
      <c r="V359" s="263"/>
      <c r="W359" s="263"/>
      <c r="X359" s="263"/>
      <c r="Y359" s="263"/>
      <c r="Z359" s="263"/>
      <c r="AA359" s="263"/>
      <c r="AB359" s="263"/>
      <c r="AC359" s="263"/>
      <c r="AD359" s="263"/>
      <c r="AE359" s="263"/>
      <c r="AF359" s="418"/>
      <c r="AG359" s="263"/>
      <c r="AH359" s="263"/>
      <c r="AI359" s="263"/>
    </row>
    <row r="360" spans="1:35" ht="15" customHeight="1">
      <c r="A360" s="69"/>
      <c r="B360" s="418"/>
      <c r="C360" s="263"/>
      <c r="E360" s="263"/>
      <c r="F360" s="263"/>
      <c r="G360" s="418"/>
      <c r="H360" s="263"/>
      <c r="I360" s="263"/>
      <c r="J360" s="263"/>
      <c r="K360" s="263"/>
      <c r="L360" s="563"/>
      <c r="M360" s="263"/>
      <c r="N360" s="263"/>
      <c r="O360" s="263"/>
      <c r="P360" s="265"/>
      <c r="Q360" s="263"/>
      <c r="R360" s="263"/>
      <c r="S360" s="263"/>
      <c r="T360" s="263"/>
      <c r="U360" s="263"/>
      <c r="V360" s="263"/>
      <c r="W360" s="263"/>
      <c r="X360" s="263"/>
      <c r="Y360" s="263"/>
      <c r="Z360" s="263"/>
      <c r="AA360" s="263"/>
      <c r="AB360" s="263"/>
      <c r="AC360" s="263"/>
      <c r="AD360" s="263"/>
      <c r="AE360" s="263"/>
      <c r="AF360" s="418"/>
      <c r="AG360" s="263"/>
      <c r="AH360" s="263"/>
      <c r="AI360" s="263"/>
    </row>
    <row r="361" spans="1:35" ht="15" customHeight="1">
      <c r="A361" s="69"/>
      <c r="B361" s="418"/>
      <c r="C361" s="263"/>
      <c r="E361" s="263"/>
      <c r="F361" s="263"/>
      <c r="G361" s="418"/>
      <c r="H361" s="263"/>
      <c r="I361" s="263"/>
      <c r="J361" s="263"/>
      <c r="K361" s="263"/>
      <c r="L361" s="563"/>
      <c r="M361" s="263"/>
      <c r="N361" s="263"/>
      <c r="O361" s="263"/>
      <c r="P361" s="265"/>
      <c r="Q361" s="263"/>
      <c r="R361" s="263"/>
      <c r="S361" s="263"/>
      <c r="T361" s="263"/>
      <c r="U361" s="263"/>
      <c r="V361" s="263"/>
      <c r="W361" s="263"/>
      <c r="X361" s="263"/>
      <c r="Y361" s="263"/>
      <c r="Z361" s="263"/>
      <c r="AA361" s="263"/>
      <c r="AB361" s="263"/>
      <c r="AC361" s="263"/>
      <c r="AD361" s="263"/>
      <c r="AE361" s="263"/>
      <c r="AF361" s="418"/>
      <c r="AG361" s="263"/>
      <c r="AH361" s="263"/>
      <c r="AI361" s="263"/>
    </row>
    <row r="362" spans="1:35" ht="15" customHeight="1">
      <c r="A362" s="69"/>
      <c r="B362" s="418"/>
      <c r="C362" s="263"/>
      <c r="E362" s="263"/>
      <c r="F362" s="263"/>
      <c r="G362" s="418"/>
      <c r="H362" s="263"/>
      <c r="I362" s="263"/>
      <c r="J362" s="263"/>
      <c r="K362" s="263"/>
      <c r="L362" s="563"/>
      <c r="M362" s="263"/>
      <c r="N362" s="263"/>
      <c r="O362" s="263"/>
      <c r="P362" s="265"/>
      <c r="Q362" s="263"/>
      <c r="R362" s="263"/>
      <c r="S362" s="263"/>
      <c r="T362" s="263"/>
      <c r="U362" s="263"/>
      <c r="V362" s="263"/>
      <c r="W362" s="263"/>
      <c r="X362" s="263"/>
      <c r="Y362" s="263"/>
      <c r="Z362" s="263"/>
      <c r="AA362" s="263"/>
      <c r="AB362" s="263"/>
      <c r="AC362" s="263"/>
      <c r="AD362" s="263"/>
      <c r="AE362" s="263"/>
      <c r="AF362" s="418"/>
      <c r="AG362" s="263"/>
      <c r="AH362" s="263"/>
      <c r="AI362" s="263"/>
    </row>
    <row r="363" spans="1:35" ht="15" customHeight="1">
      <c r="A363" s="69"/>
      <c r="B363" s="418"/>
      <c r="C363" s="263"/>
      <c r="E363" s="263"/>
      <c r="F363" s="263"/>
      <c r="G363" s="418"/>
      <c r="H363" s="263"/>
      <c r="I363" s="263"/>
      <c r="J363" s="263"/>
      <c r="K363" s="263"/>
      <c r="L363" s="563"/>
      <c r="M363" s="263"/>
      <c r="N363" s="263"/>
      <c r="O363" s="263"/>
      <c r="P363" s="265"/>
      <c r="Q363" s="263"/>
      <c r="R363" s="263"/>
      <c r="S363" s="263"/>
      <c r="T363" s="263"/>
      <c r="U363" s="263"/>
      <c r="V363" s="263"/>
      <c r="W363" s="263"/>
      <c r="X363" s="263"/>
      <c r="Y363" s="263"/>
      <c r="Z363" s="263"/>
      <c r="AA363" s="263"/>
      <c r="AB363" s="263"/>
      <c r="AC363" s="263"/>
      <c r="AD363" s="263"/>
      <c r="AE363" s="263"/>
      <c r="AF363" s="418"/>
      <c r="AG363" s="263"/>
      <c r="AH363" s="263"/>
      <c r="AI363" s="263"/>
    </row>
    <row r="364" spans="1:35" ht="15" customHeight="1">
      <c r="A364" s="69"/>
      <c r="B364" s="418"/>
      <c r="C364" s="263"/>
      <c r="E364" s="263"/>
      <c r="F364" s="263"/>
      <c r="G364" s="418"/>
      <c r="H364" s="263"/>
      <c r="I364" s="263"/>
      <c r="J364" s="263"/>
      <c r="K364" s="263"/>
      <c r="L364" s="563"/>
      <c r="M364" s="263"/>
      <c r="N364" s="263"/>
      <c r="O364" s="263"/>
      <c r="P364" s="265"/>
      <c r="Q364" s="263"/>
      <c r="R364" s="263"/>
      <c r="S364" s="263"/>
      <c r="T364" s="263"/>
      <c r="U364" s="263"/>
      <c r="V364" s="263"/>
      <c r="W364" s="263"/>
      <c r="X364" s="263"/>
      <c r="Y364" s="263"/>
      <c r="Z364" s="263"/>
      <c r="AA364" s="263"/>
      <c r="AB364" s="263"/>
      <c r="AC364" s="263"/>
      <c r="AD364" s="263"/>
      <c r="AE364" s="263"/>
      <c r="AF364" s="418"/>
      <c r="AG364" s="263"/>
      <c r="AH364" s="263"/>
      <c r="AI364" s="263"/>
    </row>
    <row r="365" spans="1:35" ht="15" customHeight="1">
      <c r="A365" s="69"/>
      <c r="B365" s="418"/>
      <c r="C365" s="263"/>
      <c r="E365" s="263"/>
      <c r="F365" s="263"/>
      <c r="G365" s="418"/>
      <c r="H365" s="263"/>
      <c r="I365" s="263"/>
      <c r="J365" s="263"/>
      <c r="K365" s="263"/>
      <c r="L365" s="563"/>
      <c r="M365" s="263"/>
      <c r="N365" s="263"/>
      <c r="O365" s="263"/>
      <c r="P365" s="265"/>
      <c r="Q365" s="263"/>
      <c r="R365" s="263"/>
      <c r="S365" s="263"/>
      <c r="T365" s="263"/>
      <c r="U365" s="263"/>
      <c r="V365" s="263"/>
      <c r="W365" s="263"/>
      <c r="X365" s="263"/>
      <c r="Y365" s="263"/>
      <c r="Z365" s="263"/>
      <c r="AA365" s="263"/>
      <c r="AB365" s="263"/>
      <c r="AC365" s="263"/>
      <c r="AD365" s="263"/>
      <c r="AE365" s="263"/>
      <c r="AF365" s="418"/>
      <c r="AG365" s="263"/>
      <c r="AH365" s="263"/>
      <c r="AI365" s="263"/>
    </row>
    <row r="366" spans="1:35" ht="15" customHeight="1">
      <c r="A366" s="69"/>
      <c r="B366" s="418"/>
      <c r="C366" s="263"/>
      <c r="E366" s="263"/>
      <c r="F366" s="263"/>
      <c r="G366" s="418"/>
      <c r="H366" s="263"/>
      <c r="I366" s="263"/>
      <c r="J366" s="263"/>
      <c r="K366" s="263"/>
      <c r="L366" s="563"/>
      <c r="M366" s="263"/>
      <c r="N366" s="263"/>
      <c r="O366" s="263"/>
      <c r="P366" s="265"/>
      <c r="Q366" s="263"/>
      <c r="R366" s="263"/>
      <c r="S366" s="263"/>
      <c r="T366" s="263"/>
      <c r="U366" s="263"/>
      <c r="V366" s="263"/>
      <c r="W366" s="263"/>
      <c r="X366" s="263"/>
      <c r="Y366" s="263"/>
      <c r="Z366" s="263"/>
      <c r="AA366" s="263"/>
      <c r="AB366" s="263"/>
      <c r="AC366" s="263"/>
      <c r="AD366" s="263"/>
      <c r="AE366" s="263"/>
      <c r="AF366" s="418"/>
      <c r="AG366" s="263"/>
      <c r="AH366" s="263"/>
      <c r="AI366" s="263"/>
    </row>
    <row r="367" spans="1:35" ht="15" customHeight="1">
      <c r="A367" s="69"/>
      <c r="B367" s="418"/>
      <c r="C367" s="263"/>
      <c r="E367" s="263"/>
      <c r="F367" s="263"/>
      <c r="G367" s="418"/>
      <c r="H367" s="263"/>
      <c r="I367" s="263"/>
      <c r="J367" s="263"/>
      <c r="K367" s="263"/>
      <c r="L367" s="563"/>
      <c r="M367" s="263"/>
      <c r="N367" s="263"/>
      <c r="O367" s="263"/>
      <c r="P367" s="265"/>
      <c r="Q367" s="263"/>
      <c r="R367" s="263"/>
      <c r="S367" s="263"/>
      <c r="T367" s="263"/>
      <c r="U367" s="263"/>
      <c r="V367" s="263"/>
      <c r="W367" s="263"/>
      <c r="X367" s="263"/>
      <c r="Y367" s="263"/>
      <c r="Z367" s="263"/>
      <c r="AA367" s="263"/>
      <c r="AB367" s="263"/>
      <c r="AC367" s="263"/>
      <c r="AD367" s="263"/>
      <c r="AE367" s="263"/>
      <c r="AF367" s="418"/>
      <c r="AG367" s="263"/>
      <c r="AH367" s="263"/>
      <c r="AI367" s="263"/>
    </row>
    <row r="368" spans="1:35" ht="15" customHeight="1">
      <c r="A368" s="69"/>
      <c r="B368" s="418"/>
      <c r="C368" s="263"/>
      <c r="E368" s="263"/>
      <c r="F368" s="263"/>
      <c r="G368" s="418"/>
      <c r="H368" s="263"/>
      <c r="I368" s="263"/>
      <c r="J368" s="263"/>
      <c r="K368" s="263"/>
      <c r="L368" s="563"/>
      <c r="M368" s="263"/>
      <c r="N368" s="263"/>
      <c r="O368" s="263"/>
      <c r="P368" s="265"/>
      <c r="Q368" s="263"/>
      <c r="R368" s="263"/>
      <c r="S368" s="263"/>
      <c r="T368" s="263"/>
      <c r="U368" s="263"/>
      <c r="V368" s="263"/>
      <c r="W368" s="263"/>
      <c r="X368" s="263"/>
      <c r="Y368" s="263"/>
      <c r="Z368" s="263"/>
      <c r="AA368" s="263"/>
      <c r="AB368" s="263"/>
      <c r="AC368" s="263"/>
      <c r="AD368" s="263"/>
      <c r="AE368" s="263"/>
      <c r="AF368" s="418"/>
      <c r="AG368" s="263"/>
      <c r="AH368" s="263"/>
      <c r="AI368" s="263"/>
    </row>
    <row r="369" spans="1:35" ht="15" customHeight="1">
      <c r="A369" s="69"/>
      <c r="B369" s="418"/>
      <c r="C369" s="263"/>
      <c r="E369" s="263"/>
      <c r="F369" s="263"/>
      <c r="G369" s="418"/>
      <c r="H369" s="263"/>
      <c r="I369" s="263"/>
      <c r="J369" s="263"/>
      <c r="K369" s="263"/>
      <c r="L369" s="563"/>
      <c r="M369" s="263"/>
      <c r="N369" s="263"/>
      <c r="O369" s="263"/>
      <c r="P369" s="265"/>
      <c r="Q369" s="263"/>
      <c r="R369" s="263"/>
      <c r="S369" s="263"/>
      <c r="T369" s="263"/>
      <c r="U369" s="263"/>
      <c r="V369" s="263"/>
      <c r="W369" s="263"/>
      <c r="X369" s="263"/>
      <c r="Y369" s="263"/>
      <c r="Z369" s="263"/>
      <c r="AA369" s="263"/>
      <c r="AB369" s="263"/>
      <c r="AC369" s="263"/>
      <c r="AD369" s="263"/>
      <c r="AE369" s="263"/>
      <c r="AF369" s="418"/>
      <c r="AG369" s="263"/>
      <c r="AH369" s="263"/>
      <c r="AI369" s="263"/>
    </row>
    <row r="370" spans="1:35" ht="15" customHeight="1">
      <c r="A370" s="69"/>
      <c r="B370" s="418"/>
      <c r="C370" s="263"/>
      <c r="E370" s="263"/>
      <c r="F370" s="263"/>
      <c r="G370" s="418"/>
      <c r="H370" s="263"/>
      <c r="I370" s="263"/>
      <c r="J370" s="263"/>
      <c r="K370" s="263"/>
      <c r="L370" s="563"/>
      <c r="M370" s="263"/>
      <c r="N370" s="263"/>
      <c r="O370" s="263"/>
      <c r="P370" s="265"/>
      <c r="Q370" s="263"/>
      <c r="R370" s="263"/>
      <c r="S370" s="263"/>
      <c r="T370" s="263"/>
      <c r="U370" s="263"/>
      <c r="V370" s="263"/>
      <c r="W370" s="263"/>
      <c r="X370" s="263"/>
      <c r="Y370" s="263"/>
      <c r="Z370" s="263"/>
      <c r="AA370" s="263"/>
      <c r="AB370" s="263"/>
      <c r="AC370" s="263"/>
      <c r="AD370" s="263"/>
      <c r="AE370" s="263"/>
      <c r="AF370" s="418"/>
      <c r="AG370" s="263"/>
      <c r="AH370" s="263"/>
      <c r="AI370" s="263"/>
    </row>
    <row r="371" spans="1:35" ht="15" customHeight="1">
      <c r="A371" s="69"/>
      <c r="B371" s="418"/>
      <c r="C371" s="263"/>
      <c r="E371" s="263"/>
      <c r="F371" s="263"/>
      <c r="G371" s="418"/>
      <c r="H371" s="263"/>
      <c r="I371" s="263"/>
      <c r="J371" s="263"/>
      <c r="K371" s="263"/>
      <c r="L371" s="563"/>
      <c r="M371" s="263"/>
      <c r="N371" s="263"/>
      <c r="O371" s="263"/>
      <c r="P371" s="265"/>
      <c r="Q371" s="263"/>
      <c r="R371" s="263"/>
      <c r="S371" s="263"/>
      <c r="T371" s="263"/>
      <c r="U371" s="263"/>
      <c r="V371" s="263"/>
      <c r="W371" s="263"/>
      <c r="X371" s="263"/>
      <c r="Y371" s="263"/>
      <c r="Z371" s="263"/>
      <c r="AA371" s="263"/>
      <c r="AB371" s="263"/>
      <c r="AC371" s="263"/>
      <c r="AD371" s="263"/>
      <c r="AE371" s="263"/>
      <c r="AF371" s="418"/>
      <c r="AG371" s="263"/>
      <c r="AH371" s="263"/>
      <c r="AI371" s="263"/>
    </row>
    <row r="372" spans="1:35" ht="15" customHeight="1">
      <c r="A372" s="69"/>
      <c r="B372" s="418"/>
      <c r="C372" s="263"/>
      <c r="E372" s="263"/>
      <c r="F372" s="263"/>
      <c r="G372" s="418"/>
      <c r="H372" s="263"/>
      <c r="I372" s="263"/>
      <c r="J372" s="263"/>
      <c r="K372" s="263"/>
      <c r="L372" s="563"/>
      <c r="M372" s="263"/>
      <c r="N372" s="263"/>
      <c r="O372" s="263"/>
      <c r="P372" s="265"/>
      <c r="Q372" s="263"/>
      <c r="R372" s="263"/>
      <c r="S372" s="263"/>
      <c r="T372" s="263"/>
      <c r="U372" s="263"/>
      <c r="V372" s="263"/>
      <c r="W372" s="263"/>
      <c r="X372" s="263"/>
      <c r="Y372" s="263"/>
      <c r="Z372" s="263"/>
      <c r="AA372" s="263"/>
      <c r="AB372" s="263"/>
      <c r="AC372" s="263"/>
      <c r="AD372" s="263"/>
      <c r="AE372" s="263"/>
      <c r="AF372" s="418"/>
      <c r="AG372" s="263"/>
      <c r="AH372" s="263"/>
      <c r="AI372" s="263"/>
    </row>
    <row r="373" spans="1:35" ht="15" customHeight="1">
      <c r="A373" s="69"/>
      <c r="B373" s="418"/>
      <c r="C373" s="263"/>
      <c r="E373" s="263"/>
      <c r="F373" s="263"/>
      <c r="G373" s="418"/>
      <c r="H373" s="263"/>
      <c r="I373" s="263"/>
      <c r="J373" s="263"/>
      <c r="K373" s="263"/>
      <c r="L373" s="563"/>
      <c r="M373" s="263"/>
      <c r="N373" s="263"/>
      <c r="O373" s="263"/>
      <c r="P373" s="265"/>
      <c r="Q373" s="263"/>
      <c r="R373" s="263"/>
      <c r="S373" s="263"/>
      <c r="T373" s="263"/>
      <c r="U373" s="263"/>
      <c r="V373" s="263"/>
      <c r="W373" s="263"/>
      <c r="X373" s="263"/>
      <c r="Y373" s="263"/>
      <c r="Z373" s="263"/>
      <c r="AA373" s="263"/>
      <c r="AB373" s="263"/>
      <c r="AC373" s="263"/>
      <c r="AD373" s="263"/>
      <c r="AE373" s="263"/>
      <c r="AF373" s="418"/>
      <c r="AG373" s="263"/>
      <c r="AH373" s="263"/>
      <c r="AI373" s="263"/>
    </row>
    <row r="374" spans="1:35" ht="15" customHeight="1">
      <c r="A374" s="69"/>
      <c r="B374" s="418"/>
      <c r="C374" s="263"/>
      <c r="E374" s="263"/>
      <c r="F374" s="263"/>
      <c r="G374" s="418"/>
      <c r="H374" s="263"/>
      <c r="I374" s="263"/>
      <c r="J374" s="263"/>
      <c r="K374" s="263"/>
      <c r="L374" s="563"/>
      <c r="M374" s="263"/>
      <c r="N374" s="263"/>
      <c r="O374" s="263"/>
      <c r="P374" s="265"/>
      <c r="Q374" s="263"/>
      <c r="R374" s="263"/>
      <c r="S374" s="263"/>
      <c r="T374" s="263"/>
      <c r="U374" s="263"/>
      <c r="V374" s="263"/>
      <c r="W374" s="263"/>
      <c r="X374" s="263"/>
      <c r="Y374" s="263"/>
      <c r="Z374" s="263"/>
      <c r="AA374" s="263"/>
      <c r="AB374" s="263"/>
      <c r="AC374" s="263"/>
      <c r="AD374" s="263"/>
      <c r="AE374" s="263"/>
      <c r="AF374" s="418"/>
      <c r="AG374" s="263"/>
      <c r="AH374" s="263"/>
      <c r="AI374" s="263"/>
    </row>
    <row r="375" spans="1:35" ht="15" customHeight="1">
      <c r="A375" s="69"/>
      <c r="B375" s="418"/>
      <c r="C375" s="263"/>
      <c r="E375" s="263"/>
      <c r="F375" s="263"/>
      <c r="G375" s="418"/>
      <c r="H375" s="263"/>
      <c r="I375" s="263"/>
      <c r="J375" s="263"/>
      <c r="K375" s="263"/>
      <c r="L375" s="563"/>
      <c r="M375" s="263"/>
      <c r="N375" s="263"/>
      <c r="O375" s="263"/>
      <c r="P375" s="265"/>
      <c r="Q375" s="263"/>
      <c r="R375" s="263"/>
      <c r="S375" s="263"/>
      <c r="T375" s="263"/>
      <c r="U375" s="263"/>
      <c r="V375" s="263"/>
      <c r="W375" s="263"/>
      <c r="X375" s="263"/>
      <c r="Y375" s="263"/>
      <c r="Z375" s="263"/>
      <c r="AA375" s="263"/>
      <c r="AB375" s="263"/>
      <c r="AC375" s="263"/>
      <c r="AD375" s="263"/>
      <c r="AE375" s="263"/>
      <c r="AF375" s="418"/>
      <c r="AG375" s="263"/>
      <c r="AH375" s="263"/>
      <c r="AI375" s="263"/>
    </row>
    <row r="376" spans="1:35" ht="15" customHeight="1">
      <c r="A376" s="69"/>
      <c r="B376" s="418"/>
      <c r="C376" s="263"/>
      <c r="E376" s="263"/>
      <c r="F376" s="263"/>
      <c r="G376" s="418"/>
      <c r="H376" s="263"/>
      <c r="I376" s="263"/>
      <c r="J376" s="263"/>
      <c r="K376" s="263"/>
      <c r="L376" s="563"/>
      <c r="M376" s="263"/>
      <c r="N376" s="263"/>
      <c r="O376" s="263"/>
      <c r="P376" s="265"/>
      <c r="Q376" s="263"/>
      <c r="R376" s="263"/>
      <c r="S376" s="263"/>
      <c r="T376" s="263"/>
      <c r="U376" s="263"/>
      <c r="V376" s="263"/>
      <c r="W376" s="263"/>
      <c r="X376" s="263"/>
      <c r="Y376" s="263"/>
      <c r="Z376" s="263"/>
      <c r="AA376" s="263"/>
      <c r="AB376" s="263"/>
      <c r="AC376" s="263"/>
      <c r="AD376" s="263"/>
      <c r="AE376" s="263"/>
      <c r="AF376" s="418"/>
      <c r="AG376" s="263"/>
      <c r="AH376" s="263"/>
      <c r="AI376" s="263"/>
    </row>
    <row r="377" spans="1:35" ht="15" customHeight="1">
      <c r="A377" s="69"/>
      <c r="B377" s="418"/>
      <c r="C377" s="263"/>
      <c r="E377" s="263"/>
      <c r="F377" s="263"/>
      <c r="G377" s="418"/>
      <c r="H377" s="263"/>
      <c r="I377" s="263"/>
      <c r="J377" s="263"/>
      <c r="K377" s="263"/>
      <c r="L377" s="563"/>
      <c r="M377" s="263"/>
      <c r="N377" s="263"/>
      <c r="O377" s="263"/>
      <c r="P377" s="265"/>
      <c r="Q377" s="263"/>
      <c r="R377" s="263"/>
      <c r="S377" s="263"/>
      <c r="T377" s="263"/>
      <c r="U377" s="263"/>
      <c r="V377" s="263"/>
      <c r="W377" s="263"/>
      <c r="X377" s="263"/>
      <c r="Y377" s="263"/>
      <c r="Z377" s="263"/>
      <c r="AA377" s="263"/>
      <c r="AB377" s="263"/>
      <c r="AC377" s="263"/>
      <c r="AD377" s="263"/>
      <c r="AE377" s="263"/>
      <c r="AF377" s="418"/>
      <c r="AG377" s="263"/>
      <c r="AH377" s="263"/>
      <c r="AI377" s="263"/>
    </row>
    <row r="378" spans="1:35" ht="15" customHeight="1">
      <c r="A378" s="69"/>
      <c r="B378" s="418"/>
      <c r="C378" s="263"/>
      <c r="E378" s="263"/>
      <c r="F378" s="263"/>
      <c r="G378" s="418"/>
      <c r="H378" s="263"/>
      <c r="I378" s="263"/>
      <c r="J378" s="263"/>
      <c r="K378" s="263"/>
      <c r="L378" s="563"/>
      <c r="M378" s="263"/>
      <c r="N378" s="263"/>
      <c r="O378" s="263"/>
      <c r="P378" s="265"/>
      <c r="Q378" s="263"/>
      <c r="R378" s="263"/>
      <c r="S378" s="263"/>
      <c r="T378" s="263"/>
      <c r="U378" s="263"/>
      <c r="V378" s="263"/>
      <c r="W378" s="263"/>
      <c r="X378" s="263"/>
      <c r="Y378" s="263"/>
      <c r="Z378" s="263"/>
      <c r="AA378" s="263"/>
      <c r="AB378" s="263"/>
      <c r="AC378" s="263"/>
      <c r="AD378" s="263"/>
      <c r="AE378" s="263"/>
      <c r="AF378" s="418"/>
      <c r="AG378" s="263"/>
      <c r="AH378" s="263"/>
      <c r="AI378" s="263"/>
    </row>
    <row r="379" spans="1:35" ht="15" customHeight="1">
      <c r="A379" s="69"/>
      <c r="B379" s="418"/>
      <c r="C379" s="263"/>
      <c r="E379" s="263"/>
      <c r="F379" s="263"/>
      <c r="G379" s="418"/>
      <c r="H379" s="263"/>
      <c r="I379" s="263"/>
      <c r="J379" s="263"/>
      <c r="K379" s="263"/>
      <c r="L379" s="563"/>
      <c r="M379" s="263"/>
      <c r="N379" s="263"/>
      <c r="O379" s="263"/>
      <c r="P379" s="265"/>
      <c r="Q379" s="263"/>
      <c r="R379" s="263"/>
      <c r="S379" s="263"/>
      <c r="T379" s="263"/>
      <c r="U379" s="263"/>
      <c r="V379" s="263"/>
      <c r="W379" s="263"/>
      <c r="X379" s="263"/>
      <c r="Y379" s="263"/>
      <c r="Z379" s="263"/>
      <c r="AA379" s="263"/>
      <c r="AB379" s="263"/>
      <c r="AC379" s="263"/>
      <c r="AD379" s="263"/>
      <c r="AE379" s="263"/>
      <c r="AF379" s="418"/>
      <c r="AG379" s="263"/>
      <c r="AH379" s="263"/>
      <c r="AI379" s="263"/>
    </row>
    <row r="380" spans="1:35" ht="15" customHeight="1">
      <c r="A380" s="69"/>
      <c r="B380" s="418"/>
      <c r="C380" s="263"/>
      <c r="E380" s="263"/>
      <c r="F380" s="263"/>
      <c r="G380" s="418"/>
      <c r="H380" s="263"/>
      <c r="I380" s="263"/>
      <c r="J380" s="263"/>
      <c r="K380" s="263"/>
      <c r="L380" s="563"/>
      <c r="M380" s="263"/>
      <c r="N380" s="263"/>
      <c r="O380" s="263"/>
      <c r="P380" s="265"/>
      <c r="Q380" s="263"/>
      <c r="R380" s="263"/>
      <c r="S380" s="263"/>
      <c r="T380" s="263"/>
      <c r="U380" s="263"/>
      <c r="V380" s="263"/>
      <c r="W380" s="263"/>
      <c r="X380" s="263"/>
      <c r="Y380" s="263"/>
      <c r="Z380" s="263"/>
      <c r="AA380" s="263"/>
      <c r="AB380" s="263"/>
      <c r="AC380" s="263"/>
      <c r="AD380" s="263"/>
      <c r="AE380" s="263"/>
      <c r="AF380" s="418"/>
      <c r="AG380" s="263"/>
      <c r="AH380" s="263"/>
      <c r="AI380" s="263"/>
    </row>
    <row r="381" spans="1:35" ht="15" customHeight="1">
      <c r="A381" s="69"/>
      <c r="B381" s="418"/>
      <c r="C381" s="263"/>
      <c r="E381" s="263"/>
      <c r="F381" s="263"/>
      <c r="G381" s="418"/>
      <c r="H381" s="263"/>
      <c r="I381" s="263"/>
      <c r="J381" s="263"/>
      <c r="K381" s="263"/>
      <c r="L381" s="563"/>
      <c r="M381" s="263"/>
      <c r="N381" s="263"/>
      <c r="O381" s="263"/>
      <c r="P381" s="265"/>
      <c r="Q381" s="263"/>
      <c r="R381" s="263"/>
      <c r="S381" s="263"/>
      <c r="T381" s="263"/>
      <c r="U381" s="263"/>
      <c r="V381" s="263"/>
      <c r="W381" s="263"/>
      <c r="X381" s="263"/>
      <c r="Y381" s="263"/>
      <c r="Z381" s="263"/>
      <c r="AA381" s="263"/>
      <c r="AB381" s="263"/>
      <c r="AC381" s="263"/>
      <c r="AD381" s="263"/>
      <c r="AE381" s="263"/>
      <c r="AF381" s="418"/>
      <c r="AG381" s="263"/>
      <c r="AH381" s="263"/>
      <c r="AI381" s="263"/>
    </row>
    <row r="382" spans="1:35" ht="15" customHeight="1">
      <c r="A382" s="69"/>
      <c r="B382" s="418"/>
      <c r="C382" s="263"/>
      <c r="E382" s="263"/>
      <c r="F382" s="263"/>
      <c r="G382" s="418"/>
      <c r="H382" s="263"/>
      <c r="I382" s="263"/>
      <c r="J382" s="263"/>
      <c r="K382" s="263"/>
      <c r="L382" s="563"/>
      <c r="M382" s="263"/>
      <c r="N382" s="263"/>
      <c r="O382" s="263"/>
      <c r="P382" s="265"/>
      <c r="Q382" s="263"/>
      <c r="R382" s="263"/>
      <c r="S382" s="263"/>
      <c r="T382" s="263"/>
      <c r="U382" s="263"/>
      <c r="V382" s="263"/>
      <c r="W382" s="263"/>
      <c r="X382" s="263"/>
      <c r="Y382" s="263"/>
      <c r="Z382" s="263"/>
      <c r="AA382" s="263"/>
      <c r="AB382" s="263"/>
      <c r="AC382" s="263"/>
      <c r="AD382" s="263"/>
      <c r="AE382" s="263"/>
      <c r="AF382" s="418"/>
      <c r="AG382" s="263"/>
      <c r="AH382" s="263"/>
      <c r="AI382" s="263"/>
    </row>
    <row r="383" spans="1:35" ht="15" customHeight="1">
      <c r="A383" s="69"/>
      <c r="B383" s="418"/>
      <c r="C383" s="263"/>
      <c r="E383" s="263"/>
      <c r="F383" s="263"/>
      <c r="G383" s="418"/>
      <c r="H383" s="263"/>
      <c r="I383" s="263"/>
      <c r="J383" s="263"/>
      <c r="K383" s="263"/>
      <c r="L383" s="563"/>
      <c r="M383" s="263"/>
      <c r="N383" s="263"/>
      <c r="O383" s="263"/>
      <c r="P383" s="265"/>
      <c r="Q383" s="263"/>
      <c r="R383" s="263"/>
      <c r="S383" s="263"/>
      <c r="T383" s="263"/>
      <c r="U383" s="263"/>
      <c r="V383" s="263"/>
      <c r="W383" s="263"/>
      <c r="X383" s="263"/>
      <c r="Y383" s="263"/>
      <c r="Z383" s="263"/>
      <c r="AA383" s="263"/>
      <c r="AB383" s="263"/>
      <c r="AC383" s="263"/>
      <c r="AD383" s="263"/>
      <c r="AE383" s="263"/>
      <c r="AF383" s="418"/>
      <c r="AG383" s="263"/>
      <c r="AH383" s="263"/>
      <c r="AI383" s="263"/>
    </row>
    <row r="384" spans="1:35" ht="15" customHeight="1">
      <c r="A384" s="69"/>
      <c r="B384" s="418"/>
      <c r="C384" s="263"/>
      <c r="E384" s="263"/>
      <c r="F384" s="263"/>
      <c r="G384" s="418"/>
      <c r="H384" s="263"/>
      <c r="I384" s="263"/>
      <c r="J384" s="263"/>
      <c r="K384" s="263"/>
      <c r="L384" s="563"/>
      <c r="M384" s="263"/>
      <c r="N384" s="263"/>
      <c r="O384" s="263"/>
      <c r="P384" s="265"/>
      <c r="Q384" s="263"/>
      <c r="R384" s="263"/>
      <c r="S384" s="263"/>
      <c r="T384" s="263"/>
      <c r="U384" s="263"/>
      <c r="V384" s="263"/>
      <c r="W384" s="263"/>
      <c r="X384" s="263"/>
      <c r="Y384" s="263"/>
      <c r="Z384" s="263"/>
      <c r="AA384" s="263"/>
      <c r="AB384" s="263"/>
      <c r="AC384" s="263"/>
      <c r="AD384" s="263"/>
      <c r="AE384" s="263"/>
      <c r="AF384" s="418"/>
      <c r="AG384" s="263"/>
      <c r="AH384" s="263"/>
      <c r="AI384" s="263"/>
    </row>
    <row r="385" spans="1:35" ht="15" customHeight="1">
      <c r="A385" s="69"/>
      <c r="B385" s="418"/>
      <c r="C385" s="263"/>
      <c r="E385" s="263"/>
      <c r="F385" s="263"/>
      <c r="G385" s="418"/>
      <c r="H385" s="263"/>
      <c r="I385" s="263"/>
      <c r="J385" s="263"/>
      <c r="K385" s="263"/>
      <c r="L385" s="563"/>
      <c r="M385" s="263"/>
      <c r="N385" s="263"/>
      <c r="O385" s="263"/>
      <c r="P385" s="265"/>
      <c r="Q385" s="263"/>
      <c r="R385" s="263"/>
      <c r="S385" s="263"/>
      <c r="T385" s="263"/>
      <c r="U385" s="263"/>
      <c r="V385" s="263"/>
      <c r="W385" s="263"/>
      <c r="X385" s="263"/>
      <c r="Y385" s="263"/>
      <c r="Z385" s="263"/>
      <c r="AA385" s="263"/>
      <c r="AB385" s="263"/>
      <c r="AC385" s="263"/>
      <c r="AD385" s="263"/>
      <c r="AE385" s="263"/>
      <c r="AF385" s="418"/>
      <c r="AG385" s="263"/>
      <c r="AH385" s="263"/>
      <c r="AI385" s="263"/>
    </row>
    <row r="386" spans="1:35" ht="15" customHeight="1">
      <c r="A386" s="69"/>
      <c r="B386" s="418"/>
      <c r="C386" s="263"/>
      <c r="E386" s="263"/>
      <c r="F386" s="263"/>
      <c r="G386" s="418"/>
      <c r="H386" s="263"/>
      <c r="I386" s="263"/>
      <c r="J386" s="263"/>
      <c r="K386" s="263"/>
      <c r="L386" s="563"/>
      <c r="M386" s="263"/>
      <c r="N386" s="263"/>
      <c r="O386" s="263"/>
      <c r="P386" s="265"/>
      <c r="Q386" s="263"/>
      <c r="R386" s="263"/>
      <c r="S386" s="263"/>
      <c r="T386" s="263"/>
      <c r="U386" s="263"/>
      <c r="V386" s="263"/>
      <c r="W386" s="263"/>
      <c r="X386" s="263"/>
      <c r="Y386" s="263"/>
      <c r="Z386" s="263"/>
      <c r="AA386" s="263"/>
      <c r="AB386" s="263"/>
      <c r="AC386" s="263"/>
      <c r="AD386" s="263"/>
      <c r="AE386" s="263"/>
      <c r="AF386" s="418"/>
      <c r="AG386" s="263"/>
      <c r="AH386" s="263"/>
      <c r="AI386" s="263"/>
    </row>
    <row r="387" spans="1:35" ht="15" customHeight="1">
      <c r="A387" s="69"/>
      <c r="B387" s="418"/>
      <c r="C387" s="263"/>
      <c r="E387" s="263"/>
      <c r="F387" s="263"/>
      <c r="G387" s="418"/>
      <c r="H387" s="263"/>
      <c r="I387" s="263"/>
      <c r="J387" s="263"/>
      <c r="K387" s="263"/>
      <c r="L387" s="563"/>
      <c r="M387" s="263"/>
      <c r="N387" s="263"/>
      <c r="O387" s="263"/>
      <c r="P387" s="265"/>
      <c r="Q387" s="263"/>
      <c r="R387" s="263"/>
      <c r="S387" s="263"/>
      <c r="T387" s="263"/>
      <c r="U387" s="263"/>
      <c r="V387" s="263"/>
      <c r="W387" s="263"/>
      <c r="X387" s="263"/>
      <c r="Y387" s="263"/>
      <c r="Z387" s="263"/>
      <c r="AA387" s="263"/>
      <c r="AB387" s="263"/>
      <c r="AC387" s="263"/>
      <c r="AD387" s="263"/>
      <c r="AE387" s="263"/>
      <c r="AF387" s="418"/>
      <c r="AG387" s="263"/>
      <c r="AH387" s="263"/>
      <c r="AI387" s="263"/>
    </row>
    <row r="388" spans="1:35" ht="15" customHeight="1">
      <c r="A388" s="69"/>
      <c r="B388" s="418"/>
      <c r="C388" s="263"/>
      <c r="E388" s="263"/>
      <c r="F388" s="263"/>
      <c r="G388" s="418"/>
      <c r="H388" s="263"/>
      <c r="I388" s="263"/>
      <c r="J388" s="263"/>
      <c r="K388" s="263"/>
      <c r="L388" s="563"/>
      <c r="M388" s="263"/>
      <c r="N388" s="263"/>
      <c r="O388" s="263"/>
      <c r="P388" s="265"/>
      <c r="Q388" s="263"/>
      <c r="R388" s="263"/>
      <c r="S388" s="263"/>
      <c r="T388" s="263"/>
      <c r="U388" s="263"/>
      <c r="V388" s="263"/>
      <c r="W388" s="263"/>
      <c r="X388" s="263"/>
      <c r="Y388" s="263"/>
      <c r="Z388" s="263"/>
      <c r="AA388" s="263"/>
      <c r="AB388" s="263"/>
      <c r="AC388" s="263"/>
      <c r="AD388" s="263"/>
      <c r="AE388" s="263"/>
      <c r="AF388" s="418"/>
      <c r="AG388" s="263"/>
      <c r="AH388" s="263"/>
      <c r="AI388" s="263"/>
    </row>
    <row r="389" spans="1:35" ht="15" customHeight="1">
      <c r="A389" s="69"/>
      <c r="B389" s="418"/>
      <c r="C389" s="263"/>
      <c r="E389" s="263"/>
      <c r="F389" s="263"/>
      <c r="G389" s="418"/>
      <c r="H389" s="263"/>
      <c r="I389" s="263"/>
      <c r="J389" s="263"/>
      <c r="K389" s="263"/>
      <c r="L389" s="563"/>
      <c r="M389" s="263"/>
      <c r="N389" s="263"/>
      <c r="O389" s="263"/>
      <c r="P389" s="265"/>
      <c r="Q389" s="263"/>
      <c r="R389" s="263"/>
      <c r="S389" s="263"/>
      <c r="T389" s="263"/>
      <c r="U389" s="263"/>
      <c r="V389" s="263"/>
      <c r="W389" s="263"/>
      <c r="X389" s="263"/>
      <c r="Y389" s="263"/>
      <c r="Z389" s="263"/>
      <c r="AA389" s="263"/>
      <c r="AB389" s="263"/>
      <c r="AC389" s="263"/>
      <c r="AD389" s="263"/>
      <c r="AE389" s="263"/>
      <c r="AF389" s="418"/>
      <c r="AG389" s="263"/>
      <c r="AH389" s="263"/>
      <c r="AI389" s="263"/>
    </row>
    <row r="390" spans="1:35" ht="15" customHeight="1">
      <c r="A390" s="69"/>
      <c r="B390" s="418"/>
      <c r="C390" s="263"/>
      <c r="E390" s="263"/>
      <c r="F390" s="263"/>
      <c r="G390" s="418"/>
      <c r="H390" s="263"/>
      <c r="I390" s="263"/>
      <c r="J390" s="263"/>
      <c r="K390" s="263"/>
      <c r="L390" s="563"/>
      <c r="M390" s="263"/>
      <c r="N390" s="263"/>
      <c r="O390" s="263"/>
      <c r="P390" s="265"/>
      <c r="Q390" s="263"/>
      <c r="R390" s="263"/>
      <c r="S390" s="263"/>
      <c r="T390" s="263"/>
      <c r="U390" s="263"/>
      <c r="V390" s="263"/>
      <c r="W390" s="263"/>
      <c r="X390" s="263"/>
      <c r="Y390" s="263"/>
      <c r="Z390" s="263"/>
      <c r="AA390" s="263"/>
      <c r="AB390" s="263"/>
      <c r="AC390" s="263"/>
      <c r="AD390" s="263"/>
      <c r="AE390" s="263"/>
      <c r="AF390" s="418"/>
      <c r="AG390" s="263"/>
      <c r="AH390" s="263"/>
      <c r="AI390" s="263"/>
    </row>
    <row r="391" spans="1:35" ht="15" customHeight="1">
      <c r="A391" s="69"/>
      <c r="B391" s="418"/>
      <c r="C391" s="263"/>
      <c r="E391" s="263"/>
      <c r="F391" s="263"/>
      <c r="G391" s="418"/>
      <c r="H391" s="263"/>
      <c r="I391" s="263"/>
      <c r="J391" s="263"/>
      <c r="K391" s="263"/>
      <c r="L391" s="563"/>
      <c r="M391" s="263"/>
      <c r="N391" s="263"/>
      <c r="O391" s="263"/>
      <c r="P391" s="265"/>
      <c r="Q391" s="263"/>
      <c r="R391" s="263"/>
      <c r="S391" s="263"/>
      <c r="T391" s="263"/>
      <c r="U391" s="263"/>
      <c r="V391" s="263"/>
      <c r="W391" s="263"/>
      <c r="X391" s="263"/>
      <c r="Y391" s="263"/>
      <c r="Z391" s="263"/>
      <c r="AA391" s="263"/>
      <c r="AB391" s="263"/>
      <c r="AC391" s="263"/>
      <c r="AD391" s="263"/>
      <c r="AE391" s="263"/>
      <c r="AF391" s="418"/>
      <c r="AG391" s="263"/>
      <c r="AH391" s="263"/>
      <c r="AI391" s="263"/>
    </row>
    <row r="392" spans="1:35" ht="15" customHeight="1">
      <c r="A392" s="69"/>
      <c r="B392" s="418"/>
      <c r="C392" s="263"/>
      <c r="E392" s="263"/>
      <c r="F392" s="263"/>
      <c r="G392" s="418"/>
      <c r="H392" s="263"/>
      <c r="I392" s="263"/>
      <c r="J392" s="263"/>
      <c r="K392" s="263"/>
      <c r="L392" s="563"/>
      <c r="M392" s="263"/>
      <c r="N392" s="263"/>
      <c r="O392" s="263"/>
      <c r="P392" s="265"/>
      <c r="Q392" s="263"/>
      <c r="R392" s="263"/>
      <c r="S392" s="263"/>
      <c r="T392" s="263"/>
      <c r="U392" s="263"/>
      <c r="V392" s="263"/>
      <c r="W392" s="263"/>
      <c r="X392" s="263"/>
      <c r="Y392" s="263"/>
      <c r="Z392" s="263"/>
      <c r="AA392" s="263"/>
      <c r="AB392" s="263"/>
      <c r="AC392" s="263"/>
      <c r="AD392" s="263"/>
      <c r="AE392" s="263"/>
      <c r="AF392" s="418"/>
      <c r="AG392" s="263"/>
      <c r="AH392" s="263"/>
      <c r="AI392" s="263"/>
    </row>
    <row r="393" spans="1:35" ht="15" customHeight="1">
      <c r="A393" s="69"/>
      <c r="B393" s="418"/>
      <c r="C393" s="263"/>
      <c r="E393" s="263"/>
      <c r="F393" s="263"/>
      <c r="G393" s="418"/>
      <c r="H393" s="263"/>
      <c r="I393" s="263"/>
      <c r="J393" s="263"/>
      <c r="K393" s="263"/>
      <c r="L393" s="563"/>
      <c r="M393" s="263"/>
      <c r="N393" s="263"/>
      <c r="O393" s="263"/>
      <c r="P393" s="265"/>
      <c r="Q393" s="263"/>
      <c r="R393" s="263"/>
      <c r="S393" s="263"/>
      <c r="T393" s="263"/>
      <c r="U393" s="263"/>
      <c r="V393" s="263"/>
      <c r="W393" s="263"/>
      <c r="X393" s="263"/>
      <c r="Y393" s="263"/>
      <c r="Z393" s="263"/>
      <c r="AA393" s="263"/>
      <c r="AB393" s="263"/>
      <c r="AC393" s="263"/>
      <c r="AD393" s="263"/>
      <c r="AE393" s="263"/>
      <c r="AF393" s="418"/>
      <c r="AG393" s="263"/>
      <c r="AH393" s="263"/>
      <c r="AI393" s="263"/>
    </row>
    <row r="394" spans="1:35" ht="15" customHeight="1">
      <c r="A394" s="69"/>
      <c r="B394" s="418"/>
      <c r="C394" s="263"/>
      <c r="E394" s="263"/>
      <c r="F394" s="263"/>
      <c r="G394" s="418"/>
      <c r="H394" s="263"/>
      <c r="I394" s="263"/>
      <c r="J394" s="263"/>
      <c r="K394" s="263"/>
      <c r="L394" s="563"/>
      <c r="M394" s="263"/>
      <c r="N394" s="263"/>
      <c r="O394" s="263"/>
      <c r="P394" s="265"/>
      <c r="Q394" s="263"/>
      <c r="R394" s="263"/>
      <c r="S394" s="263"/>
      <c r="T394" s="263"/>
      <c r="U394" s="263"/>
      <c r="V394" s="263"/>
      <c r="W394" s="263"/>
      <c r="X394" s="263"/>
      <c r="Y394" s="263"/>
      <c r="Z394" s="263"/>
      <c r="AA394" s="263"/>
      <c r="AB394" s="263"/>
      <c r="AC394" s="263"/>
      <c r="AD394" s="263"/>
      <c r="AE394" s="263"/>
      <c r="AF394" s="418"/>
      <c r="AG394" s="263"/>
      <c r="AH394" s="263"/>
      <c r="AI394" s="263"/>
    </row>
    <row r="395" spans="1:35" ht="15" customHeight="1">
      <c r="A395" s="69"/>
      <c r="B395" s="418"/>
      <c r="C395" s="263"/>
      <c r="E395" s="263"/>
      <c r="F395" s="263"/>
      <c r="G395" s="418"/>
      <c r="H395" s="263"/>
      <c r="I395" s="263"/>
      <c r="J395" s="263"/>
      <c r="K395" s="263"/>
      <c r="L395" s="563"/>
      <c r="M395" s="263"/>
      <c r="N395" s="263"/>
      <c r="O395" s="263"/>
      <c r="P395" s="265"/>
      <c r="Q395" s="263"/>
      <c r="R395" s="263"/>
      <c r="S395" s="263"/>
      <c r="T395" s="263"/>
      <c r="U395" s="263"/>
      <c r="V395" s="263"/>
      <c r="W395" s="263"/>
      <c r="X395" s="263"/>
      <c r="Y395" s="263"/>
      <c r="Z395" s="263"/>
      <c r="AA395" s="263"/>
      <c r="AB395" s="263"/>
      <c r="AC395" s="263"/>
      <c r="AD395" s="263"/>
      <c r="AE395" s="263"/>
      <c r="AF395" s="418"/>
      <c r="AG395" s="263"/>
      <c r="AH395" s="263"/>
      <c r="AI395" s="263"/>
    </row>
    <row r="396" spans="1:35" ht="15" customHeight="1">
      <c r="A396" s="69"/>
      <c r="B396" s="418"/>
      <c r="C396" s="263"/>
      <c r="E396" s="263"/>
      <c r="F396" s="263"/>
      <c r="G396" s="418"/>
      <c r="H396" s="263"/>
      <c r="I396" s="263"/>
      <c r="J396" s="263"/>
      <c r="K396" s="263"/>
      <c r="L396" s="563"/>
      <c r="M396" s="263"/>
      <c r="N396" s="263"/>
      <c r="O396" s="263"/>
      <c r="P396" s="265"/>
      <c r="Q396" s="263"/>
      <c r="R396" s="263"/>
      <c r="S396" s="263"/>
      <c r="T396" s="263"/>
      <c r="U396" s="263"/>
      <c r="V396" s="263"/>
      <c r="W396" s="263"/>
      <c r="X396" s="263"/>
      <c r="Y396" s="263"/>
      <c r="Z396" s="263"/>
      <c r="AA396" s="263"/>
      <c r="AB396" s="263"/>
      <c r="AC396" s="263"/>
      <c r="AD396" s="263"/>
      <c r="AE396" s="263"/>
      <c r="AF396" s="418"/>
      <c r="AG396" s="263"/>
      <c r="AH396" s="263"/>
      <c r="AI396" s="263"/>
    </row>
    <row r="397" spans="1:35" ht="15" customHeight="1">
      <c r="A397" s="69"/>
      <c r="B397" s="418"/>
      <c r="C397" s="263"/>
      <c r="E397" s="263"/>
      <c r="F397" s="263"/>
      <c r="G397" s="418"/>
      <c r="H397" s="263"/>
      <c r="I397" s="263"/>
      <c r="J397" s="263"/>
      <c r="K397" s="263"/>
      <c r="L397" s="563"/>
      <c r="M397" s="263"/>
      <c r="N397" s="263"/>
      <c r="O397" s="263"/>
      <c r="P397" s="265"/>
      <c r="Q397" s="263"/>
      <c r="R397" s="263"/>
      <c r="S397" s="263"/>
      <c r="T397" s="263"/>
      <c r="U397" s="263"/>
      <c r="V397" s="263"/>
      <c r="W397" s="263"/>
      <c r="X397" s="263"/>
      <c r="Y397" s="263"/>
      <c r="Z397" s="263"/>
      <c r="AA397" s="263"/>
      <c r="AB397" s="263"/>
      <c r="AC397" s="263"/>
      <c r="AD397" s="263"/>
      <c r="AE397" s="263"/>
      <c r="AF397" s="418"/>
      <c r="AG397" s="263"/>
      <c r="AH397" s="263"/>
      <c r="AI397" s="263"/>
    </row>
    <row r="398" spans="1:35" ht="15" customHeight="1">
      <c r="A398" s="69"/>
      <c r="B398" s="418"/>
      <c r="C398" s="263"/>
      <c r="E398" s="263"/>
      <c r="F398" s="263"/>
      <c r="G398" s="418"/>
      <c r="H398" s="263"/>
      <c r="I398" s="263"/>
      <c r="J398" s="263"/>
      <c r="K398" s="263"/>
      <c r="L398" s="563"/>
      <c r="M398" s="263"/>
      <c r="N398" s="263"/>
      <c r="O398" s="263"/>
      <c r="P398" s="265"/>
      <c r="Q398" s="263"/>
      <c r="R398" s="263"/>
      <c r="S398" s="263"/>
      <c r="T398" s="263"/>
      <c r="U398" s="263"/>
      <c r="V398" s="263"/>
      <c r="W398" s="263"/>
      <c r="X398" s="263"/>
      <c r="Y398" s="263"/>
      <c r="Z398" s="263"/>
      <c r="AA398" s="263"/>
      <c r="AB398" s="263"/>
      <c r="AC398" s="263"/>
      <c r="AD398" s="263"/>
      <c r="AE398" s="263"/>
      <c r="AF398" s="418"/>
      <c r="AG398" s="263"/>
      <c r="AH398" s="263"/>
      <c r="AI398" s="263"/>
    </row>
    <row r="399" spans="1:35" ht="15" customHeight="1">
      <c r="A399" s="69"/>
      <c r="B399" s="418"/>
      <c r="C399" s="263"/>
      <c r="E399" s="263"/>
      <c r="F399" s="263"/>
      <c r="G399" s="418"/>
      <c r="H399" s="263"/>
      <c r="I399" s="263"/>
      <c r="J399" s="263"/>
      <c r="K399" s="263"/>
      <c r="L399" s="563"/>
      <c r="M399" s="263"/>
      <c r="N399" s="263"/>
      <c r="O399" s="263"/>
      <c r="P399" s="265"/>
      <c r="Q399" s="263"/>
      <c r="R399" s="263"/>
      <c r="S399" s="263"/>
      <c r="T399" s="263"/>
      <c r="U399" s="263"/>
      <c r="V399" s="263"/>
      <c r="W399" s="263"/>
      <c r="X399" s="263"/>
      <c r="Y399" s="263"/>
      <c r="Z399" s="263"/>
      <c r="AA399" s="263"/>
      <c r="AB399" s="263"/>
      <c r="AC399" s="263"/>
      <c r="AD399" s="263"/>
      <c r="AE399" s="263"/>
      <c r="AF399" s="418"/>
      <c r="AG399" s="263"/>
      <c r="AH399" s="263"/>
      <c r="AI399" s="263"/>
    </row>
    <row r="400" spans="1:35" ht="15" customHeight="1">
      <c r="A400" s="69"/>
      <c r="B400" s="418"/>
      <c r="C400" s="263"/>
      <c r="E400" s="263"/>
      <c r="F400" s="263"/>
      <c r="G400" s="418"/>
      <c r="H400" s="263"/>
      <c r="I400" s="263"/>
      <c r="J400" s="263"/>
      <c r="K400" s="263"/>
      <c r="L400" s="563"/>
      <c r="M400" s="263"/>
      <c r="N400" s="263"/>
      <c r="O400" s="263"/>
      <c r="P400" s="265"/>
      <c r="Q400" s="263"/>
      <c r="R400" s="263"/>
      <c r="S400" s="263"/>
      <c r="T400" s="263"/>
      <c r="U400" s="263"/>
      <c r="V400" s="263"/>
      <c r="W400" s="263"/>
      <c r="X400" s="263"/>
      <c r="Y400" s="263"/>
      <c r="Z400" s="263"/>
      <c r="AA400" s="263"/>
      <c r="AB400" s="263"/>
      <c r="AC400" s="263"/>
      <c r="AD400" s="263"/>
      <c r="AE400" s="263"/>
      <c r="AF400" s="418"/>
      <c r="AG400" s="263"/>
      <c r="AH400" s="263"/>
      <c r="AI400" s="263"/>
    </row>
    <row r="401" spans="1:35" ht="15" customHeight="1">
      <c r="A401" s="69"/>
      <c r="B401" s="418"/>
      <c r="C401" s="263"/>
      <c r="E401" s="263"/>
      <c r="F401" s="263"/>
      <c r="G401" s="418"/>
      <c r="H401" s="263"/>
      <c r="I401" s="263"/>
      <c r="J401" s="263"/>
      <c r="K401" s="263"/>
      <c r="L401" s="563"/>
      <c r="M401" s="263"/>
      <c r="N401" s="263"/>
      <c r="O401" s="263"/>
      <c r="P401" s="265"/>
      <c r="Q401" s="263"/>
      <c r="R401" s="263"/>
      <c r="S401" s="263"/>
      <c r="T401" s="263"/>
      <c r="U401" s="263"/>
      <c r="V401" s="263"/>
      <c r="W401" s="263"/>
      <c r="X401" s="263"/>
      <c r="Y401" s="263"/>
      <c r="Z401" s="263"/>
      <c r="AA401" s="263"/>
      <c r="AB401" s="263"/>
      <c r="AC401" s="263"/>
      <c r="AD401" s="263"/>
      <c r="AE401" s="263"/>
      <c r="AF401" s="418"/>
      <c r="AG401" s="263"/>
      <c r="AH401" s="263"/>
      <c r="AI401" s="263"/>
    </row>
    <row r="402" spans="1:35" ht="15" customHeight="1">
      <c r="A402" s="69"/>
      <c r="B402" s="418"/>
      <c r="C402" s="263"/>
      <c r="E402" s="263"/>
      <c r="F402" s="263"/>
      <c r="G402" s="418"/>
      <c r="H402" s="263"/>
      <c r="I402" s="263"/>
      <c r="J402" s="263"/>
      <c r="K402" s="263"/>
      <c r="L402" s="563"/>
      <c r="M402" s="263"/>
      <c r="N402" s="263"/>
      <c r="O402" s="263"/>
      <c r="P402" s="265"/>
      <c r="Q402" s="263"/>
      <c r="R402" s="263"/>
      <c r="S402" s="263"/>
      <c r="T402" s="263"/>
      <c r="U402" s="263"/>
      <c r="V402" s="263"/>
      <c r="W402" s="263"/>
      <c r="X402" s="263"/>
      <c r="Y402" s="263"/>
      <c r="Z402" s="263"/>
      <c r="AA402" s="263"/>
      <c r="AB402" s="263"/>
      <c r="AC402" s="263"/>
      <c r="AD402" s="263"/>
      <c r="AE402" s="263"/>
      <c r="AF402" s="418"/>
      <c r="AG402" s="263"/>
      <c r="AH402" s="263"/>
      <c r="AI402" s="263"/>
    </row>
    <row r="403" spans="1:35" ht="15" customHeight="1">
      <c r="A403" s="69"/>
      <c r="B403" s="418"/>
      <c r="C403" s="263"/>
      <c r="E403" s="263"/>
      <c r="F403" s="263"/>
      <c r="G403" s="418"/>
      <c r="H403" s="263"/>
      <c r="I403" s="263"/>
      <c r="J403" s="263"/>
      <c r="K403" s="263"/>
      <c r="L403" s="563"/>
      <c r="M403" s="263"/>
      <c r="N403" s="263"/>
      <c r="O403" s="263"/>
      <c r="P403" s="265"/>
      <c r="Q403" s="263"/>
      <c r="R403" s="263"/>
      <c r="S403" s="263"/>
      <c r="T403" s="263"/>
      <c r="U403" s="263"/>
      <c r="V403" s="263"/>
      <c r="W403" s="263"/>
      <c r="X403" s="263"/>
      <c r="Y403" s="263"/>
      <c r="Z403" s="263"/>
      <c r="AA403" s="263"/>
      <c r="AB403" s="263"/>
      <c r="AC403" s="263"/>
      <c r="AD403" s="263"/>
      <c r="AE403" s="263"/>
      <c r="AF403" s="418"/>
      <c r="AG403" s="263"/>
      <c r="AH403" s="263"/>
      <c r="AI403" s="263"/>
    </row>
    <row r="404" spans="1:35" ht="15" customHeight="1">
      <c r="A404" s="69"/>
      <c r="B404" s="418"/>
      <c r="C404" s="263"/>
      <c r="E404" s="263"/>
      <c r="F404" s="263"/>
      <c r="G404" s="418"/>
      <c r="H404" s="263"/>
      <c r="I404" s="263"/>
      <c r="J404" s="263"/>
      <c r="K404" s="263"/>
      <c r="L404" s="563"/>
      <c r="M404" s="263"/>
      <c r="N404" s="263"/>
      <c r="O404" s="263"/>
      <c r="P404" s="265"/>
      <c r="Q404" s="263"/>
      <c r="R404" s="263"/>
      <c r="S404" s="263"/>
      <c r="T404" s="263"/>
      <c r="U404" s="263"/>
      <c r="V404" s="263"/>
      <c r="W404" s="263"/>
      <c r="X404" s="263"/>
      <c r="Y404" s="263"/>
      <c r="Z404" s="263"/>
      <c r="AA404" s="263"/>
      <c r="AB404" s="263"/>
      <c r="AC404" s="263"/>
      <c r="AD404" s="263"/>
      <c r="AE404" s="263"/>
      <c r="AF404" s="418"/>
      <c r="AG404" s="263"/>
      <c r="AH404" s="263"/>
      <c r="AI404" s="263"/>
    </row>
    <row r="405" spans="1:35" ht="15" customHeight="1">
      <c r="A405" s="69"/>
      <c r="B405" s="418"/>
      <c r="C405" s="263"/>
      <c r="E405" s="263"/>
      <c r="F405" s="263"/>
      <c r="G405" s="418"/>
      <c r="H405" s="263"/>
      <c r="I405" s="263"/>
      <c r="J405" s="263"/>
      <c r="K405" s="263"/>
      <c r="L405" s="563"/>
      <c r="M405" s="263"/>
      <c r="N405" s="263"/>
      <c r="O405" s="263"/>
      <c r="P405" s="265"/>
      <c r="Q405" s="263"/>
      <c r="R405" s="263"/>
      <c r="S405" s="263"/>
      <c r="T405" s="263"/>
      <c r="U405" s="263"/>
      <c r="V405" s="263"/>
      <c r="W405" s="263"/>
      <c r="X405" s="263"/>
      <c r="Y405" s="263"/>
      <c r="Z405" s="263"/>
      <c r="AA405" s="263"/>
      <c r="AB405" s="263"/>
      <c r="AC405" s="263"/>
      <c r="AD405" s="263"/>
      <c r="AE405" s="263"/>
      <c r="AF405" s="418"/>
      <c r="AG405" s="263"/>
      <c r="AH405" s="263"/>
      <c r="AI405" s="263"/>
    </row>
    <row r="406" spans="1:35" ht="15" customHeight="1">
      <c r="A406" s="69"/>
      <c r="B406" s="418"/>
      <c r="C406" s="263"/>
      <c r="E406" s="263"/>
      <c r="F406" s="263"/>
      <c r="G406" s="418"/>
      <c r="H406" s="263"/>
      <c r="I406" s="263"/>
      <c r="J406" s="263"/>
      <c r="K406" s="263"/>
      <c r="L406" s="563"/>
      <c r="M406" s="263"/>
      <c r="N406" s="263"/>
      <c r="O406" s="263"/>
      <c r="P406" s="265"/>
      <c r="Q406" s="263"/>
      <c r="R406" s="263"/>
      <c r="S406" s="263"/>
      <c r="T406" s="263"/>
      <c r="U406" s="263"/>
      <c r="V406" s="263"/>
      <c r="W406" s="263"/>
      <c r="X406" s="263"/>
      <c r="Y406" s="263"/>
      <c r="Z406" s="263"/>
      <c r="AA406" s="263"/>
      <c r="AB406" s="263"/>
      <c r="AC406" s="263"/>
      <c r="AD406" s="263"/>
      <c r="AE406" s="263"/>
      <c r="AF406" s="418"/>
      <c r="AG406" s="263"/>
      <c r="AH406" s="263"/>
      <c r="AI406" s="263"/>
    </row>
    <row r="407" spans="1:35" ht="15" customHeight="1">
      <c r="A407" s="69"/>
      <c r="B407" s="418"/>
      <c r="C407" s="263"/>
      <c r="E407" s="263"/>
      <c r="F407" s="263"/>
      <c r="G407" s="418"/>
      <c r="H407" s="263"/>
      <c r="I407" s="263"/>
      <c r="J407" s="263"/>
      <c r="K407" s="263"/>
      <c r="L407" s="563"/>
      <c r="M407" s="263"/>
      <c r="N407" s="263"/>
      <c r="O407" s="263"/>
      <c r="P407" s="265"/>
      <c r="Q407" s="263"/>
      <c r="R407" s="263"/>
      <c r="S407" s="263"/>
      <c r="T407" s="263"/>
      <c r="U407" s="263"/>
      <c r="V407" s="263"/>
      <c r="W407" s="263"/>
      <c r="X407" s="263"/>
      <c r="Y407" s="263"/>
      <c r="Z407" s="263"/>
      <c r="AA407" s="263"/>
      <c r="AB407" s="263"/>
      <c r="AC407" s="263"/>
      <c r="AD407" s="263"/>
      <c r="AE407" s="263"/>
      <c r="AF407" s="418"/>
      <c r="AG407" s="263"/>
      <c r="AH407" s="263"/>
      <c r="AI407" s="263"/>
    </row>
    <row r="408" spans="1:35" ht="15" customHeight="1">
      <c r="A408" s="69"/>
      <c r="B408" s="418"/>
      <c r="C408" s="263"/>
      <c r="E408" s="263"/>
      <c r="F408" s="263"/>
      <c r="G408" s="418"/>
      <c r="H408" s="263"/>
      <c r="I408" s="263"/>
      <c r="J408" s="263"/>
      <c r="K408" s="263"/>
      <c r="L408" s="563"/>
      <c r="M408" s="263"/>
      <c r="N408" s="263"/>
      <c r="O408" s="263"/>
      <c r="P408" s="265"/>
      <c r="Q408" s="263"/>
      <c r="R408" s="263"/>
      <c r="S408" s="263"/>
      <c r="T408" s="263"/>
      <c r="U408" s="263"/>
      <c r="V408" s="263"/>
      <c r="W408" s="263"/>
      <c r="X408" s="263"/>
      <c r="Y408" s="263"/>
      <c r="Z408" s="263"/>
      <c r="AA408" s="263"/>
      <c r="AB408" s="263"/>
      <c r="AC408" s="263"/>
      <c r="AD408" s="263"/>
      <c r="AE408" s="263"/>
      <c r="AF408" s="418"/>
      <c r="AG408" s="263"/>
      <c r="AH408" s="263"/>
      <c r="AI408" s="263"/>
    </row>
    <row r="409" spans="1:35" ht="15" customHeight="1">
      <c r="A409" s="69"/>
      <c r="B409" s="418"/>
      <c r="C409" s="263"/>
      <c r="E409" s="263"/>
      <c r="F409" s="263"/>
      <c r="G409" s="418"/>
      <c r="H409" s="263"/>
      <c r="I409" s="263"/>
      <c r="J409" s="263"/>
      <c r="K409" s="263"/>
      <c r="L409" s="563"/>
      <c r="M409" s="263"/>
      <c r="N409" s="263"/>
      <c r="O409" s="263"/>
      <c r="P409" s="265"/>
      <c r="Q409" s="263"/>
      <c r="R409" s="263"/>
      <c r="S409" s="263"/>
      <c r="T409" s="263"/>
      <c r="U409" s="263"/>
      <c r="V409" s="263"/>
      <c r="W409" s="263"/>
      <c r="X409" s="263"/>
      <c r="Y409" s="263"/>
      <c r="Z409" s="263"/>
      <c r="AA409" s="263"/>
      <c r="AB409" s="263"/>
      <c r="AC409" s="263"/>
      <c r="AD409" s="263"/>
      <c r="AE409" s="263"/>
      <c r="AF409" s="418"/>
      <c r="AG409" s="263"/>
      <c r="AH409" s="263"/>
      <c r="AI409" s="263"/>
    </row>
    <row r="410" spans="1:35" ht="15" customHeight="1">
      <c r="A410" s="69"/>
      <c r="B410" s="418"/>
      <c r="C410" s="263"/>
      <c r="E410" s="263"/>
      <c r="F410" s="263"/>
      <c r="G410" s="418"/>
      <c r="H410" s="263"/>
      <c r="I410" s="263"/>
      <c r="J410" s="263"/>
      <c r="K410" s="263"/>
      <c r="L410" s="563"/>
      <c r="M410" s="263"/>
      <c r="N410" s="263"/>
      <c r="O410" s="263"/>
      <c r="P410" s="265"/>
      <c r="Q410" s="263"/>
      <c r="R410" s="263"/>
      <c r="S410" s="263"/>
      <c r="T410" s="263"/>
      <c r="U410" s="263"/>
      <c r="V410" s="263"/>
      <c r="W410" s="263"/>
      <c r="X410" s="263"/>
      <c r="Y410" s="263"/>
      <c r="Z410" s="263"/>
      <c r="AA410" s="263"/>
      <c r="AB410" s="263"/>
      <c r="AC410" s="263"/>
      <c r="AD410" s="263"/>
      <c r="AE410" s="263"/>
      <c r="AF410" s="418"/>
      <c r="AG410" s="263"/>
      <c r="AH410" s="263"/>
      <c r="AI410" s="263"/>
    </row>
    <row r="411" spans="1:35" ht="15" customHeight="1">
      <c r="A411" s="69"/>
      <c r="B411" s="418"/>
      <c r="C411" s="263"/>
      <c r="E411" s="263"/>
      <c r="F411" s="263"/>
      <c r="G411" s="418"/>
      <c r="H411" s="263"/>
      <c r="I411" s="263"/>
      <c r="J411" s="263"/>
      <c r="K411" s="263"/>
      <c r="L411" s="563"/>
      <c r="M411" s="263"/>
      <c r="N411" s="263"/>
      <c r="O411" s="263"/>
      <c r="P411" s="265"/>
      <c r="Q411" s="263"/>
      <c r="R411" s="263"/>
      <c r="S411" s="263"/>
      <c r="T411" s="263"/>
      <c r="U411" s="263"/>
      <c r="V411" s="263"/>
      <c r="W411" s="263"/>
      <c r="X411" s="263"/>
      <c r="Y411" s="263"/>
      <c r="Z411" s="263"/>
      <c r="AA411" s="263"/>
      <c r="AB411" s="263"/>
      <c r="AC411" s="263"/>
      <c r="AD411" s="263"/>
      <c r="AE411" s="263"/>
      <c r="AF411" s="418"/>
      <c r="AG411" s="263"/>
      <c r="AH411" s="263"/>
      <c r="AI411" s="263"/>
    </row>
    <row r="412" spans="1:35" ht="15" customHeight="1">
      <c r="A412" s="69"/>
      <c r="B412" s="418"/>
      <c r="C412" s="263"/>
      <c r="E412" s="263"/>
      <c r="F412" s="263"/>
      <c r="G412" s="418"/>
      <c r="H412" s="263"/>
      <c r="I412" s="263"/>
      <c r="J412" s="263"/>
      <c r="K412" s="263"/>
      <c r="L412" s="563"/>
      <c r="M412" s="263"/>
      <c r="N412" s="263"/>
      <c r="O412" s="263"/>
      <c r="P412" s="265"/>
      <c r="Q412" s="263"/>
      <c r="R412" s="263"/>
      <c r="S412" s="263"/>
      <c r="T412" s="263"/>
      <c r="U412" s="263"/>
      <c r="V412" s="263"/>
      <c r="W412" s="263"/>
      <c r="X412" s="263"/>
      <c r="Y412" s="263"/>
      <c r="Z412" s="263"/>
      <c r="AA412" s="263"/>
      <c r="AB412" s="263"/>
      <c r="AC412" s="263"/>
      <c r="AD412" s="263"/>
      <c r="AE412" s="263"/>
      <c r="AF412" s="418"/>
      <c r="AG412" s="263"/>
      <c r="AH412" s="263"/>
      <c r="AI412" s="263"/>
    </row>
    <row r="413" spans="1:35" ht="15" customHeight="1">
      <c r="A413" s="69"/>
      <c r="B413" s="418"/>
      <c r="C413" s="263"/>
      <c r="E413" s="263"/>
      <c r="F413" s="263"/>
      <c r="G413" s="418"/>
      <c r="H413" s="263"/>
      <c r="I413" s="263"/>
      <c r="J413" s="263"/>
      <c r="K413" s="263"/>
      <c r="L413" s="563"/>
      <c r="M413" s="263"/>
      <c r="N413" s="263"/>
      <c r="O413" s="263"/>
      <c r="P413" s="265"/>
      <c r="Q413" s="263"/>
      <c r="R413" s="263"/>
      <c r="S413" s="263"/>
      <c r="T413" s="263"/>
      <c r="U413" s="263"/>
      <c r="V413" s="263"/>
      <c r="W413" s="263"/>
      <c r="X413" s="263"/>
      <c r="Y413" s="263"/>
      <c r="Z413" s="263"/>
      <c r="AA413" s="263"/>
      <c r="AB413" s="263"/>
      <c r="AC413" s="263"/>
      <c r="AD413" s="263"/>
      <c r="AE413" s="263"/>
      <c r="AF413" s="418"/>
      <c r="AG413" s="263"/>
      <c r="AH413" s="263"/>
      <c r="AI413" s="263"/>
    </row>
    <row r="414" spans="1:35" ht="15" customHeight="1">
      <c r="A414" s="69"/>
      <c r="B414" s="418"/>
      <c r="C414" s="263"/>
      <c r="E414" s="263"/>
      <c r="F414" s="263"/>
      <c r="G414" s="418"/>
      <c r="H414" s="263"/>
      <c r="I414" s="263"/>
      <c r="J414" s="263"/>
      <c r="K414" s="263"/>
      <c r="L414" s="563"/>
      <c r="M414" s="263"/>
      <c r="N414" s="263"/>
      <c r="O414" s="263"/>
      <c r="P414" s="265"/>
      <c r="Q414" s="263"/>
      <c r="R414" s="263"/>
      <c r="S414" s="263"/>
      <c r="T414" s="263"/>
      <c r="U414" s="263"/>
      <c r="V414" s="263"/>
      <c r="W414" s="263"/>
      <c r="X414" s="263"/>
      <c r="Y414" s="263"/>
      <c r="Z414" s="263"/>
      <c r="AA414" s="263"/>
      <c r="AB414" s="263"/>
      <c r="AC414" s="263"/>
      <c r="AD414" s="263"/>
      <c r="AE414" s="263"/>
      <c r="AF414" s="418"/>
      <c r="AG414" s="263"/>
      <c r="AH414" s="263"/>
      <c r="AI414" s="263"/>
    </row>
    <row r="415" spans="1:35" ht="15" customHeight="1">
      <c r="A415" s="69"/>
      <c r="B415" s="418"/>
      <c r="C415" s="263"/>
      <c r="E415" s="263"/>
      <c r="F415" s="263"/>
      <c r="G415" s="418"/>
      <c r="H415" s="263"/>
      <c r="I415" s="263"/>
      <c r="J415" s="263"/>
      <c r="K415" s="263"/>
      <c r="L415" s="563"/>
      <c r="M415" s="263"/>
      <c r="N415" s="263"/>
      <c r="O415" s="263"/>
      <c r="P415" s="265"/>
      <c r="Q415" s="263"/>
      <c r="R415" s="263"/>
      <c r="S415" s="263"/>
      <c r="T415" s="263"/>
      <c r="U415" s="263"/>
      <c r="V415" s="263"/>
      <c r="W415" s="263"/>
      <c r="X415" s="263"/>
      <c r="Y415" s="263"/>
      <c r="Z415" s="263"/>
      <c r="AA415" s="263"/>
      <c r="AB415" s="263"/>
      <c r="AC415" s="263"/>
      <c r="AD415" s="263"/>
      <c r="AE415" s="263"/>
      <c r="AF415" s="418"/>
      <c r="AG415" s="263"/>
      <c r="AH415" s="263"/>
      <c r="AI415" s="263"/>
    </row>
    <row r="416" spans="1:35" ht="15" customHeight="1">
      <c r="A416" s="69"/>
      <c r="B416" s="418"/>
      <c r="C416" s="263"/>
      <c r="E416" s="263"/>
      <c r="F416" s="263"/>
      <c r="G416" s="418"/>
      <c r="H416" s="263"/>
      <c r="I416" s="263"/>
      <c r="J416" s="263"/>
      <c r="K416" s="263"/>
      <c r="L416" s="563"/>
      <c r="M416" s="263"/>
      <c r="N416" s="263"/>
      <c r="O416" s="263"/>
      <c r="P416" s="265"/>
      <c r="Q416" s="263"/>
      <c r="R416" s="263"/>
      <c r="S416" s="263"/>
      <c r="T416" s="263"/>
      <c r="U416" s="263"/>
      <c r="V416" s="263"/>
      <c r="W416" s="263"/>
      <c r="X416" s="263"/>
      <c r="Y416" s="263"/>
      <c r="Z416" s="263"/>
      <c r="AA416" s="263"/>
      <c r="AB416" s="263"/>
      <c r="AC416" s="263"/>
      <c r="AD416" s="263"/>
      <c r="AE416" s="263"/>
      <c r="AF416" s="418"/>
      <c r="AG416" s="263"/>
      <c r="AH416" s="263"/>
      <c r="AI416" s="263"/>
    </row>
    <row r="417" spans="1:35" ht="15" customHeight="1">
      <c r="A417" s="69"/>
      <c r="B417" s="418"/>
      <c r="C417" s="263"/>
      <c r="E417" s="263"/>
      <c r="F417" s="263"/>
      <c r="G417" s="418"/>
      <c r="H417" s="263"/>
      <c r="I417" s="263"/>
      <c r="J417" s="263"/>
      <c r="K417" s="263"/>
      <c r="L417" s="563"/>
      <c r="M417" s="263"/>
      <c r="N417" s="263"/>
      <c r="O417" s="263"/>
      <c r="P417" s="265"/>
      <c r="Q417" s="263"/>
      <c r="R417" s="263"/>
      <c r="S417" s="263"/>
      <c r="T417" s="263"/>
      <c r="U417" s="263"/>
      <c r="V417" s="263"/>
      <c r="W417" s="263"/>
      <c r="X417" s="263"/>
      <c r="Y417" s="263"/>
      <c r="Z417" s="263"/>
      <c r="AA417" s="263"/>
      <c r="AB417" s="263"/>
      <c r="AC417" s="263"/>
      <c r="AD417" s="263"/>
      <c r="AE417" s="263"/>
      <c r="AF417" s="418"/>
      <c r="AG417" s="263"/>
      <c r="AH417" s="263"/>
      <c r="AI417" s="263"/>
    </row>
    <row r="418" spans="1:35" ht="15" customHeight="1">
      <c r="A418" s="69"/>
      <c r="B418" s="418"/>
      <c r="C418" s="263"/>
      <c r="E418" s="263"/>
      <c r="F418" s="263"/>
      <c r="G418" s="418"/>
      <c r="H418" s="263"/>
      <c r="I418" s="263"/>
      <c r="J418" s="263"/>
      <c r="K418" s="263"/>
      <c r="L418" s="563"/>
      <c r="M418" s="263"/>
      <c r="N418" s="263"/>
      <c r="O418" s="263"/>
      <c r="P418" s="265"/>
      <c r="Q418" s="263"/>
      <c r="R418" s="263"/>
      <c r="S418" s="263"/>
      <c r="T418" s="263"/>
      <c r="U418" s="263"/>
      <c r="V418" s="263"/>
      <c r="W418" s="263"/>
      <c r="X418" s="263"/>
      <c r="Y418" s="263"/>
      <c r="Z418" s="263"/>
      <c r="AA418" s="263"/>
      <c r="AB418" s="263"/>
      <c r="AC418" s="263"/>
      <c r="AD418" s="263"/>
      <c r="AE418" s="263"/>
      <c r="AF418" s="418"/>
      <c r="AG418" s="263"/>
      <c r="AH418" s="263"/>
      <c r="AI418" s="263"/>
    </row>
    <row r="419" spans="1:35" ht="15" customHeight="1">
      <c r="A419" s="69"/>
      <c r="B419" s="418"/>
      <c r="C419" s="263"/>
      <c r="E419" s="263"/>
      <c r="F419" s="263"/>
      <c r="G419" s="418"/>
      <c r="H419" s="263"/>
      <c r="I419" s="263"/>
      <c r="J419" s="263"/>
      <c r="K419" s="263"/>
      <c r="L419" s="563"/>
      <c r="M419" s="263"/>
      <c r="N419" s="263"/>
      <c r="O419" s="263"/>
      <c r="P419" s="265"/>
      <c r="Q419" s="263"/>
      <c r="R419" s="263"/>
      <c r="S419" s="263"/>
      <c r="T419" s="263"/>
      <c r="U419" s="263"/>
      <c r="V419" s="263"/>
      <c r="W419" s="263"/>
      <c r="X419" s="263"/>
      <c r="Y419" s="263"/>
      <c r="Z419" s="263"/>
      <c r="AA419" s="263"/>
      <c r="AB419" s="263"/>
      <c r="AC419" s="263"/>
      <c r="AD419" s="263"/>
      <c r="AE419" s="263"/>
      <c r="AF419" s="418"/>
      <c r="AG419" s="263"/>
      <c r="AH419" s="263"/>
      <c r="AI419" s="263"/>
    </row>
    <row r="420" spans="1:35" ht="15" customHeight="1">
      <c r="A420" s="69"/>
      <c r="B420" s="418"/>
      <c r="C420" s="263"/>
      <c r="E420" s="263"/>
      <c r="F420" s="263"/>
      <c r="G420" s="418"/>
      <c r="H420" s="263"/>
      <c r="I420" s="263"/>
      <c r="J420" s="263"/>
      <c r="K420" s="263"/>
      <c r="L420" s="563"/>
      <c r="M420" s="263"/>
      <c r="N420" s="263"/>
      <c r="O420" s="263"/>
      <c r="P420" s="265"/>
      <c r="Q420" s="263"/>
      <c r="R420" s="263"/>
      <c r="S420" s="263"/>
      <c r="T420" s="263"/>
      <c r="U420" s="263"/>
      <c r="V420" s="263"/>
      <c r="W420" s="263"/>
      <c r="X420" s="263"/>
      <c r="Y420" s="263"/>
      <c r="Z420" s="263"/>
      <c r="AA420" s="263"/>
      <c r="AB420" s="263"/>
      <c r="AC420" s="263"/>
      <c r="AD420" s="263"/>
      <c r="AE420" s="263"/>
      <c r="AF420" s="418"/>
      <c r="AG420" s="263"/>
      <c r="AH420" s="263"/>
      <c r="AI420" s="263"/>
    </row>
    <row r="421" spans="1:35" ht="15" customHeight="1">
      <c r="A421" s="69"/>
      <c r="B421" s="418"/>
      <c r="C421" s="263"/>
      <c r="E421" s="263"/>
      <c r="F421" s="263"/>
      <c r="G421" s="418"/>
      <c r="H421" s="263"/>
      <c r="I421" s="263"/>
      <c r="J421" s="263"/>
      <c r="K421" s="263"/>
      <c r="L421" s="563"/>
      <c r="M421" s="263"/>
      <c r="N421" s="263"/>
      <c r="O421" s="263"/>
      <c r="P421" s="265"/>
      <c r="Q421" s="263"/>
      <c r="R421" s="263"/>
      <c r="S421" s="263"/>
      <c r="T421" s="263"/>
      <c r="U421" s="263"/>
      <c r="V421" s="263"/>
      <c r="W421" s="263"/>
      <c r="X421" s="263"/>
      <c r="Y421" s="263"/>
      <c r="Z421" s="263"/>
      <c r="AA421" s="263"/>
      <c r="AB421" s="263"/>
      <c r="AC421" s="263"/>
      <c r="AD421" s="263"/>
      <c r="AE421" s="263"/>
      <c r="AF421" s="418"/>
      <c r="AG421" s="263"/>
      <c r="AH421" s="263"/>
      <c r="AI421" s="263"/>
    </row>
    <row r="422" spans="1:35" ht="15" customHeight="1">
      <c r="A422" s="69"/>
      <c r="B422" s="418"/>
      <c r="C422" s="263"/>
      <c r="E422" s="263"/>
      <c r="F422" s="263"/>
      <c r="G422" s="418"/>
      <c r="H422" s="263"/>
      <c r="I422" s="263"/>
      <c r="J422" s="263"/>
      <c r="K422" s="263"/>
      <c r="L422" s="563"/>
      <c r="M422" s="263"/>
      <c r="N422" s="263"/>
      <c r="O422" s="263"/>
      <c r="P422" s="265"/>
      <c r="Q422" s="263"/>
      <c r="R422" s="263"/>
      <c r="S422" s="263"/>
      <c r="T422" s="263"/>
      <c r="U422" s="263"/>
      <c r="V422" s="263"/>
      <c r="W422" s="263"/>
      <c r="X422" s="263"/>
      <c r="Y422" s="263"/>
      <c r="Z422" s="263"/>
      <c r="AA422" s="263"/>
      <c r="AB422" s="263"/>
      <c r="AC422" s="263"/>
      <c r="AD422" s="263"/>
      <c r="AE422" s="263"/>
      <c r="AF422" s="418"/>
      <c r="AG422" s="263"/>
      <c r="AH422" s="263"/>
      <c r="AI422" s="263"/>
    </row>
    <row r="423" spans="1:35" ht="15" customHeight="1">
      <c r="A423" s="69"/>
      <c r="B423" s="418"/>
      <c r="C423" s="263"/>
      <c r="E423" s="263"/>
      <c r="F423" s="263"/>
      <c r="G423" s="418"/>
      <c r="H423" s="263"/>
      <c r="I423" s="263"/>
      <c r="J423" s="263"/>
      <c r="K423" s="263"/>
      <c r="L423" s="563"/>
      <c r="M423" s="263"/>
      <c r="N423" s="263"/>
      <c r="O423" s="263"/>
      <c r="P423" s="265"/>
      <c r="Q423" s="263"/>
      <c r="R423" s="263"/>
      <c r="S423" s="263"/>
      <c r="T423" s="263"/>
      <c r="U423" s="263"/>
      <c r="V423" s="263"/>
      <c r="W423" s="263"/>
      <c r="X423" s="263"/>
      <c r="Y423" s="263"/>
      <c r="Z423" s="263"/>
      <c r="AA423" s="263"/>
      <c r="AB423" s="263"/>
      <c r="AC423" s="263"/>
      <c r="AD423" s="263"/>
      <c r="AE423" s="263"/>
      <c r="AF423" s="418"/>
      <c r="AG423" s="263"/>
      <c r="AH423" s="263"/>
      <c r="AI423" s="263"/>
    </row>
    <row r="424" spans="1:35" ht="15" customHeight="1">
      <c r="A424" s="69"/>
      <c r="B424" s="418"/>
      <c r="C424" s="263"/>
      <c r="E424" s="263"/>
      <c r="F424" s="263"/>
      <c r="G424" s="418"/>
      <c r="H424" s="263"/>
      <c r="I424" s="263"/>
      <c r="J424" s="263"/>
      <c r="K424" s="263"/>
      <c r="L424" s="563"/>
      <c r="M424" s="263"/>
      <c r="N424" s="263"/>
      <c r="O424" s="263"/>
      <c r="P424" s="265"/>
      <c r="Q424" s="263"/>
      <c r="R424" s="263"/>
      <c r="S424" s="263"/>
      <c r="T424" s="263"/>
      <c r="U424" s="263"/>
      <c r="V424" s="263"/>
      <c r="W424" s="263"/>
      <c r="X424" s="263"/>
      <c r="Y424" s="263"/>
      <c r="Z424" s="263"/>
      <c r="AA424" s="263"/>
      <c r="AB424" s="263"/>
      <c r="AC424" s="263"/>
      <c r="AD424" s="263"/>
      <c r="AE424" s="263"/>
      <c r="AF424" s="418"/>
      <c r="AG424" s="263"/>
      <c r="AH424" s="263"/>
      <c r="AI424" s="263"/>
    </row>
    <row r="425" spans="1:35" ht="15" customHeight="1">
      <c r="A425" s="69"/>
      <c r="B425" s="418"/>
      <c r="C425" s="263"/>
      <c r="E425" s="263"/>
      <c r="F425" s="263"/>
      <c r="G425" s="418"/>
      <c r="H425" s="263"/>
      <c r="I425" s="263"/>
      <c r="J425" s="263"/>
      <c r="K425" s="263"/>
      <c r="L425" s="563"/>
      <c r="M425" s="263"/>
      <c r="N425" s="263"/>
      <c r="O425" s="263"/>
      <c r="P425" s="265"/>
      <c r="Q425" s="263"/>
      <c r="R425" s="263"/>
      <c r="S425" s="263"/>
      <c r="T425" s="263"/>
      <c r="U425" s="263"/>
      <c r="V425" s="263"/>
      <c r="W425" s="263"/>
      <c r="X425" s="263"/>
      <c r="Y425" s="263"/>
      <c r="Z425" s="263"/>
      <c r="AA425" s="263"/>
      <c r="AB425" s="263"/>
      <c r="AC425" s="263"/>
      <c r="AD425" s="263"/>
      <c r="AE425" s="263"/>
      <c r="AF425" s="418"/>
      <c r="AG425" s="263"/>
      <c r="AH425" s="263"/>
      <c r="AI425" s="263"/>
    </row>
    <row r="426" spans="1:35" ht="15" customHeight="1">
      <c r="A426" s="69"/>
      <c r="B426" s="418"/>
      <c r="C426" s="263"/>
      <c r="E426" s="263"/>
      <c r="F426" s="263"/>
      <c r="G426" s="418"/>
      <c r="H426" s="263"/>
      <c r="I426" s="263"/>
      <c r="J426" s="263"/>
      <c r="K426" s="263"/>
      <c r="L426" s="563"/>
      <c r="M426" s="263"/>
      <c r="N426" s="263"/>
      <c r="O426" s="263"/>
      <c r="P426" s="265"/>
      <c r="Q426" s="263"/>
      <c r="R426" s="263"/>
      <c r="S426" s="263"/>
      <c r="T426" s="263"/>
      <c r="U426" s="263"/>
      <c r="V426" s="263"/>
      <c r="W426" s="263"/>
      <c r="X426" s="263"/>
      <c r="Y426" s="263"/>
      <c r="Z426" s="263"/>
      <c r="AA426" s="263"/>
      <c r="AB426" s="263"/>
      <c r="AC426" s="263"/>
      <c r="AD426" s="263"/>
      <c r="AE426" s="263"/>
      <c r="AF426" s="418"/>
      <c r="AG426" s="263"/>
      <c r="AH426" s="263"/>
      <c r="AI426" s="263"/>
    </row>
    <row r="427" spans="1:35" ht="15" customHeight="1">
      <c r="A427" s="69"/>
      <c r="B427" s="418"/>
      <c r="C427" s="263"/>
      <c r="E427" s="263"/>
      <c r="F427" s="263"/>
      <c r="G427" s="418"/>
      <c r="H427" s="263"/>
      <c r="I427" s="263"/>
      <c r="J427" s="263"/>
      <c r="K427" s="263"/>
      <c r="L427" s="563"/>
      <c r="M427" s="263"/>
      <c r="N427" s="263"/>
      <c r="O427" s="263"/>
      <c r="P427" s="265"/>
      <c r="Q427" s="263"/>
      <c r="R427" s="263"/>
      <c r="S427" s="263"/>
      <c r="T427" s="263"/>
      <c r="U427" s="263"/>
      <c r="V427" s="263"/>
      <c r="W427" s="263"/>
      <c r="X427" s="263"/>
      <c r="Y427" s="263"/>
      <c r="Z427" s="263"/>
      <c r="AA427" s="263"/>
      <c r="AB427" s="263"/>
      <c r="AC427" s="263"/>
      <c r="AD427" s="263"/>
      <c r="AE427" s="263"/>
      <c r="AF427" s="418"/>
      <c r="AG427" s="263"/>
      <c r="AH427" s="263"/>
      <c r="AI427" s="263"/>
    </row>
    <row r="428" spans="1:35" ht="15" customHeight="1">
      <c r="A428" s="69"/>
      <c r="B428" s="418"/>
      <c r="C428" s="263"/>
      <c r="E428" s="263"/>
      <c r="F428" s="263"/>
      <c r="G428" s="418"/>
      <c r="H428" s="263"/>
      <c r="I428" s="263"/>
      <c r="J428" s="263"/>
      <c r="K428" s="263"/>
      <c r="L428" s="563"/>
      <c r="M428" s="263"/>
      <c r="N428" s="263"/>
      <c r="O428" s="263"/>
      <c r="P428" s="265"/>
      <c r="Q428" s="263"/>
      <c r="R428" s="263"/>
      <c r="S428" s="263"/>
      <c r="T428" s="263"/>
      <c r="U428" s="263"/>
      <c r="V428" s="263"/>
      <c r="W428" s="263"/>
      <c r="X428" s="263"/>
      <c r="Y428" s="263"/>
      <c r="Z428" s="263"/>
      <c r="AA428" s="263"/>
      <c r="AB428" s="263"/>
      <c r="AC428" s="263"/>
      <c r="AD428" s="263"/>
      <c r="AE428" s="263"/>
      <c r="AF428" s="418"/>
      <c r="AG428" s="263"/>
      <c r="AH428" s="263"/>
      <c r="AI428" s="263"/>
    </row>
    <row r="429" spans="1:35" ht="15" customHeight="1">
      <c r="A429" s="69"/>
      <c r="B429" s="418"/>
      <c r="C429" s="263"/>
      <c r="E429" s="263"/>
      <c r="F429" s="263"/>
      <c r="G429" s="418"/>
      <c r="H429" s="263"/>
      <c r="I429" s="263"/>
      <c r="J429" s="263"/>
      <c r="K429" s="263"/>
      <c r="L429" s="563"/>
      <c r="M429" s="263"/>
      <c r="N429" s="263"/>
      <c r="O429" s="263"/>
      <c r="P429" s="265"/>
      <c r="Q429" s="263"/>
      <c r="R429" s="263"/>
      <c r="S429" s="263"/>
      <c r="T429" s="263"/>
      <c r="U429" s="263"/>
      <c r="V429" s="263"/>
      <c r="W429" s="263"/>
      <c r="X429" s="263"/>
      <c r="Y429" s="263"/>
      <c r="Z429" s="263"/>
      <c r="AA429" s="263"/>
      <c r="AB429" s="263"/>
      <c r="AC429" s="263"/>
      <c r="AD429" s="263"/>
      <c r="AE429" s="263"/>
      <c r="AF429" s="418"/>
      <c r="AG429" s="263"/>
      <c r="AH429" s="263"/>
      <c r="AI429" s="263"/>
    </row>
    <row r="430" spans="1:35" ht="15" customHeight="1">
      <c r="A430" s="69"/>
      <c r="B430" s="418"/>
      <c r="C430" s="263"/>
      <c r="E430" s="263"/>
      <c r="F430" s="263"/>
      <c r="G430" s="418"/>
      <c r="H430" s="263"/>
      <c r="I430" s="263"/>
      <c r="J430" s="263"/>
      <c r="K430" s="263"/>
      <c r="L430" s="563"/>
      <c r="M430" s="263"/>
      <c r="N430" s="263"/>
      <c r="O430" s="263"/>
      <c r="P430" s="265"/>
      <c r="Q430" s="263"/>
      <c r="R430" s="263"/>
      <c r="S430" s="263"/>
      <c r="T430" s="263"/>
      <c r="U430" s="263"/>
      <c r="V430" s="263"/>
      <c r="W430" s="263"/>
      <c r="X430" s="263"/>
      <c r="Y430" s="263"/>
      <c r="Z430" s="263"/>
      <c r="AA430" s="263"/>
      <c r="AB430" s="263"/>
      <c r="AC430" s="263"/>
      <c r="AD430" s="263"/>
      <c r="AE430" s="263"/>
      <c r="AF430" s="418"/>
      <c r="AG430" s="263"/>
      <c r="AH430" s="263"/>
      <c r="AI430" s="263"/>
    </row>
    <row r="431" spans="1:35" ht="15" customHeight="1">
      <c r="A431" s="69"/>
      <c r="B431" s="418"/>
      <c r="C431" s="263"/>
      <c r="E431" s="263"/>
      <c r="F431" s="263"/>
      <c r="G431" s="418"/>
      <c r="H431" s="263"/>
      <c r="I431" s="263"/>
      <c r="J431" s="263"/>
      <c r="K431" s="263"/>
      <c r="L431" s="563"/>
      <c r="M431" s="263"/>
      <c r="N431" s="263"/>
      <c r="O431" s="263"/>
      <c r="P431" s="265"/>
      <c r="Q431" s="263"/>
      <c r="R431" s="263"/>
      <c r="S431" s="263"/>
      <c r="T431" s="263"/>
      <c r="U431" s="263"/>
      <c r="V431" s="263"/>
      <c r="W431" s="263"/>
      <c r="X431" s="263"/>
      <c r="Y431" s="263"/>
      <c r="Z431" s="263"/>
      <c r="AA431" s="263"/>
      <c r="AB431" s="263"/>
      <c r="AC431" s="263"/>
      <c r="AD431" s="263"/>
      <c r="AE431" s="263"/>
      <c r="AF431" s="418"/>
      <c r="AG431" s="263"/>
      <c r="AH431" s="263"/>
      <c r="AI431" s="263"/>
    </row>
    <row r="432" spans="1:35" ht="15" customHeight="1">
      <c r="A432" s="69"/>
      <c r="B432" s="418"/>
      <c r="C432" s="263"/>
      <c r="E432" s="263"/>
      <c r="F432" s="263"/>
      <c r="G432" s="418"/>
      <c r="H432" s="263"/>
      <c r="I432" s="263"/>
      <c r="J432" s="263"/>
      <c r="K432" s="263"/>
      <c r="L432" s="563"/>
      <c r="M432" s="263"/>
      <c r="N432" s="263"/>
      <c r="O432" s="263"/>
      <c r="P432" s="265"/>
      <c r="Q432" s="263"/>
      <c r="R432" s="263"/>
      <c r="S432" s="263"/>
      <c r="T432" s="263"/>
      <c r="U432" s="263"/>
      <c r="V432" s="263"/>
      <c r="W432" s="263"/>
      <c r="X432" s="263"/>
      <c r="Y432" s="263"/>
      <c r="Z432" s="263"/>
      <c r="AA432" s="263"/>
      <c r="AB432" s="263"/>
      <c r="AC432" s="263"/>
      <c r="AD432" s="263"/>
      <c r="AE432" s="263"/>
      <c r="AF432" s="418"/>
      <c r="AG432" s="263"/>
      <c r="AH432" s="263"/>
      <c r="AI432" s="263"/>
    </row>
    <row r="433" spans="1:35" ht="15" customHeight="1">
      <c r="A433" s="69"/>
      <c r="B433" s="418"/>
      <c r="C433" s="263"/>
      <c r="E433" s="263"/>
      <c r="F433" s="263"/>
      <c r="G433" s="418"/>
      <c r="H433" s="263"/>
      <c r="I433" s="263"/>
      <c r="J433" s="263"/>
      <c r="K433" s="263"/>
      <c r="L433" s="563"/>
      <c r="M433" s="263"/>
      <c r="N433" s="263"/>
      <c r="O433" s="263"/>
      <c r="P433" s="265"/>
      <c r="Q433" s="263"/>
      <c r="R433" s="263"/>
      <c r="S433" s="263"/>
      <c r="T433" s="263"/>
      <c r="U433" s="263"/>
      <c r="V433" s="263"/>
      <c r="W433" s="263"/>
      <c r="X433" s="263"/>
      <c r="Y433" s="263"/>
      <c r="Z433" s="263"/>
      <c r="AA433" s="263"/>
      <c r="AB433" s="263"/>
      <c r="AC433" s="263"/>
      <c r="AD433" s="263"/>
      <c r="AE433" s="263"/>
      <c r="AF433" s="418"/>
      <c r="AG433" s="263"/>
      <c r="AH433" s="263"/>
      <c r="AI433" s="263"/>
    </row>
    <row r="434" spans="1:35" ht="15" customHeight="1">
      <c r="A434" s="69"/>
      <c r="B434" s="418"/>
      <c r="C434" s="263"/>
      <c r="E434" s="263"/>
      <c r="F434" s="263"/>
      <c r="G434" s="418"/>
      <c r="H434" s="263"/>
      <c r="I434" s="263"/>
      <c r="J434" s="263"/>
      <c r="K434" s="263"/>
      <c r="L434" s="563"/>
      <c r="M434" s="263"/>
      <c r="N434" s="263"/>
      <c r="O434" s="263"/>
      <c r="P434" s="265"/>
      <c r="Q434" s="263"/>
      <c r="R434" s="263"/>
      <c r="S434" s="263"/>
      <c r="T434" s="263"/>
      <c r="U434" s="263"/>
      <c r="V434" s="263"/>
      <c r="W434" s="263"/>
      <c r="X434" s="263"/>
      <c r="Y434" s="263"/>
      <c r="Z434" s="263"/>
      <c r="AA434" s="263"/>
      <c r="AB434" s="263"/>
      <c r="AC434" s="263"/>
      <c r="AD434" s="263"/>
      <c r="AE434" s="263"/>
      <c r="AF434" s="418"/>
      <c r="AG434" s="263"/>
      <c r="AH434" s="263"/>
      <c r="AI434" s="263"/>
    </row>
    <row r="435" spans="1:35" ht="15" customHeight="1">
      <c r="A435" s="69"/>
      <c r="B435" s="418"/>
      <c r="C435" s="263"/>
      <c r="E435" s="263"/>
      <c r="F435" s="263"/>
      <c r="G435" s="418"/>
      <c r="H435" s="263"/>
      <c r="I435" s="263"/>
      <c r="J435" s="263"/>
      <c r="K435" s="263"/>
      <c r="L435" s="563"/>
      <c r="M435" s="263"/>
      <c r="N435" s="263"/>
      <c r="O435" s="263"/>
      <c r="P435" s="265"/>
      <c r="Q435" s="263"/>
      <c r="R435" s="263"/>
      <c r="S435" s="263"/>
      <c r="T435" s="263"/>
      <c r="U435" s="263"/>
      <c r="V435" s="263"/>
      <c r="W435" s="263"/>
      <c r="X435" s="263"/>
      <c r="Y435" s="263"/>
      <c r="Z435" s="263"/>
      <c r="AA435" s="263"/>
      <c r="AB435" s="263"/>
      <c r="AC435" s="263"/>
      <c r="AD435" s="263"/>
      <c r="AE435" s="263"/>
      <c r="AF435" s="418"/>
      <c r="AG435" s="263"/>
      <c r="AH435" s="263"/>
      <c r="AI435" s="263"/>
    </row>
    <row r="436" spans="1:35" ht="15" customHeight="1">
      <c r="A436" s="69"/>
      <c r="B436" s="418"/>
      <c r="C436" s="263"/>
      <c r="E436" s="263"/>
      <c r="F436" s="263"/>
      <c r="G436" s="418"/>
      <c r="H436" s="263"/>
      <c r="I436" s="263"/>
      <c r="J436" s="263"/>
      <c r="K436" s="263"/>
      <c r="L436" s="563"/>
      <c r="M436" s="263"/>
      <c r="N436" s="263"/>
      <c r="O436" s="263"/>
      <c r="P436" s="265"/>
      <c r="Q436" s="263"/>
      <c r="R436" s="263"/>
      <c r="S436" s="263"/>
      <c r="T436" s="263"/>
      <c r="U436" s="263"/>
      <c r="V436" s="263"/>
      <c r="W436" s="263"/>
      <c r="X436" s="263"/>
      <c r="Y436" s="263"/>
      <c r="Z436" s="263"/>
      <c r="AA436" s="263"/>
      <c r="AB436" s="263"/>
      <c r="AC436" s="263"/>
      <c r="AD436" s="263"/>
      <c r="AE436" s="263"/>
      <c r="AF436" s="418"/>
      <c r="AG436" s="263"/>
      <c r="AH436" s="263"/>
      <c r="AI436" s="263"/>
    </row>
    <row r="437" spans="1:35" ht="15" customHeight="1">
      <c r="A437" s="69"/>
      <c r="B437" s="418"/>
      <c r="C437" s="263"/>
      <c r="E437" s="263"/>
      <c r="F437" s="263"/>
      <c r="G437" s="418"/>
      <c r="H437" s="263"/>
      <c r="I437" s="263"/>
      <c r="J437" s="263"/>
      <c r="K437" s="263"/>
      <c r="L437" s="563"/>
      <c r="M437" s="263"/>
      <c r="N437" s="263"/>
      <c r="O437" s="263"/>
      <c r="P437" s="265"/>
      <c r="Q437" s="263"/>
      <c r="R437" s="263"/>
      <c r="S437" s="263"/>
      <c r="T437" s="263"/>
      <c r="U437" s="263"/>
      <c r="V437" s="263"/>
      <c r="W437" s="263"/>
      <c r="X437" s="263"/>
      <c r="Y437" s="263"/>
      <c r="Z437" s="263"/>
      <c r="AA437" s="263"/>
      <c r="AB437" s="263"/>
      <c r="AC437" s="263"/>
      <c r="AD437" s="263"/>
      <c r="AE437" s="263"/>
      <c r="AF437" s="418"/>
      <c r="AG437" s="263"/>
      <c r="AH437" s="263"/>
      <c r="AI437" s="263"/>
    </row>
    <row r="438" spans="1:35" ht="15" customHeight="1">
      <c r="A438" s="69"/>
      <c r="B438" s="418"/>
      <c r="C438" s="263"/>
      <c r="E438" s="263"/>
      <c r="F438" s="263"/>
      <c r="G438" s="418"/>
      <c r="H438" s="263"/>
      <c r="I438" s="263"/>
      <c r="J438" s="263"/>
      <c r="K438" s="263"/>
      <c r="L438" s="563"/>
      <c r="M438" s="263"/>
      <c r="N438" s="263"/>
      <c r="O438" s="263"/>
      <c r="P438" s="265"/>
      <c r="Q438" s="263"/>
      <c r="R438" s="263"/>
      <c r="S438" s="263"/>
      <c r="T438" s="263"/>
      <c r="U438" s="263"/>
      <c r="V438" s="263"/>
      <c r="W438" s="263"/>
      <c r="X438" s="263"/>
      <c r="Y438" s="263"/>
      <c r="Z438" s="263"/>
      <c r="AA438" s="263"/>
      <c r="AB438" s="263"/>
      <c r="AC438" s="263"/>
      <c r="AD438" s="263"/>
      <c r="AE438" s="263"/>
      <c r="AF438" s="418"/>
      <c r="AG438" s="263"/>
      <c r="AH438" s="263"/>
      <c r="AI438" s="263"/>
    </row>
    <row r="439" spans="1:35" ht="15" customHeight="1">
      <c r="A439" s="69"/>
      <c r="B439" s="418"/>
      <c r="C439" s="263"/>
      <c r="E439" s="263"/>
      <c r="F439" s="263"/>
      <c r="G439" s="418"/>
      <c r="H439" s="263"/>
      <c r="I439" s="263"/>
      <c r="J439" s="263"/>
      <c r="K439" s="263"/>
      <c r="L439" s="563"/>
      <c r="M439" s="263"/>
      <c r="N439" s="263"/>
      <c r="O439" s="263"/>
      <c r="P439" s="265"/>
      <c r="Q439" s="263"/>
      <c r="R439" s="263"/>
      <c r="S439" s="263"/>
      <c r="T439" s="263"/>
      <c r="U439" s="263"/>
      <c r="V439" s="263"/>
      <c r="W439" s="263"/>
      <c r="X439" s="263"/>
      <c r="Y439" s="263"/>
      <c r="Z439" s="263"/>
      <c r="AA439" s="263"/>
      <c r="AB439" s="263"/>
      <c r="AC439" s="263"/>
      <c r="AD439" s="263"/>
      <c r="AE439" s="263"/>
      <c r="AF439" s="418"/>
      <c r="AG439" s="263"/>
      <c r="AH439" s="263"/>
      <c r="AI439" s="263"/>
    </row>
    <row r="440" spans="1:35" ht="15" customHeight="1">
      <c r="A440" s="69"/>
      <c r="B440" s="418"/>
      <c r="C440" s="263"/>
      <c r="E440" s="263"/>
      <c r="F440" s="263"/>
      <c r="G440" s="418"/>
      <c r="H440" s="263"/>
      <c r="I440" s="263"/>
      <c r="J440" s="263"/>
      <c r="K440" s="263"/>
      <c r="L440" s="563"/>
      <c r="M440" s="263"/>
      <c r="N440" s="263"/>
      <c r="O440" s="263"/>
      <c r="P440" s="265"/>
      <c r="Q440" s="263"/>
      <c r="R440" s="263"/>
      <c r="S440" s="263"/>
      <c r="T440" s="263"/>
      <c r="U440" s="263"/>
      <c r="V440" s="263"/>
      <c r="W440" s="263"/>
      <c r="X440" s="263"/>
      <c r="Y440" s="263"/>
      <c r="Z440" s="263"/>
      <c r="AA440" s="263"/>
      <c r="AB440" s="263"/>
      <c r="AC440" s="263"/>
      <c r="AD440" s="263"/>
      <c r="AE440" s="263"/>
      <c r="AF440" s="418"/>
      <c r="AG440" s="263"/>
      <c r="AH440" s="263"/>
      <c r="AI440" s="263"/>
    </row>
    <row r="441" spans="1:35" ht="15" customHeight="1">
      <c r="A441" s="69"/>
      <c r="B441" s="418"/>
      <c r="C441" s="263"/>
      <c r="E441" s="263"/>
      <c r="F441" s="263"/>
      <c r="G441" s="418"/>
      <c r="H441" s="263"/>
      <c r="I441" s="263"/>
      <c r="J441" s="263"/>
      <c r="K441" s="263"/>
      <c r="L441" s="563"/>
      <c r="M441" s="263"/>
      <c r="N441" s="263"/>
      <c r="O441" s="263"/>
      <c r="P441" s="265"/>
      <c r="Q441" s="263"/>
      <c r="R441" s="263"/>
      <c r="S441" s="263"/>
      <c r="T441" s="263"/>
      <c r="U441" s="263"/>
      <c r="V441" s="263"/>
      <c r="W441" s="263"/>
      <c r="X441" s="263"/>
      <c r="Y441" s="263"/>
      <c r="Z441" s="263"/>
      <c r="AA441" s="263"/>
      <c r="AB441" s="263"/>
      <c r="AC441" s="263"/>
      <c r="AD441" s="263"/>
      <c r="AE441" s="263"/>
      <c r="AF441" s="418"/>
      <c r="AG441" s="263"/>
      <c r="AH441" s="263"/>
      <c r="AI441" s="263"/>
    </row>
    <row r="442" spans="1:35" ht="15" customHeight="1">
      <c r="A442" s="69"/>
      <c r="B442" s="418"/>
      <c r="C442" s="263"/>
      <c r="E442" s="263"/>
      <c r="F442" s="263"/>
      <c r="G442" s="418"/>
      <c r="H442" s="263"/>
      <c r="I442" s="263"/>
      <c r="J442" s="263"/>
      <c r="K442" s="263"/>
      <c r="L442" s="563"/>
      <c r="M442" s="263"/>
      <c r="N442" s="263"/>
      <c r="O442" s="263"/>
      <c r="P442" s="265"/>
      <c r="Q442" s="263"/>
      <c r="R442" s="263"/>
      <c r="S442" s="263"/>
      <c r="T442" s="263"/>
      <c r="U442" s="263"/>
      <c r="V442" s="263"/>
      <c r="W442" s="263"/>
      <c r="X442" s="263"/>
      <c r="Y442" s="263"/>
      <c r="Z442" s="263"/>
      <c r="AA442" s="263"/>
      <c r="AB442" s="263"/>
      <c r="AC442" s="263"/>
      <c r="AD442" s="263"/>
      <c r="AE442" s="263"/>
      <c r="AF442" s="418"/>
      <c r="AG442" s="263"/>
      <c r="AH442" s="263"/>
      <c r="AI442" s="263"/>
    </row>
    <row r="443" spans="1:35" ht="15" customHeight="1">
      <c r="A443" s="69"/>
      <c r="B443" s="418"/>
      <c r="C443" s="263"/>
      <c r="E443" s="263"/>
      <c r="F443" s="263"/>
      <c r="G443" s="418"/>
      <c r="H443" s="263"/>
      <c r="I443" s="263"/>
      <c r="J443" s="263"/>
      <c r="K443" s="263"/>
      <c r="L443" s="563"/>
      <c r="M443" s="263"/>
      <c r="N443" s="263"/>
      <c r="O443" s="263"/>
      <c r="P443" s="265"/>
      <c r="Q443" s="263"/>
      <c r="R443" s="263"/>
      <c r="S443" s="263"/>
      <c r="T443" s="263"/>
      <c r="U443" s="263"/>
      <c r="V443" s="263"/>
      <c r="W443" s="263"/>
      <c r="X443" s="263"/>
      <c r="Y443" s="263"/>
      <c r="Z443" s="263"/>
      <c r="AA443" s="263"/>
      <c r="AB443" s="263"/>
      <c r="AC443" s="263"/>
      <c r="AD443" s="263"/>
      <c r="AE443" s="263"/>
      <c r="AF443" s="418"/>
      <c r="AG443" s="263"/>
      <c r="AH443" s="263"/>
      <c r="AI443" s="263"/>
    </row>
    <row r="444" spans="1:35" ht="15" customHeight="1">
      <c r="A444" s="69"/>
      <c r="B444" s="418"/>
      <c r="C444" s="263"/>
      <c r="E444" s="263"/>
      <c r="F444" s="263"/>
      <c r="G444" s="418"/>
      <c r="H444" s="263"/>
      <c r="I444" s="263"/>
      <c r="J444" s="263"/>
      <c r="K444" s="263"/>
      <c r="L444" s="563"/>
      <c r="M444" s="263"/>
      <c r="N444" s="263"/>
      <c r="O444" s="263"/>
      <c r="P444" s="265"/>
      <c r="Q444" s="263"/>
      <c r="R444" s="263"/>
      <c r="S444" s="263"/>
      <c r="T444" s="263"/>
      <c r="U444" s="263"/>
      <c r="V444" s="263"/>
      <c r="W444" s="263"/>
      <c r="X444" s="263"/>
      <c r="Y444" s="263"/>
      <c r="Z444" s="263"/>
      <c r="AA444" s="263"/>
      <c r="AB444" s="263"/>
      <c r="AC444" s="263"/>
      <c r="AD444" s="263"/>
      <c r="AE444" s="263"/>
      <c r="AF444" s="418"/>
      <c r="AG444" s="263"/>
      <c r="AH444" s="263"/>
      <c r="AI444" s="263"/>
    </row>
    <row r="445" spans="1:35" ht="15" customHeight="1">
      <c r="A445" s="69"/>
      <c r="B445" s="418"/>
      <c r="C445" s="263"/>
      <c r="E445" s="263"/>
      <c r="F445" s="263"/>
      <c r="G445" s="418"/>
      <c r="H445" s="263"/>
      <c r="I445" s="263"/>
      <c r="J445" s="263"/>
      <c r="K445" s="263"/>
      <c r="L445" s="563"/>
      <c r="M445" s="263"/>
      <c r="N445" s="263"/>
      <c r="O445" s="263"/>
      <c r="P445" s="265"/>
      <c r="Q445" s="263"/>
      <c r="R445" s="263"/>
      <c r="S445" s="263"/>
      <c r="T445" s="263"/>
      <c r="U445" s="263"/>
      <c r="V445" s="263"/>
      <c r="W445" s="263"/>
      <c r="X445" s="263"/>
      <c r="Y445" s="263"/>
      <c r="Z445" s="263"/>
      <c r="AA445" s="263"/>
      <c r="AB445" s="263"/>
      <c r="AC445" s="263"/>
      <c r="AD445" s="263"/>
      <c r="AE445" s="263"/>
      <c r="AF445" s="418"/>
      <c r="AG445" s="263"/>
      <c r="AH445" s="263"/>
      <c r="AI445" s="263"/>
    </row>
    <row r="446" spans="1:35" ht="15" customHeight="1">
      <c r="A446" s="69"/>
      <c r="B446" s="418"/>
      <c r="C446" s="263"/>
      <c r="E446" s="263"/>
      <c r="F446" s="263"/>
      <c r="G446" s="418"/>
      <c r="H446" s="263"/>
      <c r="I446" s="263"/>
      <c r="J446" s="263"/>
      <c r="K446" s="263"/>
      <c r="L446" s="563"/>
      <c r="M446" s="263"/>
      <c r="N446" s="263"/>
      <c r="O446" s="263"/>
      <c r="P446" s="265"/>
      <c r="Q446" s="263"/>
      <c r="R446" s="263"/>
      <c r="S446" s="263"/>
      <c r="T446" s="263"/>
      <c r="U446" s="263"/>
      <c r="V446" s="263"/>
      <c r="W446" s="263"/>
      <c r="X446" s="263"/>
      <c r="Y446" s="263"/>
      <c r="Z446" s="263"/>
      <c r="AA446" s="263"/>
      <c r="AB446" s="263"/>
      <c r="AC446" s="263"/>
      <c r="AD446" s="263"/>
      <c r="AE446" s="263"/>
      <c r="AF446" s="418"/>
      <c r="AG446" s="263"/>
      <c r="AH446" s="263"/>
      <c r="AI446" s="263"/>
    </row>
    <row r="447" spans="1:35" ht="15" customHeight="1">
      <c r="A447" s="69"/>
      <c r="B447" s="418"/>
      <c r="C447" s="263"/>
      <c r="E447" s="263"/>
      <c r="F447" s="263"/>
      <c r="G447" s="418"/>
      <c r="H447" s="263"/>
      <c r="I447" s="263"/>
      <c r="J447" s="263"/>
      <c r="K447" s="263"/>
      <c r="L447" s="563"/>
      <c r="M447" s="263"/>
      <c r="N447" s="263"/>
      <c r="O447" s="263"/>
      <c r="P447" s="265"/>
      <c r="Q447" s="263"/>
      <c r="R447" s="263"/>
      <c r="S447" s="263"/>
      <c r="T447" s="263"/>
      <c r="U447" s="263"/>
      <c r="V447" s="263"/>
      <c r="W447" s="263"/>
      <c r="X447" s="263"/>
      <c r="Y447" s="263"/>
      <c r="Z447" s="263"/>
      <c r="AA447" s="263"/>
      <c r="AB447" s="263"/>
      <c r="AC447" s="263"/>
      <c r="AD447" s="263"/>
      <c r="AE447" s="263"/>
      <c r="AF447" s="418"/>
      <c r="AG447" s="263"/>
      <c r="AH447" s="263"/>
      <c r="AI447" s="263"/>
    </row>
    <row r="448" spans="1:35" ht="15" customHeight="1">
      <c r="A448" s="69"/>
      <c r="B448" s="418"/>
      <c r="C448" s="263"/>
      <c r="E448" s="263"/>
      <c r="F448" s="263"/>
      <c r="G448" s="418"/>
      <c r="H448" s="263"/>
      <c r="I448" s="263"/>
      <c r="J448" s="263"/>
      <c r="K448" s="263"/>
      <c r="L448" s="563"/>
      <c r="M448" s="263"/>
      <c r="N448" s="263"/>
      <c r="O448" s="263"/>
      <c r="P448" s="265"/>
      <c r="Q448" s="263"/>
      <c r="R448" s="263"/>
      <c r="S448" s="263"/>
      <c r="T448" s="263"/>
      <c r="U448" s="263"/>
      <c r="V448" s="263"/>
      <c r="W448" s="263"/>
      <c r="X448" s="263"/>
      <c r="Y448" s="263"/>
      <c r="Z448" s="263"/>
      <c r="AA448" s="263"/>
      <c r="AB448" s="263"/>
      <c r="AC448" s="263"/>
      <c r="AD448" s="263"/>
      <c r="AE448" s="263"/>
      <c r="AF448" s="418"/>
      <c r="AG448" s="263"/>
      <c r="AH448" s="263"/>
      <c r="AI448" s="263"/>
    </row>
    <row r="449" spans="1:35" ht="15" customHeight="1">
      <c r="A449" s="69"/>
      <c r="B449" s="418"/>
      <c r="C449" s="263"/>
      <c r="E449" s="263"/>
      <c r="F449" s="263"/>
      <c r="G449" s="418"/>
      <c r="H449" s="263"/>
      <c r="I449" s="263"/>
      <c r="J449" s="263"/>
      <c r="K449" s="263"/>
      <c r="L449" s="563"/>
      <c r="M449" s="263"/>
      <c r="N449" s="263"/>
      <c r="O449" s="263"/>
      <c r="P449" s="265"/>
      <c r="Q449" s="263"/>
      <c r="R449" s="263"/>
      <c r="S449" s="263"/>
      <c r="T449" s="263"/>
      <c r="U449" s="263"/>
      <c r="V449" s="263"/>
      <c r="W449" s="263"/>
      <c r="X449" s="263"/>
      <c r="Y449" s="263"/>
      <c r="Z449" s="263"/>
      <c r="AA449" s="263"/>
      <c r="AB449" s="263"/>
      <c r="AC449" s="263"/>
      <c r="AD449" s="263"/>
      <c r="AE449" s="263"/>
      <c r="AF449" s="418"/>
      <c r="AG449" s="263"/>
      <c r="AH449" s="263"/>
      <c r="AI449" s="263"/>
    </row>
    <row r="450" spans="1:35" ht="15" customHeight="1">
      <c r="A450" s="69"/>
      <c r="B450" s="418"/>
      <c r="C450" s="263"/>
      <c r="E450" s="263"/>
      <c r="F450" s="263"/>
      <c r="G450" s="418"/>
      <c r="H450" s="263"/>
      <c r="I450" s="263"/>
      <c r="J450" s="263"/>
      <c r="K450" s="263"/>
      <c r="L450" s="563"/>
      <c r="M450" s="263"/>
      <c r="N450" s="263"/>
      <c r="O450" s="263"/>
      <c r="P450" s="265"/>
      <c r="Q450" s="263"/>
      <c r="R450" s="263"/>
      <c r="S450" s="263"/>
      <c r="T450" s="263"/>
      <c r="U450" s="263"/>
      <c r="V450" s="263"/>
      <c r="W450" s="263"/>
      <c r="X450" s="263"/>
      <c r="Y450" s="263"/>
      <c r="Z450" s="263"/>
      <c r="AA450" s="263"/>
      <c r="AB450" s="263"/>
      <c r="AC450" s="263"/>
      <c r="AD450" s="263"/>
      <c r="AE450" s="263"/>
      <c r="AF450" s="418"/>
      <c r="AG450" s="263"/>
      <c r="AH450" s="263"/>
      <c r="AI450" s="263"/>
    </row>
    <row r="451" spans="1:35" ht="15" customHeight="1">
      <c r="A451" s="69"/>
      <c r="B451" s="418"/>
      <c r="C451" s="263"/>
      <c r="E451" s="263"/>
      <c r="F451" s="263"/>
      <c r="G451" s="418"/>
      <c r="H451" s="263"/>
      <c r="I451" s="263"/>
      <c r="J451" s="263"/>
      <c r="K451" s="263"/>
      <c r="L451" s="563"/>
      <c r="M451" s="263"/>
      <c r="N451" s="263"/>
      <c r="O451" s="263"/>
      <c r="P451" s="265"/>
      <c r="Q451" s="263"/>
      <c r="R451" s="263"/>
      <c r="S451" s="263"/>
      <c r="T451" s="263"/>
      <c r="U451" s="263"/>
      <c r="V451" s="263"/>
      <c r="W451" s="263"/>
      <c r="X451" s="263"/>
      <c r="Y451" s="263"/>
      <c r="Z451" s="263"/>
      <c r="AA451" s="263"/>
      <c r="AB451" s="263"/>
      <c r="AC451" s="263"/>
      <c r="AD451" s="263"/>
      <c r="AE451" s="263"/>
      <c r="AF451" s="418"/>
      <c r="AG451" s="263"/>
      <c r="AH451" s="263"/>
      <c r="AI451" s="263"/>
    </row>
    <row r="452" spans="1:35" ht="15" customHeight="1">
      <c r="A452" s="69"/>
      <c r="B452" s="418"/>
      <c r="C452" s="263"/>
      <c r="E452" s="263"/>
      <c r="F452" s="263"/>
      <c r="G452" s="418"/>
      <c r="H452" s="263"/>
      <c r="I452" s="263"/>
      <c r="J452" s="263"/>
      <c r="K452" s="263"/>
      <c r="L452" s="563"/>
      <c r="M452" s="263"/>
      <c r="N452" s="263"/>
      <c r="O452" s="263"/>
      <c r="P452" s="265"/>
      <c r="Q452" s="263"/>
      <c r="R452" s="263"/>
      <c r="S452" s="263"/>
      <c r="T452" s="263"/>
      <c r="U452" s="263"/>
      <c r="V452" s="263"/>
      <c r="W452" s="263"/>
      <c r="X452" s="263"/>
      <c r="Y452" s="263"/>
      <c r="Z452" s="263"/>
      <c r="AA452" s="263"/>
      <c r="AB452" s="263"/>
      <c r="AC452" s="263"/>
      <c r="AD452" s="263"/>
      <c r="AE452" s="263"/>
      <c r="AF452" s="418"/>
      <c r="AG452" s="263"/>
      <c r="AH452" s="263"/>
      <c r="AI452" s="263"/>
    </row>
    <row r="453" spans="1:35" ht="15" customHeight="1">
      <c r="A453" s="69"/>
      <c r="B453" s="418"/>
      <c r="C453" s="263"/>
      <c r="E453" s="263"/>
      <c r="F453" s="263"/>
      <c r="G453" s="418"/>
      <c r="H453" s="263"/>
      <c r="I453" s="263"/>
      <c r="J453" s="263"/>
      <c r="K453" s="263"/>
      <c r="L453" s="563"/>
      <c r="M453" s="263"/>
      <c r="N453" s="263"/>
      <c r="O453" s="263"/>
      <c r="P453" s="265"/>
      <c r="Q453" s="263"/>
      <c r="R453" s="263"/>
      <c r="S453" s="263"/>
      <c r="T453" s="263"/>
      <c r="U453" s="263"/>
      <c r="V453" s="263"/>
      <c r="W453" s="263"/>
      <c r="X453" s="263"/>
      <c r="Y453" s="263"/>
      <c r="Z453" s="263"/>
      <c r="AA453" s="263"/>
      <c r="AB453" s="263"/>
      <c r="AC453" s="263"/>
      <c r="AD453" s="263"/>
      <c r="AE453" s="263"/>
      <c r="AF453" s="418"/>
      <c r="AG453" s="263"/>
      <c r="AH453" s="263"/>
      <c r="AI453" s="263"/>
    </row>
    <row r="454" spans="1:35" ht="15" customHeight="1">
      <c r="A454" s="69"/>
      <c r="B454" s="418"/>
      <c r="C454" s="263"/>
      <c r="E454" s="263"/>
      <c r="F454" s="263"/>
      <c r="G454" s="418"/>
      <c r="H454" s="263"/>
      <c r="I454" s="263"/>
      <c r="J454" s="263"/>
      <c r="K454" s="263"/>
      <c r="L454" s="563"/>
      <c r="M454" s="263"/>
      <c r="N454" s="263"/>
      <c r="O454" s="263"/>
      <c r="P454" s="265"/>
      <c r="Q454" s="263"/>
      <c r="R454" s="263"/>
      <c r="S454" s="263"/>
      <c r="T454" s="263"/>
      <c r="U454" s="263"/>
      <c r="V454" s="263"/>
      <c r="W454" s="263"/>
      <c r="X454" s="263"/>
      <c r="Y454" s="263"/>
      <c r="Z454" s="263"/>
      <c r="AA454" s="263"/>
      <c r="AB454" s="263"/>
      <c r="AC454" s="263"/>
      <c r="AD454" s="263"/>
      <c r="AE454" s="263"/>
      <c r="AF454" s="418"/>
      <c r="AG454" s="263"/>
      <c r="AH454" s="263"/>
      <c r="AI454" s="263"/>
    </row>
    <row r="455" spans="1:35" ht="15" customHeight="1">
      <c r="A455" s="69"/>
      <c r="B455" s="418"/>
      <c r="C455" s="263"/>
      <c r="E455" s="263"/>
      <c r="F455" s="263"/>
      <c r="G455" s="418"/>
      <c r="H455" s="263"/>
      <c r="I455" s="263"/>
      <c r="J455" s="263"/>
      <c r="K455" s="263"/>
      <c r="L455" s="563"/>
      <c r="M455" s="263"/>
      <c r="N455" s="263"/>
      <c r="O455" s="263"/>
      <c r="P455" s="265"/>
      <c r="Q455" s="263"/>
      <c r="R455" s="263"/>
      <c r="S455" s="263"/>
      <c r="T455" s="263"/>
      <c r="U455" s="263"/>
      <c r="V455" s="263"/>
      <c r="W455" s="263"/>
      <c r="X455" s="263"/>
      <c r="Y455" s="263"/>
      <c r="Z455" s="263"/>
      <c r="AA455" s="263"/>
      <c r="AB455" s="263"/>
      <c r="AC455" s="263"/>
      <c r="AD455" s="263"/>
      <c r="AE455" s="263"/>
      <c r="AF455" s="418"/>
      <c r="AG455" s="263"/>
      <c r="AH455" s="263"/>
      <c r="AI455" s="263"/>
    </row>
    <row r="456" spans="1:35" ht="15" customHeight="1">
      <c r="A456" s="69"/>
      <c r="B456" s="418"/>
      <c r="C456" s="263"/>
      <c r="E456" s="263"/>
      <c r="F456" s="263"/>
      <c r="G456" s="418"/>
      <c r="H456" s="263"/>
      <c r="I456" s="263"/>
      <c r="J456" s="263"/>
      <c r="K456" s="263"/>
      <c r="L456" s="563"/>
      <c r="M456" s="263"/>
      <c r="N456" s="263"/>
      <c r="O456" s="263"/>
      <c r="P456" s="265"/>
      <c r="Q456" s="263"/>
      <c r="R456" s="263"/>
      <c r="S456" s="263"/>
      <c r="T456" s="263"/>
      <c r="U456" s="263"/>
      <c r="V456" s="263"/>
      <c r="W456" s="263"/>
      <c r="X456" s="263"/>
      <c r="Y456" s="263"/>
      <c r="Z456" s="263"/>
      <c r="AA456" s="263"/>
      <c r="AB456" s="263"/>
      <c r="AC456" s="263"/>
      <c r="AD456" s="263"/>
      <c r="AE456" s="263"/>
      <c r="AF456" s="418"/>
      <c r="AG456" s="263"/>
      <c r="AH456" s="263"/>
      <c r="AI456" s="263"/>
    </row>
    <row r="457" spans="1:35" ht="15" customHeight="1">
      <c r="A457" s="69"/>
      <c r="B457" s="418"/>
      <c r="C457" s="263"/>
      <c r="E457" s="263"/>
      <c r="F457" s="263"/>
      <c r="G457" s="418"/>
      <c r="H457" s="263"/>
      <c r="I457" s="263"/>
      <c r="J457" s="263"/>
      <c r="K457" s="263"/>
      <c r="L457" s="563"/>
      <c r="M457" s="263"/>
      <c r="N457" s="263"/>
      <c r="O457" s="263"/>
      <c r="P457" s="265"/>
      <c r="Q457" s="263"/>
      <c r="R457" s="263"/>
      <c r="S457" s="263"/>
      <c r="T457" s="263"/>
      <c r="U457" s="263"/>
      <c r="V457" s="263"/>
      <c r="W457" s="263"/>
      <c r="X457" s="263"/>
      <c r="Y457" s="263"/>
      <c r="Z457" s="263"/>
      <c r="AA457" s="263"/>
      <c r="AB457" s="263"/>
      <c r="AC457" s="263"/>
      <c r="AD457" s="263"/>
      <c r="AE457" s="263"/>
      <c r="AF457" s="418"/>
      <c r="AG457" s="263"/>
      <c r="AH457" s="263"/>
      <c r="AI457" s="263"/>
    </row>
    <row r="458" spans="1:35" ht="15" customHeight="1">
      <c r="A458" s="69"/>
      <c r="B458" s="418"/>
      <c r="C458" s="263"/>
      <c r="E458" s="263"/>
      <c r="F458" s="263"/>
      <c r="G458" s="418"/>
      <c r="H458" s="263"/>
      <c r="I458" s="263"/>
      <c r="J458" s="263"/>
      <c r="K458" s="263"/>
      <c r="L458" s="563"/>
      <c r="M458" s="263"/>
      <c r="N458" s="263"/>
      <c r="O458" s="263"/>
      <c r="P458" s="265"/>
      <c r="Q458" s="263"/>
      <c r="R458" s="263"/>
      <c r="S458" s="263"/>
      <c r="T458" s="263"/>
      <c r="U458" s="263"/>
      <c r="V458" s="263"/>
      <c r="W458" s="263"/>
      <c r="X458" s="263"/>
      <c r="Y458" s="263"/>
      <c r="Z458" s="263"/>
      <c r="AA458" s="263"/>
      <c r="AB458" s="263"/>
      <c r="AC458" s="263"/>
      <c r="AD458" s="263"/>
      <c r="AE458" s="263"/>
      <c r="AF458" s="418"/>
      <c r="AG458" s="263"/>
      <c r="AH458" s="263"/>
      <c r="AI458" s="263"/>
    </row>
    <row r="459" spans="1:35" ht="15" customHeight="1">
      <c r="A459" s="69"/>
      <c r="B459" s="418"/>
      <c r="C459" s="263"/>
      <c r="E459" s="263"/>
      <c r="F459" s="263"/>
      <c r="G459" s="418"/>
      <c r="H459" s="263"/>
      <c r="I459" s="263"/>
      <c r="J459" s="263"/>
      <c r="K459" s="263"/>
      <c r="L459" s="563"/>
      <c r="M459" s="263"/>
      <c r="N459" s="263"/>
      <c r="O459" s="263"/>
      <c r="P459" s="265"/>
      <c r="Q459" s="263"/>
      <c r="R459" s="263"/>
      <c r="S459" s="263"/>
      <c r="T459" s="263"/>
      <c r="U459" s="263"/>
      <c r="V459" s="263"/>
      <c r="W459" s="263"/>
      <c r="X459" s="263"/>
      <c r="Y459" s="263"/>
      <c r="Z459" s="263"/>
      <c r="AA459" s="263"/>
      <c r="AB459" s="263"/>
      <c r="AC459" s="263"/>
      <c r="AD459" s="263"/>
      <c r="AE459" s="263"/>
      <c r="AF459" s="418"/>
      <c r="AG459" s="263"/>
      <c r="AH459" s="263"/>
      <c r="AI459" s="263"/>
    </row>
    <row r="460" spans="1:35" ht="15" customHeight="1">
      <c r="A460" s="69"/>
      <c r="B460" s="418"/>
      <c r="C460" s="263"/>
      <c r="E460" s="263"/>
      <c r="F460" s="263"/>
      <c r="G460" s="418"/>
      <c r="H460" s="263"/>
      <c r="I460" s="263"/>
      <c r="J460" s="263"/>
      <c r="K460" s="263"/>
      <c r="L460" s="563"/>
      <c r="M460" s="263"/>
      <c r="N460" s="263"/>
      <c r="O460" s="263"/>
      <c r="P460" s="265"/>
      <c r="Q460" s="263"/>
      <c r="R460" s="263"/>
      <c r="S460" s="263"/>
      <c r="T460" s="263"/>
      <c r="U460" s="263"/>
      <c r="V460" s="263"/>
      <c r="W460" s="263"/>
      <c r="X460" s="263"/>
      <c r="Y460" s="263"/>
      <c r="Z460" s="263"/>
      <c r="AA460" s="263"/>
      <c r="AB460" s="263"/>
      <c r="AC460" s="263"/>
      <c r="AD460" s="263"/>
      <c r="AE460" s="263"/>
      <c r="AF460" s="418"/>
      <c r="AG460" s="263"/>
      <c r="AH460" s="263"/>
      <c r="AI460" s="263"/>
    </row>
    <row r="461" spans="1:35" ht="15" customHeight="1">
      <c r="A461" s="69"/>
      <c r="B461" s="418"/>
      <c r="C461" s="263"/>
      <c r="E461" s="263"/>
      <c r="F461" s="263"/>
      <c r="G461" s="418"/>
      <c r="H461" s="263"/>
      <c r="I461" s="263"/>
      <c r="J461" s="263"/>
      <c r="K461" s="263"/>
      <c r="L461" s="563"/>
      <c r="M461" s="263"/>
      <c r="N461" s="263"/>
      <c r="O461" s="263"/>
      <c r="P461" s="265"/>
      <c r="Q461" s="263"/>
      <c r="R461" s="263"/>
      <c r="S461" s="263"/>
      <c r="T461" s="263"/>
      <c r="U461" s="263"/>
      <c r="V461" s="263"/>
      <c r="W461" s="263"/>
      <c r="X461" s="263"/>
      <c r="Y461" s="263"/>
      <c r="Z461" s="263"/>
      <c r="AA461" s="263"/>
      <c r="AB461" s="263"/>
      <c r="AC461" s="263"/>
      <c r="AD461" s="263"/>
      <c r="AE461" s="263"/>
      <c r="AF461" s="418"/>
      <c r="AG461" s="263"/>
      <c r="AH461" s="263"/>
      <c r="AI461" s="263"/>
    </row>
    <row r="462" spans="1:35" ht="15" customHeight="1">
      <c r="A462" s="69"/>
      <c r="B462" s="418"/>
      <c r="C462" s="263"/>
      <c r="E462" s="263"/>
      <c r="F462" s="263"/>
      <c r="G462" s="418"/>
      <c r="H462" s="263"/>
      <c r="I462" s="263"/>
      <c r="J462" s="263"/>
      <c r="K462" s="263"/>
      <c r="L462" s="563"/>
      <c r="M462" s="263"/>
      <c r="N462" s="263"/>
      <c r="O462" s="263"/>
      <c r="P462" s="265"/>
      <c r="Q462" s="263"/>
      <c r="R462" s="263"/>
      <c r="S462" s="263"/>
      <c r="T462" s="263"/>
      <c r="U462" s="263"/>
      <c r="V462" s="263"/>
      <c r="W462" s="263"/>
      <c r="X462" s="263"/>
      <c r="Y462" s="263"/>
      <c r="Z462" s="263"/>
      <c r="AA462" s="263"/>
      <c r="AB462" s="263"/>
      <c r="AC462" s="263"/>
      <c r="AD462" s="263"/>
      <c r="AE462" s="263"/>
      <c r="AF462" s="418"/>
      <c r="AG462" s="263"/>
      <c r="AH462" s="263"/>
      <c r="AI462" s="263"/>
    </row>
    <row r="463" spans="1:35" ht="15" customHeight="1">
      <c r="A463" s="69"/>
      <c r="B463" s="418"/>
      <c r="C463" s="263"/>
      <c r="E463" s="263"/>
      <c r="F463" s="263"/>
      <c r="G463" s="418"/>
      <c r="H463" s="263"/>
      <c r="I463" s="263"/>
      <c r="J463" s="263"/>
      <c r="K463" s="263"/>
      <c r="L463" s="563"/>
      <c r="M463" s="263"/>
      <c r="N463" s="263"/>
      <c r="O463" s="263"/>
      <c r="P463" s="265"/>
      <c r="Q463" s="263"/>
      <c r="R463" s="263"/>
      <c r="S463" s="263"/>
      <c r="T463" s="263"/>
      <c r="U463" s="263"/>
      <c r="V463" s="263"/>
      <c r="W463" s="263"/>
      <c r="X463" s="263"/>
      <c r="Y463" s="263"/>
      <c r="Z463" s="263"/>
      <c r="AA463" s="263"/>
      <c r="AB463" s="263"/>
      <c r="AC463" s="263"/>
      <c r="AD463" s="263"/>
      <c r="AE463" s="263"/>
      <c r="AF463" s="418"/>
      <c r="AG463" s="263"/>
      <c r="AH463" s="263"/>
      <c r="AI463" s="263"/>
    </row>
    <row r="464" spans="1:35" ht="15" customHeight="1">
      <c r="A464" s="69"/>
      <c r="B464" s="418"/>
      <c r="C464" s="263"/>
      <c r="E464" s="263"/>
      <c r="F464" s="263"/>
      <c r="G464" s="418"/>
      <c r="H464" s="263"/>
      <c r="I464" s="263"/>
      <c r="J464" s="263"/>
      <c r="K464" s="263"/>
      <c r="L464" s="563"/>
      <c r="M464" s="263"/>
      <c r="N464" s="263"/>
      <c r="O464" s="263"/>
      <c r="P464" s="265"/>
      <c r="Q464" s="263"/>
      <c r="R464" s="263"/>
      <c r="S464" s="263"/>
      <c r="T464" s="263"/>
      <c r="U464" s="263"/>
      <c r="V464" s="263"/>
      <c r="W464" s="263"/>
      <c r="X464" s="263"/>
      <c r="Y464" s="263"/>
      <c r="Z464" s="263"/>
      <c r="AA464" s="263"/>
      <c r="AB464" s="263"/>
      <c r="AC464" s="263"/>
      <c r="AD464" s="263"/>
      <c r="AE464" s="263"/>
      <c r="AF464" s="418"/>
      <c r="AG464" s="263"/>
      <c r="AH464" s="263"/>
      <c r="AI464" s="263"/>
    </row>
    <row r="465" spans="1:35" ht="15" customHeight="1">
      <c r="A465" s="69"/>
      <c r="B465" s="418"/>
      <c r="C465" s="263"/>
      <c r="E465" s="263"/>
      <c r="F465" s="263"/>
      <c r="G465" s="418"/>
      <c r="H465" s="263"/>
      <c r="I465" s="263"/>
      <c r="J465" s="263"/>
      <c r="K465" s="263"/>
      <c r="L465" s="563"/>
      <c r="M465" s="263"/>
      <c r="N465" s="263"/>
      <c r="O465" s="263"/>
      <c r="P465" s="265"/>
      <c r="Q465" s="263"/>
      <c r="R465" s="263"/>
      <c r="S465" s="263"/>
      <c r="T465" s="263"/>
      <c r="U465" s="263"/>
      <c r="V465" s="263"/>
      <c r="W465" s="263"/>
      <c r="X465" s="263"/>
      <c r="Y465" s="263"/>
      <c r="Z465" s="263"/>
      <c r="AA465" s="263"/>
      <c r="AB465" s="263"/>
      <c r="AC465" s="263"/>
      <c r="AD465" s="263"/>
      <c r="AE465" s="263"/>
      <c r="AF465" s="418"/>
      <c r="AG465" s="263"/>
      <c r="AH465" s="263"/>
      <c r="AI465" s="263"/>
    </row>
    <row r="466" spans="1:35" ht="15" customHeight="1">
      <c r="A466" s="69"/>
      <c r="B466" s="418"/>
      <c r="C466" s="263"/>
      <c r="E466" s="263"/>
      <c r="F466" s="263"/>
      <c r="G466" s="418"/>
      <c r="H466" s="263"/>
      <c r="I466" s="263"/>
      <c r="J466" s="263"/>
      <c r="K466" s="263"/>
      <c r="L466" s="563"/>
      <c r="M466" s="263"/>
      <c r="N466" s="263"/>
      <c r="O466" s="263"/>
      <c r="P466" s="265"/>
      <c r="Q466" s="263"/>
      <c r="R466" s="263"/>
      <c r="S466" s="263"/>
      <c r="T466" s="263"/>
      <c r="U466" s="263"/>
      <c r="V466" s="263"/>
      <c r="W466" s="263"/>
      <c r="X466" s="263"/>
      <c r="Y466" s="263"/>
      <c r="Z466" s="263"/>
      <c r="AA466" s="263"/>
      <c r="AB466" s="263"/>
      <c r="AC466" s="263"/>
      <c r="AD466" s="263"/>
      <c r="AE466" s="263"/>
      <c r="AF466" s="418"/>
      <c r="AG466" s="263"/>
      <c r="AH466" s="263"/>
      <c r="AI466" s="263"/>
    </row>
    <row r="467" spans="1:35" ht="15" customHeight="1">
      <c r="A467" s="69"/>
      <c r="B467" s="418"/>
      <c r="C467" s="263"/>
      <c r="E467" s="263"/>
      <c r="F467" s="263"/>
      <c r="G467" s="418"/>
      <c r="H467" s="263"/>
      <c r="I467" s="263"/>
      <c r="J467" s="263"/>
      <c r="K467" s="263"/>
      <c r="L467" s="563"/>
      <c r="M467" s="263"/>
      <c r="N467" s="263"/>
      <c r="O467" s="263"/>
      <c r="P467" s="265"/>
      <c r="Q467" s="263"/>
      <c r="R467" s="263"/>
      <c r="S467" s="263"/>
      <c r="T467" s="263"/>
      <c r="U467" s="263"/>
      <c r="V467" s="263"/>
      <c r="W467" s="263"/>
      <c r="X467" s="263"/>
      <c r="Y467" s="263"/>
      <c r="Z467" s="263"/>
      <c r="AA467" s="263"/>
      <c r="AB467" s="263"/>
      <c r="AC467" s="263"/>
      <c r="AD467" s="263"/>
      <c r="AE467" s="263"/>
      <c r="AF467" s="418"/>
      <c r="AG467" s="263"/>
      <c r="AH467" s="263"/>
      <c r="AI467" s="263"/>
    </row>
    <row r="468" spans="1:35" ht="15" customHeight="1">
      <c r="A468" s="69"/>
      <c r="B468" s="418"/>
      <c r="C468" s="263"/>
      <c r="E468" s="263"/>
      <c r="F468" s="263"/>
      <c r="G468" s="418"/>
      <c r="H468" s="263"/>
      <c r="I468" s="263"/>
      <c r="J468" s="263"/>
      <c r="K468" s="263"/>
      <c r="L468" s="563"/>
      <c r="M468" s="263"/>
      <c r="N468" s="263"/>
      <c r="O468" s="263"/>
      <c r="P468" s="265"/>
      <c r="Q468" s="263"/>
      <c r="R468" s="263"/>
      <c r="S468" s="263"/>
      <c r="T468" s="263"/>
      <c r="U468" s="263"/>
      <c r="V468" s="263"/>
      <c r="W468" s="263"/>
      <c r="X468" s="263"/>
      <c r="Y468" s="263"/>
      <c r="Z468" s="263"/>
      <c r="AA468" s="263"/>
      <c r="AB468" s="263"/>
      <c r="AC468" s="263"/>
      <c r="AD468" s="263"/>
      <c r="AE468" s="263"/>
      <c r="AF468" s="418"/>
      <c r="AG468" s="263"/>
      <c r="AH468" s="263"/>
      <c r="AI468" s="263"/>
    </row>
    <row r="469" spans="1:35" ht="15" customHeight="1">
      <c r="A469" s="69"/>
      <c r="B469" s="418"/>
      <c r="C469" s="263"/>
      <c r="E469" s="263"/>
      <c r="F469" s="263"/>
      <c r="G469" s="418"/>
      <c r="H469" s="263"/>
      <c r="I469" s="263"/>
      <c r="J469" s="263"/>
      <c r="K469" s="263"/>
      <c r="L469" s="563"/>
      <c r="M469" s="263"/>
      <c r="N469" s="263"/>
      <c r="O469" s="263"/>
      <c r="P469" s="265"/>
      <c r="Q469" s="263"/>
      <c r="R469" s="263"/>
      <c r="S469" s="263"/>
      <c r="T469" s="263"/>
      <c r="U469" s="263"/>
      <c r="V469" s="263"/>
      <c r="W469" s="263"/>
      <c r="X469" s="263"/>
      <c r="Y469" s="263"/>
      <c r="Z469" s="263"/>
      <c r="AA469" s="263"/>
      <c r="AB469" s="263"/>
      <c r="AC469" s="263"/>
      <c r="AD469" s="263"/>
      <c r="AE469" s="263"/>
      <c r="AF469" s="418"/>
      <c r="AG469" s="263"/>
      <c r="AH469" s="263"/>
      <c r="AI469" s="263"/>
    </row>
    <row r="470" spans="1:35" ht="15" customHeight="1">
      <c r="A470" s="69"/>
      <c r="B470" s="418"/>
      <c r="C470" s="263"/>
      <c r="E470" s="263"/>
      <c r="F470" s="263"/>
      <c r="G470" s="418"/>
      <c r="H470" s="263"/>
      <c r="I470" s="263"/>
      <c r="J470" s="263"/>
      <c r="K470" s="263"/>
      <c r="L470" s="563"/>
      <c r="M470" s="263"/>
      <c r="N470" s="263"/>
      <c r="O470" s="263"/>
      <c r="P470" s="265"/>
      <c r="Q470" s="263"/>
      <c r="R470" s="263"/>
      <c r="S470" s="263"/>
      <c r="T470" s="263"/>
      <c r="U470" s="263"/>
      <c r="V470" s="263"/>
      <c r="W470" s="263"/>
      <c r="X470" s="263"/>
      <c r="Y470" s="263"/>
      <c r="Z470" s="263"/>
      <c r="AA470" s="263"/>
      <c r="AB470" s="263"/>
      <c r="AC470" s="263"/>
      <c r="AD470" s="263"/>
      <c r="AE470" s="263"/>
      <c r="AF470" s="418"/>
      <c r="AG470" s="263"/>
      <c r="AH470" s="263"/>
      <c r="AI470" s="263"/>
    </row>
    <row r="471" spans="1:35" ht="15" customHeight="1">
      <c r="A471" s="69"/>
      <c r="B471" s="418"/>
      <c r="C471" s="263"/>
      <c r="E471" s="263"/>
      <c r="F471" s="263"/>
      <c r="G471" s="418"/>
      <c r="H471" s="263"/>
      <c r="I471" s="263"/>
      <c r="J471" s="263"/>
      <c r="K471" s="263"/>
      <c r="L471" s="563"/>
      <c r="M471" s="263"/>
      <c r="N471" s="263"/>
      <c r="O471" s="263"/>
      <c r="P471" s="265"/>
      <c r="Q471" s="263"/>
      <c r="R471" s="263"/>
      <c r="S471" s="263"/>
      <c r="T471" s="263"/>
      <c r="U471" s="263"/>
      <c r="V471" s="263"/>
      <c r="W471" s="263"/>
      <c r="X471" s="263"/>
      <c r="Y471" s="263"/>
      <c r="Z471" s="263"/>
      <c r="AA471" s="263"/>
      <c r="AB471" s="263"/>
      <c r="AC471" s="263"/>
      <c r="AD471" s="263"/>
      <c r="AE471" s="263"/>
      <c r="AF471" s="418"/>
      <c r="AG471" s="263"/>
      <c r="AH471" s="263"/>
      <c r="AI471" s="263"/>
    </row>
    <row r="472" spans="1:35" ht="15" customHeight="1">
      <c r="A472" s="69"/>
      <c r="B472" s="418"/>
      <c r="C472" s="263"/>
      <c r="E472" s="263"/>
      <c r="F472" s="263"/>
      <c r="G472" s="418"/>
      <c r="H472" s="263"/>
      <c r="I472" s="263"/>
      <c r="J472" s="263"/>
      <c r="K472" s="263"/>
      <c r="L472" s="563"/>
      <c r="M472" s="263"/>
      <c r="N472" s="263"/>
      <c r="O472" s="263"/>
      <c r="P472" s="265"/>
      <c r="Q472" s="263"/>
      <c r="R472" s="263"/>
      <c r="S472" s="263"/>
      <c r="T472" s="263"/>
      <c r="U472" s="263"/>
      <c r="V472" s="263"/>
      <c r="W472" s="263"/>
      <c r="X472" s="263"/>
      <c r="Y472" s="263"/>
      <c r="Z472" s="263"/>
      <c r="AA472" s="263"/>
      <c r="AB472" s="263"/>
      <c r="AC472" s="263"/>
      <c r="AD472" s="263"/>
      <c r="AE472" s="263"/>
      <c r="AF472" s="418"/>
      <c r="AG472" s="263"/>
      <c r="AH472" s="263"/>
      <c r="AI472" s="263"/>
    </row>
    <row r="473" spans="1:35" ht="15" customHeight="1">
      <c r="A473" s="69"/>
      <c r="B473" s="418"/>
      <c r="C473" s="263"/>
      <c r="E473" s="263"/>
      <c r="F473" s="263"/>
      <c r="G473" s="418"/>
      <c r="H473" s="263"/>
      <c r="I473" s="263"/>
      <c r="J473" s="263"/>
      <c r="K473" s="263"/>
      <c r="L473" s="563"/>
      <c r="M473" s="263"/>
      <c r="N473" s="263"/>
      <c r="O473" s="263"/>
      <c r="P473" s="265"/>
      <c r="Q473" s="263"/>
      <c r="R473" s="263"/>
      <c r="S473" s="263"/>
      <c r="T473" s="263"/>
      <c r="U473" s="263"/>
      <c r="V473" s="263"/>
      <c r="W473" s="263"/>
      <c r="X473" s="263"/>
      <c r="Y473" s="263"/>
      <c r="Z473" s="263"/>
      <c r="AA473" s="263"/>
      <c r="AB473" s="263"/>
      <c r="AC473" s="263"/>
      <c r="AD473" s="263"/>
      <c r="AE473" s="263"/>
      <c r="AF473" s="418"/>
      <c r="AG473" s="263"/>
      <c r="AH473" s="263"/>
      <c r="AI473" s="263"/>
    </row>
    <row r="474" spans="1:35" ht="15" customHeight="1">
      <c r="A474" s="69"/>
      <c r="B474" s="418"/>
      <c r="C474" s="263"/>
      <c r="E474" s="263"/>
      <c r="F474" s="263"/>
      <c r="G474" s="418"/>
      <c r="H474" s="263"/>
      <c r="I474" s="263"/>
      <c r="J474" s="263"/>
      <c r="K474" s="263"/>
      <c r="L474" s="563"/>
      <c r="M474" s="263"/>
      <c r="N474" s="263"/>
      <c r="O474" s="263"/>
      <c r="P474" s="265"/>
      <c r="Q474" s="263"/>
      <c r="R474" s="263"/>
      <c r="S474" s="263"/>
      <c r="T474" s="263"/>
      <c r="U474" s="263"/>
      <c r="V474" s="263"/>
      <c r="W474" s="263"/>
      <c r="X474" s="263"/>
      <c r="Y474" s="263"/>
      <c r="Z474" s="263"/>
      <c r="AA474" s="263"/>
      <c r="AB474" s="263"/>
      <c r="AC474" s="263"/>
      <c r="AD474" s="263"/>
      <c r="AE474" s="263"/>
      <c r="AF474" s="418"/>
      <c r="AG474" s="263"/>
      <c r="AH474" s="263"/>
      <c r="AI474" s="263"/>
    </row>
    <row r="475" spans="1:35" ht="15" customHeight="1">
      <c r="A475" s="69"/>
      <c r="B475" s="418"/>
      <c r="C475" s="263"/>
      <c r="E475" s="263"/>
      <c r="F475" s="263"/>
      <c r="G475" s="418"/>
      <c r="H475" s="263"/>
      <c r="I475" s="263"/>
      <c r="J475" s="263"/>
      <c r="K475" s="263"/>
      <c r="L475" s="563"/>
      <c r="M475" s="263"/>
      <c r="N475" s="263"/>
      <c r="O475" s="263"/>
      <c r="P475" s="265"/>
      <c r="Q475" s="263"/>
      <c r="R475" s="263"/>
      <c r="S475" s="263"/>
      <c r="T475" s="263"/>
      <c r="U475" s="263"/>
      <c r="V475" s="263"/>
      <c r="W475" s="263"/>
      <c r="X475" s="263"/>
      <c r="Y475" s="263"/>
      <c r="Z475" s="263"/>
      <c r="AA475" s="263"/>
      <c r="AB475" s="263"/>
      <c r="AC475" s="263"/>
      <c r="AD475" s="263"/>
      <c r="AE475" s="263"/>
      <c r="AF475" s="418"/>
      <c r="AG475" s="263"/>
      <c r="AH475" s="263"/>
      <c r="AI475" s="263"/>
    </row>
    <row r="476" spans="1:35" ht="15" customHeight="1">
      <c r="A476" s="69"/>
      <c r="B476" s="418"/>
      <c r="C476" s="263"/>
      <c r="E476" s="263"/>
      <c r="F476" s="263"/>
      <c r="G476" s="418"/>
      <c r="H476" s="263"/>
      <c r="I476" s="263"/>
      <c r="J476" s="263"/>
      <c r="K476" s="263"/>
      <c r="L476" s="563"/>
      <c r="M476" s="263"/>
      <c r="N476" s="263"/>
      <c r="O476" s="263"/>
      <c r="P476" s="265"/>
      <c r="Q476" s="263"/>
      <c r="R476" s="263"/>
      <c r="S476" s="263"/>
      <c r="T476" s="263"/>
      <c r="U476" s="263"/>
      <c r="V476" s="263"/>
      <c r="W476" s="263"/>
      <c r="X476" s="263"/>
      <c r="Y476" s="263"/>
      <c r="Z476" s="263"/>
      <c r="AA476" s="263"/>
      <c r="AB476" s="263"/>
      <c r="AC476" s="263"/>
      <c r="AD476" s="263"/>
      <c r="AE476" s="263"/>
      <c r="AF476" s="418"/>
      <c r="AG476" s="263"/>
      <c r="AH476" s="263"/>
      <c r="AI476" s="263"/>
    </row>
    <row r="477" spans="1:35" ht="15" customHeight="1">
      <c r="A477" s="69"/>
      <c r="B477" s="418"/>
      <c r="C477" s="263"/>
      <c r="E477" s="263"/>
      <c r="F477" s="263"/>
      <c r="G477" s="418"/>
      <c r="H477" s="263"/>
      <c r="I477" s="263"/>
      <c r="J477" s="263"/>
      <c r="K477" s="263"/>
      <c r="L477" s="563"/>
      <c r="M477" s="263"/>
      <c r="N477" s="263"/>
      <c r="O477" s="263"/>
      <c r="P477" s="265"/>
      <c r="Q477" s="263"/>
      <c r="R477" s="263"/>
      <c r="S477" s="263"/>
      <c r="T477" s="263"/>
      <c r="U477" s="263"/>
      <c r="V477" s="263"/>
      <c r="W477" s="263"/>
      <c r="X477" s="263"/>
      <c r="Y477" s="263"/>
      <c r="Z477" s="263"/>
      <c r="AA477" s="263"/>
      <c r="AB477" s="263"/>
      <c r="AC477" s="263"/>
      <c r="AD477" s="263"/>
      <c r="AE477" s="263"/>
      <c r="AF477" s="418"/>
      <c r="AG477" s="263"/>
      <c r="AH477" s="263"/>
      <c r="AI477" s="263"/>
    </row>
    <row r="478" spans="1:35" ht="15" customHeight="1">
      <c r="A478" s="69"/>
      <c r="B478" s="418"/>
      <c r="C478" s="263"/>
      <c r="E478" s="263"/>
      <c r="F478" s="263"/>
      <c r="G478" s="418"/>
      <c r="H478" s="263"/>
      <c r="I478" s="263"/>
      <c r="J478" s="263"/>
      <c r="K478" s="263"/>
      <c r="L478" s="563"/>
      <c r="M478" s="263"/>
      <c r="N478" s="263"/>
      <c r="O478" s="263"/>
      <c r="P478" s="265"/>
      <c r="Q478" s="263"/>
      <c r="R478" s="263"/>
      <c r="S478" s="263"/>
      <c r="T478" s="263"/>
      <c r="U478" s="263"/>
      <c r="V478" s="263"/>
      <c r="W478" s="263"/>
      <c r="X478" s="263"/>
      <c r="Y478" s="263"/>
      <c r="Z478" s="263"/>
      <c r="AA478" s="263"/>
      <c r="AB478" s="263"/>
      <c r="AC478" s="263"/>
      <c r="AD478" s="263"/>
      <c r="AE478" s="263"/>
      <c r="AF478" s="418"/>
      <c r="AG478" s="263"/>
      <c r="AH478" s="263"/>
      <c r="AI478" s="263"/>
    </row>
    <row r="479" spans="1:35" ht="15" customHeight="1">
      <c r="A479" s="69"/>
      <c r="B479" s="418"/>
      <c r="C479" s="263"/>
      <c r="E479" s="263"/>
      <c r="F479" s="263"/>
      <c r="G479" s="418"/>
      <c r="H479" s="263"/>
      <c r="I479" s="263"/>
      <c r="J479" s="263"/>
      <c r="K479" s="263"/>
      <c r="L479" s="563"/>
      <c r="M479" s="263"/>
      <c r="N479" s="263"/>
      <c r="O479" s="263"/>
      <c r="P479" s="265"/>
      <c r="Q479" s="263"/>
      <c r="R479" s="263"/>
      <c r="S479" s="263"/>
      <c r="T479" s="263"/>
      <c r="U479" s="263"/>
      <c r="V479" s="263"/>
      <c r="W479" s="263"/>
      <c r="X479" s="263"/>
      <c r="Y479" s="263"/>
      <c r="Z479" s="263"/>
      <c r="AA479" s="263"/>
      <c r="AB479" s="263"/>
      <c r="AC479" s="263"/>
      <c r="AD479" s="263"/>
      <c r="AE479" s="263"/>
      <c r="AF479" s="418"/>
      <c r="AG479" s="263"/>
      <c r="AH479" s="263"/>
      <c r="AI479" s="263"/>
    </row>
    <row r="480" spans="1:35" ht="15" customHeight="1">
      <c r="A480" s="69"/>
      <c r="B480" s="418"/>
      <c r="C480" s="263"/>
      <c r="E480" s="263"/>
      <c r="F480" s="263"/>
      <c r="G480" s="418"/>
      <c r="H480" s="263"/>
      <c r="I480" s="263"/>
      <c r="J480" s="263"/>
      <c r="K480" s="263"/>
      <c r="L480" s="563"/>
      <c r="M480" s="263"/>
      <c r="N480" s="263"/>
      <c r="O480" s="263"/>
      <c r="P480" s="265"/>
      <c r="Q480" s="263"/>
      <c r="R480" s="263"/>
      <c r="S480" s="263"/>
      <c r="T480" s="263"/>
      <c r="U480" s="263"/>
      <c r="V480" s="263"/>
      <c r="W480" s="263"/>
      <c r="X480" s="263"/>
      <c r="Y480" s="263"/>
      <c r="Z480" s="263"/>
      <c r="AA480" s="263"/>
      <c r="AB480" s="263"/>
      <c r="AC480" s="263"/>
      <c r="AD480" s="263"/>
      <c r="AE480" s="263"/>
      <c r="AF480" s="418"/>
      <c r="AG480" s="263"/>
      <c r="AH480" s="263"/>
      <c r="AI480" s="263"/>
    </row>
    <row r="481" spans="1:35" ht="15" customHeight="1">
      <c r="A481" s="69"/>
      <c r="B481" s="418"/>
      <c r="C481" s="263"/>
      <c r="E481" s="263"/>
      <c r="F481" s="263"/>
      <c r="G481" s="418"/>
      <c r="H481" s="263"/>
      <c r="I481" s="263"/>
      <c r="J481" s="263"/>
      <c r="K481" s="263"/>
      <c r="L481" s="563"/>
      <c r="M481" s="263"/>
      <c r="N481" s="263"/>
      <c r="O481" s="263"/>
      <c r="P481" s="265"/>
      <c r="Q481" s="263"/>
      <c r="R481" s="263"/>
      <c r="S481" s="263"/>
      <c r="T481" s="263"/>
      <c r="U481" s="263"/>
      <c r="V481" s="263"/>
      <c r="W481" s="263"/>
      <c r="X481" s="263"/>
      <c r="Y481" s="263"/>
      <c r="Z481" s="263"/>
      <c r="AA481" s="263"/>
      <c r="AB481" s="263"/>
      <c r="AC481" s="263"/>
      <c r="AD481" s="263"/>
      <c r="AE481" s="263"/>
      <c r="AF481" s="418"/>
      <c r="AG481" s="263"/>
      <c r="AH481" s="263"/>
      <c r="AI481" s="263"/>
    </row>
    <row r="482" spans="1:35" ht="15" customHeight="1">
      <c r="A482" s="69"/>
      <c r="B482" s="418"/>
      <c r="C482" s="263"/>
      <c r="E482" s="263"/>
      <c r="F482" s="263"/>
      <c r="G482" s="418"/>
      <c r="H482" s="263"/>
      <c r="I482" s="263"/>
      <c r="J482" s="263"/>
      <c r="K482" s="263"/>
      <c r="L482" s="563"/>
      <c r="M482" s="263"/>
      <c r="N482" s="263"/>
      <c r="O482" s="263"/>
      <c r="P482" s="265"/>
      <c r="Q482" s="263"/>
      <c r="R482" s="263"/>
      <c r="S482" s="263"/>
      <c r="T482" s="263"/>
      <c r="U482" s="263"/>
      <c r="V482" s="263"/>
      <c r="W482" s="263"/>
      <c r="X482" s="263"/>
      <c r="Y482" s="263"/>
      <c r="Z482" s="263"/>
      <c r="AA482" s="263"/>
      <c r="AB482" s="263"/>
      <c r="AC482" s="263"/>
      <c r="AD482" s="263"/>
      <c r="AE482" s="263"/>
      <c r="AF482" s="418"/>
      <c r="AG482" s="263"/>
      <c r="AH482" s="263"/>
      <c r="AI482" s="263"/>
    </row>
    <row r="483" spans="1:35" ht="15" customHeight="1">
      <c r="A483" s="69"/>
      <c r="B483" s="418"/>
      <c r="C483" s="263"/>
      <c r="E483" s="263"/>
      <c r="F483" s="263"/>
      <c r="G483" s="418"/>
      <c r="H483" s="263"/>
      <c r="I483" s="263"/>
      <c r="J483" s="263"/>
      <c r="K483" s="263"/>
      <c r="L483" s="563"/>
      <c r="M483" s="263"/>
      <c r="N483" s="263"/>
      <c r="O483" s="263"/>
      <c r="P483" s="265"/>
      <c r="Q483" s="263"/>
      <c r="R483" s="263"/>
      <c r="S483" s="263"/>
      <c r="T483" s="263"/>
      <c r="U483" s="263"/>
      <c r="V483" s="263"/>
      <c r="W483" s="263"/>
      <c r="X483" s="263"/>
      <c r="Y483" s="263"/>
      <c r="Z483" s="263"/>
      <c r="AA483" s="263"/>
      <c r="AB483" s="263"/>
      <c r="AC483" s="263"/>
      <c r="AD483" s="263"/>
      <c r="AE483" s="263"/>
      <c r="AF483" s="418"/>
      <c r="AG483" s="263"/>
      <c r="AH483" s="263"/>
      <c r="AI483" s="263"/>
    </row>
    <row r="484" spans="1:35" ht="15" customHeight="1">
      <c r="A484" s="69"/>
      <c r="B484" s="418"/>
      <c r="C484" s="263"/>
      <c r="E484" s="263"/>
      <c r="F484" s="263"/>
      <c r="G484" s="418"/>
      <c r="H484" s="263"/>
      <c r="I484" s="263"/>
      <c r="J484" s="263"/>
      <c r="K484" s="263"/>
      <c r="L484" s="563"/>
      <c r="M484" s="263"/>
      <c r="N484" s="263"/>
      <c r="O484" s="263"/>
      <c r="P484" s="265"/>
      <c r="Q484" s="263"/>
      <c r="R484" s="263"/>
      <c r="S484" s="263"/>
      <c r="T484" s="263"/>
      <c r="U484" s="263"/>
      <c r="V484" s="263"/>
      <c r="W484" s="263"/>
      <c r="X484" s="263"/>
      <c r="Y484" s="263"/>
      <c r="Z484" s="263"/>
      <c r="AA484" s="263"/>
      <c r="AB484" s="263"/>
      <c r="AC484" s="263"/>
      <c r="AD484" s="263"/>
      <c r="AE484" s="263"/>
      <c r="AF484" s="418"/>
      <c r="AG484" s="263"/>
      <c r="AH484" s="263"/>
      <c r="AI484" s="263"/>
    </row>
    <row r="485" spans="1:35" ht="15" customHeight="1">
      <c r="A485" s="69"/>
      <c r="B485" s="418"/>
      <c r="C485" s="263"/>
      <c r="E485" s="263"/>
      <c r="F485" s="263"/>
      <c r="G485" s="418"/>
      <c r="H485" s="263"/>
      <c r="I485" s="263"/>
      <c r="J485" s="263"/>
      <c r="K485" s="263"/>
      <c r="L485" s="563"/>
      <c r="M485" s="263"/>
      <c r="N485" s="263"/>
      <c r="O485" s="263"/>
      <c r="P485" s="265"/>
      <c r="Q485" s="263"/>
      <c r="R485" s="263"/>
      <c r="S485" s="263"/>
      <c r="T485" s="263"/>
      <c r="U485" s="263"/>
      <c r="V485" s="263"/>
      <c r="W485" s="263"/>
      <c r="X485" s="263"/>
      <c r="Y485" s="263"/>
      <c r="Z485" s="263"/>
      <c r="AA485" s="263"/>
      <c r="AB485" s="263"/>
      <c r="AC485" s="263"/>
      <c r="AD485" s="263"/>
      <c r="AE485" s="263"/>
      <c r="AF485" s="418"/>
      <c r="AG485" s="263"/>
      <c r="AH485" s="263"/>
      <c r="AI485" s="263"/>
    </row>
    <row r="486" spans="1:35" ht="15" customHeight="1">
      <c r="A486" s="69"/>
      <c r="B486" s="418"/>
      <c r="C486" s="263"/>
      <c r="E486" s="263"/>
      <c r="F486" s="263"/>
      <c r="G486" s="418"/>
      <c r="H486" s="263"/>
      <c r="I486" s="263"/>
      <c r="J486" s="263"/>
      <c r="K486" s="263"/>
      <c r="L486" s="563"/>
      <c r="M486" s="263"/>
      <c r="N486" s="263"/>
      <c r="O486" s="263"/>
      <c r="P486" s="265"/>
      <c r="Q486" s="263"/>
      <c r="R486" s="263"/>
      <c r="S486" s="263"/>
      <c r="T486" s="263"/>
      <c r="U486" s="263"/>
      <c r="V486" s="263"/>
      <c r="W486" s="263"/>
      <c r="X486" s="263"/>
      <c r="Y486" s="263"/>
      <c r="Z486" s="263"/>
      <c r="AA486" s="263"/>
      <c r="AB486" s="263"/>
      <c r="AC486" s="263"/>
      <c r="AD486" s="263"/>
      <c r="AE486" s="263"/>
      <c r="AF486" s="418"/>
      <c r="AG486" s="263"/>
      <c r="AH486" s="263"/>
      <c r="AI486" s="263"/>
    </row>
    <row r="487" spans="1:35" ht="15" customHeight="1">
      <c r="A487" s="69"/>
      <c r="B487" s="418"/>
      <c r="C487" s="263"/>
      <c r="E487" s="263"/>
      <c r="F487" s="263"/>
      <c r="G487" s="418"/>
      <c r="H487" s="263"/>
      <c r="I487" s="263"/>
      <c r="J487" s="263"/>
      <c r="K487" s="263"/>
      <c r="L487" s="563"/>
      <c r="M487" s="263"/>
      <c r="N487" s="263"/>
      <c r="O487" s="263"/>
      <c r="P487" s="265"/>
      <c r="Q487" s="263"/>
      <c r="R487" s="263"/>
      <c r="S487" s="263"/>
      <c r="T487" s="263"/>
      <c r="U487" s="263"/>
      <c r="V487" s="263"/>
      <c r="W487" s="263"/>
      <c r="X487" s="263"/>
      <c r="Y487" s="263"/>
      <c r="Z487" s="263"/>
      <c r="AA487" s="263"/>
      <c r="AB487" s="263"/>
      <c r="AC487" s="263"/>
      <c r="AD487" s="263"/>
      <c r="AE487" s="263"/>
      <c r="AF487" s="418"/>
      <c r="AG487" s="263"/>
      <c r="AH487" s="263"/>
      <c r="AI487" s="263"/>
    </row>
    <row r="488" spans="1:35" ht="15" customHeight="1">
      <c r="A488" s="69"/>
      <c r="B488" s="418"/>
      <c r="C488" s="263"/>
      <c r="E488" s="263"/>
      <c r="F488" s="263"/>
      <c r="G488" s="418"/>
      <c r="H488" s="263"/>
      <c r="I488" s="263"/>
      <c r="J488" s="263"/>
      <c r="K488" s="263"/>
      <c r="L488" s="563"/>
      <c r="M488" s="263"/>
      <c r="N488" s="263"/>
      <c r="O488" s="263"/>
      <c r="P488" s="265"/>
      <c r="Q488" s="263"/>
      <c r="R488" s="263"/>
      <c r="S488" s="263"/>
      <c r="T488" s="263"/>
      <c r="U488" s="263"/>
      <c r="V488" s="263"/>
      <c r="W488" s="263"/>
      <c r="X488" s="263"/>
      <c r="Y488" s="263"/>
      <c r="Z488" s="263"/>
      <c r="AA488" s="263"/>
      <c r="AB488" s="263"/>
      <c r="AC488" s="263"/>
      <c r="AD488" s="263"/>
      <c r="AE488" s="263"/>
      <c r="AF488" s="418"/>
      <c r="AG488" s="263"/>
      <c r="AH488" s="263"/>
      <c r="AI488" s="263"/>
    </row>
    <row r="489" spans="1:35" ht="15" customHeight="1">
      <c r="A489" s="69"/>
      <c r="B489" s="418"/>
      <c r="C489" s="263"/>
      <c r="E489" s="263"/>
      <c r="F489" s="263"/>
      <c r="G489" s="418"/>
      <c r="H489" s="263"/>
      <c r="I489" s="263"/>
      <c r="J489" s="263"/>
      <c r="K489" s="263"/>
      <c r="L489" s="563"/>
      <c r="M489" s="263"/>
      <c r="N489" s="263"/>
      <c r="O489" s="263"/>
      <c r="P489" s="265"/>
      <c r="Q489" s="263"/>
      <c r="R489" s="263"/>
      <c r="S489" s="263"/>
      <c r="T489" s="263"/>
      <c r="U489" s="263"/>
      <c r="V489" s="263"/>
      <c r="W489" s="263"/>
      <c r="X489" s="263"/>
      <c r="Y489" s="263"/>
      <c r="Z489" s="263"/>
      <c r="AA489" s="263"/>
      <c r="AB489" s="263"/>
      <c r="AC489" s="263"/>
      <c r="AD489" s="263"/>
      <c r="AE489" s="263"/>
      <c r="AF489" s="418"/>
      <c r="AG489" s="263"/>
      <c r="AH489" s="263"/>
      <c r="AI489" s="263"/>
    </row>
    <row r="490" spans="1:35" ht="15" customHeight="1">
      <c r="A490" s="69"/>
      <c r="B490" s="418"/>
      <c r="C490" s="263"/>
      <c r="E490" s="263"/>
      <c r="F490" s="263"/>
      <c r="G490" s="418"/>
      <c r="H490" s="263"/>
      <c r="I490" s="263"/>
      <c r="J490" s="263"/>
      <c r="K490" s="263"/>
      <c r="L490" s="563"/>
      <c r="M490" s="263"/>
      <c r="N490" s="263"/>
      <c r="O490" s="263"/>
      <c r="P490" s="265"/>
      <c r="Q490" s="263"/>
      <c r="R490" s="263"/>
      <c r="S490" s="263"/>
      <c r="T490" s="263"/>
      <c r="U490" s="263"/>
      <c r="V490" s="263"/>
      <c r="W490" s="263"/>
      <c r="X490" s="263"/>
      <c r="Y490" s="263"/>
      <c r="Z490" s="263"/>
      <c r="AA490" s="263"/>
      <c r="AB490" s="263"/>
      <c r="AC490" s="263"/>
      <c r="AD490" s="263"/>
      <c r="AE490" s="263"/>
      <c r="AF490" s="418"/>
      <c r="AG490" s="263"/>
      <c r="AH490" s="263"/>
      <c r="AI490" s="263"/>
    </row>
    <row r="491" spans="1:35" ht="15" customHeight="1">
      <c r="A491" s="69"/>
      <c r="B491" s="418"/>
      <c r="C491" s="263"/>
      <c r="E491" s="263"/>
      <c r="F491" s="263"/>
      <c r="G491" s="418"/>
      <c r="H491" s="263"/>
      <c r="I491" s="263"/>
      <c r="J491" s="263"/>
      <c r="K491" s="263"/>
      <c r="L491" s="563"/>
      <c r="M491" s="263"/>
      <c r="N491" s="263"/>
      <c r="O491" s="263"/>
      <c r="P491" s="265"/>
      <c r="Q491" s="263"/>
      <c r="R491" s="263"/>
      <c r="S491" s="263"/>
      <c r="T491" s="263"/>
      <c r="U491" s="263"/>
      <c r="V491" s="263"/>
      <c r="W491" s="263"/>
      <c r="X491" s="263"/>
      <c r="Y491" s="263"/>
      <c r="Z491" s="263"/>
      <c r="AA491" s="263"/>
      <c r="AB491" s="263"/>
      <c r="AC491" s="263"/>
      <c r="AD491" s="263"/>
      <c r="AE491" s="263"/>
      <c r="AF491" s="418"/>
      <c r="AG491" s="263"/>
      <c r="AH491" s="263"/>
      <c r="AI491" s="263"/>
    </row>
    <row r="492" spans="1:35" ht="15" customHeight="1">
      <c r="A492" s="69"/>
      <c r="B492" s="418"/>
      <c r="C492" s="263"/>
      <c r="E492" s="263"/>
      <c r="F492" s="263"/>
      <c r="G492" s="418"/>
      <c r="H492" s="263"/>
      <c r="I492" s="263"/>
      <c r="J492" s="263"/>
      <c r="K492" s="263"/>
      <c r="L492" s="563"/>
      <c r="M492" s="263"/>
      <c r="N492" s="263"/>
      <c r="O492" s="263"/>
      <c r="P492" s="265"/>
      <c r="Q492" s="263"/>
      <c r="R492" s="263"/>
      <c r="S492" s="263"/>
      <c r="T492" s="263"/>
      <c r="U492" s="263"/>
      <c r="V492" s="263"/>
      <c r="W492" s="263"/>
      <c r="X492" s="263"/>
      <c r="Y492" s="263"/>
      <c r="Z492" s="263"/>
      <c r="AA492" s="263"/>
      <c r="AB492" s="263"/>
      <c r="AC492" s="263"/>
      <c r="AD492" s="263"/>
      <c r="AE492" s="263"/>
      <c r="AF492" s="418"/>
      <c r="AG492" s="263"/>
      <c r="AH492" s="263"/>
      <c r="AI492" s="263"/>
    </row>
    <row r="493" spans="1:35" ht="15" customHeight="1">
      <c r="A493" s="69"/>
      <c r="B493" s="418"/>
      <c r="C493" s="263"/>
      <c r="E493" s="263"/>
      <c r="F493" s="263"/>
      <c r="G493" s="418"/>
      <c r="H493" s="263"/>
      <c r="I493" s="263"/>
      <c r="J493" s="263"/>
      <c r="K493" s="263"/>
      <c r="L493" s="563"/>
      <c r="M493" s="263"/>
      <c r="N493" s="263"/>
      <c r="O493" s="263"/>
      <c r="P493" s="265"/>
      <c r="Q493" s="263"/>
      <c r="R493" s="263"/>
      <c r="S493" s="263"/>
      <c r="T493" s="263"/>
      <c r="U493" s="263"/>
      <c r="V493" s="263"/>
      <c r="W493" s="263"/>
      <c r="X493" s="263"/>
      <c r="Y493" s="263"/>
      <c r="Z493" s="263"/>
      <c r="AA493" s="263"/>
      <c r="AB493" s="263"/>
      <c r="AC493" s="263"/>
      <c r="AD493" s="263"/>
      <c r="AE493" s="263"/>
      <c r="AF493" s="418"/>
      <c r="AG493" s="263"/>
      <c r="AH493" s="263"/>
      <c r="AI493" s="263"/>
    </row>
    <row r="494" spans="1:35" ht="15" customHeight="1">
      <c r="A494" s="69"/>
      <c r="B494" s="418"/>
      <c r="C494" s="263"/>
      <c r="E494" s="263"/>
      <c r="F494" s="263"/>
      <c r="G494" s="418"/>
      <c r="H494" s="263"/>
      <c r="I494" s="263"/>
      <c r="J494" s="263"/>
      <c r="K494" s="263"/>
      <c r="L494" s="563"/>
      <c r="M494" s="263"/>
      <c r="N494" s="263"/>
      <c r="O494" s="263"/>
      <c r="P494" s="265"/>
      <c r="Q494" s="263"/>
      <c r="R494" s="263"/>
      <c r="S494" s="263"/>
      <c r="T494" s="263"/>
      <c r="U494" s="263"/>
      <c r="V494" s="263"/>
      <c r="W494" s="263"/>
      <c r="X494" s="263"/>
      <c r="Y494" s="263"/>
      <c r="Z494" s="263"/>
      <c r="AA494" s="263"/>
      <c r="AB494" s="263"/>
      <c r="AC494" s="263"/>
      <c r="AD494" s="263"/>
      <c r="AE494" s="263"/>
      <c r="AF494" s="418"/>
      <c r="AG494" s="263"/>
      <c r="AH494" s="263"/>
      <c r="AI494" s="263"/>
    </row>
    <row r="495" spans="1:35" ht="15" customHeight="1">
      <c r="A495" s="69"/>
      <c r="B495" s="418"/>
      <c r="C495" s="263"/>
      <c r="E495" s="263"/>
      <c r="F495" s="263"/>
      <c r="G495" s="418"/>
      <c r="H495" s="263"/>
      <c r="I495" s="263"/>
      <c r="J495" s="263"/>
      <c r="K495" s="263"/>
      <c r="L495" s="563"/>
      <c r="M495" s="263"/>
      <c r="N495" s="263"/>
      <c r="O495" s="263"/>
      <c r="P495" s="265"/>
      <c r="Q495" s="263"/>
      <c r="R495" s="263"/>
      <c r="S495" s="263"/>
      <c r="T495" s="263"/>
      <c r="U495" s="263"/>
      <c r="V495" s="263"/>
      <c r="W495" s="263"/>
      <c r="X495" s="263"/>
      <c r="Y495" s="263"/>
      <c r="Z495" s="263"/>
      <c r="AA495" s="263"/>
      <c r="AB495" s="263"/>
      <c r="AC495" s="263"/>
      <c r="AD495" s="263"/>
      <c r="AE495" s="263"/>
      <c r="AF495" s="418"/>
      <c r="AG495" s="263"/>
      <c r="AH495" s="263"/>
      <c r="AI495" s="263"/>
    </row>
    <row r="496" spans="1:35" ht="15" customHeight="1">
      <c r="A496" s="69"/>
      <c r="B496" s="418"/>
      <c r="C496" s="263"/>
      <c r="E496" s="263"/>
      <c r="F496" s="263"/>
      <c r="G496" s="418"/>
      <c r="H496" s="263"/>
      <c r="I496" s="263"/>
      <c r="J496" s="263"/>
      <c r="K496" s="263"/>
      <c r="L496" s="563"/>
      <c r="M496" s="263"/>
      <c r="N496" s="263"/>
      <c r="O496" s="263"/>
      <c r="P496" s="265"/>
      <c r="Q496" s="263"/>
      <c r="R496" s="263"/>
      <c r="S496" s="263"/>
      <c r="T496" s="263"/>
      <c r="U496" s="263"/>
      <c r="V496" s="263"/>
      <c r="W496" s="263"/>
      <c r="X496" s="263"/>
      <c r="Y496" s="263"/>
      <c r="Z496" s="263"/>
      <c r="AA496" s="263"/>
      <c r="AB496" s="263"/>
      <c r="AC496" s="263"/>
      <c r="AD496" s="263"/>
      <c r="AE496" s="263"/>
      <c r="AF496" s="418"/>
      <c r="AG496" s="263"/>
      <c r="AH496" s="263"/>
      <c r="AI496" s="263"/>
    </row>
    <row r="497" spans="1:35" ht="15" customHeight="1">
      <c r="A497" s="69"/>
      <c r="B497" s="418"/>
      <c r="C497" s="263"/>
      <c r="E497" s="263"/>
      <c r="F497" s="263"/>
      <c r="G497" s="418"/>
      <c r="H497" s="263"/>
      <c r="I497" s="263"/>
      <c r="J497" s="263"/>
      <c r="K497" s="263"/>
      <c r="L497" s="563"/>
      <c r="M497" s="263"/>
      <c r="N497" s="263"/>
      <c r="O497" s="263"/>
      <c r="P497" s="265"/>
      <c r="Q497" s="263"/>
      <c r="R497" s="263"/>
      <c r="S497" s="263"/>
      <c r="T497" s="263"/>
      <c r="U497" s="263"/>
      <c r="V497" s="263"/>
      <c r="W497" s="263"/>
      <c r="X497" s="263"/>
      <c r="Y497" s="263"/>
      <c r="Z497" s="263"/>
      <c r="AA497" s="263"/>
      <c r="AB497" s="263"/>
      <c r="AC497" s="263"/>
      <c r="AD497" s="263"/>
      <c r="AE497" s="263"/>
      <c r="AF497" s="418"/>
      <c r="AG497" s="263"/>
      <c r="AH497" s="263"/>
      <c r="AI497" s="263"/>
    </row>
    <row r="498" spans="1:35" ht="15" customHeight="1">
      <c r="A498" s="69"/>
      <c r="B498" s="418"/>
      <c r="C498" s="263"/>
      <c r="E498" s="263"/>
      <c r="F498" s="263"/>
      <c r="G498" s="418"/>
      <c r="H498" s="263"/>
      <c r="I498" s="263"/>
      <c r="J498" s="263"/>
      <c r="K498" s="263"/>
      <c r="L498" s="563"/>
      <c r="M498" s="263"/>
      <c r="N498" s="263"/>
      <c r="O498" s="263"/>
      <c r="P498" s="265"/>
      <c r="Q498" s="263"/>
      <c r="R498" s="263"/>
      <c r="S498" s="263"/>
      <c r="T498" s="263"/>
      <c r="U498" s="263"/>
      <c r="V498" s="263"/>
      <c r="W498" s="263"/>
      <c r="X498" s="263"/>
      <c r="Y498" s="263"/>
      <c r="Z498" s="263"/>
      <c r="AA498" s="263"/>
      <c r="AB498" s="263"/>
      <c r="AC498" s="263"/>
      <c r="AD498" s="263"/>
      <c r="AE498" s="263"/>
      <c r="AF498" s="418"/>
      <c r="AG498" s="263"/>
      <c r="AH498" s="263"/>
      <c r="AI498" s="263"/>
    </row>
    <row r="499" spans="1:35" ht="15" customHeight="1">
      <c r="A499" s="69"/>
      <c r="B499" s="418"/>
      <c r="C499" s="263"/>
      <c r="E499" s="263"/>
      <c r="F499" s="263"/>
      <c r="G499" s="418"/>
      <c r="H499" s="263"/>
      <c r="I499" s="263"/>
      <c r="J499" s="263"/>
      <c r="K499" s="263"/>
      <c r="L499" s="563"/>
      <c r="M499" s="263"/>
      <c r="N499" s="263"/>
      <c r="O499" s="263"/>
      <c r="P499" s="265"/>
      <c r="Q499" s="263"/>
      <c r="R499" s="263"/>
      <c r="S499" s="263"/>
      <c r="T499" s="263"/>
      <c r="U499" s="263"/>
      <c r="V499" s="263"/>
      <c r="W499" s="263"/>
      <c r="X499" s="263"/>
      <c r="Y499" s="263"/>
      <c r="Z499" s="263"/>
      <c r="AA499" s="263"/>
      <c r="AB499" s="263"/>
      <c r="AC499" s="263"/>
      <c r="AD499" s="263"/>
      <c r="AE499" s="263"/>
      <c r="AF499" s="418"/>
      <c r="AG499" s="263"/>
      <c r="AH499" s="263"/>
      <c r="AI499" s="263"/>
    </row>
    <row r="500" spans="1:35" ht="15" customHeight="1">
      <c r="A500" s="69"/>
      <c r="B500" s="418"/>
      <c r="C500" s="263"/>
      <c r="E500" s="263"/>
      <c r="F500" s="263"/>
      <c r="G500" s="418"/>
      <c r="H500" s="263"/>
      <c r="I500" s="263"/>
      <c r="J500" s="263"/>
      <c r="K500" s="263"/>
      <c r="L500" s="563"/>
      <c r="M500" s="263"/>
      <c r="N500" s="263"/>
      <c r="O500" s="263"/>
      <c r="P500" s="265"/>
      <c r="Q500" s="263"/>
      <c r="R500" s="263"/>
      <c r="S500" s="263"/>
      <c r="T500" s="263"/>
      <c r="U500" s="263"/>
      <c r="V500" s="263"/>
      <c r="W500" s="263"/>
      <c r="X500" s="263"/>
      <c r="Y500" s="263"/>
      <c r="Z500" s="263"/>
      <c r="AA500" s="263"/>
      <c r="AB500" s="263"/>
      <c r="AC500" s="263"/>
      <c r="AD500" s="263"/>
      <c r="AE500" s="263"/>
      <c r="AF500" s="418"/>
      <c r="AG500" s="263"/>
      <c r="AH500" s="263"/>
      <c r="AI500" s="263"/>
    </row>
    <row r="501" spans="1:35" ht="15" customHeight="1">
      <c r="A501" s="69"/>
      <c r="B501" s="418"/>
      <c r="C501" s="263"/>
      <c r="E501" s="263"/>
      <c r="F501" s="263"/>
      <c r="G501" s="418"/>
      <c r="H501" s="263"/>
      <c r="I501" s="263"/>
      <c r="J501" s="263"/>
      <c r="K501" s="263"/>
      <c r="L501" s="563"/>
      <c r="M501" s="263"/>
      <c r="N501" s="263"/>
      <c r="O501" s="263"/>
      <c r="P501" s="265"/>
      <c r="Q501" s="263"/>
      <c r="R501" s="263"/>
      <c r="S501" s="263"/>
      <c r="T501" s="263"/>
      <c r="U501" s="263"/>
      <c r="V501" s="263"/>
      <c r="W501" s="263"/>
      <c r="X501" s="263"/>
      <c r="Y501" s="263"/>
      <c r="Z501" s="263"/>
      <c r="AA501" s="263"/>
      <c r="AB501" s="263"/>
      <c r="AC501" s="263"/>
      <c r="AD501" s="263"/>
      <c r="AE501" s="263"/>
      <c r="AF501" s="418"/>
      <c r="AG501" s="263"/>
      <c r="AH501" s="263"/>
      <c r="AI501" s="263"/>
    </row>
    <row r="502" spans="1:35" ht="15" customHeight="1">
      <c r="A502" s="69"/>
      <c r="B502" s="418"/>
      <c r="C502" s="263"/>
      <c r="E502" s="263"/>
      <c r="F502" s="263"/>
      <c r="G502" s="418"/>
      <c r="H502" s="263"/>
      <c r="I502" s="263"/>
      <c r="J502" s="263"/>
      <c r="K502" s="263"/>
      <c r="L502" s="563"/>
      <c r="M502" s="263"/>
      <c r="N502" s="263"/>
      <c r="O502" s="263"/>
      <c r="P502" s="265"/>
      <c r="Q502" s="263"/>
      <c r="R502" s="263"/>
      <c r="S502" s="263"/>
      <c r="T502" s="263"/>
      <c r="U502" s="263"/>
      <c r="V502" s="263"/>
      <c r="W502" s="263"/>
      <c r="X502" s="263"/>
      <c r="Y502" s="263"/>
      <c r="Z502" s="263"/>
      <c r="AA502" s="263"/>
      <c r="AB502" s="263"/>
      <c r="AC502" s="263"/>
      <c r="AD502" s="263"/>
      <c r="AE502" s="263"/>
      <c r="AF502" s="418"/>
      <c r="AG502" s="263"/>
      <c r="AH502" s="263"/>
      <c r="AI502" s="263"/>
    </row>
    <row r="503" spans="1:35" ht="15" customHeight="1">
      <c r="A503" s="69"/>
      <c r="B503" s="418"/>
      <c r="C503" s="263"/>
      <c r="E503" s="263"/>
      <c r="F503" s="263"/>
      <c r="G503" s="418"/>
      <c r="H503" s="263"/>
      <c r="I503" s="263"/>
      <c r="J503" s="263"/>
      <c r="K503" s="263"/>
      <c r="L503" s="563"/>
      <c r="M503" s="263"/>
      <c r="N503" s="263"/>
      <c r="O503" s="263"/>
      <c r="P503" s="265"/>
      <c r="Q503" s="263"/>
      <c r="R503" s="263"/>
      <c r="S503" s="263"/>
      <c r="T503" s="263"/>
      <c r="U503" s="263"/>
      <c r="V503" s="263"/>
      <c r="W503" s="263"/>
      <c r="X503" s="263"/>
      <c r="Y503" s="263"/>
      <c r="Z503" s="263"/>
      <c r="AA503" s="263"/>
      <c r="AB503" s="263"/>
      <c r="AC503" s="263"/>
      <c r="AD503" s="263"/>
      <c r="AE503" s="263"/>
      <c r="AF503" s="418"/>
      <c r="AG503" s="263"/>
      <c r="AH503" s="263"/>
      <c r="AI503" s="263"/>
    </row>
    <row r="504" spans="1:35" ht="15" customHeight="1">
      <c r="A504" s="69"/>
      <c r="B504" s="418"/>
      <c r="C504" s="263"/>
      <c r="E504" s="263"/>
      <c r="F504" s="263"/>
      <c r="G504" s="418"/>
      <c r="H504" s="263"/>
      <c r="I504" s="263"/>
      <c r="J504" s="263"/>
      <c r="K504" s="263"/>
      <c r="L504" s="563"/>
      <c r="M504" s="263"/>
      <c r="N504" s="263"/>
      <c r="O504" s="263"/>
      <c r="P504" s="265"/>
      <c r="Q504" s="263"/>
      <c r="R504" s="263"/>
      <c r="S504" s="263"/>
      <c r="T504" s="263"/>
      <c r="U504" s="263"/>
      <c r="V504" s="263"/>
      <c r="W504" s="263"/>
      <c r="X504" s="263"/>
      <c r="Y504" s="263"/>
      <c r="Z504" s="263"/>
      <c r="AA504" s="263"/>
      <c r="AB504" s="263"/>
      <c r="AC504" s="263"/>
      <c r="AD504" s="263"/>
      <c r="AE504" s="263"/>
      <c r="AF504" s="418"/>
      <c r="AG504" s="263"/>
      <c r="AH504" s="263"/>
      <c r="AI504" s="263"/>
    </row>
    <row r="505" spans="1:35" ht="15" customHeight="1">
      <c r="A505" s="69"/>
      <c r="B505" s="418"/>
      <c r="C505" s="263"/>
      <c r="E505" s="263"/>
      <c r="F505" s="263"/>
      <c r="G505" s="418"/>
      <c r="H505" s="263"/>
      <c r="I505" s="263"/>
      <c r="J505" s="263"/>
      <c r="K505" s="263"/>
      <c r="L505" s="563"/>
      <c r="M505" s="263"/>
      <c r="N505" s="263"/>
      <c r="O505" s="263"/>
      <c r="P505" s="265"/>
      <c r="Q505" s="263"/>
      <c r="R505" s="263"/>
      <c r="S505" s="263"/>
      <c r="T505" s="263"/>
      <c r="U505" s="263"/>
      <c r="V505" s="263"/>
      <c r="W505" s="263"/>
      <c r="X505" s="263"/>
      <c r="Y505" s="263"/>
      <c r="Z505" s="263"/>
      <c r="AA505" s="263"/>
      <c r="AB505" s="263"/>
      <c r="AC505" s="263"/>
      <c r="AD505" s="263"/>
      <c r="AE505" s="263"/>
      <c r="AF505" s="418"/>
      <c r="AG505" s="263"/>
      <c r="AH505" s="263"/>
      <c r="AI505" s="263"/>
    </row>
    <row r="506" spans="1:35" ht="15" customHeight="1">
      <c r="A506" s="69"/>
      <c r="B506" s="418"/>
      <c r="C506" s="263"/>
      <c r="E506" s="263"/>
      <c r="F506" s="263"/>
      <c r="G506" s="418"/>
      <c r="H506" s="263"/>
      <c r="I506" s="263"/>
      <c r="J506" s="263"/>
      <c r="K506" s="263"/>
      <c r="L506" s="563"/>
      <c r="M506" s="263"/>
      <c r="N506" s="263"/>
      <c r="O506" s="263"/>
      <c r="P506" s="265"/>
      <c r="Q506" s="263"/>
      <c r="R506" s="263"/>
      <c r="S506" s="263"/>
      <c r="T506" s="263"/>
      <c r="U506" s="263"/>
      <c r="V506" s="263"/>
      <c r="W506" s="263"/>
      <c r="X506" s="263"/>
      <c r="Y506" s="263"/>
      <c r="Z506" s="263"/>
      <c r="AA506" s="263"/>
      <c r="AB506" s="263"/>
      <c r="AC506" s="263"/>
      <c r="AD506" s="263"/>
      <c r="AE506" s="263"/>
      <c r="AF506" s="418"/>
      <c r="AG506" s="263"/>
      <c r="AH506" s="263"/>
      <c r="AI506" s="263"/>
    </row>
    <row r="507" spans="1:35" ht="15" customHeight="1">
      <c r="A507" s="69"/>
      <c r="B507" s="418"/>
      <c r="C507" s="263"/>
      <c r="E507" s="263"/>
      <c r="F507" s="263"/>
      <c r="G507" s="418"/>
      <c r="H507" s="263"/>
      <c r="I507" s="263"/>
      <c r="J507" s="263"/>
      <c r="K507" s="263"/>
      <c r="L507" s="563"/>
      <c r="M507" s="263"/>
      <c r="N507" s="263"/>
      <c r="O507" s="263"/>
      <c r="P507" s="265"/>
      <c r="Q507" s="263"/>
      <c r="R507" s="263"/>
      <c r="S507" s="263"/>
      <c r="T507" s="263"/>
      <c r="U507" s="263"/>
      <c r="V507" s="263"/>
      <c r="W507" s="263"/>
      <c r="X507" s="263"/>
      <c r="Y507" s="263"/>
      <c r="Z507" s="263"/>
      <c r="AA507" s="263"/>
      <c r="AB507" s="263"/>
      <c r="AC507" s="263"/>
      <c r="AD507" s="263"/>
      <c r="AE507" s="263"/>
      <c r="AF507" s="418"/>
      <c r="AG507" s="263"/>
      <c r="AH507" s="263"/>
      <c r="AI507" s="263"/>
    </row>
    <row r="508" spans="1:35" ht="15" customHeight="1">
      <c r="A508" s="69"/>
      <c r="B508" s="418"/>
      <c r="C508" s="263"/>
      <c r="E508" s="263"/>
      <c r="F508" s="263"/>
      <c r="G508" s="418"/>
      <c r="H508" s="263"/>
      <c r="I508" s="263"/>
      <c r="J508" s="263"/>
      <c r="K508" s="263"/>
      <c r="L508" s="563"/>
      <c r="M508" s="263"/>
      <c r="N508" s="263"/>
      <c r="O508" s="263"/>
      <c r="P508" s="265"/>
      <c r="Q508" s="263"/>
      <c r="R508" s="263"/>
      <c r="S508" s="263"/>
      <c r="T508" s="263"/>
      <c r="U508" s="263"/>
      <c r="V508" s="263"/>
      <c r="W508" s="263"/>
      <c r="X508" s="263"/>
      <c r="Y508" s="263"/>
      <c r="Z508" s="263"/>
      <c r="AA508" s="263"/>
      <c r="AB508" s="263"/>
      <c r="AC508" s="263"/>
      <c r="AD508" s="263"/>
      <c r="AE508" s="263"/>
      <c r="AF508" s="418"/>
      <c r="AG508" s="263"/>
      <c r="AH508" s="263"/>
      <c r="AI508" s="263"/>
    </row>
    <row r="509" spans="1:35" ht="15" customHeight="1">
      <c r="A509" s="69"/>
      <c r="B509" s="418"/>
      <c r="C509" s="263"/>
      <c r="E509" s="263"/>
      <c r="F509" s="263"/>
      <c r="G509" s="418"/>
      <c r="H509" s="263"/>
      <c r="I509" s="263"/>
      <c r="J509" s="263"/>
      <c r="K509" s="263"/>
      <c r="L509" s="563"/>
      <c r="M509" s="263"/>
      <c r="N509" s="263"/>
      <c r="O509" s="263"/>
      <c r="P509" s="265"/>
      <c r="Q509" s="263"/>
      <c r="R509" s="263"/>
      <c r="S509" s="263"/>
      <c r="T509" s="263"/>
      <c r="U509" s="263"/>
      <c r="V509" s="263"/>
      <c r="W509" s="263"/>
      <c r="X509" s="263"/>
      <c r="Y509" s="263"/>
      <c r="Z509" s="263"/>
      <c r="AA509" s="263"/>
      <c r="AB509" s="263"/>
      <c r="AC509" s="263"/>
      <c r="AD509" s="263"/>
      <c r="AE509" s="263"/>
      <c r="AF509" s="418"/>
      <c r="AG509" s="263"/>
      <c r="AH509" s="263"/>
      <c r="AI509" s="263"/>
    </row>
    <row r="510" spans="1:35" ht="15" customHeight="1">
      <c r="A510" s="69"/>
      <c r="B510" s="418"/>
      <c r="C510" s="263"/>
      <c r="E510" s="263"/>
      <c r="F510" s="263"/>
      <c r="G510" s="418"/>
      <c r="H510" s="263"/>
      <c r="I510" s="263"/>
      <c r="J510" s="263"/>
      <c r="K510" s="263"/>
      <c r="L510" s="563"/>
      <c r="M510" s="263"/>
      <c r="N510" s="263"/>
      <c r="O510" s="263"/>
      <c r="P510" s="265"/>
      <c r="Q510" s="263"/>
      <c r="R510" s="263"/>
      <c r="S510" s="263"/>
      <c r="T510" s="263"/>
      <c r="U510" s="263"/>
      <c r="V510" s="263"/>
      <c r="W510" s="263"/>
      <c r="X510" s="263"/>
      <c r="Y510" s="263"/>
      <c r="Z510" s="263"/>
      <c r="AA510" s="263"/>
      <c r="AB510" s="263"/>
      <c r="AC510" s="263"/>
      <c r="AD510" s="263"/>
      <c r="AE510" s="263"/>
      <c r="AF510" s="418"/>
      <c r="AG510" s="263"/>
      <c r="AH510" s="263"/>
      <c r="AI510" s="263"/>
    </row>
    <row r="511" spans="1:35" ht="15" customHeight="1">
      <c r="A511" s="69"/>
      <c r="B511" s="418"/>
      <c r="C511" s="263"/>
      <c r="E511" s="263"/>
      <c r="F511" s="263"/>
      <c r="G511" s="418"/>
      <c r="H511" s="263"/>
      <c r="I511" s="263"/>
      <c r="J511" s="263"/>
      <c r="K511" s="263"/>
      <c r="L511" s="563"/>
      <c r="M511" s="263"/>
      <c r="N511" s="263"/>
      <c r="O511" s="263"/>
      <c r="P511" s="265"/>
      <c r="Q511" s="263"/>
      <c r="R511" s="263"/>
      <c r="S511" s="263"/>
      <c r="T511" s="263"/>
      <c r="U511" s="263"/>
      <c r="V511" s="263"/>
      <c r="W511" s="263"/>
      <c r="X511" s="263"/>
      <c r="Y511" s="263"/>
      <c r="Z511" s="263"/>
      <c r="AA511" s="263"/>
      <c r="AB511" s="263"/>
      <c r="AC511" s="263"/>
      <c r="AD511" s="263"/>
      <c r="AE511" s="263"/>
      <c r="AF511" s="418"/>
      <c r="AG511" s="263"/>
      <c r="AH511" s="263"/>
      <c r="AI511" s="263"/>
    </row>
    <row r="512" spans="1:35" ht="15" customHeight="1">
      <c r="A512" s="69"/>
      <c r="B512" s="418"/>
      <c r="C512" s="263"/>
      <c r="E512" s="263"/>
      <c r="F512" s="263"/>
      <c r="G512" s="418"/>
      <c r="H512" s="263"/>
      <c r="I512" s="263"/>
      <c r="J512" s="263"/>
      <c r="K512" s="263"/>
      <c r="L512" s="563"/>
      <c r="M512" s="263"/>
      <c r="N512" s="263"/>
      <c r="O512" s="263"/>
      <c r="P512" s="265"/>
      <c r="Q512" s="263"/>
      <c r="R512" s="263"/>
      <c r="S512" s="263"/>
      <c r="T512" s="263"/>
      <c r="U512" s="263"/>
      <c r="V512" s="263"/>
      <c r="W512" s="263"/>
      <c r="X512" s="263"/>
      <c r="Y512" s="263"/>
      <c r="Z512" s="263"/>
      <c r="AA512" s="263"/>
      <c r="AB512" s="263"/>
      <c r="AC512" s="263"/>
      <c r="AD512" s="263"/>
      <c r="AE512" s="263"/>
      <c r="AF512" s="418"/>
      <c r="AG512" s="263"/>
      <c r="AH512" s="263"/>
      <c r="AI512" s="263"/>
    </row>
    <row r="513" spans="1:35" ht="15" customHeight="1">
      <c r="A513" s="69"/>
      <c r="B513" s="418"/>
      <c r="C513" s="263"/>
      <c r="E513" s="263"/>
      <c r="F513" s="263"/>
      <c r="G513" s="418"/>
      <c r="H513" s="263"/>
      <c r="I513" s="263"/>
      <c r="J513" s="263"/>
      <c r="K513" s="263"/>
      <c r="L513" s="563"/>
      <c r="M513" s="263"/>
      <c r="N513" s="263"/>
      <c r="O513" s="263"/>
      <c r="P513" s="265"/>
      <c r="Q513" s="263"/>
      <c r="R513" s="263"/>
      <c r="S513" s="263"/>
      <c r="T513" s="263"/>
      <c r="U513" s="263"/>
      <c r="V513" s="263"/>
      <c r="W513" s="263"/>
      <c r="X513" s="263"/>
      <c r="Y513" s="263"/>
      <c r="Z513" s="263"/>
      <c r="AA513" s="263"/>
      <c r="AB513" s="263"/>
      <c r="AC513" s="263"/>
      <c r="AD513" s="263"/>
      <c r="AE513" s="263"/>
      <c r="AF513" s="418"/>
      <c r="AG513" s="263"/>
      <c r="AH513" s="263"/>
      <c r="AI513" s="263"/>
    </row>
    <row r="514" spans="1:35" ht="15" customHeight="1">
      <c r="A514" s="69"/>
      <c r="B514" s="418"/>
      <c r="C514" s="263"/>
      <c r="E514" s="263"/>
      <c r="F514" s="263"/>
      <c r="G514" s="418"/>
      <c r="H514" s="263"/>
      <c r="I514" s="263"/>
      <c r="J514" s="263"/>
      <c r="K514" s="263"/>
      <c r="L514" s="563"/>
      <c r="M514" s="263"/>
      <c r="N514" s="263"/>
      <c r="O514" s="263"/>
      <c r="P514" s="265"/>
      <c r="Q514" s="263"/>
      <c r="R514" s="263"/>
      <c r="S514" s="263"/>
      <c r="T514" s="263"/>
      <c r="U514" s="263"/>
      <c r="V514" s="263"/>
      <c r="W514" s="263"/>
      <c r="X514" s="263"/>
      <c r="Y514" s="263"/>
      <c r="Z514" s="263"/>
      <c r="AA514" s="263"/>
      <c r="AB514" s="263"/>
      <c r="AC514" s="263"/>
      <c r="AD514" s="263"/>
      <c r="AE514" s="263"/>
      <c r="AF514" s="418"/>
      <c r="AG514" s="263"/>
      <c r="AH514" s="263"/>
      <c r="AI514" s="263"/>
    </row>
    <row r="515" spans="1:35" ht="15" customHeight="1">
      <c r="A515" s="69"/>
      <c r="B515" s="418"/>
      <c r="C515" s="263"/>
      <c r="E515" s="263"/>
      <c r="F515" s="263"/>
      <c r="G515" s="418"/>
      <c r="H515" s="263"/>
      <c r="I515" s="263"/>
      <c r="J515" s="263"/>
      <c r="K515" s="263"/>
      <c r="L515" s="563"/>
      <c r="M515" s="263"/>
      <c r="N515" s="263"/>
      <c r="O515" s="263"/>
      <c r="P515" s="265"/>
      <c r="Q515" s="263"/>
      <c r="R515" s="263"/>
      <c r="S515" s="263"/>
      <c r="T515" s="263"/>
      <c r="U515" s="263"/>
      <c r="V515" s="263"/>
      <c r="W515" s="263"/>
      <c r="X515" s="263"/>
      <c r="Y515" s="263"/>
      <c r="Z515" s="263"/>
      <c r="AA515" s="263"/>
      <c r="AB515" s="263"/>
      <c r="AC515" s="263"/>
      <c r="AD515" s="263"/>
      <c r="AE515" s="263"/>
      <c r="AF515" s="418"/>
      <c r="AG515" s="263"/>
      <c r="AH515" s="263"/>
      <c r="AI515" s="263"/>
    </row>
    <row r="516" spans="1:35" ht="15" customHeight="1">
      <c r="A516" s="69"/>
      <c r="B516" s="418"/>
      <c r="C516" s="263"/>
      <c r="E516" s="263"/>
      <c r="F516" s="263"/>
      <c r="G516" s="418"/>
      <c r="H516" s="263"/>
      <c r="I516" s="263"/>
      <c r="J516" s="263"/>
      <c r="K516" s="263"/>
      <c r="L516" s="563"/>
      <c r="M516" s="263"/>
      <c r="N516" s="263"/>
      <c r="O516" s="263"/>
      <c r="P516" s="265"/>
      <c r="Q516" s="263"/>
      <c r="R516" s="263"/>
      <c r="S516" s="263"/>
      <c r="T516" s="263"/>
      <c r="U516" s="263"/>
      <c r="V516" s="263"/>
      <c r="W516" s="263"/>
      <c r="X516" s="263"/>
      <c r="Y516" s="263"/>
      <c r="Z516" s="263"/>
      <c r="AA516" s="263"/>
      <c r="AB516" s="263"/>
      <c r="AC516" s="263"/>
      <c r="AD516" s="263"/>
      <c r="AE516" s="263"/>
      <c r="AF516" s="418"/>
      <c r="AG516" s="263"/>
      <c r="AH516" s="263"/>
      <c r="AI516" s="263"/>
    </row>
    <row r="517" spans="1:35" ht="15" customHeight="1">
      <c r="A517" s="69"/>
      <c r="B517" s="418"/>
      <c r="C517" s="263"/>
      <c r="E517" s="263"/>
      <c r="F517" s="263"/>
      <c r="G517" s="418"/>
      <c r="H517" s="263"/>
      <c r="I517" s="263"/>
      <c r="J517" s="263"/>
      <c r="K517" s="263"/>
      <c r="L517" s="563"/>
      <c r="M517" s="263"/>
      <c r="N517" s="263"/>
      <c r="O517" s="263"/>
      <c r="P517" s="265"/>
      <c r="Q517" s="263"/>
      <c r="R517" s="263"/>
      <c r="S517" s="263"/>
      <c r="T517" s="263"/>
      <c r="U517" s="263"/>
      <c r="V517" s="263"/>
      <c r="W517" s="263"/>
      <c r="X517" s="263"/>
      <c r="Y517" s="263"/>
      <c r="Z517" s="263"/>
      <c r="AA517" s="263"/>
      <c r="AB517" s="263"/>
      <c r="AC517" s="263"/>
      <c r="AD517" s="263"/>
      <c r="AE517" s="263"/>
      <c r="AF517" s="418"/>
      <c r="AG517" s="263"/>
      <c r="AH517" s="263"/>
      <c r="AI517" s="263"/>
    </row>
    <row r="518" spans="1:35" ht="15" customHeight="1">
      <c r="A518" s="69"/>
      <c r="B518" s="418"/>
      <c r="C518" s="263"/>
      <c r="E518" s="263"/>
      <c r="F518" s="263"/>
      <c r="G518" s="418"/>
      <c r="H518" s="263"/>
      <c r="I518" s="263"/>
      <c r="J518" s="263"/>
      <c r="K518" s="263"/>
      <c r="L518" s="563"/>
      <c r="M518" s="263"/>
      <c r="N518" s="263"/>
      <c r="O518" s="263"/>
      <c r="P518" s="265"/>
      <c r="Q518" s="263"/>
      <c r="R518" s="263"/>
      <c r="S518" s="263"/>
      <c r="T518" s="263"/>
      <c r="U518" s="263"/>
      <c r="V518" s="263"/>
      <c r="W518" s="263"/>
      <c r="X518" s="263"/>
      <c r="Y518" s="263"/>
      <c r="Z518" s="263"/>
      <c r="AA518" s="263"/>
      <c r="AB518" s="263"/>
      <c r="AC518" s="263"/>
      <c r="AD518" s="263"/>
      <c r="AE518" s="263"/>
      <c r="AF518" s="418"/>
      <c r="AG518" s="263"/>
      <c r="AH518" s="263"/>
      <c r="AI518" s="263"/>
    </row>
    <row r="519" spans="1:35" ht="15" customHeight="1">
      <c r="A519" s="69"/>
      <c r="B519" s="418"/>
      <c r="C519" s="263"/>
      <c r="E519" s="263"/>
      <c r="F519" s="263"/>
      <c r="G519" s="418"/>
      <c r="H519" s="263"/>
      <c r="I519" s="263"/>
      <c r="J519" s="263"/>
      <c r="K519" s="263"/>
      <c r="L519" s="563"/>
      <c r="M519" s="263"/>
      <c r="N519" s="263"/>
      <c r="O519" s="263"/>
      <c r="P519" s="265"/>
      <c r="Q519" s="263"/>
      <c r="R519" s="263"/>
      <c r="S519" s="263"/>
      <c r="T519" s="263"/>
      <c r="U519" s="263"/>
      <c r="V519" s="263"/>
      <c r="W519" s="263"/>
      <c r="X519" s="263"/>
      <c r="Y519" s="263"/>
      <c r="Z519" s="263"/>
      <c r="AA519" s="263"/>
      <c r="AB519" s="263"/>
      <c r="AC519" s="263"/>
      <c r="AD519" s="263"/>
      <c r="AE519" s="263"/>
      <c r="AF519" s="418"/>
      <c r="AG519" s="263"/>
      <c r="AH519" s="263"/>
      <c r="AI519" s="263"/>
    </row>
    <row r="520" spans="1:35" ht="15" customHeight="1">
      <c r="A520" s="69"/>
      <c r="B520" s="418"/>
      <c r="C520" s="263"/>
      <c r="E520" s="263"/>
      <c r="F520" s="263"/>
      <c r="G520" s="418"/>
      <c r="H520" s="263"/>
      <c r="I520" s="263"/>
      <c r="J520" s="263"/>
      <c r="K520" s="263"/>
      <c r="L520" s="563"/>
      <c r="M520" s="263"/>
      <c r="N520" s="263"/>
      <c r="O520" s="263"/>
      <c r="P520" s="265"/>
      <c r="Q520" s="263"/>
      <c r="R520" s="263"/>
      <c r="S520" s="263"/>
      <c r="T520" s="263"/>
      <c r="U520" s="263"/>
      <c r="V520" s="263"/>
      <c r="W520" s="263"/>
      <c r="X520" s="263"/>
      <c r="Y520" s="263"/>
      <c r="Z520" s="263"/>
      <c r="AA520" s="263"/>
      <c r="AB520" s="263"/>
      <c r="AC520" s="263"/>
      <c r="AD520" s="263"/>
      <c r="AE520" s="263"/>
      <c r="AF520" s="418"/>
      <c r="AG520" s="263"/>
      <c r="AH520" s="263"/>
      <c r="AI520" s="263"/>
    </row>
    <row r="521" spans="1:35" ht="15" customHeight="1">
      <c r="A521" s="69"/>
      <c r="B521" s="418"/>
      <c r="C521" s="263"/>
      <c r="E521" s="263"/>
      <c r="F521" s="263"/>
      <c r="G521" s="418"/>
      <c r="H521" s="263"/>
      <c r="I521" s="263"/>
      <c r="J521" s="263"/>
      <c r="K521" s="263"/>
      <c r="L521" s="563"/>
      <c r="M521" s="263"/>
      <c r="N521" s="263"/>
      <c r="O521" s="263"/>
      <c r="P521" s="265"/>
      <c r="Q521" s="263"/>
      <c r="R521" s="263"/>
      <c r="S521" s="263"/>
      <c r="T521" s="263"/>
      <c r="U521" s="263"/>
      <c r="V521" s="263"/>
      <c r="W521" s="263"/>
      <c r="X521" s="263"/>
      <c r="Y521" s="263"/>
      <c r="Z521" s="263"/>
      <c r="AA521" s="263"/>
      <c r="AB521" s="263"/>
      <c r="AC521" s="263"/>
      <c r="AD521" s="263"/>
      <c r="AE521" s="263"/>
      <c r="AF521" s="418"/>
      <c r="AG521" s="263"/>
      <c r="AH521" s="263"/>
      <c r="AI521" s="263"/>
    </row>
    <row r="522" spans="1:35" ht="15" customHeight="1">
      <c r="A522" s="69"/>
      <c r="B522" s="418"/>
      <c r="C522" s="263"/>
      <c r="E522" s="263"/>
      <c r="F522" s="263"/>
      <c r="G522" s="418"/>
      <c r="H522" s="263"/>
      <c r="I522" s="263"/>
      <c r="J522" s="263"/>
      <c r="K522" s="263"/>
      <c r="L522" s="563"/>
      <c r="M522" s="263"/>
      <c r="N522" s="263"/>
      <c r="O522" s="263"/>
      <c r="P522" s="265"/>
      <c r="Q522" s="263"/>
      <c r="R522" s="263"/>
      <c r="S522" s="263"/>
      <c r="T522" s="263"/>
      <c r="U522" s="263"/>
      <c r="V522" s="263"/>
      <c r="W522" s="263"/>
      <c r="X522" s="263"/>
      <c r="Y522" s="263"/>
      <c r="Z522" s="263"/>
      <c r="AA522" s="263"/>
      <c r="AB522" s="263"/>
      <c r="AC522" s="263"/>
      <c r="AD522" s="263"/>
      <c r="AE522" s="263"/>
      <c r="AF522" s="418"/>
      <c r="AG522" s="263"/>
      <c r="AH522" s="263"/>
      <c r="AI522" s="263"/>
    </row>
    <row r="523" spans="1:35" ht="15" customHeight="1">
      <c r="A523" s="69"/>
      <c r="B523" s="418"/>
      <c r="C523" s="263"/>
      <c r="E523" s="263"/>
      <c r="F523" s="263"/>
      <c r="G523" s="418"/>
      <c r="H523" s="263"/>
      <c r="I523" s="263"/>
      <c r="J523" s="263"/>
      <c r="K523" s="263"/>
      <c r="L523" s="563"/>
      <c r="M523" s="263"/>
      <c r="N523" s="263"/>
      <c r="O523" s="263"/>
      <c r="P523" s="265"/>
      <c r="Q523" s="263"/>
      <c r="R523" s="263"/>
      <c r="S523" s="263"/>
      <c r="T523" s="263"/>
      <c r="U523" s="263"/>
      <c r="V523" s="263"/>
      <c r="W523" s="263"/>
      <c r="X523" s="263"/>
      <c r="Y523" s="263"/>
      <c r="Z523" s="263"/>
      <c r="AA523" s="263"/>
      <c r="AB523" s="263"/>
      <c r="AC523" s="263"/>
      <c r="AD523" s="263"/>
      <c r="AE523" s="263"/>
      <c r="AF523" s="418"/>
      <c r="AG523" s="263"/>
      <c r="AH523" s="263"/>
      <c r="AI523" s="263"/>
    </row>
    <row r="524" spans="1:35" ht="15" customHeight="1">
      <c r="A524" s="69"/>
      <c r="B524" s="418"/>
      <c r="C524" s="263"/>
      <c r="E524" s="263"/>
      <c r="F524" s="263"/>
      <c r="G524" s="418"/>
      <c r="H524" s="263"/>
      <c r="I524" s="263"/>
      <c r="J524" s="263"/>
      <c r="K524" s="263"/>
      <c r="L524" s="563"/>
      <c r="M524" s="263"/>
      <c r="N524" s="263"/>
      <c r="O524" s="263"/>
      <c r="P524" s="265"/>
      <c r="Q524" s="263"/>
      <c r="R524" s="263"/>
      <c r="S524" s="263"/>
      <c r="T524" s="263"/>
      <c r="U524" s="263"/>
      <c r="V524" s="263"/>
      <c r="W524" s="263"/>
      <c r="X524" s="263"/>
      <c r="Y524" s="263"/>
      <c r="Z524" s="263"/>
      <c r="AA524" s="263"/>
      <c r="AB524" s="263"/>
      <c r="AC524" s="263"/>
      <c r="AD524" s="263"/>
      <c r="AE524" s="263"/>
      <c r="AF524" s="418"/>
      <c r="AG524" s="263"/>
      <c r="AH524" s="263"/>
      <c r="AI524" s="263"/>
    </row>
    <row r="525" spans="1:35" ht="15" customHeight="1">
      <c r="A525" s="69"/>
      <c r="B525" s="418"/>
      <c r="C525" s="263"/>
      <c r="E525" s="263"/>
      <c r="F525" s="263"/>
      <c r="G525" s="418"/>
      <c r="H525" s="263"/>
      <c r="I525" s="263"/>
      <c r="J525" s="263"/>
      <c r="K525" s="263"/>
      <c r="L525" s="563"/>
      <c r="M525" s="263"/>
      <c r="N525" s="263"/>
      <c r="O525" s="263"/>
      <c r="P525" s="265"/>
      <c r="Q525" s="263"/>
      <c r="R525" s="263"/>
      <c r="S525" s="263"/>
      <c r="T525" s="263"/>
      <c r="U525" s="263"/>
      <c r="V525" s="263"/>
      <c r="W525" s="263"/>
      <c r="X525" s="263"/>
      <c r="Y525" s="263"/>
      <c r="Z525" s="263"/>
      <c r="AA525" s="263"/>
      <c r="AB525" s="263"/>
      <c r="AC525" s="263"/>
      <c r="AD525" s="263"/>
      <c r="AE525" s="263"/>
      <c r="AF525" s="418"/>
      <c r="AG525" s="263"/>
      <c r="AH525" s="263"/>
      <c r="AI525" s="263"/>
    </row>
    <row r="526" spans="1:35" ht="15" customHeight="1">
      <c r="A526" s="69"/>
      <c r="B526" s="418"/>
      <c r="C526" s="263"/>
      <c r="E526" s="263"/>
      <c r="F526" s="263"/>
      <c r="G526" s="418"/>
      <c r="H526" s="263"/>
      <c r="I526" s="263"/>
      <c r="J526" s="263"/>
      <c r="K526" s="263"/>
      <c r="L526" s="563"/>
      <c r="M526" s="263"/>
      <c r="N526" s="263"/>
      <c r="O526" s="263"/>
      <c r="P526" s="265"/>
      <c r="Q526" s="263"/>
      <c r="R526" s="263"/>
      <c r="S526" s="263"/>
      <c r="T526" s="263"/>
      <c r="U526" s="263"/>
      <c r="V526" s="263"/>
      <c r="W526" s="263"/>
      <c r="X526" s="263"/>
      <c r="Y526" s="263"/>
      <c r="Z526" s="263"/>
      <c r="AA526" s="263"/>
      <c r="AB526" s="263"/>
      <c r="AC526" s="263"/>
      <c r="AD526" s="263"/>
      <c r="AE526" s="263"/>
      <c r="AF526" s="418"/>
      <c r="AG526" s="263"/>
      <c r="AH526" s="263"/>
      <c r="AI526" s="263"/>
    </row>
    <row r="527" spans="1:35" ht="15" customHeight="1">
      <c r="A527" s="69"/>
      <c r="B527" s="418"/>
      <c r="C527" s="263"/>
      <c r="E527" s="263"/>
      <c r="F527" s="263"/>
      <c r="G527" s="418"/>
      <c r="H527" s="263"/>
      <c r="I527" s="263"/>
      <c r="J527" s="263"/>
      <c r="K527" s="263"/>
      <c r="L527" s="563"/>
      <c r="M527" s="263"/>
      <c r="N527" s="263"/>
      <c r="O527" s="263"/>
      <c r="P527" s="265"/>
      <c r="Q527" s="263"/>
      <c r="R527" s="263"/>
      <c r="S527" s="263"/>
      <c r="T527" s="263"/>
      <c r="U527" s="263"/>
      <c r="V527" s="263"/>
      <c r="W527" s="263"/>
      <c r="X527" s="263"/>
      <c r="Y527" s="263"/>
      <c r="Z527" s="263"/>
      <c r="AA527" s="263"/>
      <c r="AB527" s="263"/>
      <c r="AC527" s="263"/>
      <c r="AD527" s="263"/>
      <c r="AE527" s="263"/>
      <c r="AF527" s="418"/>
      <c r="AG527" s="263"/>
      <c r="AH527" s="263"/>
      <c r="AI527" s="263"/>
    </row>
    <row r="528" spans="1:35" ht="15" customHeight="1">
      <c r="A528" s="69"/>
      <c r="B528" s="418"/>
      <c r="C528" s="263"/>
      <c r="E528" s="263"/>
      <c r="F528" s="263"/>
      <c r="G528" s="418"/>
      <c r="H528" s="263"/>
      <c r="I528" s="263"/>
      <c r="J528" s="263"/>
      <c r="K528" s="263"/>
      <c r="L528" s="563"/>
      <c r="M528" s="263"/>
      <c r="N528" s="263"/>
      <c r="O528" s="263"/>
      <c r="P528" s="265"/>
      <c r="Q528" s="263"/>
      <c r="R528" s="263"/>
      <c r="S528" s="263"/>
      <c r="T528" s="263"/>
      <c r="U528" s="263"/>
      <c r="V528" s="263"/>
      <c r="W528" s="263"/>
      <c r="X528" s="263"/>
      <c r="Y528" s="263"/>
      <c r="Z528" s="263"/>
      <c r="AA528" s="263"/>
      <c r="AB528" s="263"/>
      <c r="AC528" s="263"/>
      <c r="AD528" s="263"/>
      <c r="AE528" s="263"/>
      <c r="AF528" s="418"/>
      <c r="AG528" s="263"/>
      <c r="AH528" s="263"/>
      <c r="AI528" s="263"/>
    </row>
    <row r="529" spans="1:35" ht="15" customHeight="1">
      <c r="A529" s="69"/>
      <c r="B529" s="418"/>
      <c r="C529" s="263"/>
      <c r="E529" s="263"/>
      <c r="F529" s="263"/>
      <c r="G529" s="418"/>
      <c r="H529" s="263"/>
      <c r="I529" s="263"/>
      <c r="J529" s="263"/>
      <c r="K529" s="263"/>
      <c r="L529" s="563"/>
      <c r="M529" s="263"/>
      <c r="N529" s="263"/>
      <c r="O529" s="263"/>
      <c r="P529" s="265"/>
      <c r="Q529" s="263"/>
      <c r="R529" s="263"/>
      <c r="S529" s="263"/>
      <c r="T529" s="263"/>
      <c r="U529" s="263"/>
      <c r="V529" s="263"/>
      <c r="W529" s="263"/>
      <c r="X529" s="263"/>
      <c r="Y529" s="263"/>
      <c r="Z529" s="263"/>
      <c r="AA529" s="263"/>
      <c r="AB529" s="263"/>
      <c r="AC529" s="263"/>
      <c r="AD529" s="263"/>
      <c r="AE529" s="263"/>
      <c r="AF529" s="418"/>
      <c r="AG529" s="263"/>
      <c r="AH529" s="263"/>
      <c r="AI529" s="263"/>
    </row>
    <row r="530" spans="1:35" ht="15" customHeight="1">
      <c r="A530" s="69"/>
      <c r="B530" s="418"/>
      <c r="C530" s="263"/>
      <c r="E530" s="263"/>
      <c r="F530" s="263"/>
      <c r="G530" s="418"/>
      <c r="H530" s="263"/>
      <c r="I530" s="263"/>
      <c r="J530" s="263"/>
      <c r="K530" s="263"/>
      <c r="L530" s="563"/>
      <c r="M530" s="263"/>
      <c r="N530" s="263"/>
      <c r="O530" s="263"/>
      <c r="P530" s="265"/>
      <c r="Q530" s="263"/>
      <c r="R530" s="263"/>
      <c r="S530" s="263"/>
      <c r="T530" s="263"/>
      <c r="U530" s="263"/>
      <c r="V530" s="263"/>
      <c r="W530" s="263"/>
      <c r="X530" s="263"/>
      <c r="Y530" s="263"/>
      <c r="Z530" s="263"/>
      <c r="AA530" s="263"/>
      <c r="AB530" s="263"/>
      <c r="AC530" s="263"/>
      <c r="AD530" s="263"/>
      <c r="AE530" s="263"/>
      <c r="AF530" s="418"/>
      <c r="AG530" s="263"/>
      <c r="AH530" s="263"/>
      <c r="AI530" s="263"/>
    </row>
    <row r="531" spans="1:35" ht="15" customHeight="1">
      <c r="A531" s="69"/>
      <c r="B531" s="418"/>
      <c r="C531" s="263"/>
      <c r="E531" s="263"/>
      <c r="F531" s="263"/>
      <c r="G531" s="418"/>
      <c r="H531" s="263"/>
      <c r="I531" s="263"/>
      <c r="J531" s="263"/>
      <c r="K531" s="263"/>
      <c r="L531" s="563"/>
      <c r="M531" s="263"/>
      <c r="N531" s="263"/>
      <c r="O531" s="263"/>
      <c r="P531" s="265"/>
      <c r="Q531" s="263"/>
      <c r="R531" s="263"/>
      <c r="S531" s="263"/>
      <c r="T531" s="263"/>
      <c r="U531" s="263"/>
      <c r="V531" s="263"/>
      <c r="W531" s="263"/>
      <c r="X531" s="263"/>
      <c r="Y531" s="263"/>
      <c r="Z531" s="263"/>
      <c r="AA531" s="263"/>
      <c r="AB531" s="263"/>
      <c r="AC531" s="263"/>
      <c r="AD531" s="263"/>
      <c r="AE531" s="263"/>
      <c r="AF531" s="418"/>
      <c r="AG531" s="263"/>
      <c r="AH531" s="263"/>
      <c r="AI531" s="263"/>
    </row>
    <row r="532" spans="1:35" ht="15" customHeight="1">
      <c r="A532" s="69"/>
      <c r="B532" s="418"/>
      <c r="C532" s="263"/>
      <c r="E532" s="263"/>
      <c r="F532" s="263"/>
      <c r="G532" s="418"/>
      <c r="H532" s="263"/>
      <c r="I532" s="263"/>
      <c r="J532" s="263"/>
      <c r="K532" s="263"/>
      <c r="L532" s="563"/>
      <c r="M532" s="263"/>
      <c r="N532" s="263"/>
      <c r="O532" s="263"/>
      <c r="P532" s="265"/>
      <c r="Q532" s="263"/>
      <c r="R532" s="263"/>
      <c r="S532" s="263"/>
      <c r="T532" s="263"/>
      <c r="U532" s="263"/>
      <c r="V532" s="263"/>
      <c r="W532" s="263"/>
      <c r="X532" s="263"/>
      <c r="Y532" s="263"/>
      <c r="Z532" s="263"/>
      <c r="AA532" s="263"/>
      <c r="AB532" s="263"/>
      <c r="AC532" s="263"/>
      <c r="AD532" s="263"/>
      <c r="AE532" s="263"/>
      <c r="AF532" s="418"/>
      <c r="AG532" s="263"/>
      <c r="AH532" s="263"/>
      <c r="AI532" s="263"/>
    </row>
    <row r="533" spans="1:35" ht="15" customHeight="1">
      <c r="A533" s="69"/>
      <c r="B533" s="418"/>
      <c r="C533" s="263"/>
      <c r="E533" s="263"/>
      <c r="F533" s="263"/>
      <c r="G533" s="418"/>
      <c r="H533" s="263"/>
      <c r="I533" s="263"/>
      <c r="J533" s="263"/>
      <c r="K533" s="263"/>
      <c r="L533" s="563"/>
      <c r="M533" s="263"/>
      <c r="N533" s="263"/>
      <c r="O533" s="263"/>
      <c r="P533" s="265"/>
      <c r="Q533" s="263"/>
      <c r="R533" s="263"/>
      <c r="S533" s="263"/>
      <c r="T533" s="263"/>
      <c r="U533" s="263"/>
      <c r="V533" s="263"/>
      <c r="W533" s="263"/>
      <c r="X533" s="263"/>
      <c r="Y533" s="263"/>
      <c r="Z533" s="263"/>
      <c r="AA533" s="263"/>
      <c r="AB533" s="263"/>
      <c r="AC533" s="263"/>
      <c r="AD533" s="263"/>
      <c r="AE533" s="263"/>
      <c r="AF533" s="418"/>
      <c r="AG533" s="263"/>
      <c r="AH533" s="263"/>
      <c r="AI533" s="263"/>
    </row>
    <row r="534" spans="1:35" ht="15" customHeight="1">
      <c r="A534" s="69"/>
      <c r="B534" s="418"/>
      <c r="C534" s="263"/>
      <c r="E534" s="263"/>
      <c r="F534" s="263"/>
      <c r="G534" s="418"/>
      <c r="H534" s="263"/>
      <c r="I534" s="263"/>
      <c r="J534" s="263"/>
      <c r="K534" s="263"/>
      <c r="L534" s="563"/>
      <c r="M534" s="263"/>
      <c r="N534" s="263"/>
      <c r="O534" s="263"/>
      <c r="P534" s="265"/>
      <c r="Q534" s="263"/>
      <c r="R534" s="263"/>
      <c r="S534" s="263"/>
      <c r="T534" s="263"/>
      <c r="U534" s="263"/>
      <c r="V534" s="263"/>
      <c r="W534" s="263"/>
      <c r="X534" s="263"/>
      <c r="Y534" s="263"/>
      <c r="Z534" s="263"/>
      <c r="AA534" s="263"/>
      <c r="AB534" s="263"/>
      <c r="AC534" s="263"/>
      <c r="AD534" s="263"/>
      <c r="AE534" s="263"/>
      <c r="AF534" s="418"/>
      <c r="AG534" s="263"/>
      <c r="AH534" s="263"/>
      <c r="AI534" s="263"/>
    </row>
    <row r="535" spans="1:35" ht="15" customHeight="1">
      <c r="A535" s="69"/>
      <c r="B535" s="418"/>
      <c r="C535" s="263"/>
      <c r="E535" s="263"/>
      <c r="F535" s="263"/>
      <c r="G535" s="418"/>
      <c r="H535" s="263"/>
      <c r="I535" s="263"/>
      <c r="J535" s="263"/>
      <c r="K535" s="263"/>
      <c r="L535" s="563"/>
      <c r="M535" s="263"/>
      <c r="N535" s="263"/>
      <c r="O535" s="263"/>
      <c r="P535" s="265"/>
      <c r="Q535" s="263"/>
      <c r="R535" s="263"/>
      <c r="S535" s="263"/>
      <c r="T535" s="263"/>
      <c r="U535" s="263"/>
      <c r="V535" s="263"/>
      <c r="W535" s="263"/>
      <c r="X535" s="263"/>
      <c r="Y535" s="263"/>
      <c r="Z535" s="263"/>
      <c r="AA535" s="263"/>
      <c r="AB535" s="263"/>
      <c r="AC535" s="263"/>
      <c r="AD535" s="263"/>
      <c r="AE535" s="263"/>
      <c r="AF535" s="418"/>
      <c r="AG535" s="263"/>
      <c r="AH535" s="263"/>
      <c r="AI535" s="263"/>
    </row>
    <row r="536" spans="1:35" ht="15" customHeight="1">
      <c r="A536" s="69"/>
      <c r="B536" s="418"/>
      <c r="C536" s="263"/>
      <c r="E536" s="263"/>
      <c r="F536" s="263"/>
      <c r="G536" s="418"/>
      <c r="H536" s="263"/>
      <c r="I536" s="263"/>
      <c r="J536" s="263"/>
      <c r="K536" s="263"/>
      <c r="L536" s="563"/>
      <c r="M536" s="263"/>
      <c r="N536" s="263"/>
      <c r="O536" s="263"/>
      <c r="P536" s="265"/>
      <c r="Q536" s="263"/>
      <c r="R536" s="263"/>
      <c r="S536" s="263"/>
      <c r="T536" s="263"/>
      <c r="U536" s="263"/>
      <c r="V536" s="263"/>
      <c r="W536" s="263"/>
      <c r="X536" s="263"/>
      <c r="Y536" s="263"/>
      <c r="Z536" s="263"/>
      <c r="AA536" s="263"/>
      <c r="AB536" s="263"/>
      <c r="AC536" s="263"/>
      <c r="AD536" s="263"/>
      <c r="AE536" s="263"/>
      <c r="AF536" s="418"/>
      <c r="AG536" s="263"/>
      <c r="AH536" s="263"/>
      <c r="AI536" s="263"/>
    </row>
    <row r="537" spans="1:35" ht="15" customHeight="1">
      <c r="A537" s="69"/>
      <c r="B537" s="418"/>
      <c r="C537" s="263"/>
      <c r="E537" s="263"/>
      <c r="F537" s="263"/>
      <c r="G537" s="418"/>
      <c r="H537" s="263"/>
      <c r="I537" s="263"/>
      <c r="J537" s="263"/>
      <c r="K537" s="263"/>
      <c r="L537" s="563"/>
      <c r="M537" s="263"/>
      <c r="N537" s="263"/>
      <c r="O537" s="263"/>
      <c r="P537" s="265"/>
      <c r="Q537" s="263"/>
      <c r="R537" s="263"/>
      <c r="S537" s="263"/>
      <c r="T537" s="263"/>
      <c r="U537" s="263"/>
      <c r="V537" s="263"/>
      <c r="W537" s="263"/>
      <c r="X537" s="263"/>
      <c r="Y537" s="263"/>
      <c r="Z537" s="263"/>
      <c r="AA537" s="263"/>
      <c r="AB537" s="263"/>
      <c r="AC537" s="263"/>
      <c r="AD537" s="263"/>
      <c r="AE537" s="263"/>
      <c r="AF537" s="418"/>
      <c r="AG537" s="263"/>
      <c r="AH537" s="263"/>
      <c r="AI537" s="263"/>
    </row>
    <row r="538" spans="1:35" ht="15" customHeight="1">
      <c r="A538" s="69"/>
      <c r="B538" s="418"/>
      <c r="C538" s="263"/>
      <c r="E538" s="263"/>
      <c r="F538" s="263"/>
      <c r="G538" s="418"/>
      <c r="H538" s="263"/>
      <c r="I538" s="263"/>
      <c r="J538" s="263"/>
      <c r="K538" s="263"/>
      <c r="L538" s="563"/>
      <c r="M538" s="263"/>
      <c r="N538" s="263"/>
      <c r="O538" s="263"/>
      <c r="P538" s="265"/>
      <c r="Q538" s="263"/>
      <c r="R538" s="263"/>
      <c r="S538" s="263"/>
      <c r="T538" s="263"/>
      <c r="U538" s="263"/>
      <c r="V538" s="263"/>
      <c r="W538" s="263"/>
      <c r="X538" s="263"/>
      <c r="Y538" s="263"/>
      <c r="Z538" s="263"/>
      <c r="AA538" s="263"/>
      <c r="AB538" s="263"/>
      <c r="AC538" s="263"/>
      <c r="AD538" s="263"/>
      <c r="AE538" s="263"/>
      <c r="AF538" s="418"/>
      <c r="AG538" s="263"/>
      <c r="AH538" s="263"/>
      <c r="AI538" s="263"/>
    </row>
    <row r="539" spans="1:35" ht="15" customHeight="1">
      <c r="A539" s="69"/>
      <c r="B539" s="418"/>
      <c r="C539" s="263"/>
      <c r="E539" s="263"/>
      <c r="F539" s="263"/>
      <c r="G539" s="418"/>
      <c r="H539" s="263"/>
      <c r="I539" s="263"/>
      <c r="J539" s="263"/>
      <c r="K539" s="263"/>
      <c r="L539" s="563"/>
      <c r="M539" s="263"/>
      <c r="N539" s="263"/>
      <c r="O539" s="263"/>
      <c r="P539" s="265"/>
      <c r="Q539" s="263"/>
      <c r="R539" s="263"/>
      <c r="S539" s="263"/>
      <c r="T539" s="263"/>
      <c r="U539" s="263"/>
      <c r="V539" s="263"/>
      <c r="W539" s="263"/>
      <c r="X539" s="263"/>
      <c r="Y539" s="263"/>
      <c r="Z539" s="263"/>
      <c r="AA539" s="263"/>
      <c r="AB539" s="263"/>
      <c r="AC539" s="263"/>
      <c r="AD539" s="263"/>
      <c r="AE539" s="263"/>
      <c r="AF539" s="418"/>
      <c r="AG539" s="263"/>
      <c r="AH539" s="263"/>
      <c r="AI539" s="263"/>
    </row>
    <row r="540" spans="1:35" ht="15" customHeight="1">
      <c r="A540" s="69"/>
      <c r="B540" s="418"/>
      <c r="C540" s="263"/>
      <c r="E540" s="263"/>
      <c r="F540" s="263"/>
      <c r="G540" s="418"/>
      <c r="H540" s="263"/>
      <c r="I540" s="263"/>
      <c r="J540" s="263"/>
      <c r="K540" s="263"/>
      <c r="L540" s="563"/>
      <c r="M540" s="263"/>
      <c r="N540" s="263"/>
      <c r="O540" s="263"/>
      <c r="P540" s="265"/>
      <c r="Q540" s="263"/>
      <c r="R540" s="263"/>
      <c r="S540" s="263"/>
      <c r="T540" s="263"/>
      <c r="U540" s="263"/>
      <c r="V540" s="263"/>
      <c r="W540" s="263"/>
      <c r="X540" s="263"/>
      <c r="Y540" s="263"/>
      <c r="Z540" s="263"/>
      <c r="AA540" s="263"/>
      <c r="AB540" s="263"/>
      <c r="AC540" s="263"/>
      <c r="AD540" s="263"/>
      <c r="AE540" s="263"/>
      <c r="AF540" s="418"/>
      <c r="AG540" s="263"/>
      <c r="AH540" s="263"/>
      <c r="AI540" s="263"/>
    </row>
    <row r="541" spans="1:35" ht="15" customHeight="1">
      <c r="A541" s="69"/>
      <c r="B541" s="418"/>
      <c r="C541" s="263"/>
      <c r="E541" s="263"/>
      <c r="F541" s="263"/>
      <c r="G541" s="418"/>
      <c r="H541" s="263"/>
      <c r="I541" s="263"/>
      <c r="J541" s="263"/>
      <c r="K541" s="263"/>
      <c r="L541" s="563"/>
      <c r="M541" s="263"/>
      <c r="N541" s="263"/>
      <c r="O541" s="263"/>
      <c r="P541" s="265"/>
      <c r="Q541" s="263"/>
      <c r="R541" s="263"/>
      <c r="S541" s="263"/>
      <c r="T541" s="263"/>
      <c r="U541" s="263"/>
      <c r="V541" s="263"/>
      <c r="W541" s="263"/>
      <c r="X541" s="263"/>
      <c r="Y541" s="263"/>
      <c r="Z541" s="263"/>
      <c r="AA541" s="263"/>
      <c r="AB541" s="263"/>
      <c r="AC541" s="263"/>
      <c r="AD541" s="263"/>
      <c r="AE541" s="263"/>
      <c r="AF541" s="418"/>
      <c r="AG541" s="263"/>
      <c r="AH541" s="263"/>
      <c r="AI541" s="263"/>
    </row>
    <row r="542" spans="1:35" ht="15" customHeight="1">
      <c r="A542" s="69"/>
      <c r="B542" s="418"/>
      <c r="C542" s="263"/>
      <c r="E542" s="263"/>
      <c r="F542" s="263"/>
      <c r="G542" s="418"/>
      <c r="H542" s="263"/>
      <c r="I542" s="263"/>
      <c r="J542" s="263"/>
      <c r="K542" s="263"/>
      <c r="L542" s="563"/>
      <c r="M542" s="263"/>
      <c r="N542" s="263"/>
      <c r="O542" s="263"/>
      <c r="P542" s="265"/>
      <c r="Q542" s="263"/>
      <c r="R542" s="263"/>
      <c r="S542" s="263"/>
      <c r="T542" s="263"/>
      <c r="U542" s="263"/>
      <c r="V542" s="263"/>
      <c r="W542" s="263"/>
      <c r="X542" s="263"/>
      <c r="Y542" s="263"/>
      <c r="Z542" s="263"/>
      <c r="AA542" s="263"/>
      <c r="AB542" s="263"/>
      <c r="AC542" s="263"/>
      <c r="AD542" s="263"/>
      <c r="AE542" s="263"/>
      <c r="AF542" s="418"/>
      <c r="AG542" s="263"/>
      <c r="AH542" s="263"/>
      <c r="AI542" s="263"/>
    </row>
    <row r="543" spans="1:35" ht="15" customHeight="1">
      <c r="A543" s="69"/>
      <c r="B543" s="418"/>
      <c r="C543" s="263"/>
      <c r="E543" s="263"/>
      <c r="F543" s="263"/>
      <c r="G543" s="418"/>
      <c r="H543" s="263"/>
      <c r="I543" s="263"/>
      <c r="J543" s="263"/>
      <c r="K543" s="263"/>
      <c r="L543" s="563"/>
      <c r="M543" s="263"/>
      <c r="N543" s="263"/>
      <c r="O543" s="263"/>
      <c r="P543" s="265"/>
      <c r="Q543" s="263"/>
      <c r="R543" s="263"/>
      <c r="S543" s="263"/>
      <c r="T543" s="263"/>
      <c r="U543" s="263"/>
      <c r="V543" s="263"/>
      <c r="W543" s="263"/>
      <c r="X543" s="263"/>
      <c r="Y543" s="263"/>
      <c r="Z543" s="263"/>
      <c r="AA543" s="263"/>
      <c r="AB543" s="263"/>
      <c r="AC543" s="263"/>
      <c r="AD543" s="263"/>
      <c r="AE543" s="263"/>
      <c r="AF543" s="418"/>
      <c r="AG543" s="263"/>
      <c r="AH543" s="263"/>
      <c r="AI543" s="263"/>
    </row>
    <row r="544" spans="1:35" ht="15" customHeight="1">
      <c r="A544" s="69"/>
      <c r="B544" s="418"/>
      <c r="C544" s="263"/>
      <c r="E544" s="263"/>
      <c r="F544" s="263"/>
      <c r="G544" s="418"/>
      <c r="H544" s="263"/>
      <c r="I544" s="263"/>
      <c r="J544" s="263"/>
      <c r="K544" s="263"/>
      <c r="L544" s="563"/>
      <c r="M544" s="263"/>
      <c r="N544" s="263"/>
      <c r="O544" s="263"/>
      <c r="P544" s="265"/>
      <c r="Q544" s="263"/>
      <c r="R544" s="263"/>
      <c r="S544" s="263"/>
      <c r="T544" s="263"/>
      <c r="U544" s="263"/>
      <c r="V544" s="263"/>
      <c r="W544" s="263"/>
      <c r="X544" s="263"/>
      <c r="Y544" s="263"/>
      <c r="Z544" s="263"/>
      <c r="AA544" s="263"/>
      <c r="AB544" s="263"/>
      <c r="AC544" s="263"/>
      <c r="AD544" s="263"/>
      <c r="AE544" s="263"/>
      <c r="AF544" s="418"/>
      <c r="AG544" s="263"/>
      <c r="AH544" s="263"/>
      <c r="AI544" s="263"/>
    </row>
    <row r="545" spans="1:35" ht="15" customHeight="1">
      <c r="A545" s="69"/>
      <c r="B545" s="418"/>
      <c r="C545" s="263"/>
      <c r="E545" s="263"/>
      <c r="F545" s="263"/>
      <c r="G545" s="418"/>
      <c r="H545" s="263"/>
      <c r="I545" s="263"/>
      <c r="J545" s="263"/>
      <c r="K545" s="263"/>
      <c r="L545" s="563"/>
      <c r="M545" s="263"/>
      <c r="N545" s="263"/>
      <c r="O545" s="263"/>
      <c r="P545" s="265"/>
      <c r="Q545" s="263"/>
      <c r="R545" s="263"/>
      <c r="S545" s="263"/>
      <c r="T545" s="263"/>
      <c r="U545" s="263"/>
      <c r="V545" s="263"/>
      <c r="W545" s="263"/>
      <c r="X545" s="263"/>
      <c r="Y545" s="263"/>
      <c r="Z545" s="263"/>
      <c r="AA545" s="263"/>
      <c r="AB545" s="263"/>
      <c r="AC545" s="263"/>
      <c r="AD545" s="263"/>
      <c r="AE545" s="263"/>
      <c r="AF545" s="418"/>
      <c r="AG545" s="263"/>
      <c r="AH545" s="263"/>
      <c r="AI545" s="263"/>
    </row>
    <row r="546" spans="1:35" ht="15" customHeight="1">
      <c r="A546" s="69"/>
      <c r="B546" s="418"/>
      <c r="C546" s="263"/>
      <c r="E546" s="263"/>
      <c r="F546" s="263"/>
      <c r="G546" s="418"/>
      <c r="H546" s="263"/>
      <c r="I546" s="263"/>
      <c r="J546" s="263"/>
      <c r="K546" s="263"/>
      <c r="L546" s="563"/>
      <c r="M546" s="263"/>
      <c r="N546" s="263"/>
      <c r="O546" s="263"/>
      <c r="P546" s="265"/>
      <c r="Q546" s="263"/>
      <c r="R546" s="263"/>
      <c r="S546" s="263"/>
      <c r="T546" s="263"/>
      <c r="U546" s="263"/>
      <c r="V546" s="263"/>
      <c r="W546" s="263"/>
      <c r="X546" s="263"/>
      <c r="Y546" s="263"/>
      <c r="Z546" s="263"/>
      <c r="AA546" s="263"/>
      <c r="AB546" s="263"/>
      <c r="AC546" s="263"/>
      <c r="AD546" s="263"/>
      <c r="AE546" s="263"/>
      <c r="AF546" s="418"/>
      <c r="AG546" s="263"/>
      <c r="AH546" s="263"/>
      <c r="AI546" s="263"/>
    </row>
    <row r="547" spans="1:35" ht="15" customHeight="1">
      <c r="A547" s="69"/>
      <c r="B547" s="418"/>
      <c r="C547" s="263"/>
      <c r="E547" s="263"/>
      <c r="F547" s="263"/>
      <c r="G547" s="418"/>
      <c r="H547" s="263"/>
      <c r="I547" s="263"/>
      <c r="J547" s="263"/>
      <c r="K547" s="263"/>
      <c r="L547" s="563"/>
      <c r="M547" s="263"/>
      <c r="N547" s="263"/>
      <c r="O547" s="263"/>
      <c r="P547" s="265"/>
      <c r="Q547" s="263"/>
      <c r="R547" s="263"/>
      <c r="S547" s="263"/>
      <c r="T547" s="263"/>
      <c r="U547" s="263"/>
      <c r="V547" s="263"/>
      <c r="W547" s="263"/>
      <c r="X547" s="263"/>
      <c r="Y547" s="263"/>
      <c r="Z547" s="263"/>
      <c r="AA547" s="263"/>
      <c r="AB547" s="263"/>
      <c r="AC547" s="263"/>
      <c r="AD547" s="263"/>
      <c r="AE547" s="263"/>
      <c r="AF547" s="418"/>
      <c r="AG547" s="263"/>
      <c r="AH547" s="263"/>
      <c r="AI547" s="263"/>
    </row>
    <row r="548" spans="1:35" ht="15" customHeight="1">
      <c r="A548" s="69"/>
      <c r="B548" s="418"/>
      <c r="C548" s="263"/>
      <c r="E548" s="263"/>
      <c r="F548" s="263"/>
      <c r="G548" s="418"/>
      <c r="H548" s="263"/>
      <c r="I548" s="263"/>
      <c r="J548" s="263"/>
      <c r="K548" s="263"/>
      <c r="L548" s="563"/>
      <c r="M548" s="263"/>
      <c r="N548" s="263"/>
      <c r="O548" s="263"/>
      <c r="P548" s="265"/>
      <c r="Q548" s="263"/>
      <c r="R548" s="263"/>
      <c r="S548" s="263"/>
      <c r="T548" s="263"/>
      <c r="U548" s="263"/>
      <c r="V548" s="263"/>
      <c r="W548" s="263"/>
      <c r="X548" s="263"/>
      <c r="Y548" s="263"/>
      <c r="Z548" s="263"/>
      <c r="AA548" s="263"/>
      <c r="AB548" s="263"/>
      <c r="AC548" s="263"/>
      <c r="AD548" s="263"/>
      <c r="AE548" s="263"/>
      <c r="AF548" s="418"/>
      <c r="AG548" s="263"/>
      <c r="AH548" s="263"/>
      <c r="AI548" s="263"/>
    </row>
    <row r="549" spans="1:35" ht="15" customHeight="1">
      <c r="A549" s="69"/>
      <c r="B549" s="418"/>
      <c r="C549" s="263"/>
      <c r="E549" s="263"/>
      <c r="F549" s="263"/>
      <c r="G549" s="418"/>
      <c r="H549" s="263"/>
      <c r="I549" s="263"/>
      <c r="J549" s="263"/>
      <c r="K549" s="263"/>
      <c r="L549" s="563"/>
      <c r="M549" s="263"/>
      <c r="N549" s="263"/>
      <c r="O549" s="263"/>
      <c r="P549" s="265"/>
      <c r="Q549" s="263"/>
      <c r="R549" s="263"/>
      <c r="S549" s="263"/>
      <c r="T549" s="263"/>
      <c r="U549" s="263"/>
      <c r="V549" s="263"/>
      <c r="W549" s="263"/>
      <c r="X549" s="263"/>
      <c r="Y549" s="263"/>
      <c r="Z549" s="263"/>
      <c r="AA549" s="263"/>
      <c r="AB549" s="263"/>
      <c r="AC549" s="263"/>
      <c r="AD549" s="263"/>
      <c r="AE549" s="263"/>
      <c r="AF549" s="418"/>
      <c r="AG549" s="263"/>
      <c r="AH549" s="263"/>
      <c r="AI549" s="263"/>
    </row>
    <row r="550" spans="1:35" ht="15" customHeight="1">
      <c r="A550" s="69"/>
      <c r="B550" s="418"/>
      <c r="C550" s="263"/>
      <c r="E550" s="263"/>
      <c r="F550" s="263"/>
      <c r="G550" s="418"/>
      <c r="H550" s="263"/>
      <c r="I550" s="263"/>
      <c r="J550" s="263"/>
      <c r="K550" s="263"/>
      <c r="L550" s="563"/>
      <c r="M550" s="263"/>
      <c r="N550" s="263"/>
      <c r="O550" s="263"/>
      <c r="P550" s="265"/>
      <c r="Q550" s="263"/>
      <c r="R550" s="263"/>
      <c r="S550" s="263"/>
      <c r="T550" s="263"/>
      <c r="U550" s="263"/>
      <c r="V550" s="263"/>
      <c r="W550" s="263"/>
      <c r="X550" s="263"/>
      <c r="Y550" s="263"/>
      <c r="Z550" s="263"/>
      <c r="AA550" s="263"/>
      <c r="AB550" s="263"/>
      <c r="AC550" s="263"/>
      <c r="AD550" s="263"/>
      <c r="AE550" s="263"/>
      <c r="AF550" s="418"/>
      <c r="AG550" s="263"/>
      <c r="AH550" s="263"/>
      <c r="AI550" s="263"/>
    </row>
    <row r="551" spans="1:35" ht="15" customHeight="1">
      <c r="A551" s="69"/>
      <c r="B551" s="418"/>
      <c r="C551" s="263"/>
      <c r="E551" s="263"/>
      <c r="F551" s="263"/>
      <c r="G551" s="418"/>
      <c r="H551" s="263"/>
      <c r="I551" s="263"/>
      <c r="J551" s="263"/>
      <c r="K551" s="263"/>
      <c r="L551" s="563"/>
      <c r="M551" s="263"/>
      <c r="N551" s="263"/>
      <c r="O551" s="263"/>
      <c r="P551" s="265"/>
      <c r="Q551" s="263"/>
      <c r="R551" s="263"/>
      <c r="S551" s="263"/>
      <c r="T551" s="263"/>
      <c r="U551" s="263"/>
      <c r="V551" s="263"/>
      <c r="W551" s="263"/>
      <c r="X551" s="263"/>
      <c r="Y551" s="263"/>
      <c r="Z551" s="263"/>
      <c r="AA551" s="263"/>
      <c r="AB551" s="263"/>
      <c r="AC551" s="263"/>
      <c r="AD551" s="263"/>
      <c r="AE551" s="263"/>
      <c r="AF551" s="418"/>
      <c r="AG551" s="263"/>
      <c r="AH551" s="263"/>
      <c r="AI551" s="263"/>
    </row>
    <row r="552" spans="1:35" ht="15" customHeight="1">
      <c r="A552" s="69"/>
      <c r="B552" s="418"/>
      <c r="C552" s="263"/>
      <c r="E552" s="263"/>
      <c r="F552" s="263"/>
      <c r="G552" s="418"/>
      <c r="H552" s="263"/>
      <c r="I552" s="263"/>
      <c r="J552" s="263"/>
      <c r="K552" s="263"/>
      <c r="L552" s="563"/>
      <c r="M552" s="263"/>
      <c r="N552" s="263"/>
      <c r="O552" s="263"/>
      <c r="P552" s="265"/>
      <c r="Q552" s="263"/>
      <c r="R552" s="263"/>
      <c r="S552" s="263"/>
      <c r="T552" s="263"/>
      <c r="U552" s="263"/>
      <c r="V552" s="263"/>
      <c r="W552" s="263"/>
      <c r="X552" s="263"/>
      <c r="Y552" s="263"/>
      <c r="Z552" s="263"/>
      <c r="AA552" s="263"/>
      <c r="AB552" s="263"/>
      <c r="AC552" s="263"/>
      <c r="AD552" s="263"/>
      <c r="AE552" s="263"/>
      <c r="AF552" s="418"/>
      <c r="AG552" s="263"/>
      <c r="AH552" s="263"/>
      <c r="AI552" s="263"/>
    </row>
    <row r="553" spans="1:35" ht="15" customHeight="1">
      <c r="A553" s="69"/>
      <c r="B553" s="418"/>
      <c r="C553" s="263"/>
      <c r="E553" s="263"/>
      <c r="F553" s="263"/>
      <c r="G553" s="418"/>
      <c r="H553" s="263"/>
      <c r="I553" s="263"/>
      <c r="J553" s="263"/>
      <c r="K553" s="263"/>
      <c r="L553" s="563"/>
      <c r="M553" s="263"/>
      <c r="N553" s="263"/>
      <c r="O553" s="263"/>
      <c r="P553" s="265"/>
      <c r="Q553" s="263"/>
      <c r="R553" s="263"/>
      <c r="S553" s="263"/>
      <c r="T553" s="263"/>
      <c r="U553" s="263"/>
      <c r="V553" s="263"/>
      <c r="W553" s="263"/>
      <c r="X553" s="263"/>
      <c r="Y553" s="263"/>
      <c r="Z553" s="263"/>
      <c r="AA553" s="263"/>
      <c r="AB553" s="263"/>
      <c r="AC553" s="263"/>
      <c r="AD553" s="263"/>
      <c r="AE553" s="263"/>
      <c r="AF553" s="418"/>
      <c r="AG553" s="263"/>
      <c r="AH553" s="263"/>
      <c r="AI553" s="263"/>
    </row>
    <row r="554" spans="1:35" ht="15" customHeight="1">
      <c r="A554" s="69"/>
      <c r="B554" s="418"/>
      <c r="C554" s="263"/>
      <c r="E554" s="263"/>
      <c r="F554" s="263"/>
      <c r="G554" s="418"/>
      <c r="H554" s="263"/>
      <c r="I554" s="263"/>
      <c r="J554" s="263"/>
      <c r="K554" s="263"/>
      <c r="L554" s="563"/>
      <c r="M554" s="263"/>
      <c r="N554" s="263"/>
      <c r="O554" s="263"/>
      <c r="P554" s="265"/>
      <c r="Q554" s="263"/>
      <c r="R554" s="263"/>
      <c r="S554" s="263"/>
      <c r="T554" s="263"/>
      <c r="U554" s="263"/>
      <c r="V554" s="263"/>
      <c r="W554" s="263"/>
      <c r="X554" s="263"/>
      <c r="Y554" s="263"/>
      <c r="Z554" s="263"/>
      <c r="AA554" s="263"/>
      <c r="AB554" s="263"/>
      <c r="AC554" s="263"/>
      <c r="AD554" s="263"/>
      <c r="AE554" s="263"/>
      <c r="AF554" s="418"/>
      <c r="AG554" s="263"/>
      <c r="AH554" s="263"/>
      <c r="AI554" s="263"/>
    </row>
    <row r="555" spans="1:35" ht="15" customHeight="1">
      <c r="A555" s="69"/>
      <c r="B555" s="418"/>
      <c r="C555" s="263"/>
      <c r="E555" s="263"/>
      <c r="F555" s="263"/>
      <c r="G555" s="418"/>
      <c r="H555" s="263"/>
      <c r="I555" s="263"/>
      <c r="J555" s="263"/>
      <c r="K555" s="263"/>
      <c r="L555" s="563"/>
      <c r="M555" s="263"/>
      <c r="N555" s="263"/>
      <c r="O555" s="263"/>
      <c r="P555" s="265"/>
      <c r="Q555" s="263"/>
      <c r="R555" s="263"/>
      <c r="S555" s="263"/>
      <c r="T555" s="263"/>
      <c r="U555" s="263"/>
      <c r="V555" s="263"/>
      <c r="W555" s="263"/>
      <c r="X555" s="263"/>
      <c r="Y555" s="263"/>
      <c r="Z555" s="263"/>
      <c r="AA555" s="263"/>
      <c r="AB555" s="263"/>
      <c r="AC555" s="263"/>
      <c r="AD555" s="263"/>
      <c r="AE555" s="263"/>
      <c r="AF555" s="418"/>
      <c r="AG555" s="263"/>
      <c r="AH555" s="263"/>
      <c r="AI555" s="263"/>
    </row>
    <row r="556" spans="1:35" ht="15" customHeight="1">
      <c r="A556" s="69"/>
      <c r="B556" s="418"/>
      <c r="C556" s="263"/>
      <c r="E556" s="263"/>
      <c r="F556" s="263"/>
      <c r="G556" s="418"/>
      <c r="H556" s="263"/>
      <c r="I556" s="263"/>
      <c r="J556" s="263"/>
      <c r="K556" s="263"/>
      <c r="L556" s="563"/>
      <c r="M556" s="263"/>
      <c r="N556" s="263"/>
      <c r="O556" s="263"/>
      <c r="P556" s="265"/>
      <c r="Q556" s="263"/>
      <c r="R556" s="263"/>
      <c r="S556" s="263"/>
      <c r="T556" s="263"/>
      <c r="U556" s="263"/>
      <c r="V556" s="263"/>
      <c r="W556" s="263"/>
      <c r="X556" s="263"/>
      <c r="Y556" s="263"/>
      <c r="Z556" s="263"/>
      <c r="AA556" s="263"/>
      <c r="AB556" s="263"/>
      <c r="AC556" s="263"/>
      <c r="AD556" s="263"/>
      <c r="AE556" s="263"/>
      <c r="AF556" s="418"/>
      <c r="AG556" s="263"/>
      <c r="AH556" s="263"/>
      <c r="AI556" s="263"/>
    </row>
    <row r="557" spans="1:35" ht="15" customHeight="1">
      <c r="A557" s="69"/>
      <c r="B557" s="418"/>
      <c r="C557" s="263"/>
      <c r="E557" s="263"/>
      <c r="F557" s="263"/>
      <c r="G557" s="418"/>
      <c r="H557" s="263"/>
      <c r="I557" s="263"/>
      <c r="J557" s="263"/>
      <c r="K557" s="263"/>
      <c r="L557" s="563"/>
      <c r="M557" s="263"/>
      <c r="N557" s="263"/>
      <c r="O557" s="263"/>
      <c r="P557" s="265"/>
      <c r="Q557" s="263"/>
      <c r="R557" s="263"/>
      <c r="S557" s="263"/>
      <c r="T557" s="263"/>
      <c r="U557" s="263"/>
      <c r="V557" s="263"/>
      <c r="W557" s="263"/>
      <c r="X557" s="263"/>
      <c r="Y557" s="263"/>
      <c r="Z557" s="263"/>
      <c r="AA557" s="263"/>
      <c r="AB557" s="263"/>
      <c r="AC557" s="263"/>
      <c r="AD557" s="263"/>
      <c r="AE557" s="263"/>
      <c r="AF557" s="418"/>
      <c r="AG557" s="263"/>
      <c r="AH557" s="263"/>
      <c r="AI557" s="263"/>
    </row>
    <row r="558" spans="1:35" ht="15" customHeight="1">
      <c r="A558" s="69"/>
      <c r="B558" s="418"/>
      <c r="C558" s="263"/>
      <c r="E558" s="263"/>
      <c r="F558" s="263"/>
      <c r="G558" s="418"/>
      <c r="H558" s="263"/>
      <c r="I558" s="263"/>
      <c r="J558" s="263"/>
      <c r="K558" s="263"/>
      <c r="L558" s="563"/>
      <c r="M558" s="263"/>
      <c r="N558" s="263"/>
      <c r="O558" s="263"/>
      <c r="P558" s="265"/>
      <c r="Q558" s="263"/>
      <c r="R558" s="263"/>
      <c r="S558" s="263"/>
      <c r="T558" s="263"/>
      <c r="U558" s="263"/>
      <c r="V558" s="263"/>
      <c r="W558" s="263"/>
      <c r="X558" s="263"/>
      <c r="Y558" s="263"/>
      <c r="Z558" s="263"/>
      <c r="AA558" s="263"/>
      <c r="AB558" s="263"/>
      <c r="AC558" s="263"/>
      <c r="AD558" s="263"/>
      <c r="AE558" s="263"/>
      <c r="AF558" s="418"/>
      <c r="AG558" s="263"/>
      <c r="AH558" s="263"/>
      <c r="AI558" s="263"/>
    </row>
    <row r="559" spans="1:35" ht="15" customHeight="1">
      <c r="A559" s="69"/>
      <c r="B559" s="418"/>
      <c r="C559" s="263"/>
      <c r="E559" s="263"/>
      <c r="F559" s="263"/>
      <c r="G559" s="418"/>
      <c r="H559" s="263"/>
      <c r="I559" s="263"/>
      <c r="J559" s="263"/>
      <c r="K559" s="263"/>
      <c r="L559" s="563"/>
      <c r="M559" s="263"/>
      <c r="N559" s="263"/>
      <c r="O559" s="263"/>
      <c r="P559" s="265"/>
      <c r="Q559" s="263"/>
      <c r="R559" s="263"/>
      <c r="S559" s="263"/>
      <c r="T559" s="263"/>
      <c r="U559" s="263"/>
      <c r="V559" s="263"/>
      <c r="W559" s="263"/>
      <c r="X559" s="263"/>
      <c r="Y559" s="263"/>
      <c r="Z559" s="263"/>
      <c r="AA559" s="263"/>
      <c r="AB559" s="263"/>
      <c r="AC559" s="263"/>
      <c r="AD559" s="263"/>
      <c r="AE559" s="263"/>
      <c r="AF559" s="418"/>
      <c r="AG559" s="263"/>
      <c r="AH559" s="263"/>
      <c r="AI559" s="263"/>
    </row>
    <row r="560" spans="1:35" ht="15" customHeight="1">
      <c r="A560" s="69"/>
      <c r="B560" s="418"/>
      <c r="C560" s="263"/>
      <c r="E560" s="263"/>
      <c r="F560" s="263"/>
      <c r="G560" s="418"/>
      <c r="H560" s="263"/>
      <c r="I560" s="263"/>
      <c r="J560" s="263"/>
      <c r="K560" s="263"/>
      <c r="L560" s="563"/>
      <c r="M560" s="263"/>
      <c r="N560" s="263"/>
      <c r="O560" s="263"/>
      <c r="P560" s="265"/>
      <c r="Q560" s="263"/>
      <c r="R560" s="263"/>
      <c r="S560" s="263"/>
      <c r="T560" s="263"/>
      <c r="U560" s="263"/>
      <c r="V560" s="263"/>
      <c r="W560" s="263"/>
      <c r="X560" s="263"/>
      <c r="Y560" s="263"/>
      <c r="Z560" s="263"/>
      <c r="AA560" s="263"/>
      <c r="AB560" s="263"/>
      <c r="AC560" s="263"/>
      <c r="AD560" s="263"/>
      <c r="AE560" s="263"/>
      <c r="AF560" s="418"/>
      <c r="AG560" s="263"/>
      <c r="AH560" s="263"/>
      <c r="AI560" s="263"/>
    </row>
    <row r="561" spans="1:35" ht="15" customHeight="1">
      <c r="A561" s="69"/>
      <c r="B561" s="418"/>
      <c r="C561" s="263"/>
      <c r="E561" s="263"/>
      <c r="F561" s="263"/>
      <c r="G561" s="418"/>
      <c r="H561" s="263"/>
      <c r="I561" s="263"/>
      <c r="J561" s="263"/>
      <c r="K561" s="263"/>
      <c r="L561" s="563"/>
      <c r="M561" s="263"/>
      <c r="N561" s="263"/>
      <c r="O561" s="263"/>
      <c r="P561" s="265"/>
      <c r="Q561" s="263"/>
      <c r="R561" s="263"/>
      <c r="S561" s="263"/>
      <c r="T561" s="263"/>
      <c r="U561" s="263"/>
      <c r="V561" s="263"/>
      <c r="W561" s="263"/>
      <c r="X561" s="263"/>
      <c r="Y561" s="263"/>
      <c r="Z561" s="263"/>
      <c r="AA561" s="263"/>
      <c r="AB561" s="263"/>
      <c r="AC561" s="263"/>
      <c r="AD561" s="263"/>
      <c r="AE561" s="263"/>
      <c r="AF561" s="418"/>
      <c r="AG561" s="263"/>
      <c r="AH561" s="263"/>
      <c r="AI561" s="263"/>
    </row>
    <row r="562" spans="1:35" ht="15" customHeight="1">
      <c r="A562" s="69"/>
      <c r="B562" s="418"/>
      <c r="C562" s="263"/>
      <c r="E562" s="263"/>
      <c r="F562" s="263"/>
      <c r="G562" s="418"/>
      <c r="H562" s="263"/>
      <c r="I562" s="263"/>
      <c r="J562" s="263"/>
      <c r="K562" s="263"/>
      <c r="L562" s="563"/>
      <c r="M562" s="263"/>
      <c r="N562" s="263"/>
      <c r="O562" s="263"/>
      <c r="P562" s="265"/>
      <c r="Q562" s="263"/>
      <c r="R562" s="263"/>
      <c r="S562" s="263"/>
      <c r="T562" s="263"/>
      <c r="U562" s="263"/>
      <c r="V562" s="263"/>
      <c r="W562" s="263"/>
      <c r="X562" s="263"/>
      <c r="Y562" s="263"/>
      <c r="Z562" s="263"/>
      <c r="AA562" s="263"/>
      <c r="AB562" s="263"/>
      <c r="AC562" s="263"/>
      <c r="AD562" s="263"/>
      <c r="AE562" s="263"/>
      <c r="AF562" s="418"/>
      <c r="AG562" s="263"/>
      <c r="AH562" s="263"/>
      <c r="AI562" s="263"/>
    </row>
    <row r="563" spans="1:35" ht="15" customHeight="1">
      <c r="A563" s="69"/>
      <c r="B563" s="418"/>
      <c r="C563" s="263"/>
      <c r="E563" s="263"/>
      <c r="F563" s="263"/>
      <c r="G563" s="418"/>
      <c r="H563" s="263"/>
      <c r="I563" s="263"/>
      <c r="J563" s="263"/>
      <c r="K563" s="263"/>
      <c r="L563" s="563"/>
      <c r="M563" s="263"/>
      <c r="N563" s="263"/>
      <c r="O563" s="263"/>
      <c r="P563" s="265"/>
      <c r="Q563" s="263"/>
      <c r="R563" s="263"/>
      <c r="S563" s="263"/>
      <c r="T563" s="263"/>
      <c r="U563" s="263"/>
      <c r="V563" s="263"/>
      <c r="W563" s="263"/>
      <c r="X563" s="263"/>
      <c r="Y563" s="263"/>
      <c r="Z563" s="263"/>
      <c r="AA563" s="263"/>
      <c r="AB563" s="263"/>
      <c r="AC563" s="263"/>
      <c r="AD563" s="263"/>
      <c r="AE563" s="263"/>
      <c r="AF563" s="418"/>
      <c r="AG563" s="263"/>
      <c r="AH563" s="263"/>
      <c r="AI563" s="263"/>
    </row>
    <row r="564" spans="1:35" ht="15" customHeight="1">
      <c r="A564" s="69"/>
      <c r="B564" s="418"/>
      <c r="C564" s="263"/>
      <c r="E564" s="263"/>
      <c r="F564" s="263"/>
      <c r="G564" s="418"/>
      <c r="H564" s="263"/>
      <c r="I564" s="263"/>
      <c r="J564" s="263"/>
      <c r="K564" s="263"/>
      <c r="L564" s="563"/>
      <c r="M564" s="263"/>
      <c r="N564" s="263"/>
      <c r="O564" s="263"/>
      <c r="P564" s="265"/>
      <c r="Q564" s="263"/>
      <c r="R564" s="263"/>
      <c r="S564" s="263"/>
      <c r="T564" s="263"/>
      <c r="U564" s="263"/>
      <c r="V564" s="263"/>
      <c r="W564" s="263"/>
      <c r="X564" s="263"/>
      <c r="Y564" s="263"/>
      <c r="Z564" s="263"/>
      <c r="AA564" s="263"/>
      <c r="AB564" s="263"/>
      <c r="AC564" s="263"/>
      <c r="AD564" s="263"/>
      <c r="AE564" s="263"/>
      <c r="AF564" s="418"/>
      <c r="AG564" s="263"/>
      <c r="AH564" s="263"/>
      <c r="AI564" s="263"/>
    </row>
    <row r="565" spans="1:35" ht="15" customHeight="1">
      <c r="A565" s="69"/>
      <c r="B565" s="418"/>
      <c r="C565" s="263"/>
      <c r="E565" s="263"/>
      <c r="F565" s="263"/>
      <c r="G565" s="418"/>
      <c r="H565" s="263"/>
      <c r="I565" s="263"/>
      <c r="J565" s="263"/>
      <c r="K565" s="263"/>
      <c r="L565" s="563"/>
      <c r="M565" s="263"/>
      <c r="N565" s="263"/>
      <c r="O565" s="263"/>
      <c r="P565" s="265"/>
      <c r="Q565" s="263"/>
      <c r="R565" s="263"/>
      <c r="S565" s="263"/>
      <c r="T565" s="263"/>
      <c r="U565" s="263"/>
      <c r="V565" s="263"/>
      <c r="W565" s="263"/>
      <c r="X565" s="263"/>
      <c r="Y565" s="263"/>
      <c r="Z565" s="263"/>
      <c r="AA565" s="263"/>
      <c r="AB565" s="263"/>
      <c r="AC565" s="263"/>
      <c r="AD565" s="263"/>
      <c r="AE565" s="263"/>
      <c r="AF565" s="418"/>
      <c r="AG565" s="263"/>
      <c r="AH565" s="263"/>
      <c r="AI565" s="263"/>
    </row>
    <row r="566" spans="1:35" ht="15" customHeight="1">
      <c r="A566" s="69"/>
      <c r="B566" s="418"/>
      <c r="C566" s="263"/>
      <c r="E566" s="263"/>
      <c r="F566" s="263"/>
      <c r="G566" s="418"/>
      <c r="H566" s="263"/>
      <c r="I566" s="263"/>
      <c r="J566" s="263"/>
      <c r="K566" s="263"/>
      <c r="L566" s="563"/>
      <c r="M566" s="263"/>
      <c r="N566" s="263"/>
      <c r="O566" s="263"/>
      <c r="P566" s="265"/>
      <c r="Q566" s="263"/>
      <c r="R566" s="263"/>
      <c r="S566" s="263"/>
      <c r="T566" s="263"/>
      <c r="U566" s="263"/>
      <c r="V566" s="263"/>
      <c r="W566" s="263"/>
      <c r="X566" s="263"/>
      <c r="Y566" s="263"/>
      <c r="Z566" s="263"/>
      <c r="AA566" s="263"/>
      <c r="AB566" s="263"/>
      <c r="AC566" s="263"/>
      <c r="AD566" s="263"/>
      <c r="AE566" s="263"/>
      <c r="AF566" s="418"/>
      <c r="AG566" s="263"/>
      <c r="AH566" s="263"/>
      <c r="AI566" s="263"/>
    </row>
    <row r="567" spans="1:35" ht="15" customHeight="1">
      <c r="A567" s="69"/>
      <c r="B567" s="418"/>
      <c r="C567" s="263"/>
      <c r="E567" s="263"/>
      <c r="F567" s="263"/>
      <c r="G567" s="418"/>
      <c r="H567" s="263"/>
      <c r="I567" s="263"/>
      <c r="J567" s="263"/>
      <c r="K567" s="263"/>
      <c r="L567" s="563"/>
      <c r="M567" s="263"/>
      <c r="N567" s="263"/>
      <c r="O567" s="263"/>
      <c r="P567" s="265"/>
      <c r="Q567" s="263"/>
      <c r="R567" s="263"/>
      <c r="S567" s="263"/>
      <c r="T567" s="263"/>
      <c r="U567" s="263"/>
      <c r="V567" s="263"/>
      <c r="W567" s="263"/>
      <c r="X567" s="263"/>
      <c r="Y567" s="263"/>
      <c r="Z567" s="263"/>
      <c r="AA567" s="263"/>
      <c r="AB567" s="263"/>
      <c r="AC567" s="263"/>
      <c r="AD567" s="263"/>
      <c r="AE567" s="263"/>
      <c r="AF567" s="418"/>
      <c r="AG567" s="263"/>
      <c r="AH567" s="263"/>
      <c r="AI567" s="263"/>
    </row>
    <row r="568" spans="1:35" ht="15" customHeight="1">
      <c r="A568" s="69"/>
      <c r="B568" s="418"/>
      <c r="C568" s="263"/>
      <c r="E568" s="263"/>
      <c r="F568" s="263"/>
      <c r="G568" s="418"/>
      <c r="H568" s="263"/>
      <c r="I568" s="263"/>
      <c r="J568" s="263"/>
      <c r="K568" s="263"/>
      <c r="L568" s="563"/>
      <c r="M568" s="263"/>
      <c r="N568" s="263"/>
      <c r="O568" s="263"/>
      <c r="P568" s="265"/>
      <c r="Q568" s="263"/>
      <c r="R568" s="263"/>
      <c r="S568" s="263"/>
      <c r="T568" s="263"/>
      <c r="U568" s="263"/>
      <c r="V568" s="263"/>
      <c r="W568" s="263"/>
      <c r="X568" s="263"/>
      <c r="Y568" s="263"/>
      <c r="Z568" s="263"/>
      <c r="AA568" s="263"/>
      <c r="AB568" s="263"/>
      <c r="AC568" s="263"/>
      <c r="AD568" s="263"/>
      <c r="AE568" s="263"/>
      <c r="AF568" s="418"/>
      <c r="AG568" s="263"/>
      <c r="AH568" s="263"/>
      <c r="AI568" s="263"/>
    </row>
    <row r="569" spans="1:35" ht="15" customHeight="1">
      <c r="A569" s="69"/>
      <c r="B569" s="418"/>
      <c r="C569" s="263"/>
      <c r="E569" s="263"/>
      <c r="F569" s="263"/>
      <c r="G569" s="418"/>
      <c r="H569" s="263"/>
      <c r="I569" s="263"/>
      <c r="J569" s="263"/>
      <c r="K569" s="263"/>
      <c r="L569" s="563"/>
      <c r="M569" s="263"/>
      <c r="N569" s="263"/>
      <c r="O569" s="263"/>
      <c r="P569" s="265"/>
      <c r="Q569" s="263"/>
      <c r="R569" s="263"/>
      <c r="S569" s="263"/>
      <c r="T569" s="263"/>
      <c r="U569" s="263"/>
      <c r="V569" s="263"/>
      <c r="W569" s="263"/>
      <c r="X569" s="263"/>
      <c r="Y569" s="263"/>
      <c r="Z569" s="263"/>
      <c r="AA569" s="263"/>
      <c r="AB569" s="263"/>
      <c r="AC569" s="263"/>
      <c r="AD569" s="263"/>
      <c r="AE569" s="263"/>
      <c r="AF569" s="418"/>
      <c r="AG569" s="263"/>
      <c r="AH569" s="263"/>
      <c r="AI569" s="263"/>
    </row>
    <row r="570" spans="1:35" ht="15" customHeight="1">
      <c r="A570" s="69"/>
      <c r="B570" s="418"/>
      <c r="C570" s="263"/>
      <c r="E570" s="263"/>
      <c r="F570" s="263"/>
      <c r="G570" s="418"/>
      <c r="H570" s="263"/>
      <c r="I570" s="263"/>
      <c r="J570" s="263"/>
      <c r="K570" s="263"/>
      <c r="L570" s="563"/>
      <c r="M570" s="263"/>
      <c r="N570" s="263"/>
      <c r="O570" s="263"/>
      <c r="P570" s="265"/>
      <c r="Q570" s="263"/>
      <c r="R570" s="263"/>
      <c r="S570" s="263"/>
      <c r="T570" s="263"/>
      <c r="U570" s="263"/>
      <c r="V570" s="263"/>
      <c r="W570" s="263"/>
      <c r="X570" s="263"/>
      <c r="Y570" s="263"/>
      <c r="Z570" s="263"/>
      <c r="AA570" s="263"/>
      <c r="AB570" s="263"/>
      <c r="AC570" s="263"/>
      <c r="AD570" s="263"/>
      <c r="AE570" s="263"/>
      <c r="AF570" s="418"/>
      <c r="AG570" s="263"/>
      <c r="AH570" s="263"/>
      <c r="AI570" s="263"/>
    </row>
    <row r="571" spans="1:35" ht="15" customHeight="1">
      <c r="A571" s="69"/>
      <c r="B571" s="418"/>
      <c r="C571" s="263"/>
      <c r="E571" s="263"/>
      <c r="F571" s="263"/>
      <c r="G571" s="418"/>
      <c r="H571" s="263"/>
      <c r="I571" s="263"/>
      <c r="J571" s="263"/>
      <c r="K571" s="263"/>
      <c r="L571" s="563"/>
      <c r="M571" s="263"/>
      <c r="N571" s="263"/>
      <c r="O571" s="263"/>
      <c r="P571" s="265"/>
      <c r="Q571" s="263"/>
      <c r="R571" s="263"/>
      <c r="S571" s="263"/>
      <c r="T571" s="263"/>
      <c r="U571" s="263"/>
      <c r="V571" s="263"/>
      <c r="W571" s="263"/>
      <c r="X571" s="263"/>
      <c r="Y571" s="263"/>
      <c r="Z571" s="263"/>
      <c r="AA571" s="263"/>
      <c r="AB571" s="263"/>
      <c r="AC571" s="263"/>
      <c r="AD571" s="263"/>
      <c r="AE571" s="263"/>
      <c r="AF571" s="418"/>
      <c r="AG571" s="263"/>
      <c r="AH571" s="263"/>
      <c r="AI571" s="263"/>
    </row>
    <row r="572" spans="1:35" ht="15" customHeight="1">
      <c r="A572" s="69"/>
      <c r="B572" s="418"/>
      <c r="C572" s="263"/>
      <c r="E572" s="263"/>
      <c r="F572" s="263"/>
      <c r="G572" s="418"/>
      <c r="H572" s="263"/>
      <c r="I572" s="263"/>
      <c r="J572" s="263"/>
      <c r="K572" s="263"/>
      <c r="L572" s="563"/>
      <c r="M572" s="263"/>
      <c r="N572" s="263"/>
      <c r="O572" s="263"/>
      <c r="P572" s="265"/>
      <c r="Q572" s="263"/>
      <c r="R572" s="263"/>
      <c r="S572" s="263"/>
      <c r="T572" s="263"/>
      <c r="U572" s="263"/>
      <c r="V572" s="263"/>
      <c r="W572" s="263"/>
      <c r="X572" s="263"/>
      <c r="Y572" s="263"/>
      <c r="Z572" s="263"/>
      <c r="AA572" s="263"/>
      <c r="AB572" s="263"/>
      <c r="AC572" s="263"/>
      <c r="AD572" s="263"/>
      <c r="AE572" s="263"/>
      <c r="AF572" s="418"/>
      <c r="AG572" s="263"/>
      <c r="AH572" s="263"/>
      <c r="AI572" s="263"/>
    </row>
    <row r="573" spans="1:35" ht="15" customHeight="1">
      <c r="A573" s="69"/>
      <c r="B573" s="418"/>
      <c r="C573" s="263"/>
      <c r="E573" s="263"/>
      <c r="F573" s="263"/>
      <c r="G573" s="418"/>
      <c r="H573" s="263"/>
      <c r="I573" s="263"/>
      <c r="J573" s="263"/>
      <c r="K573" s="263"/>
      <c r="L573" s="563"/>
      <c r="M573" s="263"/>
      <c r="N573" s="263"/>
      <c r="O573" s="263"/>
      <c r="P573" s="265"/>
      <c r="Q573" s="263"/>
      <c r="R573" s="263"/>
      <c r="S573" s="263"/>
      <c r="T573" s="263"/>
      <c r="U573" s="263"/>
      <c r="V573" s="263"/>
      <c r="W573" s="263"/>
      <c r="X573" s="263"/>
      <c r="Y573" s="263"/>
      <c r="Z573" s="263"/>
      <c r="AA573" s="263"/>
      <c r="AB573" s="263"/>
      <c r="AC573" s="263"/>
      <c r="AD573" s="263"/>
      <c r="AE573" s="263"/>
      <c r="AF573" s="418"/>
      <c r="AG573" s="263"/>
      <c r="AH573" s="263"/>
      <c r="AI573" s="263"/>
    </row>
    <row r="574" spans="1:35" ht="15" customHeight="1">
      <c r="A574" s="69"/>
      <c r="B574" s="418"/>
      <c r="C574" s="263"/>
      <c r="E574" s="263"/>
      <c r="F574" s="263"/>
      <c r="G574" s="418"/>
      <c r="H574" s="263"/>
      <c r="I574" s="263"/>
      <c r="J574" s="263"/>
      <c r="K574" s="263"/>
      <c r="L574" s="563"/>
      <c r="M574" s="263"/>
      <c r="N574" s="263"/>
      <c r="O574" s="263"/>
      <c r="P574" s="265"/>
      <c r="Q574" s="263"/>
      <c r="R574" s="263"/>
      <c r="S574" s="263"/>
      <c r="T574" s="263"/>
      <c r="U574" s="263"/>
      <c r="V574" s="263"/>
      <c r="W574" s="263"/>
      <c r="X574" s="263"/>
      <c r="Y574" s="263"/>
      <c r="Z574" s="263"/>
      <c r="AA574" s="263"/>
      <c r="AB574" s="263"/>
      <c r="AC574" s="263"/>
      <c r="AD574" s="263"/>
      <c r="AE574" s="263"/>
      <c r="AF574" s="418"/>
      <c r="AG574" s="263"/>
      <c r="AH574" s="263"/>
      <c r="AI574" s="263"/>
    </row>
    <row r="575" spans="1:35" ht="15" customHeight="1">
      <c r="A575" s="69"/>
      <c r="B575" s="418"/>
      <c r="C575" s="263"/>
      <c r="E575" s="263"/>
      <c r="F575" s="263"/>
      <c r="G575" s="418"/>
      <c r="H575" s="263"/>
      <c r="I575" s="263"/>
      <c r="J575" s="263"/>
      <c r="K575" s="263"/>
      <c r="L575" s="563"/>
      <c r="M575" s="263"/>
      <c r="N575" s="263"/>
      <c r="O575" s="263"/>
      <c r="P575" s="265"/>
      <c r="Q575" s="263"/>
      <c r="R575" s="263"/>
      <c r="S575" s="263"/>
      <c r="T575" s="263"/>
      <c r="U575" s="263"/>
      <c r="V575" s="263"/>
      <c r="W575" s="263"/>
      <c r="X575" s="263"/>
      <c r="Y575" s="263"/>
      <c r="Z575" s="263"/>
      <c r="AA575" s="263"/>
      <c r="AB575" s="263"/>
      <c r="AC575" s="263"/>
      <c r="AD575" s="263"/>
      <c r="AE575" s="263"/>
      <c r="AF575" s="418"/>
      <c r="AG575" s="263"/>
      <c r="AH575" s="263"/>
      <c r="AI575" s="263"/>
    </row>
    <row r="576" spans="1:35" ht="15" customHeight="1">
      <c r="A576" s="69"/>
      <c r="B576" s="418"/>
      <c r="C576" s="263"/>
      <c r="E576" s="263"/>
      <c r="F576" s="263"/>
      <c r="G576" s="418"/>
      <c r="H576" s="263"/>
      <c r="I576" s="263"/>
      <c r="J576" s="263"/>
      <c r="K576" s="263"/>
      <c r="L576" s="563"/>
      <c r="M576" s="263"/>
      <c r="N576" s="263"/>
      <c r="O576" s="263"/>
      <c r="P576" s="265"/>
      <c r="Q576" s="263"/>
      <c r="R576" s="263"/>
      <c r="S576" s="263"/>
      <c r="T576" s="263"/>
      <c r="U576" s="263"/>
      <c r="V576" s="263"/>
      <c r="W576" s="263"/>
      <c r="X576" s="263"/>
      <c r="Y576" s="263"/>
      <c r="Z576" s="263"/>
      <c r="AA576" s="263"/>
      <c r="AB576" s="263"/>
      <c r="AC576" s="263"/>
      <c r="AD576" s="263"/>
      <c r="AE576" s="263"/>
      <c r="AF576" s="418"/>
      <c r="AG576" s="263"/>
      <c r="AH576" s="263"/>
      <c r="AI576" s="263"/>
    </row>
    <row r="577" spans="1:35" ht="15" customHeight="1">
      <c r="A577" s="69"/>
      <c r="B577" s="418"/>
      <c r="C577" s="263"/>
      <c r="E577" s="263"/>
      <c r="F577" s="263"/>
      <c r="G577" s="418"/>
      <c r="H577" s="263"/>
      <c r="I577" s="263"/>
      <c r="J577" s="263"/>
      <c r="K577" s="263"/>
      <c r="L577" s="563"/>
      <c r="M577" s="263"/>
      <c r="N577" s="263"/>
      <c r="O577" s="263"/>
      <c r="P577" s="265"/>
      <c r="Q577" s="263"/>
      <c r="R577" s="263"/>
      <c r="S577" s="263"/>
      <c r="T577" s="263"/>
      <c r="U577" s="263"/>
      <c r="V577" s="263"/>
      <c r="W577" s="263"/>
      <c r="X577" s="263"/>
      <c r="Y577" s="263"/>
      <c r="Z577" s="263"/>
      <c r="AA577" s="263"/>
      <c r="AB577" s="263"/>
      <c r="AC577" s="263"/>
      <c r="AD577" s="263"/>
      <c r="AE577" s="263"/>
      <c r="AF577" s="418"/>
      <c r="AG577" s="263"/>
      <c r="AH577" s="263"/>
      <c r="AI577" s="263"/>
    </row>
    <row r="578" spans="1:35" ht="15" customHeight="1">
      <c r="A578" s="69"/>
      <c r="B578" s="418"/>
      <c r="C578" s="263"/>
      <c r="E578" s="263"/>
      <c r="F578" s="263"/>
      <c r="G578" s="418"/>
      <c r="H578" s="263"/>
      <c r="I578" s="263"/>
      <c r="J578" s="263"/>
      <c r="K578" s="263"/>
      <c r="L578" s="563"/>
      <c r="M578" s="263"/>
      <c r="N578" s="263"/>
      <c r="O578" s="263"/>
      <c r="P578" s="265"/>
      <c r="Q578" s="263"/>
      <c r="R578" s="263"/>
      <c r="S578" s="263"/>
      <c r="T578" s="263"/>
      <c r="U578" s="263"/>
      <c r="V578" s="263"/>
      <c r="W578" s="263"/>
      <c r="X578" s="263"/>
      <c r="Y578" s="263"/>
      <c r="Z578" s="263"/>
      <c r="AA578" s="263"/>
      <c r="AB578" s="263"/>
      <c r="AC578" s="263"/>
      <c r="AD578" s="263"/>
      <c r="AE578" s="263"/>
      <c r="AF578" s="418"/>
      <c r="AG578" s="263"/>
      <c r="AH578" s="263"/>
      <c r="AI578" s="263"/>
    </row>
    <row r="579" spans="1:35" ht="15" customHeight="1">
      <c r="A579" s="69"/>
      <c r="B579" s="418"/>
      <c r="C579" s="263"/>
      <c r="E579" s="263"/>
      <c r="F579" s="263"/>
      <c r="G579" s="418"/>
      <c r="H579" s="263"/>
      <c r="I579" s="263"/>
      <c r="J579" s="263"/>
      <c r="K579" s="263"/>
      <c r="L579" s="563"/>
      <c r="M579" s="263"/>
      <c r="N579" s="263"/>
      <c r="O579" s="263"/>
      <c r="P579" s="265"/>
      <c r="Q579" s="263"/>
      <c r="R579" s="263"/>
      <c r="S579" s="263"/>
      <c r="T579" s="263"/>
      <c r="U579" s="263"/>
      <c r="V579" s="263"/>
      <c r="W579" s="263"/>
      <c r="X579" s="263"/>
      <c r="Y579" s="263"/>
      <c r="Z579" s="263"/>
      <c r="AA579" s="263"/>
      <c r="AB579" s="263"/>
      <c r="AC579" s="263"/>
      <c r="AD579" s="263"/>
      <c r="AE579" s="263"/>
      <c r="AF579" s="418"/>
      <c r="AG579" s="263"/>
      <c r="AH579" s="263"/>
      <c r="AI579" s="263"/>
    </row>
    <row r="580" spans="1:35" ht="15" customHeight="1">
      <c r="A580" s="69"/>
      <c r="B580" s="418"/>
      <c r="C580" s="263"/>
      <c r="E580" s="263"/>
      <c r="F580" s="263"/>
      <c r="G580" s="418"/>
      <c r="H580" s="263"/>
      <c r="I580" s="263"/>
      <c r="J580" s="263"/>
      <c r="K580" s="263"/>
      <c r="L580" s="563"/>
      <c r="M580" s="263"/>
      <c r="N580" s="263"/>
      <c r="O580" s="263"/>
      <c r="P580" s="265"/>
      <c r="Q580" s="263"/>
      <c r="R580" s="263"/>
      <c r="S580" s="263"/>
      <c r="T580" s="263"/>
      <c r="U580" s="263"/>
      <c r="V580" s="263"/>
      <c r="W580" s="263"/>
      <c r="X580" s="263"/>
      <c r="Y580" s="263"/>
      <c r="Z580" s="263"/>
      <c r="AA580" s="263"/>
      <c r="AB580" s="263"/>
      <c r="AC580" s="263"/>
      <c r="AD580" s="263"/>
      <c r="AE580" s="263"/>
      <c r="AF580" s="418"/>
      <c r="AG580" s="263"/>
      <c r="AH580" s="263"/>
      <c r="AI580" s="263"/>
    </row>
    <row r="581" spans="1:35" ht="15" customHeight="1">
      <c r="A581" s="69"/>
      <c r="B581" s="418"/>
      <c r="C581" s="263"/>
      <c r="E581" s="263"/>
      <c r="F581" s="263"/>
      <c r="G581" s="418"/>
      <c r="H581" s="263"/>
      <c r="I581" s="263"/>
      <c r="J581" s="263"/>
      <c r="K581" s="263"/>
      <c r="L581" s="563"/>
      <c r="M581" s="263"/>
      <c r="N581" s="263"/>
      <c r="O581" s="263"/>
      <c r="P581" s="265"/>
      <c r="Q581" s="263"/>
      <c r="R581" s="263"/>
      <c r="S581" s="263"/>
      <c r="T581" s="263"/>
      <c r="U581" s="263"/>
      <c r="V581" s="263"/>
      <c r="W581" s="263"/>
      <c r="X581" s="263"/>
      <c r="Y581" s="263"/>
      <c r="Z581" s="263"/>
      <c r="AA581" s="263"/>
      <c r="AB581" s="263"/>
      <c r="AC581" s="263"/>
      <c r="AD581" s="263"/>
      <c r="AE581" s="263"/>
      <c r="AF581" s="418"/>
      <c r="AG581" s="263"/>
      <c r="AH581" s="263"/>
      <c r="AI581" s="263"/>
    </row>
    <row r="582" spans="1:35" ht="15" customHeight="1">
      <c r="A582" s="69"/>
      <c r="B582" s="418"/>
      <c r="C582" s="263"/>
      <c r="E582" s="263"/>
      <c r="F582" s="263"/>
      <c r="G582" s="418"/>
      <c r="H582" s="263"/>
      <c r="I582" s="263"/>
      <c r="J582" s="263"/>
      <c r="K582" s="263"/>
      <c r="L582" s="563"/>
      <c r="M582" s="263"/>
      <c r="N582" s="263"/>
      <c r="O582" s="263"/>
      <c r="P582" s="265"/>
      <c r="Q582" s="263"/>
      <c r="R582" s="263"/>
      <c r="S582" s="263"/>
      <c r="T582" s="263"/>
      <c r="U582" s="263"/>
      <c r="V582" s="263"/>
      <c r="W582" s="263"/>
      <c r="X582" s="263"/>
      <c r="Y582" s="263"/>
      <c r="Z582" s="263"/>
      <c r="AA582" s="263"/>
      <c r="AB582" s="263"/>
      <c r="AC582" s="263"/>
      <c r="AD582" s="263"/>
      <c r="AE582" s="263"/>
      <c r="AF582" s="418"/>
      <c r="AG582" s="263"/>
      <c r="AH582" s="263"/>
      <c r="AI582" s="263"/>
    </row>
    <row r="583" spans="1:35" ht="15" customHeight="1">
      <c r="A583" s="69"/>
      <c r="B583" s="418"/>
      <c r="C583" s="263"/>
      <c r="E583" s="263"/>
      <c r="F583" s="263"/>
      <c r="G583" s="418"/>
      <c r="H583" s="263"/>
      <c r="I583" s="263"/>
      <c r="J583" s="263"/>
      <c r="K583" s="263"/>
      <c r="L583" s="563"/>
      <c r="M583" s="263"/>
      <c r="N583" s="263"/>
      <c r="O583" s="263"/>
      <c r="P583" s="265"/>
      <c r="Q583" s="263"/>
      <c r="R583" s="263"/>
      <c r="S583" s="263"/>
      <c r="T583" s="263"/>
      <c r="U583" s="263"/>
      <c r="V583" s="263"/>
      <c r="W583" s="263"/>
      <c r="X583" s="263"/>
      <c r="Y583" s="263"/>
      <c r="Z583" s="263"/>
      <c r="AA583" s="263"/>
      <c r="AB583" s="263"/>
      <c r="AC583" s="263"/>
      <c r="AD583" s="263"/>
      <c r="AE583" s="263"/>
      <c r="AF583" s="418"/>
      <c r="AG583" s="263"/>
      <c r="AH583" s="263"/>
      <c r="AI583" s="263"/>
    </row>
    <row r="584" spans="1:35" ht="15" customHeight="1">
      <c r="A584" s="69"/>
      <c r="B584" s="418"/>
      <c r="C584" s="263"/>
      <c r="E584" s="263"/>
      <c r="F584" s="263"/>
      <c r="G584" s="418"/>
      <c r="H584" s="263"/>
      <c r="I584" s="263"/>
      <c r="J584" s="263"/>
      <c r="K584" s="263"/>
      <c r="L584" s="563"/>
      <c r="M584" s="263"/>
      <c r="N584" s="263"/>
      <c r="O584" s="263"/>
      <c r="P584" s="265"/>
      <c r="Q584" s="263"/>
      <c r="R584" s="263"/>
      <c r="S584" s="263"/>
      <c r="T584" s="263"/>
      <c r="U584" s="263"/>
      <c r="V584" s="263"/>
      <c r="W584" s="263"/>
      <c r="X584" s="263"/>
      <c r="Y584" s="263"/>
      <c r="Z584" s="263"/>
      <c r="AA584" s="263"/>
      <c r="AB584" s="263"/>
      <c r="AC584" s="263"/>
      <c r="AD584" s="263"/>
      <c r="AE584" s="263"/>
      <c r="AF584" s="418"/>
      <c r="AG584" s="263"/>
      <c r="AH584" s="263"/>
      <c r="AI584" s="263"/>
    </row>
    <row r="585" spans="1:35" ht="15" customHeight="1">
      <c r="A585" s="69"/>
      <c r="B585" s="418"/>
      <c r="C585" s="263"/>
      <c r="E585" s="263"/>
      <c r="F585" s="263"/>
      <c r="G585" s="418"/>
      <c r="H585" s="263"/>
      <c r="I585" s="263"/>
      <c r="J585" s="263"/>
      <c r="K585" s="263"/>
      <c r="L585" s="563"/>
      <c r="M585" s="263"/>
      <c r="N585" s="263"/>
      <c r="O585" s="263"/>
      <c r="P585" s="265"/>
      <c r="Q585" s="263"/>
      <c r="R585" s="263"/>
      <c r="S585" s="263"/>
      <c r="T585" s="263"/>
      <c r="U585" s="263"/>
      <c r="V585" s="263"/>
      <c r="W585" s="263"/>
      <c r="X585" s="263"/>
      <c r="Y585" s="263"/>
      <c r="Z585" s="263"/>
      <c r="AA585" s="263"/>
      <c r="AB585" s="263"/>
      <c r="AC585" s="263"/>
      <c r="AD585" s="263"/>
      <c r="AE585" s="263"/>
      <c r="AF585" s="418"/>
      <c r="AG585" s="263"/>
      <c r="AH585" s="263"/>
      <c r="AI585" s="263"/>
    </row>
    <row r="586" spans="1:35" ht="15" customHeight="1">
      <c r="A586" s="69"/>
      <c r="B586" s="418"/>
      <c r="C586" s="263"/>
      <c r="E586" s="263"/>
      <c r="F586" s="263"/>
      <c r="G586" s="418"/>
      <c r="H586" s="263"/>
      <c r="I586" s="263"/>
      <c r="J586" s="263"/>
      <c r="K586" s="263"/>
      <c r="L586" s="563"/>
      <c r="M586" s="263"/>
      <c r="N586" s="263"/>
      <c r="O586" s="263"/>
      <c r="P586" s="265"/>
      <c r="Q586" s="263"/>
      <c r="R586" s="263"/>
      <c r="S586" s="263"/>
      <c r="T586" s="263"/>
      <c r="U586" s="263"/>
      <c r="V586" s="263"/>
      <c r="W586" s="263"/>
      <c r="X586" s="263"/>
      <c r="Y586" s="263"/>
      <c r="Z586" s="263"/>
      <c r="AA586" s="263"/>
      <c r="AB586" s="263"/>
      <c r="AC586" s="263"/>
      <c r="AD586" s="263"/>
      <c r="AE586" s="263"/>
      <c r="AF586" s="418"/>
      <c r="AG586" s="263"/>
      <c r="AH586" s="263"/>
      <c r="AI586" s="263"/>
    </row>
    <row r="587" spans="1:35" ht="15" customHeight="1">
      <c r="A587" s="69"/>
      <c r="B587" s="418"/>
      <c r="C587" s="263"/>
      <c r="E587" s="263"/>
      <c r="F587" s="263"/>
      <c r="G587" s="418"/>
      <c r="H587" s="263"/>
      <c r="I587" s="263"/>
      <c r="J587" s="263"/>
      <c r="K587" s="263"/>
      <c r="L587" s="563"/>
      <c r="M587" s="263"/>
      <c r="N587" s="263"/>
      <c r="O587" s="263"/>
      <c r="P587" s="265"/>
      <c r="Q587" s="263"/>
      <c r="R587" s="263"/>
      <c r="S587" s="263"/>
      <c r="T587" s="263"/>
      <c r="U587" s="263"/>
      <c r="V587" s="263"/>
      <c r="W587" s="263"/>
      <c r="X587" s="263"/>
      <c r="Y587" s="263"/>
      <c r="Z587" s="263"/>
      <c r="AA587" s="263"/>
      <c r="AB587" s="263"/>
      <c r="AC587" s="263"/>
      <c r="AD587" s="263"/>
      <c r="AE587" s="263"/>
      <c r="AF587" s="418"/>
      <c r="AG587" s="263"/>
      <c r="AH587" s="263"/>
      <c r="AI587" s="263"/>
    </row>
    <row r="588" spans="1:35" ht="15" customHeight="1">
      <c r="A588" s="69"/>
      <c r="B588" s="418"/>
      <c r="C588" s="263"/>
      <c r="E588" s="263"/>
      <c r="F588" s="263"/>
      <c r="G588" s="418"/>
      <c r="H588" s="263"/>
      <c r="I588" s="263"/>
      <c r="J588" s="263"/>
      <c r="K588" s="263"/>
      <c r="L588" s="563"/>
      <c r="M588" s="263"/>
      <c r="N588" s="263"/>
      <c r="O588" s="263"/>
      <c r="P588" s="265"/>
      <c r="Q588" s="263"/>
      <c r="R588" s="263"/>
      <c r="S588" s="263"/>
      <c r="T588" s="263"/>
      <c r="U588" s="263"/>
      <c r="V588" s="263"/>
      <c r="W588" s="263"/>
      <c r="X588" s="263"/>
      <c r="Y588" s="263"/>
      <c r="Z588" s="263"/>
      <c r="AA588" s="263"/>
      <c r="AB588" s="263"/>
      <c r="AC588" s="263"/>
      <c r="AD588" s="263"/>
      <c r="AE588" s="263"/>
      <c r="AF588" s="418"/>
      <c r="AG588" s="263"/>
      <c r="AH588" s="263"/>
      <c r="AI588" s="263"/>
    </row>
    <row r="589" spans="1:35" ht="15" customHeight="1">
      <c r="A589" s="69"/>
      <c r="B589" s="418"/>
      <c r="C589" s="263"/>
      <c r="E589" s="263"/>
      <c r="F589" s="263"/>
      <c r="G589" s="418"/>
      <c r="H589" s="263"/>
      <c r="I589" s="263"/>
      <c r="J589" s="263"/>
      <c r="K589" s="263"/>
      <c r="L589" s="563"/>
      <c r="M589" s="263"/>
      <c r="N589" s="263"/>
      <c r="O589" s="263"/>
      <c r="P589" s="265"/>
      <c r="Q589" s="263"/>
      <c r="R589" s="263"/>
      <c r="S589" s="263"/>
      <c r="T589" s="263"/>
      <c r="U589" s="263"/>
      <c r="V589" s="263"/>
      <c r="W589" s="263"/>
      <c r="X589" s="263"/>
      <c r="Y589" s="263"/>
      <c r="Z589" s="263"/>
      <c r="AA589" s="263"/>
      <c r="AB589" s="263"/>
      <c r="AC589" s="263"/>
      <c r="AD589" s="263"/>
      <c r="AE589" s="263"/>
      <c r="AF589" s="418"/>
      <c r="AG589" s="263"/>
      <c r="AH589" s="263"/>
      <c r="AI589" s="263"/>
    </row>
    <row r="590" spans="1:35" ht="15" customHeight="1">
      <c r="A590" s="69"/>
      <c r="B590" s="418"/>
      <c r="C590" s="263"/>
      <c r="E590" s="263"/>
      <c r="F590" s="263"/>
      <c r="G590" s="418"/>
      <c r="H590" s="263"/>
      <c r="I590" s="263"/>
      <c r="J590" s="263"/>
      <c r="K590" s="263"/>
      <c r="L590" s="563"/>
      <c r="M590" s="263"/>
      <c r="N590" s="263"/>
      <c r="O590" s="263"/>
      <c r="P590" s="265"/>
      <c r="Q590" s="263"/>
      <c r="R590" s="263"/>
      <c r="S590" s="263"/>
      <c r="T590" s="263"/>
      <c r="U590" s="263"/>
      <c r="V590" s="263"/>
      <c r="W590" s="263"/>
      <c r="X590" s="263"/>
      <c r="Y590" s="263"/>
      <c r="Z590" s="263"/>
      <c r="AA590" s="263"/>
      <c r="AB590" s="263"/>
      <c r="AC590" s="263"/>
      <c r="AD590" s="263"/>
      <c r="AE590" s="263"/>
      <c r="AF590" s="418"/>
      <c r="AG590" s="263"/>
      <c r="AH590" s="263"/>
      <c r="AI590" s="263"/>
    </row>
    <row r="591" spans="1:35" ht="15" customHeight="1">
      <c r="A591" s="69"/>
      <c r="B591" s="418"/>
      <c r="C591" s="263"/>
      <c r="E591" s="263"/>
      <c r="F591" s="263"/>
      <c r="G591" s="418"/>
      <c r="H591" s="263"/>
      <c r="I591" s="263"/>
      <c r="J591" s="263"/>
      <c r="K591" s="263"/>
      <c r="L591" s="563"/>
      <c r="M591" s="263"/>
      <c r="N591" s="263"/>
      <c r="O591" s="263"/>
      <c r="P591" s="265"/>
      <c r="Q591" s="263"/>
      <c r="R591" s="263"/>
      <c r="S591" s="263"/>
      <c r="T591" s="263"/>
      <c r="U591" s="263"/>
      <c r="V591" s="263"/>
      <c r="W591" s="263"/>
      <c r="X591" s="263"/>
      <c r="Y591" s="263"/>
      <c r="Z591" s="263"/>
      <c r="AA591" s="263"/>
      <c r="AB591" s="263"/>
      <c r="AC591" s="263"/>
      <c r="AD591" s="263"/>
      <c r="AE591" s="263"/>
      <c r="AF591" s="418"/>
      <c r="AG591" s="263"/>
      <c r="AH591" s="263"/>
      <c r="AI591" s="263"/>
    </row>
    <row r="592" spans="1:35" ht="15" customHeight="1">
      <c r="A592" s="69"/>
      <c r="B592" s="418"/>
      <c r="C592" s="263"/>
      <c r="E592" s="263"/>
      <c r="F592" s="263"/>
      <c r="G592" s="418"/>
      <c r="H592" s="263"/>
      <c r="I592" s="263"/>
      <c r="J592" s="263"/>
      <c r="K592" s="263"/>
      <c r="L592" s="563"/>
      <c r="M592" s="263"/>
      <c r="N592" s="263"/>
      <c r="O592" s="263"/>
      <c r="P592" s="265"/>
      <c r="Q592" s="263"/>
      <c r="R592" s="263"/>
      <c r="S592" s="263"/>
      <c r="T592" s="263"/>
      <c r="U592" s="263"/>
      <c r="V592" s="263"/>
      <c r="W592" s="263"/>
      <c r="X592" s="263"/>
      <c r="Y592" s="263"/>
      <c r="Z592" s="263"/>
      <c r="AA592" s="263"/>
      <c r="AB592" s="263"/>
      <c r="AC592" s="263"/>
      <c r="AD592" s="263"/>
      <c r="AE592" s="263"/>
      <c r="AF592" s="418"/>
      <c r="AG592" s="263"/>
      <c r="AH592" s="263"/>
      <c r="AI592" s="263"/>
    </row>
    <row r="593" spans="1:35" ht="15" customHeight="1">
      <c r="A593" s="69"/>
      <c r="B593" s="418"/>
      <c r="C593" s="263"/>
      <c r="E593" s="263"/>
      <c r="F593" s="263"/>
      <c r="G593" s="418"/>
      <c r="H593" s="263"/>
      <c r="I593" s="263"/>
      <c r="J593" s="263"/>
      <c r="K593" s="263"/>
      <c r="L593" s="563"/>
      <c r="M593" s="263"/>
      <c r="N593" s="263"/>
      <c r="O593" s="263"/>
      <c r="P593" s="265"/>
      <c r="Q593" s="263"/>
      <c r="R593" s="263"/>
      <c r="S593" s="263"/>
      <c r="T593" s="263"/>
      <c r="U593" s="263"/>
      <c r="V593" s="263"/>
      <c r="W593" s="263"/>
      <c r="X593" s="263"/>
      <c r="Y593" s="263"/>
      <c r="Z593" s="263"/>
      <c r="AA593" s="263"/>
      <c r="AB593" s="263"/>
      <c r="AC593" s="263"/>
      <c r="AD593" s="263"/>
      <c r="AE593" s="263"/>
      <c r="AF593" s="418"/>
      <c r="AG593" s="263"/>
      <c r="AH593" s="263"/>
      <c r="AI593" s="263"/>
    </row>
    <row r="594" spans="1:35" ht="15" customHeight="1">
      <c r="A594" s="69"/>
      <c r="B594" s="418"/>
      <c r="C594" s="263"/>
      <c r="E594" s="263"/>
      <c r="F594" s="263"/>
      <c r="G594" s="418"/>
      <c r="H594" s="263"/>
      <c r="I594" s="263"/>
      <c r="J594" s="263"/>
      <c r="K594" s="263"/>
      <c r="L594" s="563"/>
      <c r="M594" s="263"/>
      <c r="N594" s="263"/>
      <c r="O594" s="263"/>
      <c r="P594" s="265"/>
      <c r="Q594" s="263"/>
      <c r="R594" s="263"/>
      <c r="S594" s="263"/>
      <c r="T594" s="263"/>
      <c r="U594" s="263"/>
      <c r="V594" s="263"/>
      <c r="W594" s="263"/>
      <c r="X594" s="263"/>
      <c r="Y594" s="263"/>
      <c r="Z594" s="263"/>
      <c r="AA594" s="263"/>
      <c r="AB594" s="263"/>
      <c r="AC594" s="263"/>
      <c r="AD594" s="263"/>
      <c r="AE594" s="263"/>
      <c r="AF594" s="418"/>
      <c r="AG594" s="263"/>
      <c r="AH594" s="263"/>
      <c r="AI594" s="263"/>
    </row>
    <row r="595" spans="1:35" ht="15" customHeight="1">
      <c r="A595" s="69"/>
      <c r="B595" s="418"/>
      <c r="C595" s="263"/>
      <c r="E595" s="263"/>
      <c r="F595" s="263"/>
      <c r="G595" s="418"/>
      <c r="H595" s="263"/>
      <c r="I595" s="263"/>
      <c r="J595" s="263"/>
      <c r="K595" s="263"/>
      <c r="L595" s="563"/>
      <c r="M595" s="263"/>
      <c r="N595" s="263"/>
      <c r="O595" s="263"/>
      <c r="P595" s="265"/>
      <c r="Q595" s="263"/>
      <c r="R595" s="263"/>
      <c r="S595" s="263"/>
      <c r="T595" s="263"/>
      <c r="U595" s="263"/>
      <c r="V595" s="263"/>
      <c r="W595" s="263"/>
      <c r="X595" s="263"/>
      <c r="Y595" s="263"/>
      <c r="Z595" s="263"/>
      <c r="AA595" s="263"/>
      <c r="AB595" s="263"/>
      <c r="AC595" s="263"/>
      <c r="AD595" s="263"/>
      <c r="AE595" s="263"/>
      <c r="AF595" s="418"/>
      <c r="AG595" s="263"/>
      <c r="AH595" s="263"/>
      <c r="AI595" s="263"/>
    </row>
    <row r="596" spans="1:35" ht="15" customHeight="1">
      <c r="A596" s="69"/>
      <c r="B596" s="418"/>
      <c r="C596" s="263"/>
      <c r="E596" s="263"/>
      <c r="F596" s="263"/>
      <c r="G596" s="418"/>
      <c r="H596" s="263"/>
      <c r="I596" s="263"/>
      <c r="J596" s="263"/>
      <c r="K596" s="263"/>
      <c r="L596" s="563"/>
      <c r="M596" s="263"/>
      <c r="N596" s="263"/>
      <c r="O596" s="263"/>
      <c r="P596" s="265"/>
      <c r="Q596" s="263"/>
      <c r="R596" s="263"/>
      <c r="S596" s="263"/>
      <c r="T596" s="263"/>
      <c r="U596" s="263"/>
      <c r="V596" s="263"/>
      <c r="W596" s="263"/>
      <c r="X596" s="263"/>
      <c r="Y596" s="263"/>
      <c r="Z596" s="263"/>
      <c r="AA596" s="263"/>
      <c r="AB596" s="263"/>
      <c r="AC596" s="263"/>
      <c r="AD596" s="263"/>
      <c r="AE596" s="263"/>
      <c r="AF596" s="418"/>
      <c r="AG596" s="263"/>
      <c r="AH596" s="263"/>
      <c r="AI596" s="263"/>
    </row>
    <row r="597" spans="1:35" ht="15" customHeight="1">
      <c r="A597" s="69"/>
      <c r="B597" s="418"/>
      <c r="C597" s="263"/>
      <c r="E597" s="263"/>
      <c r="F597" s="263"/>
      <c r="G597" s="418"/>
      <c r="H597" s="263"/>
      <c r="I597" s="263"/>
      <c r="J597" s="263"/>
      <c r="K597" s="263"/>
      <c r="L597" s="563"/>
      <c r="M597" s="263"/>
      <c r="N597" s="263"/>
      <c r="O597" s="263"/>
      <c r="P597" s="265"/>
      <c r="Q597" s="263"/>
      <c r="R597" s="263"/>
      <c r="S597" s="263"/>
      <c r="T597" s="263"/>
      <c r="U597" s="263"/>
      <c r="V597" s="263"/>
      <c r="W597" s="263"/>
      <c r="X597" s="263"/>
      <c r="Y597" s="263"/>
      <c r="Z597" s="263"/>
      <c r="AA597" s="263"/>
      <c r="AB597" s="263"/>
      <c r="AC597" s="263"/>
      <c r="AD597" s="263"/>
      <c r="AE597" s="263"/>
      <c r="AF597" s="418"/>
      <c r="AG597" s="263"/>
      <c r="AH597" s="263"/>
      <c r="AI597" s="263"/>
    </row>
    <row r="598" spans="1:35" ht="15" customHeight="1">
      <c r="A598" s="69"/>
      <c r="B598" s="418"/>
      <c r="C598" s="263"/>
      <c r="E598" s="263"/>
      <c r="F598" s="263"/>
      <c r="G598" s="418"/>
      <c r="H598" s="263"/>
      <c r="I598" s="263"/>
      <c r="J598" s="263"/>
      <c r="K598" s="263"/>
      <c r="L598" s="563"/>
      <c r="M598" s="263"/>
      <c r="N598" s="263"/>
      <c r="O598" s="263"/>
      <c r="P598" s="265"/>
      <c r="Q598" s="263"/>
      <c r="R598" s="263"/>
      <c r="S598" s="263"/>
      <c r="T598" s="263"/>
      <c r="U598" s="263"/>
      <c r="V598" s="263"/>
      <c r="W598" s="263"/>
      <c r="X598" s="263"/>
      <c r="Y598" s="263"/>
      <c r="Z598" s="263"/>
      <c r="AA598" s="263"/>
      <c r="AB598" s="263"/>
      <c r="AC598" s="263"/>
      <c r="AD598" s="263"/>
      <c r="AE598" s="263"/>
      <c r="AF598" s="418"/>
      <c r="AG598" s="263"/>
      <c r="AH598" s="263"/>
      <c r="AI598" s="263"/>
    </row>
    <row r="599" spans="1:35" ht="15" customHeight="1">
      <c r="A599" s="69"/>
      <c r="B599" s="418"/>
      <c r="C599" s="263"/>
      <c r="E599" s="263"/>
      <c r="F599" s="263"/>
      <c r="G599" s="418"/>
      <c r="H599" s="263"/>
      <c r="I599" s="263"/>
      <c r="J599" s="263"/>
      <c r="K599" s="263"/>
      <c r="L599" s="563"/>
      <c r="M599" s="263"/>
      <c r="N599" s="263"/>
      <c r="O599" s="263"/>
      <c r="P599" s="265"/>
      <c r="Q599" s="263"/>
      <c r="R599" s="263"/>
      <c r="S599" s="263"/>
      <c r="T599" s="263"/>
      <c r="U599" s="263"/>
      <c r="V599" s="263"/>
      <c r="W599" s="263"/>
      <c r="X599" s="263"/>
      <c r="Y599" s="263"/>
      <c r="Z599" s="263"/>
      <c r="AA599" s="263"/>
      <c r="AB599" s="263"/>
      <c r="AC599" s="263"/>
      <c r="AD599" s="263"/>
      <c r="AE599" s="263"/>
      <c r="AF599" s="418"/>
      <c r="AG599" s="263"/>
      <c r="AH599" s="263"/>
      <c r="AI599" s="263"/>
    </row>
    <row r="600" spans="1:35" ht="15" customHeight="1">
      <c r="A600" s="69"/>
      <c r="B600" s="418"/>
      <c r="C600" s="263"/>
      <c r="E600" s="263"/>
      <c r="F600" s="263"/>
      <c r="G600" s="418"/>
      <c r="H600" s="263"/>
      <c r="I600" s="263"/>
      <c r="J600" s="263"/>
      <c r="K600" s="263"/>
      <c r="L600" s="563"/>
      <c r="M600" s="263"/>
      <c r="N600" s="263"/>
      <c r="O600" s="263"/>
      <c r="P600" s="265"/>
      <c r="Q600" s="263"/>
      <c r="R600" s="263"/>
      <c r="S600" s="263"/>
      <c r="T600" s="263"/>
      <c r="U600" s="263"/>
      <c r="V600" s="263"/>
      <c r="W600" s="263"/>
      <c r="X600" s="263"/>
      <c r="Y600" s="263"/>
      <c r="Z600" s="263"/>
      <c r="AA600" s="263"/>
      <c r="AB600" s="263"/>
      <c r="AC600" s="263"/>
      <c r="AD600" s="263"/>
      <c r="AE600" s="263"/>
      <c r="AF600" s="418"/>
      <c r="AG600" s="263"/>
      <c r="AH600" s="263"/>
      <c r="AI600" s="263"/>
    </row>
    <row r="601" spans="1:35" ht="15" customHeight="1">
      <c r="A601" s="69"/>
      <c r="B601" s="418"/>
      <c r="C601" s="263"/>
      <c r="E601" s="263"/>
      <c r="F601" s="263"/>
      <c r="G601" s="418"/>
      <c r="H601" s="263"/>
      <c r="I601" s="263"/>
      <c r="J601" s="263"/>
      <c r="K601" s="263"/>
      <c r="L601" s="563"/>
      <c r="M601" s="263"/>
      <c r="N601" s="263"/>
      <c r="O601" s="263"/>
      <c r="P601" s="265"/>
      <c r="Q601" s="263"/>
      <c r="R601" s="263"/>
      <c r="S601" s="263"/>
      <c r="T601" s="263"/>
      <c r="U601" s="263"/>
      <c r="V601" s="263"/>
      <c r="W601" s="263"/>
      <c r="X601" s="263"/>
      <c r="Y601" s="263"/>
      <c r="Z601" s="263"/>
      <c r="AA601" s="263"/>
      <c r="AB601" s="263"/>
      <c r="AC601" s="263"/>
      <c r="AD601" s="263"/>
      <c r="AE601" s="263"/>
      <c r="AF601" s="418"/>
      <c r="AG601" s="263"/>
      <c r="AH601" s="263"/>
      <c r="AI601" s="263"/>
    </row>
    <row r="602" spans="1:35" ht="15" customHeight="1">
      <c r="A602" s="69"/>
      <c r="B602" s="418"/>
      <c r="C602" s="263"/>
      <c r="E602" s="263"/>
      <c r="F602" s="263"/>
      <c r="G602" s="418"/>
      <c r="H602" s="263"/>
      <c r="I602" s="263"/>
      <c r="J602" s="263"/>
      <c r="K602" s="263"/>
      <c r="L602" s="563"/>
      <c r="M602" s="263"/>
      <c r="N602" s="263"/>
      <c r="O602" s="263"/>
      <c r="P602" s="265"/>
      <c r="Q602" s="263"/>
      <c r="R602" s="263"/>
      <c r="S602" s="263"/>
      <c r="T602" s="263"/>
      <c r="U602" s="263"/>
      <c r="V602" s="263"/>
      <c r="W602" s="263"/>
      <c r="X602" s="263"/>
      <c r="Y602" s="263"/>
      <c r="Z602" s="263"/>
      <c r="AA602" s="263"/>
      <c r="AB602" s="263"/>
      <c r="AC602" s="263"/>
      <c r="AD602" s="263"/>
      <c r="AE602" s="263"/>
      <c r="AF602" s="418"/>
      <c r="AG602" s="263"/>
      <c r="AH602" s="263"/>
      <c r="AI602" s="263"/>
    </row>
    <row r="603" spans="1:35" ht="15" customHeight="1">
      <c r="A603" s="69"/>
      <c r="B603" s="418"/>
      <c r="C603" s="263"/>
      <c r="E603" s="263"/>
      <c r="F603" s="263"/>
      <c r="G603" s="418"/>
      <c r="H603" s="263"/>
      <c r="I603" s="263"/>
      <c r="J603" s="263"/>
      <c r="K603" s="263"/>
      <c r="L603" s="563"/>
      <c r="M603" s="263"/>
      <c r="N603" s="263"/>
      <c r="O603" s="263"/>
      <c r="P603" s="265"/>
      <c r="Q603" s="263"/>
      <c r="R603" s="263"/>
      <c r="S603" s="263"/>
      <c r="T603" s="263"/>
      <c r="U603" s="263"/>
      <c r="V603" s="263"/>
      <c r="W603" s="263"/>
      <c r="X603" s="263"/>
      <c r="Y603" s="263"/>
      <c r="Z603" s="263"/>
      <c r="AA603" s="263"/>
      <c r="AB603" s="263"/>
      <c r="AC603" s="263"/>
      <c r="AD603" s="263"/>
      <c r="AE603" s="263"/>
      <c r="AF603" s="418"/>
      <c r="AG603" s="263"/>
      <c r="AH603" s="263"/>
      <c r="AI603" s="263"/>
    </row>
    <row r="604" spans="1:35" ht="15" customHeight="1">
      <c r="A604" s="69"/>
      <c r="B604" s="418"/>
      <c r="C604" s="263"/>
      <c r="E604" s="263"/>
      <c r="F604" s="263"/>
      <c r="G604" s="418"/>
      <c r="H604" s="263"/>
      <c r="I604" s="263"/>
      <c r="J604" s="263"/>
      <c r="K604" s="263"/>
      <c r="L604" s="563"/>
      <c r="M604" s="263"/>
      <c r="N604" s="263"/>
      <c r="O604" s="263"/>
      <c r="P604" s="265"/>
      <c r="Q604" s="263"/>
      <c r="R604" s="263"/>
      <c r="S604" s="263"/>
      <c r="T604" s="263"/>
      <c r="U604" s="263"/>
      <c r="V604" s="263"/>
      <c r="W604" s="263"/>
      <c r="X604" s="263"/>
      <c r="Y604" s="263"/>
      <c r="Z604" s="263"/>
      <c r="AA604" s="263"/>
      <c r="AB604" s="263"/>
      <c r="AC604" s="263"/>
      <c r="AD604" s="263"/>
      <c r="AE604" s="263"/>
      <c r="AF604" s="418"/>
      <c r="AG604" s="263"/>
      <c r="AH604" s="263"/>
      <c r="AI604" s="263"/>
    </row>
    <row r="605" spans="1:35" ht="15" customHeight="1">
      <c r="A605" s="69"/>
      <c r="B605" s="418"/>
      <c r="C605" s="263"/>
      <c r="E605" s="263"/>
      <c r="F605" s="263"/>
      <c r="G605" s="418"/>
      <c r="H605" s="263"/>
      <c r="I605" s="263"/>
      <c r="J605" s="263"/>
      <c r="K605" s="263"/>
      <c r="L605" s="563"/>
      <c r="M605" s="263"/>
      <c r="N605" s="263"/>
      <c r="O605" s="263"/>
      <c r="P605" s="265"/>
      <c r="Q605" s="263"/>
      <c r="R605" s="263"/>
      <c r="S605" s="263"/>
      <c r="T605" s="263"/>
      <c r="U605" s="263"/>
      <c r="V605" s="263"/>
      <c r="W605" s="263"/>
      <c r="X605" s="263"/>
      <c r="Y605" s="263"/>
      <c r="Z605" s="263"/>
      <c r="AA605" s="263"/>
      <c r="AB605" s="263"/>
      <c r="AC605" s="263"/>
      <c r="AD605" s="263"/>
      <c r="AE605" s="263"/>
      <c r="AF605" s="418"/>
      <c r="AG605" s="263"/>
      <c r="AH605" s="263"/>
      <c r="AI605" s="263"/>
    </row>
    <row r="606" spans="1:35" ht="15" customHeight="1">
      <c r="A606" s="69"/>
      <c r="B606" s="418"/>
      <c r="C606" s="263"/>
      <c r="E606" s="263"/>
      <c r="F606" s="263"/>
      <c r="G606" s="418"/>
      <c r="H606" s="263"/>
      <c r="I606" s="263"/>
      <c r="J606" s="263"/>
      <c r="K606" s="263"/>
      <c r="L606" s="563"/>
      <c r="M606" s="263"/>
      <c r="N606" s="263"/>
      <c r="O606" s="263"/>
      <c r="P606" s="265"/>
      <c r="Q606" s="263"/>
      <c r="R606" s="263"/>
      <c r="S606" s="263"/>
      <c r="T606" s="263"/>
      <c r="U606" s="263"/>
      <c r="V606" s="263"/>
      <c r="W606" s="263"/>
      <c r="X606" s="263"/>
      <c r="Y606" s="263"/>
      <c r="Z606" s="263"/>
      <c r="AA606" s="263"/>
      <c r="AB606" s="263"/>
      <c r="AC606" s="263"/>
      <c r="AD606" s="263"/>
      <c r="AE606" s="263"/>
      <c r="AF606" s="418"/>
      <c r="AG606" s="263"/>
      <c r="AH606" s="263"/>
      <c r="AI606" s="263"/>
    </row>
    <row r="607" spans="1:35" ht="15" customHeight="1">
      <c r="A607" s="69"/>
      <c r="B607" s="418"/>
      <c r="C607" s="263"/>
      <c r="E607" s="263"/>
      <c r="F607" s="263"/>
      <c r="G607" s="418"/>
      <c r="H607" s="263"/>
      <c r="I607" s="263"/>
      <c r="J607" s="263"/>
      <c r="K607" s="263"/>
      <c r="L607" s="563"/>
      <c r="M607" s="263"/>
      <c r="N607" s="263"/>
      <c r="O607" s="263"/>
      <c r="P607" s="265"/>
      <c r="Q607" s="263"/>
      <c r="R607" s="263"/>
      <c r="S607" s="263"/>
      <c r="T607" s="263"/>
      <c r="U607" s="263"/>
      <c r="V607" s="263"/>
      <c r="W607" s="263"/>
      <c r="X607" s="263"/>
      <c r="Y607" s="263"/>
      <c r="Z607" s="263"/>
      <c r="AA607" s="263"/>
      <c r="AB607" s="263"/>
      <c r="AC607" s="263"/>
      <c r="AD607" s="263"/>
      <c r="AE607" s="263"/>
      <c r="AF607" s="418"/>
      <c r="AG607" s="263"/>
      <c r="AH607" s="263"/>
      <c r="AI607" s="263"/>
    </row>
    <row r="608" spans="1:35" ht="15" customHeight="1">
      <c r="A608" s="69"/>
      <c r="B608" s="418"/>
      <c r="C608" s="263"/>
      <c r="E608" s="263"/>
      <c r="F608" s="263"/>
      <c r="G608" s="418"/>
      <c r="H608" s="263"/>
      <c r="I608" s="263"/>
      <c r="J608" s="263"/>
      <c r="K608" s="263"/>
      <c r="L608" s="563"/>
      <c r="M608" s="263"/>
      <c r="N608" s="263"/>
      <c r="O608" s="263"/>
      <c r="P608" s="265"/>
      <c r="Q608" s="263"/>
      <c r="R608" s="263"/>
      <c r="S608" s="263"/>
      <c r="T608" s="263"/>
      <c r="U608" s="263"/>
      <c r="V608" s="263"/>
      <c r="W608" s="263"/>
      <c r="X608" s="263"/>
      <c r="Y608" s="263"/>
      <c r="Z608" s="263"/>
      <c r="AA608" s="263"/>
      <c r="AB608" s="263"/>
      <c r="AC608" s="263"/>
      <c r="AD608" s="263"/>
      <c r="AE608" s="263"/>
      <c r="AF608" s="418"/>
      <c r="AG608" s="263"/>
      <c r="AH608" s="263"/>
      <c r="AI608" s="263"/>
    </row>
    <row r="609" spans="1:35" ht="15" customHeight="1">
      <c r="A609" s="69"/>
      <c r="B609" s="418"/>
      <c r="C609" s="263"/>
      <c r="E609" s="263"/>
      <c r="F609" s="263"/>
      <c r="G609" s="418"/>
      <c r="H609" s="263"/>
      <c r="I609" s="263"/>
      <c r="J609" s="263"/>
      <c r="K609" s="263"/>
      <c r="L609" s="563"/>
      <c r="M609" s="263"/>
      <c r="N609" s="263"/>
      <c r="O609" s="263"/>
      <c r="P609" s="265"/>
      <c r="Q609" s="263"/>
      <c r="R609" s="263"/>
      <c r="S609" s="263"/>
      <c r="T609" s="263"/>
      <c r="U609" s="263"/>
      <c r="V609" s="263"/>
      <c r="W609" s="263"/>
      <c r="X609" s="263"/>
      <c r="Y609" s="263"/>
      <c r="Z609" s="263"/>
      <c r="AA609" s="263"/>
      <c r="AB609" s="263"/>
      <c r="AC609" s="263"/>
      <c r="AD609" s="263"/>
      <c r="AE609" s="263"/>
      <c r="AF609" s="418"/>
      <c r="AG609" s="263"/>
      <c r="AH609" s="263"/>
      <c r="AI609" s="263"/>
    </row>
    <row r="610" spans="1:35" ht="15" customHeight="1">
      <c r="A610" s="69"/>
      <c r="B610" s="418"/>
      <c r="C610" s="263"/>
      <c r="E610" s="263"/>
      <c r="F610" s="263"/>
      <c r="G610" s="418"/>
      <c r="H610" s="263"/>
      <c r="I610" s="263"/>
      <c r="J610" s="263"/>
      <c r="K610" s="263"/>
      <c r="L610" s="563"/>
      <c r="M610" s="263"/>
      <c r="N610" s="263"/>
      <c r="O610" s="263"/>
      <c r="P610" s="265"/>
      <c r="Q610" s="263"/>
      <c r="R610" s="263"/>
      <c r="S610" s="263"/>
      <c r="T610" s="263"/>
      <c r="U610" s="263"/>
      <c r="V610" s="263"/>
      <c r="W610" s="263"/>
      <c r="X610" s="263"/>
      <c r="Y610" s="263"/>
      <c r="Z610" s="263"/>
      <c r="AA610" s="263"/>
      <c r="AB610" s="263"/>
      <c r="AC610" s="263"/>
      <c r="AD610" s="263"/>
      <c r="AE610" s="263"/>
      <c r="AF610" s="418"/>
      <c r="AG610" s="263"/>
      <c r="AH610" s="263"/>
      <c r="AI610" s="263"/>
    </row>
    <row r="611" spans="1:35" ht="15" customHeight="1">
      <c r="A611" s="69"/>
      <c r="B611" s="418"/>
      <c r="C611" s="263"/>
      <c r="E611" s="263"/>
      <c r="F611" s="263"/>
      <c r="G611" s="418"/>
      <c r="H611" s="263"/>
      <c r="I611" s="263"/>
      <c r="J611" s="263"/>
      <c r="K611" s="263"/>
      <c r="L611" s="563"/>
      <c r="M611" s="263"/>
      <c r="N611" s="263"/>
      <c r="O611" s="263"/>
      <c r="P611" s="265"/>
      <c r="Q611" s="263"/>
      <c r="R611" s="263"/>
      <c r="S611" s="263"/>
      <c r="T611" s="263"/>
      <c r="U611" s="263"/>
      <c r="V611" s="263"/>
      <c r="W611" s="263"/>
      <c r="X611" s="263"/>
      <c r="Y611" s="263"/>
      <c r="Z611" s="263"/>
      <c r="AA611" s="263"/>
      <c r="AB611" s="263"/>
      <c r="AC611" s="263"/>
      <c r="AD611" s="263"/>
      <c r="AE611" s="263"/>
      <c r="AF611" s="418"/>
      <c r="AG611" s="263"/>
      <c r="AH611" s="263"/>
      <c r="AI611" s="263"/>
    </row>
    <row r="612" spans="1:35" ht="15" customHeight="1">
      <c r="A612" s="69"/>
      <c r="B612" s="418"/>
      <c r="C612" s="263"/>
      <c r="E612" s="263"/>
      <c r="F612" s="263"/>
      <c r="G612" s="418"/>
      <c r="H612" s="263"/>
      <c r="I612" s="263"/>
      <c r="J612" s="263"/>
      <c r="K612" s="263"/>
      <c r="L612" s="563"/>
      <c r="M612" s="263"/>
      <c r="N612" s="263"/>
      <c r="O612" s="263"/>
      <c r="P612" s="265"/>
      <c r="Q612" s="263"/>
      <c r="R612" s="263"/>
      <c r="S612" s="263"/>
      <c r="T612" s="263"/>
      <c r="U612" s="263"/>
      <c r="V612" s="263"/>
      <c r="W612" s="263"/>
      <c r="X612" s="263"/>
      <c r="Y612" s="263"/>
      <c r="Z612" s="263"/>
      <c r="AA612" s="263"/>
      <c r="AB612" s="263"/>
      <c r="AC612" s="263"/>
      <c r="AD612" s="263"/>
      <c r="AE612" s="263"/>
      <c r="AF612" s="418"/>
      <c r="AG612" s="263"/>
      <c r="AH612" s="263"/>
      <c r="AI612" s="263"/>
    </row>
    <row r="613" spans="1:35" ht="15" customHeight="1">
      <c r="A613" s="69"/>
      <c r="B613" s="418"/>
      <c r="C613" s="263"/>
      <c r="E613" s="263"/>
      <c r="F613" s="263"/>
      <c r="G613" s="418"/>
      <c r="H613" s="263"/>
      <c r="I613" s="263"/>
      <c r="J613" s="263"/>
      <c r="K613" s="263"/>
      <c r="L613" s="563"/>
      <c r="M613" s="263"/>
      <c r="N613" s="263"/>
      <c r="O613" s="263"/>
      <c r="P613" s="265"/>
      <c r="Q613" s="263"/>
      <c r="R613" s="263"/>
      <c r="S613" s="263"/>
      <c r="T613" s="263"/>
      <c r="U613" s="263"/>
      <c r="V613" s="263"/>
      <c r="W613" s="263"/>
      <c r="X613" s="263"/>
      <c r="Y613" s="263"/>
      <c r="Z613" s="263"/>
      <c r="AA613" s="263"/>
      <c r="AB613" s="263"/>
      <c r="AC613" s="263"/>
      <c r="AD613" s="263"/>
      <c r="AE613" s="263"/>
      <c r="AF613" s="418"/>
      <c r="AG613" s="263"/>
      <c r="AH613" s="263"/>
      <c r="AI613" s="263"/>
    </row>
    <row r="614" spans="1:35" ht="15" customHeight="1">
      <c r="A614" s="69"/>
      <c r="B614" s="418"/>
      <c r="C614" s="263"/>
      <c r="E614" s="263"/>
      <c r="F614" s="263"/>
      <c r="G614" s="418"/>
      <c r="H614" s="263"/>
      <c r="I614" s="263"/>
      <c r="J614" s="263"/>
      <c r="K614" s="263"/>
      <c r="L614" s="563"/>
      <c r="M614" s="263"/>
      <c r="N614" s="263"/>
      <c r="O614" s="263"/>
      <c r="P614" s="265"/>
      <c r="Q614" s="263"/>
      <c r="R614" s="263"/>
      <c r="S614" s="263"/>
      <c r="T614" s="263"/>
      <c r="U614" s="263"/>
      <c r="V614" s="263"/>
      <c r="W614" s="263"/>
      <c r="X614" s="263"/>
      <c r="Y614" s="263"/>
      <c r="Z614" s="263"/>
      <c r="AA614" s="263"/>
      <c r="AB614" s="263"/>
      <c r="AC614" s="263"/>
      <c r="AD614" s="263"/>
      <c r="AE614" s="263"/>
      <c r="AF614" s="418"/>
      <c r="AG614" s="263"/>
      <c r="AH614" s="263"/>
      <c r="AI614" s="263"/>
    </row>
    <row r="615" spans="1:35" ht="15" customHeight="1">
      <c r="A615" s="69"/>
      <c r="B615" s="418"/>
      <c r="C615" s="263"/>
      <c r="E615" s="263"/>
      <c r="F615" s="263"/>
      <c r="G615" s="418"/>
      <c r="H615" s="263"/>
      <c r="I615" s="263"/>
      <c r="J615" s="263"/>
      <c r="K615" s="263"/>
      <c r="L615" s="563"/>
      <c r="M615" s="263"/>
      <c r="N615" s="263"/>
      <c r="O615" s="263"/>
      <c r="P615" s="265"/>
      <c r="Q615" s="263"/>
      <c r="R615" s="263"/>
      <c r="S615" s="263"/>
      <c r="T615" s="263"/>
      <c r="U615" s="263"/>
      <c r="V615" s="263"/>
      <c r="W615" s="263"/>
      <c r="X615" s="263"/>
      <c r="Y615" s="263"/>
      <c r="Z615" s="263"/>
      <c r="AA615" s="263"/>
      <c r="AB615" s="263"/>
      <c r="AC615" s="263"/>
      <c r="AD615" s="263"/>
      <c r="AE615" s="263"/>
      <c r="AF615" s="418"/>
      <c r="AG615" s="263"/>
      <c r="AH615" s="263"/>
      <c r="AI615" s="263"/>
    </row>
    <row r="616" spans="1:35" ht="15" customHeight="1">
      <c r="A616" s="69"/>
      <c r="B616" s="418"/>
      <c r="C616" s="263"/>
      <c r="E616" s="263"/>
      <c r="F616" s="263"/>
      <c r="G616" s="418"/>
      <c r="H616" s="263"/>
      <c r="I616" s="263"/>
      <c r="J616" s="263"/>
      <c r="K616" s="263"/>
      <c r="L616" s="563"/>
      <c r="M616" s="263"/>
      <c r="N616" s="263"/>
      <c r="O616" s="263"/>
      <c r="P616" s="265"/>
      <c r="Q616" s="263"/>
      <c r="R616" s="263"/>
      <c r="S616" s="263"/>
      <c r="T616" s="263"/>
      <c r="U616" s="263"/>
      <c r="V616" s="263"/>
      <c r="W616" s="263"/>
      <c r="X616" s="263"/>
      <c r="Y616" s="263"/>
      <c r="Z616" s="263"/>
      <c r="AA616" s="263"/>
      <c r="AB616" s="263"/>
      <c r="AC616" s="263"/>
      <c r="AD616" s="263"/>
      <c r="AE616" s="263"/>
      <c r="AF616" s="418"/>
      <c r="AG616" s="263"/>
      <c r="AH616" s="263"/>
      <c r="AI616" s="263"/>
    </row>
    <row r="617" spans="1:35" ht="15" customHeight="1">
      <c r="A617" s="69"/>
      <c r="B617" s="418"/>
      <c r="C617" s="263"/>
      <c r="E617" s="263"/>
      <c r="F617" s="263"/>
      <c r="G617" s="418"/>
      <c r="H617" s="263"/>
      <c r="I617" s="263"/>
      <c r="J617" s="263"/>
      <c r="K617" s="263"/>
      <c r="L617" s="563"/>
      <c r="M617" s="263"/>
      <c r="N617" s="263"/>
      <c r="O617" s="263"/>
      <c r="P617" s="265"/>
      <c r="Q617" s="263"/>
      <c r="R617" s="263"/>
      <c r="S617" s="263"/>
      <c r="T617" s="263"/>
      <c r="U617" s="263"/>
      <c r="V617" s="263"/>
      <c r="W617" s="263"/>
      <c r="X617" s="263"/>
      <c r="Y617" s="263"/>
      <c r="Z617" s="263"/>
      <c r="AA617" s="263"/>
      <c r="AB617" s="263"/>
      <c r="AC617" s="263"/>
      <c r="AD617" s="263"/>
      <c r="AE617" s="263"/>
      <c r="AF617" s="418"/>
      <c r="AG617" s="263"/>
      <c r="AH617" s="263"/>
      <c r="AI617" s="263"/>
    </row>
    <row r="618" spans="1:35" ht="15" customHeight="1">
      <c r="A618" s="69"/>
      <c r="B618" s="418"/>
      <c r="C618" s="263"/>
      <c r="E618" s="263"/>
      <c r="F618" s="263"/>
      <c r="G618" s="418"/>
      <c r="H618" s="263"/>
      <c r="I618" s="263"/>
      <c r="J618" s="263"/>
      <c r="K618" s="263"/>
      <c r="L618" s="563"/>
      <c r="M618" s="263"/>
      <c r="N618" s="263"/>
      <c r="O618" s="263"/>
      <c r="P618" s="265"/>
      <c r="Q618" s="263"/>
      <c r="R618" s="263"/>
      <c r="S618" s="263"/>
      <c r="T618" s="263"/>
      <c r="U618" s="263"/>
      <c r="V618" s="263"/>
      <c r="W618" s="263"/>
      <c r="X618" s="263"/>
      <c r="Y618" s="263"/>
      <c r="Z618" s="263"/>
      <c r="AA618" s="263"/>
      <c r="AB618" s="263"/>
      <c r="AC618" s="263"/>
      <c r="AD618" s="263"/>
      <c r="AE618" s="263"/>
      <c r="AF618" s="418"/>
      <c r="AG618" s="263"/>
      <c r="AH618" s="263"/>
      <c r="AI618" s="263"/>
    </row>
    <row r="619" spans="1:35" ht="15" customHeight="1">
      <c r="A619" s="69"/>
      <c r="B619" s="418"/>
      <c r="C619" s="263"/>
      <c r="E619" s="263"/>
      <c r="F619" s="263"/>
      <c r="G619" s="418"/>
      <c r="H619" s="263"/>
      <c r="I619" s="263"/>
      <c r="J619" s="263"/>
      <c r="K619" s="263"/>
      <c r="L619" s="563"/>
      <c r="M619" s="263"/>
      <c r="N619" s="263"/>
      <c r="O619" s="263"/>
      <c r="P619" s="265"/>
      <c r="Q619" s="263"/>
      <c r="R619" s="263"/>
      <c r="S619" s="263"/>
      <c r="T619" s="263"/>
      <c r="U619" s="263"/>
      <c r="V619" s="263"/>
      <c r="W619" s="263"/>
      <c r="X619" s="263"/>
      <c r="Y619" s="263"/>
      <c r="Z619" s="263"/>
      <c r="AA619" s="263"/>
      <c r="AB619" s="263"/>
      <c r="AC619" s="263"/>
      <c r="AD619" s="263"/>
      <c r="AE619" s="263"/>
      <c r="AF619" s="418"/>
      <c r="AG619" s="263"/>
      <c r="AH619" s="263"/>
      <c r="AI619" s="263"/>
    </row>
    <row r="620" spans="1:35" ht="15" customHeight="1">
      <c r="A620" s="69"/>
      <c r="B620" s="418"/>
      <c r="C620" s="263"/>
      <c r="E620" s="263"/>
      <c r="F620" s="263"/>
      <c r="G620" s="418"/>
      <c r="H620" s="263"/>
      <c r="I620" s="263"/>
      <c r="J620" s="263"/>
      <c r="K620" s="263"/>
      <c r="L620" s="563"/>
      <c r="M620" s="263"/>
      <c r="N620" s="263"/>
      <c r="O620" s="263"/>
      <c r="P620" s="265"/>
      <c r="Q620" s="263"/>
      <c r="R620" s="263"/>
      <c r="S620" s="263"/>
      <c r="T620" s="263"/>
      <c r="U620" s="263"/>
      <c r="V620" s="263"/>
      <c r="W620" s="263"/>
      <c r="X620" s="263"/>
      <c r="Y620" s="263"/>
      <c r="Z620" s="263"/>
      <c r="AA620" s="263"/>
      <c r="AB620" s="263"/>
      <c r="AC620" s="263"/>
      <c r="AD620" s="263"/>
      <c r="AE620" s="263"/>
      <c r="AF620" s="418"/>
      <c r="AG620" s="263"/>
      <c r="AH620" s="263"/>
      <c r="AI620" s="263"/>
    </row>
    <row r="621" spans="1:35" ht="15" customHeight="1">
      <c r="A621" s="69"/>
      <c r="B621" s="418"/>
      <c r="C621" s="263"/>
      <c r="E621" s="263"/>
      <c r="F621" s="263"/>
      <c r="G621" s="418"/>
      <c r="H621" s="263"/>
      <c r="I621" s="263"/>
      <c r="J621" s="263"/>
      <c r="K621" s="263"/>
      <c r="L621" s="563"/>
      <c r="M621" s="263"/>
      <c r="N621" s="263"/>
      <c r="O621" s="263"/>
      <c r="P621" s="265"/>
      <c r="Q621" s="263"/>
      <c r="R621" s="263"/>
      <c r="S621" s="263"/>
      <c r="T621" s="263"/>
      <c r="U621" s="263"/>
      <c r="V621" s="263"/>
      <c r="W621" s="263"/>
      <c r="X621" s="263"/>
      <c r="Y621" s="263"/>
      <c r="Z621" s="263"/>
      <c r="AA621" s="263"/>
      <c r="AB621" s="263"/>
      <c r="AC621" s="263"/>
      <c r="AD621" s="263"/>
      <c r="AE621" s="263"/>
      <c r="AF621" s="418"/>
      <c r="AG621" s="263"/>
      <c r="AH621" s="263"/>
      <c r="AI621" s="263"/>
    </row>
    <row r="622" spans="1:35" ht="15" customHeight="1">
      <c r="A622" s="69"/>
      <c r="B622" s="418"/>
      <c r="C622" s="263"/>
      <c r="E622" s="263"/>
      <c r="F622" s="263"/>
      <c r="G622" s="418"/>
      <c r="H622" s="263"/>
      <c r="I622" s="263"/>
      <c r="J622" s="263"/>
      <c r="K622" s="263"/>
      <c r="L622" s="563"/>
      <c r="M622" s="263"/>
      <c r="N622" s="263"/>
      <c r="O622" s="263"/>
      <c r="P622" s="265"/>
      <c r="Q622" s="263"/>
      <c r="R622" s="263"/>
      <c r="S622" s="263"/>
      <c r="T622" s="263"/>
      <c r="U622" s="263"/>
      <c r="V622" s="263"/>
      <c r="W622" s="263"/>
      <c r="X622" s="263"/>
      <c r="Y622" s="263"/>
      <c r="Z622" s="263"/>
      <c r="AA622" s="263"/>
      <c r="AB622" s="263"/>
      <c r="AC622" s="263"/>
      <c r="AD622" s="263"/>
      <c r="AE622" s="263"/>
      <c r="AF622" s="418"/>
      <c r="AG622" s="263"/>
      <c r="AH622" s="263"/>
      <c r="AI622" s="263"/>
    </row>
    <row r="623" spans="1:35" ht="15" customHeight="1">
      <c r="A623" s="69"/>
      <c r="B623" s="418"/>
      <c r="C623" s="263"/>
      <c r="E623" s="263"/>
      <c r="F623" s="263"/>
      <c r="G623" s="418"/>
      <c r="H623" s="263"/>
      <c r="I623" s="263"/>
      <c r="J623" s="263"/>
      <c r="K623" s="263"/>
      <c r="L623" s="563"/>
      <c r="M623" s="263"/>
      <c r="N623" s="263"/>
      <c r="O623" s="263"/>
      <c r="P623" s="265"/>
      <c r="Q623" s="263"/>
      <c r="R623" s="263"/>
      <c r="S623" s="263"/>
      <c r="T623" s="263"/>
      <c r="U623" s="263"/>
      <c r="V623" s="263"/>
      <c r="W623" s="263"/>
      <c r="X623" s="263"/>
      <c r="Y623" s="263"/>
      <c r="Z623" s="263"/>
      <c r="AA623" s="263"/>
      <c r="AB623" s="263"/>
      <c r="AC623" s="263"/>
      <c r="AD623" s="263"/>
      <c r="AE623" s="263"/>
      <c r="AF623" s="418"/>
      <c r="AG623" s="263"/>
      <c r="AH623" s="263"/>
      <c r="AI623" s="263"/>
    </row>
    <row r="624" spans="1:35" ht="15" customHeight="1">
      <c r="A624" s="69"/>
      <c r="B624" s="418"/>
      <c r="C624" s="263"/>
      <c r="E624" s="263"/>
      <c r="F624" s="263"/>
      <c r="G624" s="418"/>
      <c r="H624" s="263"/>
      <c r="I624" s="263"/>
      <c r="J624" s="263"/>
      <c r="K624" s="263"/>
      <c r="L624" s="563"/>
      <c r="M624" s="263"/>
      <c r="N624" s="263"/>
      <c r="O624" s="263"/>
      <c r="P624" s="265"/>
      <c r="Q624" s="263"/>
      <c r="R624" s="263"/>
      <c r="S624" s="263"/>
      <c r="T624" s="263"/>
      <c r="U624" s="263"/>
      <c r="V624" s="263"/>
      <c r="W624" s="263"/>
      <c r="X624" s="263"/>
      <c r="Y624" s="263"/>
      <c r="Z624" s="263"/>
      <c r="AA624" s="263"/>
      <c r="AB624" s="263"/>
      <c r="AC624" s="263"/>
      <c r="AD624" s="263"/>
      <c r="AE624" s="263"/>
      <c r="AF624" s="418"/>
      <c r="AG624" s="263"/>
      <c r="AH624" s="263"/>
      <c r="AI624" s="263"/>
    </row>
    <row r="625" spans="1:35" ht="15" customHeight="1">
      <c r="A625" s="69"/>
      <c r="B625" s="418"/>
      <c r="C625" s="263"/>
      <c r="E625" s="263"/>
      <c r="F625" s="263"/>
      <c r="G625" s="418"/>
      <c r="H625" s="263"/>
      <c r="I625" s="263"/>
      <c r="J625" s="263"/>
      <c r="K625" s="263"/>
      <c r="L625" s="563"/>
      <c r="M625" s="263"/>
      <c r="N625" s="263"/>
      <c r="O625" s="263"/>
      <c r="P625" s="265"/>
      <c r="Q625" s="263"/>
      <c r="R625" s="263"/>
      <c r="S625" s="263"/>
      <c r="T625" s="263"/>
      <c r="U625" s="263"/>
      <c r="V625" s="263"/>
      <c r="W625" s="263"/>
      <c r="X625" s="263"/>
      <c r="Y625" s="263"/>
      <c r="Z625" s="263"/>
      <c r="AA625" s="263"/>
      <c r="AB625" s="263"/>
      <c r="AC625" s="263"/>
      <c r="AD625" s="263"/>
      <c r="AE625" s="263"/>
      <c r="AF625" s="418"/>
      <c r="AG625" s="263"/>
      <c r="AH625" s="263"/>
      <c r="AI625" s="263"/>
    </row>
    <row r="626" spans="1:35" ht="15" customHeight="1">
      <c r="A626" s="69"/>
      <c r="B626" s="418"/>
      <c r="C626" s="263"/>
      <c r="E626" s="263"/>
      <c r="F626" s="263"/>
      <c r="G626" s="418"/>
      <c r="H626" s="263"/>
      <c r="I626" s="263"/>
      <c r="J626" s="263"/>
      <c r="K626" s="263"/>
      <c r="L626" s="563"/>
      <c r="M626" s="263"/>
      <c r="N626" s="263"/>
      <c r="O626" s="263"/>
      <c r="P626" s="265"/>
      <c r="Q626" s="263"/>
      <c r="R626" s="263"/>
      <c r="S626" s="263"/>
      <c r="T626" s="263"/>
      <c r="U626" s="263"/>
      <c r="V626" s="263"/>
      <c r="W626" s="263"/>
      <c r="X626" s="263"/>
      <c r="Y626" s="263"/>
      <c r="Z626" s="263"/>
      <c r="AA626" s="263"/>
      <c r="AB626" s="263"/>
      <c r="AC626" s="263"/>
      <c r="AD626" s="263"/>
      <c r="AE626" s="263"/>
      <c r="AF626" s="418"/>
      <c r="AG626" s="263"/>
      <c r="AH626" s="263"/>
      <c r="AI626" s="263"/>
    </row>
    <row r="627" spans="1:35" ht="15" customHeight="1">
      <c r="A627" s="69"/>
      <c r="B627" s="418"/>
      <c r="C627" s="263"/>
      <c r="E627" s="263"/>
      <c r="F627" s="263"/>
      <c r="G627" s="418"/>
      <c r="H627" s="263"/>
      <c r="I627" s="263"/>
      <c r="J627" s="263"/>
      <c r="K627" s="263"/>
      <c r="L627" s="563"/>
      <c r="M627" s="263"/>
      <c r="N627" s="263"/>
      <c r="O627" s="263"/>
      <c r="P627" s="265"/>
      <c r="Q627" s="263"/>
      <c r="R627" s="263"/>
      <c r="S627" s="263"/>
      <c r="T627" s="263"/>
      <c r="U627" s="263"/>
      <c r="V627" s="263"/>
      <c r="W627" s="263"/>
      <c r="X627" s="263"/>
      <c r="Y627" s="263"/>
      <c r="Z627" s="263"/>
      <c r="AA627" s="263"/>
      <c r="AB627" s="263"/>
      <c r="AC627" s="263"/>
      <c r="AD627" s="263"/>
      <c r="AE627" s="263"/>
      <c r="AF627" s="418"/>
      <c r="AG627" s="263"/>
      <c r="AH627" s="263"/>
      <c r="AI627" s="263"/>
    </row>
    <row r="628" spans="1:35" ht="15" customHeight="1">
      <c r="A628" s="69"/>
      <c r="B628" s="418"/>
      <c r="C628" s="263"/>
      <c r="E628" s="263"/>
      <c r="F628" s="263"/>
      <c r="G628" s="418"/>
      <c r="H628" s="263"/>
      <c r="I628" s="263"/>
      <c r="J628" s="263"/>
      <c r="K628" s="263"/>
      <c r="L628" s="563"/>
      <c r="M628" s="263"/>
      <c r="N628" s="263"/>
      <c r="O628" s="263"/>
      <c r="P628" s="265"/>
      <c r="Q628" s="263"/>
      <c r="R628" s="263"/>
      <c r="S628" s="263"/>
      <c r="T628" s="263"/>
      <c r="U628" s="263"/>
      <c r="V628" s="263"/>
      <c r="W628" s="263"/>
      <c r="X628" s="263"/>
      <c r="Y628" s="263"/>
      <c r="Z628" s="263"/>
      <c r="AA628" s="263"/>
      <c r="AB628" s="263"/>
      <c r="AC628" s="263"/>
      <c r="AD628" s="263"/>
      <c r="AE628" s="263"/>
      <c r="AF628" s="418"/>
      <c r="AG628" s="263"/>
      <c r="AH628" s="263"/>
      <c r="AI628" s="263"/>
    </row>
    <row r="629" spans="1:35" ht="15" customHeight="1">
      <c r="A629" s="69"/>
      <c r="B629" s="418"/>
      <c r="C629" s="263"/>
      <c r="E629" s="263"/>
      <c r="F629" s="263"/>
      <c r="G629" s="418"/>
      <c r="H629" s="263"/>
      <c r="I629" s="263"/>
      <c r="J629" s="263"/>
      <c r="K629" s="263"/>
      <c r="L629" s="563"/>
      <c r="M629" s="263"/>
      <c r="N629" s="263"/>
      <c r="O629" s="263"/>
      <c r="P629" s="265"/>
      <c r="Q629" s="263"/>
      <c r="R629" s="263"/>
      <c r="S629" s="263"/>
      <c r="T629" s="263"/>
      <c r="U629" s="263"/>
      <c r="V629" s="263"/>
      <c r="W629" s="263"/>
      <c r="X629" s="263"/>
      <c r="Y629" s="263"/>
      <c r="Z629" s="263"/>
      <c r="AA629" s="263"/>
      <c r="AB629" s="263"/>
      <c r="AC629" s="263"/>
      <c r="AD629" s="263"/>
      <c r="AE629" s="263"/>
      <c r="AF629" s="418"/>
      <c r="AG629" s="263"/>
      <c r="AH629" s="263"/>
      <c r="AI629" s="263"/>
    </row>
    <row r="630" spans="1:35" ht="15" customHeight="1">
      <c r="A630" s="69"/>
      <c r="B630" s="418"/>
      <c r="C630" s="263"/>
      <c r="E630" s="263"/>
      <c r="F630" s="263"/>
      <c r="G630" s="418"/>
      <c r="H630" s="263"/>
      <c r="I630" s="263"/>
      <c r="J630" s="263"/>
      <c r="K630" s="263"/>
      <c r="L630" s="563"/>
      <c r="M630" s="263"/>
      <c r="N630" s="263"/>
      <c r="O630" s="263"/>
      <c r="P630" s="265"/>
      <c r="Q630" s="263"/>
      <c r="R630" s="263"/>
      <c r="S630" s="263"/>
      <c r="T630" s="263"/>
      <c r="U630" s="263"/>
      <c r="V630" s="263"/>
      <c r="W630" s="263"/>
      <c r="X630" s="263"/>
      <c r="Y630" s="263"/>
      <c r="Z630" s="263"/>
      <c r="AA630" s="263"/>
      <c r="AB630" s="263"/>
      <c r="AC630" s="263"/>
      <c r="AD630" s="263"/>
      <c r="AE630" s="263"/>
      <c r="AF630" s="418"/>
      <c r="AG630" s="263"/>
      <c r="AH630" s="263"/>
      <c r="AI630" s="263"/>
    </row>
    <row r="631" spans="1:35" ht="15" customHeight="1">
      <c r="A631" s="69"/>
      <c r="B631" s="418"/>
      <c r="C631" s="263"/>
      <c r="E631" s="263"/>
      <c r="F631" s="263"/>
      <c r="G631" s="418"/>
      <c r="H631" s="263"/>
      <c r="I631" s="263"/>
      <c r="J631" s="263"/>
      <c r="K631" s="263"/>
      <c r="L631" s="563"/>
      <c r="M631" s="263"/>
      <c r="N631" s="263"/>
      <c r="O631" s="263"/>
      <c r="P631" s="265"/>
      <c r="Q631" s="263"/>
      <c r="R631" s="263"/>
      <c r="S631" s="263"/>
      <c r="T631" s="263"/>
      <c r="U631" s="263"/>
      <c r="V631" s="263"/>
      <c r="W631" s="263"/>
      <c r="X631" s="263"/>
      <c r="Y631" s="263"/>
      <c r="Z631" s="263"/>
      <c r="AA631" s="263"/>
      <c r="AB631" s="263"/>
      <c r="AC631" s="263"/>
      <c r="AD631" s="263"/>
      <c r="AE631" s="263"/>
      <c r="AF631" s="418"/>
      <c r="AG631" s="263"/>
      <c r="AH631" s="263"/>
      <c r="AI631" s="263"/>
    </row>
    <row r="632" spans="1:35" ht="15" customHeight="1">
      <c r="A632" s="69"/>
      <c r="B632" s="418"/>
      <c r="C632" s="263"/>
      <c r="E632" s="263"/>
      <c r="F632" s="263"/>
      <c r="G632" s="418"/>
      <c r="H632" s="263"/>
      <c r="I632" s="263"/>
      <c r="J632" s="263"/>
      <c r="K632" s="263"/>
      <c r="L632" s="563"/>
      <c r="M632" s="263"/>
      <c r="N632" s="263"/>
      <c r="O632" s="263"/>
      <c r="P632" s="265"/>
      <c r="Q632" s="263"/>
      <c r="R632" s="263"/>
      <c r="S632" s="263"/>
      <c r="T632" s="263"/>
      <c r="U632" s="263"/>
      <c r="V632" s="263"/>
      <c r="W632" s="263"/>
      <c r="X632" s="263"/>
      <c r="Y632" s="263"/>
      <c r="Z632" s="263"/>
      <c r="AA632" s="263"/>
      <c r="AB632" s="263"/>
      <c r="AC632" s="263"/>
      <c r="AD632" s="263"/>
      <c r="AE632" s="263"/>
      <c r="AF632" s="418"/>
      <c r="AG632" s="263"/>
      <c r="AH632" s="263"/>
      <c r="AI632" s="263"/>
    </row>
    <row r="633" spans="1:35" ht="15" customHeight="1">
      <c r="A633" s="69"/>
      <c r="B633" s="418"/>
      <c r="C633" s="263"/>
      <c r="E633" s="263"/>
      <c r="F633" s="263"/>
      <c r="G633" s="418"/>
      <c r="H633" s="263"/>
      <c r="I633" s="263"/>
      <c r="J633" s="263"/>
      <c r="K633" s="263"/>
      <c r="L633" s="563"/>
      <c r="M633" s="263"/>
      <c r="N633" s="263"/>
      <c r="O633" s="263"/>
      <c r="P633" s="265"/>
      <c r="Q633" s="263"/>
      <c r="R633" s="263"/>
      <c r="S633" s="263"/>
      <c r="T633" s="263"/>
      <c r="U633" s="263"/>
      <c r="V633" s="263"/>
      <c r="W633" s="263"/>
      <c r="X633" s="263"/>
      <c r="Y633" s="263"/>
      <c r="Z633" s="263"/>
      <c r="AA633" s="263"/>
      <c r="AB633" s="263"/>
      <c r="AC633" s="263"/>
      <c r="AD633" s="263"/>
      <c r="AE633" s="263"/>
      <c r="AF633" s="418"/>
      <c r="AG633" s="263"/>
      <c r="AH633" s="263"/>
      <c r="AI633" s="263"/>
    </row>
    <row r="634" spans="1:35" ht="15" customHeight="1">
      <c r="A634" s="69"/>
      <c r="B634" s="418"/>
      <c r="C634" s="263"/>
      <c r="E634" s="263"/>
      <c r="F634" s="263"/>
      <c r="G634" s="418"/>
      <c r="H634" s="263"/>
      <c r="I634" s="263"/>
      <c r="J634" s="263"/>
      <c r="K634" s="263"/>
      <c r="L634" s="563"/>
      <c r="M634" s="263"/>
      <c r="N634" s="263"/>
      <c r="O634" s="263"/>
      <c r="P634" s="265"/>
      <c r="Q634" s="263"/>
      <c r="R634" s="263"/>
      <c r="S634" s="263"/>
      <c r="T634" s="263"/>
      <c r="U634" s="263"/>
      <c r="V634" s="263"/>
      <c r="W634" s="263"/>
      <c r="X634" s="263"/>
      <c r="Y634" s="263"/>
      <c r="Z634" s="263"/>
      <c r="AA634" s="263"/>
      <c r="AB634" s="263"/>
      <c r="AC634" s="263"/>
      <c r="AD634" s="263"/>
      <c r="AE634" s="263"/>
      <c r="AF634" s="418"/>
      <c r="AG634" s="263"/>
      <c r="AH634" s="263"/>
      <c r="AI634" s="263"/>
    </row>
    <row r="635" spans="1:35" ht="15" customHeight="1">
      <c r="A635" s="69"/>
      <c r="B635" s="418"/>
      <c r="C635" s="263"/>
      <c r="E635" s="263"/>
      <c r="F635" s="263"/>
      <c r="G635" s="418"/>
      <c r="H635" s="263"/>
      <c r="I635" s="263"/>
      <c r="J635" s="263"/>
      <c r="K635" s="263"/>
      <c r="L635" s="563"/>
      <c r="M635" s="263"/>
      <c r="N635" s="263"/>
      <c r="O635" s="263"/>
      <c r="P635" s="265"/>
      <c r="Q635" s="263"/>
      <c r="R635" s="263"/>
      <c r="S635" s="263"/>
      <c r="T635" s="263"/>
      <c r="U635" s="263"/>
      <c r="V635" s="263"/>
      <c r="W635" s="263"/>
      <c r="X635" s="263"/>
      <c r="Y635" s="263"/>
      <c r="Z635" s="263"/>
      <c r="AA635" s="263"/>
      <c r="AB635" s="263"/>
      <c r="AC635" s="263"/>
      <c r="AD635" s="263"/>
      <c r="AE635" s="263"/>
      <c r="AF635" s="418"/>
      <c r="AG635" s="263"/>
      <c r="AH635" s="263"/>
      <c r="AI635" s="263"/>
    </row>
    <row r="636" spans="1:35" ht="15" customHeight="1">
      <c r="A636" s="69"/>
      <c r="B636" s="418"/>
      <c r="C636" s="263"/>
      <c r="E636" s="263"/>
      <c r="F636" s="263"/>
      <c r="G636" s="418"/>
      <c r="H636" s="263"/>
      <c r="I636" s="263"/>
      <c r="J636" s="263"/>
      <c r="K636" s="263"/>
      <c r="L636" s="563"/>
      <c r="M636" s="263"/>
      <c r="N636" s="263"/>
      <c r="O636" s="263"/>
      <c r="P636" s="265"/>
      <c r="Q636" s="263"/>
      <c r="R636" s="263"/>
      <c r="S636" s="263"/>
      <c r="T636" s="263"/>
      <c r="U636" s="263"/>
      <c r="V636" s="263"/>
      <c r="W636" s="263"/>
      <c r="X636" s="263"/>
      <c r="Y636" s="263"/>
      <c r="Z636" s="263"/>
      <c r="AA636" s="263"/>
      <c r="AB636" s="263"/>
      <c r="AC636" s="263"/>
      <c r="AD636" s="263"/>
      <c r="AE636" s="263"/>
      <c r="AF636" s="418"/>
      <c r="AG636" s="263"/>
      <c r="AH636" s="263"/>
      <c r="AI636" s="263"/>
    </row>
    <row r="637" spans="1:35" ht="15" customHeight="1">
      <c r="A637" s="69"/>
      <c r="B637" s="418"/>
      <c r="C637" s="263"/>
      <c r="E637" s="263"/>
      <c r="F637" s="263"/>
      <c r="G637" s="418"/>
      <c r="H637" s="263"/>
      <c r="I637" s="263"/>
      <c r="J637" s="263"/>
      <c r="K637" s="263"/>
      <c r="L637" s="563"/>
      <c r="M637" s="263"/>
      <c r="N637" s="263"/>
      <c r="O637" s="263"/>
      <c r="P637" s="265"/>
      <c r="Q637" s="263"/>
      <c r="R637" s="263"/>
      <c r="S637" s="263"/>
      <c r="T637" s="263"/>
      <c r="U637" s="263"/>
      <c r="V637" s="263"/>
      <c r="W637" s="263"/>
      <c r="X637" s="263"/>
      <c r="Y637" s="263"/>
      <c r="Z637" s="263"/>
      <c r="AA637" s="263"/>
      <c r="AB637" s="263"/>
      <c r="AC637" s="263"/>
      <c r="AD637" s="263"/>
      <c r="AE637" s="263"/>
      <c r="AF637" s="418"/>
      <c r="AG637" s="263"/>
      <c r="AH637" s="263"/>
      <c r="AI637" s="263"/>
    </row>
    <row r="638" spans="1:35" ht="15" customHeight="1">
      <c r="A638" s="69"/>
      <c r="B638" s="418"/>
      <c r="C638" s="263"/>
      <c r="E638" s="263"/>
      <c r="F638" s="263"/>
      <c r="G638" s="418"/>
      <c r="H638" s="263"/>
      <c r="I638" s="263"/>
      <c r="J638" s="263"/>
      <c r="K638" s="263"/>
      <c r="L638" s="563"/>
      <c r="M638" s="263"/>
      <c r="N638" s="263"/>
      <c r="O638" s="263"/>
      <c r="P638" s="265"/>
      <c r="Q638" s="263"/>
      <c r="R638" s="263"/>
      <c r="S638" s="263"/>
      <c r="T638" s="263"/>
      <c r="U638" s="263"/>
      <c r="V638" s="263"/>
      <c r="W638" s="263"/>
      <c r="X638" s="263"/>
      <c r="Y638" s="263"/>
      <c r="Z638" s="263"/>
      <c r="AA638" s="263"/>
      <c r="AB638" s="263"/>
      <c r="AC638" s="263"/>
      <c r="AD638" s="263"/>
      <c r="AE638" s="263"/>
      <c r="AF638" s="418"/>
      <c r="AG638" s="263"/>
      <c r="AH638" s="263"/>
      <c r="AI638" s="263"/>
    </row>
    <row r="639" spans="1:35" ht="15" customHeight="1">
      <c r="A639" s="69"/>
      <c r="B639" s="418"/>
      <c r="C639" s="263"/>
      <c r="E639" s="263"/>
      <c r="F639" s="263"/>
      <c r="G639" s="418"/>
      <c r="H639" s="263"/>
      <c r="I639" s="263"/>
      <c r="J639" s="263"/>
      <c r="K639" s="263"/>
      <c r="L639" s="563"/>
      <c r="M639" s="263"/>
      <c r="N639" s="263"/>
      <c r="O639" s="263"/>
      <c r="P639" s="265"/>
      <c r="Q639" s="263"/>
      <c r="R639" s="263"/>
      <c r="S639" s="263"/>
      <c r="T639" s="263"/>
      <c r="U639" s="263"/>
      <c r="V639" s="263"/>
      <c r="W639" s="263"/>
      <c r="X639" s="263"/>
      <c r="Y639" s="263"/>
      <c r="Z639" s="263"/>
      <c r="AA639" s="263"/>
      <c r="AB639" s="263"/>
      <c r="AC639" s="263"/>
      <c r="AD639" s="263"/>
      <c r="AE639" s="263"/>
      <c r="AF639" s="418"/>
      <c r="AG639" s="263"/>
      <c r="AH639" s="263"/>
      <c r="AI639" s="263"/>
    </row>
    <row r="640" spans="1:35" ht="15" customHeight="1">
      <c r="A640" s="69"/>
      <c r="B640" s="418"/>
      <c r="C640" s="263"/>
      <c r="E640" s="263"/>
      <c r="F640" s="263"/>
      <c r="G640" s="418"/>
      <c r="H640" s="263"/>
      <c r="I640" s="263"/>
      <c r="J640" s="263"/>
      <c r="K640" s="263"/>
      <c r="L640" s="563"/>
      <c r="M640" s="263"/>
      <c r="N640" s="263"/>
      <c r="O640" s="263"/>
      <c r="P640" s="265"/>
      <c r="Q640" s="263"/>
      <c r="R640" s="263"/>
      <c r="S640" s="263"/>
      <c r="T640" s="263"/>
      <c r="U640" s="263"/>
      <c r="V640" s="263"/>
      <c r="W640" s="263"/>
      <c r="X640" s="263"/>
      <c r="Y640" s="263"/>
      <c r="Z640" s="263"/>
      <c r="AA640" s="263"/>
      <c r="AB640" s="263"/>
      <c r="AC640" s="263"/>
      <c r="AD640" s="263"/>
      <c r="AE640" s="263"/>
      <c r="AF640" s="418"/>
      <c r="AG640" s="263"/>
      <c r="AH640" s="263"/>
      <c r="AI640" s="263"/>
    </row>
    <row r="641" spans="1:35" ht="15" customHeight="1">
      <c r="A641" s="69"/>
      <c r="B641" s="418"/>
      <c r="C641" s="263"/>
      <c r="E641" s="263"/>
      <c r="F641" s="263"/>
      <c r="G641" s="418"/>
      <c r="H641" s="263"/>
      <c r="I641" s="263"/>
      <c r="J641" s="263"/>
      <c r="K641" s="263"/>
      <c r="L641" s="563"/>
      <c r="M641" s="263"/>
      <c r="N641" s="263"/>
      <c r="O641" s="263"/>
      <c r="P641" s="265"/>
      <c r="Q641" s="263"/>
      <c r="R641" s="263"/>
      <c r="S641" s="263"/>
      <c r="T641" s="263"/>
      <c r="U641" s="263"/>
      <c r="V641" s="263"/>
      <c r="W641" s="263"/>
      <c r="X641" s="263"/>
      <c r="Y641" s="263"/>
      <c r="Z641" s="263"/>
      <c r="AA641" s="263"/>
      <c r="AB641" s="263"/>
      <c r="AC641" s="263"/>
      <c r="AD641" s="263"/>
      <c r="AE641" s="263"/>
      <c r="AF641" s="418"/>
      <c r="AG641" s="263"/>
      <c r="AH641" s="263"/>
      <c r="AI641" s="263"/>
    </row>
    <row r="642" spans="1:35" ht="15" customHeight="1">
      <c r="A642" s="69"/>
      <c r="B642" s="418"/>
      <c r="C642" s="263"/>
      <c r="E642" s="263"/>
      <c r="F642" s="263"/>
      <c r="G642" s="418"/>
      <c r="H642" s="263"/>
      <c r="I642" s="263"/>
      <c r="J642" s="263"/>
      <c r="K642" s="263"/>
      <c r="L642" s="563"/>
      <c r="M642" s="263"/>
      <c r="N642" s="263"/>
      <c r="O642" s="263"/>
      <c r="P642" s="265"/>
      <c r="Q642" s="263"/>
      <c r="R642" s="263"/>
      <c r="S642" s="263"/>
      <c r="T642" s="263"/>
      <c r="U642" s="263"/>
      <c r="V642" s="263"/>
      <c r="W642" s="263"/>
      <c r="X642" s="263"/>
      <c r="Y642" s="263"/>
      <c r="Z642" s="263"/>
      <c r="AA642" s="263"/>
      <c r="AB642" s="263"/>
      <c r="AC642" s="263"/>
      <c r="AD642" s="263"/>
      <c r="AE642" s="263"/>
      <c r="AF642" s="418"/>
      <c r="AG642" s="263"/>
      <c r="AH642" s="263"/>
      <c r="AI642" s="263"/>
    </row>
    <row r="643" spans="1:35" ht="15" customHeight="1">
      <c r="A643" s="69"/>
      <c r="B643" s="418"/>
      <c r="C643" s="263"/>
      <c r="E643" s="263"/>
      <c r="F643" s="263"/>
      <c r="G643" s="418"/>
      <c r="H643" s="263"/>
      <c r="I643" s="263"/>
      <c r="J643" s="263"/>
      <c r="K643" s="263"/>
      <c r="L643" s="563"/>
      <c r="M643" s="263"/>
      <c r="N643" s="263"/>
      <c r="O643" s="263"/>
      <c r="P643" s="265"/>
      <c r="Q643" s="263"/>
      <c r="R643" s="263"/>
      <c r="S643" s="263"/>
      <c r="T643" s="263"/>
      <c r="U643" s="263"/>
      <c r="V643" s="263"/>
      <c r="W643" s="263"/>
      <c r="X643" s="263"/>
      <c r="Y643" s="263"/>
      <c r="Z643" s="263"/>
      <c r="AA643" s="263"/>
      <c r="AB643" s="263"/>
      <c r="AC643" s="263"/>
      <c r="AD643" s="263"/>
      <c r="AE643" s="263"/>
      <c r="AF643" s="418"/>
      <c r="AG643" s="263"/>
      <c r="AH643" s="263"/>
      <c r="AI643" s="263"/>
    </row>
    <row r="644" spans="1:35" ht="15" customHeight="1">
      <c r="A644" s="69"/>
      <c r="B644" s="418"/>
      <c r="C644" s="263"/>
      <c r="E644" s="263"/>
      <c r="F644" s="263"/>
      <c r="G644" s="418"/>
      <c r="H644" s="263"/>
      <c r="I644" s="263"/>
      <c r="J644" s="263"/>
      <c r="K644" s="263"/>
      <c r="L644" s="563"/>
      <c r="M644" s="263"/>
      <c r="N644" s="263"/>
      <c r="O644" s="263"/>
      <c r="P644" s="265"/>
      <c r="Q644" s="263"/>
      <c r="R644" s="263"/>
      <c r="S644" s="263"/>
      <c r="T644" s="263"/>
      <c r="U644" s="263"/>
      <c r="V644" s="263"/>
      <c r="W644" s="263"/>
      <c r="X644" s="263"/>
      <c r="Y644" s="263"/>
      <c r="Z644" s="263"/>
      <c r="AA644" s="263"/>
      <c r="AB644" s="263"/>
      <c r="AC644" s="263"/>
      <c r="AD644" s="263"/>
      <c r="AE644" s="263"/>
      <c r="AF644" s="418"/>
      <c r="AG644" s="263"/>
      <c r="AH644" s="263"/>
      <c r="AI644" s="263"/>
    </row>
    <row r="645" spans="1:35" ht="15" customHeight="1">
      <c r="A645" s="69"/>
      <c r="B645" s="418"/>
      <c r="C645" s="263"/>
      <c r="E645" s="263"/>
      <c r="F645" s="263"/>
      <c r="G645" s="418"/>
      <c r="H645" s="263"/>
      <c r="I645" s="263"/>
      <c r="J645" s="263"/>
      <c r="K645" s="263"/>
      <c r="L645" s="563"/>
      <c r="M645" s="263"/>
      <c r="N645" s="263"/>
      <c r="O645" s="263"/>
      <c r="P645" s="265"/>
      <c r="Q645" s="263"/>
      <c r="R645" s="263"/>
      <c r="S645" s="263"/>
      <c r="T645" s="263"/>
      <c r="U645" s="263"/>
      <c r="V645" s="263"/>
      <c r="W645" s="263"/>
      <c r="X645" s="263"/>
      <c r="Y645" s="263"/>
      <c r="Z645" s="263"/>
      <c r="AA645" s="263"/>
      <c r="AB645" s="263"/>
      <c r="AC645" s="263"/>
      <c r="AD645" s="263"/>
      <c r="AE645" s="263"/>
      <c r="AF645" s="418"/>
      <c r="AG645" s="263"/>
      <c r="AH645" s="263"/>
      <c r="AI645" s="263"/>
    </row>
    <row r="646" spans="1:35" ht="15" customHeight="1">
      <c r="A646" s="69"/>
      <c r="B646" s="418"/>
      <c r="C646" s="263"/>
      <c r="E646" s="263"/>
      <c r="F646" s="263"/>
      <c r="G646" s="418"/>
      <c r="H646" s="263"/>
      <c r="I646" s="263"/>
      <c r="J646" s="263"/>
      <c r="K646" s="263"/>
      <c r="L646" s="563"/>
      <c r="M646" s="263"/>
      <c r="N646" s="263"/>
      <c r="O646" s="263"/>
      <c r="P646" s="265"/>
      <c r="Q646" s="263"/>
      <c r="R646" s="263"/>
      <c r="S646" s="263"/>
      <c r="T646" s="263"/>
      <c r="U646" s="263"/>
      <c r="V646" s="263"/>
      <c r="W646" s="263"/>
      <c r="X646" s="263"/>
      <c r="Y646" s="263"/>
      <c r="Z646" s="263"/>
      <c r="AA646" s="263"/>
      <c r="AB646" s="263"/>
      <c r="AC646" s="263"/>
      <c r="AD646" s="263"/>
      <c r="AE646" s="263"/>
      <c r="AF646" s="418"/>
      <c r="AG646" s="263"/>
      <c r="AH646" s="263"/>
      <c r="AI646" s="263"/>
    </row>
    <row r="647" spans="1:35" ht="15" customHeight="1">
      <c r="A647" s="69"/>
      <c r="B647" s="418"/>
      <c r="C647" s="263"/>
      <c r="E647" s="263"/>
      <c r="F647" s="263"/>
      <c r="G647" s="418"/>
      <c r="H647" s="263"/>
      <c r="I647" s="263"/>
      <c r="J647" s="263"/>
      <c r="K647" s="263"/>
      <c r="L647" s="563"/>
      <c r="M647" s="263"/>
      <c r="N647" s="263"/>
      <c r="O647" s="263"/>
      <c r="P647" s="265"/>
      <c r="Q647" s="263"/>
      <c r="R647" s="263"/>
      <c r="S647" s="263"/>
      <c r="T647" s="263"/>
      <c r="U647" s="263"/>
      <c r="V647" s="263"/>
      <c r="W647" s="263"/>
      <c r="X647" s="263"/>
      <c r="Y647" s="263"/>
      <c r="Z647" s="263"/>
      <c r="AA647" s="263"/>
      <c r="AB647" s="263"/>
      <c r="AC647" s="263"/>
      <c r="AD647" s="263"/>
      <c r="AE647" s="263"/>
      <c r="AF647" s="418"/>
      <c r="AG647" s="263"/>
      <c r="AH647" s="263"/>
      <c r="AI647" s="263"/>
    </row>
    <row r="648" spans="1:35" ht="15" customHeight="1">
      <c r="A648" s="69"/>
      <c r="B648" s="418"/>
      <c r="C648" s="263"/>
      <c r="E648" s="263"/>
      <c r="F648" s="263"/>
      <c r="G648" s="418"/>
      <c r="H648" s="263"/>
      <c r="I648" s="263"/>
      <c r="J648" s="263"/>
      <c r="K648" s="263"/>
      <c r="L648" s="563"/>
      <c r="M648" s="263"/>
      <c r="N648" s="263"/>
      <c r="O648" s="263"/>
      <c r="P648" s="265"/>
      <c r="Q648" s="263"/>
      <c r="R648" s="263"/>
      <c r="S648" s="263"/>
      <c r="T648" s="263"/>
      <c r="U648" s="263"/>
      <c r="V648" s="263"/>
      <c r="W648" s="263"/>
      <c r="X648" s="263"/>
      <c r="Y648" s="263"/>
      <c r="Z648" s="263"/>
      <c r="AA648" s="263"/>
      <c r="AB648" s="263"/>
      <c r="AC648" s="263"/>
      <c r="AD648" s="263"/>
      <c r="AE648" s="263"/>
      <c r="AF648" s="418"/>
      <c r="AG648" s="263"/>
      <c r="AH648" s="263"/>
      <c r="AI648" s="263"/>
    </row>
    <row r="649" spans="1:35" ht="15" customHeight="1">
      <c r="A649" s="69"/>
      <c r="B649" s="418"/>
      <c r="C649" s="263"/>
      <c r="E649" s="263"/>
      <c r="F649" s="263"/>
      <c r="G649" s="418"/>
      <c r="H649" s="263"/>
      <c r="I649" s="263"/>
      <c r="J649" s="263"/>
      <c r="K649" s="263"/>
      <c r="L649" s="563"/>
      <c r="M649" s="263"/>
      <c r="N649" s="263"/>
      <c r="O649" s="263"/>
      <c r="P649" s="265"/>
      <c r="Q649" s="263"/>
      <c r="R649" s="263"/>
      <c r="S649" s="263"/>
      <c r="T649" s="263"/>
      <c r="U649" s="263"/>
      <c r="V649" s="263"/>
      <c r="W649" s="263"/>
      <c r="X649" s="263"/>
      <c r="Y649" s="263"/>
      <c r="Z649" s="263"/>
      <c r="AA649" s="263"/>
      <c r="AB649" s="263"/>
      <c r="AC649" s="263"/>
      <c r="AD649" s="263"/>
      <c r="AE649" s="263"/>
      <c r="AF649" s="418"/>
      <c r="AG649" s="263"/>
      <c r="AH649" s="263"/>
      <c r="AI649" s="263"/>
    </row>
    <row r="650" spans="1:35" ht="15" customHeight="1">
      <c r="A650" s="69"/>
      <c r="B650" s="418"/>
      <c r="C650" s="263"/>
      <c r="E650" s="263"/>
      <c r="F650" s="263"/>
      <c r="G650" s="418"/>
      <c r="H650" s="263"/>
      <c r="I650" s="263"/>
      <c r="J650" s="263"/>
      <c r="K650" s="263"/>
      <c r="L650" s="563"/>
      <c r="M650" s="263"/>
      <c r="N650" s="263"/>
      <c r="O650" s="263"/>
      <c r="P650" s="265"/>
      <c r="Q650" s="263"/>
      <c r="R650" s="263"/>
      <c r="S650" s="263"/>
      <c r="T650" s="263"/>
      <c r="U650" s="263"/>
      <c r="V650" s="263"/>
      <c r="W650" s="263"/>
      <c r="X650" s="263"/>
      <c r="Y650" s="263"/>
      <c r="Z650" s="263"/>
      <c r="AA650" s="263"/>
      <c r="AB650" s="263"/>
      <c r="AC650" s="263"/>
      <c r="AD650" s="263"/>
      <c r="AE650" s="263"/>
      <c r="AF650" s="418"/>
      <c r="AG650" s="263"/>
      <c r="AH650" s="263"/>
      <c r="AI650" s="263"/>
    </row>
    <row r="651" spans="1:35" ht="15" customHeight="1">
      <c r="A651" s="69"/>
      <c r="B651" s="418"/>
      <c r="C651" s="263"/>
      <c r="E651" s="263"/>
      <c r="F651" s="263"/>
      <c r="G651" s="418"/>
      <c r="H651" s="263"/>
      <c r="I651" s="263"/>
      <c r="J651" s="263"/>
      <c r="K651" s="263"/>
      <c r="L651" s="563"/>
      <c r="M651" s="263"/>
      <c r="N651" s="263"/>
      <c r="O651" s="263"/>
      <c r="P651" s="265"/>
      <c r="Q651" s="263"/>
      <c r="R651" s="263"/>
      <c r="S651" s="263"/>
      <c r="T651" s="263"/>
      <c r="U651" s="263"/>
      <c r="V651" s="263"/>
      <c r="W651" s="263"/>
      <c r="X651" s="263"/>
      <c r="Y651" s="263"/>
      <c r="Z651" s="263"/>
      <c r="AA651" s="263"/>
      <c r="AB651" s="263"/>
      <c r="AC651" s="263"/>
      <c r="AD651" s="263"/>
      <c r="AE651" s="263"/>
      <c r="AF651" s="418"/>
      <c r="AG651" s="263"/>
      <c r="AH651" s="263"/>
      <c r="AI651" s="263"/>
    </row>
    <row r="652" spans="1:35" ht="15" customHeight="1">
      <c r="A652" s="69"/>
      <c r="B652" s="418"/>
      <c r="C652" s="263"/>
      <c r="E652" s="263"/>
      <c r="F652" s="263"/>
      <c r="G652" s="418"/>
      <c r="H652" s="263"/>
      <c r="I652" s="263"/>
      <c r="J652" s="263"/>
      <c r="K652" s="263"/>
      <c r="L652" s="563"/>
      <c r="M652" s="263"/>
      <c r="N652" s="263"/>
      <c r="O652" s="263"/>
      <c r="P652" s="265"/>
      <c r="Q652" s="263"/>
      <c r="R652" s="263"/>
      <c r="S652" s="263"/>
      <c r="T652" s="263"/>
      <c r="U652" s="263"/>
      <c r="V652" s="263"/>
      <c r="W652" s="263"/>
      <c r="X652" s="263"/>
      <c r="Y652" s="263"/>
      <c r="Z652" s="263"/>
      <c r="AA652" s="263"/>
      <c r="AB652" s="263"/>
      <c r="AC652" s="263"/>
      <c r="AD652" s="263"/>
      <c r="AE652" s="263"/>
      <c r="AF652" s="418"/>
      <c r="AG652" s="263"/>
      <c r="AH652" s="263"/>
      <c r="AI652" s="263"/>
    </row>
    <row r="653" spans="1:35" ht="15" customHeight="1">
      <c r="A653" s="69"/>
      <c r="B653" s="418"/>
      <c r="C653" s="263"/>
      <c r="E653" s="263"/>
      <c r="F653" s="263"/>
      <c r="G653" s="418"/>
      <c r="H653" s="263"/>
      <c r="I653" s="263"/>
      <c r="J653" s="263"/>
      <c r="K653" s="263"/>
      <c r="L653" s="563"/>
      <c r="M653" s="263"/>
      <c r="N653" s="263"/>
      <c r="O653" s="263"/>
      <c r="P653" s="265"/>
      <c r="Q653" s="263"/>
      <c r="R653" s="263"/>
      <c r="S653" s="263"/>
      <c r="T653" s="263"/>
      <c r="U653" s="263"/>
      <c r="V653" s="263"/>
      <c r="W653" s="263"/>
      <c r="X653" s="263"/>
      <c r="Y653" s="263"/>
      <c r="Z653" s="263"/>
      <c r="AA653" s="263"/>
      <c r="AB653" s="263"/>
      <c r="AC653" s="263"/>
      <c r="AD653" s="263"/>
      <c r="AE653" s="263"/>
      <c r="AF653" s="418"/>
      <c r="AG653" s="263"/>
      <c r="AH653" s="263"/>
      <c r="AI653" s="263"/>
    </row>
    <row r="654" spans="1:35" ht="15" customHeight="1">
      <c r="A654" s="69"/>
      <c r="B654" s="418"/>
      <c r="C654" s="263"/>
      <c r="E654" s="263"/>
      <c r="F654" s="263"/>
      <c r="G654" s="418"/>
      <c r="H654" s="263"/>
      <c r="I654" s="263"/>
      <c r="J654" s="263"/>
      <c r="K654" s="263"/>
      <c r="L654" s="563"/>
      <c r="M654" s="263"/>
      <c r="N654" s="263"/>
      <c r="O654" s="263"/>
      <c r="P654" s="265"/>
      <c r="Q654" s="263"/>
      <c r="R654" s="263"/>
      <c r="S654" s="263"/>
      <c r="T654" s="263"/>
      <c r="U654" s="263"/>
      <c r="V654" s="263"/>
      <c r="W654" s="263"/>
      <c r="X654" s="263"/>
      <c r="Y654" s="263"/>
      <c r="Z654" s="263"/>
      <c r="AA654" s="263"/>
      <c r="AB654" s="263"/>
      <c r="AC654" s="263"/>
      <c r="AD654" s="263"/>
      <c r="AE654" s="263"/>
      <c r="AF654" s="418"/>
      <c r="AG654" s="263"/>
      <c r="AH654" s="263"/>
      <c r="AI654" s="263"/>
    </row>
    <row r="655" spans="1:35" ht="15" customHeight="1">
      <c r="A655" s="69"/>
      <c r="B655" s="418"/>
      <c r="C655" s="263"/>
      <c r="E655" s="263"/>
      <c r="F655" s="263"/>
      <c r="G655" s="418"/>
      <c r="H655" s="263"/>
      <c r="I655" s="263"/>
      <c r="J655" s="263"/>
      <c r="K655" s="263"/>
      <c r="L655" s="563"/>
      <c r="M655" s="263"/>
      <c r="N655" s="263"/>
      <c r="O655" s="263"/>
      <c r="P655" s="265"/>
      <c r="Q655" s="263"/>
      <c r="R655" s="263"/>
      <c r="S655" s="263"/>
      <c r="T655" s="263"/>
      <c r="U655" s="263"/>
      <c r="V655" s="263"/>
      <c r="W655" s="263"/>
      <c r="X655" s="263"/>
      <c r="Y655" s="263"/>
      <c r="Z655" s="263"/>
      <c r="AA655" s="263"/>
      <c r="AB655" s="263"/>
      <c r="AC655" s="263"/>
      <c r="AD655" s="263"/>
      <c r="AE655" s="263"/>
      <c r="AF655" s="418"/>
      <c r="AG655" s="263"/>
      <c r="AH655" s="263"/>
      <c r="AI655" s="263"/>
    </row>
    <row r="656" spans="1:35" ht="15" customHeight="1">
      <c r="A656" s="69"/>
      <c r="B656" s="418"/>
      <c r="C656" s="263"/>
      <c r="E656" s="263"/>
      <c r="F656" s="263"/>
      <c r="G656" s="418"/>
      <c r="H656" s="263"/>
      <c r="I656" s="263"/>
      <c r="J656" s="263"/>
      <c r="K656" s="263"/>
      <c r="L656" s="563"/>
      <c r="M656" s="263"/>
      <c r="N656" s="263"/>
      <c r="O656" s="263"/>
      <c r="P656" s="265"/>
      <c r="Q656" s="263"/>
      <c r="R656" s="263"/>
      <c r="S656" s="263"/>
      <c r="T656" s="263"/>
      <c r="U656" s="263"/>
      <c r="V656" s="263"/>
      <c r="W656" s="263"/>
      <c r="X656" s="263"/>
      <c r="Y656" s="263"/>
      <c r="Z656" s="263"/>
      <c r="AA656" s="263"/>
      <c r="AB656" s="263"/>
      <c r="AC656" s="263"/>
      <c r="AD656" s="263"/>
      <c r="AE656" s="263"/>
      <c r="AF656" s="418"/>
      <c r="AG656" s="263"/>
      <c r="AH656" s="263"/>
      <c r="AI656" s="263"/>
    </row>
    <row r="657" spans="1:35" ht="15" customHeight="1">
      <c r="A657" s="69"/>
      <c r="B657" s="418"/>
      <c r="C657" s="263"/>
      <c r="E657" s="263"/>
      <c r="F657" s="263"/>
      <c r="G657" s="418"/>
      <c r="H657" s="263"/>
      <c r="I657" s="263"/>
      <c r="J657" s="263"/>
      <c r="K657" s="263"/>
      <c r="L657" s="563"/>
      <c r="M657" s="263"/>
      <c r="N657" s="263"/>
      <c r="O657" s="263"/>
      <c r="P657" s="265"/>
      <c r="Q657" s="263"/>
      <c r="R657" s="263"/>
      <c r="S657" s="263"/>
      <c r="T657" s="263"/>
      <c r="U657" s="263"/>
      <c r="V657" s="263"/>
      <c r="W657" s="263"/>
      <c r="X657" s="263"/>
      <c r="Y657" s="263"/>
      <c r="Z657" s="263"/>
      <c r="AA657" s="263"/>
      <c r="AB657" s="263"/>
      <c r="AC657" s="263"/>
      <c r="AD657" s="263"/>
      <c r="AE657" s="263"/>
      <c r="AF657" s="418"/>
      <c r="AG657" s="263"/>
      <c r="AH657" s="263"/>
      <c r="AI657" s="263"/>
    </row>
    <row r="658" spans="1:35" ht="15" customHeight="1">
      <c r="A658" s="69"/>
      <c r="B658" s="418"/>
      <c r="C658" s="263"/>
      <c r="E658" s="263"/>
      <c r="F658" s="263"/>
      <c r="G658" s="418"/>
      <c r="H658" s="263"/>
      <c r="I658" s="263"/>
      <c r="J658" s="263"/>
      <c r="K658" s="263"/>
      <c r="L658" s="563"/>
      <c r="M658" s="263"/>
      <c r="N658" s="263"/>
      <c r="O658" s="263"/>
      <c r="P658" s="265"/>
      <c r="Q658" s="263"/>
      <c r="R658" s="263"/>
      <c r="S658" s="263"/>
      <c r="T658" s="263"/>
      <c r="U658" s="263"/>
      <c r="V658" s="263"/>
      <c r="W658" s="263"/>
      <c r="X658" s="263"/>
      <c r="Y658" s="263"/>
      <c r="Z658" s="263"/>
      <c r="AA658" s="263"/>
      <c r="AB658" s="263"/>
      <c r="AC658" s="263"/>
      <c r="AD658" s="263"/>
      <c r="AE658" s="263"/>
      <c r="AF658" s="418"/>
      <c r="AG658" s="263"/>
      <c r="AH658" s="263"/>
      <c r="AI658" s="263"/>
    </row>
    <row r="659" spans="1:35" ht="15" customHeight="1">
      <c r="A659" s="69"/>
      <c r="B659" s="418"/>
      <c r="C659" s="263"/>
      <c r="E659" s="263"/>
      <c r="F659" s="263"/>
      <c r="G659" s="418"/>
      <c r="H659" s="263"/>
      <c r="I659" s="263"/>
      <c r="J659" s="263"/>
      <c r="K659" s="263"/>
      <c r="L659" s="563"/>
      <c r="M659" s="263"/>
      <c r="N659" s="263"/>
      <c r="O659" s="263"/>
      <c r="P659" s="265"/>
      <c r="Q659" s="263"/>
      <c r="R659" s="263"/>
      <c r="S659" s="263"/>
      <c r="T659" s="263"/>
      <c r="U659" s="263"/>
      <c r="V659" s="263"/>
      <c r="W659" s="263"/>
      <c r="X659" s="263"/>
      <c r="Y659" s="263"/>
      <c r="Z659" s="263"/>
      <c r="AA659" s="263"/>
      <c r="AB659" s="263"/>
      <c r="AC659" s="263"/>
      <c r="AD659" s="263"/>
      <c r="AE659" s="263"/>
      <c r="AF659" s="418"/>
      <c r="AG659" s="263"/>
      <c r="AH659" s="263"/>
      <c r="AI659" s="263"/>
    </row>
    <row r="660" spans="1:35" ht="15" customHeight="1">
      <c r="A660" s="69"/>
      <c r="B660" s="418"/>
      <c r="C660" s="263"/>
      <c r="E660" s="263"/>
      <c r="F660" s="263"/>
      <c r="G660" s="418"/>
      <c r="H660" s="263"/>
      <c r="I660" s="263"/>
      <c r="J660" s="263"/>
      <c r="K660" s="263"/>
      <c r="L660" s="563"/>
      <c r="M660" s="263"/>
      <c r="N660" s="263"/>
      <c r="O660" s="263"/>
      <c r="P660" s="265"/>
      <c r="Q660" s="263"/>
      <c r="R660" s="263"/>
      <c r="S660" s="263"/>
      <c r="T660" s="263"/>
      <c r="U660" s="263"/>
      <c r="V660" s="263"/>
      <c r="W660" s="263"/>
      <c r="X660" s="263"/>
      <c r="Y660" s="263"/>
      <c r="Z660" s="263"/>
      <c r="AA660" s="263"/>
      <c r="AB660" s="263"/>
      <c r="AC660" s="263"/>
      <c r="AD660" s="263"/>
      <c r="AE660" s="263"/>
      <c r="AF660" s="418"/>
      <c r="AG660" s="263"/>
      <c r="AH660" s="263"/>
      <c r="AI660" s="263"/>
    </row>
    <row r="661" spans="1:35" ht="15" customHeight="1">
      <c r="A661" s="69"/>
      <c r="B661" s="418"/>
      <c r="C661" s="263"/>
      <c r="E661" s="263"/>
      <c r="F661" s="263"/>
      <c r="G661" s="418"/>
      <c r="H661" s="263"/>
      <c r="I661" s="263"/>
      <c r="J661" s="263"/>
      <c r="K661" s="263"/>
      <c r="L661" s="563"/>
      <c r="M661" s="263"/>
      <c r="N661" s="263"/>
      <c r="O661" s="263"/>
      <c r="P661" s="265"/>
      <c r="Q661" s="263"/>
      <c r="R661" s="263"/>
      <c r="S661" s="263"/>
      <c r="T661" s="263"/>
      <c r="U661" s="263"/>
      <c r="V661" s="263"/>
      <c r="W661" s="263"/>
      <c r="X661" s="263"/>
      <c r="Y661" s="263"/>
      <c r="Z661" s="263"/>
      <c r="AA661" s="263"/>
      <c r="AB661" s="263"/>
      <c r="AC661" s="263"/>
      <c r="AD661" s="263"/>
      <c r="AE661" s="263"/>
      <c r="AF661" s="418"/>
      <c r="AG661" s="263"/>
      <c r="AH661" s="263"/>
      <c r="AI661" s="263"/>
    </row>
    <row r="662" spans="1:35" ht="15" customHeight="1">
      <c r="A662" s="69"/>
      <c r="B662" s="418"/>
      <c r="C662" s="263"/>
      <c r="E662" s="263"/>
      <c r="F662" s="263"/>
      <c r="G662" s="418"/>
      <c r="H662" s="263"/>
      <c r="I662" s="263"/>
      <c r="J662" s="263"/>
      <c r="K662" s="263"/>
      <c r="L662" s="563"/>
      <c r="M662" s="263"/>
      <c r="N662" s="263"/>
      <c r="O662" s="263"/>
      <c r="P662" s="265"/>
      <c r="Q662" s="263"/>
      <c r="R662" s="263"/>
      <c r="S662" s="263"/>
      <c r="T662" s="263"/>
      <c r="U662" s="263"/>
      <c r="V662" s="263"/>
      <c r="W662" s="263"/>
      <c r="X662" s="263"/>
      <c r="Y662" s="263"/>
      <c r="Z662" s="263"/>
      <c r="AA662" s="263"/>
      <c r="AB662" s="263"/>
      <c r="AC662" s="263"/>
      <c r="AD662" s="263"/>
      <c r="AE662" s="263"/>
      <c r="AF662" s="418"/>
      <c r="AG662" s="263"/>
      <c r="AH662" s="263"/>
      <c r="AI662" s="263"/>
    </row>
    <row r="663" spans="1:35" ht="15" customHeight="1">
      <c r="A663" s="69"/>
      <c r="B663" s="418"/>
      <c r="C663" s="263"/>
      <c r="E663" s="263"/>
      <c r="F663" s="263"/>
      <c r="G663" s="418"/>
      <c r="H663" s="263"/>
      <c r="I663" s="263"/>
      <c r="J663" s="263"/>
      <c r="K663" s="263"/>
      <c r="L663" s="563"/>
      <c r="M663" s="263"/>
      <c r="N663" s="263"/>
      <c r="O663" s="263"/>
      <c r="P663" s="265"/>
      <c r="Q663" s="263"/>
      <c r="R663" s="263"/>
      <c r="S663" s="263"/>
      <c r="T663" s="263"/>
      <c r="U663" s="263"/>
      <c r="V663" s="263"/>
      <c r="W663" s="263"/>
      <c r="X663" s="263"/>
      <c r="Y663" s="263"/>
      <c r="Z663" s="263"/>
      <c r="AA663" s="263"/>
      <c r="AB663" s="263"/>
      <c r="AC663" s="263"/>
      <c r="AD663" s="263"/>
      <c r="AE663" s="263"/>
      <c r="AF663" s="418"/>
      <c r="AG663" s="263"/>
      <c r="AH663" s="263"/>
      <c r="AI663" s="263"/>
    </row>
    <row r="664" spans="1:35" ht="15" customHeight="1">
      <c r="A664" s="69"/>
      <c r="B664" s="418"/>
      <c r="C664" s="263"/>
      <c r="E664" s="263"/>
      <c r="F664" s="263"/>
      <c r="G664" s="418"/>
      <c r="H664" s="263"/>
      <c r="I664" s="263"/>
      <c r="J664" s="263"/>
      <c r="K664" s="263"/>
      <c r="L664" s="563"/>
      <c r="M664" s="263"/>
      <c r="N664" s="263"/>
      <c r="O664" s="263"/>
      <c r="P664" s="265"/>
      <c r="Q664" s="263"/>
      <c r="R664" s="263"/>
      <c r="S664" s="263"/>
      <c r="T664" s="263"/>
      <c r="U664" s="263"/>
      <c r="V664" s="263"/>
      <c r="W664" s="263"/>
      <c r="X664" s="263"/>
      <c r="Y664" s="263"/>
      <c r="Z664" s="263"/>
      <c r="AA664" s="263"/>
      <c r="AB664" s="263"/>
      <c r="AC664" s="263"/>
      <c r="AD664" s="263"/>
      <c r="AE664" s="263"/>
      <c r="AF664" s="418"/>
      <c r="AG664" s="263"/>
      <c r="AH664" s="263"/>
      <c r="AI664" s="263"/>
    </row>
    <row r="665" spans="1:35" ht="15" customHeight="1">
      <c r="A665" s="69"/>
      <c r="B665" s="418"/>
      <c r="C665" s="263"/>
      <c r="E665" s="263"/>
      <c r="F665" s="263"/>
      <c r="G665" s="418"/>
      <c r="H665" s="263"/>
      <c r="I665" s="263"/>
      <c r="J665" s="263"/>
      <c r="K665" s="263"/>
      <c r="L665" s="563"/>
      <c r="M665" s="263"/>
      <c r="N665" s="263"/>
      <c r="O665" s="263"/>
      <c r="P665" s="265"/>
      <c r="Q665" s="263"/>
      <c r="R665" s="263"/>
      <c r="S665" s="263"/>
      <c r="T665" s="263"/>
      <c r="U665" s="263"/>
      <c r="V665" s="263"/>
      <c r="W665" s="263"/>
      <c r="X665" s="263"/>
      <c r="Y665" s="263"/>
      <c r="Z665" s="263"/>
      <c r="AA665" s="263"/>
      <c r="AB665" s="263"/>
      <c r="AC665" s="263"/>
      <c r="AD665" s="263"/>
      <c r="AE665" s="263"/>
      <c r="AF665" s="418"/>
      <c r="AG665" s="263"/>
      <c r="AH665" s="263"/>
      <c r="AI665" s="263"/>
    </row>
    <row r="666" spans="1:35" ht="15" customHeight="1">
      <c r="A666" s="69"/>
      <c r="B666" s="418"/>
      <c r="C666" s="263"/>
      <c r="E666" s="263"/>
      <c r="F666" s="263"/>
      <c r="G666" s="418"/>
      <c r="H666" s="263"/>
      <c r="I666" s="263"/>
      <c r="J666" s="263"/>
      <c r="K666" s="263"/>
      <c r="L666" s="563"/>
      <c r="M666" s="263"/>
      <c r="N666" s="263"/>
      <c r="O666" s="263"/>
      <c r="P666" s="265"/>
      <c r="Q666" s="263"/>
      <c r="R666" s="263"/>
      <c r="S666" s="263"/>
      <c r="T666" s="263"/>
      <c r="U666" s="263"/>
      <c r="V666" s="263"/>
      <c r="W666" s="263"/>
      <c r="X666" s="263"/>
      <c r="Y666" s="263"/>
      <c r="Z666" s="263"/>
      <c r="AA666" s="263"/>
      <c r="AB666" s="263"/>
      <c r="AC666" s="263"/>
      <c r="AD666" s="263"/>
      <c r="AE666" s="263"/>
      <c r="AF666" s="418"/>
      <c r="AG666" s="263"/>
      <c r="AH666" s="263"/>
      <c r="AI666" s="263"/>
    </row>
    <row r="667" spans="1:35" ht="15" customHeight="1">
      <c r="A667" s="69"/>
      <c r="B667" s="418"/>
      <c r="C667" s="263"/>
      <c r="E667" s="263"/>
      <c r="F667" s="263"/>
      <c r="G667" s="418"/>
      <c r="H667" s="263"/>
      <c r="I667" s="263"/>
      <c r="J667" s="263"/>
      <c r="K667" s="263"/>
      <c r="L667" s="563"/>
      <c r="M667" s="263"/>
      <c r="N667" s="263"/>
      <c r="O667" s="263"/>
      <c r="P667" s="265"/>
      <c r="Q667" s="263"/>
      <c r="R667" s="263"/>
      <c r="S667" s="263"/>
      <c r="T667" s="263"/>
      <c r="U667" s="263"/>
      <c r="V667" s="263"/>
      <c r="W667" s="263"/>
      <c r="X667" s="263"/>
      <c r="Y667" s="263"/>
      <c r="Z667" s="263"/>
      <c r="AA667" s="263"/>
      <c r="AB667" s="263"/>
      <c r="AC667" s="263"/>
      <c r="AD667" s="263"/>
      <c r="AE667" s="263"/>
      <c r="AF667" s="418"/>
      <c r="AG667" s="263"/>
      <c r="AH667" s="263"/>
      <c r="AI667" s="263"/>
    </row>
    <row r="668" spans="1:35" ht="15" customHeight="1">
      <c r="A668" s="69"/>
      <c r="B668" s="418"/>
      <c r="C668" s="263"/>
      <c r="E668" s="263"/>
      <c r="F668" s="263"/>
      <c r="G668" s="418"/>
      <c r="H668" s="263"/>
      <c r="I668" s="263"/>
      <c r="J668" s="263"/>
      <c r="K668" s="263"/>
      <c r="L668" s="563"/>
      <c r="M668" s="263"/>
      <c r="N668" s="263"/>
      <c r="O668" s="263"/>
      <c r="P668" s="265"/>
      <c r="Q668" s="263"/>
      <c r="R668" s="263"/>
      <c r="S668" s="263"/>
      <c r="T668" s="263"/>
      <c r="U668" s="263"/>
      <c r="V668" s="263"/>
      <c r="W668" s="263"/>
      <c r="X668" s="263"/>
      <c r="Y668" s="263"/>
      <c r="Z668" s="263"/>
      <c r="AA668" s="263"/>
      <c r="AB668" s="263"/>
      <c r="AC668" s="263"/>
      <c r="AD668" s="263"/>
      <c r="AE668" s="263"/>
      <c r="AF668" s="418"/>
      <c r="AG668" s="263"/>
      <c r="AH668" s="263"/>
      <c r="AI668" s="263"/>
    </row>
    <row r="669" spans="1:35" ht="15" customHeight="1">
      <c r="A669" s="69"/>
      <c r="B669" s="418"/>
      <c r="C669" s="263"/>
      <c r="E669" s="263"/>
      <c r="F669" s="263"/>
      <c r="G669" s="418"/>
      <c r="H669" s="263"/>
      <c r="I669" s="263"/>
      <c r="J669" s="263"/>
      <c r="K669" s="263"/>
      <c r="L669" s="563"/>
      <c r="M669" s="263"/>
      <c r="N669" s="263"/>
      <c r="O669" s="263"/>
      <c r="P669" s="265"/>
      <c r="Q669" s="263"/>
      <c r="R669" s="263"/>
      <c r="S669" s="263"/>
      <c r="T669" s="263"/>
      <c r="U669" s="263"/>
      <c r="V669" s="263"/>
      <c r="W669" s="263"/>
      <c r="X669" s="263"/>
      <c r="Y669" s="263"/>
      <c r="Z669" s="263"/>
      <c r="AA669" s="263"/>
      <c r="AB669" s="263"/>
      <c r="AC669" s="263"/>
      <c r="AD669" s="263"/>
      <c r="AE669" s="263"/>
      <c r="AF669" s="418"/>
      <c r="AG669" s="263"/>
      <c r="AH669" s="263"/>
      <c r="AI669" s="263"/>
    </row>
    <row r="670" spans="1:35" ht="15" customHeight="1">
      <c r="A670" s="69"/>
      <c r="B670" s="418"/>
      <c r="C670" s="263"/>
      <c r="E670" s="263"/>
      <c r="F670" s="263"/>
      <c r="G670" s="418"/>
      <c r="H670" s="263"/>
      <c r="I670" s="263"/>
      <c r="J670" s="263"/>
      <c r="K670" s="263"/>
      <c r="L670" s="563"/>
      <c r="M670" s="263"/>
      <c r="N670" s="263"/>
      <c r="O670" s="263"/>
      <c r="P670" s="265"/>
      <c r="Q670" s="263"/>
      <c r="R670" s="263"/>
      <c r="S670" s="263"/>
      <c r="T670" s="263"/>
      <c r="U670" s="263"/>
      <c r="V670" s="263"/>
      <c r="W670" s="263"/>
      <c r="X670" s="263"/>
      <c r="Y670" s="263"/>
      <c r="Z670" s="263"/>
      <c r="AA670" s="263"/>
      <c r="AB670" s="263"/>
      <c r="AC670" s="263"/>
      <c r="AD670" s="263"/>
      <c r="AE670" s="263"/>
      <c r="AF670" s="418"/>
      <c r="AG670" s="263"/>
      <c r="AH670" s="263"/>
      <c r="AI670" s="263"/>
    </row>
    <row r="671" spans="1:35" ht="15" customHeight="1">
      <c r="A671" s="69"/>
      <c r="B671" s="418"/>
      <c r="C671" s="263"/>
      <c r="E671" s="263"/>
      <c r="F671" s="263"/>
      <c r="G671" s="418"/>
      <c r="H671" s="263"/>
      <c r="I671" s="263"/>
      <c r="J671" s="263"/>
      <c r="K671" s="263"/>
      <c r="L671" s="563"/>
      <c r="M671" s="263"/>
      <c r="N671" s="263"/>
      <c r="O671" s="263"/>
      <c r="P671" s="265"/>
      <c r="Q671" s="263"/>
      <c r="R671" s="263"/>
      <c r="S671" s="263"/>
      <c r="T671" s="263"/>
      <c r="U671" s="263"/>
      <c r="V671" s="263"/>
      <c r="W671" s="263"/>
      <c r="X671" s="263"/>
      <c r="Y671" s="263"/>
      <c r="Z671" s="263"/>
      <c r="AA671" s="263"/>
      <c r="AB671" s="263"/>
      <c r="AC671" s="263"/>
      <c r="AD671" s="263"/>
      <c r="AE671" s="263"/>
      <c r="AF671" s="418"/>
      <c r="AG671" s="263"/>
      <c r="AH671" s="263"/>
      <c r="AI671" s="263"/>
    </row>
    <row r="672" spans="1:35" ht="15" customHeight="1">
      <c r="A672" s="69"/>
      <c r="B672" s="418"/>
      <c r="C672" s="263"/>
      <c r="E672" s="263"/>
      <c r="F672" s="263"/>
      <c r="G672" s="418"/>
      <c r="H672" s="263"/>
      <c r="I672" s="263"/>
      <c r="J672" s="263"/>
      <c r="K672" s="263"/>
      <c r="L672" s="563"/>
      <c r="M672" s="263"/>
      <c r="N672" s="263"/>
      <c r="O672" s="263"/>
      <c r="P672" s="265"/>
      <c r="Q672" s="263"/>
      <c r="R672" s="263"/>
      <c r="S672" s="263"/>
      <c r="T672" s="263"/>
      <c r="U672" s="263"/>
      <c r="V672" s="263"/>
      <c r="W672" s="263"/>
      <c r="X672" s="263"/>
      <c r="Y672" s="263"/>
      <c r="Z672" s="263"/>
      <c r="AA672" s="263"/>
      <c r="AB672" s="263"/>
      <c r="AC672" s="263"/>
      <c r="AD672" s="263"/>
      <c r="AE672" s="263"/>
      <c r="AF672" s="418"/>
      <c r="AG672" s="263"/>
      <c r="AH672" s="263"/>
      <c r="AI672" s="263"/>
    </row>
    <row r="673" spans="1:35" ht="15" customHeight="1">
      <c r="A673" s="69"/>
      <c r="B673" s="418"/>
      <c r="C673" s="263"/>
      <c r="E673" s="263"/>
      <c r="F673" s="263"/>
      <c r="G673" s="418"/>
      <c r="H673" s="263"/>
      <c r="I673" s="263"/>
      <c r="J673" s="263"/>
      <c r="K673" s="263"/>
      <c r="L673" s="563"/>
      <c r="M673" s="263"/>
      <c r="N673" s="263"/>
      <c r="O673" s="263"/>
      <c r="P673" s="265"/>
      <c r="Q673" s="263"/>
      <c r="R673" s="263"/>
      <c r="S673" s="263"/>
      <c r="T673" s="263"/>
      <c r="U673" s="263"/>
      <c r="V673" s="263"/>
      <c r="W673" s="263"/>
      <c r="X673" s="263"/>
      <c r="Y673" s="263"/>
      <c r="Z673" s="263"/>
      <c r="AA673" s="263"/>
      <c r="AB673" s="263"/>
      <c r="AC673" s="263"/>
      <c r="AD673" s="263"/>
      <c r="AE673" s="263"/>
      <c r="AF673" s="418"/>
      <c r="AG673" s="263"/>
      <c r="AH673" s="263"/>
      <c r="AI673" s="263"/>
    </row>
    <row r="674" spans="1:35" ht="15" customHeight="1">
      <c r="A674" s="69"/>
      <c r="B674" s="418"/>
      <c r="C674" s="263"/>
      <c r="E674" s="263"/>
      <c r="F674" s="263"/>
      <c r="G674" s="418"/>
      <c r="H674" s="263"/>
      <c r="I674" s="263"/>
      <c r="J674" s="263"/>
      <c r="K674" s="263"/>
      <c r="L674" s="563"/>
      <c r="M674" s="263"/>
      <c r="N674" s="263"/>
      <c r="O674" s="263"/>
      <c r="P674" s="265"/>
      <c r="Q674" s="263"/>
      <c r="R674" s="263"/>
      <c r="S674" s="263"/>
      <c r="T674" s="263"/>
      <c r="U674" s="263"/>
      <c r="V674" s="263"/>
      <c r="W674" s="263"/>
      <c r="X674" s="263"/>
      <c r="Y674" s="263"/>
      <c r="Z674" s="263"/>
      <c r="AA674" s="263"/>
      <c r="AB674" s="263"/>
      <c r="AC674" s="263"/>
      <c r="AD674" s="263"/>
      <c r="AE674" s="263"/>
      <c r="AF674" s="418"/>
      <c r="AG674" s="263"/>
      <c r="AH674" s="263"/>
      <c r="AI674" s="263"/>
    </row>
    <row r="675" spans="1:35" ht="15" customHeight="1">
      <c r="A675" s="69"/>
      <c r="B675" s="418"/>
      <c r="C675" s="263"/>
      <c r="E675" s="263"/>
      <c r="F675" s="263"/>
      <c r="G675" s="418"/>
      <c r="H675" s="263"/>
      <c r="I675" s="263"/>
      <c r="J675" s="263"/>
      <c r="K675" s="263"/>
      <c r="L675" s="563"/>
      <c r="M675" s="263"/>
      <c r="N675" s="263"/>
      <c r="O675" s="263"/>
      <c r="P675" s="265"/>
      <c r="Q675" s="263"/>
      <c r="R675" s="263"/>
      <c r="S675" s="263"/>
      <c r="T675" s="263"/>
      <c r="U675" s="263"/>
      <c r="V675" s="263"/>
      <c r="W675" s="263"/>
      <c r="X675" s="263"/>
      <c r="Y675" s="263"/>
      <c r="Z675" s="263"/>
      <c r="AA675" s="263"/>
      <c r="AB675" s="263"/>
      <c r="AC675" s="263"/>
      <c r="AD675" s="263"/>
      <c r="AE675" s="263"/>
      <c r="AF675" s="418"/>
      <c r="AG675" s="263"/>
      <c r="AH675" s="263"/>
      <c r="AI675" s="263"/>
    </row>
    <row r="676" spans="1:35" ht="15" customHeight="1">
      <c r="A676" s="69"/>
      <c r="B676" s="418"/>
      <c r="C676" s="263"/>
      <c r="E676" s="263"/>
      <c r="F676" s="263"/>
      <c r="G676" s="418"/>
      <c r="H676" s="263"/>
      <c r="I676" s="263"/>
      <c r="J676" s="263"/>
      <c r="K676" s="263"/>
      <c r="L676" s="563"/>
      <c r="M676" s="263"/>
      <c r="N676" s="263"/>
      <c r="O676" s="263"/>
      <c r="P676" s="265"/>
      <c r="Q676" s="263"/>
      <c r="R676" s="263"/>
      <c r="S676" s="263"/>
      <c r="T676" s="263"/>
      <c r="U676" s="263"/>
      <c r="V676" s="263"/>
      <c r="W676" s="263"/>
      <c r="X676" s="263"/>
      <c r="Y676" s="263"/>
      <c r="Z676" s="263"/>
      <c r="AA676" s="263"/>
      <c r="AB676" s="263"/>
      <c r="AC676" s="263"/>
      <c r="AD676" s="263"/>
      <c r="AE676" s="263"/>
      <c r="AF676" s="418"/>
      <c r="AG676" s="263"/>
      <c r="AH676" s="263"/>
      <c r="AI676" s="263"/>
    </row>
    <row r="677" spans="1:35" ht="15" customHeight="1">
      <c r="A677" s="69"/>
      <c r="B677" s="418"/>
      <c r="C677" s="263"/>
      <c r="E677" s="263"/>
      <c r="F677" s="263"/>
      <c r="G677" s="418"/>
      <c r="H677" s="263"/>
      <c r="I677" s="263"/>
      <c r="J677" s="263"/>
      <c r="K677" s="263"/>
      <c r="L677" s="563"/>
      <c r="M677" s="263"/>
      <c r="N677" s="263"/>
      <c r="O677" s="263"/>
      <c r="P677" s="265"/>
      <c r="Q677" s="263"/>
      <c r="R677" s="263"/>
      <c r="S677" s="263"/>
      <c r="T677" s="263"/>
      <c r="U677" s="263"/>
      <c r="V677" s="263"/>
      <c r="W677" s="263"/>
      <c r="X677" s="263"/>
      <c r="Y677" s="263"/>
      <c r="Z677" s="263"/>
      <c r="AA677" s="263"/>
      <c r="AB677" s="263"/>
      <c r="AC677" s="263"/>
      <c r="AD677" s="263"/>
      <c r="AE677" s="263"/>
      <c r="AF677" s="418"/>
      <c r="AG677" s="263"/>
      <c r="AH677" s="263"/>
      <c r="AI677" s="263"/>
    </row>
    <row r="678" spans="1:35" ht="15" customHeight="1">
      <c r="A678" s="69"/>
      <c r="B678" s="418"/>
      <c r="C678" s="263"/>
      <c r="E678" s="263"/>
      <c r="F678" s="263"/>
      <c r="G678" s="418"/>
      <c r="H678" s="263"/>
      <c r="I678" s="263"/>
      <c r="J678" s="263"/>
      <c r="K678" s="263"/>
      <c r="L678" s="563"/>
      <c r="M678" s="263"/>
      <c r="N678" s="263"/>
      <c r="O678" s="263"/>
      <c r="P678" s="265"/>
      <c r="Q678" s="263"/>
      <c r="R678" s="263"/>
      <c r="S678" s="263"/>
      <c r="T678" s="263"/>
      <c r="U678" s="263"/>
      <c r="V678" s="263"/>
      <c r="W678" s="263"/>
      <c r="X678" s="263"/>
      <c r="Y678" s="263"/>
      <c r="Z678" s="263"/>
      <c r="AA678" s="263"/>
      <c r="AB678" s="263"/>
      <c r="AC678" s="263"/>
      <c r="AD678" s="263"/>
      <c r="AE678" s="263"/>
      <c r="AF678" s="418"/>
      <c r="AG678" s="263"/>
      <c r="AH678" s="263"/>
      <c r="AI678" s="263"/>
    </row>
    <row r="679" spans="1:35" ht="15" customHeight="1">
      <c r="A679" s="69"/>
      <c r="B679" s="418"/>
      <c r="C679" s="263"/>
      <c r="E679" s="263"/>
      <c r="F679" s="263"/>
      <c r="G679" s="418"/>
      <c r="H679" s="263"/>
      <c r="I679" s="263"/>
      <c r="J679" s="263"/>
      <c r="K679" s="263"/>
      <c r="L679" s="563"/>
      <c r="M679" s="263"/>
      <c r="N679" s="263"/>
      <c r="O679" s="263"/>
      <c r="P679" s="265"/>
      <c r="Q679" s="263"/>
      <c r="R679" s="263"/>
      <c r="S679" s="263"/>
      <c r="T679" s="263"/>
      <c r="U679" s="263"/>
      <c r="V679" s="263"/>
      <c r="W679" s="263"/>
      <c r="X679" s="263"/>
      <c r="Y679" s="263"/>
      <c r="Z679" s="263"/>
      <c r="AA679" s="263"/>
      <c r="AB679" s="263"/>
      <c r="AC679" s="263"/>
      <c r="AD679" s="263"/>
      <c r="AE679" s="263"/>
      <c r="AF679" s="418"/>
      <c r="AG679" s="263"/>
      <c r="AH679" s="263"/>
      <c r="AI679" s="263"/>
    </row>
    <row r="680" spans="1:35" ht="15" customHeight="1">
      <c r="A680" s="69"/>
      <c r="B680" s="418"/>
      <c r="C680" s="263"/>
      <c r="E680" s="263"/>
      <c r="F680" s="263"/>
      <c r="G680" s="418"/>
      <c r="H680" s="263"/>
      <c r="I680" s="263"/>
      <c r="J680" s="263"/>
      <c r="K680" s="263"/>
      <c r="L680" s="563"/>
      <c r="M680" s="263"/>
      <c r="N680" s="263"/>
      <c r="O680" s="263"/>
      <c r="P680" s="265"/>
      <c r="Q680" s="263"/>
      <c r="R680" s="263"/>
      <c r="S680" s="263"/>
      <c r="T680" s="263"/>
      <c r="U680" s="263"/>
      <c r="V680" s="263"/>
      <c r="W680" s="263"/>
      <c r="X680" s="263"/>
      <c r="Y680" s="263"/>
      <c r="Z680" s="263"/>
      <c r="AA680" s="263"/>
      <c r="AB680" s="263"/>
      <c r="AC680" s="263"/>
      <c r="AD680" s="263"/>
      <c r="AE680" s="263"/>
      <c r="AF680" s="418"/>
      <c r="AG680" s="263"/>
      <c r="AH680" s="263"/>
      <c r="AI680" s="263"/>
    </row>
    <row r="681" spans="1:35" ht="15" customHeight="1">
      <c r="A681" s="69"/>
      <c r="B681" s="418"/>
      <c r="C681" s="263"/>
      <c r="E681" s="263"/>
      <c r="F681" s="263"/>
      <c r="G681" s="418"/>
      <c r="H681" s="263"/>
      <c r="I681" s="263"/>
      <c r="J681" s="263"/>
      <c r="K681" s="263"/>
      <c r="L681" s="563"/>
      <c r="M681" s="263"/>
      <c r="N681" s="263"/>
      <c r="O681" s="263"/>
      <c r="P681" s="265"/>
      <c r="Q681" s="263"/>
      <c r="R681" s="263"/>
      <c r="S681" s="263"/>
      <c r="T681" s="263"/>
      <c r="U681" s="263"/>
      <c r="V681" s="263"/>
      <c r="W681" s="263"/>
      <c r="X681" s="263"/>
      <c r="Y681" s="263"/>
      <c r="Z681" s="263"/>
      <c r="AA681" s="263"/>
      <c r="AB681" s="263"/>
      <c r="AC681" s="263"/>
      <c r="AD681" s="263"/>
      <c r="AE681" s="263"/>
      <c r="AF681" s="418"/>
      <c r="AG681" s="263"/>
      <c r="AH681" s="263"/>
      <c r="AI681" s="263"/>
    </row>
    <row r="682" spans="1:35" ht="15" customHeight="1">
      <c r="A682" s="69"/>
      <c r="B682" s="418"/>
      <c r="C682" s="263"/>
      <c r="E682" s="263"/>
      <c r="F682" s="263"/>
      <c r="G682" s="418"/>
      <c r="H682" s="263"/>
      <c r="I682" s="263"/>
      <c r="J682" s="263"/>
      <c r="K682" s="263"/>
      <c r="L682" s="563"/>
      <c r="M682" s="263"/>
      <c r="N682" s="263"/>
      <c r="O682" s="263"/>
      <c r="P682" s="265"/>
      <c r="Q682" s="263"/>
      <c r="R682" s="263"/>
      <c r="S682" s="263"/>
      <c r="T682" s="263"/>
      <c r="U682" s="263"/>
      <c r="V682" s="263"/>
      <c r="W682" s="263"/>
      <c r="X682" s="263"/>
      <c r="Y682" s="263"/>
      <c r="Z682" s="263"/>
      <c r="AA682" s="263"/>
      <c r="AB682" s="263"/>
      <c r="AC682" s="263"/>
      <c r="AD682" s="263"/>
      <c r="AE682" s="263"/>
      <c r="AF682" s="418"/>
      <c r="AG682" s="263"/>
      <c r="AH682" s="263"/>
      <c r="AI682" s="263"/>
    </row>
    <row r="683" spans="1:35" ht="15" customHeight="1">
      <c r="A683" s="69"/>
      <c r="B683" s="418"/>
      <c r="C683" s="263"/>
      <c r="E683" s="263"/>
      <c r="F683" s="263"/>
      <c r="G683" s="418"/>
      <c r="H683" s="263"/>
      <c r="I683" s="263"/>
      <c r="J683" s="263"/>
      <c r="K683" s="263"/>
      <c r="L683" s="563"/>
      <c r="M683" s="263"/>
      <c r="N683" s="263"/>
      <c r="O683" s="263"/>
      <c r="P683" s="265"/>
      <c r="Q683" s="263"/>
      <c r="R683" s="263"/>
      <c r="S683" s="263"/>
      <c r="T683" s="263"/>
      <c r="U683" s="263"/>
      <c r="V683" s="263"/>
      <c r="W683" s="263"/>
      <c r="X683" s="263"/>
      <c r="Y683" s="263"/>
      <c r="Z683" s="263"/>
      <c r="AA683" s="263"/>
      <c r="AB683" s="263"/>
      <c r="AC683" s="263"/>
      <c r="AD683" s="263"/>
      <c r="AE683" s="263"/>
      <c r="AF683" s="418"/>
      <c r="AG683" s="263"/>
      <c r="AH683" s="263"/>
      <c r="AI683" s="263"/>
    </row>
    <row r="684" spans="1:35" ht="15" customHeight="1">
      <c r="A684" s="69"/>
      <c r="B684" s="418"/>
      <c r="C684" s="263"/>
      <c r="E684" s="263"/>
      <c r="F684" s="263"/>
      <c r="G684" s="418"/>
      <c r="H684" s="263"/>
      <c r="I684" s="263"/>
      <c r="J684" s="263"/>
      <c r="K684" s="263"/>
      <c r="L684" s="563"/>
      <c r="M684" s="263"/>
      <c r="N684" s="263"/>
      <c r="O684" s="263"/>
      <c r="P684" s="265"/>
      <c r="Q684" s="263"/>
      <c r="R684" s="263"/>
      <c r="S684" s="263"/>
      <c r="T684" s="263"/>
      <c r="U684" s="263"/>
      <c r="V684" s="263"/>
      <c r="W684" s="263"/>
      <c r="X684" s="263"/>
      <c r="Y684" s="263"/>
      <c r="Z684" s="263"/>
      <c r="AA684" s="263"/>
      <c r="AB684" s="263"/>
      <c r="AC684" s="263"/>
      <c r="AD684" s="263"/>
      <c r="AE684" s="263"/>
      <c r="AF684" s="418"/>
      <c r="AG684" s="263"/>
      <c r="AH684" s="263"/>
      <c r="AI684" s="263"/>
    </row>
    <row r="685" spans="1:35" ht="15" customHeight="1">
      <c r="A685" s="69"/>
      <c r="B685" s="418"/>
      <c r="C685" s="263"/>
      <c r="E685" s="263"/>
      <c r="F685" s="263"/>
      <c r="G685" s="418"/>
      <c r="H685" s="263"/>
      <c r="I685" s="263"/>
      <c r="J685" s="263"/>
      <c r="K685" s="263"/>
      <c r="L685" s="563"/>
      <c r="M685" s="263"/>
      <c r="N685" s="263"/>
      <c r="O685" s="263"/>
      <c r="P685" s="265"/>
      <c r="Q685" s="263"/>
      <c r="R685" s="263"/>
      <c r="S685" s="263"/>
      <c r="T685" s="263"/>
      <c r="U685" s="263"/>
      <c r="V685" s="263"/>
      <c r="W685" s="263"/>
      <c r="X685" s="263"/>
      <c r="Y685" s="263"/>
      <c r="Z685" s="263"/>
      <c r="AA685" s="263"/>
      <c r="AB685" s="263"/>
      <c r="AC685" s="263"/>
      <c r="AD685" s="263"/>
      <c r="AE685" s="263"/>
      <c r="AF685" s="418"/>
      <c r="AG685" s="263"/>
      <c r="AH685" s="263"/>
      <c r="AI685" s="263"/>
    </row>
    <row r="686" spans="1:35" ht="15" customHeight="1">
      <c r="A686" s="69"/>
      <c r="B686" s="418"/>
      <c r="C686" s="263"/>
      <c r="E686" s="263"/>
      <c r="F686" s="263"/>
      <c r="G686" s="418"/>
      <c r="H686" s="263"/>
      <c r="I686" s="263"/>
      <c r="J686" s="263"/>
      <c r="K686" s="263"/>
      <c r="L686" s="563"/>
      <c r="M686" s="263"/>
      <c r="N686" s="263"/>
      <c r="O686" s="263"/>
      <c r="P686" s="265"/>
      <c r="Q686" s="263"/>
      <c r="R686" s="263"/>
      <c r="S686" s="263"/>
      <c r="T686" s="263"/>
      <c r="U686" s="263"/>
      <c r="V686" s="263"/>
      <c r="W686" s="263"/>
      <c r="X686" s="263"/>
      <c r="Y686" s="263"/>
      <c r="Z686" s="263"/>
      <c r="AA686" s="263"/>
      <c r="AB686" s="263"/>
      <c r="AC686" s="263"/>
      <c r="AD686" s="263"/>
      <c r="AE686" s="263"/>
      <c r="AF686" s="418"/>
      <c r="AG686" s="263"/>
      <c r="AH686" s="263"/>
      <c r="AI686" s="263"/>
    </row>
    <row r="687" spans="1:35" ht="15" customHeight="1">
      <c r="A687" s="69"/>
      <c r="B687" s="418"/>
      <c r="C687" s="263"/>
      <c r="E687" s="263"/>
      <c r="F687" s="263"/>
      <c r="G687" s="418"/>
      <c r="H687" s="263"/>
      <c r="I687" s="263"/>
      <c r="J687" s="263"/>
      <c r="K687" s="263"/>
      <c r="L687" s="563"/>
      <c r="M687" s="263"/>
      <c r="N687" s="263"/>
      <c r="O687" s="263"/>
      <c r="P687" s="265"/>
      <c r="Q687" s="263"/>
      <c r="R687" s="263"/>
      <c r="S687" s="263"/>
      <c r="T687" s="263"/>
      <c r="U687" s="263"/>
      <c r="V687" s="263"/>
      <c r="W687" s="263"/>
      <c r="X687" s="263"/>
      <c r="Y687" s="263"/>
      <c r="Z687" s="263"/>
      <c r="AA687" s="263"/>
      <c r="AB687" s="263"/>
      <c r="AC687" s="263"/>
      <c r="AD687" s="263"/>
      <c r="AE687" s="263"/>
      <c r="AF687" s="418"/>
      <c r="AG687" s="263"/>
      <c r="AH687" s="263"/>
      <c r="AI687" s="263"/>
    </row>
    <row r="688" spans="1:35" ht="15" customHeight="1">
      <c r="A688" s="69"/>
      <c r="B688" s="418"/>
      <c r="C688" s="263"/>
      <c r="E688" s="263"/>
      <c r="F688" s="263"/>
      <c r="G688" s="418"/>
      <c r="H688" s="263"/>
      <c r="I688" s="263"/>
      <c r="J688" s="263"/>
      <c r="K688" s="263"/>
      <c r="L688" s="563"/>
      <c r="M688" s="263"/>
      <c r="N688" s="263"/>
      <c r="O688" s="263"/>
      <c r="P688" s="265"/>
      <c r="Q688" s="263"/>
      <c r="R688" s="263"/>
      <c r="S688" s="263"/>
      <c r="T688" s="263"/>
      <c r="U688" s="263"/>
      <c r="V688" s="263"/>
      <c r="W688" s="263"/>
      <c r="X688" s="263"/>
      <c r="Y688" s="263"/>
      <c r="Z688" s="263"/>
      <c r="AA688" s="263"/>
      <c r="AB688" s="263"/>
      <c r="AC688" s="263"/>
      <c r="AD688" s="263"/>
      <c r="AE688" s="263"/>
      <c r="AF688" s="418"/>
      <c r="AG688" s="263"/>
      <c r="AH688" s="263"/>
      <c r="AI688" s="263"/>
    </row>
    <row r="689" spans="1:35" ht="15" customHeight="1">
      <c r="A689" s="69"/>
      <c r="B689" s="418"/>
      <c r="C689" s="263"/>
      <c r="E689" s="263"/>
      <c r="F689" s="263"/>
      <c r="G689" s="418"/>
      <c r="H689" s="263"/>
      <c r="I689" s="263"/>
      <c r="J689" s="263"/>
      <c r="K689" s="263"/>
      <c r="L689" s="563"/>
      <c r="M689" s="263"/>
      <c r="N689" s="263"/>
      <c r="O689" s="263"/>
      <c r="P689" s="265"/>
      <c r="Q689" s="263"/>
      <c r="R689" s="263"/>
      <c r="S689" s="263"/>
      <c r="T689" s="263"/>
      <c r="U689" s="263"/>
      <c r="V689" s="263"/>
      <c r="W689" s="263"/>
      <c r="X689" s="263"/>
      <c r="Y689" s="263"/>
      <c r="Z689" s="263"/>
      <c r="AA689" s="263"/>
      <c r="AB689" s="263"/>
      <c r="AC689" s="263"/>
      <c r="AD689" s="263"/>
      <c r="AE689" s="263"/>
      <c r="AF689" s="418"/>
      <c r="AG689" s="263"/>
      <c r="AH689" s="263"/>
      <c r="AI689" s="263"/>
    </row>
    <row r="690" spans="1:35" ht="15" customHeight="1">
      <c r="A690" s="69"/>
      <c r="B690" s="418"/>
      <c r="C690" s="263"/>
      <c r="E690" s="263"/>
      <c r="F690" s="263"/>
      <c r="G690" s="418"/>
      <c r="H690" s="263"/>
      <c r="I690" s="263"/>
      <c r="J690" s="263"/>
      <c r="K690" s="263"/>
      <c r="L690" s="563"/>
      <c r="M690" s="263"/>
      <c r="N690" s="263"/>
      <c r="O690" s="263"/>
      <c r="P690" s="265"/>
      <c r="Q690" s="263"/>
      <c r="R690" s="263"/>
      <c r="S690" s="263"/>
      <c r="T690" s="263"/>
      <c r="U690" s="263"/>
      <c r="V690" s="263"/>
      <c r="W690" s="263"/>
      <c r="X690" s="263"/>
      <c r="Y690" s="263"/>
      <c r="Z690" s="263"/>
      <c r="AA690" s="263"/>
      <c r="AB690" s="263"/>
      <c r="AC690" s="263"/>
      <c r="AD690" s="263"/>
      <c r="AE690" s="263"/>
      <c r="AF690" s="418"/>
      <c r="AG690" s="263"/>
      <c r="AH690" s="263"/>
      <c r="AI690" s="263"/>
    </row>
    <row r="691" spans="1:35" ht="15" customHeight="1">
      <c r="A691" s="69"/>
      <c r="B691" s="418"/>
      <c r="C691" s="263"/>
      <c r="E691" s="263"/>
      <c r="F691" s="263"/>
      <c r="G691" s="418"/>
      <c r="H691" s="263"/>
      <c r="I691" s="263"/>
      <c r="J691" s="263"/>
      <c r="K691" s="263"/>
      <c r="L691" s="563"/>
      <c r="M691" s="263"/>
      <c r="N691" s="263"/>
      <c r="O691" s="263"/>
      <c r="P691" s="265"/>
      <c r="Q691" s="263"/>
      <c r="R691" s="263"/>
      <c r="S691" s="263"/>
      <c r="T691" s="263"/>
      <c r="U691" s="263"/>
      <c r="V691" s="263"/>
      <c r="W691" s="263"/>
      <c r="X691" s="263"/>
      <c r="Y691" s="263"/>
      <c r="Z691" s="263"/>
      <c r="AA691" s="263"/>
      <c r="AB691" s="263"/>
      <c r="AC691" s="263"/>
      <c r="AD691" s="263"/>
      <c r="AE691" s="263"/>
      <c r="AF691" s="418"/>
      <c r="AG691" s="263"/>
      <c r="AH691" s="263"/>
      <c r="AI691" s="263"/>
    </row>
    <row r="692" spans="1:35" ht="15" customHeight="1">
      <c r="A692" s="69"/>
      <c r="B692" s="418"/>
      <c r="C692" s="263"/>
      <c r="E692" s="263"/>
      <c r="F692" s="263"/>
      <c r="G692" s="418"/>
      <c r="H692" s="263"/>
      <c r="I692" s="263"/>
      <c r="J692" s="263"/>
      <c r="K692" s="263"/>
      <c r="L692" s="563"/>
      <c r="M692" s="263"/>
      <c r="N692" s="263"/>
      <c r="O692" s="263"/>
      <c r="P692" s="265"/>
      <c r="Q692" s="263"/>
      <c r="R692" s="263"/>
      <c r="S692" s="263"/>
      <c r="T692" s="263"/>
      <c r="U692" s="263"/>
      <c r="V692" s="263"/>
      <c r="W692" s="263"/>
      <c r="X692" s="263"/>
      <c r="Y692" s="263"/>
      <c r="Z692" s="263"/>
      <c r="AA692" s="263"/>
      <c r="AB692" s="263"/>
      <c r="AC692" s="263"/>
      <c r="AD692" s="263"/>
      <c r="AE692" s="263"/>
      <c r="AF692" s="418"/>
      <c r="AG692" s="263"/>
      <c r="AH692" s="263"/>
      <c r="AI692" s="263"/>
    </row>
    <row r="693" spans="1:35" ht="15" customHeight="1">
      <c r="A693" s="69"/>
      <c r="B693" s="418"/>
      <c r="C693" s="263"/>
      <c r="E693" s="263"/>
      <c r="F693" s="263"/>
      <c r="G693" s="418"/>
      <c r="H693" s="263"/>
      <c r="I693" s="263"/>
      <c r="J693" s="263"/>
      <c r="K693" s="263"/>
      <c r="L693" s="563"/>
      <c r="M693" s="263"/>
      <c r="N693" s="263"/>
      <c r="O693" s="263"/>
      <c r="P693" s="265"/>
      <c r="Q693" s="263"/>
      <c r="R693" s="263"/>
      <c r="S693" s="263"/>
      <c r="T693" s="263"/>
      <c r="U693" s="263"/>
      <c r="V693" s="263"/>
      <c r="W693" s="263"/>
      <c r="X693" s="263"/>
      <c r="Y693" s="263"/>
      <c r="Z693" s="263"/>
      <c r="AA693" s="263"/>
      <c r="AB693" s="263"/>
      <c r="AC693" s="263"/>
      <c r="AD693" s="263"/>
      <c r="AE693" s="263"/>
      <c r="AF693" s="418"/>
      <c r="AG693" s="263"/>
      <c r="AH693" s="263"/>
      <c r="AI693" s="263"/>
    </row>
    <row r="694" spans="1:35" ht="15" customHeight="1">
      <c r="A694" s="69"/>
      <c r="B694" s="418"/>
      <c r="C694" s="263"/>
      <c r="E694" s="263"/>
      <c r="F694" s="263"/>
      <c r="G694" s="418"/>
      <c r="H694" s="263"/>
      <c r="I694" s="263"/>
      <c r="J694" s="263"/>
      <c r="K694" s="263"/>
      <c r="L694" s="563"/>
      <c r="M694" s="263"/>
      <c r="N694" s="263"/>
      <c r="O694" s="263"/>
      <c r="P694" s="265"/>
      <c r="Q694" s="263"/>
      <c r="R694" s="263"/>
      <c r="S694" s="263"/>
      <c r="T694" s="263"/>
      <c r="U694" s="263"/>
      <c r="V694" s="263"/>
      <c r="W694" s="263"/>
      <c r="X694" s="263"/>
      <c r="Y694" s="263"/>
      <c r="Z694" s="263"/>
      <c r="AA694" s="263"/>
      <c r="AB694" s="263"/>
      <c r="AC694" s="263"/>
      <c r="AD694" s="263"/>
      <c r="AE694" s="263"/>
      <c r="AF694" s="418"/>
      <c r="AG694" s="263"/>
      <c r="AH694" s="263"/>
      <c r="AI694" s="263"/>
    </row>
    <row r="695" spans="1:35" ht="15" customHeight="1">
      <c r="A695" s="69"/>
      <c r="B695" s="418"/>
      <c r="C695" s="263"/>
      <c r="E695" s="263"/>
      <c r="F695" s="263"/>
      <c r="G695" s="418"/>
      <c r="H695" s="263"/>
      <c r="I695" s="263"/>
      <c r="J695" s="263"/>
      <c r="K695" s="263"/>
      <c r="L695" s="563"/>
      <c r="M695" s="263"/>
      <c r="N695" s="263"/>
      <c r="O695" s="263"/>
      <c r="P695" s="265"/>
      <c r="Q695" s="263"/>
      <c r="R695" s="263"/>
      <c r="S695" s="263"/>
      <c r="T695" s="263"/>
      <c r="U695" s="263"/>
      <c r="V695" s="263"/>
      <c r="W695" s="263"/>
      <c r="X695" s="263"/>
      <c r="Y695" s="263"/>
      <c r="Z695" s="263"/>
      <c r="AA695" s="263"/>
      <c r="AB695" s="263"/>
      <c r="AC695" s="263"/>
      <c r="AD695" s="263"/>
      <c r="AE695" s="263"/>
      <c r="AF695" s="418"/>
      <c r="AG695" s="263"/>
      <c r="AH695" s="263"/>
      <c r="AI695" s="263"/>
    </row>
    <row r="696" spans="1:35" ht="15" customHeight="1">
      <c r="A696" s="69"/>
      <c r="B696" s="418"/>
      <c r="C696" s="263"/>
      <c r="E696" s="263"/>
      <c r="F696" s="263"/>
      <c r="G696" s="418"/>
      <c r="H696" s="263"/>
      <c r="I696" s="263"/>
      <c r="J696" s="263"/>
      <c r="K696" s="263"/>
      <c r="L696" s="563"/>
      <c r="M696" s="263"/>
      <c r="N696" s="263"/>
      <c r="O696" s="263"/>
      <c r="P696" s="265"/>
      <c r="Q696" s="263"/>
      <c r="R696" s="263"/>
      <c r="S696" s="263"/>
      <c r="T696" s="263"/>
      <c r="U696" s="263"/>
      <c r="V696" s="263"/>
      <c r="W696" s="263"/>
      <c r="X696" s="263"/>
      <c r="Y696" s="263"/>
      <c r="Z696" s="263"/>
      <c r="AA696" s="263"/>
      <c r="AB696" s="263"/>
      <c r="AC696" s="263"/>
      <c r="AD696" s="263"/>
      <c r="AE696" s="263"/>
      <c r="AF696" s="418"/>
      <c r="AG696" s="263"/>
      <c r="AH696" s="263"/>
      <c r="AI696" s="263"/>
    </row>
    <row r="697" spans="1:35" ht="15" customHeight="1">
      <c r="A697" s="69"/>
      <c r="B697" s="418"/>
      <c r="C697" s="263"/>
      <c r="E697" s="263"/>
      <c r="F697" s="263"/>
      <c r="G697" s="418"/>
      <c r="H697" s="263"/>
      <c r="I697" s="263"/>
      <c r="J697" s="263"/>
      <c r="K697" s="263"/>
      <c r="L697" s="563"/>
      <c r="M697" s="263"/>
      <c r="N697" s="263"/>
      <c r="O697" s="263"/>
      <c r="P697" s="265"/>
      <c r="Q697" s="263"/>
      <c r="R697" s="263"/>
      <c r="S697" s="263"/>
      <c r="T697" s="263"/>
      <c r="U697" s="263"/>
      <c r="V697" s="263"/>
      <c r="W697" s="263"/>
      <c r="X697" s="263"/>
      <c r="Y697" s="263"/>
      <c r="Z697" s="263"/>
      <c r="AA697" s="263"/>
      <c r="AB697" s="263"/>
      <c r="AC697" s="263"/>
      <c r="AD697" s="263"/>
      <c r="AE697" s="263"/>
      <c r="AF697" s="418"/>
      <c r="AG697" s="263"/>
      <c r="AH697" s="263"/>
      <c r="AI697" s="263"/>
    </row>
    <row r="698" spans="1:35" ht="15" customHeight="1">
      <c r="A698" s="69"/>
      <c r="B698" s="418"/>
      <c r="C698" s="263"/>
      <c r="E698" s="263"/>
      <c r="F698" s="263"/>
      <c r="G698" s="418"/>
      <c r="H698" s="263"/>
      <c r="I698" s="263"/>
      <c r="J698" s="263"/>
      <c r="K698" s="263"/>
      <c r="L698" s="563"/>
      <c r="M698" s="263"/>
      <c r="N698" s="263"/>
      <c r="O698" s="263"/>
      <c r="P698" s="265"/>
      <c r="Q698" s="263"/>
      <c r="R698" s="263"/>
      <c r="S698" s="263"/>
      <c r="T698" s="263"/>
      <c r="U698" s="263"/>
      <c r="V698" s="263"/>
      <c r="W698" s="263"/>
      <c r="X698" s="263"/>
      <c r="Y698" s="263"/>
      <c r="Z698" s="263"/>
      <c r="AA698" s="263"/>
      <c r="AB698" s="263"/>
      <c r="AC698" s="263"/>
      <c r="AD698" s="263"/>
      <c r="AE698" s="263"/>
      <c r="AF698" s="418"/>
      <c r="AG698" s="263"/>
      <c r="AH698" s="263"/>
      <c r="AI698" s="263"/>
    </row>
    <row r="699" spans="1:35" ht="15" customHeight="1">
      <c r="A699" s="69"/>
      <c r="B699" s="418"/>
      <c r="C699" s="263"/>
      <c r="E699" s="263"/>
      <c r="F699" s="263"/>
      <c r="G699" s="418"/>
      <c r="H699" s="263"/>
      <c r="I699" s="263"/>
      <c r="J699" s="263"/>
      <c r="K699" s="263"/>
      <c r="L699" s="563"/>
      <c r="M699" s="263"/>
      <c r="N699" s="263"/>
      <c r="O699" s="263"/>
      <c r="P699" s="265"/>
      <c r="Q699" s="263"/>
      <c r="R699" s="263"/>
      <c r="S699" s="263"/>
      <c r="T699" s="263"/>
      <c r="U699" s="263"/>
      <c r="V699" s="263"/>
      <c r="W699" s="263"/>
      <c r="X699" s="263"/>
      <c r="Y699" s="263"/>
      <c r="Z699" s="263"/>
      <c r="AA699" s="263"/>
      <c r="AB699" s="263"/>
      <c r="AC699" s="263"/>
      <c r="AD699" s="263"/>
      <c r="AE699" s="263"/>
      <c r="AF699" s="418"/>
      <c r="AG699" s="263"/>
      <c r="AH699" s="263"/>
      <c r="AI699" s="263"/>
    </row>
    <row r="700" spans="1:35" ht="15" customHeight="1">
      <c r="A700" s="69"/>
      <c r="B700" s="418"/>
      <c r="C700" s="263"/>
      <c r="E700" s="263"/>
      <c r="F700" s="263"/>
      <c r="G700" s="418"/>
      <c r="H700" s="263"/>
      <c r="I700" s="263"/>
      <c r="J700" s="263"/>
      <c r="K700" s="263"/>
      <c r="L700" s="563"/>
      <c r="M700" s="263"/>
      <c r="N700" s="263"/>
      <c r="O700" s="263"/>
      <c r="P700" s="265"/>
      <c r="Q700" s="263"/>
      <c r="R700" s="263"/>
      <c r="S700" s="263"/>
      <c r="T700" s="263"/>
      <c r="U700" s="263"/>
      <c r="V700" s="263"/>
      <c r="W700" s="263"/>
      <c r="X700" s="263"/>
      <c r="Y700" s="263"/>
      <c r="Z700" s="263"/>
      <c r="AA700" s="263"/>
      <c r="AB700" s="263"/>
      <c r="AC700" s="263"/>
      <c r="AD700" s="263"/>
      <c r="AE700" s="263"/>
      <c r="AF700" s="418"/>
      <c r="AG700" s="263"/>
      <c r="AH700" s="263"/>
      <c r="AI700" s="263"/>
    </row>
    <row r="701" spans="1:35" ht="15" customHeight="1">
      <c r="A701" s="69"/>
      <c r="B701" s="418"/>
      <c r="C701" s="263"/>
      <c r="E701" s="263"/>
      <c r="F701" s="263"/>
      <c r="G701" s="418"/>
      <c r="H701" s="263"/>
      <c r="I701" s="263"/>
      <c r="J701" s="263"/>
      <c r="K701" s="263"/>
      <c r="L701" s="563"/>
      <c r="M701" s="263"/>
      <c r="N701" s="263"/>
      <c r="O701" s="263"/>
      <c r="P701" s="265"/>
      <c r="Q701" s="263"/>
      <c r="R701" s="263"/>
      <c r="S701" s="263"/>
      <c r="T701" s="263"/>
      <c r="U701" s="263"/>
      <c r="V701" s="263"/>
      <c r="W701" s="263"/>
      <c r="X701" s="263"/>
      <c r="Y701" s="263"/>
      <c r="Z701" s="263"/>
      <c r="AA701" s="263"/>
      <c r="AB701" s="263"/>
      <c r="AC701" s="263"/>
      <c r="AD701" s="263"/>
      <c r="AE701" s="263"/>
      <c r="AF701" s="418"/>
      <c r="AG701" s="263"/>
      <c r="AH701" s="263"/>
      <c r="AI701" s="263"/>
    </row>
    <row r="702" spans="1:35" ht="15" customHeight="1">
      <c r="A702" s="69"/>
      <c r="B702" s="418"/>
      <c r="C702" s="263"/>
      <c r="E702" s="263"/>
      <c r="F702" s="263"/>
      <c r="G702" s="418"/>
      <c r="H702" s="263"/>
      <c r="I702" s="263"/>
      <c r="J702" s="263"/>
      <c r="K702" s="263"/>
      <c r="L702" s="563"/>
      <c r="M702" s="263"/>
      <c r="N702" s="263"/>
      <c r="O702" s="263"/>
      <c r="P702" s="265"/>
      <c r="Q702" s="263"/>
      <c r="R702" s="263"/>
      <c r="S702" s="263"/>
      <c r="T702" s="263"/>
      <c r="U702" s="263"/>
      <c r="V702" s="263"/>
      <c r="W702" s="263"/>
      <c r="X702" s="263"/>
      <c r="Y702" s="263"/>
      <c r="Z702" s="263"/>
      <c r="AA702" s="263"/>
      <c r="AB702" s="263"/>
      <c r="AC702" s="263"/>
      <c r="AD702" s="263"/>
      <c r="AE702" s="263"/>
      <c r="AF702" s="418"/>
      <c r="AG702" s="263"/>
      <c r="AH702" s="263"/>
      <c r="AI702" s="263"/>
    </row>
    <row r="703" spans="1:35" ht="15" customHeight="1">
      <c r="A703" s="69"/>
      <c r="B703" s="418"/>
      <c r="C703" s="263"/>
      <c r="E703" s="263"/>
      <c r="F703" s="263"/>
      <c r="G703" s="418"/>
      <c r="H703" s="263"/>
      <c r="I703" s="263"/>
      <c r="J703" s="263"/>
      <c r="K703" s="263"/>
      <c r="L703" s="563"/>
      <c r="M703" s="263"/>
      <c r="N703" s="263"/>
      <c r="O703" s="263"/>
      <c r="P703" s="265"/>
      <c r="Q703" s="263"/>
      <c r="R703" s="263"/>
      <c r="S703" s="263"/>
      <c r="T703" s="263"/>
      <c r="U703" s="263"/>
      <c r="V703" s="263"/>
      <c r="W703" s="263"/>
      <c r="X703" s="263"/>
      <c r="Y703" s="263"/>
      <c r="Z703" s="263"/>
      <c r="AA703" s="263"/>
      <c r="AB703" s="263"/>
      <c r="AC703" s="263"/>
      <c r="AD703" s="263"/>
      <c r="AE703" s="263"/>
      <c r="AF703" s="418"/>
      <c r="AG703" s="263"/>
      <c r="AH703" s="263"/>
      <c r="AI703" s="263"/>
    </row>
    <row r="704" spans="1:35" ht="15" customHeight="1">
      <c r="A704" s="69"/>
      <c r="B704" s="418"/>
      <c r="C704" s="263"/>
      <c r="E704" s="263"/>
      <c r="F704" s="263"/>
      <c r="G704" s="418"/>
      <c r="H704" s="263"/>
      <c r="I704" s="263"/>
      <c r="J704" s="263"/>
      <c r="K704" s="263"/>
      <c r="L704" s="563"/>
      <c r="M704" s="263"/>
      <c r="N704" s="263"/>
      <c r="O704" s="263"/>
      <c r="P704" s="265"/>
      <c r="Q704" s="263"/>
      <c r="R704" s="263"/>
      <c r="S704" s="263"/>
      <c r="T704" s="263"/>
      <c r="U704" s="263"/>
      <c r="V704" s="263"/>
      <c r="W704" s="263"/>
      <c r="X704" s="263"/>
      <c r="Y704" s="263"/>
      <c r="Z704" s="263"/>
      <c r="AA704" s="263"/>
      <c r="AB704" s="263"/>
      <c r="AC704" s="263"/>
      <c r="AD704" s="263"/>
      <c r="AE704" s="263"/>
      <c r="AF704" s="418"/>
      <c r="AG704" s="263"/>
      <c r="AH704" s="263"/>
      <c r="AI704" s="263"/>
    </row>
    <row r="705" spans="1:35" ht="15" customHeight="1">
      <c r="A705" s="69"/>
      <c r="B705" s="418"/>
      <c r="C705" s="263"/>
      <c r="E705" s="263"/>
      <c r="F705" s="263"/>
      <c r="G705" s="418"/>
      <c r="H705" s="263"/>
      <c r="I705" s="263"/>
      <c r="J705" s="263"/>
      <c r="K705" s="263"/>
      <c r="L705" s="563"/>
      <c r="M705" s="263"/>
      <c r="N705" s="263"/>
      <c r="O705" s="263"/>
      <c r="P705" s="265"/>
      <c r="Q705" s="263"/>
      <c r="R705" s="263"/>
      <c r="S705" s="263"/>
      <c r="T705" s="263"/>
      <c r="U705" s="263"/>
      <c r="V705" s="263"/>
      <c r="W705" s="263"/>
      <c r="X705" s="263"/>
      <c r="Y705" s="263"/>
      <c r="Z705" s="263"/>
      <c r="AA705" s="263"/>
      <c r="AB705" s="263"/>
      <c r="AC705" s="263"/>
      <c r="AD705" s="263"/>
      <c r="AE705" s="263"/>
      <c r="AF705" s="418"/>
      <c r="AG705" s="263"/>
      <c r="AH705" s="263"/>
      <c r="AI705" s="263"/>
    </row>
    <row r="706" spans="1:35" ht="15" customHeight="1">
      <c r="A706" s="69"/>
      <c r="B706" s="418"/>
      <c r="C706" s="263"/>
      <c r="E706" s="263"/>
      <c r="F706" s="263"/>
      <c r="G706" s="418"/>
      <c r="H706" s="263"/>
      <c r="I706" s="263"/>
      <c r="J706" s="263"/>
      <c r="K706" s="263"/>
      <c r="L706" s="563"/>
      <c r="M706" s="263"/>
      <c r="N706" s="263"/>
      <c r="O706" s="263"/>
      <c r="P706" s="265"/>
      <c r="Q706" s="263"/>
      <c r="R706" s="263"/>
      <c r="S706" s="263"/>
      <c r="T706" s="263"/>
      <c r="U706" s="263"/>
      <c r="V706" s="263"/>
      <c r="W706" s="263"/>
      <c r="X706" s="263"/>
      <c r="Y706" s="263"/>
      <c r="Z706" s="263"/>
      <c r="AA706" s="263"/>
      <c r="AB706" s="263"/>
      <c r="AC706" s="263"/>
      <c r="AD706" s="263"/>
      <c r="AE706" s="263"/>
      <c r="AF706" s="418"/>
      <c r="AG706" s="263"/>
      <c r="AH706" s="263"/>
      <c r="AI706" s="263"/>
    </row>
    <row r="707" spans="1:35" ht="15" customHeight="1">
      <c r="A707" s="69"/>
      <c r="B707" s="418"/>
      <c r="C707" s="263"/>
      <c r="E707" s="263"/>
      <c r="F707" s="263"/>
      <c r="G707" s="418"/>
      <c r="H707" s="263"/>
      <c r="I707" s="263"/>
      <c r="J707" s="263"/>
      <c r="K707" s="263"/>
      <c r="L707" s="563"/>
      <c r="M707" s="263"/>
      <c r="N707" s="263"/>
      <c r="O707" s="263"/>
      <c r="P707" s="265"/>
      <c r="Q707" s="263"/>
      <c r="R707" s="263"/>
      <c r="S707" s="263"/>
      <c r="T707" s="263"/>
      <c r="U707" s="263"/>
      <c r="V707" s="263"/>
      <c r="W707" s="263"/>
      <c r="X707" s="263"/>
      <c r="Y707" s="263"/>
      <c r="Z707" s="263"/>
      <c r="AA707" s="263"/>
      <c r="AB707" s="263"/>
      <c r="AC707" s="263"/>
      <c r="AD707" s="263"/>
      <c r="AE707" s="263"/>
      <c r="AF707" s="418"/>
      <c r="AG707" s="263"/>
      <c r="AH707" s="263"/>
      <c r="AI707" s="263"/>
    </row>
    <row r="708" spans="1:35" ht="15" customHeight="1">
      <c r="A708" s="69"/>
      <c r="B708" s="418"/>
      <c r="C708" s="263"/>
      <c r="E708" s="263"/>
      <c r="F708" s="263"/>
      <c r="G708" s="418"/>
      <c r="H708" s="263"/>
      <c r="I708" s="263"/>
      <c r="J708" s="263"/>
      <c r="K708" s="263"/>
      <c r="L708" s="563"/>
      <c r="M708" s="263"/>
      <c r="N708" s="263"/>
      <c r="O708" s="263"/>
      <c r="P708" s="265"/>
      <c r="Q708" s="263"/>
      <c r="R708" s="263"/>
      <c r="S708" s="263"/>
      <c r="T708" s="263"/>
      <c r="U708" s="263"/>
      <c r="V708" s="263"/>
      <c r="W708" s="263"/>
      <c r="X708" s="263"/>
      <c r="Y708" s="263"/>
      <c r="Z708" s="263"/>
      <c r="AA708" s="263"/>
      <c r="AB708" s="263"/>
      <c r="AC708" s="263"/>
      <c r="AD708" s="263"/>
      <c r="AE708" s="263"/>
      <c r="AF708" s="418"/>
      <c r="AG708" s="263"/>
      <c r="AH708" s="263"/>
      <c r="AI708" s="263"/>
    </row>
    <row r="709" spans="1:35" ht="15" customHeight="1">
      <c r="A709" s="69"/>
      <c r="B709" s="418"/>
      <c r="C709" s="263"/>
      <c r="E709" s="263"/>
      <c r="F709" s="263"/>
      <c r="G709" s="418"/>
      <c r="H709" s="263"/>
      <c r="I709" s="263"/>
      <c r="J709" s="263"/>
      <c r="K709" s="263"/>
      <c r="L709" s="563"/>
      <c r="M709" s="263"/>
      <c r="N709" s="263"/>
      <c r="O709" s="263"/>
      <c r="P709" s="265"/>
      <c r="Q709" s="263"/>
      <c r="R709" s="263"/>
      <c r="S709" s="263"/>
      <c r="T709" s="263"/>
      <c r="U709" s="263"/>
      <c r="V709" s="263"/>
      <c r="W709" s="263"/>
      <c r="X709" s="263"/>
      <c r="Y709" s="263"/>
      <c r="Z709" s="263"/>
      <c r="AA709" s="263"/>
      <c r="AB709" s="263"/>
      <c r="AC709" s="263"/>
      <c r="AD709" s="263"/>
      <c r="AE709" s="263"/>
      <c r="AF709" s="418"/>
      <c r="AG709" s="263"/>
      <c r="AH709" s="263"/>
      <c r="AI709" s="263"/>
    </row>
    <row r="710" spans="1:35" ht="15" customHeight="1">
      <c r="A710" s="69"/>
      <c r="B710" s="418"/>
      <c r="C710" s="263"/>
      <c r="E710" s="263"/>
      <c r="F710" s="263"/>
      <c r="G710" s="418"/>
      <c r="H710" s="263"/>
      <c r="I710" s="263"/>
      <c r="J710" s="263"/>
      <c r="K710" s="263"/>
      <c r="L710" s="563"/>
      <c r="M710" s="263"/>
      <c r="N710" s="263"/>
      <c r="O710" s="263"/>
      <c r="P710" s="265"/>
      <c r="Q710" s="263"/>
      <c r="R710" s="263"/>
      <c r="S710" s="263"/>
      <c r="T710" s="263"/>
      <c r="U710" s="263"/>
      <c r="V710" s="263"/>
      <c r="W710" s="263"/>
      <c r="X710" s="263"/>
      <c r="Y710" s="263"/>
      <c r="Z710" s="263"/>
      <c r="AA710" s="263"/>
      <c r="AB710" s="263"/>
      <c r="AC710" s="263"/>
      <c r="AD710" s="263"/>
      <c r="AE710" s="263"/>
      <c r="AF710" s="418"/>
      <c r="AG710" s="263"/>
      <c r="AH710" s="263"/>
      <c r="AI710" s="263"/>
    </row>
    <row r="711" spans="1:35" ht="15" customHeight="1">
      <c r="A711" s="69"/>
      <c r="B711" s="418"/>
      <c r="C711" s="263"/>
      <c r="E711" s="263"/>
      <c r="F711" s="263"/>
      <c r="G711" s="418"/>
      <c r="H711" s="263"/>
      <c r="I711" s="263"/>
      <c r="J711" s="263"/>
      <c r="K711" s="263"/>
      <c r="L711" s="563"/>
      <c r="M711" s="263"/>
      <c r="N711" s="263"/>
      <c r="O711" s="263"/>
      <c r="P711" s="265"/>
      <c r="Q711" s="263"/>
      <c r="R711" s="263"/>
      <c r="S711" s="263"/>
      <c r="T711" s="263"/>
      <c r="U711" s="263"/>
      <c r="V711" s="263"/>
      <c r="W711" s="263"/>
      <c r="X711" s="263"/>
      <c r="Y711" s="263"/>
      <c r="Z711" s="263"/>
      <c r="AA711" s="263"/>
      <c r="AB711" s="263"/>
      <c r="AC711" s="263"/>
      <c r="AD711" s="263"/>
      <c r="AE711" s="263"/>
      <c r="AF711" s="418"/>
      <c r="AG711" s="263"/>
      <c r="AH711" s="263"/>
      <c r="AI711" s="263"/>
    </row>
    <row r="712" spans="1:35" ht="15" customHeight="1">
      <c r="A712" s="69"/>
      <c r="B712" s="418"/>
      <c r="C712" s="263"/>
      <c r="E712" s="263"/>
      <c r="F712" s="263"/>
      <c r="G712" s="418"/>
      <c r="H712" s="263"/>
      <c r="I712" s="263"/>
      <c r="J712" s="263"/>
      <c r="K712" s="263"/>
      <c r="L712" s="563"/>
      <c r="M712" s="263"/>
      <c r="N712" s="263"/>
      <c r="O712" s="263"/>
      <c r="P712" s="265"/>
      <c r="Q712" s="263"/>
      <c r="R712" s="263"/>
      <c r="S712" s="263"/>
      <c r="T712" s="263"/>
      <c r="U712" s="263"/>
      <c r="V712" s="263"/>
      <c r="W712" s="263"/>
      <c r="X712" s="263"/>
      <c r="Y712" s="263"/>
      <c r="Z712" s="263"/>
      <c r="AA712" s="263"/>
      <c r="AB712" s="263"/>
      <c r="AC712" s="263"/>
      <c r="AD712" s="263"/>
      <c r="AE712" s="263"/>
      <c r="AF712" s="418"/>
      <c r="AG712" s="263"/>
      <c r="AH712" s="263"/>
      <c r="AI712" s="263"/>
    </row>
    <row r="713" spans="1:35" ht="15" customHeight="1">
      <c r="A713" s="69"/>
      <c r="B713" s="418"/>
      <c r="C713" s="263"/>
      <c r="E713" s="263"/>
      <c r="F713" s="263"/>
      <c r="G713" s="418"/>
      <c r="H713" s="263"/>
      <c r="I713" s="263"/>
      <c r="J713" s="263"/>
      <c r="K713" s="263"/>
      <c r="L713" s="563"/>
      <c r="M713" s="263"/>
      <c r="N713" s="263"/>
      <c r="O713" s="263"/>
      <c r="P713" s="265"/>
      <c r="Q713" s="263"/>
      <c r="R713" s="263"/>
      <c r="S713" s="263"/>
      <c r="T713" s="263"/>
      <c r="U713" s="263"/>
      <c r="V713" s="263"/>
      <c r="W713" s="263"/>
      <c r="X713" s="263"/>
      <c r="Y713" s="263"/>
      <c r="Z713" s="263"/>
      <c r="AA713" s="263"/>
      <c r="AB713" s="263"/>
      <c r="AC713" s="263"/>
      <c r="AD713" s="263"/>
      <c r="AE713" s="263"/>
      <c r="AF713" s="418"/>
      <c r="AG713" s="263"/>
      <c r="AH713" s="263"/>
      <c r="AI713" s="263"/>
    </row>
    <row r="714" spans="1:35" ht="15" customHeight="1">
      <c r="A714" s="69"/>
      <c r="B714" s="418"/>
      <c r="C714" s="263"/>
      <c r="E714" s="263"/>
      <c r="F714" s="263"/>
      <c r="G714" s="418"/>
      <c r="H714" s="263"/>
      <c r="I714" s="263"/>
      <c r="J714" s="263"/>
      <c r="K714" s="263"/>
      <c r="L714" s="563"/>
      <c r="M714" s="263"/>
      <c r="N714" s="263"/>
      <c r="O714" s="263"/>
      <c r="P714" s="265"/>
      <c r="Q714" s="263"/>
      <c r="R714" s="263"/>
      <c r="S714" s="263"/>
      <c r="T714" s="263"/>
      <c r="U714" s="263"/>
      <c r="V714" s="263"/>
      <c r="W714" s="263"/>
      <c r="X714" s="263"/>
      <c r="Y714" s="263"/>
      <c r="Z714" s="263"/>
      <c r="AA714" s="263"/>
      <c r="AB714" s="263"/>
      <c r="AC714" s="263"/>
      <c r="AD714" s="263"/>
      <c r="AE714" s="263"/>
      <c r="AF714" s="418"/>
      <c r="AG714" s="263"/>
      <c r="AH714" s="263"/>
      <c r="AI714" s="263"/>
    </row>
    <row r="715" spans="1:35" ht="15" customHeight="1">
      <c r="A715" s="69"/>
      <c r="B715" s="418"/>
      <c r="C715" s="263"/>
      <c r="E715" s="263"/>
      <c r="F715" s="263"/>
      <c r="G715" s="418"/>
      <c r="H715" s="263"/>
      <c r="I715" s="263"/>
      <c r="J715" s="263"/>
      <c r="K715" s="263"/>
      <c r="L715" s="563"/>
      <c r="M715" s="263"/>
      <c r="N715" s="263"/>
      <c r="O715" s="263"/>
      <c r="P715" s="265"/>
      <c r="Q715" s="263"/>
      <c r="R715" s="263"/>
      <c r="S715" s="263"/>
      <c r="T715" s="263"/>
      <c r="U715" s="263"/>
      <c r="V715" s="263"/>
      <c r="W715" s="263"/>
      <c r="X715" s="263"/>
      <c r="Y715" s="263"/>
      <c r="Z715" s="263"/>
      <c r="AA715" s="263"/>
      <c r="AB715" s="263"/>
      <c r="AC715" s="263"/>
      <c r="AD715" s="263"/>
      <c r="AE715" s="263"/>
      <c r="AF715" s="418"/>
      <c r="AG715" s="263"/>
      <c r="AH715" s="263"/>
      <c r="AI715" s="263"/>
    </row>
    <row r="716" spans="1:35" ht="15" customHeight="1">
      <c r="A716" s="69"/>
      <c r="B716" s="418"/>
      <c r="C716" s="263"/>
      <c r="E716" s="263"/>
      <c r="F716" s="263"/>
      <c r="G716" s="418"/>
      <c r="H716" s="263"/>
      <c r="I716" s="263"/>
      <c r="J716" s="263"/>
      <c r="K716" s="263"/>
      <c r="L716" s="563"/>
      <c r="M716" s="263"/>
      <c r="N716" s="263"/>
      <c r="O716" s="263"/>
      <c r="P716" s="265"/>
      <c r="Q716" s="263"/>
      <c r="R716" s="263"/>
      <c r="S716" s="263"/>
      <c r="T716" s="263"/>
      <c r="U716" s="263"/>
      <c r="V716" s="263"/>
      <c r="W716" s="263"/>
      <c r="X716" s="263"/>
      <c r="Y716" s="263"/>
      <c r="Z716" s="263"/>
      <c r="AA716" s="263"/>
      <c r="AB716" s="263"/>
      <c r="AC716" s="263"/>
      <c r="AD716" s="263"/>
      <c r="AE716" s="263"/>
      <c r="AF716" s="418"/>
      <c r="AG716" s="263"/>
      <c r="AH716" s="263"/>
      <c r="AI716" s="263"/>
    </row>
    <row r="717" spans="1:35" ht="15" customHeight="1">
      <c r="A717" s="69"/>
      <c r="B717" s="418"/>
      <c r="C717" s="263"/>
      <c r="E717" s="263"/>
      <c r="F717" s="263"/>
      <c r="G717" s="418"/>
      <c r="H717" s="263"/>
      <c r="I717" s="263"/>
      <c r="J717" s="263"/>
      <c r="K717" s="263"/>
      <c r="L717" s="563"/>
      <c r="M717" s="263"/>
      <c r="N717" s="263"/>
      <c r="O717" s="263"/>
      <c r="P717" s="265"/>
      <c r="Q717" s="263"/>
      <c r="R717" s="263"/>
      <c r="S717" s="263"/>
      <c r="T717" s="263"/>
      <c r="U717" s="263"/>
      <c r="V717" s="263"/>
      <c r="W717" s="263"/>
      <c r="X717" s="263"/>
      <c r="Y717" s="263"/>
      <c r="Z717" s="263"/>
      <c r="AA717" s="263"/>
      <c r="AB717" s="263"/>
      <c r="AC717" s="263"/>
      <c r="AD717" s="263"/>
      <c r="AE717" s="263"/>
      <c r="AF717" s="418"/>
      <c r="AG717" s="263"/>
      <c r="AH717" s="263"/>
      <c r="AI717" s="263"/>
    </row>
    <row r="718" spans="1:35" ht="15" customHeight="1">
      <c r="A718" s="69"/>
      <c r="B718" s="418"/>
      <c r="C718" s="263"/>
      <c r="E718" s="263"/>
      <c r="F718" s="263"/>
      <c r="G718" s="418"/>
      <c r="H718" s="263"/>
      <c r="I718" s="263"/>
      <c r="J718" s="263"/>
      <c r="K718" s="263"/>
      <c r="L718" s="563"/>
      <c r="M718" s="263"/>
      <c r="N718" s="263"/>
      <c r="O718" s="263"/>
      <c r="P718" s="265"/>
      <c r="Q718" s="263"/>
      <c r="R718" s="263"/>
      <c r="S718" s="263"/>
      <c r="T718" s="263"/>
      <c r="U718" s="263"/>
      <c r="V718" s="263"/>
      <c r="W718" s="263"/>
      <c r="X718" s="263"/>
      <c r="Y718" s="263"/>
      <c r="Z718" s="263"/>
      <c r="AA718" s="263"/>
      <c r="AB718" s="263"/>
      <c r="AC718" s="263"/>
      <c r="AD718" s="263"/>
      <c r="AE718" s="263"/>
      <c r="AF718" s="418"/>
      <c r="AG718" s="263"/>
      <c r="AH718" s="263"/>
      <c r="AI718" s="263"/>
    </row>
    <row r="719" spans="1:35" ht="15" customHeight="1">
      <c r="A719" s="69"/>
      <c r="B719" s="418"/>
      <c r="C719" s="263"/>
      <c r="E719" s="263"/>
      <c r="F719" s="263"/>
      <c r="G719" s="418"/>
      <c r="H719" s="263"/>
      <c r="I719" s="263"/>
      <c r="J719" s="263"/>
      <c r="K719" s="263"/>
      <c r="L719" s="563"/>
      <c r="M719" s="263"/>
      <c r="N719" s="263"/>
      <c r="O719" s="263"/>
      <c r="P719" s="265"/>
      <c r="Q719" s="263"/>
      <c r="R719" s="263"/>
      <c r="S719" s="263"/>
      <c r="T719" s="263"/>
      <c r="U719" s="263"/>
      <c r="V719" s="263"/>
      <c r="W719" s="263"/>
      <c r="X719" s="263"/>
      <c r="Y719" s="263"/>
      <c r="Z719" s="263"/>
      <c r="AA719" s="263"/>
      <c r="AB719" s="263"/>
      <c r="AC719" s="263"/>
      <c r="AD719" s="263"/>
      <c r="AE719" s="263"/>
      <c r="AF719" s="418"/>
      <c r="AG719" s="263"/>
      <c r="AH719" s="263"/>
      <c r="AI719" s="263"/>
    </row>
    <row r="720" spans="1:35" ht="15" customHeight="1">
      <c r="A720" s="69"/>
      <c r="B720" s="418"/>
      <c r="C720" s="263"/>
      <c r="E720" s="263"/>
      <c r="F720" s="263"/>
      <c r="G720" s="418"/>
      <c r="H720" s="263"/>
      <c r="I720" s="263"/>
      <c r="J720" s="263"/>
      <c r="K720" s="263"/>
      <c r="L720" s="563"/>
      <c r="M720" s="263"/>
      <c r="N720" s="263"/>
      <c r="O720" s="263"/>
      <c r="P720" s="265"/>
      <c r="Q720" s="263"/>
      <c r="R720" s="263"/>
      <c r="S720" s="263"/>
      <c r="T720" s="263"/>
      <c r="U720" s="263"/>
      <c r="V720" s="263"/>
      <c r="W720" s="263"/>
      <c r="X720" s="263"/>
      <c r="Y720" s="263"/>
      <c r="Z720" s="263"/>
      <c r="AA720" s="263"/>
      <c r="AB720" s="263"/>
      <c r="AC720" s="263"/>
      <c r="AD720" s="263"/>
      <c r="AE720" s="263"/>
      <c r="AF720" s="418"/>
      <c r="AG720" s="263"/>
      <c r="AH720" s="263"/>
      <c r="AI720" s="263"/>
    </row>
    <row r="721" spans="1:35" ht="15" customHeight="1">
      <c r="A721" s="69"/>
      <c r="B721" s="418"/>
      <c r="C721" s="263"/>
      <c r="E721" s="263"/>
      <c r="F721" s="263"/>
      <c r="G721" s="418"/>
      <c r="H721" s="263"/>
      <c r="I721" s="263"/>
      <c r="J721" s="263"/>
      <c r="K721" s="263"/>
      <c r="L721" s="563"/>
      <c r="M721" s="263"/>
      <c r="N721" s="263"/>
      <c r="O721" s="263"/>
      <c r="P721" s="265"/>
      <c r="Q721" s="263"/>
      <c r="R721" s="263"/>
      <c r="S721" s="263"/>
      <c r="T721" s="263"/>
      <c r="U721" s="263"/>
      <c r="V721" s="263"/>
      <c r="W721" s="263"/>
      <c r="X721" s="263"/>
      <c r="Y721" s="263"/>
      <c r="Z721" s="263"/>
      <c r="AA721" s="263"/>
      <c r="AB721" s="263"/>
      <c r="AC721" s="263"/>
      <c r="AD721" s="263"/>
      <c r="AE721" s="263"/>
      <c r="AF721" s="418"/>
      <c r="AG721" s="263"/>
      <c r="AH721" s="263"/>
      <c r="AI721" s="263"/>
    </row>
    <row r="722" spans="1:35" ht="15" customHeight="1">
      <c r="A722" s="69"/>
      <c r="B722" s="418"/>
      <c r="C722" s="263"/>
      <c r="E722" s="263"/>
      <c r="F722" s="263"/>
      <c r="G722" s="418"/>
      <c r="H722" s="263"/>
      <c r="I722" s="263"/>
      <c r="J722" s="263"/>
      <c r="K722" s="263"/>
      <c r="L722" s="563"/>
      <c r="M722" s="263"/>
      <c r="N722" s="263"/>
      <c r="O722" s="263"/>
      <c r="P722" s="265"/>
      <c r="Q722" s="263"/>
      <c r="R722" s="263"/>
      <c r="S722" s="263"/>
      <c r="T722" s="263"/>
      <c r="U722" s="263"/>
      <c r="V722" s="263"/>
      <c r="W722" s="263"/>
      <c r="X722" s="263"/>
      <c r="Y722" s="263"/>
      <c r="Z722" s="263"/>
      <c r="AA722" s="263"/>
      <c r="AB722" s="263"/>
      <c r="AC722" s="263"/>
      <c r="AD722" s="263"/>
      <c r="AE722" s="263"/>
      <c r="AF722" s="418"/>
      <c r="AG722" s="263"/>
      <c r="AH722" s="263"/>
      <c r="AI722" s="263"/>
    </row>
    <row r="723" spans="1:35" ht="15" customHeight="1">
      <c r="A723" s="69"/>
      <c r="B723" s="418"/>
      <c r="C723" s="263"/>
      <c r="E723" s="263"/>
      <c r="F723" s="263"/>
      <c r="G723" s="418"/>
      <c r="H723" s="263"/>
      <c r="I723" s="263"/>
      <c r="J723" s="263"/>
      <c r="K723" s="263"/>
      <c r="L723" s="563"/>
      <c r="M723" s="263"/>
      <c r="N723" s="263"/>
      <c r="O723" s="263"/>
      <c r="P723" s="265"/>
      <c r="Q723" s="263"/>
      <c r="R723" s="263"/>
      <c r="S723" s="263"/>
      <c r="T723" s="263"/>
      <c r="U723" s="263"/>
      <c r="V723" s="263"/>
      <c r="W723" s="263"/>
      <c r="X723" s="263"/>
      <c r="Y723" s="263"/>
      <c r="Z723" s="263"/>
      <c r="AA723" s="263"/>
      <c r="AB723" s="263"/>
      <c r="AC723" s="263"/>
      <c r="AD723" s="263"/>
      <c r="AE723" s="263"/>
      <c r="AF723" s="418"/>
      <c r="AG723" s="263"/>
      <c r="AH723" s="263"/>
      <c r="AI723" s="263"/>
    </row>
    <row r="724" spans="1:35" ht="15" customHeight="1">
      <c r="A724" s="69"/>
      <c r="B724" s="418"/>
      <c r="C724" s="263"/>
      <c r="E724" s="263"/>
      <c r="F724" s="263"/>
      <c r="G724" s="418"/>
      <c r="H724" s="263"/>
      <c r="I724" s="263"/>
      <c r="J724" s="263"/>
      <c r="K724" s="263"/>
      <c r="L724" s="563"/>
      <c r="M724" s="263"/>
      <c r="N724" s="263"/>
      <c r="O724" s="263"/>
      <c r="P724" s="265"/>
      <c r="Q724" s="263"/>
      <c r="R724" s="263"/>
      <c r="S724" s="263"/>
      <c r="T724" s="263"/>
      <c r="U724" s="263"/>
      <c r="V724" s="263"/>
      <c r="W724" s="263"/>
      <c r="X724" s="263"/>
      <c r="Y724" s="263"/>
      <c r="Z724" s="263"/>
      <c r="AA724" s="263"/>
      <c r="AB724" s="263"/>
      <c r="AC724" s="263"/>
      <c r="AD724" s="263"/>
      <c r="AE724" s="263"/>
      <c r="AF724" s="418"/>
      <c r="AG724" s="263"/>
      <c r="AH724" s="263"/>
      <c r="AI724" s="263"/>
    </row>
    <row r="725" spans="1:35" ht="15" customHeight="1">
      <c r="A725" s="69"/>
      <c r="B725" s="418"/>
      <c r="C725" s="263"/>
      <c r="E725" s="263"/>
      <c r="F725" s="263"/>
      <c r="G725" s="418"/>
      <c r="H725" s="263"/>
      <c r="I725" s="263"/>
      <c r="J725" s="263"/>
      <c r="K725" s="263"/>
      <c r="L725" s="563"/>
      <c r="M725" s="263"/>
      <c r="N725" s="263"/>
      <c r="O725" s="263"/>
      <c r="P725" s="265"/>
      <c r="Q725" s="263"/>
      <c r="R725" s="263"/>
      <c r="S725" s="263"/>
      <c r="T725" s="263"/>
      <c r="U725" s="263"/>
      <c r="V725" s="263"/>
      <c r="W725" s="263"/>
      <c r="X725" s="263"/>
      <c r="Y725" s="263"/>
      <c r="Z725" s="263"/>
      <c r="AA725" s="263"/>
      <c r="AB725" s="263"/>
      <c r="AC725" s="263"/>
      <c r="AD725" s="263"/>
      <c r="AE725" s="263"/>
      <c r="AF725" s="418"/>
      <c r="AG725" s="263"/>
      <c r="AH725" s="263"/>
      <c r="AI725" s="263"/>
    </row>
    <row r="726" spans="1:35" ht="15" customHeight="1">
      <c r="A726" s="69"/>
      <c r="B726" s="418"/>
      <c r="C726" s="263"/>
      <c r="E726" s="263"/>
      <c r="F726" s="263"/>
      <c r="G726" s="418"/>
      <c r="H726" s="263"/>
      <c r="I726" s="263"/>
      <c r="J726" s="263"/>
      <c r="K726" s="263"/>
      <c r="L726" s="563"/>
      <c r="M726" s="263"/>
      <c r="N726" s="263"/>
      <c r="O726" s="263"/>
      <c r="P726" s="265"/>
      <c r="Q726" s="263"/>
      <c r="R726" s="263"/>
      <c r="S726" s="263"/>
      <c r="T726" s="263"/>
      <c r="U726" s="263"/>
      <c r="V726" s="263"/>
      <c r="W726" s="263"/>
      <c r="X726" s="263"/>
      <c r="Y726" s="263"/>
      <c r="Z726" s="263"/>
      <c r="AA726" s="263"/>
      <c r="AB726" s="263"/>
      <c r="AC726" s="263"/>
      <c r="AD726" s="263"/>
      <c r="AE726" s="263"/>
      <c r="AF726" s="418"/>
      <c r="AG726" s="263"/>
      <c r="AH726" s="263"/>
      <c r="AI726" s="263"/>
    </row>
    <row r="727" spans="1:35" ht="15" customHeight="1">
      <c r="A727" s="69"/>
      <c r="B727" s="418"/>
      <c r="C727" s="263"/>
      <c r="E727" s="263"/>
      <c r="F727" s="263"/>
      <c r="G727" s="418"/>
      <c r="H727" s="263"/>
      <c r="I727" s="263"/>
      <c r="J727" s="263"/>
      <c r="K727" s="263"/>
      <c r="L727" s="563"/>
      <c r="M727" s="263"/>
      <c r="N727" s="263"/>
      <c r="O727" s="263"/>
      <c r="P727" s="265"/>
      <c r="Q727" s="263"/>
      <c r="R727" s="263"/>
      <c r="S727" s="263"/>
      <c r="T727" s="263"/>
      <c r="U727" s="263"/>
      <c r="V727" s="263"/>
      <c r="W727" s="263"/>
      <c r="X727" s="263"/>
      <c r="Y727" s="263"/>
      <c r="Z727" s="263"/>
      <c r="AA727" s="263"/>
      <c r="AB727" s="263"/>
      <c r="AC727" s="263"/>
      <c r="AD727" s="263"/>
      <c r="AE727" s="263"/>
      <c r="AF727" s="418"/>
      <c r="AG727" s="263"/>
      <c r="AH727" s="263"/>
      <c r="AI727" s="263"/>
    </row>
    <row r="728" spans="1:35" ht="15" customHeight="1">
      <c r="A728" s="69"/>
      <c r="B728" s="418"/>
      <c r="C728" s="263"/>
      <c r="E728" s="263"/>
      <c r="F728" s="263"/>
      <c r="G728" s="418"/>
      <c r="H728" s="263"/>
      <c r="I728" s="263"/>
      <c r="J728" s="263"/>
      <c r="K728" s="263"/>
      <c r="L728" s="563"/>
      <c r="M728" s="263"/>
      <c r="N728" s="263"/>
      <c r="O728" s="263"/>
      <c r="P728" s="265"/>
      <c r="Q728" s="263"/>
      <c r="R728" s="263"/>
      <c r="S728" s="263"/>
      <c r="T728" s="263"/>
      <c r="U728" s="263"/>
      <c r="V728" s="263"/>
      <c r="W728" s="263"/>
      <c r="X728" s="263"/>
      <c r="Y728" s="263"/>
      <c r="Z728" s="263"/>
      <c r="AA728" s="263"/>
      <c r="AB728" s="263"/>
      <c r="AC728" s="263"/>
      <c r="AD728" s="263"/>
      <c r="AE728" s="263"/>
      <c r="AF728" s="418"/>
      <c r="AG728" s="263"/>
      <c r="AH728" s="263"/>
      <c r="AI728" s="263"/>
    </row>
    <row r="729" spans="1:35" ht="15" customHeight="1">
      <c r="A729" s="69"/>
      <c r="B729" s="418"/>
      <c r="C729" s="263"/>
      <c r="E729" s="263"/>
      <c r="F729" s="263"/>
      <c r="G729" s="418"/>
      <c r="H729" s="263"/>
      <c r="I729" s="263"/>
      <c r="J729" s="263"/>
      <c r="K729" s="263"/>
      <c r="L729" s="563"/>
      <c r="M729" s="263"/>
      <c r="N729" s="263"/>
      <c r="O729" s="263"/>
      <c r="P729" s="265"/>
      <c r="Q729" s="263"/>
      <c r="R729" s="263"/>
      <c r="S729" s="263"/>
      <c r="T729" s="263"/>
      <c r="U729" s="263"/>
      <c r="V729" s="263"/>
      <c r="W729" s="263"/>
      <c r="X729" s="263"/>
      <c r="Y729" s="263"/>
      <c r="Z729" s="263"/>
      <c r="AA729" s="263"/>
      <c r="AB729" s="263"/>
      <c r="AC729" s="263"/>
      <c r="AD729" s="263"/>
      <c r="AE729" s="263"/>
      <c r="AF729" s="418"/>
      <c r="AG729" s="263"/>
      <c r="AH729" s="263"/>
      <c r="AI729" s="263"/>
    </row>
    <row r="730" spans="1:35" ht="15" customHeight="1">
      <c r="A730" s="69"/>
      <c r="B730" s="418"/>
      <c r="C730" s="263"/>
      <c r="E730" s="263"/>
      <c r="F730" s="263"/>
      <c r="G730" s="418"/>
      <c r="H730" s="263"/>
      <c r="I730" s="263"/>
      <c r="J730" s="263"/>
      <c r="K730" s="263"/>
      <c r="L730" s="563"/>
      <c r="M730" s="263"/>
      <c r="N730" s="263"/>
      <c r="O730" s="263"/>
      <c r="P730" s="265"/>
      <c r="Q730" s="263"/>
      <c r="R730" s="263"/>
      <c r="S730" s="263"/>
      <c r="T730" s="263"/>
      <c r="U730" s="263"/>
      <c r="V730" s="263"/>
      <c r="W730" s="263"/>
      <c r="X730" s="263"/>
      <c r="Y730" s="263"/>
      <c r="Z730" s="263"/>
      <c r="AA730" s="263"/>
      <c r="AB730" s="263"/>
      <c r="AC730" s="263"/>
      <c r="AD730" s="263"/>
      <c r="AE730" s="263"/>
      <c r="AF730" s="418"/>
      <c r="AG730" s="263"/>
      <c r="AH730" s="263"/>
      <c r="AI730" s="263"/>
    </row>
    <row r="731" spans="1:35" ht="15" customHeight="1">
      <c r="A731" s="69"/>
      <c r="B731" s="418"/>
      <c r="C731" s="263"/>
      <c r="E731" s="263"/>
      <c r="F731" s="263"/>
      <c r="G731" s="418"/>
      <c r="H731" s="263"/>
      <c r="I731" s="263"/>
      <c r="J731" s="263"/>
      <c r="K731" s="263"/>
      <c r="L731" s="563"/>
      <c r="M731" s="263"/>
      <c r="N731" s="263"/>
      <c r="O731" s="263"/>
      <c r="P731" s="265"/>
      <c r="Q731" s="263"/>
      <c r="R731" s="263"/>
      <c r="S731" s="263"/>
      <c r="T731" s="263"/>
      <c r="U731" s="263"/>
      <c r="V731" s="263"/>
      <c r="W731" s="263"/>
      <c r="X731" s="263"/>
      <c r="Y731" s="263"/>
      <c r="Z731" s="263"/>
      <c r="AA731" s="263"/>
      <c r="AB731" s="263"/>
      <c r="AC731" s="263"/>
      <c r="AD731" s="263"/>
      <c r="AE731" s="263"/>
      <c r="AF731" s="418"/>
      <c r="AG731" s="263"/>
      <c r="AH731" s="263"/>
      <c r="AI731" s="263"/>
    </row>
    <row r="732" spans="1:35" ht="15" customHeight="1">
      <c r="A732" s="69"/>
      <c r="B732" s="418"/>
      <c r="C732" s="263"/>
      <c r="E732" s="263"/>
      <c r="F732" s="263"/>
      <c r="G732" s="418"/>
      <c r="H732" s="263"/>
      <c r="I732" s="263"/>
      <c r="J732" s="263"/>
      <c r="K732" s="263"/>
      <c r="L732" s="563"/>
      <c r="M732" s="263"/>
      <c r="N732" s="263"/>
      <c r="O732" s="263"/>
      <c r="P732" s="265"/>
      <c r="Q732" s="263"/>
      <c r="R732" s="263"/>
      <c r="S732" s="263"/>
      <c r="T732" s="263"/>
      <c r="U732" s="263"/>
      <c r="V732" s="263"/>
      <c r="W732" s="263"/>
      <c r="X732" s="263"/>
      <c r="Y732" s="263"/>
      <c r="Z732" s="263"/>
      <c r="AA732" s="263"/>
      <c r="AB732" s="263"/>
      <c r="AC732" s="263"/>
      <c r="AD732" s="263"/>
      <c r="AE732" s="263"/>
      <c r="AF732" s="418"/>
      <c r="AG732" s="263"/>
      <c r="AH732" s="263"/>
      <c r="AI732" s="263"/>
    </row>
    <row r="733" spans="1:35" ht="15" customHeight="1">
      <c r="A733" s="69"/>
      <c r="B733" s="418"/>
      <c r="C733" s="263"/>
      <c r="E733" s="263"/>
      <c r="F733" s="263"/>
      <c r="G733" s="418"/>
      <c r="H733" s="263"/>
      <c r="I733" s="263"/>
      <c r="J733" s="263"/>
      <c r="K733" s="263"/>
      <c r="L733" s="563"/>
      <c r="M733" s="263"/>
      <c r="N733" s="263"/>
      <c r="O733" s="263"/>
      <c r="P733" s="265"/>
      <c r="Q733" s="263"/>
      <c r="R733" s="263"/>
      <c r="S733" s="263"/>
      <c r="T733" s="263"/>
      <c r="U733" s="263"/>
      <c r="V733" s="263"/>
      <c r="W733" s="263"/>
      <c r="X733" s="263"/>
      <c r="Y733" s="263"/>
      <c r="Z733" s="263"/>
      <c r="AA733" s="263"/>
      <c r="AB733" s="263"/>
      <c r="AC733" s="263"/>
      <c r="AD733" s="263"/>
      <c r="AE733" s="263"/>
      <c r="AF733" s="418"/>
      <c r="AG733" s="263"/>
      <c r="AH733" s="263"/>
      <c r="AI733" s="263"/>
    </row>
    <row r="734" spans="1:35" ht="15" customHeight="1">
      <c r="A734" s="69"/>
      <c r="B734" s="418"/>
      <c r="C734" s="263"/>
      <c r="E734" s="263"/>
      <c r="F734" s="263"/>
      <c r="G734" s="418"/>
      <c r="H734" s="263"/>
      <c r="I734" s="263"/>
      <c r="J734" s="263"/>
      <c r="K734" s="263"/>
      <c r="L734" s="563"/>
      <c r="M734" s="263"/>
      <c r="N734" s="263"/>
      <c r="O734" s="263"/>
      <c r="P734" s="265"/>
      <c r="Q734" s="263"/>
      <c r="R734" s="263"/>
      <c r="S734" s="263"/>
      <c r="T734" s="263"/>
      <c r="U734" s="263"/>
      <c r="V734" s="263"/>
      <c r="W734" s="263"/>
      <c r="X734" s="263"/>
      <c r="Y734" s="263"/>
      <c r="Z734" s="263"/>
      <c r="AA734" s="263"/>
      <c r="AB734" s="263"/>
      <c r="AC734" s="263"/>
      <c r="AD734" s="263"/>
      <c r="AE734" s="263"/>
      <c r="AF734" s="418"/>
      <c r="AG734" s="263"/>
      <c r="AH734" s="263"/>
      <c r="AI734" s="263"/>
    </row>
    <row r="735" spans="1:35" ht="15" customHeight="1">
      <c r="A735" s="69"/>
      <c r="B735" s="418"/>
      <c r="C735" s="263"/>
      <c r="E735" s="263"/>
      <c r="F735" s="263"/>
      <c r="G735" s="418"/>
      <c r="H735" s="263"/>
      <c r="I735" s="263"/>
      <c r="J735" s="263"/>
      <c r="K735" s="263"/>
      <c r="L735" s="563"/>
      <c r="M735" s="263"/>
      <c r="N735" s="263"/>
      <c r="O735" s="263"/>
      <c r="P735" s="265"/>
      <c r="Q735" s="263"/>
      <c r="R735" s="263"/>
      <c r="S735" s="263"/>
      <c r="T735" s="263"/>
      <c r="U735" s="263"/>
      <c r="V735" s="263"/>
      <c r="W735" s="263"/>
      <c r="X735" s="263"/>
      <c r="Y735" s="263"/>
      <c r="Z735" s="263"/>
      <c r="AA735" s="263"/>
      <c r="AB735" s="263"/>
      <c r="AC735" s="263"/>
      <c r="AD735" s="263"/>
      <c r="AE735" s="263"/>
      <c r="AF735" s="418"/>
      <c r="AG735" s="263"/>
      <c r="AH735" s="263"/>
      <c r="AI735" s="263"/>
    </row>
    <row r="736" spans="1:35" ht="15" customHeight="1">
      <c r="A736" s="69"/>
      <c r="B736" s="418"/>
      <c r="C736" s="263"/>
      <c r="E736" s="263"/>
      <c r="F736" s="263"/>
      <c r="G736" s="418"/>
      <c r="H736" s="263"/>
      <c r="I736" s="263"/>
      <c r="J736" s="263"/>
      <c r="K736" s="263"/>
      <c r="L736" s="563"/>
      <c r="M736" s="263"/>
      <c r="N736" s="263"/>
      <c r="O736" s="263"/>
      <c r="P736" s="265"/>
      <c r="Q736" s="263"/>
      <c r="R736" s="263"/>
      <c r="S736" s="263"/>
      <c r="T736" s="263"/>
      <c r="U736" s="263"/>
      <c r="V736" s="263"/>
      <c r="W736" s="263"/>
      <c r="X736" s="263"/>
      <c r="Y736" s="263"/>
      <c r="Z736" s="263"/>
      <c r="AA736" s="263"/>
      <c r="AB736" s="263"/>
      <c r="AC736" s="263"/>
      <c r="AD736" s="263"/>
      <c r="AE736" s="263"/>
      <c r="AF736" s="418"/>
      <c r="AG736" s="263"/>
      <c r="AH736" s="263"/>
      <c r="AI736" s="263"/>
    </row>
    <row r="737" spans="1:35" ht="15" customHeight="1">
      <c r="A737" s="69"/>
      <c r="B737" s="418"/>
      <c r="C737" s="263"/>
      <c r="E737" s="263"/>
      <c r="F737" s="263"/>
      <c r="G737" s="418"/>
      <c r="H737" s="263"/>
      <c r="I737" s="263"/>
      <c r="J737" s="263"/>
      <c r="K737" s="263"/>
      <c r="L737" s="563"/>
      <c r="M737" s="263"/>
      <c r="N737" s="263"/>
      <c r="O737" s="263"/>
      <c r="P737" s="265"/>
      <c r="Q737" s="263"/>
      <c r="R737" s="263"/>
      <c r="S737" s="263"/>
      <c r="T737" s="263"/>
      <c r="U737" s="263"/>
      <c r="V737" s="263"/>
      <c r="W737" s="263"/>
      <c r="X737" s="263"/>
      <c r="Y737" s="263"/>
      <c r="Z737" s="263"/>
      <c r="AA737" s="263"/>
      <c r="AB737" s="263"/>
      <c r="AC737" s="263"/>
      <c r="AD737" s="263"/>
      <c r="AE737" s="263"/>
      <c r="AF737" s="418"/>
      <c r="AG737" s="263"/>
      <c r="AH737" s="263"/>
      <c r="AI737" s="263"/>
    </row>
    <row r="738" spans="1:35" ht="15" customHeight="1">
      <c r="A738" s="69"/>
      <c r="B738" s="418"/>
      <c r="C738" s="263"/>
      <c r="E738" s="263"/>
      <c r="F738" s="263"/>
      <c r="G738" s="418"/>
      <c r="H738" s="263"/>
      <c r="I738" s="263"/>
      <c r="J738" s="263"/>
      <c r="K738" s="263"/>
      <c r="L738" s="563"/>
      <c r="M738" s="263"/>
      <c r="N738" s="263"/>
      <c r="O738" s="263"/>
      <c r="P738" s="265"/>
      <c r="Q738" s="263"/>
      <c r="R738" s="263"/>
      <c r="S738" s="263"/>
      <c r="T738" s="263"/>
      <c r="U738" s="263"/>
      <c r="V738" s="263"/>
      <c r="W738" s="263"/>
      <c r="X738" s="263"/>
      <c r="Y738" s="263"/>
      <c r="Z738" s="263"/>
      <c r="AA738" s="263"/>
      <c r="AB738" s="263"/>
      <c r="AC738" s="263"/>
      <c r="AD738" s="263"/>
      <c r="AE738" s="263"/>
      <c r="AF738" s="418"/>
      <c r="AG738" s="263"/>
      <c r="AH738" s="263"/>
      <c r="AI738" s="263"/>
    </row>
    <row r="739" spans="1:35" ht="15" customHeight="1">
      <c r="A739" s="69"/>
      <c r="B739" s="418"/>
      <c r="C739" s="263"/>
      <c r="E739" s="263"/>
      <c r="F739" s="263"/>
      <c r="G739" s="418"/>
      <c r="H739" s="263"/>
      <c r="I739" s="263"/>
      <c r="J739" s="263"/>
      <c r="K739" s="263"/>
      <c r="L739" s="563"/>
      <c r="M739" s="263"/>
      <c r="N739" s="263"/>
      <c r="O739" s="263"/>
      <c r="P739" s="265"/>
      <c r="Q739" s="263"/>
      <c r="R739" s="263"/>
      <c r="S739" s="263"/>
      <c r="T739" s="263"/>
      <c r="U739" s="263"/>
      <c r="V739" s="263"/>
      <c r="W739" s="263"/>
      <c r="X739" s="263"/>
      <c r="Y739" s="263"/>
      <c r="Z739" s="263"/>
      <c r="AA739" s="263"/>
      <c r="AB739" s="263"/>
      <c r="AC739" s="263"/>
      <c r="AD739" s="263"/>
      <c r="AE739" s="263"/>
      <c r="AF739" s="418"/>
      <c r="AG739" s="263"/>
      <c r="AH739" s="263"/>
      <c r="AI739" s="263"/>
    </row>
    <row r="740" spans="1:35" ht="15" customHeight="1">
      <c r="A740" s="69"/>
      <c r="B740" s="418"/>
      <c r="C740" s="263"/>
      <c r="E740" s="263"/>
      <c r="F740" s="263"/>
      <c r="G740" s="418"/>
      <c r="H740" s="263"/>
      <c r="I740" s="263"/>
      <c r="J740" s="263"/>
      <c r="K740" s="263"/>
      <c r="L740" s="563"/>
      <c r="M740" s="263"/>
      <c r="N740" s="263"/>
      <c r="O740" s="263"/>
      <c r="P740" s="265"/>
      <c r="Q740" s="263"/>
      <c r="R740" s="263"/>
      <c r="S740" s="263"/>
      <c r="T740" s="263"/>
      <c r="U740" s="263"/>
      <c r="V740" s="263"/>
      <c r="W740" s="263"/>
      <c r="X740" s="263"/>
      <c r="Y740" s="263"/>
      <c r="Z740" s="263"/>
      <c r="AA740" s="263"/>
      <c r="AB740" s="263"/>
      <c r="AC740" s="263"/>
      <c r="AD740" s="263"/>
      <c r="AE740" s="263"/>
      <c r="AF740" s="418"/>
      <c r="AG740" s="263"/>
      <c r="AH740" s="263"/>
      <c r="AI740" s="263"/>
    </row>
    <row r="741" spans="1:35" ht="15" customHeight="1">
      <c r="A741" s="69"/>
      <c r="B741" s="418"/>
      <c r="C741" s="263"/>
      <c r="E741" s="263"/>
      <c r="F741" s="263"/>
      <c r="G741" s="418"/>
      <c r="H741" s="263"/>
      <c r="I741" s="263"/>
      <c r="J741" s="263"/>
      <c r="K741" s="263"/>
      <c r="L741" s="563"/>
      <c r="M741" s="263"/>
      <c r="N741" s="263"/>
      <c r="O741" s="263"/>
      <c r="P741" s="265"/>
      <c r="Q741" s="263"/>
      <c r="R741" s="263"/>
      <c r="S741" s="263"/>
      <c r="T741" s="263"/>
      <c r="U741" s="263"/>
      <c r="V741" s="263"/>
      <c r="W741" s="263"/>
      <c r="X741" s="263"/>
      <c r="Y741" s="263"/>
      <c r="Z741" s="263"/>
      <c r="AA741" s="263"/>
      <c r="AB741" s="263"/>
      <c r="AC741" s="263"/>
      <c r="AD741" s="263"/>
      <c r="AE741" s="263"/>
      <c r="AF741" s="418"/>
      <c r="AG741" s="263"/>
      <c r="AH741" s="263"/>
      <c r="AI741" s="263"/>
    </row>
    <row r="742" spans="1:35" ht="15" customHeight="1">
      <c r="A742" s="69"/>
      <c r="B742" s="418"/>
      <c r="C742" s="263"/>
      <c r="E742" s="263"/>
      <c r="F742" s="263"/>
      <c r="G742" s="418"/>
      <c r="H742" s="263"/>
      <c r="I742" s="263"/>
      <c r="J742" s="263"/>
      <c r="K742" s="263"/>
      <c r="L742" s="563"/>
      <c r="M742" s="263"/>
      <c r="N742" s="263"/>
      <c r="O742" s="263"/>
      <c r="P742" s="265"/>
      <c r="Q742" s="263"/>
      <c r="R742" s="263"/>
      <c r="S742" s="263"/>
      <c r="T742" s="263"/>
      <c r="U742" s="263"/>
      <c r="V742" s="263"/>
      <c r="W742" s="263"/>
      <c r="X742" s="263"/>
      <c r="Y742" s="263"/>
      <c r="Z742" s="263"/>
      <c r="AA742" s="263"/>
      <c r="AB742" s="263"/>
      <c r="AC742" s="263"/>
      <c r="AD742" s="263"/>
      <c r="AE742" s="263"/>
      <c r="AF742" s="418"/>
      <c r="AG742" s="263"/>
      <c r="AH742" s="263"/>
      <c r="AI742" s="263"/>
    </row>
    <row r="743" spans="1:35" ht="15" customHeight="1">
      <c r="A743" s="69"/>
      <c r="B743" s="418"/>
      <c r="C743" s="263"/>
      <c r="E743" s="263"/>
      <c r="F743" s="263"/>
      <c r="G743" s="418"/>
      <c r="H743" s="263"/>
      <c r="I743" s="263"/>
      <c r="J743" s="263"/>
      <c r="K743" s="263"/>
      <c r="L743" s="563"/>
      <c r="M743" s="263"/>
      <c r="N743" s="263"/>
      <c r="O743" s="263"/>
      <c r="P743" s="265"/>
      <c r="Q743" s="263"/>
      <c r="R743" s="263"/>
      <c r="S743" s="263"/>
      <c r="T743" s="263"/>
      <c r="U743" s="263"/>
      <c r="V743" s="263"/>
      <c r="W743" s="263"/>
      <c r="X743" s="263"/>
      <c r="Y743" s="263"/>
      <c r="Z743" s="263"/>
      <c r="AA743" s="263"/>
      <c r="AB743" s="263"/>
      <c r="AC743" s="263"/>
      <c r="AD743" s="263"/>
      <c r="AE743" s="263"/>
      <c r="AF743" s="418"/>
      <c r="AG743" s="263"/>
      <c r="AH743" s="263"/>
      <c r="AI743" s="263"/>
    </row>
    <row r="744" spans="1:35" ht="15" customHeight="1">
      <c r="A744" s="69"/>
      <c r="B744" s="418"/>
      <c r="C744" s="263"/>
      <c r="E744" s="263"/>
      <c r="F744" s="263"/>
      <c r="G744" s="418"/>
      <c r="H744" s="263"/>
      <c r="I744" s="263"/>
      <c r="J744" s="263"/>
      <c r="K744" s="263"/>
      <c r="L744" s="563"/>
      <c r="M744" s="263"/>
      <c r="N744" s="263"/>
      <c r="O744" s="263"/>
      <c r="P744" s="265"/>
      <c r="Q744" s="263"/>
      <c r="R744" s="263"/>
      <c r="S744" s="263"/>
      <c r="T744" s="263"/>
      <c r="U744" s="263"/>
      <c r="V744" s="263"/>
      <c r="W744" s="263"/>
      <c r="X744" s="263"/>
      <c r="Y744" s="263"/>
      <c r="Z744" s="263"/>
      <c r="AA744" s="263"/>
      <c r="AB744" s="263"/>
      <c r="AC744" s="263"/>
      <c r="AD744" s="263"/>
      <c r="AE744" s="263"/>
      <c r="AF744" s="418"/>
      <c r="AG744" s="263"/>
      <c r="AH744" s="263"/>
      <c r="AI744" s="263"/>
    </row>
    <row r="745" spans="1:35" ht="15" customHeight="1">
      <c r="A745" s="69"/>
      <c r="B745" s="418"/>
      <c r="C745" s="263"/>
      <c r="E745" s="263"/>
      <c r="F745" s="263"/>
      <c r="G745" s="418"/>
      <c r="H745" s="263"/>
      <c r="I745" s="263"/>
      <c r="J745" s="263"/>
      <c r="K745" s="263"/>
      <c r="L745" s="563"/>
      <c r="M745" s="263"/>
      <c r="N745" s="263"/>
      <c r="O745" s="263"/>
      <c r="P745" s="265"/>
      <c r="Q745" s="263"/>
      <c r="R745" s="263"/>
      <c r="S745" s="263"/>
      <c r="T745" s="263"/>
      <c r="U745" s="263"/>
      <c r="V745" s="263"/>
      <c r="W745" s="263"/>
      <c r="X745" s="263"/>
      <c r="Y745" s="263"/>
      <c r="Z745" s="263"/>
      <c r="AA745" s="263"/>
      <c r="AB745" s="263"/>
      <c r="AC745" s="263"/>
      <c r="AD745" s="263"/>
      <c r="AE745" s="263"/>
      <c r="AF745" s="418"/>
      <c r="AG745" s="263"/>
      <c r="AH745" s="263"/>
      <c r="AI745" s="263"/>
    </row>
    <row r="746" spans="1:35" ht="15" customHeight="1">
      <c r="A746" s="69"/>
      <c r="B746" s="418"/>
      <c r="C746" s="263"/>
      <c r="E746" s="263"/>
      <c r="F746" s="263"/>
      <c r="G746" s="418"/>
      <c r="H746" s="263"/>
      <c r="I746" s="263"/>
      <c r="J746" s="263"/>
      <c r="K746" s="263"/>
      <c r="L746" s="563"/>
      <c r="M746" s="263"/>
      <c r="N746" s="263"/>
      <c r="O746" s="263"/>
      <c r="P746" s="265"/>
      <c r="Q746" s="263"/>
      <c r="R746" s="263"/>
      <c r="S746" s="263"/>
      <c r="T746" s="263"/>
      <c r="U746" s="263"/>
      <c r="V746" s="263"/>
      <c r="W746" s="263"/>
      <c r="X746" s="263"/>
      <c r="Y746" s="263"/>
      <c r="Z746" s="263"/>
      <c r="AA746" s="263"/>
      <c r="AB746" s="263"/>
      <c r="AC746" s="263"/>
      <c r="AD746" s="263"/>
      <c r="AE746" s="263"/>
      <c r="AF746" s="418"/>
      <c r="AG746" s="263"/>
      <c r="AH746" s="263"/>
      <c r="AI746" s="263"/>
    </row>
    <row r="747" spans="1:35" ht="15" customHeight="1">
      <c r="A747" s="69"/>
      <c r="B747" s="418"/>
      <c r="C747" s="263"/>
      <c r="E747" s="263"/>
      <c r="F747" s="263"/>
      <c r="G747" s="418"/>
      <c r="H747" s="263"/>
      <c r="I747" s="263"/>
      <c r="J747" s="263"/>
      <c r="K747" s="263"/>
      <c r="L747" s="563"/>
      <c r="M747" s="263"/>
      <c r="N747" s="263"/>
      <c r="O747" s="263"/>
      <c r="P747" s="265"/>
      <c r="Q747" s="263"/>
      <c r="R747" s="263"/>
      <c r="S747" s="263"/>
      <c r="T747" s="263"/>
      <c r="U747" s="263"/>
      <c r="V747" s="263"/>
      <c r="W747" s="263"/>
      <c r="X747" s="263"/>
      <c r="Y747" s="263"/>
      <c r="Z747" s="263"/>
      <c r="AA747" s="263"/>
      <c r="AB747" s="263"/>
      <c r="AC747" s="263"/>
      <c r="AD747" s="263"/>
      <c r="AE747" s="263"/>
      <c r="AF747" s="418"/>
      <c r="AG747" s="263"/>
      <c r="AH747" s="263"/>
      <c r="AI747" s="263"/>
    </row>
    <row r="748" spans="1:35" ht="15" customHeight="1">
      <c r="A748" s="69"/>
      <c r="B748" s="418"/>
      <c r="C748" s="263"/>
      <c r="E748" s="263"/>
      <c r="F748" s="263"/>
      <c r="G748" s="418"/>
      <c r="H748" s="263"/>
      <c r="I748" s="263"/>
      <c r="J748" s="263"/>
      <c r="K748" s="263"/>
      <c r="L748" s="563"/>
      <c r="M748" s="263"/>
      <c r="N748" s="263"/>
      <c r="O748" s="263"/>
      <c r="P748" s="265"/>
      <c r="Q748" s="263"/>
      <c r="R748" s="263"/>
      <c r="S748" s="263"/>
      <c r="T748" s="263"/>
      <c r="U748" s="263"/>
      <c r="V748" s="263"/>
      <c r="W748" s="263"/>
      <c r="X748" s="263"/>
      <c r="Y748" s="263"/>
      <c r="Z748" s="263"/>
      <c r="AA748" s="263"/>
      <c r="AB748" s="263"/>
      <c r="AC748" s="263"/>
      <c r="AD748" s="263"/>
      <c r="AE748" s="263"/>
      <c r="AF748" s="418"/>
      <c r="AG748" s="263"/>
      <c r="AH748" s="263"/>
      <c r="AI748" s="263"/>
    </row>
    <row r="749" spans="1:35" ht="15" customHeight="1">
      <c r="A749" s="69"/>
      <c r="B749" s="418"/>
      <c r="C749" s="263"/>
      <c r="E749" s="263"/>
      <c r="F749" s="263"/>
      <c r="G749" s="418"/>
      <c r="H749" s="263"/>
      <c r="I749" s="263"/>
      <c r="J749" s="263"/>
      <c r="K749" s="263"/>
      <c r="L749" s="563"/>
      <c r="M749" s="263"/>
      <c r="N749" s="263"/>
      <c r="O749" s="263"/>
      <c r="P749" s="265"/>
      <c r="Q749" s="263"/>
      <c r="R749" s="263"/>
      <c r="S749" s="263"/>
      <c r="T749" s="263"/>
      <c r="U749" s="263"/>
      <c r="V749" s="263"/>
      <c r="W749" s="263"/>
      <c r="X749" s="263"/>
      <c r="Y749" s="263"/>
      <c r="Z749" s="263"/>
      <c r="AA749" s="263"/>
      <c r="AB749" s="263"/>
      <c r="AC749" s="263"/>
      <c r="AD749" s="263"/>
      <c r="AE749" s="263"/>
      <c r="AF749" s="418"/>
      <c r="AG749" s="263"/>
      <c r="AH749" s="263"/>
      <c r="AI749" s="263"/>
    </row>
    <row r="750" spans="1:35" ht="15" customHeight="1">
      <c r="A750" s="69"/>
      <c r="B750" s="418"/>
      <c r="C750" s="263"/>
      <c r="E750" s="263"/>
      <c r="F750" s="263"/>
      <c r="G750" s="418"/>
      <c r="H750" s="263"/>
      <c r="I750" s="263"/>
      <c r="J750" s="263"/>
      <c r="K750" s="263"/>
      <c r="L750" s="563"/>
      <c r="M750" s="263"/>
      <c r="N750" s="263"/>
      <c r="O750" s="263"/>
      <c r="P750" s="265"/>
      <c r="Q750" s="263"/>
      <c r="R750" s="263"/>
      <c r="S750" s="263"/>
      <c r="T750" s="263"/>
      <c r="U750" s="263"/>
      <c r="V750" s="263"/>
      <c r="W750" s="263"/>
      <c r="X750" s="263"/>
      <c r="Y750" s="263"/>
      <c r="Z750" s="263"/>
      <c r="AA750" s="263"/>
      <c r="AB750" s="263"/>
      <c r="AC750" s="263"/>
      <c r="AD750" s="263"/>
      <c r="AE750" s="263"/>
      <c r="AF750" s="418"/>
      <c r="AG750" s="263"/>
      <c r="AH750" s="263"/>
      <c r="AI750" s="263"/>
    </row>
    <row r="751" spans="1:35" ht="15" customHeight="1">
      <c r="A751" s="69"/>
      <c r="B751" s="418"/>
      <c r="C751" s="263"/>
      <c r="E751" s="263"/>
      <c r="F751" s="263"/>
      <c r="G751" s="418"/>
      <c r="H751" s="263"/>
      <c r="I751" s="263"/>
      <c r="J751" s="263"/>
      <c r="K751" s="263"/>
      <c r="L751" s="563"/>
      <c r="M751" s="263"/>
      <c r="N751" s="263"/>
      <c r="O751" s="263"/>
      <c r="P751" s="265"/>
      <c r="Q751" s="263"/>
      <c r="R751" s="263"/>
      <c r="S751" s="263"/>
      <c r="T751" s="263"/>
      <c r="U751" s="263"/>
      <c r="V751" s="263"/>
      <c r="W751" s="263"/>
      <c r="X751" s="263"/>
      <c r="Y751" s="263"/>
      <c r="Z751" s="263"/>
      <c r="AA751" s="263"/>
      <c r="AB751" s="263"/>
      <c r="AC751" s="263"/>
      <c r="AD751" s="263"/>
      <c r="AE751" s="263"/>
      <c r="AF751" s="418"/>
      <c r="AG751" s="263"/>
      <c r="AH751" s="263"/>
      <c r="AI751" s="263"/>
    </row>
    <row r="752" spans="1:35" ht="15" customHeight="1">
      <c r="A752" s="69"/>
      <c r="B752" s="418"/>
      <c r="C752" s="263"/>
      <c r="E752" s="263"/>
      <c r="F752" s="263"/>
      <c r="G752" s="418"/>
      <c r="H752" s="263"/>
      <c r="I752" s="263"/>
      <c r="J752" s="263"/>
      <c r="K752" s="263"/>
      <c r="L752" s="563"/>
      <c r="M752" s="263"/>
      <c r="N752" s="263"/>
      <c r="O752" s="263"/>
      <c r="P752" s="265"/>
      <c r="Q752" s="263"/>
      <c r="R752" s="263"/>
      <c r="S752" s="263"/>
      <c r="T752" s="263"/>
      <c r="U752" s="263"/>
      <c r="V752" s="263"/>
      <c r="W752" s="263"/>
      <c r="X752" s="263"/>
      <c r="Y752" s="263"/>
      <c r="Z752" s="263"/>
      <c r="AA752" s="263"/>
      <c r="AB752" s="263"/>
      <c r="AC752" s="263"/>
      <c r="AD752" s="263"/>
      <c r="AE752" s="263"/>
      <c r="AF752" s="418"/>
      <c r="AG752" s="263"/>
      <c r="AH752" s="263"/>
      <c r="AI752" s="263"/>
    </row>
    <row r="753" spans="1:35" ht="15" customHeight="1">
      <c r="A753" s="69"/>
      <c r="B753" s="418"/>
      <c r="C753" s="263"/>
      <c r="E753" s="263"/>
      <c r="F753" s="263"/>
      <c r="G753" s="418"/>
      <c r="H753" s="263"/>
      <c r="I753" s="263"/>
      <c r="J753" s="263"/>
      <c r="K753" s="263"/>
      <c r="L753" s="563"/>
      <c r="M753" s="263"/>
      <c r="N753" s="263"/>
      <c r="O753" s="263"/>
      <c r="P753" s="265"/>
      <c r="Q753" s="263"/>
      <c r="R753" s="263"/>
      <c r="S753" s="263"/>
      <c r="T753" s="263"/>
      <c r="U753" s="263"/>
      <c r="V753" s="263"/>
      <c r="W753" s="263"/>
      <c r="X753" s="263"/>
      <c r="Y753" s="263"/>
      <c r="Z753" s="263"/>
      <c r="AA753" s="263"/>
      <c r="AB753" s="263"/>
      <c r="AC753" s="263"/>
      <c r="AD753" s="263"/>
      <c r="AE753" s="263"/>
      <c r="AF753" s="418"/>
      <c r="AG753" s="263"/>
      <c r="AH753" s="263"/>
      <c r="AI753" s="263"/>
    </row>
    <row r="754" spans="1:35" ht="15" customHeight="1">
      <c r="A754" s="69"/>
      <c r="B754" s="418"/>
      <c r="C754" s="263"/>
      <c r="E754" s="263"/>
      <c r="F754" s="263"/>
      <c r="G754" s="418"/>
      <c r="H754" s="263"/>
      <c r="I754" s="263"/>
      <c r="J754" s="263"/>
      <c r="K754" s="263"/>
      <c r="L754" s="563"/>
      <c r="M754" s="263"/>
      <c r="N754" s="263"/>
      <c r="O754" s="263"/>
      <c r="P754" s="265"/>
      <c r="Q754" s="263"/>
      <c r="R754" s="263"/>
      <c r="S754" s="263"/>
      <c r="T754" s="263"/>
      <c r="U754" s="263"/>
      <c r="V754" s="263"/>
      <c r="W754" s="263"/>
      <c r="X754" s="263"/>
      <c r="Y754" s="263"/>
      <c r="Z754" s="263"/>
      <c r="AA754" s="263"/>
      <c r="AB754" s="263"/>
      <c r="AC754" s="263"/>
      <c r="AD754" s="263"/>
      <c r="AE754" s="263"/>
      <c r="AF754" s="418"/>
      <c r="AG754" s="263"/>
      <c r="AH754" s="263"/>
      <c r="AI754" s="263"/>
    </row>
    <row r="755" spans="1:35" ht="15" customHeight="1">
      <c r="A755" s="69"/>
      <c r="B755" s="418"/>
      <c r="C755" s="263"/>
      <c r="E755" s="263"/>
      <c r="F755" s="263"/>
      <c r="G755" s="418"/>
      <c r="H755" s="263"/>
      <c r="I755" s="263"/>
      <c r="J755" s="263"/>
      <c r="K755" s="263"/>
      <c r="L755" s="563"/>
      <c r="M755" s="263"/>
      <c r="N755" s="263"/>
      <c r="O755" s="263"/>
      <c r="P755" s="265"/>
      <c r="Q755" s="263"/>
      <c r="R755" s="263"/>
      <c r="S755" s="263"/>
      <c r="T755" s="263"/>
      <c r="U755" s="263"/>
      <c r="V755" s="263"/>
      <c r="W755" s="263"/>
      <c r="X755" s="263"/>
      <c r="Y755" s="263"/>
      <c r="Z755" s="263"/>
      <c r="AA755" s="263"/>
      <c r="AB755" s="263"/>
      <c r="AC755" s="263"/>
      <c r="AD755" s="263"/>
      <c r="AE755" s="263"/>
      <c r="AF755" s="418"/>
      <c r="AG755" s="263"/>
      <c r="AH755" s="263"/>
      <c r="AI755" s="263"/>
    </row>
    <row r="756" spans="1:35" ht="15" customHeight="1">
      <c r="A756" s="69"/>
      <c r="B756" s="418"/>
      <c r="C756" s="263"/>
      <c r="E756" s="263"/>
      <c r="F756" s="263"/>
      <c r="G756" s="418"/>
      <c r="H756" s="263"/>
      <c r="I756" s="263"/>
      <c r="J756" s="263"/>
      <c r="K756" s="263"/>
      <c r="L756" s="563"/>
      <c r="M756" s="263"/>
      <c r="N756" s="263"/>
      <c r="O756" s="263"/>
      <c r="P756" s="265"/>
      <c r="Q756" s="263"/>
      <c r="R756" s="263"/>
      <c r="S756" s="263"/>
      <c r="T756" s="263"/>
      <c r="U756" s="263"/>
      <c r="V756" s="263"/>
      <c r="W756" s="263"/>
      <c r="X756" s="263"/>
      <c r="Y756" s="263"/>
      <c r="Z756" s="263"/>
      <c r="AA756" s="263"/>
      <c r="AB756" s="263"/>
      <c r="AC756" s="263"/>
      <c r="AD756" s="263"/>
      <c r="AE756" s="263"/>
      <c r="AF756" s="418"/>
      <c r="AG756" s="263"/>
      <c r="AH756" s="263"/>
      <c r="AI756" s="263"/>
    </row>
    <row r="757" spans="1:35" ht="15" customHeight="1">
      <c r="A757" s="69"/>
      <c r="B757" s="418"/>
      <c r="C757" s="263"/>
      <c r="E757" s="263"/>
      <c r="F757" s="263"/>
      <c r="G757" s="418"/>
      <c r="H757" s="263"/>
      <c r="I757" s="263"/>
      <c r="J757" s="263"/>
      <c r="K757" s="263"/>
      <c r="L757" s="563"/>
      <c r="M757" s="263"/>
      <c r="N757" s="263"/>
      <c r="O757" s="263"/>
      <c r="P757" s="265"/>
      <c r="Q757" s="263"/>
      <c r="R757" s="263"/>
      <c r="S757" s="263"/>
      <c r="T757" s="263"/>
      <c r="U757" s="263"/>
      <c r="V757" s="263"/>
      <c r="W757" s="263"/>
      <c r="X757" s="263"/>
      <c r="Y757" s="263"/>
      <c r="Z757" s="263"/>
      <c r="AA757" s="263"/>
      <c r="AB757" s="263"/>
      <c r="AC757" s="263"/>
      <c r="AD757" s="263"/>
      <c r="AE757" s="263"/>
      <c r="AF757" s="418"/>
      <c r="AG757" s="263"/>
      <c r="AH757" s="263"/>
      <c r="AI757" s="263"/>
    </row>
    <row r="758" spans="1:35" ht="15" customHeight="1">
      <c r="A758" s="69"/>
      <c r="B758" s="418"/>
      <c r="C758" s="263"/>
      <c r="E758" s="263"/>
      <c r="F758" s="263"/>
      <c r="G758" s="418"/>
      <c r="H758" s="263"/>
      <c r="I758" s="263"/>
      <c r="J758" s="263"/>
      <c r="K758" s="263"/>
      <c r="L758" s="563"/>
      <c r="M758" s="263"/>
      <c r="N758" s="263"/>
      <c r="O758" s="263"/>
      <c r="P758" s="265"/>
      <c r="Q758" s="263"/>
      <c r="R758" s="263"/>
      <c r="S758" s="263"/>
      <c r="T758" s="263"/>
      <c r="U758" s="263"/>
      <c r="V758" s="263"/>
      <c r="W758" s="263"/>
      <c r="X758" s="263"/>
      <c r="Y758" s="263"/>
      <c r="Z758" s="263"/>
      <c r="AA758" s="263"/>
      <c r="AB758" s="263"/>
      <c r="AC758" s="263"/>
      <c r="AD758" s="263"/>
      <c r="AE758" s="263"/>
      <c r="AF758" s="418"/>
      <c r="AG758" s="263"/>
      <c r="AH758" s="263"/>
      <c r="AI758" s="263"/>
    </row>
    <row r="759" spans="1:35" ht="15" customHeight="1">
      <c r="A759" s="69"/>
      <c r="B759" s="418"/>
      <c r="C759" s="263"/>
      <c r="E759" s="263"/>
      <c r="F759" s="263"/>
      <c r="G759" s="418"/>
      <c r="H759" s="263"/>
      <c r="I759" s="263"/>
      <c r="J759" s="263"/>
      <c r="K759" s="263"/>
      <c r="L759" s="563"/>
      <c r="M759" s="263"/>
      <c r="N759" s="263"/>
      <c r="O759" s="263"/>
      <c r="P759" s="265"/>
      <c r="Q759" s="263"/>
      <c r="R759" s="263"/>
      <c r="S759" s="263"/>
      <c r="T759" s="263"/>
      <c r="U759" s="263"/>
      <c r="V759" s="263"/>
      <c r="W759" s="263"/>
      <c r="X759" s="263"/>
      <c r="Y759" s="263"/>
      <c r="Z759" s="263"/>
      <c r="AA759" s="263"/>
      <c r="AB759" s="263"/>
      <c r="AC759" s="263"/>
      <c r="AD759" s="263"/>
      <c r="AE759" s="263"/>
      <c r="AF759" s="418"/>
      <c r="AG759" s="263"/>
      <c r="AH759" s="263"/>
      <c r="AI759" s="263"/>
    </row>
    <row r="760" spans="1:35" ht="15" customHeight="1">
      <c r="A760" s="69"/>
      <c r="B760" s="418"/>
      <c r="C760" s="263"/>
      <c r="E760" s="263"/>
      <c r="F760" s="263"/>
      <c r="G760" s="418"/>
      <c r="H760" s="263"/>
      <c r="I760" s="263"/>
      <c r="J760" s="263"/>
      <c r="K760" s="263"/>
      <c r="L760" s="563"/>
      <c r="M760" s="263"/>
      <c r="N760" s="263"/>
      <c r="O760" s="263"/>
      <c r="P760" s="265"/>
      <c r="Q760" s="263"/>
      <c r="R760" s="263"/>
      <c r="S760" s="263"/>
      <c r="T760" s="263"/>
      <c r="U760" s="263"/>
      <c r="V760" s="263"/>
      <c r="W760" s="263"/>
      <c r="X760" s="263"/>
      <c r="Y760" s="263"/>
      <c r="Z760" s="263"/>
      <c r="AA760" s="263"/>
      <c r="AB760" s="263"/>
      <c r="AC760" s="263"/>
      <c r="AD760" s="263"/>
      <c r="AE760" s="263"/>
      <c r="AF760" s="418"/>
      <c r="AG760" s="263"/>
      <c r="AH760" s="263"/>
      <c r="AI760" s="263"/>
    </row>
    <row r="761" spans="1:35" ht="15" customHeight="1">
      <c r="A761" s="69"/>
      <c r="B761" s="418"/>
      <c r="C761" s="263"/>
      <c r="E761" s="263"/>
      <c r="F761" s="263"/>
      <c r="G761" s="418"/>
      <c r="H761" s="263"/>
      <c r="I761" s="263"/>
      <c r="J761" s="263"/>
      <c r="K761" s="263"/>
      <c r="L761" s="563"/>
      <c r="M761" s="263"/>
      <c r="N761" s="263"/>
      <c r="O761" s="263"/>
      <c r="P761" s="265"/>
      <c r="Q761" s="263"/>
      <c r="R761" s="263"/>
      <c r="S761" s="263"/>
      <c r="T761" s="263"/>
      <c r="U761" s="263"/>
      <c r="V761" s="263"/>
      <c r="W761" s="263"/>
      <c r="X761" s="263"/>
      <c r="Y761" s="263"/>
      <c r="Z761" s="263"/>
      <c r="AA761" s="263"/>
      <c r="AB761" s="263"/>
      <c r="AC761" s="263"/>
      <c r="AD761" s="263"/>
      <c r="AE761" s="263"/>
      <c r="AF761" s="418"/>
      <c r="AG761" s="263"/>
      <c r="AH761" s="263"/>
      <c r="AI761" s="263"/>
    </row>
    <row r="762" spans="1:35" ht="15" customHeight="1">
      <c r="A762" s="69"/>
      <c r="B762" s="418"/>
      <c r="C762" s="263"/>
      <c r="E762" s="263"/>
      <c r="F762" s="263"/>
      <c r="G762" s="418"/>
      <c r="H762" s="263"/>
      <c r="I762" s="263"/>
      <c r="J762" s="263"/>
      <c r="K762" s="263"/>
      <c r="L762" s="563"/>
      <c r="M762" s="263"/>
      <c r="N762" s="263"/>
      <c r="O762" s="263"/>
      <c r="P762" s="265"/>
      <c r="Q762" s="263"/>
      <c r="R762" s="263"/>
      <c r="S762" s="263"/>
      <c r="T762" s="263"/>
      <c r="U762" s="263"/>
      <c r="V762" s="263"/>
      <c r="W762" s="263"/>
      <c r="X762" s="263"/>
      <c r="Y762" s="263"/>
      <c r="Z762" s="263"/>
      <c r="AA762" s="263"/>
      <c r="AB762" s="263"/>
      <c r="AC762" s="263"/>
      <c r="AD762" s="263"/>
      <c r="AE762" s="263"/>
      <c r="AF762" s="418"/>
      <c r="AG762" s="263"/>
      <c r="AH762" s="263"/>
      <c r="AI762" s="263"/>
    </row>
    <row r="763" spans="1:35" ht="15" customHeight="1">
      <c r="A763" s="69"/>
      <c r="B763" s="418"/>
      <c r="C763" s="263"/>
      <c r="E763" s="263"/>
      <c r="F763" s="263"/>
      <c r="G763" s="418"/>
      <c r="H763" s="263"/>
      <c r="I763" s="263"/>
      <c r="J763" s="263"/>
      <c r="K763" s="263"/>
      <c r="L763" s="563"/>
      <c r="M763" s="263"/>
      <c r="N763" s="263"/>
      <c r="O763" s="263"/>
      <c r="P763" s="265"/>
      <c r="Q763" s="263"/>
      <c r="R763" s="263"/>
      <c r="S763" s="263"/>
      <c r="T763" s="263"/>
      <c r="U763" s="263"/>
      <c r="V763" s="263"/>
      <c r="W763" s="263"/>
      <c r="X763" s="263"/>
      <c r="Y763" s="263"/>
      <c r="Z763" s="263"/>
      <c r="AA763" s="263"/>
      <c r="AB763" s="263"/>
      <c r="AC763" s="263"/>
      <c r="AD763" s="263"/>
      <c r="AE763" s="263"/>
      <c r="AF763" s="418"/>
      <c r="AG763" s="263"/>
      <c r="AH763" s="263"/>
      <c r="AI763" s="263"/>
    </row>
    <row r="764" spans="1:35" ht="15" customHeight="1">
      <c r="A764" s="69"/>
      <c r="B764" s="418"/>
      <c r="C764" s="263"/>
      <c r="E764" s="263"/>
      <c r="F764" s="263"/>
      <c r="G764" s="418"/>
      <c r="H764" s="263"/>
      <c r="I764" s="263"/>
      <c r="J764" s="263"/>
      <c r="K764" s="263"/>
      <c r="L764" s="563"/>
      <c r="M764" s="263"/>
      <c r="N764" s="263"/>
      <c r="O764" s="263"/>
      <c r="P764" s="265"/>
      <c r="Q764" s="263"/>
      <c r="R764" s="263"/>
      <c r="S764" s="263"/>
      <c r="T764" s="263"/>
      <c r="U764" s="263"/>
      <c r="V764" s="263"/>
      <c r="W764" s="263"/>
      <c r="X764" s="263"/>
      <c r="Y764" s="263"/>
      <c r="Z764" s="263"/>
      <c r="AA764" s="263"/>
      <c r="AB764" s="263"/>
      <c r="AC764" s="263"/>
      <c r="AD764" s="263"/>
      <c r="AE764" s="263"/>
      <c r="AF764" s="418"/>
      <c r="AG764" s="263"/>
      <c r="AH764" s="263"/>
      <c r="AI764" s="263"/>
    </row>
    <row r="765" spans="1:35" ht="15" customHeight="1">
      <c r="A765" s="69"/>
      <c r="B765" s="418"/>
      <c r="C765" s="263"/>
      <c r="E765" s="263"/>
      <c r="F765" s="263"/>
      <c r="G765" s="418"/>
      <c r="H765" s="263"/>
      <c r="I765" s="263"/>
      <c r="J765" s="263"/>
      <c r="K765" s="263"/>
      <c r="L765" s="563"/>
      <c r="M765" s="263"/>
      <c r="N765" s="263"/>
      <c r="O765" s="263"/>
      <c r="P765" s="265"/>
      <c r="Q765" s="263"/>
      <c r="R765" s="263"/>
      <c r="S765" s="263"/>
      <c r="T765" s="263"/>
      <c r="U765" s="263"/>
      <c r="V765" s="263"/>
      <c r="W765" s="263"/>
      <c r="X765" s="263"/>
      <c r="Y765" s="263"/>
      <c r="Z765" s="263"/>
      <c r="AA765" s="263"/>
      <c r="AB765" s="263"/>
      <c r="AC765" s="263"/>
      <c r="AD765" s="263"/>
      <c r="AE765" s="263"/>
      <c r="AF765" s="418"/>
      <c r="AG765" s="263"/>
      <c r="AH765" s="263"/>
      <c r="AI765" s="263"/>
    </row>
    <row r="766" spans="1:35" ht="15" customHeight="1">
      <c r="A766" s="69"/>
      <c r="B766" s="418"/>
      <c r="C766" s="263"/>
      <c r="E766" s="263"/>
      <c r="F766" s="263"/>
      <c r="G766" s="418"/>
      <c r="H766" s="263"/>
      <c r="I766" s="263"/>
      <c r="J766" s="263"/>
      <c r="K766" s="263"/>
      <c r="L766" s="563"/>
      <c r="M766" s="263"/>
      <c r="N766" s="263"/>
      <c r="O766" s="263"/>
      <c r="P766" s="265"/>
      <c r="Q766" s="263"/>
      <c r="R766" s="263"/>
      <c r="S766" s="263"/>
      <c r="T766" s="263"/>
      <c r="U766" s="263"/>
      <c r="V766" s="263"/>
      <c r="W766" s="263"/>
      <c r="X766" s="263"/>
      <c r="Y766" s="263"/>
      <c r="Z766" s="263"/>
      <c r="AA766" s="263"/>
      <c r="AB766" s="263"/>
      <c r="AC766" s="263"/>
      <c r="AD766" s="263"/>
      <c r="AE766" s="263"/>
      <c r="AF766" s="418"/>
      <c r="AG766" s="263"/>
      <c r="AH766" s="263"/>
      <c r="AI766" s="263"/>
    </row>
    <row r="767" spans="1:35" ht="15" customHeight="1">
      <c r="A767" s="69"/>
      <c r="B767" s="418"/>
      <c r="C767" s="263"/>
      <c r="E767" s="263"/>
      <c r="F767" s="263"/>
      <c r="G767" s="418"/>
      <c r="H767" s="263"/>
      <c r="I767" s="263"/>
      <c r="J767" s="263"/>
      <c r="K767" s="263"/>
      <c r="L767" s="563"/>
      <c r="M767" s="263"/>
      <c r="N767" s="263"/>
      <c r="O767" s="263"/>
      <c r="P767" s="265"/>
      <c r="Q767" s="263"/>
      <c r="R767" s="263"/>
      <c r="S767" s="263"/>
      <c r="T767" s="263"/>
      <c r="U767" s="263"/>
      <c r="V767" s="263"/>
      <c r="W767" s="263"/>
      <c r="X767" s="263"/>
      <c r="Y767" s="263"/>
      <c r="Z767" s="263"/>
      <c r="AA767" s="263"/>
      <c r="AB767" s="263"/>
      <c r="AC767" s="263"/>
      <c r="AD767" s="263"/>
      <c r="AE767" s="263"/>
      <c r="AF767" s="418"/>
      <c r="AG767" s="263"/>
      <c r="AH767" s="263"/>
      <c r="AI767" s="263"/>
    </row>
    <row r="768" spans="1:35" ht="15" customHeight="1">
      <c r="A768" s="69"/>
      <c r="B768" s="418"/>
      <c r="C768" s="263"/>
      <c r="E768" s="263"/>
      <c r="F768" s="263"/>
      <c r="G768" s="418"/>
      <c r="H768" s="263"/>
      <c r="I768" s="263"/>
      <c r="J768" s="263"/>
      <c r="K768" s="263"/>
      <c r="L768" s="563"/>
      <c r="M768" s="263"/>
      <c r="N768" s="263"/>
      <c r="O768" s="263"/>
      <c r="P768" s="265"/>
      <c r="Q768" s="263"/>
      <c r="R768" s="263"/>
      <c r="S768" s="263"/>
      <c r="T768" s="263"/>
      <c r="U768" s="263"/>
      <c r="V768" s="263"/>
      <c r="W768" s="263"/>
      <c r="X768" s="263"/>
      <c r="Y768" s="263"/>
      <c r="Z768" s="263"/>
      <c r="AA768" s="263"/>
      <c r="AB768" s="263"/>
      <c r="AC768" s="263"/>
      <c r="AD768" s="263"/>
      <c r="AE768" s="263"/>
      <c r="AF768" s="418"/>
      <c r="AG768" s="263"/>
      <c r="AH768" s="263"/>
      <c r="AI768" s="263"/>
    </row>
    <row r="769" spans="1:35" ht="15" customHeight="1">
      <c r="A769" s="69"/>
      <c r="B769" s="418"/>
      <c r="C769" s="263"/>
      <c r="E769" s="263"/>
      <c r="F769" s="263"/>
      <c r="G769" s="418"/>
      <c r="H769" s="263"/>
      <c r="I769" s="263"/>
      <c r="J769" s="263"/>
      <c r="K769" s="263"/>
      <c r="L769" s="563"/>
      <c r="M769" s="263"/>
      <c r="N769" s="263"/>
      <c r="O769" s="263"/>
      <c r="P769" s="265"/>
      <c r="Q769" s="263"/>
      <c r="R769" s="263"/>
      <c r="S769" s="263"/>
      <c r="T769" s="263"/>
      <c r="U769" s="263"/>
      <c r="V769" s="263"/>
      <c r="W769" s="263"/>
      <c r="X769" s="263"/>
      <c r="Y769" s="263"/>
      <c r="Z769" s="263"/>
      <c r="AA769" s="263"/>
      <c r="AB769" s="263"/>
      <c r="AC769" s="263"/>
      <c r="AD769" s="263"/>
      <c r="AE769" s="263"/>
      <c r="AF769" s="418"/>
      <c r="AG769" s="263"/>
      <c r="AH769" s="263"/>
      <c r="AI769" s="263"/>
    </row>
    <row r="770" spans="1:35" ht="15" customHeight="1">
      <c r="A770" s="69"/>
      <c r="B770" s="418"/>
      <c r="C770" s="263"/>
      <c r="E770" s="263"/>
      <c r="F770" s="263"/>
      <c r="G770" s="418"/>
      <c r="H770" s="263"/>
      <c r="I770" s="263"/>
      <c r="J770" s="263"/>
      <c r="K770" s="263"/>
      <c r="L770" s="563"/>
      <c r="M770" s="263"/>
      <c r="N770" s="263"/>
      <c r="O770" s="263"/>
      <c r="P770" s="265"/>
      <c r="Q770" s="263"/>
      <c r="R770" s="263"/>
      <c r="S770" s="263"/>
      <c r="T770" s="263"/>
      <c r="U770" s="263"/>
      <c r="V770" s="263"/>
      <c r="W770" s="263"/>
      <c r="X770" s="263"/>
      <c r="Y770" s="263"/>
      <c r="Z770" s="263"/>
      <c r="AA770" s="263"/>
      <c r="AB770" s="263"/>
      <c r="AC770" s="263"/>
      <c r="AD770" s="263"/>
      <c r="AE770" s="263"/>
      <c r="AF770" s="418"/>
      <c r="AG770" s="263"/>
      <c r="AH770" s="263"/>
      <c r="AI770" s="263"/>
    </row>
    <row r="771" spans="1:35" ht="15" customHeight="1">
      <c r="A771" s="69"/>
      <c r="B771" s="418"/>
      <c r="C771" s="263"/>
      <c r="E771" s="263"/>
      <c r="F771" s="263"/>
      <c r="G771" s="418"/>
      <c r="H771" s="263"/>
      <c r="I771" s="263"/>
      <c r="J771" s="263"/>
      <c r="K771" s="263"/>
      <c r="L771" s="563"/>
      <c r="M771" s="263"/>
      <c r="N771" s="263"/>
      <c r="O771" s="263"/>
      <c r="P771" s="265"/>
      <c r="Q771" s="263"/>
      <c r="R771" s="263"/>
      <c r="S771" s="263"/>
      <c r="T771" s="263"/>
      <c r="U771" s="263"/>
      <c r="V771" s="263"/>
      <c r="W771" s="263"/>
      <c r="X771" s="263"/>
      <c r="Y771" s="263"/>
      <c r="Z771" s="263"/>
      <c r="AA771" s="263"/>
      <c r="AB771" s="263"/>
      <c r="AC771" s="263"/>
      <c r="AD771" s="263"/>
      <c r="AE771" s="263"/>
      <c r="AF771" s="418"/>
      <c r="AG771" s="263"/>
      <c r="AH771" s="263"/>
      <c r="AI771" s="263"/>
    </row>
    <row r="772" spans="1:35" ht="15" customHeight="1">
      <c r="A772" s="69"/>
      <c r="B772" s="418"/>
      <c r="C772" s="263"/>
      <c r="E772" s="263"/>
      <c r="F772" s="263"/>
      <c r="G772" s="418"/>
      <c r="H772" s="263"/>
      <c r="I772" s="263"/>
      <c r="J772" s="263"/>
      <c r="K772" s="263"/>
      <c r="L772" s="563"/>
      <c r="M772" s="263"/>
      <c r="N772" s="263"/>
      <c r="O772" s="263"/>
      <c r="P772" s="265"/>
      <c r="Q772" s="263"/>
      <c r="R772" s="263"/>
      <c r="S772" s="263"/>
      <c r="T772" s="263"/>
      <c r="U772" s="263"/>
      <c r="V772" s="263"/>
      <c r="W772" s="263"/>
      <c r="X772" s="263"/>
      <c r="Y772" s="263"/>
      <c r="Z772" s="263"/>
      <c r="AA772" s="263"/>
      <c r="AB772" s="263"/>
      <c r="AC772" s="263"/>
      <c r="AD772" s="263"/>
      <c r="AE772" s="263"/>
      <c r="AF772" s="418"/>
      <c r="AG772" s="263"/>
      <c r="AH772" s="263"/>
      <c r="AI772" s="263"/>
    </row>
    <row r="773" spans="1:35" ht="15" customHeight="1">
      <c r="A773" s="69"/>
      <c r="B773" s="418"/>
      <c r="C773" s="263"/>
      <c r="E773" s="263"/>
      <c r="F773" s="263"/>
      <c r="G773" s="418"/>
      <c r="H773" s="263"/>
      <c r="I773" s="263"/>
      <c r="J773" s="263"/>
      <c r="K773" s="263"/>
      <c r="L773" s="563"/>
      <c r="M773" s="263"/>
      <c r="N773" s="263"/>
      <c r="O773" s="263"/>
      <c r="P773" s="265"/>
      <c r="Q773" s="263"/>
      <c r="R773" s="263"/>
      <c r="S773" s="263"/>
      <c r="T773" s="263"/>
      <c r="U773" s="263"/>
      <c r="V773" s="263"/>
      <c r="W773" s="263"/>
      <c r="X773" s="263"/>
      <c r="Y773" s="263"/>
      <c r="Z773" s="263"/>
      <c r="AA773" s="263"/>
      <c r="AB773" s="263"/>
      <c r="AC773" s="263"/>
      <c r="AD773" s="263"/>
      <c r="AE773" s="263"/>
      <c r="AF773" s="418"/>
      <c r="AG773" s="263"/>
      <c r="AH773" s="263"/>
      <c r="AI773" s="263"/>
    </row>
    <row r="774" spans="1:35" ht="15" customHeight="1">
      <c r="A774" s="69"/>
      <c r="B774" s="418"/>
      <c r="C774" s="263"/>
      <c r="E774" s="263"/>
      <c r="F774" s="263"/>
      <c r="G774" s="418"/>
      <c r="H774" s="263"/>
      <c r="I774" s="263"/>
      <c r="J774" s="263"/>
      <c r="K774" s="263"/>
      <c r="L774" s="563"/>
      <c r="M774" s="263"/>
      <c r="N774" s="263"/>
      <c r="O774" s="263"/>
      <c r="P774" s="265"/>
      <c r="Q774" s="263"/>
      <c r="R774" s="263"/>
      <c r="S774" s="263"/>
      <c r="T774" s="263"/>
      <c r="U774" s="263"/>
      <c r="V774" s="263"/>
      <c r="W774" s="263"/>
      <c r="X774" s="263"/>
      <c r="Y774" s="263"/>
      <c r="Z774" s="263"/>
      <c r="AA774" s="263"/>
      <c r="AB774" s="263"/>
      <c r="AC774" s="263"/>
      <c r="AD774" s="263"/>
      <c r="AE774" s="263"/>
      <c r="AF774" s="418"/>
      <c r="AG774" s="263"/>
      <c r="AH774" s="263"/>
      <c r="AI774" s="263"/>
    </row>
    <row r="775" spans="1:35" ht="15" customHeight="1">
      <c r="A775" s="69"/>
      <c r="B775" s="418"/>
      <c r="C775" s="263"/>
      <c r="E775" s="263"/>
      <c r="F775" s="263"/>
      <c r="G775" s="418"/>
      <c r="H775" s="263"/>
      <c r="I775" s="263"/>
      <c r="J775" s="263"/>
      <c r="K775" s="263"/>
      <c r="L775" s="563"/>
      <c r="M775" s="263"/>
      <c r="N775" s="263"/>
      <c r="O775" s="263"/>
      <c r="P775" s="265"/>
      <c r="Q775" s="263"/>
      <c r="R775" s="263"/>
      <c r="S775" s="263"/>
      <c r="T775" s="263"/>
      <c r="U775" s="263"/>
      <c r="V775" s="263"/>
      <c r="W775" s="263"/>
      <c r="X775" s="263"/>
      <c r="Y775" s="263"/>
      <c r="Z775" s="263"/>
      <c r="AA775" s="263"/>
      <c r="AB775" s="263"/>
      <c r="AC775" s="263"/>
      <c r="AD775" s="263"/>
      <c r="AE775" s="263"/>
      <c r="AF775" s="418"/>
      <c r="AG775" s="263"/>
      <c r="AH775" s="263"/>
      <c r="AI775" s="263"/>
    </row>
    <row r="776" spans="1:35" ht="15" customHeight="1">
      <c r="A776" s="69"/>
      <c r="B776" s="418"/>
      <c r="C776" s="263"/>
      <c r="E776" s="263"/>
      <c r="F776" s="263"/>
      <c r="G776" s="418"/>
      <c r="H776" s="263"/>
      <c r="I776" s="263"/>
      <c r="J776" s="263"/>
      <c r="K776" s="263"/>
      <c r="L776" s="563"/>
      <c r="M776" s="263"/>
      <c r="N776" s="263"/>
      <c r="O776" s="263"/>
      <c r="P776" s="265"/>
      <c r="Q776" s="263"/>
      <c r="R776" s="263"/>
      <c r="S776" s="263"/>
      <c r="T776" s="263"/>
      <c r="U776" s="263"/>
      <c r="V776" s="263"/>
      <c r="W776" s="263"/>
      <c r="X776" s="263"/>
      <c r="Y776" s="263"/>
      <c r="Z776" s="263"/>
      <c r="AA776" s="263"/>
      <c r="AB776" s="263"/>
      <c r="AC776" s="263"/>
      <c r="AD776" s="263"/>
      <c r="AE776" s="263"/>
      <c r="AF776" s="418"/>
      <c r="AG776" s="263"/>
      <c r="AH776" s="263"/>
      <c r="AI776" s="263"/>
    </row>
    <row r="777" spans="1:35" ht="15" customHeight="1">
      <c r="A777" s="69"/>
      <c r="B777" s="418"/>
      <c r="C777" s="263"/>
      <c r="E777" s="263"/>
      <c r="F777" s="263"/>
      <c r="G777" s="418"/>
      <c r="H777" s="263"/>
      <c r="I777" s="263"/>
      <c r="J777" s="263"/>
      <c r="K777" s="263"/>
      <c r="L777" s="563"/>
      <c r="M777" s="263"/>
      <c r="N777" s="263"/>
      <c r="O777" s="263"/>
      <c r="P777" s="265"/>
      <c r="Q777" s="263"/>
      <c r="R777" s="263"/>
      <c r="S777" s="263"/>
      <c r="T777" s="263"/>
      <c r="U777" s="263"/>
      <c r="V777" s="263"/>
      <c r="W777" s="263"/>
      <c r="X777" s="263"/>
      <c r="Y777" s="263"/>
      <c r="Z777" s="263"/>
      <c r="AA777" s="263"/>
      <c r="AB777" s="263"/>
      <c r="AC777" s="263"/>
      <c r="AD777" s="263"/>
      <c r="AE777" s="263"/>
      <c r="AF777" s="418"/>
      <c r="AG777" s="263"/>
      <c r="AH777" s="263"/>
      <c r="AI777" s="263"/>
    </row>
    <row r="778" spans="1:35" ht="15" customHeight="1">
      <c r="A778" s="69"/>
      <c r="B778" s="418"/>
      <c r="C778" s="263"/>
      <c r="E778" s="263"/>
      <c r="F778" s="263"/>
      <c r="G778" s="418"/>
      <c r="H778" s="263"/>
      <c r="I778" s="263"/>
      <c r="J778" s="263"/>
      <c r="K778" s="263"/>
      <c r="L778" s="563"/>
      <c r="M778" s="263"/>
      <c r="N778" s="263"/>
      <c r="O778" s="263"/>
      <c r="P778" s="265"/>
      <c r="Q778" s="263"/>
      <c r="R778" s="263"/>
      <c r="S778" s="263"/>
      <c r="T778" s="263"/>
      <c r="U778" s="263"/>
      <c r="V778" s="263"/>
      <c r="W778" s="263"/>
      <c r="X778" s="263"/>
      <c r="Y778" s="263"/>
      <c r="Z778" s="263"/>
      <c r="AA778" s="263"/>
      <c r="AB778" s="263"/>
      <c r="AC778" s="263"/>
      <c r="AD778" s="263"/>
      <c r="AE778" s="263"/>
      <c r="AF778" s="418"/>
      <c r="AG778" s="263"/>
      <c r="AH778" s="263"/>
      <c r="AI778" s="263"/>
    </row>
    <row r="779" spans="1:35" ht="15" customHeight="1">
      <c r="A779" s="69"/>
      <c r="B779" s="418"/>
      <c r="C779" s="263"/>
      <c r="E779" s="263"/>
      <c r="F779" s="263"/>
      <c r="G779" s="418"/>
      <c r="H779" s="263"/>
      <c r="I779" s="263"/>
      <c r="J779" s="263"/>
      <c r="K779" s="263"/>
      <c r="L779" s="563"/>
      <c r="M779" s="263"/>
      <c r="N779" s="263"/>
      <c r="O779" s="263"/>
      <c r="P779" s="265"/>
      <c r="Q779" s="263"/>
      <c r="R779" s="263"/>
      <c r="S779" s="263"/>
      <c r="T779" s="263"/>
      <c r="U779" s="263"/>
      <c r="V779" s="263"/>
      <c r="W779" s="263"/>
      <c r="X779" s="263"/>
      <c r="Y779" s="263"/>
      <c r="Z779" s="263"/>
      <c r="AA779" s="263"/>
      <c r="AB779" s="263"/>
      <c r="AC779" s="263"/>
      <c r="AD779" s="263"/>
      <c r="AE779" s="263"/>
      <c r="AF779" s="418"/>
      <c r="AG779" s="263"/>
      <c r="AH779" s="263"/>
      <c r="AI779" s="263"/>
    </row>
    <row r="780" spans="1:35" ht="15" customHeight="1">
      <c r="A780" s="69"/>
      <c r="B780" s="418"/>
      <c r="C780" s="263"/>
      <c r="E780" s="263"/>
      <c r="F780" s="263"/>
      <c r="G780" s="418"/>
      <c r="H780" s="263"/>
      <c r="I780" s="263"/>
      <c r="J780" s="263"/>
      <c r="K780" s="263"/>
      <c r="L780" s="563"/>
      <c r="M780" s="263"/>
      <c r="N780" s="263"/>
      <c r="O780" s="263"/>
      <c r="P780" s="265"/>
      <c r="Q780" s="263"/>
      <c r="R780" s="263"/>
      <c r="S780" s="263"/>
      <c r="T780" s="263"/>
      <c r="U780" s="263"/>
      <c r="V780" s="263"/>
      <c r="W780" s="263"/>
      <c r="X780" s="263"/>
      <c r="Y780" s="263"/>
      <c r="Z780" s="263"/>
      <c r="AA780" s="263"/>
      <c r="AB780" s="263"/>
      <c r="AC780" s="263"/>
      <c r="AD780" s="263"/>
      <c r="AE780" s="263"/>
      <c r="AF780" s="418"/>
      <c r="AG780" s="263"/>
      <c r="AH780" s="263"/>
      <c r="AI780" s="263"/>
    </row>
    <row r="781" spans="1:35" ht="15" customHeight="1">
      <c r="A781" s="69"/>
      <c r="B781" s="418"/>
      <c r="C781" s="263"/>
      <c r="E781" s="263"/>
      <c r="F781" s="263"/>
      <c r="G781" s="418"/>
      <c r="H781" s="263"/>
      <c r="I781" s="263"/>
      <c r="J781" s="263"/>
      <c r="K781" s="263"/>
      <c r="L781" s="563"/>
      <c r="M781" s="263"/>
      <c r="N781" s="263"/>
      <c r="O781" s="263"/>
      <c r="P781" s="265"/>
      <c r="Q781" s="263"/>
      <c r="R781" s="263"/>
      <c r="S781" s="263"/>
      <c r="T781" s="263"/>
      <c r="U781" s="263"/>
      <c r="V781" s="263"/>
      <c r="W781" s="263"/>
      <c r="X781" s="263"/>
      <c r="Y781" s="263"/>
      <c r="Z781" s="263"/>
      <c r="AA781" s="263"/>
      <c r="AB781" s="263"/>
      <c r="AC781" s="263"/>
      <c r="AD781" s="263"/>
      <c r="AE781" s="263"/>
      <c r="AF781" s="418"/>
      <c r="AG781" s="263"/>
      <c r="AH781" s="263"/>
      <c r="AI781" s="263"/>
    </row>
    <row r="782" spans="1:35" ht="15" customHeight="1">
      <c r="A782" s="69"/>
      <c r="B782" s="418"/>
      <c r="C782" s="263"/>
      <c r="E782" s="263"/>
      <c r="F782" s="263"/>
      <c r="G782" s="418"/>
      <c r="H782" s="263"/>
      <c r="I782" s="263"/>
      <c r="J782" s="263"/>
      <c r="K782" s="263"/>
      <c r="L782" s="563"/>
      <c r="M782" s="263"/>
      <c r="N782" s="263"/>
      <c r="O782" s="263"/>
      <c r="P782" s="265"/>
      <c r="Q782" s="263"/>
      <c r="R782" s="263"/>
      <c r="S782" s="263"/>
      <c r="T782" s="263"/>
      <c r="U782" s="263"/>
      <c r="V782" s="263"/>
      <c r="W782" s="263"/>
      <c r="X782" s="263"/>
      <c r="Y782" s="263"/>
      <c r="Z782" s="263"/>
      <c r="AA782" s="263"/>
      <c r="AB782" s="263"/>
      <c r="AC782" s="263"/>
      <c r="AD782" s="263"/>
      <c r="AE782" s="263"/>
      <c r="AF782" s="418"/>
      <c r="AG782" s="263"/>
      <c r="AH782" s="263"/>
      <c r="AI782" s="263"/>
    </row>
    <row r="783" spans="1:35" ht="15" customHeight="1">
      <c r="A783" s="69"/>
      <c r="B783" s="418"/>
      <c r="C783" s="263"/>
      <c r="E783" s="263"/>
      <c r="F783" s="263"/>
      <c r="G783" s="418"/>
      <c r="H783" s="263"/>
      <c r="I783" s="263"/>
      <c r="J783" s="263"/>
      <c r="K783" s="263"/>
      <c r="L783" s="563"/>
      <c r="M783" s="263"/>
      <c r="N783" s="263"/>
      <c r="O783" s="263"/>
      <c r="P783" s="265"/>
      <c r="Q783" s="263"/>
      <c r="R783" s="263"/>
      <c r="S783" s="263"/>
      <c r="T783" s="263"/>
      <c r="U783" s="263"/>
      <c r="V783" s="263"/>
      <c r="W783" s="263"/>
      <c r="X783" s="263"/>
      <c r="Y783" s="263"/>
      <c r="Z783" s="263"/>
      <c r="AA783" s="263"/>
      <c r="AB783" s="263"/>
      <c r="AC783" s="263"/>
      <c r="AD783" s="263"/>
      <c r="AE783" s="263"/>
      <c r="AF783" s="418"/>
      <c r="AG783" s="263"/>
      <c r="AH783" s="263"/>
      <c r="AI783" s="263"/>
    </row>
    <row r="784" spans="1:35" ht="15" customHeight="1">
      <c r="A784" s="69"/>
      <c r="B784" s="418"/>
      <c r="C784" s="263"/>
      <c r="E784" s="263"/>
      <c r="F784" s="263"/>
      <c r="G784" s="418"/>
      <c r="H784" s="263"/>
      <c r="I784" s="263"/>
      <c r="J784" s="263"/>
      <c r="K784" s="263"/>
      <c r="L784" s="563"/>
      <c r="M784" s="263"/>
      <c r="N784" s="263"/>
      <c r="O784" s="263"/>
      <c r="P784" s="265"/>
      <c r="Q784" s="263"/>
      <c r="R784" s="263"/>
      <c r="S784" s="263"/>
      <c r="T784" s="263"/>
      <c r="U784" s="263"/>
      <c r="V784" s="263"/>
      <c r="W784" s="263"/>
      <c r="X784" s="263"/>
      <c r="Y784" s="263"/>
      <c r="Z784" s="263"/>
      <c r="AA784" s="263"/>
      <c r="AB784" s="263"/>
      <c r="AC784" s="263"/>
      <c r="AD784" s="263"/>
      <c r="AE784" s="263"/>
      <c r="AF784" s="418"/>
      <c r="AG784" s="263"/>
      <c r="AH784" s="263"/>
      <c r="AI784" s="263"/>
    </row>
    <row r="785" spans="1:35" ht="15" customHeight="1">
      <c r="A785" s="69"/>
      <c r="B785" s="418"/>
      <c r="C785" s="263"/>
      <c r="E785" s="263"/>
      <c r="F785" s="263"/>
      <c r="G785" s="418"/>
      <c r="H785" s="263"/>
      <c r="I785" s="263"/>
      <c r="J785" s="263"/>
      <c r="K785" s="263"/>
      <c r="L785" s="563"/>
      <c r="M785" s="263"/>
      <c r="N785" s="263"/>
      <c r="O785" s="263"/>
      <c r="P785" s="265"/>
      <c r="Q785" s="263"/>
      <c r="R785" s="263"/>
      <c r="S785" s="263"/>
      <c r="T785" s="263"/>
      <c r="U785" s="263"/>
      <c r="V785" s="263"/>
      <c r="W785" s="263"/>
      <c r="X785" s="263"/>
      <c r="Y785" s="263"/>
      <c r="Z785" s="263"/>
      <c r="AA785" s="263"/>
      <c r="AB785" s="263"/>
      <c r="AC785" s="263"/>
      <c r="AD785" s="263"/>
      <c r="AE785" s="263"/>
      <c r="AF785" s="418"/>
      <c r="AG785" s="263"/>
      <c r="AH785" s="263"/>
      <c r="AI785" s="263"/>
    </row>
    <row r="786" spans="1:35" ht="15" customHeight="1">
      <c r="A786" s="69"/>
      <c r="B786" s="418"/>
      <c r="C786" s="263"/>
      <c r="E786" s="263"/>
      <c r="F786" s="263"/>
      <c r="G786" s="418"/>
      <c r="H786" s="263"/>
      <c r="I786" s="263"/>
      <c r="J786" s="263"/>
      <c r="K786" s="263"/>
      <c r="L786" s="563"/>
      <c r="M786" s="263"/>
      <c r="N786" s="263"/>
      <c r="O786" s="263"/>
      <c r="P786" s="265"/>
      <c r="Q786" s="263"/>
      <c r="R786" s="263"/>
      <c r="S786" s="263"/>
      <c r="T786" s="263"/>
      <c r="U786" s="263"/>
      <c r="V786" s="263"/>
      <c r="W786" s="263"/>
      <c r="X786" s="263"/>
      <c r="Y786" s="263"/>
      <c r="Z786" s="263"/>
      <c r="AA786" s="263"/>
      <c r="AB786" s="263"/>
      <c r="AC786" s="263"/>
      <c r="AD786" s="263"/>
      <c r="AE786" s="263"/>
      <c r="AF786" s="418"/>
      <c r="AG786" s="263"/>
      <c r="AH786" s="263"/>
      <c r="AI786" s="263"/>
    </row>
    <row r="787" spans="1:35" ht="15" customHeight="1">
      <c r="A787" s="69"/>
      <c r="B787" s="418"/>
      <c r="C787" s="263"/>
      <c r="E787" s="263"/>
      <c r="F787" s="263"/>
      <c r="G787" s="418"/>
      <c r="H787" s="263"/>
      <c r="I787" s="263"/>
      <c r="J787" s="263"/>
      <c r="K787" s="263"/>
      <c r="L787" s="563"/>
      <c r="M787" s="263"/>
      <c r="N787" s="263"/>
      <c r="O787" s="263"/>
      <c r="P787" s="265"/>
      <c r="Q787" s="263"/>
      <c r="R787" s="263"/>
      <c r="S787" s="263"/>
      <c r="T787" s="263"/>
      <c r="U787" s="263"/>
      <c r="V787" s="263"/>
      <c r="W787" s="263"/>
      <c r="X787" s="263"/>
      <c r="Y787" s="263"/>
      <c r="Z787" s="263"/>
      <c r="AA787" s="263"/>
      <c r="AB787" s="263"/>
      <c r="AC787" s="263"/>
      <c r="AD787" s="263"/>
      <c r="AE787" s="263"/>
      <c r="AF787" s="418"/>
      <c r="AG787" s="263"/>
      <c r="AH787" s="263"/>
      <c r="AI787" s="263"/>
    </row>
    <row r="788" spans="1:35" ht="15" customHeight="1">
      <c r="A788" s="69"/>
      <c r="B788" s="418"/>
      <c r="C788" s="263"/>
      <c r="E788" s="263"/>
      <c r="F788" s="263"/>
      <c r="G788" s="418"/>
      <c r="H788" s="263"/>
      <c r="I788" s="263"/>
      <c r="J788" s="263"/>
      <c r="K788" s="263"/>
      <c r="L788" s="563"/>
      <c r="M788" s="263"/>
      <c r="N788" s="263"/>
      <c r="O788" s="263"/>
      <c r="P788" s="265"/>
      <c r="Q788" s="263"/>
      <c r="R788" s="263"/>
      <c r="S788" s="263"/>
      <c r="T788" s="263"/>
      <c r="U788" s="263"/>
      <c r="V788" s="263"/>
      <c r="W788" s="263"/>
      <c r="X788" s="263"/>
      <c r="Y788" s="263"/>
      <c r="Z788" s="263"/>
      <c r="AA788" s="263"/>
      <c r="AB788" s="263"/>
      <c r="AC788" s="263"/>
      <c r="AD788" s="263"/>
      <c r="AE788" s="263"/>
      <c r="AF788" s="418"/>
      <c r="AG788" s="263"/>
      <c r="AH788" s="263"/>
      <c r="AI788" s="263"/>
    </row>
    <row r="789" spans="1:35" ht="15" customHeight="1">
      <c r="A789" s="69"/>
      <c r="B789" s="418"/>
      <c r="C789" s="263"/>
      <c r="E789" s="263"/>
      <c r="F789" s="263"/>
      <c r="G789" s="418"/>
      <c r="H789" s="263"/>
      <c r="I789" s="263"/>
      <c r="J789" s="263"/>
      <c r="K789" s="263"/>
      <c r="L789" s="563"/>
      <c r="M789" s="263"/>
      <c r="N789" s="263"/>
      <c r="O789" s="263"/>
      <c r="P789" s="265"/>
      <c r="Q789" s="263"/>
      <c r="R789" s="263"/>
      <c r="S789" s="263"/>
      <c r="T789" s="263"/>
      <c r="U789" s="263"/>
      <c r="V789" s="263"/>
      <c r="W789" s="263"/>
      <c r="X789" s="263"/>
      <c r="Y789" s="263"/>
      <c r="Z789" s="263"/>
      <c r="AA789" s="263"/>
      <c r="AB789" s="263"/>
      <c r="AC789" s="263"/>
      <c r="AD789" s="263"/>
      <c r="AE789" s="263"/>
      <c r="AF789" s="418"/>
      <c r="AG789" s="263"/>
      <c r="AH789" s="263"/>
      <c r="AI789" s="263"/>
    </row>
    <row r="790" spans="1:35" ht="15" customHeight="1">
      <c r="A790" s="69"/>
      <c r="B790" s="418"/>
      <c r="C790" s="263"/>
      <c r="E790" s="263"/>
      <c r="F790" s="263"/>
      <c r="G790" s="418"/>
      <c r="H790" s="263"/>
      <c r="I790" s="263"/>
      <c r="J790" s="263"/>
      <c r="K790" s="263"/>
      <c r="L790" s="563"/>
      <c r="M790" s="263"/>
      <c r="N790" s="263"/>
      <c r="O790" s="263"/>
      <c r="P790" s="265"/>
      <c r="Q790" s="263"/>
      <c r="R790" s="263"/>
      <c r="S790" s="263"/>
      <c r="T790" s="263"/>
      <c r="U790" s="263"/>
      <c r="V790" s="263"/>
      <c r="W790" s="263"/>
      <c r="X790" s="263"/>
      <c r="Y790" s="263"/>
      <c r="Z790" s="263"/>
      <c r="AA790" s="263"/>
      <c r="AB790" s="263"/>
      <c r="AC790" s="263"/>
      <c r="AD790" s="263"/>
      <c r="AE790" s="263"/>
      <c r="AF790" s="418"/>
      <c r="AG790" s="263"/>
      <c r="AH790" s="263"/>
      <c r="AI790" s="263"/>
    </row>
    <row r="791" spans="1:35" ht="15" customHeight="1">
      <c r="A791" s="69"/>
      <c r="B791" s="418"/>
      <c r="C791" s="263"/>
      <c r="E791" s="263"/>
      <c r="F791" s="263"/>
      <c r="G791" s="418"/>
      <c r="H791" s="263"/>
      <c r="I791" s="263"/>
      <c r="J791" s="263"/>
      <c r="K791" s="263"/>
      <c r="L791" s="563"/>
      <c r="M791" s="263"/>
      <c r="N791" s="263"/>
      <c r="O791" s="263"/>
      <c r="P791" s="265"/>
      <c r="Q791" s="263"/>
      <c r="R791" s="263"/>
      <c r="S791" s="263"/>
      <c r="T791" s="263"/>
      <c r="U791" s="263"/>
      <c r="V791" s="263"/>
      <c r="W791" s="263"/>
      <c r="X791" s="263"/>
      <c r="Y791" s="263"/>
      <c r="Z791" s="263"/>
      <c r="AA791" s="263"/>
      <c r="AB791" s="263"/>
      <c r="AC791" s="263"/>
      <c r="AD791" s="263"/>
      <c r="AE791" s="263"/>
      <c r="AF791" s="418"/>
      <c r="AG791" s="263"/>
      <c r="AH791" s="263"/>
      <c r="AI791" s="263"/>
    </row>
    <row r="792" spans="1:35" ht="15" customHeight="1">
      <c r="A792" s="69"/>
      <c r="B792" s="418"/>
      <c r="C792" s="263"/>
      <c r="E792" s="263"/>
      <c r="F792" s="263"/>
      <c r="G792" s="418"/>
      <c r="H792" s="263"/>
      <c r="I792" s="263"/>
      <c r="J792" s="263"/>
      <c r="K792" s="263"/>
      <c r="L792" s="563"/>
      <c r="M792" s="263"/>
      <c r="N792" s="263"/>
      <c r="O792" s="263"/>
      <c r="P792" s="265"/>
      <c r="Q792" s="263"/>
      <c r="R792" s="263"/>
      <c r="S792" s="263"/>
      <c r="T792" s="263"/>
      <c r="U792" s="263"/>
      <c r="V792" s="263"/>
      <c r="W792" s="263"/>
      <c r="X792" s="263"/>
      <c r="Y792" s="263"/>
      <c r="Z792" s="263"/>
      <c r="AA792" s="263"/>
      <c r="AB792" s="263"/>
      <c r="AC792" s="263"/>
      <c r="AD792" s="263"/>
      <c r="AE792" s="263"/>
      <c r="AF792" s="418"/>
      <c r="AG792" s="263"/>
      <c r="AH792" s="263"/>
      <c r="AI792" s="263"/>
    </row>
    <row r="793" spans="1:35" ht="15" customHeight="1">
      <c r="A793" s="69"/>
      <c r="B793" s="418"/>
      <c r="C793" s="263"/>
      <c r="E793" s="263"/>
      <c r="F793" s="263"/>
      <c r="G793" s="418"/>
      <c r="H793" s="263"/>
      <c r="I793" s="263"/>
      <c r="J793" s="263"/>
      <c r="K793" s="263"/>
      <c r="L793" s="563"/>
      <c r="M793" s="263"/>
      <c r="N793" s="263"/>
      <c r="O793" s="263"/>
      <c r="P793" s="265"/>
      <c r="Q793" s="263"/>
      <c r="R793" s="263"/>
      <c r="S793" s="263"/>
      <c r="T793" s="263"/>
      <c r="U793" s="263"/>
      <c r="V793" s="263"/>
      <c r="W793" s="263"/>
      <c r="X793" s="263"/>
      <c r="Y793" s="263"/>
      <c r="Z793" s="263"/>
      <c r="AA793" s="263"/>
      <c r="AB793" s="263"/>
      <c r="AC793" s="263"/>
      <c r="AD793" s="263"/>
      <c r="AE793" s="263"/>
      <c r="AF793" s="418"/>
      <c r="AG793" s="263"/>
      <c r="AH793" s="263"/>
      <c r="AI793" s="263"/>
    </row>
    <row r="794" spans="1:35" ht="15" customHeight="1">
      <c r="A794" s="69"/>
      <c r="B794" s="418"/>
      <c r="C794" s="263"/>
      <c r="E794" s="263"/>
      <c r="F794" s="263"/>
      <c r="G794" s="418"/>
      <c r="H794" s="263"/>
      <c r="I794" s="263"/>
      <c r="J794" s="263"/>
      <c r="K794" s="263"/>
      <c r="L794" s="563"/>
      <c r="M794" s="263"/>
      <c r="N794" s="263"/>
      <c r="O794" s="263"/>
      <c r="P794" s="265"/>
      <c r="Q794" s="263"/>
      <c r="R794" s="263"/>
      <c r="S794" s="263"/>
      <c r="T794" s="263"/>
      <c r="U794" s="263"/>
      <c r="V794" s="263"/>
      <c r="W794" s="263"/>
      <c r="X794" s="263"/>
      <c r="Y794" s="263"/>
      <c r="Z794" s="263"/>
      <c r="AA794" s="263"/>
      <c r="AB794" s="263"/>
      <c r="AC794" s="263"/>
      <c r="AD794" s="263"/>
      <c r="AE794" s="263"/>
      <c r="AF794" s="418"/>
      <c r="AG794" s="263"/>
      <c r="AH794" s="263"/>
      <c r="AI794" s="263"/>
    </row>
    <row r="795" spans="1:35" ht="15" customHeight="1">
      <c r="A795" s="69"/>
      <c r="B795" s="418"/>
      <c r="C795" s="263"/>
      <c r="E795" s="263"/>
      <c r="F795" s="263"/>
      <c r="G795" s="418"/>
      <c r="H795" s="263"/>
      <c r="I795" s="263"/>
      <c r="J795" s="263"/>
      <c r="K795" s="263"/>
      <c r="L795" s="563"/>
      <c r="M795" s="263"/>
      <c r="N795" s="263"/>
      <c r="O795" s="263"/>
      <c r="P795" s="265"/>
      <c r="Q795" s="263"/>
      <c r="R795" s="263"/>
      <c r="S795" s="263"/>
      <c r="T795" s="263"/>
      <c r="U795" s="263"/>
      <c r="V795" s="263"/>
      <c r="W795" s="263"/>
      <c r="X795" s="263"/>
      <c r="Y795" s="263"/>
      <c r="Z795" s="263"/>
      <c r="AA795" s="263"/>
      <c r="AB795" s="263"/>
      <c r="AC795" s="263"/>
      <c r="AD795" s="263"/>
      <c r="AE795" s="263"/>
      <c r="AF795" s="418"/>
      <c r="AG795" s="263"/>
      <c r="AH795" s="263"/>
      <c r="AI795" s="263"/>
    </row>
    <row r="796" spans="1:35" ht="15" customHeight="1">
      <c r="A796" s="69"/>
      <c r="B796" s="418"/>
      <c r="C796" s="263"/>
      <c r="E796" s="263"/>
      <c r="F796" s="263"/>
      <c r="G796" s="418"/>
      <c r="H796" s="263"/>
      <c r="I796" s="263"/>
      <c r="J796" s="263"/>
      <c r="K796" s="263"/>
      <c r="L796" s="563"/>
      <c r="M796" s="263"/>
      <c r="N796" s="263"/>
      <c r="O796" s="263"/>
      <c r="P796" s="265"/>
      <c r="Q796" s="263"/>
      <c r="R796" s="263"/>
      <c r="S796" s="263"/>
      <c r="T796" s="263"/>
      <c r="U796" s="263"/>
      <c r="V796" s="263"/>
      <c r="W796" s="263"/>
      <c r="X796" s="263"/>
      <c r="Y796" s="263"/>
      <c r="Z796" s="263"/>
      <c r="AA796" s="263"/>
      <c r="AB796" s="263"/>
      <c r="AC796" s="263"/>
      <c r="AD796" s="263"/>
      <c r="AE796" s="263"/>
      <c r="AF796" s="418"/>
      <c r="AG796" s="263"/>
      <c r="AH796" s="263"/>
      <c r="AI796" s="263"/>
    </row>
    <row r="797" spans="1:35" ht="15" customHeight="1">
      <c r="A797" s="69"/>
      <c r="B797" s="418"/>
      <c r="C797" s="263"/>
      <c r="E797" s="263"/>
      <c r="F797" s="263"/>
      <c r="G797" s="418"/>
      <c r="H797" s="263"/>
      <c r="I797" s="263"/>
      <c r="J797" s="263"/>
      <c r="K797" s="263"/>
      <c r="L797" s="563"/>
      <c r="M797" s="263"/>
      <c r="N797" s="263"/>
      <c r="O797" s="263"/>
      <c r="P797" s="265"/>
      <c r="Q797" s="263"/>
      <c r="R797" s="263"/>
      <c r="S797" s="263"/>
      <c r="T797" s="263"/>
      <c r="U797" s="263"/>
      <c r="V797" s="263"/>
      <c r="W797" s="263"/>
      <c r="X797" s="263"/>
      <c r="Y797" s="263"/>
      <c r="Z797" s="263"/>
      <c r="AA797" s="263"/>
      <c r="AB797" s="263"/>
      <c r="AC797" s="263"/>
      <c r="AD797" s="263"/>
      <c r="AE797" s="263"/>
      <c r="AF797" s="418"/>
      <c r="AG797" s="263"/>
      <c r="AH797" s="263"/>
      <c r="AI797" s="263"/>
    </row>
    <row r="798" spans="1:35" ht="15" customHeight="1">
      <c r="A798" s="69"/>
      <c r="B798" s="418"/>
      <c r="C798" s="263"/>
      <c r="E798" s="263"/>
      <c r="F798" s="263"/>
      <c r="G798" s="418"/>
      <c r="H798" s="263"/>
      <c r="I798" s="263"/>
      <c r="J798" s="263"/>
      <c r="K798" s="263"/>
      <c r="L798" s="563"/>
      <c r="M798" s="263"/>
      <c r="N798" s="263"/>
      <c r="O798" s="263"/>
      <c r="P798" s="265"/>
      <c r="Q798" s="263"/>
      <c r="R798" s="263"/>
      <c r="S798" s="263"/>
      <c r="T798" s="263"/>
      <c r="U798" s="263"/>
      <c r="V798" s="263"/>
      <c r="W798" s="263"/>
      <c r="X798" s="263"/>
      <c r="Y798" s="263"/>
      <c r="Z798" s="263"/>
      <c r="AA798" s="263"/>
      <c r="AB798" s="263"/>
      <c r="AC798" s="263"/>
      <c r="AD798" s="263"/>
      <c r="AE798" s="263"/>
      <c r="AF798" s="418"/>
      <c r="AG798" s="263"/>
      <c r="AH798" s="263"/>
      <c r="AI798" s="263"/>
    </row>
    <row r="799" spans="1:35" ht="15" customHeight="1">
      <c r="A799" s="69"/>
      <c r="B799" s="418"/>
      <c r="C799" s="263"/>
      <c r="E799" s="263"/>
      <c r="F799" s="263"/>
      <c r="G799" s="418"/>
      <c r="H799" s="263"/>
      <c r="I799" s="263"/>
      <c r="J799" s="263"/>
      <c r="K799" s="263"/>
      <c r="L799" s="563"/>
      <c r="M799" s="263"/>
      <c r="N799" s="263"/>
      <c r="O799" s="263"/>
      <c r="P799" s="265"/>
      <c r="Q799" s="263"/>
      <c r="R799" s="263"/>
      <c r="S799" s="263"/>
      <c r="T799" s="263"/>
      <c r="U799" s="263"/>
      <c r="V799" s="263"/>
      <c r="W799" s="263"/>
      <c r="X799" s="263"/>
      <c r="Y799" s="263"/>
      <c r="Z799" s="263"/>
      <c r="AA799" s="263"/>
      <c r="AB799" s="263"/>
      <c r="AC799" s="263"/>
      <c r="AD799" s="263"/>
      <c r="AE799" s="263"/>
      <c r="AF799" s="418"/>
      <c r="AG799" s="263"/>
      <c r="AH799" s="263"/>
      <c r="AI799" s="263"/>
    </row>
    <row r="800" spans="1:35" ht="15" customHeight="1">
      <c r="A800" s="69"/>
      <c r="B800" s="418"/>
      <c r="C800" s="263"/>
      <c r="E800" s="263"/>
      <c r="F800" s="263"/>
      <c r="G800" s="418"/>
      <c r="H800" s="263"/>
      <c r="I800" s="263"/>
      <c r="J800" s="263"/>
      <c r="K800" s="263"/>
      <c r="L800" s="563"/>
      <c r="M800" s="263"/>
      <c r="N800" s="263"/>
      <c r="O800" s="263"/>
      <c r="P800" s="265"/>
      <c r="Q800" s="263"/>
      <c r="R800" s="263"/>
      <c r="S800" s="263"/>
      <c r="T800" s="263"/>
      <c r="U800" s="263"/>
      <c r="V800" s="263"/>
      <c r="W800" s="263"/>
      <c r="X800" s="263"/>
      <c r="Y800" s="263"/>
      <c r="Z800" s="263"/>
      <c r="AA800" s="263"/>
      <c r="AB800" s="263"/>
      <c r="AC800" s="263"/>
      <c r="AD800" s="263"/>
      <c r="AE800" s="263"/>
      <c r="AF800" s="418"/>
      <c r="AG800" s="263"/>
      <c r="AH800" s="263"/>
      <c r="AI800" s="263"/>
    </row>
    <row r="801" spans="1:35" ht="15" customHeight="1">
      <c r="A801" s="69"/>
      <c r="B801" s="418"/>
      <c r="C801" s="263"/>
      <c r="E801" s="263"/>
      <c r="F801" s="263"/>
      <c r="G801" s="418"/>
      <c r="H801" s="263"/>
      <c r="I801" s="263"/>
      <c r="J801" s="263"/>
      <c r="K801" s="263"/>
      <c r="L801" s="563"/>
      <c r="M801" s="263"/>
      <c r="N801" s="263"/>
      <c r="O801" s="263"/>
      <c r="P801" s="265"/>
      <c r="Q801" s="263"/>
      <c r="R801" s="263"/>
      <c r="S801" s="263"/>
      <c r="T801" s="263"/>
      <c r="U801" s="263"/>
      <c r="V801" s="263"/>
      <c r="W801" s="263"/>
      <c r="X801" s="263"/>
      <c r="Y801" s="263"/>
      <c r="Z801" s="263"/>
      <c r="AA801" s="263"/>
      <c r="AB801" s="263"/>
      <c r="AC801" s="263"/>
      <c r="AD801" s="263"/>
      <c r="AE801" s="263"/>
      <c r="AF801" s="418"/>
      <c r="AG801" s="263"/>
      <c r="AH801" s="263"/>
      <c r="AI801" s="263"/>
    </row>
    <row r="802" spans="1:35" ht="15" customHeight="1">
      <c r="A802" s="69"/>
      <c r="B802" s="418"/>
      <c r="C802" s="263"/>
      <c r="E802" s="263"/>
      <c r="F802" s="263"/>
      <c r="G802" s="418"/>
      <c r="H802" s="263"/>
      <c r="I802" s="263"/>
      <c r="J802" s="263"/>
      <c r="K802" s="263"/>
      <c r="L802" s="563"/>
      <c r="M802" s="263"/>
      <c r="N802" s="263"/>
      <c r="O802" s="263"/>
      <c r="P802" s="265"/>
      <c r="Q802" s="263"/>
      <c r="R802" s="263"/>
      <c r="S802" s="263"/>
      <c r="T802" s="263"/>
      <c r="U802" s="263"/>
      <c r="V802" s="263"/>
      <c r="W802" s="263"/>
      <c r="X802" s="263"/>
      <c r="Y802" s="263"/>
      <c r="Z802" s="263"/>
      <c r="AA802" s="263"/>
      <c r="AB802" s="263"/>
      <c r="AC802" s="263"/>
      <c r="AD802" s="263"/>
      <c r="AE802" s="263"/>
      <c r="AF802" s="418"/>
      <c r="AG802" s="263"/>
      <c r="AH802" s="263"/>
      <c r="AI802" s="263"/>
    </row>
    <row r="803" spans="1:35" ht="15" customHeight="1">
      <c r="A803" s="69"/>
      <c r="B803" s="418"/>
      <c r="C803" s="263"/>
      <c r="E803" s="263"/>
      <c r="F803" s="263"/>
      <c r="G803" s="418"/>
      <c r="H803" s="263"/>
      <c r="I803" s="263"/>
      <c r="J803" s="263"/>
      <c r="K803" s="263"/>
      <c r="L803" s="563"/>
      <c r="M803" s="263"/>
      <c r="N803" s="263"/>
      <c r="O803" s="263"/>
      <c r="P803" s="265"/>
      <c r="Q803" s="263"/>
      <c r="R803" s="263"/>
      <c r="S803" s="263"/>
      <c r="T803" s="263"/>
      <c r="U803" s="263"/>
      <c r="V803" s="263"/>
      <c r="W803" s="263"/>
      <c r="X803" s="263"/>
      <c r="Y803" s="263"/>
      <c r="Z803" s="263"/>
      <c r="AA803" s="263"/>
      <c r="AB803" s="263"/>
      <c r="AC803" s="263"/>
      <c r="AD803" s="263"/>
      <c r="AE803" s="263"/>
      <c r="AF803" s="418"/>
      <c r="AG803" s="263"/>
      <c r="AH803" s="263"/>
      <c r="AI803" s="263"/>
    </row>
    <row r="804" spans="1:35" ht="15" customHeight="1">
      <c r="A804" s="69"/>
      <c r="B804" s="418"/>
      <c r="C804" s="263"/>
      <c r="E804" s="263"/>
      <c r="F804" s="263"/>
      <c r="G804" s="418"/>
      <c r="H804" s="263"/>
      <c r="I804" s="263"/>
      <c r="J804" s="263"/>
      <c r="K804" s="263"/>
      <c r="L804" s="563"/>
      <c r="M804" s="263"/>
      <c r="N804" s="263"/>
      <c r="O804" s="263"/>
      <c r="P804" s="265"/>
      <c r="Q804" s="263"/>
      <c r="R804" s="263"/>
      <c r="S804" s="263"/>
      <c r="T804" s="263"/>
      <c r="U804" s="263"/>
      <c r="V804" s="263"/>
      <c r="W804" s="263"/>
      <c r="X804" s="263"/>
      <c r="Y804" s="263"/>
      <c r="Z804" s="263"/>
      <c r="AA804" s="263"/>
      <c r="AB804" s="263"/>
      <c r="AC804" s="263"/>
      <c r="AD804" s="263"/>
      <c r="AE804" s="263"/>
      <c r="AF804" s="418"/>
      <c r="AG804" s="263"/>
      <c r="AH804" s="263"/>
      <c r="AI804" s="263"/>
    </row>
    <row r="805" spans="1:35" ht="15" customHeight="1">
      <c r="A805" s="69"/>
      <c r="B805" s="418"/>
      <c r="C805" s="263"/>
      <c r="E805" s="263"/>
      <c r="F805" s="263"/>
      <c r="G805" s="418"/>
      <c r="H805" s="263"/>
      <c r="I805" s="263"/>
      <c r="J805" s="263"/>
      <c r="K805" s="263"/>
      <c r="L805" s="563"/>
      <c r="M805" s="263"/>
      <c r="N805" s="263"/>
      <c r="O805" s="263"/>
      <c r="P805" s="265"/>
      <c r="Q805" s="263"/>
      <c r="R805" s="263"/>
      <c r="S805" s="263"/>
      <c r="T805" s="263"/>
      <c r="U805" s="263"/>
      <c r="V805" s="263"/>
      <c r="W805" s="263"/>
      <c r="X805" s="263"/>
      <c r="Y805" s="263"/>
      <c r="Z805" s="263"/>
      <c r="AA805" s="263"/>
      <c r="AB805" s="263"/>
      <c r="AC805" s="263"/>
      <c r="AD805" s="263"/>
      <c r="AE805" s="263"/>
      <c r="AF805" s="418"/>
      <c r="AG805" s="263"/>
      <c r="AH805" s="263"/>
      <c r="AI805" s="263"/>
    </row>
    <row r="806" spans="1:35" ht="15" customHeight="1">
      <c r="A806" s="69"/>
      <c r="B806" s="418"/>
      <c r="C806" s="263"/>
      <c r="E806" s="263"/>
      <c r="F806" s="263"/>
      <c r="G806" s="418"/>
      <c r="H806" s="263"/>
      <c r="I806" s="263"/>
      <c r="J806" s="263"/>
      <c r="K806" s="263"/>
      <c r="L806" s="563"/>
      <c r="M806" s="263"/>
      <c r="N806" s="263"/>
      <c r="O806" s="263"/>
      <c r="P806" s="265"/>
      <c r="Q806" s="263"/>
      <c r="R806" s="263"/>
      <c r="S806" s="263"/>
      <c r="T806" s="263"/>
      <c r="U806" s="263"/>
      <c r="V806" s="263"/>
      <c r="W806" s="263"/>
      <c r="X806" s="263"/>
      <c r="Y806" s="263"/>
      <c r="Z806" s="263"/>
      <c r="AA806" s="263"/>
      <c r="AB806" s="263"/>
      <c r="AC806" s="263"/>
      <c r="AD806" s="263"/>
      <c r="AE806" s="263"/>
      <c r="AF806" s="418"/>
      <c r="AG806" s="263"/>
      <c r="AH806" s="263"/>
      <c r="AI806" s="263"/>
    </row>
    <row r="807" spans="1:35" ht="15" customHeight="1">
      <c r="A807" s="69"/>
      <c r="B807" s="418"/>
      <c r="C807" s="263"/>
      <c r="E807" s="263"/>
      <c r="F807" s="263"/>
      <c r="G807" s="418"/>
      <c r="H807" s="263"/>
      <c r="I807" s="263"/>
      <c r="J807" s="263"/>
      <c r="K807" s="263"/>
      <c r="L807" s="563"/>
      <c r="M807" s="263"/>
      <c r="N807" s="263"/>
      <c r="O807" s="263"/>
      <c r="P807" s="265"/>
      <c r="Q807" s="263"/>
      <c r="R807" s="263"/>
      <c r="S807" s="263"/>
      <c r="T807" s="263"/>
      <c r="U807" s="263"/>
      <c r="V807" s="263"/>
      <c r="W807" s="263"/>
      <c r="X807" s="263"/>
      <c r="Y807" s="263"/>
      <c r="Z807" s="263"/>
      <c r="AA807" s="263"/>
      <c r="AB807" s="263"/>
      <c r="AC807" s="263"/>
      <c r="AD807" s="263"/>
      <c r="AE807" s="263"/>
      <c r="AF807" s="418"/>
      <c r="AG807" s="263"/>
      <c r="AH807" s="263"/>
      <c r="AI807" s="263"/>
    </row>
    <row r="808" spans="1:35" ht="15" customHeight="1">
      <c r="A808" s="69"/>
      <c r="B808" s="418"/>
      <c r="C808" s="263"/>
      <c r="E808" s="263"/>
      <c r="F808" s="263"/>
      <c r="G808" s="418"/>
      <c r="H808" s="263"/>
      <c r="I808" s="263"/>
      <c r="J808" s="263"/>
      <c r="K808" s="263"/>
      <c r="L808" s="563"/>
      <c r="M808" s="263"/>
      <c r="N808" s="263"/>
      <c r="O808" s="263"/>
      <c r="P808" s="265"/>
      <c r="Q808" s="263"/>
      <c r="R808" s="263"/>
      <c r="S808" s="263"/>
      <c r="T808" s="263"/>
      <c r="U808" s="263"/>
      <c r="V808" s="263"/>
      <c r="W808" s="263"/>
      <c r="X808" s="263"/>
      <c r="Y808" s="263"/>
      <c r="Z808" s="263"/>
      <c r="AA808" s="263"/>
      <c r="AB808" s="263"/>
      <c r="AC808" s="263"/>
      <c r="AD808" s="263"/>
      <c r="AE808" s="263"/>
      <c r="AF808" s="418"/>
      <c r="AG808" s="263"/>
      <c r="AH808" s="263"/>
      <c r="AI808" s="263"/>
    </row>
    <row r="809" spans="1:35" ht="15" customHeight="1">
      <c r="A809" s="69"/>
      <c r="B809" s="418"/>
      <c r="C809" s="263"/>
      <c r="E809" s="263"/>
      <c r="F809" s="263"/>
      <c r="G809" s="418"/>
      <c r="H809" s="263"/>
      <c r="I809" s="263"/>
      <c r="J809" s="263"/>
      <c r="K809" s="263"/>
      <c r="L809" s="563"/>
      <c r="M809" s="263"/>
      <c r="N809" s="263"/>
      <c r="O809" s="263"/>
      <c r="P809" s="265"/>
      <c r="Q809" s="263"/>
      <c r="R809" s="263"/>
      <c r="S809" s="263"/>
      <c r="T809" s="263"/>
      <c r="U809" s="263"/>
      <c r="V809" s="263"/>
      <c r="W809" s="263"/>
      <c r="X809" s="263"/>
      <c r="Y809" s="263"/>
      <c r="Z809" s="263"/>
      <c r="AA809" s="263"/>
      <c r="AB809" s="263"/>
      <c r="AC809" s="263"/>
      <c r="AD809" s="263"/>
      <c r="AE809" s="263"/>
      <c r="AF809" s="418"/>
      <c r="AG809" s="263"/>
      <c r="AH809" s="263"/>
      <c r="AI809" s="263"/>
    </row>
    <row r="810" spans="1:35" ht="15" customHeight="1">
      <c r="A810" s="69"/>
      <c r="B810" s="418"/>
      <c r="C810" s="263"/>
      <c r="E810" s="263"/>
      <c r="F810" s="263"/>
      <c r="G810" s="418"/>
      <c r="H810" s="263"/>
      <c r="I810" s="263"/>
      <c r="J810" s="263"/>
      <c r="K810" s="263"/>
      <c r="L810" s="563"/>
      <c r="M810" s="263"/>
      <c r="N810" s="263"/>
      <c r="O810" s="263"/>
      <c r="P810" s="265"/>
      <c r="Q810" s="263"/>
      <c r="R810" s="263"/>
      <c r="S810" s="263"/>
      <c r="T810" s="263"/>
      <c r="U810" s="263"/>
      <c r="V810" s="263"/>
      <c r="W810" s="263"/>
      <c r="X810" s="263"/>
      <c r="Y810" s="263"/>
      <c r="Z810" s="263"/>
      <c r="AA810" s="263"/>
      <c r="AB810" s="263"/>
      <c r="AC810" s="263"/>
      <c r="AD810" s="263"/>
      <c r="AE810" s="263"/>
      <c r="AF810" s="418"/>
      <c r="AG810" s="263"/>
      <c r="AH810" s="263"/>
      <c r="AI810" s="263"/>
    </row>
    <row r="811" spans="1:35" ht="15" customHeight="1">
      <c r="A811" s="69"/>
      <c r="B811" s="418"/>
      <c r="C811" s="263"/>
      <c r="E811" s="263"/>
      <c r="F811" s="263"/>
      <c r="G811" s="418"/>
      <c r="H811" s="263"/>
      <c r="I811" s="263"/>
      <c r="J811" s="263"/>
      <c r="K811" s="263"/>
      <c r="L811" s="563"/>
      <c r="M811" s="263"/>
      <c r="N811" s="263"/>
      <c r="O811" s="263"/>
      <c r="P811" s="265"/>
      <c r="Q811" s="263"/>
      <c r="R811" s="263"/>
      <c r="S811" s="263"/>
      <c r="T811" s="263"/>
      <c r="U811" s="263"/>
      <c r="V811" s="263"/>
      <c r="W811" s="263"/>
      <c r="X811" s="263"/>
      <c r="Y811" s="263"/>
      <c r="Z811" s="263"/>
      <c r="AA811" s="263"/>
      <c r="AB811" s="263"/>
      <c r="AC811" s="263"/>
      <c r="AD811" s="263"/>
      <c r="AE811" s="263"/>
      <c r="AF811" s="418"/>
      <c r="AG811" s="263"/>
      <c r="AH811" s="263"/>
      <c r="AI811" s="263"/>
    </row>
    <row r="812" spans="1:35" ht="15" customHeight="1">
      <c r="A812" s="69"/>
      <c r="B812" s="418"/>
      <c r="C812" s="263"/>
      <c r="E812" s="263"/>
      <c r="F812" s="263"/>
      <c r="G812" s="418"/>
      <c r="H812" s="263"/>
      <c r="I812" s="263"/>
      <c r="J812" s="263"/>
      <c r="K812" s="263"/>
      <c r="L812" s="563"/>
      <c r="M812" s="263"/>
      <c r="N812" s="263"/>
      <c r="O812" s="263"/>
      <c r="P812" s="265"/>
      <c r="Q812" s="263"/>
      <c r="R812" s="263"/>
      <c r="S812" s="263"/>
      <c r="T812" s="263"/>
      <c r="U812" s="263"/>
      <c r="V812" s="263"/>
      <c r="W812" s="263"/>
      <c r="X812" s="263"/>
      <c r="Y812" s="263"/>
      <c r="Z812" s="263"/>
      <c r="AA812" s="263"/>
      <c r="AB812" s="263"/>
      <c r="AC812" s="263"/>
      <c r="AD812" s="263"/>
      <c r="AE812" s="263"/>
      <c r="AF812" s="418"/>
      <c r="AG812" s="263"/>
      <c r="AH812" s="263"/>
      <c r="AI812" s="263"/>
    </row>
    <row r="813" spans="1:35" ht="15" customHeight="1">
      <c r="A813" s="69"/>
      <c r="B813" s="418"/>
      <c r="C813" s="263"/>
      <c r="E813" s="263"/>
      <c r="F813" s="263"/>
      <c r="G813" s="418"/>
      <c r="H813" s="263"/>
      <c r="I813" s="263"/>
      <c r="J813" s="263"/>
      <c r="K813" s="263"/>
      <c r="L813" s="563"/>
      <c r="M813" s="263"/>
      <c r="N813" s="263"/>
      <c r="O813" s="263"/>
      <c r="P813" s="265"/>
      <c r="Q813" s="263"/>
      <c r="R813" s="263"/>
      <c r="S813" s="263"/>
      <c r="T813" s="263"/>
      <c r="U813" s="263"/>
      <c r="V813" s="263"/>
      <c r="W813" s="263"/>
      <c r="X813" s="263"/>
      <c r="Y813" s="263"/>
      <c r="Z813" s="263"/>
      <c r="AA813" s="263"/>
      <c r="AB813" s="263"/>
      <c r="AC813" s="263"/>
      <c r="AD813" s="263"/>
      <c r="AE813" s="263"/>
      <c r="AF813" s="418"/>
      <c r="AG813" s="263"/>
      <c r="AH813" s="263"/>
      <c r="AI813" s="263"/>
    </row>
    <row r="814" spans="1:35" ht="15" customHeight="1">
      <c r="A814" s="69"/>
      <c r="B814" s="418"/>
      <c r="C814" s="263"/>
      <c r="E814" s="263"/>
      <c r="F814" s="263"/>
      <c r="G814" s="418"/>
      <c r="H814" s="263"/>
      <c r="I814" s="263"/>
      <c r="J814" s="263"/>
      <c r="K814" s="263"/>
      <c r="L814" s="563"/>
      <c r="M814" s="263"/>
      <c r="N814" s="263"/>
      <c r="O814" s="263"/>
      <c r="P814" s="265"/>
      <c r="Q814" s="263"/>
      <c r="R814" s="263"/>
      <c r="S814" s="263"/>
      <c r="T814" s="263"/>
      <c r="U814" s="263"/>
      <c r="V814" s="263"/>
      <c r="W814" s="263"/>
      <c r="X814" s="263"/>
      <c r="Y814" s="263"/>
      <c r="Z814" s="263"/>
      <c r="AA814" s="263"/>
      <c r="AB814" s="263"/>
      <c r="AC814" s="263"/>
      <c r="AD814" s="263"/>
      <c r="AE814" s="263"/>
      <c r="AF814" s="418"/>
      <c r="AG814" s="263"/>
      <c r="AH814" s="263"/>
      <c r="AI814" s="263"/>
    </row>
    <row r="815" spans="1:35" ht="15" customHeight="1">
      <c r="A815" s="69"/>
      <c r="B815" s="418"/>
      <c r="C815" s="263"/>
      <c r="E815" s="263"/>
      <c r="F815" s="263"/>
      <c r="G815" s="418"/>
      <c r="H815" s="263"/>
      <c r="I815" s="263"/>
      <c r="J815" s="263"/>
      <c r="K815" s="263"/>
      <c r="L815" s="563"/>
      <c r="M815" s="263"/>
      <c r="N815" s="263"/>
      <c r="O815" s="263"/>
      <c r="P815" s="265"/>
      <c r="Q815" s="263"/>
      <c r="R815" s="263"/>
      <c r="S815" s="263"/>
      <c r="T815" s="263"/>
      <c r="U815" s="263"/>
      <c r="V815" s="263"/>
      <c r="W815" s="263"/>
      <c r="X815" s="263"/>
      <c r="Y815" s="263"/>
      <c r="Z815" s="263"/>
      <c r="AA815" s="263"/>
      <c r="AB815" s="263"/>
      <c r="AC815" s="263"/>
      <c r="AD815" s="263"/>
      <c r="AE815" s="263"/>
      <c r="AF815" s="418"/>
      <c r="AG815" s="263"/>
      <c r="AH815" s="263"/>
      <c r="AI815" s="263"/>
    </row>
    <row r="816" spans="1:35" ht="15" customHeight="1">
      <c r="A816" s="69"/>
      <c r="B816" s="418"/>
      <c r="C816" s="263"/>
      <c r="E816" s="263"/>
      <c r="F816" s="263"/>
      <c r="G816" s="418"/>
      <c r="H816" s="263"/>
      <c r="I816" s="263"/>
      <c r="J816" s="263"/>
      <c r="K816" s="263"/>
      <c r="L816" s="563"/>
      <c r="M816" s="263"/>
      <c r="N816" s="263"/>
      <c r="O816" s="263"/>
      <c r="P816" s="265"/>
      <c r="Q816" s="263"/>
      <c r="R816" s="263"/>
      <c r="S816" s="263"/>
      <c r="T816" s="263"/>
      <c r="U816" s="263"/>
      <c r="V816" s="263"/>
      <c r="W816" s="263"/>
      <c r="X816" s="263"/>
      <c r="Y816" s="263"/>
      <c r="Z816" s="263"/>
      <c r="AA816" s="263"/>
      <c r="AB816" s="263"/>
      <c r="AC816" s="263"/>
      <c r="AD816" s="263"/>
      <c r="AE816" s="263"/>
      <c r="AF816" s="418"/>
      <c r="AG816" s="263"/>
      <c r="AH816" s="263"/>
      <c r="AI816" s="263"/>
    </row>
    <row r="817" spans="1:35" ht="15" customHeight="1">
      <c r="A817" s="69"/>
      <c r="B817" s="418"/>
      <c r="C817" s="263"/>
      <c r="E817" s="263"/>
      <c r="F817" s="263"/>
      <c r="G817" s="418"/>
      <c r="H817" s="263"/>
      <c r="I817" s="263"/>
      <c r="J817" s="263"/>
      <c r="K817" s="263"/>
      <c r="L817" s="563"/>
      <c r="M817" s="263"/>
      <c r="N817" s="263"/>
      <c r="O817" s="263"/>
      <c r="P817" s="265"/>
      <c r="Q817" s="263"/>
      <c r="R817" s="263"/>
      <c r="S817" s="263"/>
      <c r="T817" s="263"/>
      <c r="U817" s="263"/>
      <c r="V817" s="263"/>
      <c r="W817" s="263"/>
      <c r="X817" s="263"/>
      <c r="Y817" s="263"/>
      <c r="Z817" s="263"/>
      <c r="AA817" s="263"/>
      <c r="AB817" s="263"/>
      <c r="AC817" s="263"/>
      <c r="AD817" s="263"/>
      <c r="AE817" s="263"/>
      <c r="AF817" s="418"/>
      <c r="AG817" s="263"/>
      <c r="AH817" s="263"/>
      <c r="AI817" s="263"/>
    </row>
    <row r="818" spans="1:35" ht="15" customHeight="1">
      <c r="A818" s="69"/>
      <c r="B818" s="418"/>
      <c r="C818" s="263"/>
      <c r="E818" s="263"/>
      <c r="F818" s="263"/>
      <c r="G818" s="418"/>
      <c r="H818" s="263"/>
      <c r="I818" s="263"/>
      <c r="J818" s="263"/>
      <c r="K818" s="263"/>
      <c r="L818" s="563"/>
      <c r="M818" s="263"/>
      <c r="N818" s="263"/>
      <c r="O818" s="263"/>
      <c r="P818" s="265"/>
      <c r="Q818" s="263"/>
      <c r="R818" s="263"/>
      <c r="S818" s="263"/>
      <c r="T818" s="263"/>
      <c r="U818" s="263"/>
      <c r="V818" s="263"/>
      <c r="W818" s="263"/>
      <c r="X818" s="263"/>
      <c r="Y818" s="263"/>
      <c r="Z818" s="263"/>
      <c r="AA818" s="263"/>
      <c r="AB818" s="263"/>
      <c r="AC818" s="263"/>
      <c r="AD818" s="263"/>
      <c r="AE818" s="263"/>
      <c r="AF818" s="418"/>
      <c r="AG818" s="263"/>
      <c r="AH818" s="263"/>
      <c r="AI818" s="263"/>
    </row>
    <row r="819" spans="1:35" ht="15" customHeight="1">
      <c r="A819" s="69"/>
      <c r="B819" s="418"/>
      <c r="C819" s="263"/>
      <c r="E819" s="263"/>
      <c r="F819" s="263"/>
      <c r="G819" s="418"/>
      <c r="H819" s="263"/>
      <c r="I819" s="263"/>
      <c r="J819" s="263"/>
      <c r="K819" s="263"/>
      <c r="L819" s="563"/>
      <c r="M819" s="263"/>
      <c r="N819" s="263"/>
      <c r="O819" s="263"/>
      <c r="P819" s="265"/>
      <c r="Q819" s="263"/>
      <c r="R819" s="263"/>
      <c r="S819" s="263"/>
      <c r="T819" s="263"/>
      <c r="U819" s="263"/>
      <c r="V819" s="263"/>
      <c r="W819" s="263"/>
      <c r="X819" s="263"/>
      <c r="Y819" s="263"/>
      <c r="Z819" s="263"/>
      <c r="AA819" s="263"/>
      <c r="AB819" s="263"/>
      <c r="AC819" s="263"/>
      <c r="AD819" s="263"/>
      <c r="AE819" s="263"/>
      <c r="AF819" s="418"/>
      <c r="AG819" s="263"/>
      <c r="AH819" s="263"/>
      <c r="AI819" s="263"/>
    </row>
    <row r="820" spans="1:35" ht="15" customHeight="1">
      <c r="A820" s="69"/>
      <c r="B820" s="418"/>
      <c r="C820" s="263"/>
      <c r="E820" s="263"/>
      <c r="F820" s="263"/>
      <c r="G820" s="418"/>
      <c r="H820" s="263"/>
      <c r="I820" s="263"/>
      <c r="J820" s="263"/>
      <c r="K820" s="263"/>
      <c r="L820" s="563"/>
      <c r="M820" s="263"/>
      <c r="N820" s="263"/>
      <c r="O820" s="263"/>
      <c r="P820" s="265"/>
      <c r="Q820" s="263"/>
      <c r="R820" s="263"/>
      <c r="S820" s="263"/>
      <c r="T820" s="263"/>
      <c r="U820" s="263"/>
      <c r="V820" s="263"/>
      <c r="W820" s="263"/>
      <c r="X820" s="263"/>
      <c r="Y820" s="263"/>
      <c r="Z820" s="263"/>
      <c r="AA820" s="263"/>
      <c r="AB820" s="263"/>
      <c r="AC820" s="263"/>
      <c r="AD820" s="263"/>
      <c r="AE820" s="263"/>
      <c r="AF820" s="418"/>
      <c r="AG820" s="263"/>
      <c r="AH820" s="263"/>
      <c r="AI820" s="263"/>
    </row>
    <row r="821" spans="1:35" ht="15" customHeight="1">
      <c r="A821" s="69"/>
      <c r="B821" s="418"/>
      <c r="C821" s="263"/>
      <c r="E821" s="263"/>
      <c r="F821" s="263"/>
      <c r="G821" s="418"/>
      <c r="H821" s="263"/>
      <c r="I821" s="263"/>
      <c r="J821" s="263"/>
      <c r="K821" s="263"/>
      <c r="L821" s="563"/>
      <c r="M821" s="263"/>
      <c r="N821" s="263"/>
      <c r="O821" s="263"/>
      <c r="P821" s="265"/>
      <c r="Q821" s="263"/>
      <c r="R821" s="263"/>
      <c r="S821" s="263"/>
      <c r="T821" s="263"/>
      <c r="U821" s="263"/>
      <c r="V821" s="263"/>
      <c r="W821" s="263"/>
      <c r="X821" s="263"/>
      <c r="Y821" s="263"/>
      <c r="Z821" s="263"/>
      <c r="AA821" s="263"/>
      <c r="AB821" s="263"/>
      <c r="AC821" s="263"/>
      <c r="AD821" s="263"/>
      <c r="AE821" s="263"/>
      <c r="AF821" s="418"/>
      <c r="AG821" s="263"/>
      <c r="AH821" s="263"/>
      <c r="AI821" s="263"/>
    </row>
    <row r="822" spans="1:35" ht="15" customHeight="1">
      <c r="A822" s="69"/>
      <c r="B822" s="418"/>
      <c r="C822" s="263"/>
      <c r="E822" s="263"/>
      <c r="F822" s="263"/>
      <c r="G822" s="418"/>
      <c r="H822" s="263"/>
      <c r="I822" s="263"/>
      <c r="J822" s="263"/>
      <c r="K822" s="263"/>
      <c r="L822" s="563"/>
      <c r="M822" s="263"/>
      <c r="N822" s="263"/>
      <c r="O822" s="263"/>
      <c r="P822" s="265"/>
      <c r="Q822" s="263"/>
      <c r="R822" s="263"/>
      <c r="S822" s="263"/>
      <c r="T822" s="263"/>
      <c r="U822" s="263"/>
      <c r="V822" s="263"/>
      <c r="W822" s="263"/>
      <c r="X822" s="263"/>
      <c r="Y822" s="263"/>
      <c r="Z822" s="263"/>
      <c r="AA822" s="263"/>
      <c r="AB822" s="263"/>
      <c r="AC822" s="263"/>
      <c r="AD822" s="263"/>
      <c r="AE822" s="263"/>
      <c r="AF822" s="418"/>
      <c r="AG822" s="263"/>
      <c r="AH822" s="263"/>
      <c r="AI822" s="263"/>
    </row>
    <row r="823" spans="1:35" ht="15" customHeight="1">
      <c r="A823" s="69"/>
      <c r="B823" s="418"/>
      <c r="C823" s="263"/>
      <c r="E823" s="263"/>
      <c r="F823" s="263"/>
      <c r="G823" s="418"/>
      <c r="H823" s="263"/>
      <c r="I823" s="263"/>
      <c r="J823" s="263"/>
      <c r="K823" s="263"/>
      <c r="L823" s="563"/>
      <c r="M823" s="263"/>
      <c r="N823" s="263"/>
      <c r="O823" s="263"/>
      <c r="P823" s="265"/>
      <c r="Q823" s="263"/>
      <c r="R823" s="263"/>
      <c r="S823" s="263"/>
      <c r="T823" s="263"/>
      <c r="U823" s="263"/>
      <c r="V823" s="263"/>
      <c r="W823" s="263"/>
      <c r="X823" s="263"/>
      <c r="Y823" s="263"/>
      <c r="Z823" s="263"/>
      <c r="AA823" s="263"/>
      <c r="AB823" s="263"/>
      <c r="AC823" s="263"/>
      <c r="AD823" s="263"/>
      <c r="AE823" s="263"/>
      <c r="AF823" s="418"/>
      <c r="AG823" s="263"/>
      <c r="AH823" s="263"/>
      <c r="AI823" s="263"/>
    </row>
    <row r="824" spans="1:35" ht="15" customHeight="1">
      <c r="A824" s="69"/>
      <c r="B824" s="418"/>
      <c r="C824" s="263"/>
      <c r="E824" s="263"/>
      <c r="F824" s="263"/>
      <c r="G824" s="418"/>
      <c r="H824" s="263"/>
      <c r="I824" s="263"/>
      <c r="J824" s="263"/>
      <c r="K824" s="263"/>
      <c r="L824" s="563"/>
      <c r="M824" s="263"/>
      <c r="N824" s="263"/>
      <c r="O824" s="263"/>
      <c r="P824" s="265"/>
      <c r="Q824" s="263"/>
      <c r="R824" s="263"/>
      <c r="S824" s="263"/>
      <c r="T824" s="263"/>
      <c r="U824" s="263"/>
      <c r="V824" s="263"/>
      <c r="W824" s="263"/>
      <c r="X824" s="263"/>
      <c r="Y824" s="263"/>
      <c r="Z824" s="263"/>
      <c r="AA824" s="263"/>
      <c r="AB824" s="263"/>
      <c r="AC824" s="263"/>
      <c r="AD824" s="263"/>
      <c r="AE824" s="263"/>
      <c r="AF824" s="418"/>
      <c r="AG824" s="263"/>
      <c r="AH824" s="263"/>
      <c r="AI824" s="263"/>
    </row>
    <row r="825" spans="1:35" ht="15" customHeight="1">
      <c r="A825" s="69"/>
      <c r="B825" s="418"/>
      <c r="C825" s="263"/>
      <c r="E825" s="263"/>
      <c r="F825" s="263"/>
      <c r="G825" s="418"/>
      <c r="H825" s="263"/>
      <c r="I825" s="263"/>
      <c r="J825" s="263"/>
      <c r="K825" s="263"/>
      <c r="L825" s="563"/>
      <c r="M825" s="263"/>
      <c r="N825" s="263"/>
      <c r="O825" s="263"/>
      <c r="P825" s="265"/>
      <c r="Q825" s="263"/>
      <c r="R825" s="263"/>
      <c r="S825" s="263"/>
      <c r="T825" s="263"/>
      <c r="U825" s="263"/>
      <c r="V825" s="263"/>
      <c r="W825" s="263"/>
      <c r="X825" s="263"/>
      <c r="Y825" s="263"/>
      <c r="Z825" s="263"/>
      <c r="AA825" s="263"/>
      <c r="AB825" s="263"/>
      <c r="AC825" s="263"/>
      <c r="AD825" s="263"/>
      <c r="AE825" s="263"/>
      <c r="AF825" s="418"/>
      <c r="AG825" s="263"/>
      <c r="AH825" s="263"/>
      <c r="AI825" s="263"/>
    </row>
    <row r="826" spans="1:35" ht="15" customHeight="1">
      <c r="A826" s="69"/>
      <c r="B826" s="418"/>
      <c r="C826" s="263"/>
      <c r="E826" s="263"/>
      <c r="F826" s="263"/>
      <c r="G826" s="418"/>
      <c r="H826" s="263"/>
      <c r="I826" s="263"/>
      <c r="J826" s="263"/>
      <c r="K826" s="263"/>
      <c r="L826" s="563"/>
      <c r="M826" s="263"/>
      <c r="N826" s="263"/>
      <c r="O826" s="263"/>
      <c r="P826" s="265"/>
      <c r="Q826" s="263"/>
      <c r="R826" s="263"/>
      <c r="S826" s="263"/>
      <c r="T826" s="263"/>
      <c r="U826" s="263"/>
      <c r="V826" s="263"/>
      <c r="W826" s="263"/>
      <c r="X826" s="263"/>
      <c r="Y826" s="263"/>
      <c r="Z826" s="263"/>
      <c r="AA826" s="263"/>
      <c r="AB826" s="263"/>
      <c r="AC826" s="263"/>
      <c r="AD826" s="263"/>
      <c r="AE826" s="263"/>
      <c r="AF826" s="418"/>
      <c r="AG826" s="263"/>
      <c r="AH826" s="263"/>
      <c r="AI826" s="263"/>
    </row>
    <row r="827" spans="1:35" ht="15" customHeight="1">
      <c r="A827" s="69"/>
      <c r="B827" s="418"/>
      <c r="C827" s="263"/>
      <c r="E827" s="263"/>
      <c r="F827" s="263"/>
      <c r="G827" s="418"/>
      <c r="H827" s="263"/>
      <c r="I827" s="263"/>
      <c r="J827" s="263"/>
      <c r="K827" s="263"/>
      <c r="L827" s="563"/>
      <c r="M827" s="263"/>
      <c r="N827" s="263"/>
      <c r="O827" s="263"/>
      <c r="P827" s="265"/>
      <c r="Q827" s="263"/>
      <c r="R827" s="263"/>
      <c r="S827" s="263"/>
      <c r="T827" s="263"/>
      <c r="U827" s="263"/>
      <c r="V827" s="263"/>
      <c r="W827" s="263"/>
      <c r="X827" s="263"/>
      <c r="Y827" s="263"/>
      <c r="Z827" s="263"/>
      <c r="AA827" s="263"/>
      <c r="AB827" s="263"/>
      <c r="AC827" s="263"/>
      <c r="AD827" s="263"/>
      <c r="AE827" s="263"/>
      <c r="AF827" s="418"/>
      <c r="AG827" s="263"/>
      <c r="AH827" s="263"/>
      <c r="AI827" s="263"/>
    </row>
    <row r="828" spans="1:35" ht="15" customHeight="1">
      <c r="A828" s="69"/>
      <c r="B828" s="418"/>
      <c r="C828" s="263"/>
      <c r="E828" s="263"/>
      <c r="F828" s="263"/>
      <c r="G828" s="418"/>
      <c r="H828" s="263"/>
      <c r="I828" s="263"/>
      <c r="J828" s="263"/>
      <c r="K828" s="263"/>
      <c r="L828" s="563"/>
      <c r="M828" s="263"/>
      <c r="N828" s="263"/>
      <c r="O828" s="263"/>
      <c r="P828" s="265"/>
      <c r="Q828" s="263"/>
      <c r="R828" s="263"/>
      <c r="S828" s="263"/>
      <c r="T828" s="263"/>
      <c r="U828" s="263"/>
      <c r="V828" s="263"/>
      <c r="W828" s="263"/>
      <c r="X828" s="263"/>
      <c r="Y828" s="263"/>
      <c r="Z828" s="263"/>
      <c r="AA828" s="263"/>
      <c r="AB828" s="263"/>
      <c r="AC828" s="263"/>
      <c r="AD828" s="263"/>
      <c r="AE828" s="263"/>
      <c r="AF828" s="418"/>
      <c r="AG828" s="263"/>
      <c r="AH828" s="263"/>
      <c r="AI828" s="263"/>
    </row>
    <row r="829" spans="1:35" ht="15" customHeight="1">
      <c r="A829" s="69"/>
      <c r="B829" s="418"/>
      <c r="C829" s="263"/>
      <c r="E829" s="263"/>
      <c r="F829" s="263"/>
      <c r="G829" s="418"/>
      <c r="H829" s="263"/>
      <c r="I829" s="263"/>
      <c r="J829" s="263"/>
      <c r="K829" s="263"/>
      <c r="L829" s="563"/>
      <c r="M829" s="263"/>
      <c r="N829" s="263"/>
      <c r="O829" s="263"/>
      <c r="P829" s="265"/>
      <c r="Q829" s="263"/>
      <c r="R829" s="263"/>
      <c r="S829" s="263"/>
      <c r="T829" s="263"/>
      <c r="U829" s="263"/>
      <c r="V829" s="263"/>
      <c r="W829" s="263"/>
      <c r="X829" s="263"/>
      <c r="Y829" s="263"/>
      <c r="Z829" s="263"/>
      <c r="AA829" s="263"/>
      <c r="AB829" s="263"/>
      <c r="AC829" s="263"/>
      <c r="AD829" s="263"/>
      <c r="AE829" s="263"/>
      <c r="AF829" s="418"/>
      <c r="AG829" s="263"/>
      <c r="AH829" s="263"/>
      <c r="AI829" s="263"/>
    </row>
    <row r="830" spans="1:35" ht="15" customHeight="1">
      <c r="A830" s="69"/>
      <c r="B830" s="418"/>
      <c r="C830" s="263"/>
      <c r="E830" s="263"/>
      <c r="F830" s="263"/>
      <c r="G830" s="418"/>
      <c r="H830" s="263"/>
      <c r="I830" s="263"/>
      <c r="J830" s="263"/>
      <c r="K830" s="263"/>
      <c r="L830" s="563"/>
      <c r="M830" s="263"/>
      <c r="N830" s="263"/>
      <c r="O830" s="263"/>
      <c r="P830" s="265"/>
      <c r="Q830" s="263"/>
      <c r="R830" s="263"/>
      <c r="S830" s="263"/>
      <c r="T830" s="263"/>
      <c r="U830" s="263"/>
      <c r="V830" s="263"/>
      <c r="W830" s="263"/>
      <c r="X830" s="263"/>
      <c r="Y830" s="263"/>
      <c r="Z830" s="263"/>
      <c r="AA830" s="263"/>
      <c r="AB830" s="263"/>
      <c r="AC830" s="263"/>
      <c r="AD830" s="263"/>
      <c r="AE830" s="263"/>
      <c r="AF830" s="418"/>
      <c r="AG830" s="263"/>
      <c r="AH830" s="263"/>
      <c r="AI830" s="263"/>
    </row>
    <row r="831" spans="1:35" ht="15" customHeight="1">
      <c r="A831" s="69"/>
      <c r="B831" s="418"/>
      <c r="C831" s="263"/>
      <c r="E831" s="263"/>
      <c r="F831" s="263"/>
      <c r="G831" s="418"/>
      <c r="H831" s="263"/>
      <c r="I831" s="263"/>
      <c r="J831" s="263"/>
      <c r="K831" s="263"/>
      <c r="L831" s="563"/>
      <c r="M831" s="263"/>
      <c r="N831" s="263"/>
      <c r="O831" s="263"/>
      <c r="P831" s="265"/>
      <c r="Q831" s="263"/>
      <c r="R831" s="263"/>
      <c r="S831" s="263"/>
      <c r="T831" s="263"/>
      <c r="U831" s="263"/>
      <c r="V831" s="263"/>
      <c r="W831" s="263"/>
      <c r="X831" s="263"/>
      <c r="Y831" s="263"/>
      <c r="Z831" s="263"/>
      <c r="AA831" s="263"/>
      <c r="AB831" s="263"/>
      <c r="AC831" s="263"/>
      <c r="AD831" s="263"/>
      <c r="AE831" s="263"/>
      <c r="AF831" s="418"/>
      <c r="AG831" s="263"/>
      <c r="AH831" s="263"/>
      <c r="AI831" s="263"/>
    </row>
    <row r="832" spans="1:35" ht="15" customHeight="1">
      <c r="A832" s="69"/>
      <c r="B832" s="418"/>
      <c r="C832" s="263"/>
      <c r="E832" s="263"/>
      <c r="F832" s="263"/>
      <c r="G832" s="418"/>
      <c r="H832" s="263"/>
      <c r="I832" s="263"/>
      <c r="J832" s="263"/>
      <c r="K832" s="263"/>
      <c r="L832" s="563"/>
      <c r="M832" s="263"/>
      <c r="N832" s="263"/>
      <c r="O832" s="263"/>
      <c r="P832" s="265"/>
      <c r="Q832" s="263"/>
      <c r="R832" s="263"/>
      <c r="S832" s="263"/>
      <c r="T832" s="263"/>
      <c r="U832" s="263"/>
      <c r="V832" s="263"/>
      <c r="W832" s="263"/>
      <c r="X832" s="263"/>
      <c r="Y832" s="263"/>
      <c r="Z832" s="263"/>
      <c r="AA832" s="263"/>
      <c r="AB832" s="263"/>
      <c r="AC832" s="263"/>
      <c r="AD832" s="263"/>
      <c r="AE832" s="263"/>
      <c r="AF832" s="418"/>
      <c r="AG832" s="263"/>
      <c r="AH832" s="263"/>
      <c r="AI832" s="263"/>
    </row>
    <row r="833" spans="1:35" ht="15" customHeight="1">
      <c r="A833" s="69"/>
      <c r="B833" s="418"/>
      <c r="C833" s="263"/>
      <c r="E833" s="263"/>
      <c r="F833" s="263"/>
      <c r="G833" s="418"/>
      <c r="H833" s="263"/>
      <c r="I833" s="263"/>
      <c r="J833" s="263"/>
      <c r="K833" s="263"/>
      <c r="L833" s="563"/>
      <c r="M833" s="263"/>
      <c r="N833" s="263"/>
      <c r="O833" s="263"/>
      <c r="P833" s="265"/>
      <c r="Q833" s="263"/>
      <c r="R833" s="263"/>
      <c r="S833" s="263"/>
      <c r="T833" s="263"/>
      <c r="U833" s="263"/>
      <c r="V833" s="263"/>
      <c r="W833" s="263"/>
      <c r="X833" s="263"/>
      <c r="Y833" s="263"/>
      <c r="Z833" s="263"/>
      <c r="AA833" s="263"/>
      <c r="AB833" s="263"/>
      <c r="AC833" s="263"/>
      <c r="AD833" s="263"/>
      <c r="AE833" s="263"/>
      <c r="AF833" s="418"/>
      <c r="AG833" s="263"/>
      <c r="AH833" s="263"/>
      <c r="AI833" s="263"/>
    </row>
    <row r="834" spans="1:35" ht="15" customHeight="1">
      <c r="A834" s="69"/>
      <c r="B834" s="418"/>
      <c r="C834" s="263"/>
      <c r="E834" s="263"/>
      <c r="F834" s="263"/>
      <c r="G834" s="418"/>
      <c r="H834" s="263"/>
      <c r="I834" s="263"/>
      <c r="J834" s="263"/>
      <c r="K834" s="263"/>
      <c r="L834" s="563"/>
      <c r="M834" s="263"/>
      <c r="N834" s="263"/>
      <c r="O834" s="263"/>
      <c r="P834" s="265"/>
      <c r="Q834" s="263"/>
      <c r="R834" s="263"/>
      <c r="S834" s="263"/>
      <c r="T834" s="263"/>
      <c r="U834" s="263"/>
      <c r="V834" s="263"/>
      <c r="W834" s="263"/>
      <c r="X834" s="263"/>
      <c r="Y834" s="263"/>
      <c r="Z834" s="263"/>
      <c r="AA834" s="263"/>
      <c r="AB834" s="263"/>
      <c r="AC834" s="263"/>
      <c r="AD834" s="263"/>
      <c r="AE834" s="263"/>
      <c r="AF834" s="418"/>
      <c r="AG834" s="263"/>
      <c r="AH834" s="263"/>
      <c r="AI834" s="263"/>
    </row>
    <row r="835" spans="1:35" ht="15" customHeight="1">
      <c r="A835" s="69"/>
      <c r="B835" s="418"/>
      <c r="C835" s="263"/>
      <c r="E835" s="263"/>
      <c r="F835" s="263"/>
      <c r="G835" s="418"/>
      <c r="H835" s="263"/>
      <c r="I835" s="263"/>
      <c r="J835" s="263"/>
      <c r="K835" s="263"/>
      <c r="L835" s="563"/>
      <c r="M835" s="263"/>
      <c r="N835" s="263"/>
      <c r="O835" s="263"/>
      <c r="P835" s="265"/>
      <c r="Q835" s="263"/>
      <c r="R835" s="263"/>
      <c r="S835" s="263"/>
      <c r="T835" s="263"/>
      <c r="U835" s="263"/>
      <c r="V835" s="263"/>
      <c r="W835" s="263"/>
      <c r="X835" s="263"/>
      <c r="Y835" s="263"/>
      <c r="Z835" s="263"/>
      <c r="AA835" s="263"/>
      <c r="AB835" s="263"/>
      <c r="AC835" s="263"/>
      <c r="AD835" s="263"/>
      <c r="AE835" s="263"/>
      <c r="AF835" s="418"/>
      <c r="AG835" s="263"/>
      <c r="AH835" s="263"/>
      <c r="AI835" s="263"/>
    </row>
    <row r="836" spans="1:35" ht="15" customHeight="1">
      <c r="A836" s="69"/>
      <c r="B836" s="418"/>
      <c r="C836" s="263"/>
      <c r="E836" s="263"/>
      <c r="F836" s="263"/>
      <c r="G836" s="418"/>
      <c r="H836" s="263"/>
      <c r="I836" s="263"/>
      <c r="J836" s="263"/>
      <c r="K836" s="263"/>
      <c r="L836" s="563"/>
      <c r="M836" s="263"/>
      <c r="N836" s="263"/>
      <c r="O836" s="263"/>
      <c r="P836" s="265"/>
      <c r="Q836" s="263"/>
      <c r="R836" s="263"/>
      <c r="S836" s="263"/>
      <c r="T836" s="263"/>
      <c r="U836" s="263"/>
      <c r="V836" s="263"/>
      <c r="W836" s="263"/>
      <c r="X836" s="263"/>
      <c r="Y836" s="263"/>
      <c r="Z836" s="263"/>
      <c r="AA836" s="263"/>
      <c r="AB836" s="263"/>
      <c r="AC836" s="263"/>
      <c r="AD836" s="263"/>
      <c r="AE836" s="263"/>
      <c r="AF836" s="418"/>
      <c r="AG836" s="263"/>
      <c r="AH836" s="263"/>
      <c r="AI836" s="263"/>
    </row>
    <row r="837" spans="1:35" ht="15" customHeight="1">
      <c r="A837" s="69"/>
      <c r="B837" s="418"/>
      <c r="C837" s="263"/>
      <c r="E837" s="263"/>
      <c r="F837" s="263"/>
      <c r="G837" s="418"/>
      <c r="H837" s="263"/>
      <c r="I837" s="263"/>
      <c r="J837" s="263"/>
      <c r="K837" s="263"/>
      <c r="L837" s="563"/>
      <c r="M837" s="263"/>
      <c r="N837" s="263"/>
      <c r="O837" s="263"/>
      <c r="P837" s="265"/>
      <c r="Q837" s="263"/>
      <c r="R837" s="263"/>
      <c r="S837" s="263"/>
      <c r="T837" s="263"/>
      <c r="U837" s="263"/>
      <c r="V837" s="263"/>
      <c r="W837" s="263"/>
      <c r="X837" s="263"/>
      <c r="Y837" s="263"/>
      <c r="Z837" s="263"/>
      <c r="AA837" s="263"/>
      <c r="AB837" s="263"/>
      <c r="AC837" s="263"/>
      <c r="AD837" s="263"/>
      <c r="AE837" s="263"/>
      <c r="AF837" s="418"/>
      <c r="AG837" s="263"/>
      <c r="AH837" s="263"/>
      <c r="AI837" s="263"/>
    </row>
    <row r="838" spans="1:35" ht="15" customHeight="1">
      <c r="A838" s="69"/>
      <c r="B838" s="418"/>
      <c r="C838" s="263"/>
      <c r="E838" s="263"/>
      <c r="F838" s="263"/>
      <c r="G838" s="418"/>
      <c r="H838" s="263"/>
      <c r="I838" s="263"/>
      <c r="J838" s="263"/>
      <c r="K838" s="263"/>
      <c r="L838" s="563"/>
      <c r="M838" s="263"/>
      <c r="N838" s="263"/>
      <c r="O838" s="263"/>
      <c r="P838" s="265"/>
      <c r="Q838" s="263"/>
      <c r="R838" s="263"/>
      <c r="S838" s="263"/>
      <c r="T838" s="263"/>
      <c r="U838" s="263"/>
      <c r="V838" s="263"/>
      <c r="W838" s="263"/>
      <c r="X838" s="263"/>
      <c r="Y838" s="263"/>
      <c r="Z838" s="263"/>
      <c r="AA838" s="263"/>
      <c r="AB838" s="263"/>
      <c r="AC838" s="263"/>
      <c r="AD838" s="263"/>
      <c r="AE838" s="263"/>
      <c r="AF838" s="418"/>
      <c r="AG838" s="263"/>
      <c r="AH838" s="263"/>
      <c r="AI838" s="263"/>
    </row>
    <row r="839" spans="1:35" ht="15" customHeight="1">
      <c r="A839" s="69"/>
      <c r="B839" s="418"/>
      <c r="C839" s="263"/>
      <c r="E839" s="263"/>
      <c r="F839" s="263"/>
      <c r="G839" s="418"/>
      <c r="H839" s="263"/>
      <c r="I839" s="263"/>
      <c r="J839" s="263"/>
      <c r="K839" s="263"/>
      <c r="L839" s="563"/>
      <c r="M839" s="263"/>
      <c r="N839" s="263"/>
      <c r="O839" s="263"/>
      <c r="P839" s="265"/>
      <c r="Q839" s="263"/>
      <c r="R839" s="263"/>
      <c r="S839" s="263"/>
      <c r="T839" s="263"/>
      <c r="U839" s="263"/>
      <c r="V839" s="263"/>
      <c r="W839" s="263"/>
      <c r="X839" s="263"/>
      <c r="Y839" s="263"/>
      <c r="Z839" s="263"/>
      <c r="AA839" s="263"/>
      <c r="AB839" s="263"/>
      <c r="AC839" s="263"/>
      <c r="AD839" s="263"/>
      <c r="AE839" s="263"/>
      <c r="AF839" s="418"/>
      <c r="AG839" s="263"/>
      <c r="AH839" s="263"/>
      <c r="AI839" s="263"/>
    </row>
    <row r="840" spans="1:35" ht="15" customHeight="1">
      <c r="A840" s="69"/>
      <c r="B840" s="418"/>
      <c r="C840" s="263"/>
      <c r="E840" s="263"/>
      <c r="F840" s="263"/>
      <c r="G840" s="418"/>
      <c r="H840" s="263"/>
      <c r="I840" s="263"/>
      <c r="J840" s="263"/>
      <c r="K840" s="263"/>
      <c r="L840" s="563"/>
      <c r="M840" s="263"/>
      <c r="N840" s="263"/>
      <c r="O840" s="263"/>
      <c r="P840" s="265"/>
      <c r="Q840" s="263"/>
      <c r="R840" s="263"/>
      <c r="S840" s="263"/>
      <c r="T840" s="263"/>
      <c r="U840" s="263"/>
      <c r="V840" s="263"/>
      <c r="W840" s="263"/>
      <c r="X840" s="263"/>
      <c r="Y840" s="263"/>
      <c r="Z840" s="263"/>
      <c r="AA840" s="263"/>
      <c r="AB840" s="263"/>
      <c r="AC840" s="263"/>
      <c r="AD840" s="263"/>
      <c r="AE840" s="263"/>
      <c r="AF840" s="418"/>
      <c r="AG840" s="263"/>
      <c r="AH840" s="263"/>
      <c r="AI840" s="263"/>
    </row>
    <row r="841" spans="1:35" ht="15" customHeight="1">
      <c r="A841" s="69"/>
      <c r="B841" s="418"/>
      <c r="C841" s="263"/>
      <c r="E841" s="263"/>
      <c r="F841" s="263"/>
      <c r="G841" s="418"/>
      <c r="H841" s="263"/>
      <c r="I841" s="263"/>
      <c r="J841" s="263"/>
      <c r="K841" s="263"/>
      <c r="L841" s="563"/>
      <c r="M841" s="263"/>
      <c r="N841" s="263"/>
      <c r="O841" s="263"/>
      <c r="P841" s="265"/>
      <c r="Q841" s="263"/>
      <c r="R841" s="263"/>
      <c r="S841" s="263"/>
      <c r="T841" s="263"/>
      <c r="U841" s="263"/>
      <c r="V841" s="263"/>
      <c r="W841" s="263"/>
      <c r="X841" s="263"/>
      <c r="Y841" s="263"/>
      <c r="Z841" s="263"/>
      <c r="AA841" s="263"/>
      <c r="AB841" s="263"/>
      <c r="AC841" s="263"/>
      <c r="AD841" s="263"/>
      <c r="AE841" s="263"/>
      <c r="AF841" s="418"/>
      <c r="AG841" s="263"/>
      <c r="AH841" s="263"/>
      <c r="AI841" s="263"/>
    </row>
    <row r="842" spans="1:35" ht="15" customHeight="1">
      <c r="A842" s="69"/>
      <c r="B842" s="418"/>
      <c r="C842" s="263"/>
      <c r="E842" s="263"/>
      <c r="F842" s="263"/>
      <c r="G842" s="418"/>
      <c r="H842" s="263"/>
      <c r="I842" s="263"/>
      <c r="J842" s="263"/>
      <c r="K842" s="263"/>
      <c r="L842" s="563"/>
      <c r="M842" s="263"/>
      <c r="N842" s="263"/>
      <c r="O842" s="263"/>
      <c r="P842" s="265"/>
      <c r="Q842" s="263"/>
      <c r="R842" s="263"/>
      <c r="S842" s="263"/>
      <c r="T842" s="263"/>
      <c r="U842" s="263"/>
      <c r="V842" s="263"/>
      <c r="W842" s="263"/>
      <c r="X842" s="263"/>
      <c r="Y842" s="263"/>
      <c r="Z842" s="263"/>
      <c r="AA842" s="263"/>
      <c r="AB842" s="263"/>
      <c r="AC842" s="263"/>
      <c r="AD842" s="263"/>
      <c r="AE842" s="263"/>
      <c r="AF842" s="418"/>
      <c r="AG842" s="263"/>
      <c r="AH842" s="263"/>
      <c r="AI842" s="263"/>
    </row>
    <row r="843" spans="1:35" ht="15" customHeight="1">
      <c r="A843" s="69"/>
      <c r="B843" s="418"/>
      <c r="C843" s="263"/>
      <c r="E843" s="263"/>
      <c r="F843" s="263"/>
      <c r="G843" s="418"/>
      <c r="H843" s="263"/>
      <c r="I843" s="263"/>
      <c r="J843" s="263"/>
      <c r="K843" s="263"/>
      <c r="L843" s="563"/>
      <c r="M843" s="263"/>
      <c r="N843" s="263"/>
      <c r="O843" s="263"/>
      <c r="P843" s="265"/>
      <c r="Q843" s="263"/>
      <c r="R843" s="263"/>
      <c r="S843" s="263"/>
      <c r="T843" s="263"/>
      <c r="U843" s="263"/>
      <c r="V843" s="263"/>
      <c r="W843" s="263"/>
      <c r="X843" s="263"/>
      <c r="Y843" s="263"/>
      <c r="Z843" s="263"/>
      <c r="AA843" s="263"/>
      <c r="AB843" s="263"/>
      <c r="AC843" s="263"/>
      <c r="AD843" s="263"/>
      <c r="AE843" s="263"/>
      <c r="AF843" s="418"/>
      <c r="AG843" s="263"/>
      <c r="AH843" s="263"/>
      <c r="AI843" s="263"/>
    </row>
    <row r="844" spans="1:35" ht="15" customHeight="1">
      <c r="A844" s="69"/>
      <c r="B844" s="418"/>
      <c r="C844" s="263"/>
      <c r="E844" s="263"/>
      <c r="F844" s="263"/>
      <c r="G844" s="418"/>
      <c r="H844" s="263"/>
      <c r="I844" s="263"/>
      <c r="J844" s="263"/>
      <c r="K844" s="263"/>
      <c r="L844" s="563"/>
      <c r="M844" s="263"/>
      <c r="N844" s="263"/>
      <c r="O844" s="263"/>
      <c r="P844" s="265"/>
      <c r="Q844" s="263"/>
      <c r="R844" s="263"/>
      <c r="S844" s="263"/>
      <c r="T844" s="263"/>
      <c r="U844" s="263"/>
      <c r="V844" s="263"/>
      <c r="W844" s="263"/>
      <c r="X844" s="263"/>
      <c r="Y844" s="263"/>
      <c r="Z844" s="263"/>
      <c r="AA844" s="263"/>
      <c r="AB844" s="263"/>
      <c r="AC844" s="263"/>
      <c r="AD844" s="263"/>
      <c r="AE844" s="263"/>
      <c r="AF844" s="418"/>
      <c r="AG844" s="263"/>
      <c r="AH844" s="263"/>
      <c r="AI844" s="263"/>
    </row>
    <row r="845" spans="1:35" ht="15" customHeight="1">
      <c r="A845" s="69"/>
      <c r="B845" s="418"/>
      <c r="C845" s="263"/>
      <c r="E845" s="263"/>
      <c r="F845" s="263"/>
      <c r="G845" s="418"/>
      <c r="H845" s="263"/>
      <c r="I845" s="263"/>
      <c r="J845" s="263"/>
      <c r="K845" s="263"/>
      <c r="L845" s="563"/>
      <c r="M845" s="263"/>
      <c r="N845" s="263"/>
      <c r="O845" s="263"/>
      <c r="P845" s="265"/>
      <c r="Q845" s="263"/>
      <c r="R845" s="263"/>
      <c r="S845" s="263"/>
      <c r="T845" s="263"/>
      <c r="U845" s="263"/>
      <c r="V845" s="263"/>
      <c r="W845" s="263"/>
      <c r="X845" s="263"/>
      <c r="Y845" s="263"/>
      <c r="Z845" s="263"/>
      <c r="AA845" s="263"/>
      <c r="AB845" s="263"/>
      <c r="AC845" s="263"/>
      <c r="AD845" s="263"/>
      <c r="AE845" s="263"/>
      <c r="AF845" s="418"/>
      <c r="AG845" s="263"/>
      <c r="AH845" s="263"/>
      <c r="AI845" s="263"/>
    </row>
    <row r="846" spans="1:35" ht="15" customHeight="1">
      <c r="A846" s="69"/>
      <c r="B846" s="418"/>
      <c r="C846" s="263"/>
      <c r="E846" s="263"/>
      <c r="F846" s="263"/>
      <c r="G846" s="418"/>
      <c r="H846" s="263"/>
      <c r="I846" s="263"/>
      <c r="J846" s="263"/>
      <c r="K846" s="263"/>
      <c r="L846" s="563"/>
      <c r="M846" s="263"/>
      <c r="N846" s="263"/>
      <c r="O846" s="263"/>
      <c r="P846" s="265"/>
      <c r="Q846" s="263"/>
      <c r="R846" s="263"/>
      <c r="S846" s="263"/>
      <c r="T846" s="263"/>
      <c r="U846" s="263"/>
      <c r="V846" s="263"/>
      <c r="W846" s="263"/>
      <c r="X846" s="263"/>
      <c r="Y846" s="263"/>
      <c r="Z846" s="263"/>
      <c r="AA846" s="263"/>
      <c r="AB846" s="263"/>
      <c r="AC846" s="263"/>
      <c r="AD846" s="263"/>
      <c r="AE846" s="263"/>
      <c r="AF846" s="418"/>
      <c r="AG846" s="263"/>
      <c r="AH846" s="263"/>
      <c r="AI846" s="263"/>
    </row>
    <row r="847" spans="1:35" ht="15" customHeight="1">
      <c r="A847" s="69"/>
      <c r="B847" s="418"/>
      <c r="C847" s="263"/>
      <c r="E847" s="263"/>
      <c r="F847" s="263"/>
      <c r="G847" s="418"/>
      <c r="H847" s="263"/>
      <c r="I847" s="263"/>
      <c r="J847" s="263"/>
      <c r="K847" s="263"/>
      <c r="L847" s="563"/>
      <c r="M847" s="263"/>
      <c r="N847" s="263"/>
      <c r="O847" s="263"/>
      <c r="P847" s="265"/>
      <c r="Q847" s="263"/>
      <c r="R847" s="263"/>
      <c r="S847" s="263"/>
      <c r="T847" s="263"/>
      <c r="U847" s="263"/>
      <c r="V847" s="263"/>
      <c r="W847" s="263"/>
      <c r="X847" s="263"/>
      <c r="Y847" s="263"/>
      <c r="Z847" s="263"/>
      <c r="AA847" s="263"/>
      <c r="AB847" s="263"/>
      <c r="AC847" s="263"/>
      <c r="AD847" s="263"/>
      <c r="AE847" s="263"/>
      <c r="AF847" s="418"/>
      <c r="AG847" s="263"/>
      <c r="AH847" s="263"/>
      <c r="AI847" s="263"/>
    </row>
    <row r="848" spans="1:35" ht="15" customHeight="1">
      <c r="A848" s="69"/>
      <c r="B848" s="418"/>
      <c r="C848" s="263"/>
      <c r="E848" s="263"/>
      <c r="F848" s="263"/>
      <c r="G848" s="418"/>
      <c r="H848" s="263"/>
      <c r="I848" s="263"/>
      <c r="J848" s="263"/>
      <c r="K848" s="263"/>
      <c r="L848" s="563"/>
      <c r="M848" s="263"/>
      <c r="N848" s="263"/>
      <c r="O848" s="263"/>
      <c r="P848" s="265"/>
      <c r="Q848" s="263"/>
      <c r="R848" s="263"/>
      <c r="S848" s="263"/>
      <c r="T848" s="263"/>
      <c r="U848" s="263"/>
      <c r="V848" s="263"/>
      <c r="W848" s="263"/>
      <c r="X848" s="263"/>
      <c r="Y848" s="263"/>
      <c r="Z848" s="263"/>
      <c r="AA848" s="263"/>
      <c r="AB848" s="263"/>
      <c r="AC848" s="263"/>
      <c r="AD848" s="263"/>
      <c r="AE848" s="263"/>
      <c r="AF848" s="418"/>
      <c r="AG848" s="263"/>
      <c r="AH848" s="263"/>
      <c r="AI848" s="263"/>
    </row>
    <row r="849" spans="1:35" ht="15" customHeight="1">
      <c r="A849" s="69"/>
      <c r="B849" s="418"/>
      <c r="C849" s="263"/>
      <c r="E849" s="263"/>
      <c r="F849" s="263"/>
      <c r="G849" s="418"/>
      <c r="H849" s="263"/>
      <c r="I849" s="263"/>
      <c r="J849" s="263"/>
      <c r="K849" s="263"/>
      <c r="L849" s="563"/>
      <c r="M849" s="263"/>
      <c r="N849" s="263"/>
      <c r="O849" s="263"/>
      <c r="P849" s="265"/>
      <c r="Q849" s="263"/>
      <c r="R849" s="263"/>
      <c r="S849" s="263"/>
      <c r="T849" s="263"/>
      <c r="U849" s="263"/>
      <c r="V849" s="263"/>
      <c r="W849" s="263"/>
      <c r="X849" s="263"/>
      <c r="Y849" s="263"/>
      <c r="Z849" s="263"/>
      <c r="AA849" s="263"/>
      <c r="AB849" s="263"/>
      <c r="AC849" s="263"/>
      <c r="AD849" s="263"/>
      <c r="AE849" s="263"/>
      <c r="AF849" s="418"/>
      <c r="AG849" s="263"/>
      <c r="AH849" s="263"/>
      <c r="AI849" s="263"/>
    </row>
    <row r="850" spans="1:35" ht="15" customHeight="1">
      <c r="A850" s="69"/>
      <c r="B850" s="418"/>
      <c r="C850" s="263"/>
      <c r="E850" s="263"/>
      <c r="F850" s="263"/>
      <c r="G850" s="418"/>
      <c r="H850" s="263"/>
      <c r="I850" s="263"/>
      <c r="J850" s="263"/>
      <c r="K850" s="263"/>
      <c r="L850" s="563"/>
      <c r="M850" s="263"/>
      <c r="N850" s="263"/>
      <c r="O850" s="263"/>
      <c r="P850" s="265"/>
      <c r="Q850" s="263"/>
      <c r="R850" s="263"/>
      <c r="S850" s="263"/>
      <c r="T850" s="263"/>
      <c r="U850" s="263"/>
      <c r="V850" s="263"/>
      <c r="W850" s="263"/>
      <c r="X850" s="263"/>
      <c r="Y850" s="263"/>
      <c r="Z850" s="263"/>
      <c r="AA850" s="263"/>
      <c r="AB850" s="263"/>
      <c r="AC850" s="263"/>
      <c r="AD850" s="263"/>
      <c r="AE850" s="263"/>
      <c r="AF850" s="418"/>
      <c r="AG850" s="263"/>
      <c r="AH850" s="263"/>
      <c r="AI850" s="263"/>
    </row>
    <row r="851" spans="1:35" ht="15" customHeight="1">
      <c r="A851" s="69"/>
      <c r="B851" s="418"/>
      <c r="C851" s="263"/>
      <c r="E851" s="263"/>
      <c r="F851" s="263"/>
      <c r="G851" s="418"/>
      <c r="H851" s="263"/>
      <c r="I851" s="263"/>
      <c r="J851" s="263"/>
      <c r="K851" s="263"/>
      <c r="L851" s="563"/>
      <c r="M851" s="263"/>
      <c r="N851" s="263"/>
      <c r="O851" s="263"/>
      <c r="P851" s="265"/>
      <c r="Q851" s="263"/>
      <c r="R851" s="263"/>
      <c r="S851" s="263"/>
      <c r="T851" s="263"/>
      <c r="U851" s="263"/>
      <c r="V851" s="263"/>
      <c r="W851" s="263"/>
      <c r="X851" s="263"/>
      <c r="Y851" s="263"/>
      <c r="Z851" s="263"/>
      <c r="AA851" s="263"/>
      <c r="AB851" s="263"/>
      <c r="AC851" s="263"/>
      <c r="AD851" s="263"/>
      <c r="AE851" s="263"/>
      <c r="AF851" s="418"/>
      <c r="AG851" s="263"/>
      <c r="AH851" s="263"/>
      <c r="AI851" s="263"/>
    </row>
    <row r="852" spans="1:35" ht="15" customHeight="1">
      <c r="A852" s="69"/>
      <c r="B852" s="418"/>
      <c r="C852" s="263"/>
      <c r="E852" s="263"/>
      <c r="F852" s="263"/>
      <c r="G852" s="418"/>
      <c r="H852" s="263"/>
      <c r="I852" s="263"/>
      <c r="J852" s="263"/>
      <c r="K852" s="263"/>
      <c r="L852" s="563"/>
      <c r="M852" s="263"/>
      <c r="N852" s="263"/>
      <c r="O852" s="263"/>
      <c r="P852" s="265"/>
      <c r="Q852" s="263"/>
      <c r="R852" s="263"/>
      <c r="S852" s="263"/>
      <c r="T852" s="263"/>
      <c r="U852" s="263"/>
      <c r="V852" s="263"/>
      <c r="W852" s="263"/>
      <c r="X852" s="263"/>
      <c r="Y852" s="263"/>
      <c r="Z852" s="263"/>
      <c r="AA852" s="263"/>
      <c r="AB852" s="263"/>
      <c r="AC852" s="263"/>
      <c r="AD852" s="263"/>
      <c r="AE852" s="263"/>
      <c r="AF852" s="418"/>
      <c r="AG852" s="263"/>
      <c r="AH852" s="263"/>
      <c r="AI852" s="263"/>
    </row>
    <row r="853" spans="1:35" ht="15" customHeight="1">
      <c r="A853" s="69"/>
      <c r="B853" s="418"/>
      <c r="C853" s="263"/>
      <c r="E853" s="263"/>
      <c r="F853" s="263"/>
      <c r="G853" s="418"/>
      <c r="H853" s="263"/>
      <c r="I853" s="263"/>
      <c r="J853" s="263"/>
      <c r="K853" s="263"/>
      <c r="L853" s="563"/>
      <c r="M853" s="263"/>
      <c r="N853" s="263"/>
      <c r="O853" s="263"/>
      <c r="P853" s="265"/>
      <c r="Q853" s="263"/>
      <c r="R853" s="263"/>
      <c r="S853" s="263"/>
      <c r="T853" s="263"/>
      <c r="U853" s="263"/>
      <c r="V853" s="263"/>
      <c r="W853" s="263"/>
      <c r="X853" s="263"/>
      <c r="Y853" s="263"/>
      <c r="Z853" s="263"/>
      <c r="AA853" s="263"/>
      <c r="AB853" s="263"/>
      <c r="AC853" s="263"/>
      <c r="AD853" s="263"/>
      <c r="AE853" s="263"/>
      <c r="AF853" s="418"/>
      <c r="AG853" s="263"/>
      <c r="AH853" s="263"/>
      <c r="AI853" s="263"/>
    </row>
    <row r="854" spans="1:35" ht="15" customHeight="1">
      <c r="A854" s="69"/>
      <c r="B854" s="418"/>
      <c r="C854" s="263"/>
      <c r="E854" s="263"/>
      <c r="F854" s="263"/>
      <c r="G854" s="418"/>
      <c r="H854" s="263"/>
      <c r="I854" s="263"/>
      <c r="J854" s="263"/>
      <c r="K854" s="263"/>
      <c r="L854" s="563"/>
      <c r="M854" s="263"/>
      <c r="N854" s="263"/>
      <c r="O854" s="263"/>
      <c r="P854" s="265"/>
      <c r="Q854" s="263"/>
      <c r="R854" s="263"/>
      <c r="S854" s="263"/>
      <c r="T854" s="263"/>
      <c r="U854" s="263"/>
      <c r="V854" s="263"/>
      <c r="W854" s="263"/>
      <c r="X854" s="263"/>
      <c r="Y854" s="263"/>
      <c r="Z854" s="263"/>
      <c r="AA854" s="263"/>
      <c r="AB854" s="263"/>
      <c r="AC854" s="263"/>
      <c r="AD854" s="263"/>
      <c r="AE854" s="263"/>
      <c r="AF854" s="418"/>
      <c r="AG854" s="263"/>
      <c r="AH854" s="263"/>
      <c r="AI854" s="263"/>
    </row>
    <row r="855" spans="1:35" ht="15" customHeight="1">
      <c r="A855" s="69"/>
      <c r="B855" s="418"/>
      <c r="C855" s="263"/>
      <c r="E855" s="263"/>
      <c r="F855" s="263"/>
      <c r="G855" s="418"/>
      <c r="H855" s="263"/>
      <c r="I855" s="263"/>
      <c r="J855" s="263"/>
      <c r="K855" s="263"/>
      <c r="L855" s="563"/>
      <c r="M855" s="263"/>
      <c r="N855" s="263"/>
      <c r="O855" s="263"/>
      <c r="P855" s="265"/>
      <c r="Q855" s="263"/>
      <c r="R855" s="263"/>
      <c r="S855" s="263"/>
      <c r="T855" s="263"/>
      <c r="U855" s="263"/>
      <c r="V855" s="263"/>
      <c r="W855" s="263"/>
      <c r="X855" s="263"/>
      <c r="Y855" s="263"/>
      <c r="Z855" s="263"/>
      <c r="AA855" s="263"/>
      <c r="AB855" s="263"/>
      <c r="AC855" s="263"/>
      <c r="AD855" s="263"/>
      <c r="AE855" s="263"/>
      <c r="AF855" s="418"/>
      <c r="AG855" s="263"/>
      <c r="AH855" s="263"/>
      <c r="AI855" s="263"/>
    </row>
    <row r="856" spans="1:35" ht="15" customHeight="1">
      <c r="A856" s="69"/>
      <c r="B856" s="418"/>
      <c r="C856" s="263"/>
      <c r="E856" s="263"/>
      <c r="F856" s="263"/>
      <c r="G856" s="418"/>
      <c r="H856" s="263"/>
      <c r="I856" s="263"/>
      <c r="J856" s="263"/>
      <c r="K856" s="263"/>
      <c r="L856" s="563"/>
      <c r="M856" s="263"/>
      <c r="N856" s="263"/>
      <c r="O856" s="263"/>
      <c r="P856" s="265"/>
      <c r="Q856" s="263"/>
      <c r="R856" s="263"/>
      <c r="S856" s="263"/>
      <c r="T856" s="263"/>
      <c r="U856" s="263"/>
      <c r="V856" s="263"/>
      <c r="W856" s="263"/>
      <c r="X856" s="263"/>
      <c r="Y856" s="263"/>
      <c r="Z856" s="263"/>
      <c r="AA856" s="263"/>
      <c r="AB856" s="263"/>
      <c r="AC856" s="263"/>
      <c r="AD856" s="263"/>
      <c r="AE856" s="263"/>
      <c r="AF856" s="418"/>
      <c r="AG856" s="263"/>
      <c r="AH856" s="263"/>
      <c r="AI856" s="263"/>
    </row>
    <row r="857" spans="1:35" ht="15" customHeight="1">
      <c r="A857" s="69"/>
      <c r="B857" s="418"/>
      <c r="C857" s="263"/>
      <c r="E857" s="263"/>
      <c r="F857" s="263"/>
      <c r="G857" s="418"/>
      <c r="H857" s="263"/>
      <c r="I857" s="263"/>
      <c r="J857" s="263"/>
      <c r="K857" s="263"/>
      <c r="L857" s="563"/>
      <c r="M857" s="263"/>
      <c r="N857" s="263"/>
      <c r="O857" s="263"/>
      <c r="P857" s="265"/>
      <c r="Q857" s="263"/>
      <c r="R857" s="263"/>
      <c r="S857" s="263"/>
      <c r="T857" s="263"/>
      <c r="U857" s="263"/>
      <c r="V857" s="263"/>
      <c r="W857" s="263"/>
      <c r="X857" s="263"/>
      <c r="Y857" s="263"/>
      <c r="Z857" s="263"/>
      <c r="AA857" s="263"/>
      <c r="AB857" s="263"/>
      <c r="AC857" s="263"/>
      <c r="AD857" s="263"/>
      <c r="AE857" s="263"/>
      <c r="AF857" s="418"/>
      <c r="AG857" s="263"/>
      <c r="AH857" s="263"/>
      <c r="AI857" s="263"/>
    </row>
    <row r="858" spans="1:35" ht="15" customHeight="1">
      <c r="A858" s="69"/>
      <c r="B858" s="418"/>
      <c r="C858" s="263"/>
      <c r="E858" s="263"/>
      <c r="F858" s="263"/>
      <c r="G858" s="418"/>
      <c r="H858" s="263"/>
      <c r="I858" s="263"/>
      <c r="J858" s="263"/>
      <c r="K858" s="263"/>
      <c r="L858" s="563"/>
      <c r="M858" s="263"/>
      <c r="N858" s="263"/>
      <c r="O858" s="263"/>
      <c r="P858" s="265"/>
      <c r="Q858" s="263"/>
      <c r="R858" s="263"/>
      <c r="S858" s="263"/>
      <c r="T858" s="263"/>
      <c r="U858" s="263"/>
      <c r="V858" s="263"/>
      <c r="W858" s="263"/>
      <c r="X858" s="263"/>
      <c r="Y858" s="263"/>
      <c r="Z858" s="263"/>
      <c r="AA858" s="263"/>
      <c r="AB858" s="263"/>
      <c r="AC858" s="263"/>
      <c r="AD858" s="263"/>
      <c r="AE858" s="263"/>
      <c r="AF858" s="418"/>
      <c r="AG858" s="263"/>
      <c r="AH858" s="263"/>
      <c r="AI858" s="263"/>
    </row>
    <row r="859" spans="1:35" ht="15" customHeight="1">
      <c r="A859" s="69"/>
      <c r="B859" s="418"/>
      <c r="C859" s="263"/>
      <c r="E859" s="263"/>
      <c r="F859" s="263"/>
      <c r="G859" s="418"/>
      <c r="H859" s="263"/>
      <c r="I859" s="263"/>
      <c r="J859" s="263"/>
      <c r="K859" s="263"/>
      <c r="L859" s="563"/>
      <c r="M859" s="263"/>
      <c r="N859" s="263"/>
      <c r="O859" s="263"/>
      <c r="P859" s="265"/>
      <c r="Q859" s="263"/>
      <c r="R859" s="263"/>
      <c r="S859" s="263"/>
      <c r="T859" s="263"/>
      <c r="U859" s="263"/>
      <c r="V859" s="263"/>
      <c r="W859" s="263"/>
      <c r="X859" s="263"/>
      <c r="Y859" s="263"/>
      <c r="Z859" s="263"/>
      <c r="AA859" s="263"/>
      <c r="AB859" s="263"/>
      <c r="AC859" s="263"/>
      <c r="AD859" s="263"/>
      <c r="AE859" s="263"/>
      <c r="AF859" s="418"/>
      <c r="AG859" s="263"/>
      <c r="AH859" s="263"/>
      <c r="AI859" s="263"/>
    </row>
    <row r="860" spans="1:35" ht="15" customHeight="1">
      <c r="A860" s="69"/>
      <c r="B860" s="418"/>
      <c r="C860" s="263"/>
      <c r="E860" s="263"/>
      <c r="F860" s="263"/>
      <c r="G860" s="418"/>
      <c r="H860" s="263"/>
      <c r="I860" s="263"/>
      <c r="J860" s="263"/>
      <c r="K860" s="263"/>
      <c r="L860" s="563"/>
      <c r="M860" s="263"/>
      <c r="N860" s="263"/>
      <c r="O860" s="263"/>
      <c r="P860" s="265"/>
      <c r="Q860" s="263"/>
      <c r="R860" s="263"/>
      <c r="S860" s="263"/>
      <c r="T860" s="263"/>
      <c r="U860" s="263"/>
      <c r="V860" s="263"/>
      <c r="W860" s="263"/>
      <c r="X860" s="263"/>
      <c r="Y860" s="263"/>
      <c r="Z860" s="263"/>
      <c r="AA860" s="263"/>
      <c r="AB860" s="263"/>
      <c r="AC860" s="263"/>
      <c r="AD860" s="263"/>
      <c r="AE860" s="263"/>
      <c r="AF860" s="418"/>
      <c r="AG860" s="263"/>
      <c r="AH860" s="263"/>
      <c r="AI860" s="263"/>
    </row>
    <row r="861" spans="1:35" ht="15" customHeight="1">
      <c r="A861" s="69"/>
      <c r="B861" s="418"/>
      <c r="C861" s="263"/>
      <c r="E861" s="263"/>
      <c r="F861" s="263"/>
      <c r="G861" s="418"/>
      <c r="H861" s="263"/>
      <c r="I861" s="263"/>
      <c r="J861" s="263"/>
      <c r="K861" s="263"/>
      <c r="L861" s="563"/>
      <c r="M861" s="263"/>
      <c r="N861" s="263"/>
      <c r="O861" s="263"/>
      <c r="P861" s="265"/>
      <c r="Q861" s="263"/>
      <c r="R861" s="263"/>
      <c r="S861" s="263"/>
      <c r="T861" s="263"/>
      <c r="U861" s="263"/>
      <c r="V861" s="263"/>
      <c r="W861" s="263"/>
      <c r="X861" s="263"/>
      <c r="Y861" s="263"/>
      <c r="Z861" s="263"/>
      <c r="AA861" s="263"/>
      <c r="AB861" s="263"/>
      <c r="AC861" s="263"/>
      <c r="AD861" s="263"/>
      <c r="AE861" s="263"/>
      <c r="AF861" s="418"/>
      <c r="AG861" s="263"/>
      <c r="AH861" s="263"/>
      <c r="AI861" s="263"/>
    </row>
    <row r="862" spans="1:35" ht="15" customHeight="1">
      <c r="A862" s="69"/>
      <c r="B862" s="418"/>
      <c r="C862" s="263"/>
      <c r="E862" s="263"/>
      <c r="F862" s="263"/>
      <c r="G862" s="418"/>
      <c r="H862" s="263"/>
      <c r="I862" s="263"/>
      <c r="J862" s="263"/>
      <c r="K862" s="263"/>
      <c r="L862" s="563"/>
      <c r="M862" s="263"/>
      <c r="N862" s="263"/>
      <c r="O862" s="263"/>
      <c r="P862" s="265"/>
      <c r="Q862" s="263"/>
      <c r="R862" s="263"/>
      <c r="S862" s="263"/>
      <c r="T862" s="263"/>
      <c r="U862" s="263"/>
      <c r="V862" s="263"/>
      <c r="W862" s="263"/>
      <c r="X862" s="263"/>
      <c r="Y862" s="263"/>
      <c r="Z862" s="263"/>
      <c r="AA862" s="263"/>
      <c r="AB862" s="263"/>
      <c r="AC862" s="263"/>
      <c r="AD862" s="263"/>
      <c r="AE862" s="263"/>
      <c r="AF862" s="418"/>
      <c r="AG862" s="263"/>
      <c r="AH862" s="263"/>
      <c r="AI862" s="263"/>
    </row>
    <row r="863" spans="1:35" ht="15" customHeight="1">
      <c r="A863" s="69"/>
      <c r="B863" s="418"/>
      <c r="C863" s="263"/>
      <c r="E863" s="263"/>
      <c r="F863" s="263"/>
      <c r="G863" s="418"/>
      <c r="H863" s="263"/>
      <c r="I863" s="263"/>
      <c r="J863" s="263"/>
      <c r="K863" s="263"/>
      <c r="L863" s="563"/>
      <c r="M863" s="263"/>
      <c r="N863" s="263"/>
      <c r="O863" s="263"/>
      <c r="P863" s="265"/>
      <c r="Q863" s="263"/>
      <c r="R863" s="263"/>
      <c r="S863" s="263"/>
      <c r="T863" s="263"/>
      <c r="U863" s="263"/>
      <c r="V863" s="263"/>
      <c r="W863" s="263"/>
      <c r="X863" s="263"/>
      <c r="Y863" s="263"/>
      <c r="Z863" s="263"/>
      <c r="AA863" s="263"/>
      <c r="AB863" s="263"/>
      <c r="AC863" s="263"/>
      <c r="AD863" s="263"/>
      <c r="AE863" s="263"/>
      <c r="AF863" s="418"/>
      <c r="AG863" s="263"/>
      <c r="AH863" s="263"/>
      <c r="AI863" s="263"/>
    </row>
    <row r="864" spans="1:35" ht="15" customHeight="1">
      <c r="A864" s="69"/>
      <c r="B864" s="418"/>
      <c r="C864" s="263"/>
      <c r="E864" s="263"/>
      <c r="F864" s="263"/>
      <c r="G864" s="418"/>
      <c r="H864" s="263"/>
      <c r="I864" s="263"/>
      <c r="J864" s="263"/>
      <c r="K864" s="263"/>
      <c r="L864" s="563"/>
      <c r="M864" s="263"/>
      <c r="N864" s="263"/>
      <c r="O864" s="263"/>
      <c r="P864" s="265"/>
      <c r="Q864" s="263"/>
      <c r="R864" s="263"/>
      <c r="S864" s="263"/>
      <c r="T864" s="263"/>
      <c r="U864" s="263"/>
      <c r="V864" s="263"/>
      <c r="W864" s="263"/>
      <c r="X864" s="263"/>
      <c r="Y864" s="263"/>
      <c r="Z864" s="263"/>
      <c r="AA864" s="263"/>
      <c r="AB864" s="263"/>
      <c r="AC864" s="263"/>
      <c r="AD864" s="263"/>
      <c r="AE864" s="263"/>
      <c r="AF864" s="418"/>
      <c r="AG864" s="263"/>
      <c r="AH864" s="263"/>
      <c r="AI864" s="263"/>
    </row>
    <row r="865" spans="1:35" ht="15" customHeight="1">
      <c r="A865" s="69"/>
      <c r="B865" s="418"/>
      <c r="C865" s="263"/>
      <c r="E865" s="263"/>
      <c r="F865" s="263"/>
      <c r="G865" s="418"/>
      <c r="H865" s="263"/>
      <c r="I865" s="263"/>
      <c r="J865" s="263"/>
      <c r="K865" s="263"/>
      <c r="L865" s="563"/>
      <c r="M865" s="263"/>
      <c r="N865" s="263"/>
      <c r="O865" s="263"/>
      <c r="P865" s="265"/>
      <c r="Q865" s="263"/>
      <c r="R865" s="263"/>
      <c r="S865" s="263"/>
      <c r="T865" s="263"/>
      <c r="U865" s="263"/>
      <c r="V865" s="263"/>
      <c r="W865" s="263"/>
      <c r="X865" s="263"/>
      <c r="Y865" s="263"/>
      <c r="Z865" s="263"/>
      <c r="AA865" s="263"/>
      <c r="AB865" s="263"/>
      <c r="AC865" s="263"/>
      <c r="AD865" s="263"/>
      <c r="AE865" s="263"/>
      <c r="AF865" s="418"/>
      <c r="AG865" s="263"/>
      <c r="AH865" s="263"/>
      <c r="AI865" s="263"/>
    </row>
    <row r="866" spans="1:35" ht="15" customHeight="1">
      <c r="A866" s="69"/>
      <c r="B866" s="418"/>
      <c r="C866" s="263"/>
      <c r="E866" s="263"/>
      <c r="F866" s="263"/>
      <c r="G866" s="418"/>
      <c r="H866" s="263"/>
      <c r="I866" s="263"/>
      <c r="J866" s="263"/>
      <c r="K866" s="263"/>
      <c r="L866" s="563"/>
      <c r="M866" s="263"/>
      <c r="N866" s="263"/>
      <c r="O866" s="263"/>
      <c r="P866" s="265"/>
      <c r="Q866" s="263"/>
      <c r="R866" s="263"/>
      <c r="S866" s="263"/>
      <c r="T866" s="263"/>
      <c r="U866" s="263"/>
      <c r="V866" s="263"/>
      <c r="W866" s="263"/>
      <c r="X866" s="263"/>
      <c r="Y866" s="263"/>
      <c r="Z866" s="263"/>
      <c r="AA866" s="263"/>
      <c r="AB866" s="263"/>
      <c r="AC866" s="263"/>
      <c r="AD866" s="263"/>
      <c r="AE866" s="263"/>
      <c r="AF866" s="418"/>
      <c r="AG866" s="263"/>
      <c r="AH866" s="263"/>
      <c r="AI866" s="263"/>
    </row>
    <row r="867" spans="1:35" ht="15" customHeight="1">
      <c r="A867" s="69"/>
      <c r="B867" s="418"/>
      <c r="C867" s="263"/>
      <c r="E867" s="263"/>
      <c r="F867" s="263"/>
      <c r="G867" s="418"/>
      <c r="H867" s="263"/>
      <c r="I867" s="263"/>
      <c r="J867" s="263"/>
      <c r="K867" s="263"/>
      <c r="L867" s="563"/>
      <c r="M867" s="263"/>
      <c r="N867" s="263"/>
      <c r="O867" s="263"/>
      <c r="P867" s="265"/>
      <c r="Q867" s="263"/>
      <c r="R867" s="263"/>
      <c r="S867" s="263"/>
      <c r="T867" s="263"/>
      <c r="U867" s="263"/>
      <c r="V867" s="263"/>
      <c r="W867" s="263"/>
      <c r="X867" s="263"/>
      <c r="Y867" s="263"/>
      <c r="Z867" s="263"/>
      <c r="AA867" s="263"/>
      <c r="AB867" s="263"/>
      <c r="AC867" s="263"/>
      <c r="AD867" s="263"/>
      <c r="AE867" s="263"/>
      <c r="AF867" s="418"/>
      <c r="AG867" s="263"/>
      <c r="AH867" s="263"/>
      <c r="AI867" s="263"/>
    </row>
    <row r="868" spans="1:35" ht="15" customHeight="1">
      <c r="A868" s="69"/>
      <c r="B868" s="418"/>
      <c r="C868" s="263"/>
      <c r="E868" s="263"/>
      <c r="F868" s="263"/>
      <c r="G868" s="418"/>
      <c r="H868" s="263"/>
      <c r="I868" s="263"/>
      <c r="J868" s="263"/>
      <c r="K868" s="263"/>
      <c r="L868" s="563"/>
      <c r="M868" s="263"/>
      <c r="N868" s="263"/>
      <c r="O868" s="263"/>
      <c r="P868" s="265"/>
      <c r="Q868" s="263"/>
      <c r="R868" s="263"/>
      <c r="S868" s="263"/>
      <c r="T868" s="263"/>
      <c r="U868" s="263"/>
      <c r="V868" s="263"/>
      <c r="W868" s="263"/>
      <c r="X868" s="263"/>
      <c r="Y868" s="263"/>
      <c r="Z868" s="263"/>
      <c r="AA868" s="263"/>
      <c r="AB868" s="263"/>
      <c r="AC868" s="263"/>
      <c r="AD868" s="263"/>
      <c r="AE868" s="263"/>
      <c r="AF868" s="418"/>
      <c r="AG868" s="263"/>
      <c r="AH868" s="263"/>
      <c r="AI868" s="263"/>
    </row>
    <row r="869" spans="1:35" ht="15" customHeight="1">
      <c r="A869" s="69"/>
      <c r="B869" s="418"/>
      <c r="C869" s="263"/>
      <c r="E869" s="263"/>
      <c r="F869" s="263"/>
      <c r="G869" s="418"/>
      <c r="H869" s="263"/>
      <c r="I869" s="263"/>
      <c r="J869" s="263"/>
      <c r="K869" s="263"/>
      <c r="L869" s="563"/>
      <c r="M869" s="263"/>
      <c r="N869" s="263"/>
      <c r="O869" s="263"/>
      <c r="P869" s="265"/>
      <c r="Q869" s="263"/>
      <c r="R869" s="263"/>
      <c r="S869" s="263"/>
      <c r="T869" s="263"/>
      <c r="U869" s="263"/>
      <c r="V869" s="263"/>
      <c r="W869" s="263"/>
      <c r="X869" s="263"/>
      <c r="Y869" s="263"/>
      <c r="Z869" s="263"/>
      <c r="AA869" s="263"/>
      <c r="AB869" s="263"/>
      <c r="AC869" s="263"/>
      <c r="AD869" s="263"/>
      <c r="AE869" s="263"/>
      <c r="AF869" s="418"/>
      <c r="AG869" s="263"/>
      <c r="AH869" s="263"/>
      <c r="AI869" s="263"/>
    </row>
    <row r="870" spans="1:35" ht="15" customHeight="1">
      <c r="A870" s="69"/>
      <c r="B870" s="418"/>
      <c r="C870" s="263"/>
      <c r="E870" s="263"/>
      <c r="F870" s="263"/>
      <c r="G870" s="418"/>
      <c r="H870" s="263"/>
      <c r="I870" s="263"/>
      <c r="J870" s="263"/>
      <c r="K870" s="263"/>
      <c r="L870" s="563"/>
      <c r="M870" s="263"/>
      <c r="N870" s="263"/>
      <c r="O870" s="263"/>
      <c r="P870" s="265"/>
      <c r="Q870" s="263"/>
      <c r="R870" s="263"/>
      <c r="S870" s="263"/>
      <c r="T870" s="263"/>
      <c r="U870" s="263"/>
      <c r="V870" s="263"/>
      <c r="W870" s="263"/>
      <c r="X870" s="263"/>
      <c r="Y870" s="263"/>
      <c r="Z870" s="263"/>
      <c r="AA870" s="263"/>
      <c r="AB870" s="263"/>
      <c r="AC870" s="263"/>
      <c r="AD870" s="263"/>
      <c r="AE870" s="263"/>
      <c r="AF870" s="418"/>
      <c r="AG870" s="263"/>
      <c r="AH870" s="263"/>
      <c r="AI870" s="263"/>
    </row>
    <row r="871" spans="1:35" ht="15" customHeight="1">
      <c r="A871" s="69"/>
      <c r="B871" s="418"/>
      <c r="C871" s="263"/>
      <c r="E871" s="263"/>
      <c r="F871" s="263"/>
      <c r="G871" s="418"/>
      <c r="H871" s="263"/>
      <c r="I871" s="263"/>
      <c r="J871" s="263"/>
      <c r="K871" s="263"/>
      <c r="L871" s="563"/>
      <c r="M871" s="263"/>
      <c r="N871" s="263"/>
      <c r="O871" s="263"/>
      <c r="P871" s="265"/>
      <c r="Q871" s="263"/>
      <c r="R871" s="263"/>
      <c r="S871" s="263"/>
      <c r="T871" s="263"/>
      <c r="U871" s="263"/>
      <c r="V871" s="263"/>
      <c r="W871" s="263"/>
      <c r="X871" s="263"/>
      <c r="Y871" s="263"/>
      <c r="Z871" s="263"/>
      <c r="AA871" s="263"/>
      <c r="AB871" s="263"/>
      <c r="AC871" s="263"/>
      <c r="AD871" s="263"/>
      <c r="AE871" s="263"/>
      <c r="AF871" s="418"/>
      <c r="AG871" s="263"/>
      <c r="AH871" s="263"/>
      <c r="AI871" s="263"/>
    </row>
    <row r="872" spans="1:35" ht="15" customHeight="1">
      <c r="A872" s="69"/>
      <c r="B872" s="418"/>
      <c r="C872" s="263"/>
      <c r="E872" s="263"/>
      <c r="F872" s="263"/>
      <c r="G872" s="418"/>
      <c r="H872" s="263"/>
      <c r="I872" s="263"/>
      <c r="J872" s="263"/>
      <c r="K872" s="263"/>
      <c r="L872" s="563"/>
      <c r="M872" s="263"/>
      <c r="N872" s="263"/>
      <c r="O872" s="263"/>
      <c r="P872" s="265"/>
      <c r="Q872" s="263"/>
      <c r="R872" s="263"/>
      <c r="S872" s="263"/>
      <c r="T872" s="263"/>
      <c r="U872" s="263"/>
      <c r="V872" s="263"/>
      <c r="W872" s="263"/>
      <c r="X872" s="263"/>
      <c r="Y872" s="263"/>
      <c r="Z872" s="263"/>
      <c r="AA872" s="263"/>
      <c r="AB872" s="263"/>
      <c r="AC872" s="263"/>
      <c r="AD872" s="263"/>
      <c r="AE872" s="263"/>
      <c r="AF872" s="418"/>
      <c r="AG872" s="263"/>
      <c r="AH872" s="263"/>
      <c r="AI872" s="263"/>
    </row>
    <row r="873" spans="1:35" ht="15" customHeight="1">
      <c r="A873" s="69"/>
      <c r="B873" s="418"/>
      <c r="C873" s="263"/>
      <c r="E873" s="263"/>
      <c r="F873" s="263"/>
      <c r="G873" s="418"/>
      <c r="H873" s="263"/>
      <c r="I873" s="263"/>
      <c r="J873" s="263"/>
      <c r="K873" s="263"/>
      <c r="L873" s="563"/>
      <c r="M873" s="263"/>
      <c r="N873" s="263"/>
      <c r="O873" s="263"/>
      <c r="P873" s="265"/>
      <c r="Q873" s="263"/>
      <c r="R873" s="263"/>
      <c r="S873" s="263"/>
      <c r="T873" s="263"/>
      <c r="U873" s="263"/>
      <c r="V873" s="263"/>
      <c r="W873" s="263"/>
      <c r="X873" s="263"/>
      <c r="Y873" s="263"/>
      <c r="Z873" s="263"/>
      <c r="AA873" s="263"/>
      <c r="AB873" s="263"/>
      <c r="AC873" s="263"/>
      <c r="AD873" s="263"/>
      <c r="AE873" s="263"/>
      <c r="AF873" s="418"/>
      <c r="AG873" s="263"/>
      <c r="AH873" s="263"/>
      <c r="AI873" s="263"/>
    </row>
    <row r="874" spans="1:35" ht="15" customHeight="1">
      <c r="A874" s="69"/>
      <c r="B874" s="418"/>
      <c r="C874" s="263"/>
      <c r="E874" s="263"/>
      <c r="F874" s="263"/>
      <c r="G874" s="418"/>
      <c r="H874" s="263"/>
      <c r="I874" s="263"/>
      <c r="J874" s="263"/>
      <c r="K874" s="263"/>
      <c r="L874" s="563"/>
      <c r="M874" s="263"/>
      <c r="N874" s="263"/>
      <c r="O874" s="263"/>
      <c r="P874" s="265"/>
      <c r="Q874" s="263"/>
      <c r="R874" s="263"/>
      <c r="S874" s="263"/>
      <c r="T874" s="263"/>
      <c r="U874" s="263"/>
      <c r="V874" s="263"/>
      <c r="W874" s="263"/>
      <c r="X874" s="263"/>
      <c r="Y874" s="263"/>
      <c r="Z874" s="263"/>
      <c r="AA874" s="263"/>
      <c r="AB874" s="263"/>
      <c r="AC874" s="263"/>
      <c r="AD874" s="263"/>
      <c r="AE874" s="263"/>
      <c r="AF874" s="418"/>
      <c r="AG874" s="263"/>
      <c r="AH874" s="263"/>
      <c r="AI874" s="263"/>
    </row>
    <row r="875" spans="1:35" ht="15" customHeight="1">
      <c r="A875" s="69"/>
      <c r="B875" s="418"/>
      <c r="C875" s="263"/>
      <c r="E875" s="263"/>
      <c r="F875" s="263"/>
      <c r="G875" s="418"/>
      <c r="H875" s="263"/>
      <c r="I875" s="263"/>
      <c r="J875" s="263"/>
      <c r="K875" s="263"/>
      <c r="L875" s="563"/>
      <c r="M875" s="263"/>
      <c r="N875" s="263"/>
      <c r="O875" s="263"/>
      <c r="P875" s="265"/>
      <c r="Q875" s="263"/>
      <c r="R875" s="263"/>
      <c r="S875" s="263"/>
      <c r="T875" s="263"/>
      <c r="U875" s="263"/>
      <c r="V875" s="263"/>
      <c r="W875" s="263"/>
      <c r="X875" s="263"/>
      <c r="Y875" s="263"/>
      <c r="Z875" s="263"/>
      <c r="AA875" s="263"/>
      <c r="AB875" s="263"/>
      <c r="AC875" s="263"/>
      <c r="AD875" s="263"/>
      <c r="AE875" s="263"/>
      <c r="AF875" s="418"/>
      <c r="AG875" s="263"/>
      <c r="AH875" s="263"/>
      <c r="AI875" s="263"/>
    </row>
    <row r="876" spans="1:35" ht="15" customHeight="1">
      <c r="A876" s="69"/>
      <c r="B876" s="418"/>
      <c r="C876" s="263"/>
      <c r="E876" s="263"/>
      <c r="F876" s="263"/>
      <c r="G876" s="418"/>
      <c r="H876" s="263"/>
      <c r="I876" s="263"/>
      <c r="J876" s="263"/>
      <c r="K876" s="263"/>
      <c r="L876" s="563"/>
      <c r="M876" s="263"/>
      <c r="N876" s="263"/>
      <c r="O876" s="263"/>
      <c r="P876" s="265"/>
      <c r="Q876" s="263"/>
      <c r="R876" s="263"/>
      <c r="S876" s="263"/>
      <c r="T876" s="263"/>
      <c r="U876" s="263"/>
      <c r="V876" s="263"/>
      <c r="W876" s="263"/>
      <c r="X876" s="263"/>
      <c r="Y876" s="263"/>
      <c r="Z876" s="263"/>
      <c r="AA876" s="263"/>
      <c r="AB876" s="263"/>
      <c r="AC876" s="263"/>
      <c r="AD876" s="263"/>
      <c r="AE876" s="263"/>
      <c r="AF876" s="418"/>
      <c r="AG876" s="263"/>
      <c r="AH876" s="263"/>
      <c r="AI876" s="263"/>
    </row>
    <row r="877" spans="1:35" ht="15" customHeight="1">
      <c r="A877" s="69"/>
      <c r="B877" s="418"/>
      <c r="C877" s="263"/>
      <c r="E877" s="263"/>
      <c r="F877" s="263"/>
      <c r="G877" s="418"/>
      <c r="H877" s="263"/>
      <c r="I877" s="263"/>
      <c r="J877" s="263"/>
      <c r="K877" s="263"/>
      <c r="L877" s="563"/>
      <c r="M877" s="263"/>
      <c r="N877" s="263"/>
      <c r="O877" s="263"/>
      <c r="P877" s="265"/>
      <c r="Q877" s="263"/>
      <c r="R877" s="263"/>
      <c r="S877" s="263"/>
      <c r="T877" s="263"/>
      <c r="U877" s="263"/>
      <c r="V877" s="263"/>
      <c r="W877" s="263"/>
      <c r="X877" s="263"/>
      <c r="Y877" s="263"/>
      <c r="Z877" s="263"/>
      <c r="AA877" s="263"/>
      <c r="AB877" s="263"/>
      <c r="AC877" s="263"/>
      <c r="AD877" s="263"/>
      <c r="AE877" s="263"/>
      <c r="AF877" s="418"/>
      <c r="AG877" s="263"/>
      <c r="AH877" s="263"/>
      <c r="AI877" s="263"/>
    </row>
    <row r="878" spans="1:35" ht="15" customHeight="1">
      <c r="A878" s="69"/>
      <c r="B878" s="418"/>
      <c r="C878" s="263"/>
      <c r="E878" s="263"/>
      <c r="F878" s="263"/>
      <c r="G878" s="418"/>
      <c r="H878" s="263"/>
      <c r="I878" s="263"/>
      <c r="J878" s="263"/>
      <c r="K878" s="263"/>
      <c r="L878" s="563"/>
      <c r="M878" s="263"/>
      <c r="N878" s="263"/>
      <c r="O878" s="263"/>
      <c r="P878" s="265"/>
      <c r="Q878" s="263"/>
      <c r="R878" s="263"/>
      <c r="S878" s="263"/>
      <c r="T878" s="263"/>
      <c r="U878" s="263"/>
      <c r="V878" s="263"/>
      <c r="W878" s="263"/>
      <c r="X878" s="263"/>
      <c r="Y878" s="263"/>
      <c r="Z878" s="263"/>
      <c r="AA878" s="263"/>
      <c r="AB878" s="263"/>
      <c r="AC878" s="263"/>
      <c r="AD878" s="263"/>
      <c r="AE878" s="263"/>
      <c r="AF878" s="418"/>
      <c r="AG878" s="263"/>
      <c r="AH878" s="263"/>
      <c r="AI878" s="263"/>
    </row>
    <row r="879" spans="1:35" ht="15" customHeight="1">
      <c r="A879" s="69"/>
      <c r="B879" s="418"/>
      <c r="C879" s="263"/>
      <c r="E879" s="263"/>
      <c r="F879" s="263"/>
      <c r="G879" s="418"/>
      <c r="H879" s="263"/>
      <c r="I879" s="263"/>
      <c r="J879" s="263"/>
      <c r="K879" s="263"/>
      <c r="L879" s="563"/>
      <c r="M879" s="263"/>
      <c r="N879" s="263"/>
      <c r="O879" s="263"/>
      <c r="P879" s="265"/>
      <c r="Q879" s="263"/>
      <c r="R879" s="263"/>
      <c r="S879" s="263"/>
      <c r="T879" s="263"/>
      <c r="U879" s="263"/>
      <c r="V879" s="263"/>
      <c r="W879" s="263"/>
      <c r="X879" s="263"/>
      <c r="Y879" s="263"/>
      <c r="Z879" s="263"/>
      <c r="AA879" s="263"/>
      <c r="AB879" s="263"/>
      <c r="AC879" s="263"/>
      <c r="AD879" s="263"/>
      <c r="AE879" s="263"/>
      <c r="AF879" s="418"/>
      <c r="AG879" s="263"/>
      <c r="AH879" s="263"/>
      <c r="AI879" s="263"/>
    </row>
    <row r="880" spans="1:35" ht="15" customHeight="1">
      <c r="A880" s="69"/>
      <c r="B880" s="418"/>
      <c r="C880" s="263"/>
      <c r="E880" s="263"/>
      <c r="F880" s="263"/>
      <c r="G880" s="418"/>
      <c r="H880" s="263"/>
      <c r="I880" s="263"/>
      <c r="J880" s="263"/>
      <c r="K880" s="263"/>
      <c r="L880" s="563"/>
      <c r="M880" s="263"/>
      <c r="N880" s="263"/>
      <c r="O880" s="263"/>
      <c r="P880" s="265"/>
      <c r="Q880" s="263"/>
      <c r="R880" s="263"/>
      <c r="S880" s="263"/>
      <c r="T880" s="263"/>
      <c r="U880" s="263"/>
      <c r="V880" s="263"/>
      <c r="W880" s="263"/>
      <c r="X880" s="263"/>
      <c r="Y880" s="263"/>
      <c r="Z880" s="263"/>
      <c r="AA880" s="263"/>
      <c r="AB880" s="263"/>
      <c r="AC880" s="263"/>
      <c r="AD880" s="263"/>
      <c r="AE880" s="263"/>
      <c r="AF880" s="418"/>
      <c r="AG880" s="263"/>
      <c r="AH880" s="263"/>
      <c r="AI880" s="263"/>
    </row>
    <row r="881" spans="1:35" ht="15" customHeight="1">
      <c r="A881" s="69"/>
      <c r="B881" s="418"/>
      <c r="C881" s="263"/>
      <c r="E881" s="263"/>
      <c r="F881" s="263"/>
      <c r="G881" s="418"/>
      <c r="H881" s="263"/>
      <c r="I881" s="263"/>
      <c r="J881" s="263"/>
      <c r="K881" s="263"/>
      <c r="L881" s="563"/>
      <c r="M881" s="263"/>
      <c r="N881" s="263"/>
      <c r="O881" s="263"/>
      <c r="P881" s="265"/>
      <c r="Q881" s="263"/>
      <c r="R881" s="263"/>
      <c r="S881" s="263"/>
      <c r="T881" s="263"/>
      <c r="U881" s="263"/>
      <c r="V881" s="263"/>
      <c r="W881" s="263"/>
      <c r="X881" s="263"/>
      <c r="Y881" s="263"/>
      <c r="Z881" s="263"/>
      <c r="AA881" s="263"/>
      <c r="AB881" s="263"/>
      <c r="AC881" s="263"/>
      <c r="AD881" s="263"/>
      <c r="AE881" s="263"/>
      <c r="AF881" s="418"/>
      <c r="AG881" s="263"/>
      <c r="AH881" s="263"/>
      <c r="AI881" s="263"/>
    </row>
    <row r="882" spans="1:35" ht="15" customHeight="1">
      <c r="A882" s="69"/>
      <c r="B882" s="418"/>
      <c r="C882" s="263"/>
      <c r="E882" s="263"/>
      <c r="F882" s="263"/>
      <c r="G882" s="418"/>
      <c r="H882" s="263"/>
      <c r="I882" s="263"/>
      <c r="J882" s="263"/>
      <c r="K882" s="263"/>
      <c r="L882" s="563"/>
      <c r="M882" s="263"/>
      <c r="N882" s="263"/>
      <c r="O882" s="263"/>
      <c r="P882" s="265"/>
      <c r="Q882" s="263"/>
      <c r="R882" s="263"/>
      <c r="S882" s="263"/>
      <c r="T882" s="263"/>
      <c r="U882" s="263"/>
      <c r="V882" s="263"/>
      <c r="W882" s="263"/>
      <c r="X882" s="263"/>
      <c r="Y882" s="263"/>
      <c r="Z882" s="263"/>
      <c r="AA882" s="263"/>
      <c r="AB882" s="263"/>
      <c r="AC882" s="263"/>
      <c r="AD882" s="263"/>
      <c r="AE882" s="263"/>
      <c r="AF882" s="418"/>
      <c r="AG882" s="263"/>
      <c r="AH882" s="263"/>
      <c r="AI882" s="263"/>
    </row>
    <row r="883" spans="1:35" ht="15" customHeight="1">
      <c r="A883" s="69"/>
      <c r="B883" s="418"/>
      <c r="C883" s="263"/>
      <c r="E883" s="263"/>
      <c r="F883" s="263"/>
      <c r="G883" s="418"/>
      <c r="H883" s="263"/>
      <c r="I883" s="263"/>
      <c r="J883" s="263"/>
      <c r="K883" s="263"/>
      <c r="L883" s="563"/>
      <c r="M883" s="263"/>
      <c r="N883" s="263"/>
      <c r="O883" s="263"/>
      <c r="P883" s="265"/>
      <c r="Q883" s="263"/>
      <c r="R883" s="263"/>
      <c r="S883" s="263"/>
      <c r="T883" s="263"/>
      <c r="U883" s="263"/>
      <c r="V883" s="263"/>
      <c r="W883" s="263"/>
      <c r="X883" s="263"/>
      <c r="Y883" s="263"/>
      <c r="Z883" s="263"/>
      <c r="AA883" s="263"/>
      <c r="AB883" s="263"/>
      <c r="AC883" s="263"/>
      <c r="AD883" s="263"/>
      <c r="AE883" s="263"/>
      <c r="AF883" s="418"/>
      <c r="AG883" s="263"/>
      <c r="AH883" s="263"/>
      <c r="AI883" s="263"/>
    </row>
    <row r="884" spans="1:35" ht="15" customHeight="1">
      <c r="A884" s="69"/>
      <c r="B884" s="418"/>
      <c r="C884" s="263"/>
      <c r="E884" s="263"/>
      <c r="F884" s="263"/>
      <c r="G884" s="418"/>
      <c r="H884" s="263"/>
      <c r="I884" s="263"/>
      <c r="J884" s="263"/>
      <c r="K884" s="263"/>
      <c r="L884" s="563"/>
      <c r="M884" s="263"/>
      <c r="N884" s="263"/>
      <c r="O884" s="263"/>
      <c r="P884" s="265"/>
      <c r="Q884" s="263"/>
      <c r="R884" s="263"/>
      <c r="S884" s="263"/>
      <c r="T884" s="263"/>
      <c r="U884" s="263"/>
      <c r="V884" s="263"/>
      <c r="W884" s="263"/>
      <c r="X884" s="263"/>
      <c r="Y884" s="263"/>
      <c r="Z884" s="263"/>
      <c r="AA884" s="263"/>
      <c r="AB884" s="263"/>
      <c r="AC884" s="263"/>
      <c r="AD884" s="263"/>
      <c r="AE884" s="263"/>
      <c r="AF884" s="418"/>
      <c r="AG884" s="263"/>
      <c r="AH884" s="263"/>
      <c r="AI884" s="263"/>
    </row>
    <row r="885" spans="1:35" ht="15" customHeight="1">
      <c r="A885" s="69"/>
      <c r="B885" s="418"/>
      <c r="C885" s="263"/>
      <c r="E885" s="263"/>
      <c r="F885" s="263"/>
      <c r="G885" s="418"/>
      <c r="H885" s="263"/>
      <c r="I885" s="263"/>
      <c r="J885" s="263"/>
      <c r="K885" s="263"/>
      <c r="L885" s="563"/>
      <c r="M885" s="263"/>
      <c r="N885" s="263"/>
      <c r="O885" s="263"/>
      <c r="P885" s="265"/>
      <c r="Q885" s="263"/>
      <c r="R885" s="263"/>
      <c r="S885" s="263"/>
      <c r="T885" s="263"/>
      <c r="U885" s="263"/>
      <c r="V885" s="263"/>
      <c r="W885" s="263"/>
      <c r="X885" s="263"/>
      <c r="Y885" s="263"/>
      <c r="Z885" s="263"/>
      <c r="AA885" s="263"/>
      <c r="AB885" s="263"/>
      <c r="AC885" s="263"/>
      <c r="AD885" s="263"/>
      <c r="AE885" s="263"/>
      <c r="AF885" s="418"/>
      <c r="AG885" s="263"/>
      <c r="AH885" s="263"/>
      <c r="AI885" s="263"/>
    </row>
    <row r="886" spans="1:35" ht="15" customHeight="1">
      <c r="A886" s="69"/>
      <c r="B886" s="418"/>
      <c r="C886" s="263"/>
      <c r="E886" s="263"/>
      <c r="F886" s="263"/>
      <c r="G886" s="418"/>
      <c r="H886" s="263"/>
      <c r="I886" s="263"/>
      <c r="J886" s="263"/>
      <c r="K886" s="263"/>
      <c r="L886" s="563"/>
      <c r="M886" s="263"/>
      <c r="N886" s="263"/>
      <c r="O886" s="263"/>
      <c r="P886" s="265"/>
      <c r="Q886" s="263"/>
      <c r="R886" s="263"/>
      <c r="S886" s="263"/>
      <c r="T886" s="263"/>
      <c r="U886" s="263"/>
      <c r="V886" s="263"/>
      <c r="W886" s="263"/>
      <c r="X886" s="263"/>
      <c r="Y886" s="263"/>
      <c r="Z886" s="263"/>
      <c r="AA886" s="263"/>
      <c r="AB886" s="263"/>
      <c r="AC886" s="263"/>
      <c r="AD886" s="263"/>
      <c r="AE886" s="263"/>
      <c r="AF886" s="418"/>
      <c r="AG886" s="263"/>
      <c r="AH886" s="263"/>
      <c r="AI886" s="263"/>
    </row>
    <row r="887" spans="1:35" ht="15" customHeight="1">
      <c r="A887" s="69"/>
      <c r="B887" s="418"/>
      <c r="C887" s="263"/>
      <c r="E887" s="263"/>
      <c r="F887" s="263"/>
      <c r="G887" s="418"/>
      <c r="H887" s="263"/>
      <c r="I887" s="263"/>
      <c r="J887" s="263"/>
      <c r="K887" s="263"/>
      <c r="L887" s="563"/>
      <c r="M887" s="263"/>
      <c r="N887" s="263"/>
      <c r="O887" s="263"/>
      <c r="P887" s="265"/>
      <c r="Q887" s="263"/>
      <c r="R887" s="263"/>
      <c r="S887" s="263"/>
      <c r="T887" s="263"/>
      <c r="U887" s="263"/>
      <c r="V887" s="263"/>
      <c r="W887" s="263"/>
      <c r="X887" s="263"/>
      <c r="Y887" s="263"/>
      <c r="Z887" s="263"/>
      <c r="AA887" s="263"/>
      <c r="AB887" s="263"/>
      <c r="AC887" s="263"/>
      <c r="AD887" s="263"/>
      <c r="AE887" s="263"/>
      <c r="AF887" s="418"/>
      <c r="AG887" s="263"/>
      <c r="AH887" s="263"/>
      <c r="AI887" s="263"/>
    </row>
    <row r="888" spans="1:35" ht="15" customHeight="1">
      <c r="A888" s="69"/>
      <c r="B888" s="418"/>
      <c r="C888" s="263"/>
      <c r="E888" s="263"/>
      <c r="F888" s="263"/>
      <c r="G888" s="418"/>
      <c r="H888" s="263"/>
      <c r="I888" s="263"/>
      <c r="J888" s="263"/>
      <c r="K888" s="263"/>
      <c r="L888" s="563"/>
      <c r="M888" s="263"/>
      <c r="N888" s="263"/>
      <c r="O888" s="263"/>
      <c r="P888" s="265"/>
      <c r="Q888" s="263"/>
      <c r="R888" s="263"/>
      <c r="S888" s="263"/>
      <c r="T888" s="263"/>
      <c r="U888" s="263"/>
      <c r="V888" s="263"/>
      <c r="W888" s="263"/>
      <c r="X888" s="263"/>
      <c r="Y888" s="263"/>
      <c r="Z888" s="263"/>
      <c r="AA888" s="263"/>
      <c r="AB888" s="263"/>
      <c r="AC888" s="263"/>
      <c r="AD888" s="263"/>
      <c r="AE888" s="263"/>
      <c r="AF888" s="418"/>
      <c r="AG888" s="263"/>
      <c r="AH888" s="263"/>
      <c r="AI888" s="263"/>
    </row>
    <row r="889" spans="1:35" ht="15" customHeight="1">
      <c r="A889" s="69"/>
      <c r="B889" s="418"/>
      <c r="C889" s="263"/>
      <c r="E889" s="263"/>
      <c r="F889" s="263"/>
      <c r="G889" s="418"/>
      <c r="H889" s="263"/>
      <c r="I889" s="263"/>
      <c r="J889" s="263"/>
      <c r="K889" s="263"/>
      <c r="L889" s="563"/>
      <c r="M889" s="263"/>
      <c r="N889" s="263"/>
      <c r="O889" s="263"/>
      <c r="P889" s="265"/>
      <c r="Q889" s="263"/>
      <c r="R889" s="263"/>
      <c r="S889" s="263"/>
      <c r="T889" s="263"/>
      <c r="U889" s="263"/>
      <c r="V889" s="263"/>
      <c r="W889" s="263"/>
      <c r="X889" s="263"/>
      <c r="Y889" s="263"/>
      <c r="Z889" s="263"/>
      <c r="AA889" s="263"/>
      <c r="AB889" s="263"/>
      <c r="AC889" s="263"/>
      <c r="AD889" s="263"/>
      <c r="AE889" s="263"/>
      <c r="AF889" s="418"/>
      <c r="AG889" s="263"/>
      <c r="AH889" s="263"/>
      <c r="AI889" s="263"/>
    </row>
    <row r="890" spans="1:35" ht="15" customHeight="1">
      <c r="A890" s="69"/>
      <c r="B890" s="418"/>
      <c r="C890" s="263"/>
      <c r="E890" s="263"/>
      <c r="F890" s="263"/>
      <c r="G890" s="418"/>
      <c r="H890" s="263"/>
      <c r="I890" s="263"/>
      <c r="J890" s="263"/>
      <c r="K890" s="263"/>
      <c r="L890" s="563"/>
      <c r="M890" s="263"/>
      <c r="N890" s="263"/>
      <c r="O890" s="263"/>
      <c r="P890" s="265"/>
      <c r="Q890" s="263"/>
      <c r="R890" s="263"/>
      <c r="S890" s="263"/>
      <c r="T890" s="263"/>
      <c r="U890" s="263"/>
      <c r="V890" s="263"/>
      <c r="W890" s="263"/>
      <c r="X890" s="263"/>
      <c r="Y890" s="263"/>
      <c r="Z890" s="263"/>
      <c r="AA890" s="263"/>
      <c r="AB890" s="263"/>
      <c r="AC890" s="263"/>
      <c r="AD890" s="263"/>
      <c r="AE890" s="263"/>
      <c r="AF890" s="418"/>
      <c r="AG890" s="263"/>
      <c r="AH890" s="263"/>
      <c r="AI890" s="263"/>
    </row>
    <row r="891" spans="1:35" ht="15" customHeight="1">
      <c r="A891" s="69"/>
      <c r="B891" s="418"/>
      <c r="C891" s="263"/>
      <c r="E891" s="263"/>
      <c r="F891" s="263"/>
      <c r="G891" s="418"/>
      <c r="H891" s="263"/>
      <c r="I891" s="263"/>
      <c r="J891" s="263"/>
      <c r="K891" s="263"/>
      <c r="L891" s="563"/>
      <c r="M891" s="263"/>
      <c r="N891" s="263"/>
      <c r="O891" s="263"/>
      <c r="P891" s="265"/>
      <c r="Q891" s="263"/>
      <c r="R891" s="263"/>
      <c r="S891" s="263"/>
      <c r="T891" s="263"/>
      <c r="U891" s="263"/>
      <c r="V891" s="263"/>
      <c r="W891" s="263"/>
      <c r="X891" s="263"/>
      <c r="Y891" s="263"/>
      <c r="Z891" s="263"/>
      <c r="AA891" s="263"/>
      <c r="AB891" s="263"/>
      <c r="AC891" s="263"/>
      <c r="AD891" s="263"/>
      <c r="AE891" s="263"/>
      <c r="AF891" s="418"/>
      <c r="AG891" s="263"/>
      <c r="AH891" s="263"/>
      <c r="AI891" s="263"/>
    </row>
    <row r="892" spans="1:35" ht="15" customHeight="1">
      <c r="A892" s="69"/>
      <c r="B892" s="418"/>
      <c r="C892" s="263"/>
      <c r="E892" s="263"/>
      <c r="F892" s="263"/>
      <c r="G892" s="418"/>
      <c r="H892" s="263"/>
      <c r="I892" s="263"/>
      <c r="J892" s="263"/>
      <c r="K892" s="263"/>
      <c r="L892" s="563"/>
      <c r="M892" s="263"/>
      <c r="N892" s="263"/>
      <c r="O892" s="263"/>
      <c r="P892" s="265"/>
      <c r="Q892" s="263"/>
      <c r="R892" s="263"/>
      <c r="S892" s="263"/>
      <c r="T892" s="263"/>
      <c r="U892" s="263"/>
      <c r="V892" s="263"/>
      <c r="W892" s="263"/>
      <c r="X892" s="263"/>
      <c r="Y892" s="263"/>
      <c r="Z892" s="263"/>
      <c r="AA892" s="263"/>
      <c r="AB892" s="263"/>
      <c r="AC892" s="263"/>
      <c r="AD892" s="263"/>
      <c r="AE892" s="263"/>
      <c r="AF892" s="418"/>
      <c r="AG892" s="263"/>
      <c r="AH892" s="263"/>
      <c r="AI892" s="263"/>
    </row>
    <row r="893" spans="1:35" ht="15" customHeight="1">
      <c r="A893" s="69"/>
      <c r="B893" s="418"/>
      <c r="C893" s="263"/>
      <c r="E893" s="263"/>
      <c r="F893" s="263"/>
      <c r="G893" s="418"/>
      <c r="H893" s="263"/>
      <c r="I893" s="263"/>
      <c r="J893" s="263"/>
      <c r="K893" s="263"/>
      <c r="L893" s="563"/>
      <c r="M893" s="263"/>
      <c r="N893" s="263"/>
      <c r="O893" s="263"/>
      <c r="P893" s="265"/>
      <c r="Q893" s="263"/>
      <c r="R893" s="263"/>
      <c r="S893" s="263"/>
      <c r="T893" s="263"/>
      <c r="U893" s="263"/>
      <c r="V893" s="263"/>
      <c r="W893" s="263"/>
      <c r="X893" s="263"/>
      <c r="Y893" s="263"/>
      <c r="Z893" s="263"/>
      <c r="AA893" s="263"/>
      <c r="AB893" s="263"/>
      <c r="AC893" s="263"/>
      <c r="AD893" s="263"/>
      <c r="AE893" s="263"/>
      <c r="AF893" s="418"/>
      <c r="AG893" s="263"/>
      <c r="AH893" s="263"/>
      <c r="AI893" s="263"/>
    </row>
    <row r="894" spans="1:35" ht="15" customHeight="1">
      <c r="A894" s="69"/>
      <c r="B894" s="418"/>
      <c r="C894" s="263"/>
      <c r="E894" s="263"/>
      <c r="F894" s="263"/>
      <c r="G894" s="418"/>
      <c r="H894" s="263"/>
      <c r="I894" s="263"/>
      <c r="J894" s="263"/>
      <c r="K894" s="263"/>
      <c r="L894" s="563"/>
      <c r="M894" s="263"/>
      <c r="N894" s="263"/>
      <c r="O894" s="263"/>
      <c r="P894" s="265"/>
      <c r="Q894" s="263"/>
      <c r="R894" s="263"/>
      <c r="S894" s="263"/>
      <c r="T894" s="263"/>
      <c r="U894" s="263"/>
      <c r="V894" s="263"/>
      <c r="W894" s="263"/>
      <c r="X894" s="263"/>
      <c r="Y894" s="263"/>
      <c r="Z894" s="263"/>
      <c r="AA894" s="263"/>
      <c r="AB894" s="263"/>
      <c r="AC894" s="263"/>
      <c r="AD894" s="263"/>
      <c r="AE894" s="263"/>
      <c r="AF894" s="418"/>
      <c r="AG894" s="263"/>
      <c r="AH894" s="263"/>
      <c r="AI894" s="263"/>
    </row>
    <row r="895" spans="1:35" ht="15" customHeight="1">
      <c r="A895" s="69"/>
      <c r="B895" s="418"/>
      <c r="C895" s="263"/>
      <c r="E895" s="263"/>
      <c r="F895" s="263"/>
      <c r="G895" s="418"/>
      <c r="H895" s="263"/>
      <c r="I895" s="263"/>
      <c r="J895" s="263"/>
      <c r="K895" s="263"/>
      <c r="L895" s="563"/>
      <c r="M895" s="263"/>
      <c r="N895" s="263"/>
      <c r="O895" s="263"/>
      <c r="P895" s="265"/>
      <c r="Q895" s="263"/>
      <c r="R895" s="263"/>
      <c r="S895" s="263"/>
      <c r="T895" s="263"/>
      <c r="U895" s="263"/>
      <c r="V895" s="263"/>
      <c r="W895" s="263"/>
      <c r="X895" s="263"/>
      <c r="Y895" s="263"/>
      <c r="Z895" s="263"/>
      <c r="AA895" s="263"/>
      <c r="AB895" s="263"/>
      <c r="AC895" s="263"/>
      <c r="AD895" s="263"/>
      <c r="AE895" s="263"/>
      <c r="AF895" s="418"/>
      <c r="AG895" s="263"/>
      <c r="AH895" s="263"/>
      <c r="AI895" s="263"/>
    </row>
    <row r="896" spans="1:35" ht="15" customHeight="1">
      <c r="A896" s="69"/>
      <c r="B896" s="418"/>
      <c r="C896" s="263"/>
      <c r="E896" s="263"/>
      <c r="F896" s="263"/>
      <c r="G896" s="418"/>
      <c r="H896" s="263"/>
      <c r="I896" s="263"/>
      <c r="J896" s="263"/>
      <c r="K896" s="263"/>
      <c r="L896" s="563"/>
      <c r="M896" s="263"/>
      <c r="N896" s="263"/>
      <c r="O896" s="263"/>
      <c r="P896" s="265"/>
      <c r="Q896" s="263"/>
      <c r="R896" s="263"/>
      <c r="S896" s="263"/>
      <c r="T896" s="263"/>
      <c r="U896" s="263"/>
      <c r="V896" s="263"/>
      <c r="W896" s="263"/>
      <c r="X896" s="263"/>
      <c r="Y896" s="263"/>
      <c r="Z896" s="263"/>
      <c r="AA896" s="263"/>
      <c r="AB896" s="263"/>
      <c r="AC896" s="263"/>
      <c r="AD896" s="263"/>
      <c r="AE896" s="263"/>
      <c r="AF896" s="418"/>
      <c r="AG896" s="263"/>
      <c r="AH896" s="263"/>
      <c r="AI896" s="263"/>
    </row>
    <row r="897" spans="1:35" ht="15" customHeight="1">
      <c r="A897" s="69"/>
      <c r="B897" s="418"/>
      <c r="C897" s="263"/>
      <c r="E897" s="263"/>
      <c r="F897" s="263"/>
      <c r="G897" s="418"/>
      <c r="H897" s="263"/>
      <c r="I897" s="263"/>
      <c r="J897" s="263"/>
      <c r="K897" s="263"/>
      <c r="L897" s="563"/>
      <c r="M897" s="263"/>
      <c r="N897" s="263"/>
      <c r="O897" s="263"/>
      <c r="P897" s="265"/>
      <c r="Q897" s="263"/>
      <c r="R897" s="263"/>
      <c r="S897" s="263"/>
      <c r="T897" s="263"/>
      <c r="U897" s="263"/>
      <c r="V897" s="263"/>
      <c r="W897" s="263"/>
      <c r="X897" s="263"/>
      <c r="Y897" s="263"/>
      <c r="Z897" s="263"/>
      <c r="AA897" s="263"/>
      <c r="AB897" s="263"/>
      <c r="AC897" s="263"/>
      <c r="AD897" s="263"/>
      <c r="AE897" s="263"/>
      <c r="AF897" s="418"/>
      <c r="AG897" s="263"/>
      <c r="AH897" s="263"/>
      <c r="AI897" s="263"/>
    </row>
    <row r="898" spans="1:35" ht="15" customHeight="1">
      <c r="A898" s="69"/>
      <c r="B898" s="418"/>
      <c r="C898" s="263"/>
      <c r="E898" s="263"/>
      <c r="F898" s="263"/>
      <c r="G898" s="418"/>
      <c r="H898" s="263"/>
      <c r="I898" s="263"/>
      <c r="J898" s="263"/>
      <c r="K898" s="263"/>
      <c r="L898" s="563"/>
      <c r="M898" s="263"/>
      <c r="N898" s="263"/>
      <c r="O898" s="263"/>
      <c r="P898" s="265"/>
      <c r="Q898" s="263"/>
      <c r="R898" s="263"/>
      <c r="S898" s="263"/>
      <c r="T898" s="263"/>
      <c r="U898" s="263"/>
      <c r="V898" s="263"/>
      <c r="W898" s="263"/>
      <c r="X898" s="263"/>
      <c r="Y898" s="263"/>
      <c r="Z898" s="263"/>
      <c r="AA898" s="263"/>
      <c r="AB898" s="263"/>
      <c r="AC898" s="263"/>
      <c r="AD898" s="263"/>
      <c r="AE898" s="263"/>
      <c r="AF898" s="418"/>
      <c r="AG898" s="263"/>
      <c r="AH898" s="263"/>
      <c r="AI898" s="263"/>
    </row>
    <row r="899" spans="1:35" ht="15" customHeight="1">
      <c r="A899" s="69"/>
      <c r="B899" s="418"/>
      <c r="C899" s="263"/>
      <c r="E899" s="263"/>
      <c r="F899" s="263"/>
      <c r="G899" s="418"/>
      <c r="H899" s="263"/>
      <c r="I899" s="263"/>
      <c r="J899" s="263"/>
      <c r="K899" s="263"/>
      <c r="L899" s="563"/>
      <c r="M899" s="263"/>
      <c r="N899" s="263"/>
      <c r="O899" s="263"/>
      <c r="P899" s="265"/>
      <c r="Q899" s="263"/>
      <c r="R899" s="263"/>
      <c r="S899" s="263"/>
      <c r="T899" s="263"/>
      <c r="U899" s="263"/>
      <c r="V899" s="263"/>
      <c r="W899" s="263"/>
      <c r="X899" s="263"/>
      <c r="Y899" s="263"/>
      <c r="Z899" s="263"/>
      <c r="AA899" s="263"/>
      <c r="AB899" s="263"/>
      <c r="AC899" s="263"/>
      <c r="AD899" s="263"/>
      <c r="AE899" s="263"/>
      <c r="AF899" s="418"/>
      <c r="AG899" s="263"/>
      <c r="AH899" s="263"/>
      <c r="AI899" s="263"/>
    </row>
    <row r="900" spans="1:35" ht="15" customHeight="1">
      <c r="A900" s="69"/>
      <c r="B900" s="418"/>
      <c r="C900" s="263"/>
      <c r="E900" s="263"/>
      <c r="F900" s="263"/>
      <c r="G900" s="418"/>
      <c r="H900" s="263"/>
      <c r="I900" s="263"/>
      <c r="J900" s="263"/>
      <c r="K900" s="263"/>
      <c r="L900" s="563"/>
      <c r="M900" s="263"/>
      <c r="N900" s="263"/>
      <c r="O900" s="263"/>
      <c r="P900" s="265"/>
      <c r="Q900" s="263"/>
      <c r="R900" s="263"/>
      <c r="S900" s="263"/>
      <c r="T900" s="263"/>
      <c r="U900" s="263"/>
      <c r="V900" s="263"/>
      <c r="W900" s="263"/>
      <c r="X900" s="263"/>
      <c r="Y900" s="263"/>
      <c r="Z900" s="263"/>
      <c r="AA900" s="263"/>
      <c r="AB900" s="263"/>
      <c r="AC900" s="263"/>
      <c r="AD900" s="263"/>
      <c r="AE900" s="263"/>
      <c r="AF900" s="418"/>
      <c r="AG900" s="263"/>
      <c r="AH900" s="263"/>
      <c r="AI900" s="263"/>
    </row>
    <row r="901" spans="1:35" ht="15" customHeight="1">
      <c r="A901" s="69"/>
      <c r="B901" s="418"/>
      <c r="C901" s="263"/>
      <c r="E901" s="263"/>
      <c r="F901" s="263"/>
      <c r="G901" s="418"/>
      <c r="H901" s="263"/>
      <c r="I901" s="263"/>
      <c r="J901" s="263"/>
      <c r="K901" s="263"/>
      <c r="L901" s="563"/>
      <c r="M901" s="263"/>
      <c r="N901" s="263"/>
      <c r="O901" s="263"/>
      <c r="P901" s="265"/>
      <c r="Q901" s="263"/>
      <c r="R901" s="263"/>
      <c r="S901" s="263"/>
      <c r="T901" s="263"/>
      <c r="U901" s="263"/>
      <c r="V901" s="263"/>
      <c r="W901" s="263"/>
      <c r="X901" s="263"/>
      <c r="Y901" s="263"/>
      <c r="Z901" s="263"/>
      <c r="AA901" s="263"/>
      <c r="AB901" s="263"/>
      <c r="AC901" s="263"/>
      <c r="AD901" s="263"/>
      <c r="AE901" s="263"/>
      <c r="AF901" s="418"/>
      <c r="AG901" s="263"/>
      <c r="AH901" s="263"/>
      <c r="AI901" s="263"/>
    </row>
    <row r="902" spans="1:35" ht="15" customHeight="1">
      <c r="A902" s="69"/>
      <c r="B902" s="418"/>
      <c r="C902" s="263"/>
      <c r="E902" s="263"/>
      <c r="F902" s="263"/>
      <c r="G902" s="418"/>
      <c r="H902" s="263"/>
      <c r="I902" s="263"/>
      <c r="J902" s="263"/>
      <c r="K902" s="263"/>
      <c r="L902" s="563"/>
      <c r="M902" s="263"/>
      <c r="N902" s="263"/>
      <c r="O902" s="263"/>
      <c r="P902" s="265"/>
      <c r="Q902" s="263"/>
      <c r="R902" s="263"/>
      <c r="S902" s="263"/>
      <c r="T902" s="263"/>
      <c r="U902" s="263"/>
      <c r="V902" s="263"/>
      <c r="W902" s="263"/>
      <c r="X902" s="263"/>
      <c r="Y902" s="263"/>
      <c r="Z902" s="263"/>
      <c r="AA902" s="263"/>
      <c r="AB902" s="263"/>
      <c r="AC902" s="263"/>
      <c r="AD902" s="263"/>
      <c r="AE902" s="263"/>
      <c r="AF902" s="418"/>
      <c r="AG902" s="263"/>
      <c r="AH902" s="263"/>
      <c r="AI902" s="263"/>
    </row>
    <row r="903" spans="1:35" ht="15" customHeight="1">
      <c r="A903" s="69"/>
      <c r="B903" s="418"/>
      <c r="C903" s="263"/>
      <c r="E903" s="263"/>
      <c r="F903" s="263"/>
      <c r="G903" s="418"/>
      <c r="H903" s="263"/>
      <c r="I903" s="263"/>
      <c r="J903" s="263"/>
      <c r="K903" s="263"/>
      <c r="L903" s="563"/>
      <c r="M903" s="263"/>
      <c r="N903" s="263"/>
      <c r="O903" s="263"/>
      <c r="P903" s="265"/>
      <c r="Q903" s="263"/>
      <c r="R903" s="263"/>
      <c r="S903" s="263"/>
      <c r="T903" s="263"/>
      <c r="U903" s="263"/>
      <c r="V903" s="263"/>
      <c r="W903" s="263"/>
      <c r="X903" s="263"/>
      <c r="Y903" s="263"/>
      <c r="Z903" s="263"/>
      <c r="AA903" s="263"/>
      <c r="AB903" s="263"/>
      <c r="AC903" s="263"/>
      <c r="AD903" s="263"/>
      <c r="AE903" s="263"/>
      <c r="AF903" s="418"/>
      <c r="AG903" s="263"/>
      <c r="AH903" s="263"/>
      <c r="AI903" s="263"/>
    </row>
    <row r="904" spans="1:35" ht="15" customHeight="1">
      <c r="A904" s="69"/>
      <c r="B904" s="418"/>
      <c r="C904" s="263"/>
      <c r="E904" s="263"/>
      <c r="F904" s="263"/>
      <c r="G904" s="418"/>
      <c r="H904" s="263"/>
      <c r="I904" s="263"/>
      <c r="J904" s="263"/>
      <c r="K904" s="263"/>
      <c r="L904" s="563"/>
      <c r="M904" s="263"/>
      <c r="N904" s="263"/>
      <c r="O904" s="263"/>
      <c r="P904" s="265"/>
      <c r="Q904" s="263"/>
      <c r="R904" s="263"/>
      <c r="S904" s="263"/>
      <c r="T904" s="263"/>
      <c r="U904" s="263"/>
      <c r="V904" s="263"/>
      <c r="W904" s="263"/>
      <c r="X904" s="263"/>
      <c r="Y904" s="263"/>
      <c r="Z904" s="263"/>
      <c r="AA904" s="263"/>
      <c r="AB904" s="263"/>
      <c r="AC904" s="263"/>
      <c r="AD904" s="263"/>
      <c r="AE904" s="263"/>
      <c r="AF904" s="418"/>
      <c r="AG904" s="263"/>
      <c r="AH904" s="263"/>
      <c r="AI904" s="263"/>
    </row>
    <row r="905" spans="1:35" ht="15" customHeight="1">
      <c r="A905" s="69"/>
      <c r="B905" s="418"/>
      <c r="C905" s="263"/>
      <c r="E905" s="263"/>
      <c r="F905" s="263"/>
      <c r="G905" s="418"/>
      <c r="H905" s="263"/>
      <c r="I905" s="263"/>
      <c r="J905" s="263"/>
      <c r="K905" s="263"/>
      <c r="L905" s="563"/>
      <c r="M905" s="263"/>
      <c r="N905" s="263"/>
      <c r="O905" s="263"/>
      <c r="P905" s="265"/>
      <c r="Q905" s="263"/>
      <c r="R905" s="263"/>
      <c r="S905" s="263"/>
      <c r="T905" s="263"/>
      <c r="U905" s="263"/>
      <c r="V905" s="263"/>
      <c r="W905" s="263"/>
      <c r="X905" s="263"/>
      <c r="Y905" s="263"/>
      <c r="Z905" s="263"/>
      <c r="AA905" s="263"/>
      <c r="AB905" s="263"/>
      <c r="AC905" s="263"/>
      <c r="AD905" s="263"/>
      <c r="AE905" s="263"/>
      <c r="AF905" s="418"/>
      <c r="AG905" s="263"/>
      <c r="AH905" s="263"/>
      <c r="AI905" s="263"/>
    </row>
    <row r="906" spans="1:35" ht="15" customHeight="1">
      <c r="A906" s="69"/>
      <c r="B906" s="418"/>
      <c r="C906" s="263"/>
      <c r="E906" s="263"/>
      <c r="F906" s="263"/>
      <c r="G906" s="418"/>
      <c r="H906" s="263"/>
      <c r="I906" s="263"/>
      <c r="J906" s="263"/>
      <c r="K906" s="263"/>
      <c r="L906" s="563"/>
      <c r="M906" s="263"/>
      <c r="N906" s="263"/>
      <c r="O906" s="263"/>
      <c r="P906" s="265"/>
      <c r="Q906" s="263"/>
      <c r="R906" s="263"/>
      <c r="S906" s="263"/>
      <c r="T906" s="263"/>
      <c r="U906" s="263"/>
      <c r="V906" s="263"/>
      <c r="W906" s="263"/>
      <c r="X906" s="263"/>
      <c r="Y906" s="263"/>
      <c r="Z906" s="263"/>
      <c r="AA906" s="263"/>
      <c r="AB906" s="263"/>
      <c r="AC906" s="263"/>
      <c r="AD906" s="263"/>
      <c r="AE906" s="263"/>
      <c r="AF906" s="418"/>
      <c r="AG906" s="263"/>
      <c r="AH906" s="263"/>
      <c r="AI906" s="263"/>
    </row>
    <row r="907" spans="1:35" ht="15" customHeight="1">
      <c r="A907" s="69"/>
      <c r="B907" s="418"/>
      <c r="C907" s="263"/>
      <c r="E907" s="263"/>
      <c r="F907" s="263"/>
      <c r="G907" s="418"/>
      <c r="H907" s="263"/>
      <c r="I907" s="263"/>
      <c r="J907" s="263"/>
      <c r="K907" s="263"/>
      <c r="L907" s="563"/>
      <c r="M907" s="263"/>
      <c r="N907" s="263"/>
      <c r="O907" s="263"/>
      <c r="P907" s="265"/>
      <c r="Q907" s="263"/>
      <c r="R907" s="263"/>
      <c r="S907" s="263"/>
      <c r="T907" s="263"/>
      <c r="U907" s="263"/>
      <c r="V907" s="263"/>
      <c r="W907" s="263"/>
      <c r="X907" s="263"/>
      <c r="Y907" s="263"/>
      <c r="Z907" s="263"/>
      <c r="AA907" s="263"/>
      <c r="AB907" s="263"/>
      <c r="AC907" s="263"/>
      <c r="AD907" s="263"/>
      <c r="AE907" s="263"/>
      <c r="AF907" s="418"/>
      <c r="AG907" s="263"/>
      <c r="AH907" s="263"/>
      <c r="AI907" s="263"/>
    </row>
    <row r="908" spans="1:35" ht="15" customHeight="1">
      <c r="A908" s="69"/>
      <c r="B908" s="418"/>
      <c r="C908" s="263"/>
      <c r="E908" s="263"/>
      <c r="F908" s="263"/>
      <c r="G908" s="418"/>
      <c r="H908" s="263"/>
      <c r="I908" s="263"/>
      <c r="J908" s="263"/>
      <c r="K908" s="263"/>
      <c r="L908" s="563"/>
      <c r="M908" s="263"/>
      <c r="N908" s="263"/>
      <c r="O908" s="263"/>
      <c r="P908" s="265"/>
      <c r="Q908" s="263"/>
      <c r="R908" s="263"/>
      <c r="S908" s="263"/>
      <c r="T908" s="263"/>
      <c r="U908" s="263"/>
      <c r="V908" s="263"/>
      <c r="W908" s="263"/>
      <c r="X908" s="263"/>
      <c r="Y908" s="263"/>
      <c r="Z908" s="263"/>
      <c r="AA908" s="263"/>
      <c r="AB908" s="263"/>
      <c r="AC908" s="263"/>
      <c r="AD908" s="263"/>
      <c r="AE908" s="263"/>
      <c r="AF908" s="418"/>
      <c r="AG908" s="263"/>
      <c r="AH908" s="263"/>
      <c r="AI908" s="263"/>
    </row>
    <row r="909" spans="1:35" ht="15" customHeight="1">
      <c r="A909" s="69"/>
      <c r="B909" s="418"/>
      <c r="C909" s="263"/>
      <c r="E909" s="263"/>
      <c r="F909" s="263"/>
      <c r="G909" s="418"/>
      <c r="H909" s="263"/>
      <c r="I909" s="263"/>
      <c r="J909" s="263"/>
      <c r="K909" s="263"/>
      <c r="L909" s="563"/>
      <c r="M909" s="263"/>
      <c r="N909" s="263"/>
      <c r="O909" s="263"/>
      <c r="P909" s="265"/>
      <c r="Q909" s="263"/>
      <c r="R909" s="263"/>
      <c r="S909" s="263"/>
      <c r="T909" s="263"/>
      <c r="U909" s="263"/>
      <c r="V909" s="263"/>
      <c r="W909" s="263"/>
      <c r="X909" s="263"/>
      <c r="Y909" s="263"/>
      <c r="Z909" s="263"/>
      <c r="AA909" s="263"/>
      <c r="AB909" s="263"/>
      <c r="AC909" s="263"/>
      <c r="AD909" s="263"/>
      <c r="AE909" s="263"/>
      <c r="AF909" s="418"/>
      <c r="AG909" s="263"/>
      <c r="AH909" s="263"/>
      <c r="AI909" s="263"/>
    </row>
    <row r="910" spans="1:35" ht="15" customHeight="1">
      <c r="A910" s="69"/>
      <c r="B910" s="418"/>
      <c r="C910" s="263"/>
      <c r="E910" s="263"/>
      <c r="F910" s="263"/>
      <c r="G910" s="418"/>
      <c r="H910" s="263"/>
      <c r="I910" s="263"/>
      <c r="J910" s="263"/>
      <c r="K910" s="263"/>
      <c r="L910" s="563"/>
      <c r="M910" s="263"/>
      <c r="N910" s="263"/>
      <c r="O910" s="263"/>
      <c r="P910" s="265"/>
      <c r="Q910" s="263"/>
      <c r="R910" s="263"/>
      <c r="S910" s="263"/>
      <c r="T910" s="263"/>
      <c r="U910" s="263"/>
      <c r="V910" s="263"/>
      <c r="W910" s="263"/>
      <c r="X910" s="263"/>
      <c r="Y910" s="263"/>
      <c r="Z910" s="263"/>
      <c r="AA910" s="263"/>
      <c r="AB910" s="263"/>
      <c r="AC910" s="263"/>
      <c r="AD910" s="263"/>
      <c r="AE910" s="263"/>
      <c r="AF910" s="418"/>
      <c r="AG910" s="263"/>
      <c r="AH910" s="263"/>
      <c r="AI910" s="263"/>
    </row>
    <row r="911" spans="1:35" ht="15" customHeight="1">
      <c r="A911" s="69"/>
      <c r="B911" s="418"/>
      <c r="C911" s="263"/>
      <c r="E911" s="263"/>
      <c r="F911" s="263"/>
      <c r="G911" s="418"/>
      <c r="H911" s="263"/>
      <c r="I911" s="263"/>
      <c r="J911" s="263"/>
      <c r="K911" s="263"/>
      <c r="L911" s="563"/>
      <c r="M911" s="263"/>
      <c r="N911" s="263"/>
      <c r="O911" s="263"/>
      <c r="P911" s="265"/>
      <c r="Q911" s="263"/>
      <c r="R911" s="263"/>
      <c r="S911" s="263"/>
      <c r="T911" s="263"/>
      <c r="U911" s="263"/>
      <c r="V911" s="263"/>
      <c r="W911" s="263"/>
      <c r="X911" s="263"/>
      <c r="Y911" s="263"/>
      <c r="Z911" s="263"/>
      <c r="AA911" s="263"/>
      <c r="AB911" s="263"/>
      <c r="AC911" s="263"/>
      <c r="AD911" s="263"/>
      <c r="AE911" s="263"/>
      <c r="AF911" s="418"/>
      <c r="AG911" s="263"/>
      <c r="AH911" s="263"/>
      <c r="AI911" s="263"/>
    </row>
    <row r="912" spans="1:35" ht="15" customHeight="1">
      <c r="A912" s="69"/>
      <c r="B912" s="418"/>
      <c r="C912" s="263"/>
      <c r="E912" s="263"/>
      <c r="F912" s="263"/>
      <c r="G912" s="418"/>
      <c r="H912" s="263"/>
      <c r="I912" s="263"/>
      <c r="J912" s="263"/>
      <c r="K912" s="263"/>
      <c r="L912" s="563"/>
      <c r="M912" s="263"/>
      <c r="N912" s="263"/>
      <c r="O912" s="263"/>
      <c r="P912" s="265"/>
      <c r="Q912" s="263"/>
      <c r="R912" s="263"/>
      <c r="S912" s="263"/>
      <c r="T912" s="263"/>
      <c r="U912" s="263"/>
      <c r="V912" s="263"/>
      <c r="W912" s="263"/>
      <c r="X912" s="263"/>
      <c r="Y912" s="263"/>
      <c r="Z912" s="263"/>
      <c r="AA912" s="263"/>
      <c r="AB912" s="263"/>
      <c r="AC912" s="263"/>
      <c r="AD912" s="263"/>
      <c r="AE912" s="263"/>
      <c r="AF912" s="418"/>
      <c r="AG912" s="263"/>
      <c r="AH912" s="263"/>
      <c r="AI912" s="263"/>
    </row>
    <row r="913" spans="1:35" ht="15" customHeight="1">
      <c r="A913" s="69"/>
      <c r="B913" s="418"/>
      <c r="C913" s="263"/>
      <c r="E913" s="263"/>
      <c r="F913" s="263"/>
      <c r="G913" s="418"/>
      <c r="H913" s="263"/>
      <c r="I913" s="263"/>
      <c r="J913" s="263"/>
      <c r="K913" s="263"/>
      <c r="L913" s="563"/>
      <c r="M913" s="263"/>
      <c r="N913" s="263"/>
      <c r="O913" s="263"/>
      <c r="P913" s="265"/>
      <c r="Q913" s="263"/>
      <c r="R913" s="263"/>
      <c r="S913" s="263"/>
      <c r="T913" s="263"/>
      <c r="U913" s="263"/>
      <c r="V913" s="263"/>
      <c r="W913" s="263"/>
      <c r="X913" s="263"/>
      <c r="Y913" s="263"/>
      <c r="Z913" s="263"/>
      <c r="AA913" s="263"/>
      <c r="AB913" s="263"/>
      <c r="AC913" s="263"/>
      <c r="AD913" s="263"/>
      <c r="AE913" s="263"/>
      <c r="AF913" s="418"/>
      <c r="AG913" s="263"/>
      <c r="AH913" s="263"/>
      <c r="AI913" s="263"/>
    </row>
    <row r="914" spans="1:35" ht="15" customHeight="1">
      <c r="A914" s="69"/>
      <c r="B914" s="418"/>
      <c r="C914" s="263"/>
      <c r="E914" s="263"/>
      <c r="F914" s="263"/>
      <c r="G914" s="418"/>
      <c r="H914" s="263"/>
      <c r="I914" s="263"/>
      <c r="J914" s="263"/>
      <c r="K914" s="263"/>
      <c r="L914" s="563"/>
      <c r="M914" s="263"/>
      <c r="N914" s="263"/>
      <c r="O914" s="263"/>
      <c r="P914" s="265"/>
      <c r="Q914" s="263"/>
      <c r="R914" s="263"/>
      <c r="S914" s="263"/>
      <c r="T914" s="263"/>
      <c r="U914" s="263"/>
      <c r="V914" s="263"/>
      <c r="W914" s="263"/>
      <c r="X914" s="263"/>
      <c r="Y914" s="263"/>
      <c r="Z914" s="263"/>
      <c r="AA914" s="263"/>
      <c r="AB914" s="263"/>
      <c r="AC914" s="263"/>
      <c r="AD914" s="263"/>
      <c r="AE914" s="263"/>
      <c r="AF914" s="418"/>
      <c r="AG914" s="263"/>
      <c r="AH914" s="263"/>
      <c r="AI914" s="263"/>
    </row>
    <row r="915" spans="1:35" ht="15" customHeight="1">
      <c r="A915" s="69"/>
      <c r="B915" s="418"/>
      <c r="C915" s="263"/>
      <c r="E915" s="263"/>
      <c r="F915" s="263"/>
      <c r="G915" s="418"/>
      <c r="H915" s="263"/>
      <c r="I915" s="263"/>
      <c r="J915" s="263"/>
      <c r="K915" s="263"/>
      <c r="L915" s="563"/>
      <c r="M915" s="263"/>
      <c r="N915" s="263"/>
      <c r="O915" s="263"/>
      <c r="P915" s="265"/>
      <c r="Q915" s="263"/>
      <c r="R915" s="263"/>
      <c r="S915" s="263"/>
      <c r="T915" s="263"/>
      <c r="U915" s="263"/>
      <c r="V915" s="263"/>
      <c r="W915" s="263"/>
      <c r="X915" s="263"/>
      <c r="Y915" s="263"/>
      <c r="Z915" s="263"/>
      <c r="AA915" s="263"/>
      <c r="AB915" s="263"/>
      <c r="AC915" s="263"/>
      <c r="AD915" s="263"/>
      <c r="AE915" s="263"/>
      <c r="AF915" s="418"/>
      <c r="AG915" s="263"/>
      <c r="AH915" s="263"/>
      <c r="AI915" s="263"/>
    </row>
    <row r="916" spans="1:35" ht="15" customHeight="1">
      <c r="A916" s="69"/>
      <c r="B916" s="418"/>
      <c r="C916" s="263"/>
      <c r="E916" s="263"/>
      <c r="F916" s="263"/>
      <c r="G916" s="418"/>
      <c r="H916" s="263"/>
      <c r="I916" s="263"/>
      <c r="J916" s="263"/>
      <c r="K916" s="263"/>
      <c r="L916" s="563"/>
      <c r="M916" s="263"/>
      <c r="N916" s="263"/>
      <c r="O916" s="263"/>
      <c r="P916" s="265"/>
      <c r="Q916" s="263"/>
      <c r="R916" s="263"/>
      <c r="S916" s="263"/>
      <c r="T916" s="263"/>
      <c r="U916" s="263"/>
      <c r="V916" s="263"/>
      <c r="W916" s="263"/>
      <c r="X916" s="263"/>
      <c r="Y916" s="263"/>
      <c r="Z916" s="263"/>
      <c r="AA916" s="263"/>
      <c r="AB916" s="263"/>
      <c r="AC916" s="263"/>
      <c r="AD916" s="263"/>
      <c r="AE916" s="263"/>
      <c r="AF916" s="418"/>
      <c r="AG916" s="263"/>
      <c r="AH916" s="263"/>
      <c r="AI916" s="263"/>
    </row>
    <row r="917" spans="1:35" ht="15" customHeight="1">
      <c r="A917" s="69"/>
      <c r="B917" s="418"/>
      <c r="C917" s="263"/>
      <c r="E917" s="263"/>
      <c r="F917" s="263"/>
      <c r="G917" s="418"/>
      <c r="H917" s="263"/>
      <c r="I917" s="263"/>
      <c r="J917" s="263"/>
      <c r="K917" s="263"/>
      <c r="L917" s="563"/>
      <c r="M917" s="263"/>
      <c r="N917" s="263"/>
      <c r="O917" s="263"/>
      <c r="P917" s="265"/>
      <c r="Q917" s="263"/>
      <c r="R917" s="263"/>
      <c r="S917" s="263"/>
      <c r="T917" s="263"/>
      <c r="U917" s="263"/>
      <c r="V917" s="263"/>
      <c r="W917" s="263"/>
      <c r="X917" s="263"/>
      <c r="Y917" s="263"/>
      <c r="Z917" s="263"/>
      <c r="AA917" s="263"/>
      <c r="AB917" s="263"/>
      <c r="AC917" s="263"/>
      <c r="AD917" s="263"/>
      <c r="AE917" s="263"/>
      <c r="AF917" s="418"/>
      <c r="AG917" s="263"/>
      <c r="AH917" s="263"/>
      <c r="AI917" s="263"/>
    </row>
    <row r="918" spans="1:35" ht="15" customHeight="1">
      <c r="A918" s="69"/>
      <c r="B918" s="418"/>
      <c r="C918" s="263"/>
      <c r="E918" s="263"/>
      <c r="F918" s="263"/>
      <c r="G918" s="418"/>
      <c r="H918" s="263"/>
      <c r="I918" s="263"/>
      <c r="J918" s="263"/>
      <c r="K918" s="263"/>
      <c r="L918" s="563"/>
      <c r="M918" s="263"/>
      <c r="N918" s="263"/>
      <c r="O918" s="263"/>
      <c r="P918" s="265"/>
      <c r="Q918" s="263"/>
      <c r="R918" s="263"/>
      <c r="S918" s="263"/>
      <c r="T918" s="263"/>
      <c r="U918" s="263"/>
      <c r="V918" s="263"/>
      <c r="W918" s="263"/>
      <c r="X918" s="263"/>
      <c r="Y918" s="263"/>
      <c r="Z918" s="263"/>
      <c r="AA918" s="263"/>
      <c r="AB918" s="263"/>
      <c r="AC918" s="263"/>
      <c r="AD918" s="263"/>
      <c r="AE918" s="263"/>
      <c r="AF918" s="418"/>
      <c r="AG918" s="263"/>
      <c r="AH918" s="263"/>
      <c r="AI918" s="263"/>
    </row>
    <row r="919" spans="1:35" ht="15" customHeight="1">
      <c r="A919" s="69"/>
      <c r="B919" s="418"/>
      <c r="C919" s="263"/>
      <c r="E919" s="263"/>
      <c r="F919" s="263"/>
      <c r="G919" s="418"/>
      <c r="H919" s="263"/>
      <c r="I919" s="263"/>
      <c r="J919" s="263"/>
      <c r="K919" s="263"/>
      <c r="L919" s="563"/>
      <c r="M919" s="263"/>
      <c r="N919" s="263"/>
      <c r="O919" s="263"/>
      <c r="P919" s="265"/>
      <c r="Q919" s="263"/>
      <c r="R919" s="263"/>
      <c r="S919" s="263"/>
      <c r="T919" s="263"/>
      <c r="U919" s="263"/>
      <c r="V919" s="263"/>
      <c r="W919" s="263"/>
      <c r="X919" s="263"/>
      <c r="Y919" s="263"/>
      <c r="Z919" s="263"/>
      <c r="AA919" s="263"/>
      <c r="AB919" s="263"/>
      <c r="AC919" s="263"/>
      <c r="AD919" s="263"/>
      <c r="AE919" s="263"/>
      <c r="AF919" s="418"/>
      <c r="AG919" s="263"/>
      <c r="AH919" s="263"/>
      <c r="AI919" s="263"/>
    </row>
    <row r="920" spans="1:35" ht="15" customHeight="1">
      <c r="A920" s="69"/>
      <c r="B920" s="418"/>
      <c r="C920" s="263"/>
      <c r="E920" s="263"/>
      <c r="F920" s="263"/>
      <c r="G920" s="418"/>
      <c r="H920" s="263"/>
      <c r="I920" s="263"/>
      <c r="J920" s="263"/>
      <c r="K920" s="263"/>
      <c r="L920" s="563"/>
      <c r="M920" s="263"/>
      <c r="N920" s="263"/>
      <c r="O920" s="263"/>
      <c r="P920" s="265"/>
      <c r="Q920" s="263"/>
      <c r="R920" s="263"/>
      <c r="S920" s="263"/>
      <c r="T920" s="263"/>
      <c r="U920" s="263"/>
      <c r="V920" s="263"/>
      <c r="W920" s="263"/>
      <c r="X920" s="263"/>
      <c r="Y920" s="263"/>
      <c r="Z920" s="263"/>
      <c r="AA920" s="263"/>
      <c r="AB920" s="263"/>
      <c r="AC920" s="263"/>
      <c r="AD920" s="263"/>
      <c r="AE920" s="263"/>
      <c r="AF920" s="418"/>
      <c r="AG920" s="263"/>
      <c r="AH920" s="263"/>
      <c r="AI920" s="263"/>
    </row>
    <row r="921" spans="1:35" ht="15" customHeight="1">
      <c r="A921" s="69"/>
      <c r="B921" s="418"/>
      <c r="C921" s="263"/>
      <c r="E921" s="263"/>
      <c r="F921" s="263"/>
      <c r="G921" s="418"/>
      <c r="H921" s="263"/>
      <c r="I921" s="263"/>
      <c r="J921" s="263"/>
      <c r="K921" s="263"/>
      <c r="L921" s="563"/>
      <c r="M921" s="263"/>
      <c r="N921" s="263"/>
      <c r="O921" s="263"/>
      <c r="P921" s="265"/>
      <c r="Q921" s="263"/>
      <c r="R921" s="263"/>
      <c r="S921" s="263"/>
      <c r="T921" s="263"/>
      <c r="U921" s="263"/>
      <c r="V921" s="263"/>
      <c r="W921" s="263"/>
      <c r="X921" s="263"/>
      <c r="Y921" s="263"/>
      <c r="Z921" s="263"/>
      <c r="AA921" s="263"/>
      <c r="AB921" s="263"/>
      <c r="AC921" s="263"/>
      <c r="AD921" s="263"/>
      <c r="AE921" s="263"/>
      <c r="AF921" s="418"/>
      <c r="AG921" s="263"/>
      <c r="AH921" s="263"/>
      <c r="AI921" s="263"/>
    </row>
    <row r="922" spans="1:35" ht="15" customHeight="1">
      <c r="A922" s="69"/>
      <c r="B922" s="418"/>
      <c r="C922" s="263"/>
      <c r="E922" s="263"/>
      <c r="F922" s="263"/>
      <c r="G922" s="418"/>
      <c r="H922" s="263"/>
      <c r="I922" s="263"/>
      <c r="J922" s="263"/>
      <c r="K922" s="263"/>
      <c r="L922" s="563"/>
      <c r="M922" s="263"/>
      <c r="N922" s="263"/>
      <c r="O922" s="263"/>
      <c r="P922" s="265"/>
      <c r="Q922" s="263"/>
      <c r="R922" s="263"/>
      <c r="S922" s="263"/>
      <c r="T922" s="263"/>
      <c r="U922" s="263"/>
      <c r="V922" s="263"/>
      <c r="W922" s="263"/>
      <c r="X922" s="263"/>
      <c r="Y922" s="263"/>
      <c r="Z922" s="263"/>
      <c r="AA922" s="263"/>
      <c r="AB922" s="263"/>
      <c r="AC922" s="263"/>
      <c r="AD922" s="263"/>
      <c r="AE922" s="263"/>
      <c r="AF922" s="418"/>
      <c r="AG922" s="263"/>
      <c r="AH922" s="263"/>
      <c r="AI922" s="263"/>
    </row>
    <row r="923" spans="1:35" ht="15" customHeight="1">
      <c r="A923" s="69"/>
      <c r="B923" s="418"/>
      <c r="C923" s="263"/>
      <c r="E923" s="263"/>
      <c r="F923" s="263"/>
      <c r="G923" s="418"/>
      <c r="H923" s="263"/>
      <c r="I923" s="263"/>
      <c r="J923" s="263"/>
      <c r="K923" s="263"/>
      <c r="L923" s="563"/>
      <c r="M923" s="263"/>
      <c r="N923" s="263"/>
      <c r="O923" s="263"/>
      <c r="P923" s="265"/>
      <c r="Q923" s="263"/>
      <c r="R923" s="263"/>
      <c r="S923" s="263"/>
      <c r="T923" s="263"/>
      <c r="U923" s="263"/>
      <c r="V923" s="263"/>
      <c r="W923" s="263"/>
      <c r="X923" s="263"/>
      <c r="Y923" s="263"/>
      <c r="Z923" s="263"/>
      <c r="AA923" s="263"/>
      <c r="AB923" s="263"/>
      <c r="AC923" s="263"/>
      <c r="AD923" s="263"/>
      <c r="AE923" s="263"/>
      <c r="AF923" s="418"/>
      <c r="AG923" s="263"/>
      <c r="AH923" s="263"/>
      <c r="AI923" s="263"/>
    </row>
    <row r="924" spans="1:35" ht="15" customHeight="1">
      <c r="A924" s="69"/>
      <c r="B924" s="418"/>
      <c r="C924" s="263"/>
      <c r="E924" s="263"/>
      <c r="F924" s="263"/>
      <c r="G924" s="418"/>
      <c r="H924" s="263"/>
      <c r="I924" s="263"/>
      <c r="J924" s="263"/>
      <c r="K924" s="263"/>
      <c r="L924" s="563"/>
      <c r="M924" s="263"/>
      <c r="N924" s="263"/>
      <c r="O924" s="263"/>
      <c r="P924" s="265"/>
      <c r="Q924" s="263"/>
      <c r="R924" s="263"/>
      <c r="S924" s="263"/>
      <c r="T924" s="263"/>
      <c r="U924" s="263"/>
      <c r="V924" s="263"/>
      <c r="W924" s="263"/>
      <c r="X924" s="263"/>
      <c r="Y924" s="263"/>
      <c r="Z924" s="263"/>
      <c r="AA924" s="263"/>
      <c r="AB924" s="263"/>
      <c r="AC924" s="263"/>
      <c r="AD924" s="263"/>
      <c r="AE924" s="263"/>
      <c r="AF924" s="418"/>
      <c r="AG924" s="263"/>
      <c r="AH924" s="263"/>
      <c r="AI924" s="263"/>
    </row>
    <row r="925" spans="1:35" ht="15" customHeight="1">
      <c r="A925" s="69"/>
      <c r="B925" s="418"/>
      <c r="C925" s="263"/>
      <c r="E925" s="263"/>
      <c r="F925" s="263"/>
      <c r="G925" s="418"/>
      <c r="H925" s="263"/>
      <c r="I925" s="263"/>
      <c r="J925" s="263"/>
      <c r="K925" s="263"/>
      <c r="L925" s="563"/>
      <c r="M925" s="263"/>
      <c r="N925" s="263"/>
      <c r="O925" s="263"/>
      <c r="P925" s="265"/>
      <c r="Q925" s="263"/>
      <c r="R925" s="263"/>
      <c r="S925" s="263"/>
      <c r="T925" s="263"/>
      <c r="U925" s="263"/>
      <c r="V925" s="263"/>
      <c r="W925" s="263"/>
      <c r="X925" s="263"/>
      <c r="Y925" s="263"/>
      <c r="Z925" s="263"/>
      <c r="AA925" s="263"/>
      <c r="AB925" s="263"/>
      <c r="AC925" s="263"/>
      <c r="AD925" s="263"/>
      <c r="AE925" s="263"/>
      <c r="AF925" s="418"/>
      <c r="AG925" s="263"/>
      <c r="AH925" s="263"/>
      <c r="AI925" s="263"/>
    </row>
    <row r="926" spans="1:35" ht="15" customHeight="1">
      <c r="A926" s="69"/>
      <c r="B926" s="418"/>
      <c r="C926" s="263"/>
      <c r="E926" s="263"/>
      <c r="F926" s="263"/>
      <c r="G926" s="418"/>
      <c r="H926" s="263"/>
      <c r="I926" s="263"/>
      <c r="J926" s="263"/>
      <c r="K926" s="263"/>
      <c r="L926" s="563"/>
      <c r="M926" s="263"/>
      <c r="N926" s="263"/>
      <c r="O926" s="263"/>
      <c r="P926" s="265"/>
      <c r="Q926" s="263"/>
      <c r="R926" s="263"/>
      <c r="S926" s="263"/>
      <c r="T926" s="263"/>
      <c r="U926" s="263"/>
      <c r="V926" s="263"/>
      <c r="W926" s="263"/>
      <c r="X926" s="263"/>
      <c r="Y926" s="263"/>
      <c r="Z926" s="263"/>
      <c r="AA926" s="263"/>
      <c r="AB926" s="263"/>
      <c r="AC926" s="263"/>
      <c r="AD926" s="263"/>
      <c r="AE926" s="263"/>
      <c r="AF926" s="418"/>
      <c r="AG926" s="263"/>
      <c r="AH926" s="263"/>
      <c r="AI926" s="263"/>
    </row>
    <row r="927" spans="1:35" ht="15" customHeight="1">
      <c r="A927" s="69"/>
      <c r="B927" s="418"/>
      <c r="C927" s="263"/>
      <c r="E927" s="263"/>
      <c r="F927" s="263"/>
      <c r="G927" s="418"/>
      <c r="H927" s="263"/>
      <c r="I927" s="263"/>
      <c r="J927" s="263"/>
      <c r="K927" s="263"/>
      <c r="L927" s="563"/>
      <c r="M927" s="263"/>
      <c r="N927" s="263"/>
      <c r="O927" s="263"/>
      <c r="P927" s="265"/>
      <c r="Q927" s="263"/>
      <c r="R927" s="263"/>
      <c r="S927" s="263"/>
      <c r="T927" s="263"/>
      <c r="U927" s="263"/>
      <c r="V927" s="263"/>
      <c r="W927" s="263"/>
      <c r="X927" s="263"/>
      <c r="Y927" s="263"/>
      <c r="Z927" s="263"/>
      <c r="AA927" s="263"/>
      <c r="AB927" s="263"/>
      <c r="AC927" s="263"/>
      <c r="AD927" s="263"/>
      <c r="AE927" s="263"/>
      <c r="AF927" s="418"/>
      <c r="AG927" s="263"/>
      <c r="AH927" s="263"/>
      <c r="AI927" s="263"/>
    </row>
    <row r="928" spans="1:35" ht="15" customHeight="1">
      <c r="A928" s="69"/>
      <c r="B928" s="418"/>
      <c r="C928" s="263"/>
      <c r="E928" s="263"/>
      <c r="F928" s="263"/>
      <c r="G928" s="418"/>
      <c r="H928" s="263"/>
      <c r="I928" s="263"/>
      <c r="J928" s="263"/>
      <c r="K928" s="263"/>
      <c r="L928" s="563"/>
      <c r="M928" s="263"/>
      <c r="N928" s="263"/>
      <c r="O928" s="263"/>
      <c r="P928" s="265"/>
      <c r="Q928" s="263"/>
      <c r="R928" s="263"/>
      <c r="S928" s="263"/>
      <c r="T928" s="263"/>
      <c r="U928" s="263"/>
      <c r="V928" s="263"/>
      <c r="W928" s="263"/>
      <c r="X928" s="263"/>
      <c r="Y928" s="263"/>
      <c r="Z928" s="263"/>
      <c r="AA928" s="263"/>
      <c r="AB928" s="263"/>
      <c r="AC928" s="263"/>
      <c r="AD928" s="263"/>
      <c r="AE928" s="263"/>
      <c r="AF928" s="418"/>
      <c r="AG928" s="263"/>
      <c r="AH928" s="263"/>
      <c r="AI928" s="263"/>
    </row>
    <row r="929" spans="1:35" ht="15" customHeight="1">
      <c r="A929" s="69"/>
      <c r="B929" s="418"/>
      <c r="C929" s="263"/>
      <c r="E929" s="263"/>
      <c r="F929" s="263"/>
      <c r="G929" s="418"/>
      <c r="H929" s="263"/>
      <c r="I929" s="263"/>
      <c r="J929" s="263"/>
      <c r="K929" s="263"/>
      <c r="L929" s="563"/>
      <c r="M929" s="263"/>
      <c r="N929" s="263"/>
      <c r="O929" s="263"/>
      <c r="P929" s="265"/>
      <c r="Q929" s="263"/>
      <c r="R929" s="263"/>
      <c r="S929" s="263"/>
      <c r="T929" s="263"/>
      <c r="U929" s="263"/>
      <c r="V929" s="263"/>
      <c r="W929" s="263"/>
      <c r="X929" s="263"/>
      <c r="Y929" s="263"/>
      <c r="Z929" s="263"/>
      <c r="AA929" s="263"/>
      <c r="AB929" s="263"/>
      <c r="AC929" s="263"/>
      <c r="AD929" s="263"/>
      <c r="AE929" s="263"/>
      <c r="AF929" s="418"/>
      <c r="AG929" s="263"/>
      <c r="AH929" s="263"/>
      <c r="AI929" s="263"/>
    </row>
    <row r="930" spans="1:35" ht="15" customHeight="1">
      <c r="A930" s="69"/>
      <c r="B930" s="418"/>
      <c r="C930" s="263"/>
      <c r="E930" s="263"/>
      <c r="F930" s="263"/>
      <c r="G930" s="418"/>
      <c r="H930" s="263"/>
      <c r="I930" s="263"/>
      <c r="J930" s="263"/>
      <c r="K930" s="263"/>
      <c r="L930" s="563"/>
      <c r="M930" s="263"/>
      <c r="N930" s="263"/>
      <c r="O930" s="263"/>
      <c r="P930" s="265"/>
      <c r="Q930" s="263"/>
      <c r="R930" s="263"/>
      <c r="S930" s="263"/>
      <c r="T930" s="263"/>
      <c r="U930" s="263"/>
      <c r="V930" s="263"/>
      <c r="W930" s="263"/>
      <c r="X930" s="263"/>
      <c r="Y930" s="263"/>
      <c r="Z930" s="263"/>
      <c r="AA930" s="263"/>
      <c r="AB930" s="263"/>
      <c r="AC930" s="263"/>
      <c r="AD930" s="263"/>
      <c r="AE930" s="263"/>
      <c r="AF930" s="418"/>
      <c r="AG930" s="263"/>
      <c r="AH930" s="263"/>
      <c r="AI930" s="263"/>
    </row>
    <row r="931" spans="1:35" ht="15" customHeight="1">
      <c r="A931" s="69"/>
      <c r="B931" s="418"/>
      <c r="C931" s="263"/>
      <c r="E931" s="263"/>
      <c r="F931" s="263"/>
      <c r="G931" s="418"/>
      <c r="H931" s="263"/>
      <c r="I931" s="263"/>
      <c r="J931" s="263"/>
      <c r="K931" s="263"/>
      <c r="L931" s="563"/>
      <c r="M931" s="263"/>
      <c r="N931" s="263"/>
      <c r="O931" s="263"/>
      <c r="P931" s="265"/>
      <c r="Q931" s="263"/>
      <c r="R931" s="263"/>
      <c r="S931" s="263"/>
      <c r="T931" s="263"/>
      <c r="U931" s="263"/>
      <c r="V931" s="263"/>
      <c r="W931" s="263"/>
      <c r="X931" s="263"/>
      <c r="Y931" s="263"/>
      <c r="Z931" s="263"/>
      <c r="AA931" s="263"/>
      <c r="AB931" s="263"/>
      <c r="AC931" s="263"/>
      <c r="AD931" s="263"/>
      <c r="AE931" s="263"/>
      <c r="AF931" s="418"/>
      <c r="AG931" s="263"/>
      <c r="AH931" s="263"/>
      <c r="AI931" s="263"/>
    </row>
    <row r="932" spans="1:35" ht="15" customHeight="1">
      <c r="A932" s="69"/>
      <c r="B932" s="418"/>
      <c r="C932" s="263"/>
      <c r="E932" s="263"/>
      <c r="F932" s="263"/>
      <c r="G932" s="418"/>
      <c r="H932" s="263"/>
      <c r="I932" s="263"/>
      <c r="J932" s="263"/>
      <c r="K932" s="263"/>
      <c r="L932" s="563"/>
      <c r="M932" s="263"/>
      <c r="N932" s="263"/>
      <c r="O932" s="263"/>
      <c r="P932" s="265"/>
      <c r="Q932" s="263"/>
      <c r="R932" s="263"/>
      <c r="S932" s="263"/>
      <c r="T932" s="263"/>
      <c r="U932" s="263"/>
      <c r="V932" s="263"/>
      <c r="W932" s="263"/>
      <c r="X932" s="263"/>
      <c r="Y932" s="263"/>
      <c r="Z932" s="263"/>
      <c r="AA932" s="263"/>
      <c r="AB932" s="263"/>
      <c r="AC932" s="263"/>
      <c r="AD932" s="263"/>
      <c r="AE932" s="263"/>
      <c r="AF932" s="418"/>
      <c r="AG932" s="263"/>
      <c r="AH932" s="263"/>
      <c r="AI932" s="263"/>
    </row>
    <row r="933" spans="1:35" ht="15" customHeight="1">
      <c r="A933" s="69"/>
      <c r="B933" s="418"/>
      <c r="C933" s="263"/>
      <c r="E933" s="263"/>
      <c r="F933" s="263"/>
      <c r="G933" s="418"/>
      <c r="H933" s="263"/>
      <c r="I933" s="263"/>
      <c r="J933" s="263"/>
      <c r="K933" s="263"/>
      <c r="L933" s="563"/>
      <c r="M933" s="263"/>
      <c r="N933" s="263"/>
      <c r="O933" s="263"/>
      <c r="P933" s="265"/>
      <c r="Q933" s="263"/>
      <c r="R933" s="263"/>
      <c r="S933" s="263"/>
      <c r="T933" s="263"/>
      <c r="U933" s="263"/>
      <c r="V933" s="263"/>
      <c r="W933" s="263"/>
      <c r="X933" s="263"/>
      <c r="Y933" s="263"/>
      <c r="Z933" s="263"/>
      <c r="AA933" s="263"/>
      <c r="AB933" s="263"/>
      <c r="AC933" s="263"/>
      <c r="AD933" s="263"/>
      <c r="AE933" s="263"/>
      <c r="AF933" s="418"/>
      <c r="AG933" s="263"/>
      <c r="AH933" s="263"/>
      <c r="AI933" s="263"/>
    </row>
    <row r="934" spans="1:35" ht="15" customHeight="1">
      <c r="A934" s="69"/>
      <c r="B934" s="418"/>
      <c r="C934" s="263"/>
      <c r="E934" s="263"/>
      <c r="F934" s="263"/>
      <c r="G934" s="418"/>
      <c r="H934" s="263"/>
      <c r="I934" s="263"/>
      <c r="J934" s="263"/>
      <c r="K934" s="263"/>
      <c r="L934" s="563"/>
      <c r="M934" s="263"/>
      <c r="N934" s="263"/>
      <c r="O934" s="263"/>
      <c r="P934" s="265"/>
      <c r="Q934" s="263"/>
      <c r="R934" s="263"/>
      <c r="S934" s="263"/>
      <c r="T934" s="263"/>
      <c r="U934" s="263"/>
      <c r="V934" s="263"/>
      <c r="W934" s="263"/>
      <c r="X934" s="263"/>
      <c r="Y934" s="263"/>
      <c r="Z934" s="263"/>
      <c r="AA934" s="263"/>
      <c r="AB934" s="263"/>
      <c r="AC934" s="263"/>
      <c r="AD934" s="263"/>
      <c r="AE934" s="263"/>
      <c r="AF934" s="418"/>
      <c r="AG934" s="263"/>
      <c r="AH934" s="263"/>
      <c r="AI934" s="263"/>
    </row>
    <row r="935" spans="1:35" ht="15" customHeight="1">
      <c r="A935" s="69"/>
      <c r="B935" s="418"/>
      <c r="C935" s="263"/>
      <c r="E935" s="263"/>
      <c r="F935" s="263"/>
      <c r="G935" s="418"/>
      <c r="H935" s="263"/>
      <c r="I935" s="263"/>
      <c r="J935" s="263"/>
      <c r="K935" s="263"/>
      <c r="L935" s="563"/>
      <c r="M935" s="263"/>
      <c r="N935" s="263"/>
      <c r="O935" s="263"/>
      <c r="P935" s="265"/>
      <c r="Q935" s="263"/>
      <c r="R935" s="263"/>
      <c r="S935" s="263"/>
      <c r="T935" s="263"/>
      <c r="U935" s="263"/>
      <c r="V935" s="263"/>
      <c r="W935" s="263"/>
      <c r="X935" s="263"/>
      <c r="Y935" s="263"/>
      <c r="Z935" s="263"/>
      <c r="AA935" s="263"/>
      <c r="AB935" s="263"/>
      <c r="AC935" s="263"/>
      <c r="AD935" s="263"/>
      <c r="AE935" s="263"/>
      <c r="AF935" s="418"/>
      <c r="AG935" s="263"/>
      <c r="AH935" s="263"/>
      <c r="AI935" s="263"/>
    </row>
    <row r="936" spans="1:35" ht="15" customHeight="1">
      <c r="A936" s="69"/>
      <c r="B936" s="418"/>
      <c r="C936" s="263"/>
      <c r="E936" s="263"/>
      <c r="F936" s="263"/>
      <c r="G936" s="418"/>
      <c r="H936" s="263"/>
      <c r="I936" s="263"/>
      <c r="J936" s="263"/>
      <c r="K936" s="263"/>
      <c r="L936" s="563"/>
      <c r="M936" s="263"/>
      <c r="N936" s="263"/>
      <c r="O936" s="263"/>
      <c r="P936" s="265"/>
      <c r="Q936" s="263"/>
      <c r="R936" s="263"/>
      <c r="S936" s="263"/>
      <c r="T936" s="263"/>
      <c r="U936" s="263"/>
      <c r="V936" s="263"/>
      <c r="W936" s="263"/>
      <c r="X936" s="263"/>
      <c r="Y936" s="263"/>
      <c r="Z936" s="263"/>
      <c r="AA936" s="263"/>
      <c r="AB936" s="263"/>
      <c r="AC936" s="263"/>
      <c r="AD936" s="263"/>
      <c r="AE936" s="263"/>
      <c r="AF936" s="418"/>
      <c r="AG936" s="263"/>
      <c r="AH936" s="263"/>
      <c r="AI936" s="263"/>
    </row>
    <row r="937" spans="1:35" ht="15" customHeight="1">
      <c r="A937" s="69"/>
      <c r="B937" s="418"/>
      <c r="C937" s="263"/>
      <c r="E937" s="263"/>
      <c r="F937" s="263"/>
      <c r="G937" s="418"/>
      <c r="H937" s="263"/>
      <c r="I937" s="263"/>
      <c r="J937" s="263"/>
      <c r="K937" s="263"/>
      <c r="L937" s="563"/>
      <c r="M937" s="263"/>
      <c r="N937" s="263"/>
      <c r="O937" s="263"/>
      <c r="P937" s="265"/>
      <c r="Q937" s="263"/>
      <c r="R937" s="263"/>
      <c r="S937" s="263"/>
      <c r="T937" s="263"/>
      <c r="U937" s="263"/>
      <c r="V937" s="263"/>
      <c r="W937" s="263"/>
      <c r="X937" s="263"/>
      <c r="Y937" s="263"/>
      <c r="Z937" s="263"/>
      <c r="AA937" s="263"/>
      <c r="AB937" s="263"/>
      <c r="AC937" s="263"/>
      <c r="AD937" s="263"/>
      <c r="AE937" s="263"/>
      <c r="AF937" s="418"/>
      <c r="AG937" s="263"/>
      <c r="AH937" s="263"/>
      <c r="AI937" s="263"/>
    </row>
    <row r="938" spans="1:35" ht="15" customHeight="1">
      <c r="A938" s="69"/>
      <c r="B938" s="418"/>
      <c r="C938" s="263"/>
      <c r="E938" s="263"/>
      <c r="F938" s="263"/>
      <c r="G938" s="418"/>
      <c r="H938" s="263"/>
      <c r="I938" s="263"/>
      <c r="J938" s="263"/>
      <c r="K938" s="263"/>
      <c r="L938" s="563"/>
      <c r="M938" s="263"/>
      <c r="N938" s="263"/>
      <c r="O938" s="263"/>
      <c r="P938" s="265"/>
      <c r="Q938" s="263"/>
      <c r="R938" s="263"/>
      <c r="S938" s="263"/>
      <c r="T938" s="263"/>
      <c r="U938" s="263"/>
      <c r="V938" s="263"/>
      <c r="W938" s="263"/>
      <c r="X938" s="263"/>
      <c r="Y938" s="263"/>
      <c r="Z938" s="263"/>
      <c r="AA938" s="263"/>
      <c r="AB938" s="263"/>
      <c r="AC938" s="263"/>
      <c r="AD938" s="263"/>
      <c r="AE938" s="263"/>
      <c r="AF938" s="418"/>
      <c r="AG938" s="263"/>
      <c r="AH938" s="263"/>
      <c r="AI938" s="263"/>
    </row>
    <row r="939" spans="1:35" ht="15" customHeight="1">
      <c r="A939" s="69"/>
      <c r="B939" s="418"/>
      <c r="C939" s="263"/>
      <c r="E939" s="263"/>
      <c r="F939" s="263"/>
      <c r="G939" s="418"/>
      <c r="H939" s="263"/>
      <c r="I939" s="263"/>
      <c r="J939" s="263"/>
      <c r="K939" s="263"/>
      <c r="L939" s="563"/>
      <c r="M939" s="263"/>
      <c r="N939" s="263"/>
      <c r="O939" s="263"/>
      <c r="P939" s="265"/>
      <c r="Q939" s="263"/>
      <c r="R939" s="263"/>
      <c r="S939" s="263"/>
      <c r="T939" s="263"/>
      <c r="U939" s="263"/>
      <c r="V939" s="263"/>
      <c r="W939" s="263"/>
      <c r="X939" s="263"/>
      <c r="Y939" s="263"/>
      <c r="Z939" s="263"/>
      <c r="AA939" s="263"/>
      <c r="AB939" s="263"/>
      <c r="AC939" s="263"/>
      <c r="AD939" s="263"/>
      <c r="AE939" s="263"/>
      <c r="AF939" s="418"/>
      <c r="AG939" s="263"/>
      <c r="AH939" s="263"/>
      <c r="AI939" s="263"/>
    </row>
    <row r="940" spans="1:35" ht="15" customHeight="1">
      <c r="A940" s="69"/>
      <c r="B940" s="418"/>
      <c r="C940" s="263"/>
      <c r="E940" s="263"/>
      <c r="F940" s="263"/>
      <c r="G940" s="418"/>
      <c r="H940" s="263"/>
      <c r="I940" s="263"/>
      <c r="J940" s="263"/>
      <c r="K940" s="263"/>
      <c r="L940" s="563"/>
      <c r="M940" s="263"/>
      <c r="N940" s="263"/>
      <c r="O940" s="263"/>
      <c r="P940" s="265"/>
      <c r="Q940" s="263"/>
      <c r="R940" s="263"/>
      <c r="S940" s="263"/>
      <c r="T940" s="263"/>
      <c r="U940" s="263"/>
      <c r="V940" s="263"/>
      <c r="W940" s="263"/>
      <c r="X940" s="263"/>
      <c r="Y940" s="263"/>
      <c r="Z940" s="263"/>
      <c r="AA940" s="263"/>
      <c r="AB940" s="263"/>
      <c r="AC940" s="263"/>
      <c r="AD940" s="263"/>
      <c r="AE940" s="263"/>
      <c r="AF940" s="418"/>
      <c r="AG940" s="263"/>
      <c r="AH940" s="263"/>
      <c r="AI940" s="263"/>
    </row>
    <row r="941" spans="1:35" ht="15" customHeight="1">
      <c r="A941" s="69"/>
      <c r="B941" s="418"/>
      <c r="C941" s="263"/>
      <c r="E941" s="263"/>
      <c r="F941" s="263"/>
      <c r="G941" s="418"/>
      <c r="H941" s="263"/>
      <c r="I941" s="263"/>
      <c r="J941" s="263"/>
      <c r="K941" s="263"/>
      <c r="L941" s="563"/>
      <c r="M941" s="263"/>
      <c r="N941" s="263"/>
      <c r="O941" s="263"/>
      <c r="P941" s="265"/>
      <c r="Q941" s="263"/>
      <c r="R941" s="263"/>
      <c r="S941" s="263"/>
      <c r="T941" s="263"/>
      <c r="U941" s="263"/>
      <c r="V941" s="263"/>
      <c r="W941" s="263"/>
      <c r="X941" s="263"/>
      <c r="Y941" s="263"/>
      <c r="Z941" s="263"/>
      <c r="AA941" s="263"/>
      <c r="AB941" s="263"/>
      <c r="AC941" s="263"/>
      <c r="AD941" s="263"/>
      <c r="AE941" s="263"/>
      <c r="AF941" s="418"/>
      <c r="AG941" s="263"/>
      <c r="AH941" s="263"/>
      <c r="AI941" s="263"/>
    </row>
    <row r="942" spans="1:35" ht="15" customHeight="1">
      <c r="A942" s="69"/>
      <c r="B942" s="418"/>
      <c r="C942" s="263"/>
      <c r="E942" s="263"/>
      <c r="F942" s="263"/>
      <c r="G942" s="418"/>
      <c r="H942" s="263"/>
      <c r="I942" s="263"/>
      <c r="J942" s="263"/>
      <c r="K942" s="263"/>
      <c r="L942" s="563"/>
      <c r="M942" s="263"/>
      <c r="N942" s="263"/>
      <c r="O942" s="263"/>
      <c r="P942" s="265"/>
      <c r="Q942" s="263"/>
      <c r="R942" s="263"/>
      <c r="S942" s="263"/>
      <c r="T942" s="263"/>
      <c r="U942" s="263"/>
      <c r="V942" s="263"/>
      <c r="W942" s="263"/>
      <c r="X942" s="263"/>
      <c r="Y942" s="263"/>
      <c r="Z942" s="263"/>
      <c r="AA942" s="263"/>
      <c r="AB942" s="263"/>
      <c r="AC942" s="263"/>
      <c r="AD942" s="263"/>
      <c r="AE942" s="263"/>
      <c r="AF942" s="418"/>
      <c r="AG942" s="263"/>
      <c r="AH942" s="263"/>
      <c r="AI942" s="263"/>
    </row>
    <row r="943" spans="1:35" ht="15" customHeight="1">
      <c r="A943" s="69"/>
      <c r="B943" s="418"/>
      <c r="C943" s="263"/>
      <c r="E943" s="263"/>
      <c r="F943" s="263"/>
      <c r="G943" s="418"/>
      <c r="H943" s="263"/>
      <c r="I943" s="263"/>
      <c r="J943" s="263"/>
      <c r="K943" s="263"/>
      <c r="L943" s="563"/>
      <c r="M943" s="263"/>
      <c r="N943" s="263"/>
      <c r="O943" s="263"/>
      <c r="P943" s="265"/>
      <c r="Q943" s="263"/>
      <c r="R943" s="263"/>
      <c r="S943" s="263"/>
      <c r="T943" s="263"/>
      <c r="U943" s="263"/>
      <c r="V943" s="263"/>
      <c r="W943" s="263"/>
      <c r="X943" s="263"/>
      <c r="Y943" s="263"/>
      <c r="Z943" s="263"/>
      <c r="AA943" s="263"/>
      <c r="AB943" s="263"/>
      <c r="AC943" s="263"/>
      <c r="AD943" s="263"/>
      <c r="AE943" s="263"/>
      <c r="AF943" s="418"/>
      <c r="AG943" s="263"/>
      <c r="AH943" s="263"/>
      <c r="AI943" s="263"/>
    </row>
    <row r="944" spans="1:35" ht="15" customHeight="1">
      <c r="A944" s="69"/>
      <c r="B944" s="418"/>
      <c r="C944" s="263"/>
      <c r="E944" s="263"/>
      <c r="F944" s="263"/>
      <c r="G944" s="418"/>
      <c r="H944" s="263"/>
      <c r="I944" s="263"/>
      <c r="J944" s="263"/>
      <c r="K944" s="263"/>
      <c r="L944" s="563"/>
      <c r="M944" s="263"/>
      <c r="N944" s="263"/>
      <c r="O944" s="263"/>
      <c r="P944" s="265"/>
      <c r="Q944" s="263"/>
      <c r="R944" s="263"/>
      <c r="S944" s="263"/>
      <c r="T944" s="263"/>
      <c r="U944" s="263"/>
      <c r="V944" s="263"/>
      <c r="W944" s="263"/>
      <c r="X944" s="263"/>
      <c r="Y944" s="263"/>
      <c r="Z944" s="263"/>
      <c r="AA944" s="263"/>
      <c r="AB944" s="263"/>
      <c r="AC944" s="263"/>
      <c r="AD944" s="263"/>
      <c r="AE944" s="263"/>
      <c r="AF944" s="418"/>
      <c r="AG944" s="263"/>
      <c r="AH944" s="263"/>
      <c r="AI944" s="263"/>
    </row>
    <row r="945" spans="1:35" ht="15" customHeight="1">
      <c r="A945" s="69"/>
      <c r="B945" s="418"/>
      <c r="C945" s="263"/>
      <c r="E945" s="263"/>
      <c r="F945" s="263"/>
      <c r="G945" s="418"/>
      <c r="H945" s="263"/>
      <c r="I945" s="263"/>
      <c r="J945" s="263"/>
      <c r="K945" s="263"/>
      <c r="L945" s="563"/>
      <c r="M945" s="263"/>
      <c r="N945" s="263"/>
      <c r="O945" s="263"/>
      <c r="P945" s="265"/>
      <c r="Q945" s="263"/>
      <c r="R945" s="263"/>
      <c r="S945" s="263"/>
      <c r="T945" s="263"/>
      <c r="U945" s="263"/>
      <c r="V945" s="263"/>
      <c r="W945" s="263"/>
      <c r="X945" s="263"/>
      <c r="Y945" s="263"/>
      <c r="Z945" s="263"/>
      <c r="AA945" s="263"/>
      <c r="AB945" s="263"/>
      <c r="AC945" s="263"/>
      <c r="AD945" s="263"/>
      <c r="AE945" s="263"/>
      <c r="AF945" s="418"/>
      <c r="AG945" s="263"/>
      <c r="AH945" s="263"/>
      <c r="AI945" s="263"/>
    </row>
    <row r="946" spans="1:35" ht="15" customHeight="1">
      <c r="A946" s="69"/>
      <c r="B946" s="418"/>
      <c r="C946" s="263"/>
      <c r="E946" s="263"/>
      <c r="F946" s="263"/>
      <c r="G946" s="418"/>
      <c r="H946" s="263"/>
      <c r="I946" s="263"/>
      <c r="J946" s="263"/>
      <c r="K946" s="263"/>
      <c r="L946" s="563"/>
      <c r="M946" s="263"/>
      <c r="N946" s="263"/>
      <c r="O946" s="263"/>
      <c r="P946" s="265"/>
      <c r="Q946" s="263"/>
      <c r="R946" s="263"/>
      <c r="S946" s="263"/>
      <c r="T946" s="263"/>
      <c r="U946" s="263"/>
      <c r="V946" s="263"/>
      <c r="W946" s="263"/>
      <c r="X946" s="263"/>
      <c r="Y946" s="263"/>
      <c r="Z946" s="263"/>
      <c r="AA946" s="263"/>
      <c r="AB946" s="263"/>
      <c r="AC946" s="263"/>
      <c r="AD946" s="263"/>
      <c r="AE946" s="263"/>
      <c r="AF946" s="418"/>
      <c r="AG946" s="263"/>
      <c r="AH946" s="263"/>
      <c r="AI946" s="263"/>
    </row>
    <row r="947" spans="1:35" ht="15" customHeight="1">
      <c r="A947" s="69"/>
      <c r="B947" s="418"/>
      <c r="C947" s="263"/>
      <c r="E947" s="263"/>
      <c r="F947" s="263"/>
      <c r="G947" s="418"/>
      <c r="H947" s="263"/>
      <c r="I947" s="263"/>
      <c r="J947" s="263"/>
      <c r="K947" s="263"/>
      <c r="L947" s="563"/>
      <c r="M947" s="263"/>
      <c r="N947" s="263"/>
      <c r="O947" s="263"/>
      <c r="P947" s="265"/>
      <c r="Q947" s="263"/>
      <c r="R947" s="263"/>
      <c r="S947" s="263"/>
      <c r="T947" s="263"/>
      <c r="U947" s="263"/>
      <c r="V947" s="263"/>
      <c r="W947" s="263"/>
      <c r="X947" s="263"/>
      <c r="Y947" s="263"/>
      <c r="Z947" s="263"/>
      <c r="AA947" s="263"/>
      <c r="AB947" s="263"/>
      <c r="AC947" s="263"/>
      <c r="AD947" s="263"/>
      <c r="AE947" s="263"/>
      <c r="AF947" s="418"/>
      <c r="AG947" s="263"/>
      <c r="AH947" s="263"/>
      <c r="AI947" s="263"/>
    </row>
    <row r="948" spans="1:35" ht="15" customHeight="1">
      <c r="A948" s="69"/>
      <c r="B948" s="418"/>
      <c r="C948" s="263"/>
      <c r="E948" s="263"/>
      <c r="F948" s="263"/>
      <c r="G948" s="418"/>
      <c r="H948" s="263"/>
      <c r="I948" s="263"/>
      <c r="J948" s="263"/>
      <c r="K948" s="263"/>
      <c r="L948" s="563"/>
      <c r="M948" s="263"/>
      <c r="N948" s="263"/>
      <c r="O948" s="263"/>
      <c r="P948" s="265"/>
      <c r="Q948" s="263"/>
      <c r="R948" s="263"/>
      <c r="S948" s="263"/>
      <c r="T948" s="263"/>
      <c r="U948" s="263"/>
      <c r="V948" s="263"/>
      <c r="W948" s="263"/>
      <c r="X948" s="263"/>
      <c r="Y948" s="263"/>
      <c r="Z948" s="263"/>
      <c r="AA948" s="263"/>
      <c r="AB948" s="263"/>
      <c r="AC948" s="263"/>
      <c r="AD948" s="263"/>
      <c r="AE948" s="263"/>
      <c r="AF948" s="418"/>
      <c r="AG948" s="263"/>
      <c r="AH948" s="263"/>
      <c r="AI948" s="263"/>
    </row>
    <row r="949" spans="1:35" ht="15" customHeight="1">
      <c r="A949" s="69"/>
      <c r="B949" s="418"/>
      <c r="C949" s="263"/>
      <c r="E949" s="263"/>
      <c r="F949" s="263"/>
      <c r="G949" s="418"/>
      <c r="H949" s="263"/>
      <c r="I949" s="263"/>
      <c r="J949" s="263"/>
      <c r="K949" s="263"/>
      <c r="L949" s="563"/>
      <c r="M949" s="263"/>
      <c r="N949" s="263"/>
      <c r="O949" s="263"/>
      <c r="P949" s="265"/>
      <c r="Q949" s="263"/>
      <c r="R949" s="263"/>
      <c r="S949" s="263"/>
      <c r="T949" s="263"/>
      <c r="U949" s="263"/>
      <c r="V949" s="263"/>
      <c r="W949" s="263"/>
      <c r="X949" s="263"/>
      <c r="Y949" s="263"/>
      <c r="Z949" s="263"/>
      <c r="AA949" s="263"/>
      <c r="AB949" s="263"/>
      <c r="AC949" s="263"/>
      <c r="AD949" s="263"/>
      <c r="AE949" s="263"/>
      <c r="AF949" s="418"/>
      <c r="AG949" s="263"/>
      <c r="AH949" s="263"/>
      <c r="AI949" s="263"/>
    </row>
    <row r="950" spans="1:35" ht="15" customHeight="1">
      <c r="A950" s="69"/>
      <c r="B950" s="418"/>
      <c r="C950" s="263"/>
      <c r="E950" s="263"/>
      <c r="F950" s="263"/>
      <c r="G950" s="418"/>
      <c r="H950" s="263"/>
      <c r="I950" s="263"/>
      <c r="J950" s="263"/>
      <c r="K950" s="263"/>
      <c r="L950" s="563"/>
      <c r="M950" s="263"/>
      <c r="N950" s="263"/>
      <c r="O950" s="263"/>
      <c r="P950" s="265"/>
      <c r="Q950" s="263"/>
      <c r="R950" s="263"/>
      <c r="S950" s="263"/>
      <c r="T950" s="263"/>
      <c r="U950" s="263"/>
      <c r="V950" s="263"/>
      <c r="W950" s="263"/>
      <c r="X950" s="263"/>
      <c r="Y950" s="263"/>
      <c r="Z950" s="263"/>
      <c r="AA950" s="263"/>
      <c r="AB950" s="263"/>
      <c r="AC950" s="263"/>
      <c r="AD950" s="263"/>
      <c r="AE950" s="263"/>
      <c r="AF950" s="418"/>
      <c r="AG950" s="263"/>
      <c r="AH950" s="263"/>
      <c r="AI950" s="263"/>
    </row>
    <row r="951" spans="1:35" ht="15" customHeight="1">
      <c r="A951" s="69"/>
      <c r="B951" s="418"/>
      <c r="C951" s="263"/>
      <c r="E951" s="263"/>
      <c r="F951" s="263"/>
      <c r="G951" s="418"/>
      <c r="H951" s="263"/>
      <c r="I951" s="263"/>
      <c r="J951" s="263"/>
      <c r="K951" s="263"/>
      <c r="L951" s="563"/>
      <c r="M951" s="263"/>
      <c r="N951" s="263"/>
      <c r="O951" s="263"/>
      <c r="P951" s="265"/>
      <c r="Q951" s="263"/>
      <c r="R951" s="263"/>
      <c r="S951" s="263"/>
      <c r="T951" s="263"/>
      <c r="U951" s="263"/>
      <c r="V951" s="263"/>
      <c r="W951" s="263"/>
      <c r="X951" s="263"/>
      <c r="Y951" s="263"/>
      <c r="Z951" s="263"/>
      <c r="AA951" s="263"/>
      <c r="AB951" s="263"/>
      <c r="AC951" s="263"/>
      <c r="AD951" s="263"/>
      <c r="AE951" s="263"/>
      <c r="AF951" s="418"/>
      <c r="AG951" s="263"/>
      <c r="AH951" s="263"/>
      <c r="AI951" s="263"/>
    </row>
    <row r="952" spans="1:35" ht="15" customHeight="1">
      <c r="A952" s="69"/>
      <c r="B952" s="418"/>
      <c r="C952" s="263"/>
      <c r="E952" s="263"/>
      <c r="F952" s="263"/>
      <c r="G952" s="418"/>
      <c r="H952" s="263"/>
      <c r="I952" s="263"/>
      <c r="J952" s="263"/>
      <c r="K952" s="263"/>
      <c r="L952" s="563"/>
      <c r="M952" s="263"/>
      <c r="N952" s="263"/>
      <c r="O952" s="263"/>
      <c r="P952" s="265"/>
      <c r="Q952" s="263"/>
      <c r="R952" s="263"/>
      <c r="S952" s="263"/>
      <c r="T952" s="263"/>
      <c r="U952" s="263"/>
      <c r="V952" s="263"/>
      <c r="W952" s="263"/>
      <c r="X952" s="263"/>
      <c r="Y952" s="263"/>
      <c r="Z952" s="263"/>
      <c r="AA952" s="263"/>
      <c r="AB952" s="263"/>
      <c r="AC952" s="263"/>
      <c r="AD952" s="263"/>
      <c r="AE952" s="263"/>
      <c r="AF952" s="418"/>
      <c r="AG952" s="263"/>
      <c r="AH952" s="263"/>
      <c r="AI952" s="263"/>
    </row>
    <row r="953" spans="1:35" ht="15" customHeight="1">
      <c r="A953" s="69"/>
      <c r="B953" s="418"/>
      <c r="C953" s="263"/>
      <c r="E953" s="263"/>
      <c r="F953" s="263"/>
      <c r="G953" s="418"/>
      <c r="H953" s="263"/>
      <c r="I953" s="263"/>
      <c r="J953" s="263"/>
      <c r="K953" s="263"/>
      <c r="L953" s="563"/>
      <c r="M953" s="263"/>
      <c r="N953" s="263"/>
      <c r="O953" s="263"/>
      <c r="P953" s="265"/>
      <c r="Q953" s="263"/>
      <c r="R953" s="263"/>
      <c r="S953" s="263"/>
      <c r="T953" s="263"/>
      <c r="U953" s="263"/>
      <c r="V953" s="263"/>
      <c r="W953" s="263"/>
      <c r="X953" s="263"/>
      <c r="Y953" s="263"/>
      <c r="Z953" s="263"/>
      <c r="AA953" s="263"/>
      <c r="AB953" s="263"/>
      <c r="AC953" s="263"/>
      <c r="AD953" s="263"/>
      <c r="AE953" s="263"/>
      <c r="AF953" s="418"/>
      <c r="AG953" s="263"/>
      <c r="AH953" s="263"/>
      <c r="AI953" s="263"/>
    </row>
    <row r="954" spans="1:35" ht="15" customHeight="1">
      <c r="A954" s="69"/>
      <c r="B954" s="418"/>
      <c r="C954" s="263"/>
      <c r="E954" s="263"/>
      <c r="F954" s="263"/>
      <c r="G954" s="418"/>
      <c r="H954" s="263"/>
      <c r="I954" s="263"/>
      <c r="J954" s="263"/>
      <c r="K954" s="263"/>
      <c r="L954" s="563"/>
      <c r="M954" s="263"/>
      <c r="N954" s="263"/>
      <c r="O954" s="263"/>
      <c r="P954" s="265"/>
      <c r="Q954" s="263"/>
      <c r="R954" s="263"/>
      <c r="S954" s="263"/>
      <c r="T954" s="263"/>
      <c r="U954" s="263"/>
      <c r="V954" s="263"/>
      <c r="W954" s="263"/>
      <c r="X954" s="263"/>
      <c r="Y954" s="263"/>
      <c r="Z954" s="263"/>
      <c r="AA954" s="263"/>
      <c r="AB954" s="263"/>
      <c r="AC954" s="263"/>
      <c r="AD954" s="263"/>
      <c r="AE954" s="263"/>
      <c r="AF954" s="418"/>
      <c r="AG954" s="263"/>
      <c r="AH954" s="263"/>
      <c r="AI954" s="263"/>
    </row>
    <row r="955" spans="1:35" ht="15" customHeight="1">
      <c r="A955" s="69"/>
      <c r="B955" s="418"/>
      <c r="C955" s="263"/>
      <c r="E955" s="263"/>
      <c r="F955" s="263"/>
      <c r="G955" s="418"/>
      <c r="H955" s="263"/>
      <c r="I955" s="263"/>
      <c r="J955" s="263"/>
      <c r="K955" s="263"/>
      <c r="L955" s="563"/>
      <c r="M955" s="263"/>
      <c r="N955" s="263"/>
      <c r="O955" s="263"/>
      <c r="P955" s="265"/>
      <c r="Q955" s="263"/>
      <c r="R955" s="263"/>
      <c r="S955" s="263"/>
      <c r="T955" s="263"/>
      <c r="U955" s="263"/>
      <c r="V955" s="263"/>
      <c r="W955" s="263"/>
      <c r="X955" s="263"/>
      <c r="Y955" s="263"/>
      <c r="Z955" s="263"/>
      <c r="AA955" s="263"/>
      <c r="AB955" s="263"/>
      <c r="AC955" s="263"/>
      <c r="AD955" s="263"/>
      <c r="AE955" s="263"/>
      <c r="AF955" s="418"/>
      <c r="AG955" s="263"/>
      <c r="AH955" s="263"/>
      <c r="AI955" s="263"/>
    </row>
    <row r="956" spans="1:35" ht="15" customHeight="1">
      <c r="A956" s="69"/>
      <c r="B956" s="418"/>
      <c r="C956" s="263"/>
      <c r="E956" s="263"/>
      <c r="F956" s="263"/>
      <c r="G956" s="418"/>
      <c r="H956" s="263"/>
      <c r="I956" s="263"/>
      <c r="J956" s="263"/>
      <c r="K956" s="263"/>
      <c r="L956" s="563"/>
      <c r="M956" s="263"/>
      <c r="N956" s="263"/>
      <c r="O956" s="263"/>
      <c r="P956" s="265"/>
      <c r="Q956" s="263"/>
      <c r="R956" s="263"/>
      <c r="S956" s="263"/>
      <c r="T956" s="263"/>
      <c r="U956" s="263"/>
      <c r="V956" s="263"/>
      <c r="W956" s="263"/>
      <c r="X956" s="263"/>
      <c r="Y956" s="263"/>
      <c r="Z956" s="263"/>
      <c r="AA956" s="263"/>
      <c r="AB956" s="263"/>
      <c r="AC956" s="263"/>
      <c r="AD956" s="263"/>
      <c r="AE956" s="263"/>
      <c r="AF956" s="418"/>
      <c r="AG956" s="263"/>
      <c r="AH956" s="263"/>
      <c r="AI956" s="263"/>
    </row>
    <row r="957" spans="1:35" ht="15" customHeight="1">
      <c r="A957" s="69"/>
      <c r="B957" s="418"/>
      <c r="C957" s="263"/>
      <c r="E957" s="263"/>
      <c r="F957" s="263"/>
      <c r="G957" s="418"/>
      <c r="H957" s="263"/>
      <c r="I957" s="263"/>
      <c r="J957" s="263"/>
      <c r="K957" s="263"/>
      <c r="L957" s="563"/>
      <c r="M957" s="263"/>
      <c r="N957" s="263"/>
      <c r="O957" s="263"/>
      <c r="P957" s="265"/>
      <c r="Q957" s="263"/>
      <c r="R957" s="263"/>
      <c r="S957" s="263"/>
      <c r="T957" s="263"/>
      <c r="U957" s="263"/>
      <c r="V957" s="263"/>
      <c r="W957" s="263"/>
      <c r="X957" s="263"/>
      <c r="Y957" s="263"/>
      <c r="Z957" s="263"/>
      <c r="AA957" s="263"/>
      <c r="AB957" s="263"/>
      <c r="AC957" s="263"/>
      <c r="AD957" s="263"/>
      <c r="AE957" s="263"/>
      <c r="AF957" s="418"/>
      <c r="AG957" s="263"/>
      <c r="AH957" s="263"/>
      <c r="AI957" s="263"/>
    </row>
    <row r="958" spans="1:35" ht="15" customHeight="1">
      <c r="A958" s="69"/>
      <c r="B958" s="418"/>
      <c r="C958" s="263"/>
      <c r="E958" s="263"/>
      <c r="F958" s="263"/>
      <c r="G958" s="418"/>
      <c r="H958" s="263"/>
      <c r="I958" s="263"/>
      <c r="J958" s="263"/>
      <c r="K958" s="263"/>
      <c r="L958" s="563"/>
      <c r="M958" s="263"/>
      <c r="N958" s="263"/>
      <c r="O958" s="263"/>
      <c r="P958" s="265"/>
      <c r="Q958" s="263"/>
      <c r="R958" s="263"/>
      <c r="S958" s="263"/>
      <c r="T958" s="263"/>
      <c r="U958" s="263"/>
      <c r="V958" s="263"/>
      <c r="W958" s="263"/>
      <c r="X958" s="263"/>
      <c r="Y958" s="263"/>
      <c r="Z958" s="263"/>
      <c r="AA958" s="263"/>
      <c r="AB958" s="263"/>
      <c r="AC958" s="263"/>
      <c r="AD958" s="263"/>
      <c r="AE958" s="263"/>
      <c r="AF958" s="418"/>
      <c r="AG958" s="263"/>
      <c r="AH958" s="263"/>
      <c r="AI958" s="263"/>
    </row>
    <row r="959" spans="1:35" ht="15" customHeight="1">
      <c r="A959" s="69"/>
      <c r="B959" s="418"/>
      <c r="C959" s="263"/>
      <c r="E959" s="263"/>
      <c r="F959" s="263"/>
      <c r="G959" s="418"/>
      <c r="H959" s="263"/>
      <c r="I959" s="263"/>
      <c r="J959" s="263"/>
      <c r="K959" s="263"/>
      <c r="L959" s="563"/>
      <c r="M959" s="263"/>
      <c r="N959" s="263"/>
      <c r="O959" s="263"/>
      <c r="P959" s="265"/>
      <c r="Q959" s="263"/>
      <c r="R959" s="263"/>
      <c r="S959" s="263"/>
      <c r="T959" s="263"/>
      <c r="U959" s="263"/>
      <c r="V959" s="263"/>
      <c r="W959" s="263"/>
      <c r="X959" s="263"/>
      <c r="Y959" s="263"/>
      <c r="Z959" s="263"/>
      <c r="AA959" s="263"/>
      <c r="AB959" s="263"/>
      <c r="AC959" s="263"/>
      <c r="AD959" s="263"/>
      <c r="AE959" s="263"/>
      <c r="AF959" s="418"/>
      <c r="AG959" s="263"/>
      <c r="AH959" s="263"/>
      <c r="AI959" s="263"/>
    </row>
    <row r="960" spans="1:35" ht="15" customHeight="1">
      <c r="A960" s="69"/>
      <c r="B960" s="418"/>
      <c r="C960" s="263"/>
      <c r="E960" s="263"/>
      <c r="F960" s="263"/>
      <c r="G960" s="418"/>
      <c r="H960" s="263"/>
      <c r="I960" s="263"/>
      <c r="J960" s="263"/>
      <c r="K960" s="263"/>
      <c r="L960" s="563"/>
      <c r="M960" s="263"/>
      <c r="N960" s="263"/>
      <c r="O960" s="263"/>
      <c r="P960" s="265"/>
      <c r="Q960" s="263"/>
      <c r="R960" s="263"/>
      <c r="S960" s="263"/>
      <c r="T960" s="263"/>
      <c r="U960" s="263"/>
      <c r="V960" s="263"/>
      <c r="W960" s="263"/>
      <c r="X960" s="263"/>
      <c r="Y960" s="263"/>
      <c r="Z960" s="263"/>
      <c r="AA960" s="263"/>
      <c r="AB960" s="263"/>
      <c r="AC960" s="263"/>
      <c r="AD960" s="263"/>
      <c r="AE960" s="263"/>
      <c r="AF960" s="418"/>
      <c r="AG960" s="263"/>
      <c r="AH960" s="263"/>
      <c r="AI960" s="263"/>
    </row>
    <row r="961" spans="1:35" ht="15" customHeight="1">
      <c r="A961" s="69"/>
      <c r="B961" s="418"/>
      <c r="C961" s="263"/>
      <c r="E961" s="263"/>
      <c r="F961" s="263"/>
      <c r="G961" s="418"/>
      <c r="H961" s="263"/>
      <c r="I961" s="263"/>
      <c r="J961" s="263"/>
      <c r="K961" s="263"/>
      <c r="L961" s="563"/>
      <c r="M961" s="263"/>
      <c r="N961" s="263"/>
      <c r="O961" s="263"/>
      <c r="P961" s="265"/>
      <c r="Q961" s="263"/>
      <c r="R961" s="263"/>
      <c r="S961" s="263"/>
      <c r="T961" s="263"/>
      <c r="U961" s="263"/>
      <c r="V961" s="263"/>
      <c r="W961" s="263"/>
      <c r="X961" s="263"/>
      <c r="Y961" s="263"/>
      <c r="Z961" s="263"/>
      <c r="AA961" s="263"/>
      <c r="AB961" s="263"/>
      <c r="AC961" s="263"/>
      <c r="AD961" s="263"/>
      <c r="AE961" s="263"/>
      <c r="AF961" s="418"/>
      <c r="AG961" s="263"/>
      <c r="AH961" s="263"/>
      <c r="AI961" s="263"/>
    </row>
    <row r="962" spans="1:35" ht="15" customHeight="1">
      <c r="A962" s="69"/>
      <c r="B962" s="418"/>
      <c r="C962" s="263"/>
      <c r="E962" s="263"/>
      <c r="F962" s="263"/>
      <c r="G962" s="418"/>
      <c r="H962" s="263"/>
      <c r="I962" s="263"/>
      <c r="J962" s="263"/>
      <c r="K962" s="263"/>
      <c r="L962" s="563"/>
      <c r="M962" s="263"/>
      <c r="N962" s="263"/>
      <c r="O962" s="263"/>
      <c r="P962" s="265"/>
      <c r="Q962" s="263"/>
      <c r="R962" s="263"/>
      <c r="S962" s="263"/>
      <c r="T962" s="263"/>
      <c r="U962" s="263"/>
      <c r="V962" s="263"/>
      <c r="W962" s="263"/>
      <c r="X962" s="263"/>
      <c r="Y962" s="263"/>
      <c r="Z962" s="263"/>
      <c r="AA962" s="263"/>
      <c r="AB962" s="263"/>
      <c r="AC962" s="263"/>
      <c r="AD962" s="263"/>
      <c r="AE962" s="263"/>
      <c r="AF962" s="418"/>
      <c r="AG962" s="263"/>
      <c r="AH962" s="263"/>
      <c r="AI962" s="263"/>
    </row>
    <row r="963" spans="1:35" ht="15" customHeight="1">
      <c r="A963" s="69"/>
      <c r="B963" s="418"/>
      <c r="C963" s="263"/>
      <c r="E963" s="263"/>
      <c r="F963" s="263"/>
      <c r="G963" s="418"/>
      <c r="H963" s="263"/>
      <c r="I963" s="263"/>
      <c r="J963" s="263"/>
      <c r="K963" s="263"/>
      <c r="L963" s="563"/>
      <c r="M963" s="263"/>
      <c r="N963" s="263"/>
      <c r="O963" s="263"/>
      <c r="P963" s="265"/>
      <c r="Q963" s="263"/>
      <c r="R963" s="263"/>
      <c r="S963" s="263"/>
      <c r="T963" s="263"/>
      <c r="U963" s="263"/>
      <c r="V963" s="263"/>
      <c r="W963" s="263"/>
      <c r="X963" s="263"/>
      <c r="Y963" s="263"/>
      <c r="Z963" s="263"/>
      <c r="AA963" s="263"/>
      <c r="AB963" s="263"/>
      <c r="AC963" s="263"/>
      <c r="AD963" s="263"/>
      <c r="AE963" s="263"/>
      <c r="AF963" s="418"/>
      <c r="AG963" s="263"/>
      <c r="AH963" s="263"/>
      <c r="AI963" s="263"/>
    </row>
    <row r="964" spans="1:35" ht="15" customHeight="1">
      <c r="A964" s="69"/>
      <c r="B964" s="418"/>
      <c r="C964" s="263"/>
      <c r="E964" s="263"/>
      <c r="F964" s="263"/>
      <c r="G964" s="418"/>
      <c r="H964" s="263"/>
      <c r="I964" s="263"/>
      <c r="J964" s="263"/>
      <c r="K964" s="263"/>
      <c r="L964" s="563"/>
      <c r="M964" s="263"/>
      <c r="N964" s="263"/>
      <c r="O964" s="263"/>
      <c r="P964" s="265"/>
      <c r="Q964" s="263"/>
      <c r="R964" s="263"/>
      <c r="S964" s="263"/>
      <c r="T964" s="263"/>
      <c r="U964" s="263"/>
      <c r="V964" s="263"/>
      <c r="W964" s="263"/>
      <c r="X964" s="263"/>
      <c r="Y964" s="263"/>
      <c r="Z964" s="263"/>
      <c r="AA964" s="263"/>
      <c r="AB964" s="263"/>
      <c r="AC964" s="263"/>
      <c r="AD964" s="263"/>
      <c r="AE964" s="263"/>
      <c r="AF964" s="418"/>
      <c r="AG964" s="263"/>
      <c r="AH964" s="263"/>
      <c r="AI964" s="263"/>
    </row>
    <row r="965" spans="1:35" ht="15" customHeight="1">
      <c r="A965" s="69"/>
      <c r="B965" s="418"/>
      <c r="C965" s="263"/>
      <c r="E965" s="263"/>
      <c r="F965" s="263"/>
      <c r="G965" s="418"/>
      <c r="H965" s="263"/>
      <c r="I965" s="263"/>
      <c r="J965" s="263"/>
      <c r="K965" s="263"/>
      <c r="L965" s="563"/>
      <c r="M965" s="263"/>
      <c r="N965" s="263"/>
      <c r="O965" s="263"/>
      <c r="P965" s="265"/>
      <c r="Q965" s="263"/>
      <c r="R965" s="263"/>
      <c r="S965" s="263"/>
      <c r="T965" s="263"/>
      <c r="U965" s="263"/>
      <c r="V965" s="263"/>
      <c r="W965" s="263"/>
      <c r="X965" s="263"/>
      <c r="Y965" s="263"/>
      <c r="Z965" s="263"/>
      <c r="AA965" s="263"/>
      <c r="AB965" s="263"/>
      <c r="AC965" s="263"/>
      <c r="AD965" s="263"/>
      <c r="AE965" s="263"/>
      <c r="AF965" s="418"/>
      <c r="AG965" s="263"/>
      <c r="AH965" s="263"/>
      <c r="AI965" s="263"/>
    </row>
    <row r="966" spans="1:35" ht="15" customHeight="1">
      <c r="A966" s="69"/>
      <c r="B966" s="418"/>
      <c r="C966" s="263"/>
      <c r="E966" s="263"/>
      <c r="F966" s="263"/>
      <c r="G966" s="418"/>
      <c r="H966" s="263"/>
      <c r="I966" s="263"/>
      <c r="J966" s="263"/>
      <c r="K966" s="263"/>
      <c r="L966" s="563"/>
      <c r="M966" s="263"/>
      <c r="N966" s="263"/>
      <c r="O966" s="263"/>
      <c r="P966" s="265"/>
      <c r="Q966" s="263"/>
      <c r="R966" s="263"/>
      <c r="S966" s="263"/>
      <c r="T966" s="263"/>
      <c r="U966" s="263"/>
      <c r="V966" s="263"/>
      <c r="W966" s="263"/>
      <c r="X966" s="263"/>
      <c r="Y966" s="263"/>
      <c r="Z966" s="263"/>
      <c r="AA966" s="263"/>
      <c r="AB966" s="263"/>
      <c r="AC966" s="263"/>
      <c r="AD966" s="263"/>
      <c r="AE966" s="263"/>
      <c r="AF966" s="418"/>
      <c r="AG966" s="263"/>
      <c r="AH966" s="263"/>
      <c r="AI966" s="263"/>
    </row>
    <row r="967" spans="1:35" ht="15" customHeight="1">
      <c r="A967" s="69"/>
      <c r="B967" s="418"/>
      <c r="C967" s="263"/>
      <c r="E967" s="263"/>
      <c r="F967" s="263"/>
      <c r="G967" s="418"/>
      <c r="H967" s="263"/>
      <c r="I967" s="263"/>
      <c r="J967" s="263"/>
      <c r="K967" s="263"/>
      <c r="L967" s="563"/>
      <c r="M967" s="263"/>
      <c r="N967" s="263"/>
      <c r="O967" s="263"/>
      <c r="P967" s="265"/>
      <c r="Q967" s="263"/>
      <c r="R967" s="263"/>
      <c r="S967" s="263"/>
      <c r="T967" s="263"/>
      <c r="U967" s="263"/>
      <c r="V967" s="263"/>
      <c r="W967" s="263"/>
      <c r="X967" s="263"/>
      <c r="Y967" s="263"/>
      <c r="Z967" s="263"/>
      <c r="AA967" s="263"/>
      <c r="AB967" s="263"/>
      <c r="AC967" s="263"/>
      <c r="AD967" s="263"/>
      <c r="AE967" s="263"/>
      <c r="AF967" s="418"/>
      <c r="AG967" s="263"/>
      <c r="AH967" s="263"/>
      <c r="AI967" s="263"/>
    </row>
    <row r="968" spans="1:35" ht="15" customHeight="1">
      <c r="A968" s="69"/>
      <c r="B968" s="418"/>
      <c r="C968" s="263"/>
      <c r="E968" s="263"/>
      <c r="F968" s="263"/>
      <c r="G968" s="418"/>
      <c r="H968" s="263"/>
      <c r="I968" s="263"/>
      <c r="J968" s="263"/>
      <c r="K968" s="263"/>
      <c r="L968" s="563"/>
      <c r="M968" s="263"/>
      <c r="N968" s="263"/>
      <c r="O968" s="263"/>
      <c r="P968" s="265"/>
      <c r="Q968" s="263"/>
      <c r="R968" s="263"/>
      <c r="S968" s="263"/>
      <c r="T968" s="263"/>
      <c r="U968" s="263"/>
      <c r="V968" s="263"/>
      <c r="W968" s="263"/>
      <c r="X968" s="263"/>
      <c r="Y968" s="263"/>
      <c r="Z968" s="263"/>
      <c r="AA968" s="263"/>
      <c r="AB968" s="263"/>
      <c r="AC968" s="263"/>
      <c r="AD968" s="263"/>
      <c r="AE968" s="263"/>
      <c r="AF968" s="418"/>
      <c r="AG968" s="263"/>
      <c r="AH968" s="263"/>
      <c r="AI968" s="263"/>
    </row>
    <row r="969" spans="1:35" ht="15" customHeight="1">
      <c r="A969" s="69"/>
      <c r="B969" s="418"/>
      <c r="C969" s="263"/>
      <c r="E969" s="263"/>
      <c r="F969" s="263"/>
      <c r="G969" s="418"/>
      <c r="H969" s="263"/>
      <c r="I969" s="263"/>
      <c r="J969" s="263"/>
      <c r="K969" s="263"/>
      <c r="L969" s="563"/>
      <c r="M969" s="263"/>
      <c r="N969" s="263"/>
      <c r="O969" s="263"/>
      <c r="P969" s="265"/>
      <c r="Q969" s="263"/>
      <c r="R969" s="263"/>
      <c r="S969" s="263"/>
      <c r="T969" s="263"/>
      <c r="U969" s="263"/>
      <c r="V969" s="263"/>
      <c r="W969" s="263"/>
      <c r="X969" s="263"/>
      <c r="Y969" s="263"/>
      <c r="Z969" s="263"/>
      <c r="AA969" s="263"/>
      <c r="AB969" s="263"/>
      <c r="AC969" s="263"/>
      <c r="AD969" s="263"/>
      <c r="AE969" s="263"/>
      <c r="AF969" s="418"/>
      <c r="AG969" s="263"/>
      <c r="AH969" s="263"/>
      <c r="AI969" s="263"/>
    </row>
    <row r="970" spans="1:35" ht="15" customHeight="1">
      <c r="A970" s="69"/>
      <c r="B970" s="418"/>
      <c r="C970" s="263"/>
      <c r="E970" s="263"/>
      <c r="F970" s="263"/>
      <c r="G970" s="418"/>
      <c r="H970" s="263"/>
      <c r="I970" s="263"/>
      <c r="J970" s="263"/>
      <c r="K970" s="263"/>
      <c r="L970" s="563"/>
      <c r="M970" s="263"/>
      <c r="N970" s="263"/>
      <c r="O970" s="263"/>
      <c r="P970" s="265"/>
      <c r="Q970" s="263"/>
      <c r="R970" s="263"/>
      <c r="S970" s="263"/>
      <c r="T970" s="263"/>
      <c r="U970" s="263"/>
      <c r="V970" s="263"/>
      <c r="W970" s="263"/>
      <c r="X970" s="263"/>
      <c r="Y970" s="263"/>
      <c r="Z970" s="263"/>
      <c r="AA970" s="263"/>
      <c r="AB970" s="263"/>
      <c r="AC970" s="263"/>
      <c r="AD970" s="263"/>
      <c r="AE970" s="263"/>
      <c r="AF970" s="418"/>
      <c r="AG970" s="263"/>
      <c r="AH970" s="263"/>
      <c r="AI970" s="263"/>
    </row>
    <row r="971" spans="1:35" ht="15" customHeight="1">
      <c r="A971" s="69"/>
      <c r="B971" s="418"/>
      <c r="C971" s="263"/>
      <c r="E971" s="263"/>
      <c r="F971" s="263"/>
      <c r="G971" s="418"/>
      <c r="H971" s="263"/>
      <c r="I971" s="263"/>
      <c r="J971" s="263"/>
      <c r="K971" s="263"/>
      <c r="L971" s="563"/>
      <c r="M971" s="263"/>
      <c r="N971" s="263"/>
      <c r="O971" s="263"/>
      <c r="P971" s="265"/>
      <c r="Q971" s="263"/>
      <c r="R971" s="263"/>
      <c r="S971" s="263"/>
      <c r="T971" s="263"/>
      <c r="U971" s="263"/>
      <c r="V971" s="263"/>
      <c r="W971" s="263"/>
      <c r="X971" s="263"/>
      <c r="Y971" s="263"/>
      <c r="Z971" s="263"/>
      <c r="AA971" s="263"/>
      <c r="AB971" s="263"/>
      <c r="AC971" s="263"/>
      <c r="AD971" s="263"/>
      <c r="AE971" s="263"/>
      <c r="AF971" s="418"/>
      <c r="AG971" s="263"/>
      <c r="AH971" s="263"/>
      <c r="AI971" s="263"/>
    </row>
    <row r="972" spans="1:35" ht="15" customHeight="1">
      <c r="A972" s="69"/>
      <c r="B972" s="418"/>
      <c r="C972" s="263"/>
      <c r="E972" s="263"/>
      <c r="F972" s="263"/>
      <c r="G972" s="418"/>
      <c r="H972" s="263"/>
      <c r="I972" s="263"/>
      <c r="J972" s="263"/>
      <c r="K972" s="263"/>
      <c r="L972" s="563"/>
      <c r="M972" s="263"/>
      <c r="N972" s="263"/>
      <c r="O972" s="263"/>
      <c r="P972" s="265"/>
      <c r="Q972" s="263"/>
      <c r="R972" s="263"/>
      <c r="S972" s="263"/>
      <c r="T972" s="263"/>
      <c r="U972" s="263"/>
      <c r="V972" s="263"/>
      <c r="W972" s="263"/>
      <c r="X972" s="263"/>
      <c r="Y972" s="263"/>
      <c r="Z972" s="263"/>
      <c r="AA972" s="263"/>
      <c r="AB972" s="263"/>
      <c r="AC972" s="263"/>
      <c r="AD972" s="263"/>
      <c r="AE972" s="263"/>
      <c r="AF972" s="418"/>
      <c r="AG972" s="263"/>
      <c r="AH972" s="263"/>
      <c r="AI972" s="263"/>
    </row>
    <row r="973" spans="1:35" ht="15" customHeight="1">
      <c r="A973" s="69"/>
      <c r="B973" s="418"/>
      <c r="C973" s="263"/>
      <c r="E973" s="263"/>
      <c r="F973" s="263"/>
      <c r="G973" s="418"/>
      <c r="H973" s="263"/>
      <c r="I973" s="263"/>
      <c r="J973" s="263"/>
      <c r="K973" s="263"/>
      <c r="L973" s="563"/>
      <c r="M973" s="263"/>
      <c r="N973" s="263"/>
      <c r="O973" s="263"/>
      <c r="P973" s="265"/>
      <c r="Q973" s="263"/>
      <c r="R973" s="263"/>
      <c r="S973" s="263"/>
      <c r="T973" s="263"/>
      <c r="U973" s="263"/>
      <c r="V973" s="263"/>
      <c r="W973" s="263"/>
      <c r="X973" s="263"/>
      <c r="Y973" s="263"/>
      <c r="Z973" s="263"/>
      <c r="AA973" s="263"/>
      <c r="AB973" s="263"/>
      <c r="AC973" s="263"/>
      <c r="AD973" s="263"/>
      <c r="AE973" s="263"/>
      <c r="AF973" s="418"/>
      <c r="AG973" s="263"/>
      <c r="AH973" s="263"/>
      <c r="AI973" s="263"/>
    </row>
    <row r="974" spans="1:35" ht="15" customHeight="1">
      <c r="A974" s="69"/>
      <c r="B974" s="418"/>
      <c r="C974" s="263"/>
      <c r="E974" s="263"/>
      <c r="F974" s="263"/>
      <c r="G974" s="418"/>
      <c r="H974" s="263"/>
      <c r="I974" s="263"/>
      <c r="J974" s="263"/>
      <c r="K974" s="263"/>
      <c r="L974" s="563"/>
      <c r="M974" s="263"/>
      <c r="N974" s="263"/>
      <c r="O974" s="263"/>
      <c r="P974" s="265"/>
      <c r="Q974" s="263"/>
      <c r="R974" s="263"/>
      <c r="S974" s="263"/>
      <c r="T974" s="263"/>
      <c r="U974" s="263"/>
      <c r="V974" s="263"/>
      <c r="W974" s="263"/>
      <c r="X974" s="263"/>
      <c r="Y974" s="263"/>
      <c r="Z974" s="263"/>
      <c r="AA974" s="263"/>
      <c r="AB974" s="263"/>
      <c r="AC974" s="263"/>
      <c r="AD974" s="263"/>
      <c r="AE974" s="263"/>
      <c r="AF974" s="418"/>
      <c r="AG974" s="263"/>
      <c r="AH974" s="263"/>
      <c r="AI974" s="263"/>
    </row>
    <row r="975" spans="1:35" ht="15" customHeight="1">
      <c r="A975" s="69"/>
      <c r="B975" s="418"/>
      <c r="C975" s="263"/>
      <c r="E975" s="263"/>
      <c r="F975" s="263"/>
      <c r="G975" s="418"/>
      <c r="H975" s="263"/>
      <c r="I975" s="263"/>
      <c r="J975" s="263"/>
      <c r="K975" s="263"/>
      <c r="L975" s="563"/>
      <c r="M975" s="263"/>
      <c r="N975" s="263"/>
      <c r="O975" s="263"/>
      <c r="P975" s="265"/>
      <c r="Q975" s="263"/>
      <c r="R975" s="263"/>
      <c r="S975" s="263"/>
      <c r="T975" s="263"/>
      <c r="U975" s="263"/>
      <c r="V975" s="263"/>
      <c r="W975" s="263"/>
      <c r="X975" s="263"/>
      <c r="Y975" s="263"/>
      <c r="Z975" s="263"/>
      <c r="AA975" s="263"/>
      <c r="AB975" s="263"/>
      <c r="AC975" s="263"/>
      <c r="AD975" s="263"/>
      <c r="AE975" s="263"/>
      <c r="AF975" s="418"/>
      <c r="AG975" s="263"/>
      <c r="AH975" s="263"/>
      <c r="AI975" s="263"/>
    </row>
    <row r="976" spans="1:35" ht="15" customHeight="1">
      <c r="A976" s="69"/>
      <c r="B976" s="418"/>
      <c r="C976" s="263"/>
      <c r="E976" s="263"/>
      <c r="F976" s="263"/>
      <c r="G976" s="418"/>
      <c r="H976" s="263"/>
      <c r="I976" s="263"/>
      <c r="J976" s="263"/>
      <c r="K976" s="263"/>
      <c r="L976" s="563"/>
      <c r="M976" s="263"/>
      <c r="N976" s="263"/>
      <c r="O976" s="263"/>
      <c r="P976" s="265"/>
      <c r="Q976" s="263"/>
      <c r="R976" s="263"/>
      <c r="S976" s="263"/>
      <c r="T976" s="263"/>
      <c r="U976" s="263"/>
      <c r="V976" s="263"/>
      <c r="W976" s="263"/>
      <c r="X976" s="263"/>
      <c r="Y976" s="263"/>
      <c r="Z976" s="263"/>
      <c r="AA976" s="263"/>
      <c r="AB976" s="263"/>
      <c r="AC976" s="263"/>
      <c r="AD976" s="263"/>
      <c r="AE976" s="263"/>
      <c r="AF976" s="418"/>
      <c r="AG976" s="263"/>
      <c r="AH976" s="263"/>
      <c r="AI976" s="263"/>
    </row>
    <row r="977" spans="1:35" ht="15" customHeight="1">
      <c r="A977" s="69"/>
      <c r="B977" s="418"/>
      <c r="C977" s="263"/>
      <c r="E977" s="263"/>
      <c r="F977" s="263"/>
      <c r="G977" s="418"/>
      <c r="H977" s="263"/>
      <c r="I977" s="263"/>
      <c r="J977" s="263"/>
      <c r="K977" s="263"/>
      <c r="L977" s="563"/>
      <c r="M977" s="263"/>
      <c r="N977" s="263"/>
      <c r="O977" s="263"/>
      <c r="P977" s="265"/>
      <c r="Q977" s="263"/>
      <c r="R977" s="263"/>
      <c r="S977" s="263"/>
      <c r="T977" s="263"/>
      <c r="U977" s="263"/>
      <c r="V977" s="263"/>
      <c r="W977" s="263"/>
      <c r="X977" s="263"/>
      <c r="Y977" s="263"/>
      <c r="Z977" s="263"/>
      <c r="AA977" s="263"/>
      <c r="AB977" s="263"/>
      <c r="AC977" s="263"/>
      <c r="AD977" s="263"/>
      <c r="AE977" s="263"/>
      <c r="AF977" s="418"/>
      <c r="AG977" s="263"/>
      <c r="AH977" s="263"/>
      <c r="AI977" s="263"/>
    </row>
    <row r="978" spans="1:35" ht="15" customHeight="1">
      <c r="A978" s="69"/>
      <c r="B978" s="418"/>
      <c r="C978" s="263"/>
      <c r="E978" s="263"/>
      <c r="F978" s="263"/>
      <c r="G978" s="418"/>
      <c r="H978" s="263"/>
      <c r="I978" s="263"/>
      <c r="J978" s="263"/>
      <c r="K978" s="263"/>
      <c r="L978" s="563"/>
      <c r="M978" s="263"/>
      <c r="N978" s="263"/>
      <c r="O978" s="263"/>
      <c r="P978" s="265"/>
      <c r="Q978" s="263"/>
      <c r="R978" s="263"/>
      <c r="S978" s="263"/>
      <c r="T978" s="263"/>
      <c r="U978" s="263"/>
      <c r="V978" s="263"/>
      <c r="W978" s="263"/>
      <c r="X978" s="263"/>
      <c r="Y978" s="263"/>
      <c r="Z978" s="263"/>
      <c r="AA978" s="263"/>
      <c r="AB978" s="263"/>
      <c r="AC978" s="263"/>
      <c r="AD978" s="263"/>
      <c r="AE978" s="263"/>
      <c r="AF978" s="418"/>
      <c r="AG978" s="263"/>
      <c r="AH978" s="263"/>
      <c r="AI978" s="263"/>
    </row>
    <row r="979" spans="1:35" ht="15" customHeight="1">
      <c r="A979" s="69"/>
      <c r="B979" s="418"/>
      <c r="C979" s="263"/>
      <c r="E979" s="263"/>
      <c r="F979" s="263"/>
      <c r="G979" s="418"/>
      <c r="H979" s="263"/>
      <c r="I979" s="263"/>
      <c r="J979" s="263"/>
      <c r="K979" s="263"/>
      <c r="L979" s="563"/>
      <c r="M979" s="263"/>
      <c r="N979" s="263"/>
      <c r="O979" s="263"/>
      <c r="P979" s="265"/>
      <c r="Q979" s="263"/>
      <c r="R979" s="263"/>
      <c r="S979" s="263"/>
      <c r="T979" s="263"/>
      <c r="U979" s="263"/>
      <c r="V979" s="263"/>
      <c r="W979" s="263"/>
      <c r="X979" s="263"/>
      <c r="Y979" s="263"/>
      <c r="Z979" s="263"/>
      <c r="AA979" s="263"/>
      <c r="AB979" s="263"/>
      <c r="AC979" s="263"/>
      <c r="AD979" s="263"/>
      <c r="AE979" s="263"/>
      <c r="AF979" s="418"/>
      <c r="AG979" s="263"/>
      <c r="AH979" s="263"/>
      <c r="AI979" s="263"/>
    </row>
    <row r="980" spans="1:35" ht="15" customHeight="1">
      <c r="A980" s="69"/>
      <c r="B980" s="418"/>
      <c r="C980" s="263"/>
      <c r="E980" s="263"/>
      <c r="F980" s="263"/>
      <c r="G980" s="418"/>
      <c r="H980" s="263"/>
      <c r="I980" s="263"/>
      <c r="J980" s="263"/>
      <c r="K980" s="263"/>
      <c r="L980" s="563"/>
      <c r="M980" s="263"/>
      <c r="N980" s="263"/>
      <c r="O980" s="263"/>
      <c r="P980" s="265"/>
      <c r="Q980" s="263"/>
      <c r="R980" s="263"/>
      <c r="S980" s="263"/>
      <c r="T980" s="263"/>
      <c r="U980" s="263"/>
      <c r="V980" s="263"/>
      <c r="W980" s="263"/>
      <c r="X980" s="263"/>
      <c r="Y980" s="263"/>
      <c r="Z980" s="263"/>
      <c r="AA980" s="263"/>
      <c r="AB980" s="263"/>
      <c r="AC980" s="263"/>
      <c r="AD980" s="263"/>
      <c r="AE980" s="263"/>
      <c r="AF980" s="418"/>
      <c r="AG980" s="263"/>
      <c r="AH980" s="263"/>
      <c r="AI980" s="263"/>
    </row>
    <row r="981" spans="1:35" ht="15" customHeight="1">
      <c r="A981" s="69"/>
      <c r="B981" s="418"/>
      <c r="C981" s="263"/>
      <c r="E981" s="263"/>
      <c r="F981" s="263"/>
      <c r="G981" s="418"/>
      <c r="H981" s="263"/>
      <c r="I981" s="263"/>
      <c r="J981" s="263"/>
      <c r="K981" s="263"/>
      <c r="L981" s="563"/>
      <c r="M981" s="263"/>
      <c r="N981" s="263"/>
      <c r="O981" s="263"/>
      <c r="P981" s="265"/>
      <c r="Q981" s="263"/>
      <c r="R981" s="263"/>
      <c r="S981" s="263"/>
      <c r="T981" s="263"/>
      <c r="U981" s="263"/>
      <c r="V981" s="263"/>
      <c r="W981" s="263"/>
      <c r="X981" s="263"/>
      <c r="Y981" s="263"/>
      <c r="Z981" s="263"/>
      <c r="AA981" s="263"/>
      <c r="AB981" s="263"/>
      <c r="AC981" s="263"/>
      <c r="AD981" s="263"/>
      <c r="AE981" s="263"/>
      <c r="AF981" s="418"/>
      <c r="AG981" s="263"/>
      <c r="AH981" s="263"/>
      <c r="AI981" s="263"/>
    </row>
    <row r="982" spans="1:35" ht="15" customHeight="1">
      <c r="A982" s="69"/>
      <c r="B982" s="418"/>
      <c r="C982" s="263"/>
      <c r="E982" s="263"/>
      <c r="F982" s="263"/>
      <c r="G982" s="418"/>
      <c r="H982" s="263"/>
      <c r="I982" s="263"/>
      <c r="J982" s="263"/>
      <c r="K982" s="263"/>
      <c r="L982" s="563"/>
      <c r="M982" s="263"/>
      <c r="N982" s="263"/>
      <c r="O982" s="263"/>
      <c r="P982" s="265"/>
      <c r="Q982" s="263"/>
      <c r="R982" s="263"/>
      <c r="S982" s="263"/>
      <c r="T982" s="263"/>
      <c r="U982" s="263"/>
      <c r="V982" s="263"/>
      <c r="W982" s="263"/>
      <c r="X982" s="263"/>
      <c r="Y982" s="263"/>
      <c r="Z982" s="263"/>
      <c r="AA982" s="263"/>
      <c r="AB982" s="263"/>
      <c r="AC982" s="263"/>
      <c r="AD982" s="263"/>
      <c r="AE982" s="263"/>
      <c r="AF982" s="418"/>
      <c r="AG982" s="263"/>
      <c r="AH982" s="263"/>
      <c r="AI982" s="263"/>
    </row>
    <row r="983" spans="1:35" ht="15" customHeight="1">
      <c r="A983" s="69"/>
      <c r="B983" s="418"/>
      <c r="C983" s="263"/>
      <c r="E983" s="263"/>
      <c r="F983" s="263"/>
      <c r="G983" s="418"/>
      <c r="H983" s="263"/>
      <c r="I983" s="263"/>
      <c r="J983" s="263"/>
      <c r="K983" s="263"/>
      <c r="L983" s="563"/>
      <c r="M983" s="263"/>
      <c r="N983" s="263"/>
      <c r="O983" s="263"/>
      <c r="P983" s="265"/>
      <c r="Q983" s="263"/>
      <c r="R983" s="263"/>
      <c r="S983" s="263"/>
      <c r="T983" s="263"/>
      <c r="U983" s="263"/>
      <c r="V983" s="263"/>
      <c r="W983" s="263"/>
      <c r="X983" s="263"/>
      <c r="Y983" s="263"/>
      <c r="Z983" s="263"/>
      <c r="AA983" s="263"/>
      <c r="AB983" s="263"/>
      <c r="AC983" s="263"/>
      <c r="AD983" s="263"/>
      <c r="AE983" s="263"/>
      <c r="AF983" s="418"/>
      <c r="AG983" s="263"/>
      <c r="AH983" s="263"/>
      <c r="AI983" s="263"/>
    </row>
    <row r="984" spans="1:35" ht="15" customHeight="1">
      <c r="A984" s="69"/>
      <c r="B984" s="418"/>
      <c r="C984" s="263"/>
      <c r="E984" s="263"/>
      <c r="F984" s="263"/>
      <c r="G984" s="418"/>
      <c r="H984" s="263"/>
      <c r="I984" s="263"/>
      <c r="J984" s="263"/>
      <c r="K984" s="263"/>
      <c r="L984" s="563"/>
      <c r="M984" s="263"/>
      <c r="N984" s="263"/>
      <c r="O984" s="263"/>
      <c r="P984" s="265"/>
      <c r="Q984" s="263"/>
      <c r="R984" s="263"/>
      <c r="S984" s="263"/>
      <c r="T984" s="263"/>
      <c r="U984" s="263"/>
      <c r="V984" s="263"/>
      <c r="W984" s="263"/>
      <c r="X984" s="263"/>
      <c r="Y984" s="263"/>
      <c r="Z984" s="263"/>
      <c r="AA984" s="263"/>
      <c r="AB984" s="263"/>
      <c r="AC984" s="263"/>
      <c r="AD984" s="263"/>
      <c r="AE984" s="263"/>
      <c r="AF984" s="418"/>
      <c r="AG984" s="263"/>
      <c r="AH984" s="263"/>
      <c r="AI984" s="263"/>
    </row>
    <row r="985" spans="1:35" ht="15" customHeight="1">
      <c r="A985" s="69"/>
      <c r="B985" s="418"/>
      <c r="C985" s="263"/>
      <c r="E985" s="263"/>
      <c r="F985" s="263"/>
      <c r="G985" s="418"/>
      <c r="H985" s="263"/>
      <c r="I985" s="263"/>
      <c r="J985" s="263"/>
      <c r="K985" s="263"/>
      <c r="L985" s="563"/>
      <c r="M985" s="263"/>
      <c r="N985" s="263"/>
      <c r="O985" s="263"/>
      <c r="P985" s="265"/>
      <c r="Q985" s="263"/>
      <c r="R985" s="263"/>
      <c r="S985" s="263"/>
      <c r="T985" s="263"/>
      <c r="U985" s="263"/>
      <c r="V985" s="263"/>
      <c r="W985" s="263"/>
      <c r="X985" s="263"/>
      <c r="Y985" s="263"/>
      <c r="Z985" s="263"/>
      <c r="AA985" s="263"/>
      <c r="AB985" s="263"/>
      <c r="AC985" s="263"/>
      <c r="AD985" s="263"/>
      <c r="AE985" s="263"/>
      <c r="AF985" s="418"/>
      <c r="AG985" s="263"/>
      <c r="AH985" s="263"/>
      <c r="AI985" s="263"/>
    </row>
    <row r="986" spans="1:35" ht="15" customHeight="1">
      <c r="A986" s="69"/>
      <c r="B986" s="418"/>
      <c r="C986" s="263"/>
      <c r="E986" s="263"/>
      <c r="F986" s="263"/>
      <c r="G986" s="418"/>
      <c r="H986" s="263"/>
      <c r="I986" s="263"/>
      <c r="J986" s="263"/>
      <c r="K986" s="263"/>
      <c r="L986" s="563"/>
      <c r="M986" s="263"/>
      <c r="N986" s="263"/>
      <c r="O986" s="263"/>
      <c r="P986" s="265"/>
      <c r="Q986" s="263"/>
      <c r="R986" s="263"/>
      <c r="S986" s="263"/>
      <c r="T986" s="263"/>
      <c r="U986" s="263"/>
      <c r="V986" s="263"/>
      <c r="W986" s="263"/>
      <c r="X986" s="263"/>
      <c r="Y986" s="263"/>
      <c r="Z986" s="263"/>
      <c r="AA986" s="263"/>
      <c r="AB986" s="263"/>
      <c r="AC986" s="263"/>
      <c r="AD986" s="263"/>
      <c r="AE986" s="263"/>
      <c r="AF986" s="418"/>
      <c r="AG986" s="263"/>
      <c r="AH986" s="263"/>
      <c r="AI986" s="263"/>
    </row>
    <row r="987" spans="1:35" ht="15" customHeight="1">
      <c r="A987" s="69"/>
      <c r="B987" s="418"/>
      <c r="C987" s="263"/>
      <c r="E987" s="263"/>
      <c r="F987" s="263"/>
      <c r="G987" s="418"/>
      <c r="H987" s="263"/>
      <c r="I987" s="263"/>
      <c r="J987" s="263"/>
      <c r="K987" s="263"/>
      <c r="L987" s="563"/>
      <c r="M987" s="263"/>
      <c r="N987" s="263"/>
      <c r="O987" s="263"/>
      <c r="P987" s="265"/>
      <c r="Q987" s="263"/>
      <c r="R987" s="263"/>
      <c r="S987" s="263"/>
      <c r="T987" s="263"/>
      <c r="U987" s="263"/>
      <c r="V987" s="263"/>
      <c r="W987" s="263"/>
      <c r="X987" s="263"/>
      <c r="Y987" s="263"/>
      <c r="Z987" s="263"/>
      <c r="AA987" s="263"/>
      <c r="AB987" s="263"/>
      <c r="AC987" s="263"/>
      <c r="AD987" s="263"/>
      <c r="AE987" s="263"/>
      <c r="AF987" s="418"/>
      <c r="AG987" s="263"/>
      <c r="AH987" s="263"/>
      <c r="AI987" s="263"/>
    </row>
    <row r="988" spans="1:35" ht="15" customHeight="1">
      <c r="A988" s="69"/>
      <c r="B988" s="418"/>
      <c r="C988" s="263"/>
      <c r="E988" s="263"/>
      <c r="F988" s="263"/>
      <c r="G988" s="418"/>
      <c r="H988" s="263"/>
      <c r="I988" s="263"/>
      <c r="J988" s="263"/>
      <c r="K988" s="263"/>
      <c r="L988" s="563"/>
      <c r="M988" s="263"/>
      <c r="N988" s="263"/>
      <c r="O988" s="263"/>
      <c r="P988" s="265"/>
      <c r="Q988" s="263"/>
      <c r="R988" s="263"/>
      <c r="S988" s="263"/>
      <c r="T988" s="263"/>
      <c r="U988" s="263"/>
      <c r="V988" s="263"/>
      <c r="W988" s="263"/>
      <c r="X988" s="263"/>
      <c r="Y988" s="263"/>
      <c r="Z988" s="263"/>
      <c r="AA988" s="263"/>
      <c r="AB988" s="263"/>
      <c r="AC988" s="263"/>
      <c r="AD988" s="263"/>
      <c r="AE988" s="263"/>
      <c r="AF988" s="418"/>
      <c r="AG988" s="263"/>
      <c r="AH988" s="263"/>
      <c r="AI988" s="263"/>
    </row>
    <row r="989" spans="1:35" ht="15" customHeight="1">
      <c r="A989" s="69"/>
      <c r="B989" s="418"/>
      <c r="C989" s="263"/>
      <c r="E989" s="263"/>
      <c r="F989" s="263"/>
      <c r="G989" s="418"/>
      <c r="H989" s="263"/>
      <c r="I989" s="263"/>
      <c r="J989" s="263"/>
      <c r="K989" s="263"/>
      <c r="L989" s="563"/>
      <c r="M989" s="263"/>
      <c r="N989" s="263"/>
      <c r="O989" s="263"/>
      <c r="P989" s="265"/>
      <c r="Q989" s="263"/>
      <c r="R989" s="263"/>
      <c r="S989" s="263"/>
      <c r="T989" s="263"/>
      <c r="U989" s="263"/>
      <c r="V989" s="263"/>
      <c r="W989" s="263"/>
      <c r="X989" s="263"/>
      <c r="Y989" s="263"/>
      <c r="Z989" s="263"/>
      <c r="AA989" s="263"/>
      <c r="AB989" s="263"/>
      <c r="AC989" s="263"/>
      <c r="AD989" s="263"/>
      <c r="AE989" s="263"/>
      <c r="AF989" s="418"/>
      <c r="AG989" s="263"/>
      <c r="AH989" s="263"/>
      <c r="AI989" s="263"/>
    </row>
    <row r="990" spans="1:35" ht="15" customHeight="1">
      <c r="A990" s="69"/>
      <c r="B990" s="418"/>
      <c r="C990" s="263"/>
      <c r="E990" s="263"/>
      <c r="F990" s="263"/>
      <c r="G990" s="418"/>
      <c r="H990" s="263"/>
      <c r="I990" s="263"/>
      <c r="J990" s="263"/>
      <c r="K990" s="263"/>
      <c r="L990" s="563"/>
      <c r="M990" s="263"/>
      <c r="N990" s="263"/>
      <c r="O990" s="263"/>
      <c r="P990" s="265"/>
      <c r="Q990" s="263"/>
      <c r="R990" s="263"/>
      <c r="S990" s="263"/>
      <c r="T990" s="263"/>
      <c r="U990" s="263"/>
      <c r="V990" s="263"/>
      <c r="W990" s="263"/>
      <c r="X990" s="263"/>
      <c r="Y990" s="263"/>
      <c r="Z990" s="263"/>
      <c r="AA990" s="263"/>
      <c r="AB990" s="263"/>
      <c r="AC990" s="263"/>
      <c r="AD990" s="263"/>
      <c r="AE990" s="263"/>
      <c r="AF990" s="418"/>
      <c r="AG990" s="263"/>
      <c r="AH990" s="263"/>
      <c r="AI990" s="263"/>
    </row>
    <row r="991" spans="1:35" ht="15" customHeight="1">
      <c r="A991" s="69"/>
      <c r="B991" s="418"/>
      <c r="C991" s="263"/>
      <c r="E991" s="263"/>
      <c r="F991" s="263"/>
      <c r="G991" s="418"/>
      <c r="H991" s="263"/>
      <c r="I991" s="263"/>
      <c r="J991" s="263"/>
      <c r="K991" s="263"/>
      <c r="L991" s="563"/>
      <c r="M991" s="263"/>
      <c r="N991" s="263"/>
      <c r="O991" s="263"/>
      <c r="P991" s="265"/>
      <c r="Q991" s="263"/>
      <c r="R991" s="263"/>
      <c r="S991" s="263"/>
      <c r="T991" s="263"/>
      <c r="U991" s="263"/>
      <c r="V991" s="263"/>
      <c r="W991" s="263"/>
      <c r="X991" s="263"/>
      <c r="Y991" s="263"/>
      <c r="Z991" s="263"/>
      <c r="AA991" s="263"/>
      <c r="AB991" s="263"/>
      <c r="AC991" s="263"/>
      <c r="AD991" s="263"/>
      <c r="AE991" s="263"/>
      <c r="AF991" s="418"/>
      <c r="AG991" s="263"/>
      <c r="AH991" s="263"/>
      <c r="AI991" s="263"/>
    </row>
    <row r="992" spans="1:35" ht="15" customHeight="1">
      <c r="A992" s="69"/>
      <c r="B992" s="418"/>
      <c r="C992" s="263"/>
      <c r="E992" s="263"/>
      <c r="F992" s="263"/>
      <c r="G992" s="418"/>
      <c r="H992" s="263"/>
      <c r="I992" s="263"/>
      <c r="J992" s="263"/>
      <c r="K992" s="263"/>
      <c r="L992" s="563"/>
      <c r="M992" s="263"/>
      <c r="N992" s="263"/>
      <c r="O992" s="263"/>
      <c r="P992" s="265"/>
      <c r="Q992" s="263"/>
      <c r="R992" s="263"/>
      <c r="S992" s="263"/>
      <c r="T992" s="263"/>
      <c r="U992" s="263"/>
      <c r="V992" s="263"/>
      <c r="W992" s="263"/>
      <c r="X992" s="263"/>
      <c r="Y992" s="263"/>
      <c r="Z992" s="263"/>
      <c r="AA992" s="263"/>
      <c r="AB992" s="263"/>
      <c r="AC992" s="263"/>
      <c r="AD992" s="263"/>
      <c r="AE992" s="263"/>
      <c r="AF992" s="418"/>
      <c r="AG992" s="263"/>
      <c r="AH992" s="263"/>
      <c r="AI992" s="263"/>
    </row>
    <row r="993" spans="1:35" ht="15" customHeight="1">
      <c r="A993" s="69"/>
      <c r="B993" s="418"/>
      <c r="C993" s="263"/>
      <c r="E993" s="263"/>
      <c r="F993" s="263"/>
      <c r="G993" s="418"/>
      <c r="H993" s="263"/>
      <c r="I993" s="263"/>
      <c r="J993" s="263"/>
      <c r="K993" s="263"/>
      <c r="L993" s="563"/>
      <c r="M993" s="263"/>
      <c r="N993" s="263"/>
      <c r="O993" s="263"/>
      <c r="P993" s="265"/>
      <c r="Q993" s="263"/>
      <c r="R993" s="263"/>
      <c r="S993" s="263"/>
      <c r="T993" s="263"/>
      <c r="U993" s="263"/>
      <c r="V993" s="263"/>
      <c r="W993" s="263"/>
      <c r="X993" s="263"/>
      <c r="Y993" s="263"/>
      <c r="Z993" s="263"/>
      <c r="AA993" s="263"/>
      <c r="AB993" s="263"/>
      <c r="AC993" s="263"/>
      <c r="AD993" s="263"/>
      <c r="AE993" s="263"/>
      <c r="AF993" s="418"/>
      <c r="AG993" s="263"/>
      <c r="AH993" s="263"/>
      <c r="AI993" s="263"/>
    </row>
    <row r="994" spans="1:35" ht="15" customHeight="1">
      <c r="A994" s="69"/>
      <c r="B994" s="418"/>
      <c r="C994" s="263"/>
      <c r="E994" s="263"/>
      <c r="F994" s="263"/>
      <c r="G994" s="418"/>
      <c r="H994" s="263"/>
      <c r="I994" s="263"/>
      <c r="J994" s="263"/>
      <c r="K994" s="263"/>
      <c r="L994" s="563"/>
      <c r="M994" s="263"/>
      <c r="N994" s="263"/>
      <c r="O994" s="263"/>
      <c r="P994" s="265"/>
      <c r="Q994" s="263"/>
      <c r="R994" s="263"/>
      <c r="S994" s="263"/>
      <c r="T994" s="263"/>
      <c r="U994" s="263"/>
      <c r="V994" s="263"/>
      <c r="W994" s="263"/>
      <c r="X994" s="263"/>
      <c r="Y994" s="263"/>
      <c r="Z994" s="263"/>
      <c r="AA994" s="263"/>
      <c r="AB994" s="263"/>
      <c r="AC994" s="263"/>
      <c r="AD994" s="263"/>
      <c r="AE994" s="263"/>
      <c r="AF994" s="418"/>
      <c r="AG994" s="263"/>
      <c r="AH994" s="263"/>
      <c r="AI994" s="263"/>
    </row>
    <row r="995" spans="1:35" ht="15" customHeight="1">
      <c r="A995" s="69"/>
      <c r="B995" s="418"/>
      <c r="C995" s="263"/>
      <c r="E995" s="263"/>
      <c r="F995" s="263"/>
      <c r="G995" s="418"/>
      <c r="H995" s="263"/>
      <c r="I995" s="263"/>
      <c r="J995" s="263"/>
      <c r="K995" s="263"/>
      <c r="L995" s="563"/>
      <c r="M995" s="263"/>
      <c r="N995" s="263"/>
      <c r="O995" s="263"/>
      <c r="P995" s="265"/>
      <c r="Q995" s="263"/>
      <c r="R995" s="263"/>
      <c r="S995" s="263"/>
      <c r="T995" s="263"/>
      <c r="U995" s="263"/>
      <c r="V995" s="263"/>
      <c r="W995" s="263"/>
      <c r="X995" s="263"/>
      <c r="Y995" s="263"/>
      <c r="Z995" s="263"/>
      <c r="AA995" s="263"/>
      <c r="AB995" s="263"/>
      <c r="AC995" s="263"/>
      <c r="AD995" s="263"/>
      <c r="AE995" s="263"/>
      <c r="AF995" s="418"/>
      <c r="AG995" s="263"/>
      <c r="AH995" s="263"/>
      <c r="AI995" s="263"/>
    </row>
    <row r="996" spans="1:35" ht="15" customHeight="1">
      <c r="A996" s="69"/>
      <c r="B996" s="418"/>
      <c r="C996" s="263"/>
      <c r="E996" s="263"/>
      <c r="F996" s="263"/>
      <c r="G996" s="418"/>
      <c r="H996" s="263"/>
      <c r="I996" s="263"/>
      <c r="J996" s="263"/>
      <c r="K996" s="263"/>
      <c r="L996" s="563"/>
      <c r="M996" s="263"/>
      <c r="N996" s="263"/>
      <c r="O996" s="263"/>
      <c r="P996" s="265"/>
      <c r="Q996" s="263"/>
      <c r="R996" s="263"/>
      <c r="S996" s="263"/>
      <c r="T996" s="263"/>
      <c r="U996" s="263"/>
      <c r="V996" s="263"/>
      <c r="W996" s="263"/>
      <c r="X996" s="263"/>
      <c r="Y996" s="263"/>
      <c r="Z996" s="263"/>
      <c r="AA996" s="263"/>
      <c r="AB996" s="263"/>
      <c r="AC996" s="263"/>
      <c r="AD996" s="263"/>
      <c r="AE996" s="263"/>
      <c r="AF996" s="418"/>
      <c r="AG996" s="263"/>
      <c r="AH996" s="263"/>
      <c r="AI996" s="263"/>
    </row>
    <row r="997" spans="1:35" ht="15" customHeight="1">
      <c r="A997" s="69"/>
      <c r="B997" s="418"/>
      <c r="C997" s="263"/>
      <c r="E997" s="263"/>
      <c r="F997" s="263"/>
      <c r="G997" s="418"/>
      <c r="H997" s="263"/>
      <c r="I997" s="263"/>
      <c r="J997" s="263"/>
      <c r="K997" s="263"/>
      <c r="L997" s="563"/>
      <c r="M997" s="263"/>
      <c r="N997" s="263"/>
      <c r="O997" s="263"/>
      <c r="P997" s="265"/>
      <c r="Q997" s="263"/>
      <c r="R997" s="263"/>
      <c r="S997" s="263"/>
      <c r="T997" s="263"/>
      <c r="U997" s="263"/>
      <c r="V997" s="263"/>
      <c r="W997" s="263"/>
      <c r="X997" s="263"/>
      <c r="Y997" s="263"/>
      <c r="Z997" s="263"/>
      <c r="AA997" s="263"/>
      <c r="AB997" s="263"/>
      <c r="AC997" s="263"/>
      <c r="AD997" s="263"/>
      <c r="AE997" s="263"/>
      <c r="AF997" s="418"/>
      <c r="AG997" s="263"/>
      <c r="AH997" s="263"/>
      <c r="AI997" s="263"/>
    </row>
    <row r="998" spans="1:35" ht="15" customHeight="1">
      <c r="A998" s="69"/>
      <c r="B998" s="418"/>
      <c r="C998" s="263"/>
      <c r="E998" s="263"/>
      <c r="F998" s="263"/>
      <c r="G998" s="418"/>
      <c r="H998" s="263"/>
      <c r="I998" s="263"/>
      <c r="J998" s="263"/>
      <c r="K998" s="263"/>
      <c r="L998" s="563"/>
      <c r="M998" s="263"/>
      <c r="N998" s="263"/>
      <c r="O998" s="263"/>
      <c r="P998" s="265"/>
      <c r="Q998" s="263"/>
      <c r="R998" s="263"/>
      <c r="S998" s="263"/>
      <c r="T998" s="263"/>
      <c r="U998" s="263"/>
      <c r="V998" s="263"/>
      <c r="W998" s="263"/>
      <c r="X998" s="263"/>
      <c r="Y998" s="263"/>
      <c r="Z998" s="263"/>
      <c r="AA998" s="263"/>
      <c r="AB998" s="263"/>
      <c r="AC998" s="263"/>
      <c r="AD998" s="263"/>
      <c r="AE998" s="263"/>
      <c r="AF998" s="418"/>
      <c r="AG998" s="263"/>
      <c r="AH998" s="263"/>
      <c r="AI998" s="263"/>
    </row>
    <row r="999" spans="1:35" ht="15" customHeight="1">
      <c r="A999" s="69"/>
      <c r="B999" s="418"/>
      <c r="C999" s="263"/>
      <c r="E999" s="263"/>
      <c r="F999" s="263"/>
      <c r="G999" s="418"/>
      <c r="H999" s="263"/>
      <c r="I999" s="263"/>
      <c r="J999" s="263"/>
      <c r="K999" s="263"/>
      <c r="L999" s="563"/>
      <c r="M999" s="263"/>
      <c r="N999" s="263"/>
      <c r="O999" s="263"/>
      <c r="P999" s="265"/>
      <c r="Q999" s="263"/>
      <c r="R999" s="263"/>
      <c r="S999" s="263"/>
      <c r="T999" s="263"/>
      <c r="U999" s="263"/>
      <c r="V999" s="263"/>
      <c r="W999" s="263"/>
      <c r="X999" s="263"/>
      <c r="Y999" s="263"/>
      <c r="Z999" s="263"/>
      <c r="AA999" s="263"/>
      <c r="AB999" s="263"/>
      <c r="AC999" s="263"/>
      <c r="AD999" s="263"/>
      <c r="AE999" s="263"/>
      <c r="AF999" s="418"/>
      <c r="AG999" s="263"/>
      <c r="AH999" s="263"/>
      <c r="AI999" s="263"/>
    </row>
    <row r="1000" spans="1:35" ht="15" customHeight="1">
      <c r="A1000" s="69"/>
      <c r="B1000" s="418"/>
      <c r="C1000" s="263"/>
      <c r="E1000" s="263"/>
      <c r="F1000" s="263"/>
      <c r="G1000" s="418"/>
      <c r="H1000" s="263"/>
      <c r="I1000" s="263"/>
      <c r="J1000" s="263"/>
      <c r="K1000" s="263"/>
      <c r="L1000" s="563"/>
      <c r="M1000" s="263"/>
      <c r="N1000" s="263"/>
      <c r="O1000" s="263"/>
      <c r="P1000" s="265"/>
      <c r="Q1000" s="263"/>
      <c r="R1000" s="263"/>
      <c r="S1000" s="263"/>
      <c r="T1000" s="263"/>
      <c r="U1000" s="263"/>
      <c r="V1000" s="263"/>
      <c r="W1000" s="263"/>
      <c r="X1000" s="263"/>
      <c r="Y1000" s="263"/>
      <c r="Z1000" s="263"/>
      <c r="AA1000" s="263"/>
      <c r="AB1000" s="263"/>
      <c r="AC1000" s="263"/>
      <c r="AD1000" s="263"/>
      <c r="AE1000" s="263"/>
      <c r="AF1000" s="418"/>
      <c r="AG1000" s="263"/>
      <c r="AH1000" s="263"/>
      <c r="AI1000" s="263"/>
    </row>
    <row r="1001" spans="1:35" ht="15" customHeight="1">
      <c r="A1001" s="69"/>
      <c r="B1001" s="418"/>
      <c r="C1001" s="263"/>
      <c r="E1001" s="263"/>
      <c r="F1001" s="263"/>
      <c r="G1001" s="418"/>
      <c r="H1001" s="263"/>
      <c r="I1001" s="263"/>
      <c r="J1001" s="263"/>
      <c r="K1001" s="263"/>
      <c r="L1001" s="563"/>
      <c r="M1001" s="263"/>
      <c r="N1001" s="263"/>
      <c r="O1001" s="263"/>
      <c r="P1001" s="265"/>
      <c r="Q1001" s="263"/>
      <c r="R1001" s="263"/>
      <c r="S1001" s="263"/>
      <c r="T1001" s="263"/>
      <c r="U1001" s="263"/>
      <c r="V1001" s="263"/>
      <c r="W1001" s="263"/>
      <c r="X1001" s="263"/>
      <c r="Y1001" s="263"/>
      <c r="Z1001" s="263"/>
      <c r="AA1001" s="263"/>
      <c r="AB1001" s="263"/>
      <c r="AC1001" s="263"/>
      <c r="AD1001" s="263"/>
      <c r="AE1001" s="263"/>
      <c r="AF1001" s="418"/>
      <c r="AG1001" s="263"/>
      <c r="AH1001" s="263"/>
      <c r="AI1001" s="263"/>
    </row>
    <row r="1002" spans="1:35" ht="15" customHeight="1">
      <c r="A1002" s="69"/>
      <c r="B1002" s="418"/>
      <c r="C1002" s="263"/>
      <c r="E1002" s="263"/>
      <c r="F1002" s="263"/>
      <c r="G1002" s="418"/>
      <c r="H1002" s="263"/>
      <c r="I1002" s="263"/>
      <c r="J1002" s="263"/>
      <c r="K1002" s="263"/>
      <c r="L1002" s="563"/>
      <c r="M1002" s="263"/>
      <c r="N1002" s="263"/>
      <c r="O1002" s="263"/>
      <c r="P1002" s="265"/>
      <c r="Q1002" s="263"/>
      <c r="R1002" s="263"/>
      <c r="S1002" s="263"/>
      <c r="T1002" s="263"/>
      <c r="U1002" s="263"/>
      <c r="V1002" s="263"/>
      <c r="W1002" s="263"/>
      <c r="X1002" s="263"/>
      <c r="Y1002" s="263"/>
      <c r="Z1002" s="263"/>
      <c r="AA1002" s="263"/>
      <c r="AB1002" s="263"/>
      <c r="AC1002" s="263"/>
      <c r="AD1002" s="263"/>
      <c r="AE1002" s="263"/>
      <c r="AF1002" s="418"/>
      <c r="AG1002" s="263"/>
      <c r="AH1002" s="263"/>
      <c r="AI1002" s="263"/>
    </row>
    <row r="1003" spans="1:35" ht="15" customHeight="1">
      <c r="A1003" s="69"/>
      <c r="B1003" s="418"/>
      <c r="C1003" s="263"/>
      <c r="E1003" s="263"/>
      <c r="F1003" s="263"/>
      <c r="G1003" s="418"/>
      <c r="H1003" s="263"/>
      <c r="I1003" s="263"/>
      <c r="J1003" s="263"/>
      <c r="K1003" s="263"/>
      <c r="L1003" s="563"/>
      <c r="M1003" s="263"/>
      <c r="N1003" s="263"/>
      <c r="O1003" s="263"/>
      <c r="P1003" s="265"/>
      <c r="Q1003" s="263"/>
      <c r="R1003" s="263"/>
      <c r="S1003" s="263"/>
      <c r="T1003" s="263"/>
      <c r="U1003" s="263"/>
      <c r="V1003" s="263"/>
      <c r="W1003" s="263"/>
      <c r="X1003" s="263"/>
      <c r="Y1003" s="263"/>
      <c r="Z1003" s="263"/>
      <c r="AA1003" s="263"/>
      <c r="AB1003" s="263"/>
      <c r="AC1003" s="263"/>
      <c r="AD1003" s="263"/>
      <c r="AE1003" s="263"/>
      <c r="AF1003" s="418"/>
      <c r="AG1003" s="263"/>
      <c r="AH1003" s="263"/>
      <c r="AI1003" s="263"/>
    </row>
    <row r="1004" spans="1:35" ht="15" customHeight="1">
      <c r="A1004" s="69"/>
      <c r="B1004" s="418"/>
      <c r="C1004" s="263"/>
      <c r="E1004" s="263"/>
      <c r="F1004" s="263"/>
      <c r="G1004" s="419"/>
      <c r="H1004" s="263"/>
      <c r="I1004" s="263"/>
      <c r="J1004" s="263"/>
      <c r="K1004" s="263"/>
      <c r="L1004" s="563"/>
      <c r="M1004" s="263"/>
      <c r="N1004" s="263"/>
      <c r="O1004" s="263"/>
      <c r="P1004" s="265"/>
      <c r="Q1004" s="263"/>
      <c r="R1004" s="263"/>
      <c r="S1004" s="263"/>
      <c r="T1004" s="263"/>
      <c r="U1004" s="263"/>
      <c r="V1004" s="263"/>
      <c r="W1004" s="263"/>
      <c r="X1004" s="263"/>
      <c r="Y1004" s="263"/>
      <c r="Z1004" s="263"/>
      <c r="AA1004" s="263"/>
      <c r="AB1004" s="263"/>
      <c r="AC1004" s="263"/>
      <c r="AD1004" s="263"/>
      <c r="AE1004" s="263"/>
      <c r="AF1004" s="418"/>
      <c r="AG1004" s="263"/>
      <c r="AH1004" s="263"/>
      <c r="AI1004" s="263"/>
    </row>
    <row r="1005" spans="1:35" ht="15" customHeight="1">
      <c r="A1005" s="69"/>
      <c r="B1005" s="418"/>
      <c r="C1005" s="263"/>
      <c r="E1005" s="263"/>
      <c r="F1005" s="263"/>
      <c r="G1005" s="419"/>
      <c r="H1005" s="263"/>
      <c r="I1005" s="263"/>
      <c r="J1005" s="263"/>
      <c r="K1005" s="263"/>
      <c r="L1005" s="563"/>
      <c r="M1005" s="263"/>
      <c r="N1005" s="263"/>
      <c r="O1005" s="263"/>
      <c r="P1005" s="265"/>
      <c r="Q1005" s="263"/>
      <c r="R1005" s="263"/>
      <c r="S1005" s="263"/>
      <c r="T1005" s="263"/>
      <c r="U1005" s="263"/>
      <c r="V1005" s="263"/>
      <c r="W1005" s="263"/>
      <c r="X1005" s="263"/>
      <c r="Y1005" s="263"/>
      <c r="Z1005" s="263"/>
      <c r="AA1005" s="263"/>
      <c r="AB1005" s="263"/>
      <c r="AC1005" s="263"/>
      <c r="AD1005" s="263"/>
      <c r="AE1005" s="263"/>
      <c r="AF1005" s="418"/>
      <c r="AG1005" s="263"/>
      <c r="AH1005" s="263"/>
      <c r="AI1005" s="263"/>
    </row>
    <row r="1006" spans="1:35" ht="15" customHeight="1">
      <c r="A1006" s="69"/>
      <c r="B1006" s="418"/>
      <c r="C1006" s="263"/>
      <c r="E1006" s="263"/>
      <c r="F1006" s="263"/>
      <c r="G1006" s="419"/>
      <c r="H1006" s="263"/>
      <c r="I1006" s="263"/>
      <c r="J1006" s="263"/>
      <c r="K1006" s="263"/>
      <c r="L1006" s="563"/>
      <c r="M1006" s="263"/>
      <c r="N1006" s="263"/>
      <c r="O1006" s="263"/>
      <c r="P1006" s="265"/>
      <c r="Q1006" s="263"/>
      <c r="R1006" s="263"/>
      <c r="S1006" s="263"/>
      <c r="T1006" s="263"/>
      <c r="U1006" s="263"/>
      <c r="V1006" s="263"/>
      <c r="W1006" s="263"/>
      <c r="X1006" s="263"/>
      <c r="Y1006" s="263"/>
      <c r="Z1006" s="263"/>
      <c r="AA1006" s="263"/>
      <c r="AB1006" s="263"/>
      <c r="AC1006" s="263"/>
      <c r="AD1006" s="263"/>
      <c r="AE1006" s="263"/>
      <c r="AF1006" s="418"/>
      <c r="AG1006" s="263"/>
      <c r="AH1006" s="263"/>
      <c r="AI1006" s="263"/>
    </row>
    <row r="1007" spans="1:35" ht="15" customHeight="1">
      <c r="A1007" s="69"/>
      <c r="B1007" s="418"/>
      <c r="C1007" s="263"/>
      <c r="E1007" s="263"/>
      <c r="F1007" s="263"/>
      <c r="G1007" s="419"/>
      <c r="H1007" s="263"/>
      <c r="I1007" s="263"/>
      <c r="J1007" s="263"/>
      <c r="K1007" s="263"/>
      <c r="L1007" s="563"/>
      <c r="M1007" s="263"/>
      <c r="N1007" s="263"/>
      <c r="O1007" s="263"/>
      <c r="P1007" s="265"/>
      <c r="Q1007" s="263"/>
      <c r="R1007" s="263"/>
      <c r="S1007" s="263"/>
      <c r="T1007" s="263"/>
      <c r="U1007" s="263"/>
      <c r="V1007" s="263"/>
      <c r="W1007" s="263"/>
      <c r="X1007" s="263"/>
      <c r="Y1007" s="263"/>
      <c r="Z1007" s="263"/>
      <c r="AA1007" s="263"/>
      <c r="AB1007" s="263"/>
      <c r="AC1007" s="263"/>
      <c r="AD1007" s="263"/>
      <c r="AE1007" s="263"/>
      <c r="AF1007" s="418"/>
      <c r="AG1007" s="263"/>
      <c r="AH1007" s="263"/>
      <c r="AI1007" s="263"/>
    </row>
    <row r="1008" spans="1:35" ht="15" customHeight="1">
      <c r="A1008" s="69"/>
      <c r="B1008" s="418"/>
      <c r="C1008" s="263"/>
      <c r="E1008" s="263"/>
      <c r="F1008" s="263"/>
      <c r="G1008" s="419"/>
      <c r="H1008" s="263"/>
      <c r="I1008" s="263"/>
      <c r="J1008" s="263"/>
      <c r="K1008" s="263"/>
      <c r="L1008" s="563"/>
      <c r="M1008" s="263"/>
      <c r="N1008" s="263"/>
      <c r="O1008" s="263"/>
      <c r="P1008" s="265"/>
      <c r="Q1008" s="263"/>
      <c r="R1008" s="263"/>
      <c r="S1008" s="263"/>
      <c r="T1008" s="263"/>
      <c r="U1008" s="263"/>
      <c r="V1008" s="263"/>
      <c r="W1008" s="263"/>
      <c r="X1008" s="263"/>
      <c r="Y1008" s="263"/>
      <c r="Z1008" s="263"/>
      <c r="AA1008" s="263"/>
      <c r="AB1008" s="263"/>
      <c r="AC1008" s="263"/>
      <c r="AD1008" s="263"/>
      <c r="AE1008" s="263"/>
      <c r="AF1008" s="418"/>
      <c r="AG1008" s="263"/>
      <c r="AH1008" s="263"/>
      <c r="AI1008" s="263"/>
    </row>
    <row r="1009" spans="1:35" ht="15" customHeight="1">
      <c r="A1009" s="69"/>
      <c r="B1009" s="418"/>
      <c r="C1009" s="263"/>
      <c r="E1009" s="263"/>
      <c r="F1009" s="263"/>
      <c r="G1009" s="419"/>
      <c r="H1009" s="263"/>
      <c r="I1009" s="263"/>
      <c r="J1009" s="263"/>
      <c r="K1009" s="263"/>
      <c r="L1009" s="563"/>
      <c r="M1009" s="263"/>
      <c r="N1009" s="263"/>
      <c r="O1009" s="263"/>
      <c r="P1009" s="265"/>
      <c r="Q1009" s="263"/>
      <c r="R1009" s="263"/>
      <c r="S1009" s="263"/>
      <c r="T1009" s="263"/>
      <c r="U1009" s="263"/>
      <c r="V1009" s="263"/>
      <c r="W1009" s="263"/>
      <c r="X1009" s="263"/>
      <c r="Y1009" s="263"/>
      <c r="Z1009" s="263"/>
      <c r="AA1009" s="263"/>
      <c r="AB1009" s="263"/>
      <c r="AC1009" s="263"/>
      <c r="AD1009" s="263"/>
      <c r="AE1009" s="263"/>
      <c r="AF1009" s="418"/>
      <c r="AG1009" s="263"/>
      <c r="AH1009" s="263"/>
      <c r="AI1009" s="263"/>
    </row>
    <row r="1010" spans="1:35" ht="15" customHeight="1">
      <c r="A1010" s="69"/>
      <c r="B1010" s="418"/>
      <c r="C1010" s="263"/>
      <c r="E1010" s="263"/>
      <c r="F1010" s="263"/>
      <c r="G1010" s="419"/>
      <c r="H1010" s="263"/>
      <c r="I1010" s="263"/>
      <c r="J1010" s="263"/>
      <c r="K1010" s="263"/>
      <c r="L1010" s="563"/>
      <c r="M1010" s="263"/>
      <c r="N1010" s="263"/>
      <c r="O1010" s="263"/>
      <c r="P1010" s="265"/>
      <c r="Q1010" s="263"/>
      <c r="R1010" s="263"/>
      <c r="S1010" s="263"/>
      <c r="T1010" s="263"/>
      <c r="U1010" s="263"/>
      <c r="V1010" s="263"/>
      <c r="W1010" s="263"/>
      <c r="X1010" s="263"/>
      <c r="Y1010" s="263"/>
      <c r="Z1010" s="263"/>
      <c r="AA1010" s="263"/>
      <c r="AB1010" s="263"/>
      <c r="AC1010" s="263"/>
      <c r="AD1010" s="263"/>
      <c r="AE1010" s="263"/>
      <c r="AF1010" s="418"/>
      <c r="AG1010" s="263"/>
      <c r="AH1010" s="263"/>
      <c r="AI1010" s="263"/>
    </row>
    <row r="1011" spans="1:35" ht="15" customHeight="1">
      <c r="A1011" s="69"/>
      <c r="B1011" s="418"/>
      <c r="C1011" s="263"/>
      <c r="E1011" s="263"/>
      <c r="F1011" s="263"/>
      <c r="G1011" s="419"/>
      <c r="H1011" s="263"/>
      <c r="I1011" s="263"/>
      <c r="J1011" s="263"/>
      <c r="K1011" s="263"/>
      <c r="L1011" s="563"/>
      <c r="M1011" s="263"/>
      <c r="N1011" s="263"/>
      <c r="O1011" s="263"/>
      <c r="P1011" s="265"/>
      <c r="Q1011" s="263"/>
      <c r="R1011" s="263"/>
      <c r="S1011" s="263"/>
      <c r="T1011" s="263"/>
      <c r="U1011" s="263"/>
      <c r="V1011" s="263"/>
      <c r="W1011" s="263"/>
      <c r="X1011" s="263"/>
      <c r="Y1011" s="263"/>
      <c r="Z1011" s="263"/>
      <c r="AA1011" s="263"/>
      <c r="AB1011" s="263"/>
      <c r="AC1011" s="263"/>
      <c r="AD1011" s="263"/>
      <c r="AE1011" s="263"/>
      <c r="AF1011" s="418"/>
      <c r="AG1011" s="263"/>
      <c r="AH1011" s="263"/>
      <c r="AI1011" s="263"/>
    </row>
    <row r="1012" spans="1:35" ht="15" customHeight="1">
      <c r="A1012" s="69"/>
      <c r="B1012" s="418"/>
      <c r="C1012" s="263"/>
      <c r="E1012" s="263"/>
      <c r="F1012" s="263"/>
      <c r="G1012" s="419"/>
      <c r="H1012" s="263"/>
      <c r="I1012" s="263"/>
      <c r="J1012" s="263"/>
      <c r="K1012" s="263"/>
      <c r="L1012" s="563"/>
      <c r="M1012" s="263"/>
      <c r="N1012" s="263"/>
      <c r="O1012" s="263"/>
      <c r="P1012" s="265"/>
      <c r="Q1012" s="263"/>
      <c r="R1012" s="263"/>
      <c r="S1012" s="263"/>
      <c r="T1012" s="263"/>
      <c r="U1012" s="263"/>
      <c r="V1012" s="263"/>
      <c r="W1012" s="263"/>
      <c r="X1012" s="263"/>
      <c r="Y1012" s="263"/>
      <c r="Z1012" s="263"/>
      <c r="AA1012" s="263"/>
      <c r="AB1012" s="263"/>
      <c r="AC1012" s="263"/>
      <c r="AD1012" s="263"/>
      <c r="AE1012" s="263"/>
      <c r="AF1012" s="418"/>
      <c r="AG1012" s="263"/>
      <c r="AH1012" s="263"/>
      <c r="AI1012" s="263"/>
    </row>
    <row r="1013" spans="1:35" ht="15" customHeight="1">
      <c r="A1013" s="69"/>
      <c r="B1013" s="418"/>
      <c r="C1013" s="263"/>
      <c r="E1013" s="263"/>
      <c r="F1013" s="263"/>
      <c r="G1013" s="419"/>
      <c r="H1013" s="263"/>
      <c r="I1013" s="263"/>
      <c r="J1013" s="263"/>
      <c r="K1013" s="263"/>
      <c r="L1013" s="563"/>
      <c r="M1013" s="263"/>
      <c r="N1013" s="263"/>
      <c r="O1013" s="263"/>
      <c r="P1013" s="265"/>
      <c r="Q1013" s="263"/>
      <c r="R1013" s="263"/>
      <c r="S1013" s="263"/>
      <c r="T1013" s="263"/>
      <c r="U1013" s="263"/>
      <c r="V1013" s="263"/>
      <c r="W1013" s="263"/>
      <c r="X1013" s="263"/>
      <c r="Y1013" s="263"/>
      <c r="Z1013" s="263"/>
      <c r="AA1013" s="263"/>
      <c r="AB1013" s="263"/>
      <c r="AC1013" s="263"/>
      <c r="AD1013" s="263"/>
      <c r="AE1013" s="263"/>
      <c r="AF1013" s="418"/>
      <c r="AG1013" s="263"/>
      <c r="AH1013" s="263"/>
      <c r="AI1013" s="263"/>
    </row>
    <row r="1014" spans="1:35" ht="15" customHeight="1">
      <c r="A1014" s="69"/>
      <c r="B1014" s="418"/>
      <c r="C1014" s="263"/>
      <c r="E1014" s="263"/>
      <c r="F1014" s="263"/>
      <c r="G1014" s="419"/>
      <c r="H1014" s="263"/>
      <c r="I1014" s="263"/>
      <c r="J1014" s="263"/>
      <c r="K1014" s="263"/>
      <c r="L1014" s="563"/>
      <c r="M1014" s="263"/>
      <c r="N1014" s="263"/>
      <c r="O1014" s="263"/>
      <c r="P1014" s="265"/>
      <c r="Q1014" s="263"/>
      <c r="R1014" s="263"/>
      <c r="S1014" s="263"/>
      <c r="T1014" s="263"/>
      <c r="U1014" s="263"/>
      <c r="V1014" s="263"/>
      <c r="W1014" s="263"/>
      <c r="X1014" s="263"/>
      <c r="Y1014" s="263"/>
      <c r="Z1014" s="263"/>
      <c r="AA1014" s="263"/>
      <c r="AB1014" s="263"/>
      <c r="AC1014" s="263"/>
      <c r="AD1014" s="263"/>
      <c r="AE1014" s="263"/>
      <c r="AF1014" s="418"/>
      <c r="AG1014" s="263"/>
      <c r="AH1014" s="263"/>
      <c r="AI1014" s="263"/>
    </row>
    <row r="1015" spans="1:35" ht="15" customHeight="1">
      <c r="A1015" s="69"/>
      <c r="B1015" s="418"/>
      <c r="C1015" s="263"/>
      <c r="E1015" s="263"/>
      <c r="F1015" s="263"/>
      <c r="G1015" s="419"/>
      <c r="H1015" s="263"/>
      <c r="I1015" s="263"/>
      <c r="J1015" s="263"/>
      <c r="K1015" s="263"/>
      <c r="L1015" s="563"/>
      <c r="M1015" s="263"/>
      <c r="N1015" s="263"/>
      <c r="O1015" s="263"/>
      <c r="P1015" s="265"/>
      <c r="Q1015" s="263"/>
      <c r="R1015" s="263"/>
      <c r="S1015" s="263"/>
      <c r="T1015" s="263"/>
      <c r="U1015" s="263"/>
      <c r="V1015" s="263"/>
      <c r="W1015" s="263"/>
      <c r="X1015" s="263"/>
      <c r="Y1015" s="263"/>
      <c r="Z1015" s="263"/>
      <c r="AA1015" s="263"/>
      <c r="AB1015" s="263"/>
      <c r="AC1015" s="263"/>
      <c r="AD1015" s="263"/>
      <c r="AE1015" s="263"/>
      <c r="AF1015" s="418"/>
      <c r="AG1015" s="263"/>
      <c r="AH1015" s="263"/>
      <c r="AI1015" s="263"/>
    </row>
    <row r="1016" spans="1:35" ht="15" customHeight="1">
      <c r="A1016" s="69"/>
      <c r="B1016" s="418"/>
      <c r="C1016" s="263"/>
      <c r="E1016" s="263"/>
      <c r="F1016" s="263"/>
      <c r="G1016" s="419"/>
      <c r="H1016" s="263"/>
      <c r="I1016" s="263"/>
      <c r="J1016" s="263"/>
      <c r="K1016" s="263"/>
      <c r="L1016" s="563"/>
      <c r="M1016" s="263"/>
      <c r="N1016" s="263"/>
      <c r="O1016" s="263"/>
      <c r="P1016" s="265"/>
      <c r="Q1016" s="263"/>
      <c r="R1016" s="263"/>
      <c r="S1016" s="263"/>
      <c r="T1016" s="263"/>
      <c r="U1016" s="263"/>
      <c r="V1016" s="263"/>
      <c r="W1016" s="263"/>
      <c r="X1016" s="263"/>
      <c r="Y1016" s="263"/>
      <c r="Z1016" s="263"/>
      <c r="AA1016" s="263"/>
      <c r="AB1016" s="263"/>
      <c r="AC1016" s="263"/>
      <c r="AD1016" s="263"/>
      <c r="AE1016" s="263"/>
      <c r="AF1016" s="418"/>
      <c r="AG1016" s="263"/>
      <c r="AH1016" s="263"/>
      <c r="AI1016" s="263"/>
    </row>
    <row r="1017" spans="1:35" ht="15" customHeight="1">
      <c r="A1017" s="69"/>
      <c r="B1017" s="418"/>
      <c r="C1017" s="263"/>
      <c r="E1017" s="263"/>
      <c r="F1017" s="263"/>
      <c r="G1017" s="419"/>
      <c r="H1017" s="263"/>
      <c r="I1017" s="263"/>
      <c r="J1017" s="263"/>
      <c r="K1017" s="263"/>
      <c r="L1017" s="563"/>
      <c r="M1017" s="263"/>
      <c r="N1017" s="263"/>
      <c r="O1017" s="263"/>
      <c r="P1017" s="265"/>
      <c r="Q1017" s="263"/>
      <c r="R1017" s="263"/>
      <c r="S1017" s="263"/>
      <c r="T1017" s="263"/>
      <c r="U1017" s="263"/>
      <c r="V1017" s="263"/>
      <c r="W1017" s="263"/>
      <c r="X1017" s="263"/>
      <c r="Y1017" s="263"/>
      <c r="Z1017" s="263"/>
      <c r="AA1017" s="263"/>
      <c r="AB1017" s="263"/>
      <c r="AC1017" s="263"/>
      <c r="AD1017" s="263"/>
      <c r="AE1017" s="263"/>
      <c r="AF1017" s="418"/>
      <c r="AG1017" s="263"/>
      <c r="AH1017" s="263"/>
      <c r="AI1017" s="263"/>
    </row>
    <row r="1018" spans="1:35" ht="15" customHeight="1">
      <c r="A1018" s="69"/>
      <c r="B1018" s="418"/>
      <c r="C1018" s="263"/>
      <c r="E1018" s="263"/>
      <c r="F1018" s="263"/>
      <c r="G1018" s="419"/>
      <c r="H1018" s="263"/>
      <c r="I1018" s="263"/>
      <c r="J1018" s="263"/>
      <c r="K1018" s="263"/>
      <c r="L1018" s="563"/>
      <c r="M1018" s="263"/>
      <c r="N1018" s="263"/>
      <c r="O1018" s="263"/>
      <c r="P1018" s="265"/>
      <c r="Q1018" s="263"/>
      <c r="R1018" s="263"/>
      <c r="S1018" s="263"/>
      <c r="T1018" s="263"/>
      <c r="U1018" s="263"/>
      <c r="V1018" s="263"/>
      <c r="W1018" s="263"/>
      <c r="X1018" s="263"/>
      <c r="Y1018" s="263"/>
      <c r="Z1018" s="263"/>
      <c r="AA1018" s="263"/>
      <c r="AB1018" s="263"/>
      <c r="AC1018" s="263"/>
      <c r="AD1018" s="263"/>
      <c r="AE1018" s="263"/>
      <c r="AF1018" s="418"/>
      <c r="AG1018" s="263"/>
      <c r="AH1018" s="263"/>
      <c r="AI1018" s="263"/>
    </row>
    <row r="1019" spans="1:35" ht="15" customHeight="1">
      <c r="A1019" s="69"/>
      <c r="B1019" s="418"/>
      <c r="C1019" s="263"/>
      <c r="E1019" s="263"/>
      <c r="F1019" s="263"/>
      <c r="G1019" s="419"/>
      <c r="H1019" s="263"/>
      <c r="I1019" s="263"/>
      <c r="J1019" s="263"/>
      <c r="K1019" s="263"/>
      <c r="L1019" s="563"/>
      <c r="M1019" s="263"/>
      <c r="N1019" s="263"/>
      <c r="O1019" s="263"/>
      <c r="P1019" s="265"/>
      <c r="Q1019" s="263"/>
      <c r="R1019" s="263"/>
      <c r="S1019" s="263"/>
      <c r="T1019" s="263"/>
      <c r="U1019" s="263"/>
      <c r="V1019" s="263"/>
      <c r="W1019" s="263"/>
      <c r="X1019" s="263"/>
      <c r="Y1019" s="263"/>
      <c r="Z1019" s="263"/>
      <c r="AA1019" s="263"/>
      <c r="AB1019" s="263"/>
      <c r="AC1019" s="263"/>
      <c r="AD1019" s="263"/>
      <c r="AE1019" s="263"/>
      <c r="AF1019" s="418"/>
      <c r="AG1019" s="263"/>
      <c r="AH1019" s="263"/>
      <c r="AI1019" s="263"/>
    </row>
    <row r="1020" spans="1:35" ht="15" customHeight="1">
      <c r="A1020" s="69"/>
      <c r="B1020" s="418"/>
      <c r="C1020" s="263"/>
      <c r="E1020" s="263"/>
      <c r="F1020" s="263"/>
      <c r="G1020" s="419"/>
      <c r="H1020" s="263"/>
      <c r="I1020" s="263"/>
      <c r="J1020" s="263"/>
      <c r="K1020" s="263"/>
      <c r="L1020" s="563"/>
      <c r="M1020" s="263"/>
      <c r="N1020" s="263"/>
      <c r="O1020" s="263"/>
      <c r="P1020" s="265"/>
      <c r="Q1020" s="263"/>
      <c r="R1020" s="263"/>
      <c r="S1020" s="263"/>
      <c r="T1020" s="263"/>
      <c r="U1020" s="263"/>
      <c r="V1020" s="263"/>
      <c r="W1020" s="263"/>
      <c r="X1020" s="263"/>
      <c r="Y1020" s="263"/>
      <c r="Z1020" s="263"/>
      <c r="AA1020" s="263"/>
      <c r="AB1020" s="263"/>
      <c r="AC1020" s="263"/>
      <c r="AD1020" s="263"/>
      <c r="AE1020" s="263"/>
      <c r="AF1020" s="418"/>
      <c r="AG1020" s="263"/>
      <c r="AH1020" s="263"/>
      <c r="AI1020" s="263"/>
    </row>
    <row r="1021" spans="1:35" ht="15" customHeight="1">
      <c r="A1021" s="69"/>
      <c r="B1021" s="418"/>
      <c r="C1021" s="263"/>
      <c r="E1021" s="263"/>
      <c r="F1021" s="263"/>
      <c r="G1021" s="419"/>
      <c r="H1021" s="263"/>
      <c r="I1021" s="263"/>
      <c r="J1021" s="263"/>
      <c r="K1021" s="263"/>
      <c r="L1021" s="563"/>
      <c r="M1021" s="263"/>
      <c r="N1021" s="263"/>
      <c r="O1021" s="263"/>
      <c r="P1021" s="265"/>
      <c r="Q1021" s="263"/>
      <c r="R1021" s="263"/>
      <c r="S1021" s="263"/>
      <c r="T1021" s="263"/>
      <c r="U1021" s="263"/>
      <c r="V1021" s="263"/>
      <c r="W1021" s="263"/>
      <c r="X1021" s="263"/>
      <c r="Y1021" s="263"/>
      <c r="Z1021" s="263"/>
      <c r="AA1021" s="263"/>
      <c r="AB1021" s="263"/>
      <c r="AC1021" s="263"/>
      <c r="AD1021" s="263"/>
      <c r="AE1021" s="263"/>
      <c r="AF1021" s="418"/>
      <c r="AG1021" s="263"/>
      <c r="AH1021" s="263"/>
      <c r="AI1021" s="263"/>
    </row>
    <row r="1022" spans="1:35" ht="15" customHeight="1">
      <c r="A1022" s="69"/>
      <c r="B1022" s="418"/>
      <c r="C1022" s="263"/>
      <c r="E1022" s="263"/>
      <c r="F1022" s="263"/>
      <c r="G1022" s="419"/>
      <c r="H1022" s="263"/>
      <c r="I1022" s="263"/>
      <c r="J1022" s="263"/>
      <c r="K1022" s="263"/>
      <c r="L1022" s="563"/>
      <c r="M1022" s="263"/>
      <c r="N1022" s="263"/>
      <c r="O1022" s="263"/>
      <c r="P1022" s="265"/>
      <c r="Q1022" s="263"/>
      <c r="R1022" s="263"/>
      <c r="S1022" s="263"/>
      <c r="T1022" s="263"/>
      <c r="U1022" s="263"/>
      <c r="V1022" s="263"/>
      <c r="W1022" s="263"/>
      <c r="X1022" s="263"/>
      <c r="Y1022" s="263"/>
      <c r="Z1022" s="263"/>
      <c r="AA1022" s="263"/>
      <c r="AB1022" s="263"/>
      <c r="AC1022" s="263"/>
      <c r="AD1022" s="263"/>
      <c r="AE1022" s="263"/>
      <c r="AF1022" s="418"/>
      <c r="AG1022" s="263"/>
      <c r="AH1022" s="263"/>
      <c r="AI1022" s="263"/>
    </row>
    <row r="1023" spans="1:35" ht="15" customHeight="1">
      <c r="A1023" s="69"/>
      <c r="B1023" s="418"/>
      <c r="C1023" s="263"/>
      <c r="E1023" s="263"/>
      <c r="F1023" s="263"/>
      <c r="G1023" s="419"/>
      <c r="H1023" s="263"/>
      <c r="I1023" s="263"/>
      <c r="J1023" s="263"/>
      <c r="K1023" s="263"/>
      <c r="L1023" s="563"/>
      <c r="M1023" s="263"/>
      <c r="N1023" s="263"/>
      <c r="O1023" s="263"/>
      <c r="P1023" s="265"/>
      <c r="Q1023" s="263"/>
      <c r="R1023" s="263"/>
      <c r="S1023" s="263"/>
      <c r="T1023" s="263"/>
      <c r="U1023" s="263"/>
      <c r="V1023" s="263"/>
      <c r="W1023" s="263"/>
      <c r="X1023" s="263"/>
      <c r="Y1023" s="263"/>
      <c r="Z1023" s="263"/>
      <c r="AA1023" s="263"/>
      <c r="AB1023" s="263"/>
      <c r="AC1023" s="263"/>
      <c r="AD1023" s="263"/>
      <c r="AE1023" s="263"/>
      <c r="AF1023" s="418"/>
      <c r="AG1023" s="263"/>
      <c r="AH1023" s="263"/>
      <c r="AI1023" s="263"/>
    </row>
    <row r="1024" spans="1:35" ht="15" customHeight="1">
      <c r="A1024" s="69"/>
      <c r="B1024" s="418"/>
      <c r="C1024" s="263"/>
      <c r="E1024" s="263"/>
      <c r="F1024" s="263"/>
      <c r="G1024" s="419"/>
      <c r="H1024" s="263"/>
      <c r="I1024" s="263"/>
      <c r="J1024" s="263"/>
      <c r="K1024" s="263"/>
      <c r="L1024" s="563"/>
      <c r="M1024" s="263"/>
      <c r="N1024" s="263"/>
      <c r="O1024" s="263"/>
      <c r="P1024" s="265"/>
      <c r="Q1024" s="263"/>
      <c r="R1024" s="263"/>
      <c r="S1024" s="263"/>
      <c r="T1024" s="263"/>
      <c r="U1024" s="263"/>
      <c r="V1024" s="263"/>
      <c r="W1024" s="263"/>
      <c r="X1024" s="263"/>
      <c r="Y1024" s="263"/>
      <c r="Z1024" s="263"/>
      <c r="AA1024" s="263"/>
      <c r="AB1024" s="263"/>
      <c r="AC1024" s="263"/>
      <c r="AD1024" s="263"/>
      <c r="AE1024" s="263"/>
      <c r="AF1024" s="418"/>
      <c r="AG1024" s="263"/>
      <c r="AH1024" s="263"/>
      <c r="AI1024" s="263"/>
    </row>
    <row r="1025" spans="1:35" ht="15" customHeight="1">
      <c r="A1025" s="69"/>
      <c r="B1025" s="418"/>
      <c r="C1025" s="263"/>
      <c r="E1025" s="263"/>
      <c r="F1025" s="263"/>
      <c r="G1025" s="419"/>
      <c r="H1025" s="263"/>
      <c r="I1025" s="263"/>
      <c r="J1025" s="263"/>
      <c r="K1025" s="263"/>
      <c r="L1025" s="563"/>
      <c r="M1025" s="263"/>
      <c r="N1025" s="263"/>
      <c r="O1025" s="263"/>
      <c r="P1025" s="265"/>
      <c r="Q1025" s="263"/>
      <c r="R1025" s="263"/>
      <c r="S1025" s="263"/>
      <c r="T1025" s="263"/>
      <c r="U1025" s="263"/>
      <c r="V1025" s="263"/>
      <c r="W1025" s="263"/>
      <c r="X1025" s="263"/>
      <c r="Y1025" s="263"/>
      <c r="Z1025" s="263"/>
      <c r="AA1025" s="263"/>
      <c r="AB1025" s="263"/>
      <c r="AC1025" s="263"/>
      <c r="AD1025" s="263"/>
      <c r="AE1025" s="263"/>
      <c r="AF1025" s="418"/>
      <c r="AG1025" s="263"/>
      <c r="AH1025" s="263"/>
      <c r="AI1025" s="263"/>
    </row>
    <row r="1026" spans="1:35" ht="15" customHeight="1">
      <c r="A1026" s="69"/>
      <c r="B1026" s="418"/>
      <c r="C1026" s="263"/>
      <c r="E1026" s="263"/>
      <c r="F1026" s="263"/>
      <c r="G1026" s="419"/>
      <c r="H1026" s="263"/>
      <c r="I1026" s="263"/>
      <c r="J1026" s="263"/>
      <c r="K1026" s="263"/>
      <c r="L1026" s="563"/>
      <c r="M1026" s="263"/>
      <c r="N1026" s="263"/>
      <c r="O1026" s="263"/>
      <c r="P1026" s="265"/>
      <c r="Q1026" s="263"/>
      <c r="R1026" s="263"/>
      <c r="S1026" s="263"/>
      <c r="T1026" s="263"/>
      <c r="U1026" s="263"/>
      <c r="V1026" s="263"/>
      <c r="W1026" s="263"/>
      <c r="X1026" s="263"/>
      <c r="Y1026" s="263"/>
      <c r="Z1026" s="263"/>
      <c r="AA1026" s="263"/>
      <c r="AB1026" s="263"/>
      <c r="AC1026" s="263"/>
      <c r="AD1026" s="263"/>
      <c r="AE1026" s="263"/>
      <c r="AF1026" s="418"/>
      <c r="AG1026" s="263"/>
      <c r="AH1026" s="263"/>
      <c r="AI1026" s="263"/>
    </row>
    <row r="1027" spans="1:35" ht="15" customHeight="1">
      <c r="A1027" s="69"/>
      <c r="B1027" s="418"/>
      <c r="C1027" s="263"/>
      <c r="E1027" s="263"/>
      <c r="F1027" s="263"/>
      <c r="G1027" s="419"/>
      <c r="H1027" s="263"/>
      <c r="I1027" s="263"/>
      <c r="J1027" s="263"/>
      <c r="K1027" s="263"/>
      <c r="L1027" s="563"/>
      <c r="M1027" s="263"/>
      <c r="N1027" s="263"/>
      <c r="O1027" s="263"/>
      <c r="P1027" s="265"/>
      <c r="Q1027" s="263"/>
      <c r="R1027" s="263"/>
      <c r="S1027" s="263"/>
      <c r="T1027" s="263"/>
      <c r="U1027" s="263"/>
      <c r="V1027" s="263"/>
      <c r="W1027" s="263"/>
      <c r="X1027" s="263"/>
      <c r="Y1027" s="263"/>
      <c r="Z1027" s="263"/>
      <c r="AA1027" s="263"/>
      <c r="AB1027" s="263"/>
      <c r="AC1027" s="263"/>
      <c r="AD1027" s="263"/>
      <c r="AE1027" s="263"/>
      <c r="AF1027" s="418"/>
      <c r="AG1027" s="263"/>
      <c r="AH1027" s="263"/>
      <c r="AI1027" s="263"/>
    </row>
    <row r="1028" spans="1:35" ht="15" customHeight="1">
      <c r="A1028" s="69"/>
      <c r="B1028" s="418"/>
      <c r="C1028" s="263"/>
      <c r="E1028" s="263"/>
      <c r="F1028" s="263"/>
      <c r="G1028" s="419"/>
      <c r="H1028" s="263"/>
      <c r="I1028" s="263"/>
      <c r="J1028" s="263"/>
      <c r="K1028" s="263"/>
      <c r="L1028" s="563"/>
      <c r="M1028" s="263"/>
      <c r="N1028" s="263"/>
      <c r="O1028" s="263"/>
      <c r="P1028" s="265"/>
      <c r="Q1028" s="263"/>
      <c r="R1028" s="263"/>
      <c r="S1028" s="263"/>
      <c r="T1028" s="263"/>
      <c r="U1028" s="263"/>
      <c r="V1028" s="263"/>
      <c r="W1028" s="263"/>
      <c r="X1028" s="263"/>
      <c r="Y1028" s="263"/>
      <c r="Z1028" s="263"/>
      <c r="AA1028" s="263"/>
      <c r="AB1028" s="263"/>
      <c r="AC1028" s="263"/>
      <c r="AD1028" s="263"/>
      <c r="AE1028" s="263"/>
      <c r="AF1028" s="418"/>
      <c r="AG1028" s="263"/>
      <c r="AH1028" s="263"/>
      <c r="AI1028" s="263"/>
    </row>
    <row r="1029" spans="1:35" ht="15" customHeight="1">
      <c r="A1029" s="69"/>
      <c r="B1029" s="418"/>
      <c r="C1029" s="263"/>
      <c r="E1029" s="263"/>
      <c r="F1029" s="263"/>
      <c r="G1029" s="419"/>
      <c r="H1029" s="263"/>
      <c r="I1029" s="263"/>
      <c r="J1029" s="263"/>
      <c r="K1029" s="263"/>
      <c r="L1029" s="563"/>
      <c r="M1029" s="263"/>
      <c r="N1029" s="263"/>
      <c r="O1029" s="263"/>
      <c r="P1029" s="265"/>
      <c r="Q1029" s="263"/>
      <c r="R1029" s="263"/>
      <c r="S1029" s="263"/>
      <c r="T1029" s="263"/>
      <c r="U1029" s="263"/>
      <c r="V1029" s="263"/>
      <c r="W1029" s="263"/>
      <c r="X1029" s="263"/>
      <c r="Y1029" s="263"/>
      <c r="Z1029" s="263"/>
      <c r="AA1029" s="263"/>
      <c r="AB1029" s="263"/>
      <c r="AC1029" s="263"/>
      <c r="AD1029" s="263"/>
      <c r="AE1029" s="263"/>
      <c r="AF1029" s="418"/>
      <c r="AG1029" s="263"/>
      <c r="AH1029" s="263"/>
      <c r="AI1029" s="263"/>
    </row>
    <row r="1030" spans="1:35" ht="15" customHeight="1">
      <c r="A1030" s="69"/>
      <c r="B1030" s="418"/>
      <c r="C1030" s="263"/>
      <c r="E1030" s="263"/>
      <c r="F1030" s="263"/>
      <c r="G1030" s="419"/>
      <c r="H1030" s="263"/>
      <c r="I1030" s="263"/>
      <c r="J1030" s="263"/>
      <c r="K1030" s="263"/>
      <c r="L1030" s="563"/>
      <c r="M1030" s="263"/>
      <c r="N1030" s="263"/>
      <c r="O1030" s="263"/>
      <c r="P1030" s="265"/>
      <c r="Q1030" s="263"/>
      <c r="R1030" s="263"/>
      <c r="S1030" s="263"/>
      <c r="T1030" s="263"/>
      <c r="U1030" s="263"/>
      <c r="V1030" s="263"/>
      <c r="W1030" s="263"/>
      <c r="X1030" s="263"/>
      <c r="Y1030" s="263"/>
      <c r="Z1030" s="263"/>
      <c r="AA1030" s="263"/>
      <c r="AB1030" s="263"/>
      <c r="AC1030" s="263"/>
      <c r="AD1030" s="263"/>
      <c r="AE1030" s="263"/>
      <c r="AF1030" s="418"/>
      <c r="AG1030" s="263"/>
      <c r="AH1030" s="263"/>
      <c r="AI1030" s="263"/>
    </row>
    <row r="1031" spans="1:35" ht="15" customHeight="1">
      <c r="A1031" s="69"/>
      <c r="B1031" s="418"/>
      <c r="C1031" s="263"/>
      <c r="E1031" s="263"/>
      <c r="F1031" s="263"/>
      <c r="G1031" s="419"/>
      <c r="H1031" s="263"/>
      <c r="I1031" s="263"/>
      <c r="J1031" s="263"/>
      <c r="K1031" s="263"/>
      <c r="L1031" s="563"/>
      <c r="M1031" s="263"/>
      <c r="N1031" s="263"/>
      <c r="O1031" s="263"/>
      <c r="P1031" s="265"/>
      <c r="Q1031" s="263"/>
      <c r="R1031" s="263"/>
      <c r="S1031" s="263"/>
      <c r="T1031" s="263"/>
      <c r="U1031" s="263"/>
      <c r="V1031" s="263"/>
      <c r="W1031" s="263"/>
      <c r="X1031" s="263"/>
      <c r="Y1031" s="263"/>
      <c r="Z1031" s="263"/>
      <c r="AA1031" s="263"/>
      <c r="AB1031" s="263"/>
      <c r="AC1031" s="263"/>
      <c r="AD1031" s="263"/>
      <c r="AE1031" s="263"/>
      <c r="AF1031" s="418"/>
      <c r="AG1031" s="263"/>
      <c r="AH1031" s="263"/>
      <c r="AI1031" s="263"/>
    </row>
    <row r="1032" spans="1:35" ht="15" customHeight="1">
      <c r="A1032" s="69"/>
      <c r="B1032" s="418"/>
      <c r="C1032" s="263"/>
      <c r="E1032" s="263"/>
      <c r="F1032" s="263"/>
      <c r="G1032" s="419"/>
      <c r="H1032" s="263"/>
      <c r="I1032" s="263"/>
      <c r="J1032" s="263"/>
      <c r="K1032" s="263"/>
      <c r="L1032" s="563"/>
      <c r="M1032" s="263"/>
      <c r="N1032" s="263"/>
      <c r="O1032" s="263"/>
      <c r="P1032" s="265"/>
      <c r="Q1032" s="263"/>
      <c r="R1032" s="263"/>
      <c r="S1032" s="263"/>
      <c r="T1032" s="263"/>
      <c r="U1032" s="263"/>
      <c r="V1032" s="263"/>
      <c r="W1032" s="263"/>
      <c r="X1032" s="263"/>
      <c r="Y1032" s="263"/>
      <c r="Z1032" s="263"/>
      <c r="AA1032" s="263"/>
      <c r="AB1032" s="263"/>
      <c r="AC1032" s="263"/>
      <c r="AD1032" s="263"/>
      <c r="AE1032" s="263"/>
      <c r="AF1032" s="418"/>
      <c r="AG1032" s="263"/>
      <c r="AH1032" s="263"/>
      <c r="AI1032" s="263"/>
    </row>
    <row r="1033" spans="1:35" ht="15" customHeight="1">
      <c r="A1033" s="69"/>
      <c r="B1033" s="418"/>
      <c r="C1033" s="263"/>
      <c r="E1033" s="263"/>
      <c r="F1033" s="263"/>
      <c r="G1033" s="419"/>
      <c r="H1033" s="263"/>
      <c r="I1033" s="263"/>
      <c r="J1033" s="263"/>
      <c r="K1033" s="263"/>
      <c r="L1033" s="563"/>
      <c r="M1033" s="263"/>
      <c r="N1033" s="263"/>
      <c r="O1033" s="263"/>
      <c r="P1033" s="265"/>
      <c r="Q1033" s="263"/>
      <c r="R1033" s="263"/>
      <c r="S1033" s="263"/>
      <c r="T1033" s="263"/>
      <c r="U1033" s="263"/>
      <c r="V1033" s="263"/>
      <c r="W1033" s="263"/>
      <c r="X1033" s="263"/>
      <c r="Y1033" s="263"/>
      <c r="Z1033" s="263"/>
      <c r="AA1033" s="263"/>
      <c r="AB1033" s="263"/>
      <c r="AC1033" s="263"/>
      <c r="AD1033" s="263"/>
      <c r="AE1033" s="263"/>
      <c r="AF1033" s="418"/>
      <c r="AG1033" s="263"/>
      <c r="AH1033" s="263"/>
      <c r="AI1033" s="263"/>
    </row>
    <row r="1034" spans="1:35" ht="15" customHeight="1">
      <c r="A1034" s="69"/>
      <c r="B1034" s="418"/>
      <c r="C1034" s="263"/>
      <c r="E1034" s="263"/>
      <c r="F1034" s="263"/>
      <c r="G1034" s="419"/>
      <c r="H1034" s="263"/>
      <c r="I1034" s="263"/>
      <c r="J1034" s="263"/>
      <c r="K1034" s="263"/>
      <c r="L1034" s="563"/>
      <c r="M1034" s="263"/>
      <c r="N1034" s="263"/>
      <c r="O1034" s="263"/>
      <c r="P1034" s="265"/>
      <c r="Q1034" s="263"/>
      <c r="R1034" s="263"/>
      <c r="S1034" s="263"/>
      <c r="T1034" s="263"/>
      <c r="U1034" s="263"/>
      <c r="V1034" s="263"/>
      <c r="W1034" s="263"/>
      <c r="X1034" s="263"/>
      <c r="Y1034" s="263"/>
      <c r="Z1034" s="263"/>
      <c r="AA1034" s="263"/>
      <c r="AB1034" s="263"/>
      <c r="AC1034" s="263"/>
      <c r="AD1034" s="263"/>
      <c r="AE1034" s="263"/>
      <c r="AF1034" s="418"/>
      <c r="AG1034" s="263"/>
      <c r="AH1034" s="263"/>
      <c r="AI1034" s="263"/>
    </row>
  </sheetData>
  <autoFilter ref="A1:AK110" xr:uid="{00000000-0001-0000-1000-000000000000}">
    <filterColumn colId="3">
      <filters>
        <filter val="Level 1"/>
        <filter val="Level 2"/>
        <filter val="Level 3"/>
        <filter val="Level 4"/>
        <filter val="Trial"/>
      </filters>
    </filterColumn>
  </autoFilter>
  <hyperlinks>
    <hyperlink ref="AG48" r:id="rId1" xr:uid="{00000000-0004-0000-1000-000000000000}"/>
    <hyperlink ref="AG97" r:id="rId2" xr:uid="{00000000-0004-0000-1000-000001000000}"/>
    <hyperlink ref="AG7" r:id="rId3" xr:uid="{00000000-0004-0000-1000-000002000000}"/>
    <hyperlink ref="AG99" r:id="rId4" xr:uid="{00000000-0004-0000-1000-000003000000}"/>
    <hyperlink ref="AG15" r:id="rId5" xr:uid="{00000000-0004-0000-1000-000004000000}"/>
    <hyperlink ref="AG29" r:id="rId6" xr:uid="{00000000-0004-0000-1000-000005000000}"/>
    <hyperlink ref="AG17" r:id="rId7" xr:uid="{00000000-0004-0000-1000-000006000000}"/>
    <hyperlink ref="AG51" r:id="rId8" xr:uid="{00000000-0004-0000-1000-000007000000}"/>
    <hyperlink ref="AG73" r:id="rId9" xr:uid="{00000000-0004-0000-1000-000008000000}"/>
    <hyperlink ref="AG24" r:id="rId10" xr:uid="{00000000-0004-0000-1000-000009000000}"/>
    <hyperlink ref="AG25" r:id="rId11" xr:uid="{00000000-0004-0000-1000-00000A000000}"/>
    <hyperlink ref="AG33" r:id="rId12" xr:uid="{00000000-0004-0000-1000-00000B000000}"/>
    <hyperlink ref="AG28" r:id="rId13" xr:uid="{00000000-0004-0000-1000-00000C000000}"/>
    <hyperlink ref="AG80" r:id="rId14" xr:uid="{00000000-0004-0000-1000-00000D000000}"/>
    <hyperlink ref="AG14" r:id="rId15" xr:uid="{00000000-0004-0000-1000-00000E000000}"/>
    <hyperlink ref="AG41" r:id="rId16" xr:uid="{00000000-0004-0000-1000-00000F000000}"/>
    <hyperlink ref="AG35" r:id="rId17" xr:uid="{00000000-0004-0000-1000-000010000000}"/>
    <hyperlink ref="AG4" r:id="rId18" xr:uid="{00000000-0004-0000-1000-000011000000}"/>
    <hyperlink ref="AG38" r:id="rId19" xr:uid="{00000000-0004-0000-1000-000012000000}"/>
    <hyperlink ref="AG45" r:id="rId20" xr:uid="{00000000-0004-0000-1000-000013000000}"/>
    <hyperlink ref="AG40" r:id="rId21" xr:uid="{00000000-0004-0000-1000-000014000000}"/>
    <hyperlink ref="AG98" r:id="rId22" xr:uid="{00000000-0004-0000-1000-000015000000}"/>
    <hyperlink ref="AG42" r:id="rId23" xr:uid="{00000000-0004-0000-1000-000016000000}"/>
    <hyperlink ref="AG43" r:id="rId24" xr:uid="{00000000-0004-0000-1000-000017000000}"/>
    <hyperlink ref="AG74" r:id="rId25" xr:uid="{00000000-0004-0000-1000-000018000000}"/>
    <hyperlink ref="AG47" r:id="rId26" xr:uid="{00000000-0004-0000-1000-000019000000}"/>
    <hyperlink ref="AG85" r:id="rId27" xr:uid="{00000000-0004-0000-1000-00001A000000}"/>
    <hyperlink ref="AG18" r:id="rId28" xr:uid="{00000000-0004-0000-1000-00001B000000}"/>
    <hyperlink ref="AG53" r:id="rId29" xr:uid="{00000000-0004-0000-1000-00001C000000}"/>
    <hyperlink ref="AG91" r:id="rId30" xr:uid="{00000000-0004-0000-1000-00001D000000}"/>
    <hyperlink ref="AG55" r:id="rId31" xr:uid="{00000000-0004-0000-1000-00001E000000}"/>
    <hyperlink ref="AG57" r:id="rId32" xr:uid="{00000000-0004-0000-1000-00001F000000}"/>
    <hyperlink ref="AG27" r:id="rId33" xr:uid="{00000000-0004-0000-1000-000020000000}"/>
    <hyperlink ref="AG63" r:id="rId34" xr:uid="{00000000-0004-0000-1000-000021000000}"/>
    <hyperlink ref="AG72" r:id="rId35" xr:uid="{00000000-0004-0000-1000-000022000000}"/>
    <hyperlink ref="AG66" r:id="rId36" xr:uid="{00000000-0004-0000-1000-000023000000}"/>
    <hyperlink ref="AG67" r:id="rId37" xr:uid="{00000000-0004-0000-1000-000024000000}"/>
    <hyperlink ref="AG69" r:id="rId38" xr:uid="{00000000-0004-0000-1000-000025000000}"/>
    <hyperlink ref="AG60" r:id="rId39" xr:uid="{00000000-0004-0000-1000-000026000000}"/>
    <hyperlink ref="AG71" r:id="rId40" xr:uid="{00000000-0004-0000-1000-000027000000}"/>
    <hyperlink ref="AG20" r:id="rId41" xr:uid="{00000000-0004-0000-1000-000028000000}"/>
    <hyperlink ref="AG3" r:id="rId42" xr:uid="{00000000-0004-0000-1000-000029000000}"/>
    <hyperlink ref="AG54" r:id="rId43" xr:uid="{00000000-0004-0000-1000-00002A000000}"/>
    <hyperlink ref="AG75" r:id="rId44" xr:uid="{00000000-0004-0000-1000-00002B000000}"/>
    <hyperlink ref="AG79" r:id="rId45" xr:uid="{00000000-0004-0000-1000-00002C000000}"/>
    <hyperlink ref="AG95" r:id="rId46" xr:uid="{00000000-0004-0000-1000-00002D000000}"/>
    <hyperlink ref="AG84" r:id="rId47" xr:uid="{00000000-0004-0000-1000-00002E000000}"/>
    <hyperlink ref="AG16" r:id="rId48" xr:uid="{00000000-0004-0000-1000-00002F000000}"/>
    <hyperlink ref="AG89" r:id="rId49" xr:uid="{00000000-0004-0000-1000-000030000000}"/>
    <hyperlink ref="AG101" r:id="rId50" xr:uid="{00000000-0004-0000-1000-000031000000}"/>
    <hyperlink ref="AG36" r:id="rId51" xr:uid="{00000000-0004-0000-1000-000032000000}"/>
    <hyperlink ref="AG64" r:id="rId52" xr:uid="{00000000-0004-0000-1000-000033000000}"/>
    <hyperlink ref="AG102" r:id="rId53" xr:uid="{00000000-0004-0000-1000-000034000000}"/>
    <hyperlink ref="AG39" r:id="rId54" xr:uid="{00000000-0004-0000-1000-000035000000}"/>
    <hyperlink ref="AG70" r:id="rId55" xr:uid="{00000000-0004-0000-1000-000036000000}"/>
    <hyperlink ref="AG100" r:id="rId56" xr:uid="{00000000-0004-0000-1000-000037000000}"/>
    <hyperlink ref="AG30" r:id="rId57" xr:uid="{00000000-0004-0000-1000-000038000000}"/>
    <hyperlink ref="AG96" r:id="rId58" xr:uid="{00000000-0004-0000-1000-000039000000}"/>
    <hyperlink ref="AG103" r:id="rId59" xr:uid="{00000000-0004-0000-1000-00003A000000}"/>
    <hyperlink ref="AG104" r:id="rId60" xr:uid="{00000000-0004-0000-1000-00003B000000}"/>
    <hyperlink ref="AG105" r:id="rId61" xr:uid="{00000000-0004-0000-1000-00003C000000}"/>
    <hyperlink ref="AG106" r:id="rId62" xr:uid="{00000000-0004-0000-1000-00003D000000}"/>
    <hyperlink ref="AG107" r:id="rId63" xr:uid="{00000000-0004-0000-1000-00003E000000}"/>
    <hyperlink ref="AG108" r:id="rId64" xr:uid="{00000000-0004-0000-1000-00003F000000}"/>
    <hyperlink ref="AG109" r:id="rId65" xr:uid="{00000000-0004-0000-1000-00004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H5"/>
  <sheetViews>
    <sheetView workbookViewId="0"/>
  </sheetViews>
  <sheetFormatPr defaultColWidth="14.44140625" defaultRowHeight="15" customHeight="1"/>
  <sheetData>
    <row r="1" spans="1:8">
      <c r="A1" s="156" t="s">
        <v>1287</v>
      </c>
      <c r="B1" s="156" t="s">
        <v>1082</v>
      </c>
      <c r="C1" s="156" t="s">
        <v>1288</v>
      </c>
      <c r="D1" s="156" t="s">
        <v>1289</v>
      </c>
      <c r="E1" s="156" t="s">
        <v>1290</v>
      </c>
      <c r="F1" s="156" t="s">
        <v>1291</v>
      </c>
      <c r="G1" s="156" t="s">
        <v>1292</v>
      </c>
      <c r="H1" s="156" t="s">
        <v>1293</v>
      </c>
    </row>
    <row r="2" spans="1:8">
      <c r="A2" s="141" t="s">
        <v>876</v>
      </c>
      <c r="B2" s="420">
        <v>641</v>
      </c>
      <c r="C2" s="156">
        <v>449</v>
      </c>
      <c r="D2" s="421" t="s">
        <v>1294</v>
      </c>
      <c r="E2" s="421" t="s">
        <v>1295</v>
      </c>
      <c r="F2" s="156"/>
      <c r="G2" s="156"/>
      <c r="H2" s="156"/>
    </row>
    <row r="3" spans="1:8">
      <c r="A3" s="141" t="s">
        <v>881</v>
      </c>
      <c r="B3" s="420">
        <v>549</v>
      </c>
      <c r="C3" s="156">
        <v>375</v>
      </c>
      <c r="D3" s="421" t="s">
        <v>1296</v>
      </c>
      <c r="E3" s="421" t="s">
        <v>1297</v>
      </c>
      <c r="F3" s="421" t="s">
        <v>1298</v>
      </c>
      <c r="G3" s="421" t="s">
        <v>1299</v>
      </c>
      <c r="H3" s="421" t="s">
        <v>1300</v>
      </c>
    </row>
    <row r="4" spans="1:8">
      <c r="A4" s="141" t="s">
        <v>886</v>
      </c>
      <c r="B4" s="420">
        <v>599</v>
      </c>
      <c r="C4" s="156">
        <v>479</v>
      </c>
      <c r="D4" s="421" t="s">
        <v>1301</v>
      </c>
      <c r="E4" s="421" t="s">
        <v>1302</v>
      </c>
      <c r="F4" s="422" t="s">
        <v>1303</v>
      </c>
      <c r="G4" s="156"/>
      <c r="H4" s="156"/>
    </row>
    <row r="5" spans="1:8">
      <c r="A5" s="141" t="s">
        <v>891</v>
      </c>
      <c r="B5" s="420">
        <v>2099</v>
      </c>
      <c r="C5" s="156">
        <v>1649</v>
      </c>
      <c r="D5" s="423" t="s">
        <v>1304</v>
      </c>
      <c r="E5" s="421" t="s">
        <v>1305</v>
      </c>
      <c r="F5" s="421" t="s">
        <v>1306</v>
      </c>
      <c r="G5" s="156"/>
      <c r="H5" s="156"/>
    </row>
  </sheetData>
  <hyperlinks>
    <hyperlink ref="D2" r:id="rId1" xr:uid="{00000000-0004-0000-1100-000000000000}"/>
    <hyperlink ref="E2" r:id="rId2" xr:uid="{00000000-0004-0000-1100-000001000000}"/>
    <hyperlink ref="D3" r:id="rId3" xr:uid="{00000000-0004-0000-1100-000002000000}"/>
    <hyperlink ref="E3" r:id="rId4" xr:uid="{00000000-0004-0000-1100-000003000000}"/>
    <hyperlink ref="F3" r:id="rId5" xr:uid="{00000000-0004-0000-1100-000004000000}"/>
    <hyperlink ref="G3" r:id="rId6" xr:uid="{00000000-0004-0000-1100-000005000000}"/>
    <hyperlink ref="H3" r:id="rId7" xr:uid="{00000000-0004-0000-1100-000006000000}"/>
    <hyperlink ref="D4" r:id="rId8" xr:uid="{00000000-0004-0000-1100-000007000000}"/>
    <hyperlink ref="E4" r:id="rId9" xr:uid="{00000000-0004-0000-1100-000008000000}"/>
    <hyperlink ref="F4" r:id="rId10" xr:uid="{00000000-0004-0000-1100-000009000000}"/>
    <hyperlink ref="D5" r:id="rId11" xr:uid="{00000000-0004-0000-1100-00000A000000}"/>
    <hyperlink ref="E5" r:id="rId12" xr:uid="{00000000-0004-0000-1100-00000B000000}"/>
    <hyperlink ref="F5" r:id="rId13" xr:uid="{00000000-0004-0000-1100-00000C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D943"/>
  <sheetViews>
    <sheetView topLeftCell="A16" workbookViewId="0">
      <selection activeCell="G25" sqref="G25"/>
    </sheetView>
  </sheetViews>
  <sheetFormatPr defaultColWidth="14.44140625" defaultRowHeight="15" customHeight="1"/>
  <cols>
    <col min="1" max="1" width="22.5546875" customWidth="1"/>
    <col min="2" max="2" width="7.5546875" customWidth="1"/>
    <col min="3" max="3" width="8.6640625" customWidth="1"/>
    <col min="4" max="4" width="9.44140625" customWidth="1"/>
    <col min="5" max="5" width="14.44140625" customWidth="1"/>
    <col min="6" max="6" width="12.33203125" customWidth="1"/>
    <col min="7" max="7" width="37" customWidth="1"/>
    <col min="8" max="8" width="9.6640625" hidden="1" customWidth="1"/>
    <col min="9" max="9" width="11.6640625" hidden="1" customWidth="1"/>
    <col min="10" max="14" width="8.6640625" hidden="1" customWidth="1"/>
    <col min="15" max="17" width="8.6640625" customWidth="1"/>
    <col min="18" max="19" width="10.33203125" customWidth="1"/>
    <col min="20" max="20" width="11.109375" customWidth="1"/>
    <col min="21" max="21" width="10.109375" customWidth="1"/>
    <col min="22" max="30" width="8.6640625" customWidth="1"/>
  </cols>
  <sheetData>
    <row r="1" spans="1:30" ht="43.2">
      <c r="A1" s="273"/>
      <c r="B1" s="273"/>
      <c r="C1" s="273"/>
      <c r="D1" s="269" t="s">
        <v>1</v>
      </c>
      <c r="E1" s="269" t="s">
        <v>4</v>
      </c>
      <c r="F1" s="272" t="s">
        <v>161</v>
      </c>
      <c r="G1" s="272" t="s">
        <v>6</v>
      </c>
      <c r="H1" s="272" t="s">
        <v>1307</v>
      </c>
      <c r="I1" s="272" t="s">
        <v>167</v>
      </c>
      <c r="J1" s="424" t="s">
        <v>17</v>
      </c>
      <c r="K1" s="424" t="s">
        <v>18</v>
      </c>
      <c r="L1" s="424" t="s">
        <v>19</v>
      </c>
      <c r="M1" s="272" t="s">
        <v>168</v>
      </c>
      <c r="N1" s="424" t="s">
        <v>169</v>
      </c>
      <c r="O1" s="272" t="s">
        <v>1308</v>
      </c>
      <c r="P1" s="424" t="s">
        <v>172</v>
      </c>
      <c r="Q1" s="424" t="s">
        <v>173</v>
      </c>
      <c r="R1" s="424" t="s">
        <v>1309</v>
      </c>
      <c r="S1" s="424" t="s">
        <v>174</v>
      </c>
      <c r="T1" s="424" t="s">
        <v>1310</v>
      </c>
      <c r="U1" s="424" t="s">
        <v>1311</v>
      </c>
      <c r="V1" s="424" t="s">
        <v>183</v>
      </c>
      <c r="W1" s="424" t="s">
        <v>960</v>
      </c>
      <c r="X1" s="424" t="s">
        <v>447</v>
      </c>
      <c r="Y1" s="424" t="s">
        <v>186</v>
      </c>
      <c r="Z1" s="425" t="s">
        <v>187</v>
      </c>
      <c r="AA1" s="426" t="s">
        <v>1312</v>
      </c>
      <c r="AB1" s="427" t="s">
        <v>1313</v>
      </c>
      <c r="AC1" s="424" t="s">
        <v>963</v>
      </c>
      <c r="AD1" s="424" t="s">
        <v>9</v>
      </c>
    </row>
    <row r="2" spans="1:30" ht="14.25" customHeight="1">
      <c r="A2" s="428" t="s">
        <v>239</v>
      </c>
      <c r="B2" s="429">
        <v>88</v>
      </c>
      <c r="C2" s="430"/>
      <c r="D2" s="428" t="s">
        <v>340</v>
      </c>
      <c r="E2" s="431" t="s">
        <v>341</v>
      </c>
      <c r="F2" s="430" t="s">
        <v>342</v>
      </c>
      <c r="G2" s="430" t="s">
        <v>343</v>
      </c>
      <c r="H2" s="428">
        <v>85098000</v>
      </c>
      <c r="I2" s="432"/>
      <c r="J2" s="433"/>
      <c r="K2" s="433"/>
      <c r="L2" s="433"/>
      <c r="M2" s="432"/>
      <c r="N2" s="432"/>
      <c r="O2" s="434">
        <v>1.48</v>
      </c>
      <c r="P2" s="435">
        <f t="shared" ref="P2:P6" si="0">O2*2%</f>
        <v>2.9600000000000001E-2</v>
      </c>
      <c r="Q2" s="435">
        <f t="shared" ref="Q2:Q3" si="1">(O2+P2)*(B$7+(B$7*B$11))</f>
        <v>0.33211200000000007</v>
      </c>
      <c r="R2" s="436">
        <v>234</v>
      </c>
      <c r="S2" s="436">
        <f t="shared" ref="S2:S12" si="2">R2*1.18</f>
        <v>276.12</v>
      </c>
      <c r="T2" s="437">
        <v>100</v>
      </c>
      <c r="U2" s="437" t="e">
        <f t="shared" ref="U2:U82" si="3">AA2*3%</f>
        <v>#N/A</v>
      </c>
      <c r="V2" s="437" t="e">
        <f t="shared" ref="V2:V15" si="4">AA2-(AA2/1.18)</f>
        <v>#N/A</v>
      </c>
      <c r="W2" s="437">
        <f t="shared" ref="W2:W82" si="5">S2*5%</f>
        <v>13.806000000000001</v>
      </c>
      <c r="X2" s="437">
        <f t="shared" ref="X2:X82" si="6">S2*3%</f>
        <v>8.2835999999999999</v>
      </c>
      <c r="Y2" s="437" t="e">
        <f t="shared" ref="Y2:Y82" si="7">AA2-R2-T2-U2-V2-W2-X2</f>
        <v>#N/A</v>
      </c>
      <c r="Z2" s="438" t="e">
        <f>Y2/AA2</f>
        <v>#N/A</v>
      </c>
      <c r="AA2" s="439" t="e">
        <f t="shared" ref="AA2:AA4" si="8">AB2/2</f>
        <v>#N/A</v>
      </c>
      <c r="AB2" s="440" t="e">
        <f>VLOOKUP(D2,Sheet25!A:B,2,0)</f>
        <v>#N/A</v>
      </c>
      <c r="AC2" s="441">
        <f>VLOOKUP(D2,Sheet6!O:P,2,0)</f>
        <v>299</v>
      </c>
      <c r="AD2" s="430">
        <v>699</v>
      </c>
    </row>
    <row r="3" spans="1:30" ht="14.25" customHeight="1">
      <c r="A3" s="428" t="s">
        <v>245</v>
      </c>
      <c r="B3" s="442">
        <v>2000</v>
      </c>
      <c r="C3" s="430"/>
      <c r="D3" s="428" t="s">
        <v>947</v>
      </c>
      <c r="E3" s="431" t="s">
        <v>938</v>
      </c>
      <c r="F3" s="430" t="s">
        <v>639</v>
      </c>
      <c r="G3" s="430" t="s">
        <v>641</v>
      </c>
      <c r="H3" s="428">
        <v>85098000</v>
      </c>
      <c r="I3" s="430"/>
      <c r="J3" s="430"/>
      <c r="K3" s="430"/>
      <c r="L3" s="430"/>
      <c r="M3" s="430"/>
      <c r="N3" s="443"/>
      <c r="O3" s="434">
        <v>21.5</v>
      </c>
      <c r="P3" s="435">
        <f t="shared" si="0"/>
        <v>0.43</v>
      </c>
      <c r="Q3" s="435">
        <f t="shared" si="1"/>
        <v>4.8246000000000002</v>
      </c>
      <c r="R3" s="436">
        <f t="shared" ref="R3:R12" si="9">(O3+P3+Q3)*B$2</f>
        <v>2354.4047999999998</v>
      </c>
      <c r="S3" s="436">
        <f t="shared" si="2"/>
        <v>2778.1976639999998</v>
      </c>
      <c r="T3" s="437">
        <v>100</v>
      </c>
      <c r="U3" s="437" t="e">
        <f t="shared" si="3"/>
        <v>#N/A</v>
      </c>
      <c r="V3" s="437" t="e">
        <f t="shared" si="4"/>
        <v>#N/A</v>
      </c>
      <c r="W3" s="437">
        <f t="shared" si="5"/>
        <v>138.9098832</v>
      </c>
      <c r="X3" s="437">
        <f t="shared" si="6"/>
        <v>83.345929919999989</v>
      </c>
      <c r="Y3" s="437" t="e">
        <f t="shared" si="7"/>
        <v>#N/A</v>
      </c>
      <c r="Z3" s="438" t="e">
        <f>Y3/SUM(AA3-V3)</f>
        <v>#N/A</v>
      </c>
      <c r="AA3" s="439" t="e">
        <f t="shared" si="8"/>
        <v>#N/A</v>
      </c>
      <c r="AB3" s="440" t="e">
        <f>VLOOKUP(D3,Sheet25!A:B,2,0)</f>
        <v>#N/A</v>
      </c>
      <c r="AC3" s="441">
        <f>VLOOKUP(D3,Sheet6!O:P,2,0)</f>
        <v>3499</v>
      </c>
      <c r="AD3" s="430">
        <v>7499</v>
      </c>
    </row>
    <row r="4" spans="1:30" ht="14.25" customHeight="1">
      <c r="A4" s="271" t="s">
        <v>252</v>
      </c>
      <c r="B4" s="271">
        <v>68</v>
      </c>
      <c r="C4" s="273"/>
      <c r="D4" s="271" t="s">
        <v>749</v>
      </c>
      <c r="E4" s="274" t="s">
        <v>750</v>
      </c>
      <c r="F4" s="273" t="s">
        <v>751</v>
      </c>
      <c r="G4" s="273" t="s">
        <v>752</v>
      </c>
      <c r="H4" s="271">
        <v>90191020</v>
      </c>
      <c r="I4" s="273"/>
      <c r="J4" s="273"/>
      <c r="K4" s="273"/>
      <c r="L4" s="273"/>
      <c r="M4" s="273"/>
      <c r="N4" s="273"/>
      <c r="O4" s="444">
        <v>8.65</v>
      </c>
      <c r="P4" s="445">
        <f t="shared" si="0"/>
        <v>0.17300000000000001</v>
      </c>
      <c r="Q4" s="445">
        <f>(O4+P4)*(B$8+(B$8*B$11))</f>
        <v>0.97053000000000023</v>
      </c>
      <c r="R4" s="446">
        <f t="shared" si="9"/>
        <v>861.83064000000002</v>
      </c>
      <c r="S4" s="446">
        <f t="shared" si="2"/>
        <v>1016.9601551999999</v>
      </c>
      <c r="T4" s="447">
        <v>100</v>
      </c>
      <c r="U4" s="447">
        <f t="shared" si="3"/>
        <v>24.63</v>
      </c>
      <c r="V4" s="447">
        <f t="shared" si="4"/>
        <v>125.23728813559319</v>
      </c>
      <c r="W4" s="447">
        <f t="shared" si="5"/>
        <v>50.848007760000002</v>
      </c>
      <c r="X4" s="447">
        <f t="shared" si="6"/>
        <v>30.508804655999995</v>
      </c>
      <c r="Y4" s="447">
        <f t="shared" si="7"/>
        <v>-372.05474055159317</v>
      </c>
      <c r="Z4" s="448">
        <f t="shared" ref="Z4:Z7" si="10">Y4/AA4</f>
        <v>-0.45317264379000388</v>
      </c>
      <c r="AA4" s="440">
        <f t="shared" si="8"/>
        <v>821</v>
      </c>
      <c r="AB4" s="440">
        <f>VLOOKUP(D4,Sheet25!A:B,2,0)</f>
        <v>1642</v>
      </c>
      <c r="AC4" s="449">
        <f>VLOOKUP(D4,Sheet6!O:P,2,0)</f>
        <v>1549</v>
      </c>
      <c r="AD4" s="273">
        <v>3399</v>
      </c>
    </row>
    <row r="5" spans="1:30" ht="14.25" customHeight="1">
      <c r="A5" s="271" t="s">
        <v>261</v>
      </c>
      <c r="B5" s="271">
        <v>40</v>
      </c>
      <c r="C5" s="273"/>
      <c r="D5" s="271" t="s">
        <v>668</v>
      </c>
      <c r="E5" s="274" t="s">
        <v>669</v>
      </c>
      <c r="F5" s="273" t="s">
        <v>670</v>
      </c>
      <c r="G5" s="273" t="s">
        <v>673</v>
      </c>
      <c r="H5" s="271">
        <v>85167100</v>
      </c>
      <c r="I5" s="273"/>
      <c r="J5" s="273"/>
      <c r="K5" s="273"/>
      <c r="L5" s="273"/>
      <c r="M5" s="273"/>
      <c r="N5" s="450"/>
      <c r="O5" s="444">
        <v>5.2</v>
      </c>
      <c r="P5" s="445">
        <f t="shared" si="0"/>
        <v>0.10400000000000001</v>
      </c>
      <c r="Q5" s="445">
        <f t="shared" ref="Q5:Q9" si="11">(O5+P5)*(B$7+(B$7*B$11))</f>
        <v>1.1668800000000001</v>
      </c>
      <c r="R5" s="446">
        <f t="shared" si="9"/>
        <v>569.43744000000004</v>
      </c>
      <c r="S5" s="446">
        <f t="shared" si="2"/>
        <v>671.93617919999997</v>
      </c>
      <c r="T5" s="447">
        <v>100</v>
      </c>
      <c r="U5" s="447">
        <f t="shared" si="3"/>
        <v>17.97</v>
      </c>
      <c r="V5" s="447">
        <f t="shared" si="4"/>
        <v>91.372881355932179</v>
      </c>
      <c r="W5" s="447">
        <f t="shared" si="5"/>
        <v>33.596808959999997</v>
      </c>
      <c r="X5" s="447">
        <f t="shared" si="6"/>
        <v>20.158085375999999</v>
      </c>
      <c r="Y5" s="447">
        <f t="shared" si="7"/>
        <v>-233.53521569193222</v>
      </c>
      <c r="Z5" s="448">
        <f t="shared" si="10"/>
        <v>-0.389875151405563</v>
      </c>
      <c r="AA5" s="440">
        <v>599</v>
      </c>
      <c r="AB5" s="440">
        <f>VLOOKUP(D5,Sheet25!A:B,2,0)</f>
        <v>1589</v>
      </c>
      <c r="AC5" s="449">
        <f>VLOOKUP(D5,Sheet6!O:P,2,0)</f>
        <v>1499</v>
      </c>
      <c r="AD5" s="273">
        <v>2699</v>
      </c>
    </row>
    <row r="6" spans="1:30" ht="14.25" customHeight="1">
      <c r="A6" s="428" t="s">
        <v>266</v>
      </c>
      <c r="B6" s="451">
        <v>0.25</v>
      </c>
      <c r="C6" s="430"/>
      <c r="D6" s="428" t="s">
        <v>529</v>
      </c>
      <c r="E6" s="433" t="s">
        <v>530</v>
      </c>
      <c r="F6" s="428" t="s">
        <v>531</v>
      </c>
      <c r="G6" s="428" t="s">
        <v>532</v>
      </c>
      <c r="H6" s="428">
        <v>85098000</v>
      </c>
      <c r="I6" s="432"/>
      <c r="J6" s="433"/>
      <c r="K6" s="433"/>
      <c r="L6" s="433"/>
      <c r="M6" s="432"/>
      <c r="N6" s="432"/>
      <c r="O6" s="434">
        <v>3.15</v>
      </c>
      <c r="P6" s="435">
        <f t="shared" si="0"/>
        <v>6.3E-2</v>
      </c>
      <c r="Q6" s="435">
        <f t="shared" si="11"/>
        <v>0.70686000000000015</v>
      </c>
      <c r="R6" s="436">
        <f t="shared" si="9"/>
        <v>344.94768000000005</v>
      </c>
      <c r="S6" s="436">
        <f t="shared" si="2"/>
        <v>407.03826240000001</v>
      </c>
      <c r="T6" s="437">
        <v>100</v>
      </c>
      <c r="U6" s="437">
        <f t="shared" si="3"/>
        <v>14.969999999999999</v>
      </c>
      <c r="V6" s="437">
        <f t="shared" si="4"/>
        <v>76.118644067796595</v>
      </c>
      <c r="W6" s="437">
        <f t="shared" si="5"/>
        <v>20.351913120000003</v>
      </c>
      <c r="X6" s="437">
        <f t="shared" si="6"/>
        <v>12.211147872</v>
      </c>
      <c r="Y6" s="437">
        <f t="shared" si="7"/>
        <v>-69.599385059796646</v>
      </c>
      <c r="Z6" s="438">
        <f t="shared" si="10"/>
        <v>-0.13947772557073476</v>
      </c>
      <c r="AA6" s="439">
        <v>499</v>
      </c>
      <c r="AB6" s="440" t="e">
        <f>VLOOKUP(D6,Sheet25!A:B,2,0)</f>
        <v>#N/A</v>
      </c>
      <c r="AC6" s="441">
        <f>VLOOKUP(D6,Sheet6!O:P,2,0)</f>
        <v>699</v>
      </c>
      <c r="AD6" s="430">
        <v>1499</v>
      </c>
    </row>
    <row r="7" spans="1:30" ht="14.25" customHeight="1">
      <c r="A7" s="428" t="s">
        <v>271</v>
      </c>
      <c r="B7" s="451">
        <v>0.2</v>
      </c>
      <c r="C7" s="430"/>
      <c r="D7" s="430" t="s">
        <v>324</v>
      </c>
      <c r="E7" s="431" t="s">
        <v>325</v>
      </c>
      <c r="F7" s="430" t="s">
        <v>326</v>
      </c>
      <c r="G7" s="430" t="s">
        <v>327</v>
      </c>
      <c r="H7" s="428">
        <v>85167990</v>
      </c>
      <c r="I7" s="432">
        <v>1.3</v>
      </c>
      <c r="J7" s="433">
        <v>29.2</v>
      </c>
      <c r="K7" s="433">
        <v>22.4</v>
      </c>
      <c r="L7" s="433">
        <v>13.6</v>
      </c>
      <c r="M7" s="432">
        <f>(J7*K7*L7)/1000000</f>
        <v>8.895488E-3</v>
      </c>
      <c r="N7" s="432">
        <f>(J7*K7*L7)/5000</f>
        <v>1.7790975999999998</v>
      </c>
      <c r="O7" s="434">
        <v>11.5</v>
      </c>
      <c r="P7" s="435">
        <f>B$3/(B$4/M7)</f>
        <v>0.26163200000000003</v>
      </c>
      <c r="Q7" s="435">
        <f t="shared" si="11"/>
        <v>2.5875590400000004</v>
      </c>
      <c r="R7" s="436">
        <f t="shared" si="9"/>
        <v>1262.7288115200001</v>
      </c>
      <c r="S7" s="436">
        <f t="shared" si="2"/>
        <v>1490.0199975936</v>
      </c>
      <c r="T7" s="437">
        <v>100</v>
      </c>
      <c r="U7" s="437" t="e">
        <f t="shared" si="3"/>
        <v>#N/A</v>
      </c>
      <c r="V7" s="437" t="e">
        <f t="shared" si="4"/>
        <v>#N/A</v>
      </c>
      <c r="W7" s="437">
        <f t="shared" si="5"/>
        <v>74.500999879680009</v>
      </c>
      <c r="X7" s="437">
        <f t="shared" si="6"/>
        <v>44.700599927808</v>
      </c>
      <c r="Y7" s="437" t="e">
        <f t="shared" si="7"/>
        <v>#N/A</v>
      </c>
      <c r="Z7" s="438" t="e">
        <f t="shared" si="10"/>
        <v>#N/A</v>
      </c>
      <c r="AA7" s="439" t="e">
        <f t="shared" ref="AA7:AA21" si="12">AB7/2</f>
        <v>#N/A</v>
      </c>
      <c r="AB7" s="440" t="e">
        <f>VLOOKUP(D7,Sheet25!A:B,2,0)</f>
        <v>#N/A</v>
      </c>
      <c r="AC7" s="441">
        <f>VLOOKUP(D7,Sheet6!O:P,2,0)</f>
        <v>2199</v>
      </c>
      <c r="AD7" s="430">
        <v>5999</v>
      </c>
    </row>
    <row r="8" spans="1:30" ht="14.25" customHeight="1">
      <c r="A8" s="271" t="s">
        <v>323</v>
      </c>
      <c r="B8" s="452">
        <v>0.1</v>
      </c>
      <c r="C8" s="273"/>
      <c r="D8" s="274" t="s">
        <v>504</v>
      </c>
      <c r="E8" s="276" t="s">
        <v>505</v>
      </c>
      <c r="F8" s="271" t="s">
        <v>506</v>
      </c>
      <c r="G8" s="271" t="s">
        <v>507</v>
      </c>
      <c r="H8" s="271">
        <v>85167990</v>
      </c>
      <c r="I8" s="453"/>
      <c r="J8" s="272"/>
      <c r="K8" s="272"/>
      <c r="L8" s="272"/>
      <c r="M8" s="453"/>
      <c r="N8" s="453"/>
      <c r="O8" s="444">
        <v>6.8</v>
      </c>
      <c r="P8" s="445">
        <f>O8*2%</f>
        <v>0.13600000000000001</v>
      </c>
      <c r="Q8" s="445">
        <f t="shared" si="11"/>
        <v>1.5259200000000002</v>
      </c>
      <c r="R8" s="446">
        <f t="shared" si="9"/>
        <v>744.64895999999999</v>
      </c>
      <c r="S8" s="446">
        <f t="shared" si="2"/>
        <v>878.6857728</v>
      </c>
      <c r="T8" s="447">
        <v>100</v>
      </c>
      <c r="U8" s="447">
        <f t="shared" si="3"/>
        <v>24.63</v>
      </c>
      <c r="V8" s="447">
        <f t="shared" si="4"/>
        <v>125.23728813559319</v>
      </c>
      <c r="W8" s="447">
        <f t="shared" si="5"/>
        <v>43.934288640000005</v>
      </c>
      <c r="X8" s="447">
        <f t="shared" si="6"/>
        <v>26.360573184</v>
      </c>
      <c r="Y8" s="447">
        <f t="shared" si="7"/>
        <v>-243.81110995959318</v>
      </c>
      <c r="Z8" s="448">
        <f>Y8/SUM(AA8-V8)</f>
        <v>-0.35042278897968326</v>
      </c>
      <c r="AA8" s="440">
        <f t="shared" si="12"/>
        <v>821</v>
      </c>
      <c r="AB8" s="440">
        <f>VLOOKUP(D8,Sheet25!A:B,2,0)</f>
        <v>1642</v>
      </c>
      <c r="AC8" s="449">
        <f>VLOOKUP(D8,Sheet6!O:P,2,0)</f>
        <v>1549</v>
      </c>
      <c r="AD8" s="271">
        <v>2999</v>
      </c>
    </row>
    <row r="9" spans="1:30" ht="14.25" customHeight="1">
      <c r="A9" s="430" t="s">
        <v>328</v>
      </c>
      <c r="B9" s="454">
        <v>7.4999999999999997E-2</v>
      </c>
      <c r="C9" s="430"/>
      <c r="D9" s="428" t="s">
        <v>231</v>
      </c>
      <c r="E9" s="433" t="s">
        <v>232</v>
      </c>
      <c r="F9" s="428" t="s">
        <v>233</v>
      </c>
      <c r="G9" s="428" t="s">
        <v>238</v>
      </c>
      <c r="H9" s="428">
        <v>85167990</v>
      </c>
      <c r="I9" s="432">
        <v>1.3</v>
      </c>
      <c r="J9" s="433">
        <v>29.2</v>
      </c>
      <c r="K9" s="433">
        <v>22.4</v>
      </c>
      <c r="L9" s="433">
        <v>13.6</v>
      </c>
      <c r="M9" s="432">
        <f>(J9*K9*L9)/1000000</f>
        <v>8.895488E-3</v>
      </c>
      <c r="N9" s="432">
        <f>(J9*K9*L9)/5000</f>
        <v>1.7790975999999998</v>
      </c>
      <c r="O9" s="434">
        <v>11.68</v>
      </c>
      <c r="P9" s="435">
        <f>B$3/(B$4/M9)</f>
        <v>0.26163200000000003</v>
      </c>
      <c r="Q9" s="435">
        <f t="shared" si="11"/>
        <v>2.6271590400000004</v>
      </c>
      <c r="R9" s="436">
        <f t="shared" si="9"/>
        <v>1282.05361152</v>
      </c>
      <c r="S9" s="436">
        <f t="shared" si="2"/>
        <v>1512.8232615935999</v>
      </c>
      <c r="T9" s="437">
        <v>100</v>
      </c>
      <c r="U9" s="437" t="e">
        <f t="shared" si="3"/>
        <v>#N/A</v>
      </c>
      <c r="V9" s="437" t="e">
        <f t="shared" si="4"/>
        <v>#N/A</v>
      </c>
      <c r="W9" s="437">
        <f t="shared" si="5"/>
        <v>75.641163079679998</v>
      </c>
      <c r="X9" s="437">
        <f t="shared" si="6"/>
        <v>45.384697847807999</v>
      </c>
      <c r="Y9" s="437" t="e">
        <f t="shared" si="7"/>
        <v>#N/A</v>
      </c>
      <c r="Z9" s="438" t="e">
        <f>Y9/AA9</f>
        <v>#N/A</v>
      </c>
      <c r="AA9" s="439" t="e">
        <f t="shared" si="12"/>
        <v>#N/A</v>
      </c>
      <c r="AB9" s="440" t="e">
        <f>VLOOKUP(D9,Sheet25!A:B,2,0)</f>
        <v>#N/A</v>
      </c>
      <c r="AC9" s="441">
        <f>VLOOKUP(D9,Sheet6!O:P,2,0)</f>
        <v>2299</v>
      </c>
      <c r="AD9" s="428">
        <v>5999</v>
      </c>
    </row>
    <row r="10" spans="1:30" ht="14.25" customHeight="1">
      <c r="A10" s="271" t="s">
        <v>334</v>
      </c>
      <c r="B10" s="452">
        <v>7.4999999999999997E-2</v>
      </c>
      <c r="C10" s="273"/>
      <c r="D10" s="271" t="s">
        <v>740</v>
      </c>
      <c r="E10" s="274" t="s">
        <v>741</v>
      </c>
      <c r="F10" s="273" t="s">
        <v>742</v>
      </c>
      <c r="G10" s="273" t="s">
        <v>743</v>
      </c>
      <c r="H10" s="271">
        <v>85098000</v>
      </c>
      <c r="I10" s="273"/>
      <c r="J10" s="273"/>
      <c r="K10" s="273"/>
      <c r="L10" s="273"/>
      <c r="M10" s="273"/>
      <c r="N10" s="273"/>
      <c r="O10" s="444">
        <v>9.9</v>
      </c>
      <c r="P10" s="445">
        <f t="shared" ref="P10:P12" si="13">O10*2%</f>
        <v>0.19800000000000001</v>
      </c>
      <c r="Q10" s="445">
        <f>(O10+P10)*(B$8+(B$8*B$11))</f>
        <v>1.1107800000000003</v>
      </c>
      <c r="R10" s="446">
        <f t="shared" si="9"/>
        <v>986.37264000000005</v>
      </c>
      <c r="S10" s="446">
        <f t="shared" si="2"/>
        <v>1163.9197151999999</v>
      </c>
      <c r="T10" s="447">
        <v>100</v>
      </c>
      <c r="U10" s="447">
        <f t="shared" si="3"/>
        <v>31.785</v>
      </c>
      <c r="V10" s="447">
        <f t="shared" si="4"/>
        <v>161.61864406779659</v>
      </c>
      <c r="W10" s="447">
        <f t="shared" si="5"/>
        <v>58.195985759999999</v>
      </c>
      <c r="X10" s="447">
        <f t="shared" si="6"/>
        <v>34.917591455999997</v>
      </c>
      <c r="Y10" s="447">
        <f t="shared" si="7"/>
        <v>-313.38986128379668</v>
      </c>
      <c r="Z10" s="448">
        <f>Y10/SUM(AA10-V10)</f>
        <v>-0.34903259680498355</v>
      </c>
      <c r="AA10" s="440">
        <f t="shared" si="12"/>
        <v>1059.5</v>
      </c>
      <c r="AB10" s="440">
        <f>VLOOKUP(D10,Sheet25!A:B,2,0)</f>
        <v>2119</v>
      </c>
      <c r="AC10" s="449">
        <f>VLOOKUP(D10,Sheet6!O:P,2,0)</f>
        <v>1999</v>
      </c>
      <c r="AD10" s="273">
        <v>4999</v>
      </c>
    </row>
    <row r="11" spans="1:30" ht="14.25" customHeight="1">
      <c r="A11" s="428" t="s">
        <v>339</v>
      </c>
      <c r="B11" s="451">
        <v>0.1</v>
      </c>
      <c r="C11" s="430"/>
      <c r="D11" s="274" t="s">
        <v>471</v>
      </c>
      <c r="E11" s="272" t="s">
        <v>472</v>
      </c>
      <c r="F11" s="271" t="s">
        <v>473</v>
      </c>
      <c r="G11" s="271" t="s">
        <v>474</v>
      </c>
      <c r="H11" s="273">
        <v>85163200</v>
      </c>
      <c r="I11" s="453"/>
      <c r="J11" s="272"/>
      <c r="K11" s="272"/>
      <c r="L11" s="272"/>
      <c r="M11" s="453"/>
      <c r="N11" s="453"/>
      <c r="O11" s="444">
        <v>2.87</v>
      </c>
      <c r="P11" s="445">
        <f t="shared" si="13"/>
        <v>5.7400000000000007E-2</v>
      </c>
      <c r="Q11" s="445">
        <f>(O11+P11)*(B$7+(B$7*B$11))</f>
        <v>0.64402800000000004</v>
      </c>
      <c r="R11" s="446">
        <f t="shared" si="9"/>
        <v>314.285664</v>
      </c>
      <c r="S11" s="446">
        <f t="shared" si="2"/>
        <v>370.85708352</v>
      </c>
      <c r="T11" s="447">
        <v>100</v>
      </c>
      <c r="U11" s="447" t="e">
        <f t="shared" si="3"/>
        <v>#N/A</v>
      </c>
      <c r="V11" s="447" t="e">
        <f t="shared" si="4"/>
        <v>#N/A</v>
      </c>
      <c r="W11" s="447">
        <f t="shared" si="5"/>
        <v>18.542854176000002</v>
      </c>
      <c r="X11" s="447">
        <f t="shared" si="6"/>
        <v>11.125712505599999</v>
      </c>
      <c r="Y11" s="447" t="e">
        <f t="shared" si="7"/>
        <v>#N/A</v>
      </c>
      <c r="Z11" s="455" t="e">
        <f t="shared" ref="Z11:Z13" si="14">Y11/AA11</f>
        <v>#N/A</v>
      </c>
      <c r="AA11" s="440" t="e">
        <f t="shared" si="12"/>
        <v>#N/A</v>
      </c>
      <c r="AB11" s="440" t="e">
        <f>VLOOKUP(D11,Sheet25!A:B,2,0)</f>
        <v>#N/A</v>
      </c>
      <c r="AC11" s="271">
        <v>699</v>
      </c>
      <c r="AD11" s="271">
        <v>1299</v>
      </c>
    </row>
    <row r="12" spans="1:30" ht="14.25" customHeight="1">
      <c r="A12" s="428" t="s">
        <v>417</v>
      </c>
      <c r="B12" s="451">
        <v>0.15</v>
      </c>
      <c r="C12" s="430"/>
      <c r="D12" s="273" t="s">
        <v>311</v>
      </c>
      <c r="E12" s="274" t="s">
        <v>312</v>
      </c>
      <c r="F12" s="273" t="s">
        <v>313</v>
      </c>
      <c r="G12" s="273" t="s">
        <v>318</v>
      </c>
      <c r="H12" s="273">
        <v>84244900</v>
      </c>
      <c r="I12" s="273">
        <v>0.38</v>
      </c>
      <c r="J12" s="273">
        <v>23.5</v>
      </c>
      <c r="K12" s="273">
        <v>8.6999999999999993</v>
      </c>
      <c r="L12" s="273">
        <v>7.5</v>
      </c>
      <c r="M12" s="456">
        <f>(J12*K12*L12)/1000000</f>
        <v>1.533375E-3</v>
      </c>
      <c r="N12" s="453">
        <f>(J12*K12*L12)/5000</f>
        <v>0.30667499999999998</v>
      </c>
      <c r="O12" s="444">
        <v>9.17</v>
      </c>
      <c r="P12" s="445">
        <f t="shared" si="13"/>
        <v>0.18340000000000001</v>
      </c>
      <c r="Q12" s="445">
        <f>(O12+P12)*(B$9+(B$9*B$11))</f>
        <v>0.77165549999999994</v>
      </c>
      <c r="R12" s="446">
        <f t="shared" si="9"/>
        <v>891.00488400000006</v>
      </c>
      <c r="S12" s="446">
        <f t="shared" si="2"/>
        <v>1051.3857631200001</v>
      </c>
      <c r="T12" s="447">
        <v>100</v>
      </c>
      <c r="U12" s="447" t="e">
        <f t="shared" si="3"/>
        <v>#N/A</v>
      </c>
      <c r="V12" s="447" t="e">
        <f t="shared" si="4"/>
        <v>#N/A</v>
      </c>
      <c r="W12" s="447">
        <f t="shared" si="5"/>
        <v>52.569288156000006</v>
      </c>
      <c r="X12" s="447">
        <f t="shared" si="6"/>
        <v>31.541572893600001</v>
      </c>
      <c r="Y12" s="447" t="e">
        <f t="shared" si="7"/>
        <v>#N/A</v>
      </c>
      <c r="Z12" s="455" t="e">
        <f t="shared" si="14"/>
        <v>#N/A</v>
      </c>
      <c r="AA12" s="440" t="e">
        <f t="shared" si="12"/>
        <v>#N/A</v>
      </c>
      <c r="AB12" s="440" t="e">
        <f>VLOOKUP(D12,Sheet25!A:B,2,0)</f>
        <v>#N/A</v>
      </c>
      <c r="AC12" s="449">
        <f>VLOOKUP(D12,Sheet6!O:P,2,0)</f>
        <v>1699</v>
      </c>
      <c r="AD12" s="273">
        <v>3599</v>
      </c>
    </row>
    <row r="13" spans="1:30" ht="14.25" customHeight="1">
      <c r="A13" s="271" t="s">
        <v>423</v>
      </c>
      <c r="B13" s="452">
        <v>0.1</v>
      </c>
      <c r="C13" s="273"/>
      <c r="D13" s="271" t="s">
        <v>603</v>
      </c>
      <c r="E13" s="274" t="s">
        <v>604</v>
      </c>
      <c r="F13" s="273" t="s">
        <v>605</v>
      </c>
      <c r="G13" s="271" t="s">
        <v>249</v>
      </c>
      <c r="H13" s="271">
        <v>85098000</v>
      </c>
      <c r="I13" s="273"/>
      <c r="J13" s="273" t="s">
        <v>606</v>
      </c>
      <c r="K13" s="273" t="s">
        <v>607</v>
      </c>
      <c r="L13" s="271">
        <v>85098000</v>
      </c>
      <c r="M13" s="273"/>
      <c r="N13" s="273"/>
      <c r="O13" s="444"/>
      <c r="P13" s="445"/>
      <c r="Q13" s="445"/>
      <c r="R13" s="446">
        <v>1263.0999999999999</v>
      </c>
      <c r="S13" s="446">
        <v>1490.4</v>
      </c>
      <c r="T13" s="447">
        <v>100</v>
      </c>
      <c r="U13" s="447">
        <f t="shared" si="3"/>
        <v>39.734999999999999</v>
      </c>
      <c r="V13" s="447">
        <f t="shared" si="4"/>
        <v>202.04237288135596</v>
      </c>
      <c r="W13" s="447">
        <f t="shared" si="5"/>
        <v>74.52000000000001</v>
      </c>
      <c r="X13" s="447">
        <f t="shared" si="6"/>
        <v>44.712000000000003</v>
      </c>
      <c r="Y13" s="447">
        <f t="shared" si="7"/>
        <v>-399.60937288135585</v>
      </c>
      <c r="Z13" s="448">
        <f t="shared" si="14"/>
        <v>-0.30170583079000063</v>
      </c>
      <c r="AA13" s="440">
        <f t="shared" si="12"/>
        <v>1324.5</v>
      </c>
      <c r="AB13" s="440">
        <f>VLOOKUP(D13,Sheet25!A:B,2,0)</f>
        <v>2649</v>
      </c>
      <c r="AC13" s="449">
        <f>VLOOKUP(D13,Sheet6!O:P,2,0)</f>
        <v>2499</v>
      </c>
      <c r="AD13" s="273">
        <v>4999</v>
      </c>
    </row>
    <row r="14" spans="1:30" ht="14.25" customHeight="1">
      <c r="A14" s="271" t="s">
        <v>179</v>
      </c>
      <c r="B14" s="452">
        <v>0.1</v>
      </c>
      <c r="C14" s="273"/>
      <c r="D14" s="271" t="s">
        <v>779</v>
      </c>
      <c r="E14" s="274" t="s">
        <v>780</v>
      </c>
      <c r="F14" s="273" t="s">
        <v>781</v>
      </c>
      <c r="G14" s="273" t="s">
        <v>782</v>
      </c>
      <c r="H14" s="271">
        <v>85086000</v>
      </c>
      <c r="I14" s="273"/>
      <c r="J14" s="273"/>
      <c r="K14" s="273"/>
      <c r="L14" s="273"/>
      <c r="M14" s="273"/>
      <c r="N14" s="273"/>
      <c r="O14" s="444">
        <v>7.4</v>
      </c>
      <c r="P14" s="445">
        <f t="shared" ref="P14:P18" si="15">O14*2%</f>
        <v>0.14800000000000002</v>
      </c>
      <c r="Q14" s="445">
        <f t="shared" ref="Q14:Q17" si="16">(O14+P14)*(B$8+(B$8*B$11))</f>
        <v>0.83028000000000013</v>
      </c>
      <c r="R14" s="446">
        <f t="shared" ref="R14:R18" si="17">(O14+P14+Q14)*B$2</f>
        <v>737.28863999999999</v>
      </c>
      <c r="S14" s="446">
        <f t="shared" ref="S14:S15" si="18">R14*1.18</f>
        <v>870.00059519999991</v>
      </c>
      <c r="T14" s="447">
        <v>100</v>
      </c>
      <c r="U14" s="447">
        <f t="shared" si="3"/>
        <v>25.425000000000001</v>
      </c>
      <c r="V14" s="447">
        <f t="shared" si="4"/>
        <v>129.27966101694915</v>
      </c>
      <c r="W14" s="447">
        <f t="shared" si="5"/>
        <v>43.500029759999997</v>
      </c>
      <c r="X14" s="447">
        <f t="shared" si="6"/>
        <v>26.100017855999997</v>
      </c>
      <c r="Y14" s="447">
        <f t="shared" si="7"/>
        <v>-214.09334863294913</v>
      </c>
      <c r="Z14" s="448">
        <f>Y14/SUM(AA14-V14)</f>
        <v>-0.29808867420280821</v>
      </c>
      <c r="AA14" s="440">
        <f t="shared" si="12"/>
        <v>847.5</v>
      </c>
      <c r="AB14" s="440">
        <f>VLOOKUP(D14,Sheet25!A:B,2,0)</f>
        <v>1695</v>
      </c>
      <c r="AC14" s="449">
        <f>VLOOKUP(D14,Sheet6!O:P,2,0)</f>
        <v>1599</v>
      </c>
      <c r="AD14" s="273">
        <v>3699</v>
      </c>
    </row>
    <row r="15" spans="1:30" ht="14.25" customHeight="1">
      <c r="A15" s="271" t="s">
        <v>433</v>
      </c>
      <c r="B15" s="452">
        <v>0.05</v>
      </c>
      <c r="C15" s="273"/>
      <c r="D15" s="271" t="s">
        <v>434</v>
      </c>
      <c r="E15" s="274" t="s">
        <v>435</v>
      </c>
      <c r="F15" s="271" t="s">
        <v>436</v>
      </c>
      <c r="G15" s="271" t="s">
        <v>439</v>
      </c>
      <c r="H15" s="271">
        <v>82142090</v>
      </c>
      <c r="I15" s="453"/>
      <c r="J15" s="272"/>
      <c r="K15" s="272"/>
      <c r="L15" s="272"/>
      <c r="M15" s="453"/>
      <c r="N15" s="453"/>
      <c r="O15" s="444">
        <v>4.4800000000000004</v>
      </c>
      <c r="P15" s="445">
        <f t="shared" si="15"/>
        <v>8.9600000000000013E-2</v>
      </c>
      <c r="Q15" s="445">
        <f t="shared" si="16"/>
        <v>0.5026560000000001</v>
      </c>
      <c r="R15" s="446">
        <f t="shared" si="17"/>
        <v>446.35852800000004</v>
      </c>
      <c r="S15" s="446">
        <f t="shared" si="18"/>
        <v>526.70306303999996</v>
      </c>
      <c r="T15" s="447">
        <v>100</v>
      </c>
      <c r="U15" s="447">
        <f t="shared" si="3"/>
        <v>15.885</v>
      </c>
      <c r="V15" s="447">
        <f t="shared" si="4"/>
        <v>80.771186440677923</v>
      </c>
      <c r="W15" s="447">
        <f t="shared" si="5"/>
        <v>26.335153152</v>
      </c>
      <c r="X15" s="447">
        <f t="shared" si="6"/>
        <v>15.801091891199999</v>
      </c>
      <c r="Y15" s="447">
        <f t="shared" si="7"/>
        <v>-155.65095948387795</v>
      </c>
      <c r="Z15" s="448">
        <f t="shared" ref="Z15:Z16" si="19">Y15/AA15</f>
        <v>-0.29395837485151644</v>
      </c>
      <c r="AA15" s="440">
        <f t="shared" si="12"/>
        <v>529.5</v>
      </c>
      <c r="AB15" s="440">
        <f>VLOOKUP(D15,Sheet25!A:B,2,0)</f>
        <v>1059</v>
      </c>
      <c r="AC15" s="449">
        <f>VLOOKUP(D15,Sheet6!O:P,2,0)</f>
        <v>999</v>
      </c>
      <c r="AD15" s="271">
        <v>1999</v>
      </c>
    </row>
    <row r="16" spans="1:30" ht="14.25" customHeight="1">
      <c r="A16" s="430" t="s">
        <v>440</v>
      </c>
      <c r="B16" s="457">
        <v>0.05</v>
      </c>
      <c r="C16" s="430"/>
      <c r="D16" s="431" t="s">
        <v>512</v>
      </c>
      <c r="E16" s="433" t="s">
        <v>513</v>
      </c>
      <c r="F16" s="428" t="s">
        <v>514</v>
      </c>
      <c r="G16" s="428" t="s">
        <v>516</v>
      </c>
      <c r="H16" s="428">
        <v>90191020</v>
      </c>
      <c r="I16" s="432"/>
      <c r="J16" s="433"/>
      <c r="K16" s="433"/>
      <c r="L16" s="433"/>
      <c r="M16" s="432"/>
      <c r="N16" s="432"/>
      <c r="O16" s="434">
        <v>4.95</v>
      </c>
      <c r="P16" s="435">
        <f t="shared" si="15"/>
        <v>9.9000000000000005E-2</v>
      </c>
      <c r="Q16" s="435">
        <f t="shared" si="16"/>
        <v>0.55539000000000016</v>
      </c>
      <c r="R16" s="436">
        <f t="shared" si="17"/>
        <v>493.18632000000002</v>
      </c>
      <c r="S16" s="436">
        <f>R16*1.12</f>
        <v>552.36867840000014</v>
      </c>
      <c r="T16" s="437">
        <v>100</v>
      </c>
      <c r="U16" s="437" t="e">
        <f t="shared" si="3"/>
        <v>#N/A</v>
      </c>
      <c r="V16" s="437" t="e">
        <f>AA16-(AA16/1.12)</f>
        <v>#N/A</v>
      </c>
      <c r="W16" s="437">
        <f t="shared" si="5"/>
        <v>27.618433920000008</v>
      </c>
      <c r="X16" s="437">
        <f t="shared" si="6"/>
        <v>16.571060352000003</v>
      </c>
      <c r="Y16" s="437" t="e">
        <f t="shared" si="7"/>
        <v>#N/A</v>
      </c>
      <c r="Z16" s="438" t="e">
        <f t="shared" si="19"/>
        <v>#N/A</v>
      </c>
      <c r="AA16" s="439" t="e">
        <f t="shared" si="12"/>
        <v>#N/A</v>
      </c>
      <c r="AB16" s="440" t="e">
        <f>VLOOKUP(D16,Sheet25!A:B,2,0)</f>
        <v>#N/A</v>
      </c>
      <c r="AC16" s="441">
        <f>VLOOKUP(D16,Sheet6!O:P,2,0)</f>
        <v>999</v>
      </c>
      <c r="AD16" s="428">
        <v>2099</v>
      </c>
    </row>
    <row r="17" spans="1:30" ht="14.25" customHeight="1">
      <c r="A17" s="430" t="s">
        <v>447</v>
      </c>
      <c r="B17" s="457">
        <v>0.03</v>
      </c>
      <c r="C17" s="430"/>
      <c r="D17" s="271" t="s">
        <v>599</v>
      </c>
      <c r="E17" s="274" t="s">
        <v>600</v>
      </c>
      <c r="F17" s="273" t="s">
        <v>601</v>
      </c>
      <c r="G17" s="273" t="s">
        <v>602</v>
      </c>
      <c r="H17" s="271">
        <v>85086000</v>
      </c>
      <c r="I17" s="273"/>
      <c r="J17" s="273"/>
      <c r="K17" s="273"/>
      <c r="L17" s="273"/>
      <c r="M17" s="273"/>
      <c r="N17" s="273"/>
      <c r="O17" s="444">
        <v>8.6999999999999993</v>
      </c>
      <c r="P17" s="445">
        <f t="shared" si="15"/>
        <v>0.17399999999999999</v>
      </c>
      <c r="Q17" s="445">
        <f t="shared" si="16"/>
        <v>0.97614000000000001</v>
      </c>
      <c r="R17" s="446">
        <f t="shared" si="17"/>
        <v>866.81232</v>
      </c>
      <c r="S17" s="446">
        <f t="shared" ref="S17:S18" si="20">R17*1.18</f>
        <v>1022.8385376</v>
      </c>
      <c r="T17" s="447">
        <v>100</v>
      </c>
      <c r="U17" s="447" t="e">
        <f t="shared" si="3"/>
        <v>#N/A</v>
      </c>
      <c r="V17" s="447" t="e">
        <f t="shared" ref="V17:V21" si="21">AA17-(AA17/1.18)</f>
        <v>#N/A</v>
      </c>
      <c r="W17" s="447">
        <f t="shared" si="5"/>
        <v>51.14192688</v>
      </c>
      <c r="X17" s="447">
        <f t="shared" si="6"/>
        <v>30.685156127999999</v>
      </c>
      <c r="Y17" s="447" t="e">
        <f t="shared" si="7"/>
        <v>#N/A</v>
      </c>
      <c r="Z17" s="455" t="e">
        <f>Y17/SUM(AA17-V17)</f>
        <v>#N/A</v>
      </c>
      <c r="AA17" s="440" t="e">
        <f t="shared" si="12"/>
        <v>#N/A</v>
      </c>
      <c r="AB17" s="440" t="e">
        <f>VLOOKUP(D17,Sheet25!A:B,2,0)</f>
        <v>#N/A</v>
      </c>
      <c r="AC17" s="449">
        <f>VLOOKUP(D17,Sheet6!O:P,2,0)</f>
        <v>1799</v>
      </c>
      <c r="AD17" s="273">
        <v>3699</v>
      </c>
    </row>
    <row r="18" spans="1:30" ht="14.25" customHeight="1">
      <c r="A18" s="273" t="s">
        <v>453</v>
      </c>
      <c r="B18" s="458">
        <v>0.01</v>
      </c>
      <c r="C18" s="273"/>
      <c r="D18" s="271" t="s">
        <v>688</v>
      </c>
      <c r="E18" s="274" t="s">
        <v>689</v>
      </c>
      <c r="F18" s="273" t="s">
        <v>690</v>
      </c>
      <c r="G18" s="273" t="s">
        <v>691</v>
      </c>
      <c r="H18" s="271">
        <v>85167990</v>
      </c>
      <c r="I18" s="273"/>
      <c r="J18" s="273"/>
      <c r="K18" s="273"/>
      <c r="L18" s="273"/>
      <c r="M18" s="273"/>
      <c r="N18" s="450"/>
      <c r="O18" s="444">
        <v>7.25</v>
      </c>
      <c r="P18" s="445">
        <f t="shared" si="15"/>
        <v>0.14499999999999999</v>
      </c>
      <c r="Q18" s="445">
        <f>(O18+P18)*(B$7+(B$7*B$11))</f>
        <v>1.6269</v>
      </c>
      <c r="R18" s="446">
        <f t="shared" si="17"/>
        <v>793.92719999999986</v>
      </c>
      <c r="S18" s="446">
        <f t="shared" si="20"/>
        <v>936.83409599999982</v>
      </c>
      <c r="T18" s="447">
        <v>100</v>
      </c>
      <c r="U18" s="447">
        <f t="shared" si="3"/>
        <v>26.234999999999999</v>
      </c>
      <c r="V18" s="447">
        <f t="shared" si="21"/>
        <v>133.39830508474574</v>
      </c>
      <c r="W18" s="447">
        <f t="shared" si="5"/>
        <v>46.841704799999995</v>
      </c>
      <c r="X18" s="447">
        <f t="shared" si="6"/>
        <v>28.105022879999993</v>
      </c>
      <c r="Y18" s="447">
        <f t="shared" si="7"/>
        <v>-254.00723276474559</v>
      </c>
      <c r="Z18" s="448">
        <f t="shared" ref="Z18:Z24" si="22">Y18/AA18</f>
        <v>-0.29045995742109271</v>
      </c>
      <c r="AA18" s="440">
        <f t="shared" si="12"/>
        <v>874.5</v>
      </c>
      <c r="AB18" s="440">
        <f>VLOOKUP(D18,Sheet25!A:B,2,0)</f>
        <v>1749</v>
      </c>
      <c r="AC18" s="271">
        <v>1499</v>
      </c>
      <c r="AD18" s="273">
        <v>2799</v>
      </c>
    </row>
    <row r="19" spans="1:30" ht="14.25" customHeight="1">
      <c r="A19" s="271" t="s">
        <v>461</v>
      </c>
      <c r="B19" s="458">
        <v>0.2</v>
      </c>
      <c r="C19" s="273"/>
      <c r="D19" s="274" t="s">
        <v>543</v>
      </c>
      <c r="E19" s="272" t="s">
        <v>544</v>
      </c>
      <c r="F19" s="271" t="s">
        <v>545</v>
      </c>
      <c r="G19" s="271" t="s">
        <v>547</v>
      </c>
      <c r="H19" s="271">
        <v>90191020</v>
      </c>
      <c r="I19" s="273"/>
      <c r="J19" s="273"/>
      <c r="K19" s="273"/>
      <c r="L19" s="273"/>
      <c r="M19" s="273"/>
      <c r="N19" s="273"/>
      <c r="O19" s="273"/>
      <c r="P19" s="273"/>
      <c r="Q19" s="273"/>
      <c r="R19" s="446">
        <v>594.4</v>
      </c>
      <c r="S19" s="446">
        <v>701.4</v>
      </c>
      <c r="T19" s="447">
        <v>100</v>
      </c>
      <c r="U19" s="447">
        <f t="shared" si="3"/>
        <v>20.654999999999998</v>
      </c>
      <c r="V19" s="447">
        <f t="shared" si="21"/>
        <v>105.02542372881351</v>
      </c>
      <c r="W19" s="447">
        <f t="shared" si="5"/>
        <v>35.07</v>
      </c>
      <c r="X19" s="447">
        <f t="shared" si="6"/>
        <v>21.041999999999998</v>
      </c>
      <c r="Y19" s="447">
        <f t="shared" si="7"/>
        <v>-187.69242372881348</v>
      </c>
      <c r="Z19" s="448">
        <f t="shared" si="22"/>
        <v>-0.27261063722412998</v>
      </c>
      <c r="AA19" s="440">
        <f t="shared" si="12"/>
        <v>688.5</v>
      </c>
      <c r="AB19" s="440">
        <f>VLOOKUP(D19,Sheet25!A:B,2,0)</f>
        <v>1377</v>
      </c>
      <c r="AC19" s="449">
        <f>VLOOKUP(D19,Sheet6!O:P,2,0)</f>
        <v>1299</v>
      </c>
      <c r="AD19" s="271">
        <v>6499</v>
      </c>
    </row>
    <row r="20" spans="1:30" ht="14.25" customHeight="1">
      <c r="A20" s="273" t="s">
        <v>467</v>
      </c>
      <c r="B20" s="458">
        <v>0.15</v>
      </c>
      <c r="C20" s="273"/>
      <c r="D20" s="271" t="s">
        <v>570</v>
      </c>
      <c r="E20" s="274" t="s">
        <v>571</v>
      </c>
      <c r="F20" s="273" t="s">
        <v>572</v>
      </c>
      <c r="G20" s="273" t="s">
        <v>574</v>
      </c>
      <c r="H20" s="271">
        <v>85437093</v>
      </c>
      <c r="I20" s="273"/>
      <c r="J20" s="273"/>
      <c r="K20" s="273"/>
      <c r="L20" s="273"/>
      <c r="M20" s="273"/>
      <c r="N20" s="273"/>
      <c r="O20" s="444">
        <v>6.7</v>
      </c>
      <c r="P20" s="445">
        <f t="shared" ref="P20:P21" si="23">O20*2%</f>
        <v>0.13400000000000001</v>
      </c>
      <c r="Q20" s="445">
        <f t="shared" ref="Q20:Q21" si="24">(O20+P20)*(B$7+(B$7*B$11))</f>
        <v>1.5034800000000004</v>
      </c>
      <c r="R20" s="446">
        <f t="shared" ref="R20:R25" si="25">(O20+P20+Q20)*B$2</f>
        <v>733.69824000000006</v>
      </c>
      <c r="S20" s="446">
        <f t="shared" ref="S20:S21" si="26">R20*1.18</f>
        <v>865.76392320000002</v>
      </c>
      <c r="T20" s="447">
        <v>100</v>
      </c>
      <c r="U20" s="447">
        <f t="shared" si="3"/>
        <v>25.425000000000001</v>
      </c>
      <c r="V20" s="447">
        <f t="shared" si="21"/>
        <v>129.27966101694915</v>
      </c>
      <c r="W20" s="447">
        <f t="shared" si="5"/>
        <v>43.288196160000005</v>
      </c>
      <c r="X20" s="447">
        <f t="shared" si="6"/>
        <v>25.972917696</v>
      </c>
      <c r="Y20" s="447">
        <f t="shared" si="7"/>
        <v>-210.16401487294922</v>
      </c>
      <c r="Z20" s="448">
        <f t="shared" si="22"/>
        <v>-0.24798113849315542</v>
      </c>
      <c r="AA20" s="440">
        <f t="shared" si="12"/>
        <v>847.5</v>
      </c>
      <c r="AB20" s="440">
        <f>VLOOKUP(D20,Sheet25!A:B,2,0)</f>
        <v>1695</v>
      </c>
      <c r="AC20" s="449">
        <f>VLOOKUP(D20,Sheet6!O:P,2,0)</f>
        <v>1599</v>
      </c>
      <c r="AD20" s="273">
        <v>2499</v>
      </c>
    </row>
    <row r="21" spans="1:30" ht="14.25" customHeight="1">
      <c r="A21" s="430"/>
      <c r="B21" s="430"/>
      <c r="C21" s="430"/>
      <c r="D21" s="428" t="s">
        <v>525</v>
      </c>
      <c r="E21" s="433" t="s">
        <v>526</v>
      </c>
      <c r="F21" s="428" t="s">
        <v>527</v>
      </c>
      <c r="G21" s="428" t="s">
        <v>528</v>
      </c>
      <c r="H21" s="428">
        <v>85098000</v>
      </c>
      <c r="I21" s="432"/>
      <c r="J21" s="433"/>
      <c r="K21" s="433"/>
      <c r="L21" s="433"/>
      <c r="M21" s="432"/>
      <c r="N21" s="432"/>
      <c r="O21" s="434">
        <v>3.15</v>
      </c>
      <c r="P21" s="435">
        <f t="shared" si="23"/>
        <v>6.3E-2</v>
      </c>
      <c r="Q21" s="435">
        <f t="shared" si="24"/>
        <v>0.70686000000000015</v>
      </c>
      <c r="R21" s="436">
        <f t="shared" si="25"/>
        <v>344.94768000000005</v>
      </c>
      <c r="S21" s="436">
        <f t="shared" si="26"/>
        <v>407.03826240000001</v>
      </c>
      <c r="T21" s="437">
        <v>100</v>
      </c>
      <c r="U21" s="437" t="e">
        <f t="shared" si="3"/>
        <v>#N/A</v>
      </c>
      <c r="V21" s="437" t="e">
        <f t="shared" si="21"/>
        <v>#N/A</v>
      </c>
      <c r="W21" s="437">
        <f t="shared" si="5"/>
        <v>20.351913120000003</v>
      </c>
      <c r="X21" s="437">
        <f t="shared" si="6"/>
        <v>12.211147872</v>
      </c>
      <c r="Y21" s="437" t="e">
        <f t="shared" si="7"/>
        <v>#N/A</v>
      </c>
      <c r="Z21" s="438" t="e">
        <f t="shared" si="22"/>
        <v>#N/A</v>
      </c>
      <c r="AA21" s="439" t="e">
        <f t="shared" si="12"/>
        <v>#N/A</v>
      </c>
      <c r="AB21" s="440" t="e">
        <f>VLOOKUP(D21,Sheet25!A:B,2,0)</f>
        <v>#N/A</v>
      </c>
      <c r="AC21" s="441">
        <f>VLOOKUP(D21,Sheet6!O:P,2,0)</f>
        <v>799</v>
      </c>
      <c r="AD21" s="430">
        <v>1499</v>
      </c>
    </row>
    <row r="22" spans="1:30" ht="14.25" customHeight="1">
      <c r="A22" s="273"/>
      <c r="B22" s="273"/>
      <c r="C22" s="273"/>
      <c r="D22" s="271" t="s">
        <v>253</v>
      </c>
      <c r="E22" s="272" t="s">
        <v>254</v>
      </c>
      <c r="F22" s="271" t="s">
        <v>255</v>
      </c>
      <c r="G22" s="271" t="s">
        <v>259</v>
      </c>
      <c r="H22" s="271">
        <v>94043090</v>
      </c>
      <c r="I22" s="453">
        <v>0.3</v>
      </c>
      <c r="J22" s="272">
        <v>21.6</v>
      </c>
      <c r="K22" s="272">
        <v>16.600000000000001</v>
      </c>
      <c r="L22" s="272">
        <v>13.9</v>
      </c>
      <c r="M22" s="453">
        <f t="shared" ref="M22:M24" si="27">(J22*K22*L22)/1000000</f>
        <v>4.9839840000000012E-3</v>
      </c>
      <c r="N22" s="453">
        <f t="shared" ref="N22:N24" si="28">(J22*K22*L22)/5000</f>
        <v>0.99679680000000026</v>
      </c>
      <c r="O22" s="444">
        <v>2.95</v>
      </c>
      <c r="P22" s="445">
        <f t="shared" ref="P22:P24" si="29">B$3/(B$4/M22)</f>
        <v>0.14658776470588239</v>
      </c>
      <c r="Q22" s="445">
        <f t="shared" ref="Q22:Q24" si="30">(O22+P22)*(B$6+(B$6*B$11))</f>
        <v>0.85156163529411777</v>
      </c>
      <c r="R22" s="446">
        <f t="shared" si="25"/>
        <v>347.43714720000003</v>
      </c>
      <c r="S22" s="446">
        <f t="shared" ref="S22:S24" si="31">R22*1.12</f>
        <v>389.12960486400004</v>
      </c>
      <c r="T22" s="447">
        <v>60</v>
      </c>
      <c r="U22" s="447">
        <f t="shared" si="3"/>
        <v>11.969999999999999</v>
      </c>
      <c r="V22" s="447">
        <f t="shared" ref="V22:V24" si="32">AA22-(AA22/1.12)</f>
        <v>42.750000000000057</v>
      </c>
      <c r="W22" s="447">
        <f t="shared" si="5"/>
        <v>19.456480243200005</v>
      </c>
      <c r="X22" s="447">
        <f t="shared" si="6"/>
        <v>11.673888145920001</v>
      </c>
      <c r="Y22" s="447">
        <f t="shared" si="7"/>
        <v>-94.28751558912009</v>
      </c>
      <c r="Z22" s="448">
        <f t="shared" si="22"/>
        <v>-0.23630956288000024</v>
      </c>
      <c r="AA22" s="440">
        <v>399</v>
      </c>
      <c r="AB22" s="440">
        <f>VLOOKUP(D22,Sheet25!A:B,2,0)</f>
        <v>799</v>
      </c>
      <c r="AC22" s="449">
        <f>VLOOKUP(D22,Sheet6!O:P,2,0)</f>
        <v>699</v>
      </c>
      <c r="AD22" s="271">
        <v>1999</v>
      </c>
    </row>
    <row r="23" spans="1:30" ht="14.25" customHeight="1">
      <c r="A23" s="273"/>
      <c r="B23" s="273"/>
      <c r="C23" s="273"/>
      <c r="D23" s="271" t="s">
        <v>262</v>
      </c>
      <c r="E23" s="272" t="s">
        <v>263</v>
      </c>
      <c r="F23" s="271" t="s">
        <v>264</v>
      </c>
      <c r="G23" s="271" t="s">
        <v>265</v>
      </c>
      <c r="H23" s="271">
        <v>94043090</v>
      </c>
      <c r="I23" s="453">
        <v>0.3</v>
      </c>
      <c r="J23" s="272">
        <v>21.6</v>
      </c>
      <c r="K23" s="272">
        <v>16.600000000000001</v>
      </c>
      <c r="L23" s="272">
        <v>13.9</v>
      </c>
      <c r="M23" s="453">
        <f t="shared" si="27"/>
        <v>4.9839840000000012E-3</v>
      </c>
      <c r="N23" s="453">
        <f t="shared" si="28"/>
        <v>0.99679680000000026</v>
      </c>
      <c r="O23" s="444">
        <v>2.95</v>
      </c>
      <c r="P23" s="445">
        <f t="shared" si="29"/>
        <v>0.14658776470588239</v>
      </c>
      <c r="Q23" s="445">
        <f t="shared" si="30"/>
        <v>0.85156163529411777</v>
      </c>
      <c r="R23" s="446">
        <f t="shared" si="25"/>
        <v>347.43714720000003</v>
      </c>
      <c r="S23" s="446">
        <f t="shared" si="31"/>
        <v>389.12960486400004</v>
      </c>
      <c r="T23" s="447">
        <v>60</v>
      </c>
      <c r="U23" s="447">
        <f t="shared" si="3"/>
        <v>11.969999999999999</v>
      </c>
      <c r="V23" s="447">
        <f t="shared" si="32"/>
        <v>42.750000000000057</v>
      </c>
      <c r="W23" s="447">
        <f t="shared" si="5"/>
        <v>19.456480243200005</v>
      </c>
      <c r="X23" s="447">
        <f t="shared" si="6"/>
        <v>11.673888145920001</v>
      </c>
      <c r="Y23" s="447">
        <f t="shared" si="7"/>
        <v>-94.28751558912009</v>
      </c>
      <c r="Z23" s="448">
        <f t="shared" si="22"/>
        <v>-0.23630956288000024</v>
      </c>
      <c r="AA23" s="440">
        <v>399</v>
      </c>
      <c r="AB23" s="440">
        <f>VLOOKUP(D23,Sheet25!A:B,2,0)</f>
        <v>799</v>
      </c>
      <c r="AC23" s="449">
        <f>VLOOKUP(D23,Sheet6!O:P,2,0)</f>
        <v>699</v>
      </c>
      <c r="AD23" s="271">
        <v>1999</v>
      </c>
    </row>
    <row r="24" spans="1:30" ht="14.25" customHeight="1">
      <c r="A24" s="273"/>
      <c r="B24" s="273"/>
      <c r="C24" s="273"/>
      <c r="D24" s="271" t="s">
        <v>267</v>
      </c>
      <c r="E24" s="272" t="s">
        <v>268</v>
      </c>
      <c r="F24" s="271" t="s">
        <v>269</v>
      </c>
      <c r="G24" s="271" t="s">
        <v>270</v>
      </c>
      <c r="H24" s="271">
        <v>94043090</v>
      </c>
      <c r="I24" s="453">
        <v>0.3</v>
      </c>
      <c r="J24" s="272">
        <v>21.6</v>
      </c>
      <c r="K24" s="272">
        <v>16.600000000000001</v>
      </c>
      <c r="L24" s="272">
        <v>13.9</v>
      </c>
      <c r="M24" s="453">
        <f t="shared" si="27"/>
        <v>4.9839840000000012E-3</v>
      </c>
      <c r="N24" s="453">
        <f t="shared" si="28"/>
        <v>0.99679680000000026</v>
      </c>
      <c r="O24" s="444">
        <v>2.95</v>
      </c>
      <c r="P24" s="445">
        <f t="shared" si="29"/>
        <v>0.14658776470588239</v>
      </c>
      <c r="Q24" s="445">
        <f t="shared" si="30"/>
        <v>0.85156163529411777</v>
      </c>
      <c r="R24" s="446">
        <f t="shared" si="25"/>
        <v>347.43714720000003</v>
      </c>
      <c r="S24" s="446">
        <f t="shared" si="31"/>
        <v>389.12960486400004</v>
      </c>
      <c r="T24" s="447">
        <v>60</v>
      </c>
      <c r="U24" s="447">
        <f t="shared" si="3"/>
        <v>11.969999999999999</v>
      </c>
      <c r="V24" s="447">
        <f t="shared" si="32"/>
        <v>42.750000000000057</v>
      </c>
      <c r="W24" s="447">
        <f t="shared" si="5"/>
        <v>19.456480243200005</v>
      </c>
      <c r="X24" s="447">
        <f t="shared" si="6"/>
        <v>11.673888145920001</v>
      </c>
      <c r="Y24" s="447">
        <f t="shared" si="7"/>
        <v>-94.28751558912009</v>
      </c>
      <c r="Z24" s="448">
        <f t="shared" si="22"/>
        <v>-0.23630956288000024</v>
      </c>
      <c r="AA24" s="440">
        <v>399</v>
      </c>
      <c r="AB24" s="440">
        <f>VLOOKUP(D24,Sheet25!A:B,2,0)</f>
        <v>799</v>
      </c>
      <c r="AC24" s="449">
        <f>VLOOKUP(D24,Sheet6!O:P,2,0)</f>
        <v>699</v>
      </c>
      <c r="AD24" s="271">
        <v>1499</v>
      </c>
    </row>
    <row r="25" spans="1:30" ht="14.25" customHeight="1">
      <c r="A25" s="430"/>
      <c r="B25" s="430"/>
      <c r="C25" s="430"/>
      <c r="D25" s="428" t="s">
        <v>608</v>
      </c>
      <c r="E25" s="428" t="s">
        <v>609</v>
      </c>
      <c r="F25" s="430" t="s">
        <v>610</v>
      </c>
      <c r="G25" s="430" t="s">
        <v>612</v>
      </c>
      <c r="H25" s="428">
        <v>85086000</v>
      </c>
      <c r="I25" s="430"/>
      <c r="J25" s="430"/>
      <c r="K25" s="430"/>
      <c r="L25" s="430"/>
      <c r="M25" s="430"/>
      <c r="N25" s="443"/>
      <c r="O25" s="434">
        <v>10.76</v>
      </c>
      <c r="P25" s="435">
        <f>O25*2%</f>
        <v>0.2152</v>
      </c>
      <c r="Q25" s="435">
        <f>(O25+P25)*(B$7+(B$7*B$11))</f>
        <v>2.4145440000000002</v>
      </c>
      <c r="R25" s="436">
        <f t="shared" si="25"/>
        <v>1178.297472</v>
      </c>
      <c r="S25" s="436">
        <f>R25*1.18</f>
        <v>1390.3910169599999</v>
      </c>
      <c r="T25" s="437">
        <v>100</v>
      </c>
      <c r="U25" s="437" t="e">
        <f t="shared" si="3"/>
        <v>#N/A</v>
      </c>
      <c r="V25" s="437" t="e">
        <f t="shared" ref="V25:V40" si="33">AA25-(AA25/1.18)</f>
        <v>#N/A</v>
      </c>
      <c r="W25" s="437">
        <f t="shared" si="5"/>
        <v>69.519550847999994</v>
      </c>
      <c r="X25" s="437">
        <f t="shared" si="6"/>
        <v>41.711730508799995</v>
      </c>
      <c r="Y25" s="437" t="e">
        <f t="shared" si="7"/>
        <v>#N/A</v>
      </c>
      <c r="Z25" s="438" t="e">
        <f t="shared" ref="Z25:Z27" si="34">Y25/SUM(AA25-V25)</f>
        <v>#N/A</v>
      </c>
      <c r="AA25" s="439" t="e">
        <f>AB25/2</f>
        <v>#N/A</v>
      </c>
      <c r="AB25" s="440" t="e">
        <f>VLOOKUP(D25,Sheet25!A:B,2,0)</f>
        <v>#N/A</v>
      </c>
      <c r="AC25" s="441">
        <f>VLOOKUP(D25,Sheet6!O:P,2,0)</f>
        <v>2499</v>
      </c>
      <c r="AD25" s="430">
        <v>4299</v>
      </c>
    </row>
    <row r="26" spans="1:30" ht="14.25" customHeight="1">
      <c r="A26" s="273"/>
      <c r="B26" s="273"/>
      <c r="C26" s="273"/>
      <c r="D26" s="271" t="s">
        <v>500</v>
      </c>
      <c r="E26" s="272" t="s">
        <v>501</v>
      </c>
      <c r="F26" s="271" t="s">
        <v>459</v>
      </c>
      <c r="G26" s="271" t="s">
        <v>503</v>
      </c>
      <c r="H26" s="271">
        <v>85167990</v>
      </c>
      <c r="I26" s="453"/>
      <c r="J26" s="272"/>
      <c r="K26" s="272"/>
      <c r="L26" s="272"/>
      <c r="M26" s="453"/>
      <c r="N26" s="453"/>
      <c r="O26" s="444">
        <v>3.4</v>
      </c>
      <c r="P26" s="447">
        <v>0.1</v>
      </c>
      <c r="Q26" s="447">
        <v>0.8</v>
      </c>
      <c r="R26" s="447">
        <v>372.3</v>
      </c>
      <c r="S26" s="447">
        <v>439.3</v>
      </c>
      <c r="T26" s="447">
        <v>100</v>
      </c>
      <c r="U26" s="447">
        <f t="shared" si="3"/>
        <v>14.969999999999999</v>
      </c>
      <c r="V26" s="447">
        <f t="shared" si="33"/>
        <v>76.118644067796595</v>
      </c>
      <c r="W26" s="447">
        <f t="shared" si="5"/>
        <v>21.965000000000003</v>
      </c>
      <c r="X26" s="447">
        <f t="shared" si="6"/>
        <v>13.179</v>
      </c>
      <c r="Y26" s="447">
        <f t="shared" si="7"/>
        <v>-99.53264406779661</v>
      </c>
      <c r="Z26" s="448">
        <f t="shared" si="34"/>
        <v>-0.23536777555110219</v>
      </c>
      <c r="AA26" s="440">
        <v>499</v>
      </c>
      <c r="AB26" s="440">
        <f>VLOOKUP(D26,Sheet25!A:B,2,0)</f>
        <v>741</v>
      </c>
      <c r="AC26" s="271">
        <v>899</v>
      </c>
      <c r="AD26" s="271">
        <v>1499</v>
      </c>
    </row>
    <row r="27" spans="1:30" ht="14.4">
      <c r="A27" s="273"/>
      <c r="B27" s="273"/>
      <c r="C27" s="273"/>
      <c r="D27" s="271" t="s">
        <v>418</v>
      </c>
      <c r="E27" s="274" t="s">
        <v>419</v>
      </c>
      <c r="F27" s="271" t="s">
        <v>420</v>
      </c>
      <c r="G27" s="271" t="s">
        <v>422</v>
      </c>
      <c r="H27" s="271">
        <v>85098000</v>
      </c>
      <c r="I27" s="453"/>
      <c r="J27" s="272"/>
      <c r="K27" s="272"/>
      <c r="L27" s="272"/>
      <c r="M27" s="453"/>
      <c r="N27" s="453"/>
      <c r="O27" s="444">
        <v>10.35</v>
      </c>
      <c r="P27" s="445">
        <f t="shared" ref="P27:P36" si="35">O27*2%</f>
        <v>0.20699999999999999</v>
      </c>
      <c r="Q27" s="445">
        <f t="shared" ref="Q27:Q28" si="36">(O27+P27)*(B$7+(B$7*B$11))</f>
        <v>2.3225400000000005</v>
      </c>
      <c r="R27" s="446">
        <f t="shared" ref="R27:R36" si="37">(O27+P27+Q27)*B$2</f>
        <v>1133.3995199999999</v>
      </c>
      <c r="S27" s="446">
        <f t="shared" ref="S27:S36" si="38">R27*1.18</f>
        <v>1337.4114335999998</v>
      </c>
      <c r="T27" s="447">
        <v>100</v>
      </c>
      <c r="U27" s="447">
        <f t="shared" si="3"/>
        <v>40.44</v>
      </c>
      <c r="V27" s="447">
        <f t="shared" si="33"/>
        <v>205.62711864406765</v>
      </c>
      <c r="W27" s="447">
        <f t="shared" si="5"/>
        <v>66.870571679999998</v>
      </c>
      <c r="X27" s="447">
        <f t="shared" si="6"/>
        <v>40.122343007999994</v>
      </c>
      <c r="Y27" s="447">
        <f t="shared" si="7"/>
        <v>-238.4595533320676</v>
      </c>
      <c r="Z27" s="448">
        <f t="shared" si="34"/>
        <v>-0.20874055855477724</v>
      </c>
      <c r="AA27" s="440">
        <f t="shared" ref="AA27:AA34" si="39">AB27/2</f>
        <v>1348</v>
      </c>
      <c r="AB27" s="440">
        <f>VLOOKUP(D27,Sheet25!A:B,2,0)</f>
        <v>2696</v>
      </c>
      <c r="AC27" s="271">
        <v>2449</v>
      </c>
      <c r="AD27" s="271">
        <v>6999</v>
      </c>
    </row>
    <row r="28" spans="1:30" ht="14.25" hidden="1" customHeight="1">
      <c r="A28" s="273"/>
      <c r="B28" s="273" t="s">
        <v>479</v>
      </c>
      <c r="C28" s="273"/>
      <c r="D28" s="274" t="s">
        <v>538</v>
      </c>
      <c r="E28" s="276" t="s">
        <v>539</v>
      </c>
      <c r="F28" s="271" t="s">
        <v>483</v>
      </c>
      <c r="G28" s="271" t="s">
        <v>540</v>
      </c>
      <c r="H28" s="271">
        <v>85163100</v>
      </c>
      <c r="I28" s="453"/>
      <c r="J28" s="272"/>
      <c r="K28" s="272"/>
      <c r="L28" s="272"/>
      <c r="M28" s="453"/>
      <c r="N28" s="453"/>
      <c r="O28" s="444">
        <v>3.39</v>
      </c>
      <c r="P28" s="445">
        <f t="shared" si="35"/>
        <v>6.7799999999999999E-2</v>
      </c>
      <c r="Q28" s="445">
        <f t="shared" si="36"/>
        <v>0.76071600000000017</v>
      </c>
      <c r="R28" s="446">
        <f t="shared" si="37"/>
        <v>371.22940800000003</v>
      </c>
      <c r="S28" s="446">
        <f t="shared" si="38"/>
        <v>438.05070144000001</v>
      </c>
      <c r="T28" s="447">
        <v>100</v>
      </c>
      <c r="U28" s="447">
        <f t="shared" si="3"/>
        <v>15.885</v>
      </c>
      <c r="V28" s="447">
        <f t="shared" si="33"/>
        <v>80.771186440677923</v>
      </c>
      <c r="W28" s="447">
        <f t="shared" si="5"/>
        <v>21.902535072000003</v>
      </c>
      <c r="X28" s="447">
        <f t="shared" si="6"/>
        <v>13.141521043199999</v>
      </c>
      <c r="Y28" s="447">
        <f t="shared" si="7"/>
        <v>-73.429650555877956</v>
      </c>
      <c r="Z28" s="448">
        <f t="shared" ref="Z28:Z29" si="40">Y28/AA28</f>
        <v>-0.13867733816029831</v>
      </c>
      <c r="AA28" s="440">
        <f t="shared" si="39"/>
        <v>529.5</v>
      </c>
      <c r="AB28" s="440">
        <f>VLOOKUP(D28,Sheet25!A:B,2,0)</f>
        <v>1059</v>
      </c>
      <c r="AC28" s="449">
        <f>VLOOKUP(D28,Sheet6!O:P,2,0)</f>
        <v>999</v>
      </c>
      <c r="AD28" s="273">
        <v>1999</v>
      </c>
    </row>
    <row r="29" spans="1:30" ht="14.25" hidden="1" customHeight="1">
      <c r="A29" s="273"/>
      <c r="B29" s="273" t="s">
        <v>479</v>
      </c>
      <c r="C29" s="273"/>
      <c r="D29" s="274" t="s">
        <v>543</v>
      </c>
      <c r="E29" s="272" t="s">
        <v>544</v>
      </c>
      <c r="F29" s="271" t="s">
        <v>545</v>
      </c>
      <c r="G29" s="271" t="s">
        <v>547</v>
      </c>
      <c r="H29" s="271">
        <v>90191020</v>
      </c>
      <c r="I29" s="453"/>
      <c r="J29" s="272"/>
      <c r="K29" s="272"/>
      <c r="L29" s="272"/>
      <c r="M29" s="453"/>
      <c r="N29" s="453"/>
      <c r="O29" s="444">
        <v>6</v>
      </c>
      <c r="P29" s="445">
        <f t="shared" si="35"/>
        <v>0.12</v>
      </c>
      <c r="Q29" s="445">
        <f>(O29+P29)*(B$8+(B$8*B$11))</f>
        <v>0.67320000000000013</v>
      </c>
      <c r="R29" s="446">
        <f t="shared" si="37"/>
        <v>597.80160000000001</v>
      </c>
      <c r="S29" s="446">
        <f t="shared" si="38"/>
        <v>705.405888</v>
      </c>
      <c r="T29" s="447">
        <v>100</v>
      </c>
      <c r="U29" s="447">
        <f t="shared" si="3"/>
        <v>20.654999999999998</v>
      </c>
      <c r="V29" s="447">
        <f t="shared" si="33"/>
        <v>105.02542372881351</v>
      </c>
      <c r="W29" s="447">
        <f t="shared" si="5"/>
        <v>35.270294400000004</v>
      </c>
      <c r="X29" s="447">
        <f t="shared" si="6"/>
        <v>21.162176639999998</v>
      </c>
      <c r="Y29" s="447">
        <f t="shared" si="7"/>
        <v>-191.41449476881354</v>
      </c>
      <c r="Z29" s="448">
        <f t="shared" si="40"/>
        <v>-0.27801669537954038</v>
      </c>
      <c r="AA29" s="440">
        <f t="shared" si="39"/>
        <v>688.5</v>
      </c>
      <c r="AB29" s="440">
        <f>VLOOKUP(D29,Sheet25!A:B,2,0)</f>
        <v>1377</v>
      </c>
      <c r="AC29" s="449">
        <f>VLOOKUP(D29,Sheet6!O:P,2,0)</f>
        <v>1299</v>
      </c>
      <c r="AD29" s="273">
        <v>2999</v>
      </c>
    </row>
    <row r="30" spans="1:30" ht="14.25" customHeight="1">
      <c r="A30" s="430"/>
      <c r="B30" s="430"/>
      <c r="C30" s="430"/>
      <c r="D30" s="271" t="s">
        <v>788</v>
      </c>
      <c r="E30" s="274" t="s">
        <v>789</v>
      </c>
      <c r="F30" s="271" t="s">
        <v>790</v>
      </c>
      <c r="G30" s="271" t="s">
        <v>791</v>
      </c>
      <c r="H30" s="271">
        <v>85094090</v>
      </c>
      <c r="I30" s="273"/>
      <c r="J30" s="273"/>
      <c r="K30" s="273"/>
      <c r="L30" s="273"/>
      <c r="M30" s="273"/>
      <c r="N30" s="273"/>
      <c r="O30" s="444">
        <v>25.5</v>
      </c>
      <c r="P30" s="445">
        <f t="shared" si="35"/>
        <v>0.51</v>
      </c>
      <c r="Q30" s="445">
        <f t="shared" ref="Q30:Q32" si="41">(O30+P30)*(B$7+(B$7*B$11))</f>
        <v>5.7222000000000008</v>
      </c>
      <c r="R30" s="446">
        <f t="shared" si="37"/>
        <v>2792.4336000000003</v>
      </c>
      <c r="S30" s="446">
        <f t="shared" si="38"/>
        <v>3295.0716480000001</v>
      </c>
      <c r="T30" s="447">
        <v>100</v>
      </c>
      <c r="U30" s="447" t="e">
        <f t="shared" si="3"/>
        <v>#N/A</v>
      </c>
      <c r="V30" s="447" t="e">
        <f t="shared" si="33"/>
        <v>#N/A</v>
      </c>
      <c r="W30" s="447">
        <f t="shared" si="5"/>
        <v>164.75358240000003</v>
      </c>
      <c r="X30" s="447">
        <f t="shared" si="6"/>
        <v>98.852149440000005</v>
      </c>
      <c r="Y30" s="447" t="e">
        <f t="shared" si="7"/>
        <v>#N/A</v>
      </c>
      <c r="Z30" s="455" t="e">
        <f>Y30/SUM(AA30-V30)</f>
        <v>#N/A</v>
      </c>
      <c r="AA30" s="440" t="e">
        <f t="shared" si="39"/>
        <v>#N/A</v>
      </c>
      <c r="AB30" s="440" t="e">
        <f>VLOOKUP(D30,Sheet25!A:B,2,0)</f>
        <v>#N/A</v>
      </c>
      <c r="AC30" s="449">
        <f>VLOOKUP(D30,Sheet6!O:P,2,0)</f>
        <v>5699</v>
      </c>
      <c r="AD30" s="271">
        <v>10999</v>
      </c>
    </row>
    <row r="31" spans="1:30" ht="14.25" customHeight="1">
      <c r="A31" s="273"/>
      <c r="B31" s="273"/>
      <c r="C31" s="273"/>
      <c r="D31" s="271" t="s">
        <v>462</v>
      </c>
      <c r="E31" s="276" t="s">
        <v>463</v>
      </c>
      <c r="F31" s="271" t="s">
        <v>464</v>
      </c>
      <c r="G31" s="271" t="s">
        <v>466</v>
      </c>
      <c r="H31" s="271">
        <v>85163100</v>
      </c>
      <c r="I31" s="453"/>
      <c r="J31" s="272"/>
      <c r="K31" s="272"/>
      <c r="L31" s="272"/>
      <c r="M31" s="453"/>
      <c r="N31" s="453"/>
      <c r="O31" s="444">
        <v>5.5</v>
      </c>
      <c r="P31" s="445">
        <f t="shared" si="35"/>
        <v>0.11</v>
      </c>
      <c r="Q31" s="445">
        <f t="shared" si="41"/>
        <v>1.2342000000000002</v>
      </c>
      <c r="R31" s="446">
        <f t="shared" si="37"/>
        <v>602.28960000000006</v>
      </c>
      <c r="S31" s="446">
        <f t="shared" si="38"/>
        <v>710.701728</v>
      </c>
      <c r="T31" s="447">
        <v>100</v>
      </c>
      <c r="U31" s="447">
        <f t="shared" si="3"/>
        <v>22.244999999999997</v>
      </c>
      <c r="V31" s="447">
        <f t="shared" si="33"/>
        <v>113.11016949152543</v>
      </c>
      <c r="W31" s="447">
        <f t="shared" si="5"/>
        <v>35.535086400000004</v>
      </c>
      <c r="X31" s="447">
        <f t="shared" si="6"/>
        <v>21.321051839999999</v>
      </c>
      <c r="Y31" s="447">
        <f t="shared" si="7"/>
        <v>-153.0009077315255</v>
      </c>
      <c r="Z31" s="448">
        <f t="shared" ref="Z31:Z35" si="42">Y31/AA31</f>
        <v>-0.20633972721716184</v>
      </c>
      <c r="AA31" s="440">
        <f t="shared" si="39"/>
        <v>741.5</v>
      </c>
      <c r="AB31" s="440">
        <f>VLOOKUP(D31,Sheet25!A:B,2,0)</f>
        <v>1483</v>
      </c>
      <c r="AC31" s="449">
        <f>VLOOKUP(D31,Sheet6!O:P,2,0)</f>
        <v>1399</v>
      </c>
      <c r="AD31" s="271">
        <v>3499</v>
      </c>
    </row>
    <row r="32" spans="1:30" ht="14.25" customHeight="1">
      <c r="A32" s="430"/>
      <c r="B32" s="430"/>
      <c r="C32" s="430"/>
      <c r="D32" s="428" t="s">
        <v>475</v>
      </c>
      <c r="E32" s="433" t="s">
        <v>476</v>
      </c>
      <c r="F32" s="428" t="s">
        <v>477</v>
      </c>
      <c r="G32" s="428" t="s">
        <v>478</v>
      </c>
      <c r="H32" s="430">
        <v>85163200</v>
      </c>
      <c r="I32" s="432"/>
      <c r="J32" s="433"/>
      <c r="K32" s="433"/>
      <c r="L32" s="433"/>
      <c r="M32" s="432"/>
      <c r="N32" s="432"/>
      <c r="O32" s="434">
        <v>2.96</v>
      </c>
      <c r="P32" s="435">
        <f t="shared" si="35"/>
        <v>5.9200000000000003E-2</v>
      </c>
      <c r="Q32" s="435">
        <f t="shared" si="41"/>
        <v>0.66422400000000015</v>
      </c>
      <c r="R32" s="436">
        <f t="shared" si="37"/>
        <v>324.14131200000003</v>
      </c>
      <c r="S32" s="436">
        <f t="shared" si="38"/>
        <v>382.48674815999999</v>
      </c>
      <c r="T32" s="437">
        <v>100</v>
      </c>
      <c r="U32" s="437" t="e">
        <f t="shared" si="3"/>
        <v>#N/A</v>
      </c>
      <c r="V32" s="437" t="e">
        <f t="shared" si="33"/>
        <v>#N/A</v>
      </c>
      <c r="W32" s="437">
        <f t="shared" si="5"/>
        <v>19.124337407999999</v>
      </c>
      <c r="X32" s="437">
        <f t="shared" si="6"/>
        <v>11.474602444799999</v>
      </c>
      <c r="Y32" s="437" t="e">
        <f t="shared" si="7"/>
        <v>#N/A</v>
      </c>
      <c r="Z32" s="438" t="e">
        <f t="shared" si="42"/>
        <v>#N/A</v>
      </c>
      <c r="AA32" s="439" t="e">
        <f t="shared" si="39"/>
        <v>#N/A</v>
      </c>
      <c r="AB32" s="440" t="e">
        <f>VLOOKUP(D32,Sheet25!A:B,2,0)</f>
        <v>#N/A</v>
      </c>
      <c r="AC32" s="428">
        <v>799</v>
      </c>
      <c r="AD32" s="428">
        <v>1499</v>
      </c>
    </row>
    <row r="33" spans="1:30" ht="14.25" customHeight="1">
      <c r="A33" s="273"/>
      <c r="B33" s="273"/>
      <c r="C33" s="273"/>
      <c r="D33" s="271" t="s">
        <v>855</v>
      </c>
      <c r="E33" s="274" t="s">
        <v>856</v>
      </c>
      <c r="F33" s="273" t="s">
        <v>857</v>
      </c>
      <c r="G33" s="271" t="s">
        <v>858</v>
      </c>
      <c r="H33" s="271">
        <v>90191020</v>
      </c>
      <c r="I33" s="273"/>
      <c r="J33" s="273"/>
      <c r="K33" s="273"/>
      <c r="L33" s="273"/>
      <c r="M33" s="273"/>
      <c r="N33" s="273"/>
      <c r="O33" s="444">
        <v>8</v>
      </c>
      <c r="P33" s="445">
        <f t="shared" si="35"/>
        <v>0.16</v>
      </c>
      <c r="Q33" s="445">
        <f>(O33+P33)*(B$8+(B$8*B$11))</f>
        <v>0.89760000000000018</v>
      </c>
      <c r="R33" s="446">
        <f t="shared" si="37"/>
        <v>797.06880000000001</v>
      </c>
      <c r="S33" s="446">
        <f t="shared" si="38"/>
        <v>940.54118399999993</v>
      </c>
      <c r="T33" s="447">
        <v>100</v>
      </c>
      <c r="U33" s="447">
        <f t="shared" si="3"/>
        <v>28.605</v>
      </c>
      <c r="V33" s="447">
        <f t="shared" si="33"/>
        <v>145.44915254237287</v>
      </c>
      <c r="W33" s="447">
        <f t="shared" si="5"/>
        <v>47.027059199999997</v>
      </c>
      <c r="X33" s="447">
        <f t="shared" si="6"/>
        <v>28.216235519999998</v>
      </c>
      <c r="Y33" s="447">
        <f t="shared" si="7"/>
        <v>-192.86624726237289</v>
      </c>
      <c r="Z33" s="448">
        <f t="shared" si="42"/>
        <v>-0.20227189015455993</v>
      </c>
      <c r="AA33" s="440">
        <f t="shared" si="39"/>
        <v>953.5</v>
      </c>
      <c r="AB33" s="440">
        <f>VLOOKUP(D33,Sheet25!A:B,2,0)</f>
        <v>1907</v>
      </c>
      <c r="AC33" s="449">
        <f>VLOOKUP(D33,Sheet6!O:P,2,0)</f>
        <v>1799</v>
      </c>
      <c r="AD33" s="273">
        <v>3999</v>
      </c>
    </row>
    <row r="34" spans="1:30" ht="14.25" customHeight="1">
      <c r="A34" s="273"/>
      <c r="B34" s="273"/>
      <c r="C34" s="273"/>
      <c r="D34" s="271" t="s">
        <v>683</v>
      </c>
      <c r="E34" s="274" t="s">
        <v>684</v>
      </c>
      <c r="F34" s="273" t="s">
        <v>685</v>
      </c>
      <c r="G34" s="273" t="s">
        <v>687</v>
      </c>
      <c r="H34" s="271">
        <v>85167990</v>
      </c>
      <c r="I34" s="273"/>
      <c r="J34" s="273"/>
      <c r="K34" s="273"/>
      <c r="L34" s="273"/>
      <c r="M34" s="273"/>
      <c r="N34" s="450"/>
      <c r="O34" s="444">
        <v>7.25</v>
      </c>
      <c r="P34" s="445">
        <f t="shared" si="35"/>
        <v>0.14499999999999999</v>
      </c>
      <c r="Q34" s="445">
        <f t="shared" ref="Q34:Q36" si="43">(O34+P34)*(B$7+(B$7*B$11))</f>
        <v>1.6269</v>
      </c>
      <c r="R34" s="446">
        <f t="shared" si="37"/>
        <v>793.92719999999986</v>
      </c>
      <c r="S34" s="446">
        <f t="shared" si="38"/>
        <v>936.83409599999982</v>
      </c>
      <c r="T34" s="447">
        <v>100</v>
      </c>
      <c r="U34" s="447">
        <f t="shared" si="3"/>
        <v>28.515000000000001</v>
      </c>
      <c r="V34" s="447">
        <f t="shared" si="33"/>
        <v>144.99152542372872</v>
      </c>
      <c r="W34" s="447">
        <f t="shared" si="5"/>
        <v>46.841704799999995</v>
      </c>
      <c r="X34" s="447">
        <f t="shared" si="6"/>
        <v>28.105022879999993</v>
      </c>
      <c r="Y34" s="447">
        <f t="shared" si="7"/>
        <v>-191.88045310372854</v>
      </c>
      <c r="Z34" s="448">
        <f t="shared" si="42"/>
        <v>-0.20187317528009316</v>
      </c>
      <c r="AA34" s="440">
        <f t="shared" si="39"/>
        <v>950.5</v>
      </c>
      <c r="AB34" s="440">
        <f>VLOOKUP(D34,Sheet25!A:B,2,0)</f>
        <v>1901</v>
      </c>
      <c r="AC34" s="449">
        <f>VLOOKUP(D34,Sheet6!O:P,2,0)</f>
        <v>1699</v>
      </c>
      <c r="AD34" s="273">
        <v>2799</v>
      </c>
    </row>
    <row r="35" spans="1:30" ht="14.25" customHeight="1">
      <c r="A35" s="273"/>
      <c r="B35" s="273"/>
      <c r="C35" s="273"/>
      <c r="D35" s="271" t="s">
        <v>632</v>
      </c>
      <c r="E35" s="274" t="s">
        <v>633</v>
      </c>
      <c r="F35" s="273" t="s">
        <v>634</v>
      </c>
      <c r="G35" s="273" t="s">
        <v>636</v>
      </c>
      <c r="H35" s="271">
        <v>85101000</v>
      </c>
      <c r="I35" s="273"/>
      <c r="J35" s="273"/>
      <c r="K35" s="273"/>
      <c r="L35" s="273"/>
      <c r="M35" s="273"/>
      <c r="N35" s="450"/>
      <c r="O35" s="444">
        <v>3.7</v>
      </c>
      <c r="P35" s="445">
        <f t="shared" si="35"/>
        <v>7.400000000000001E-2</v>
      </c>
      <c r="Q35" s="445">
        <f t="shared" si="43"/>
        <v>0.83028000000000013</v>
      </c>
      <c r="R35" s="446">
        <f t="shared" si="37"/>
        <v>405.17664000000002</v>
      </c>
      <c r="S35" s="446">
        <f t="shared" si="38"/>
        <v>478.10843519999997</v>
      </c>
      <c r="T35" s="447">
        <v>60</v>
      </c>
      <c r="U35" s="447">
        <f t="shared" si="3"/>
        <v>14.969999999999999</v>
      </c>
      <c r="V35" s="447">
        <f t="shared" si="33"/>
        <v>76.118644067796595</v>
      </c>
      <c r="W35" s="447">
        <f t="shared" si="5"/>
        <v>23.905421759999999</v>
      </c>
      <c r="X35" s="447">
        <f t="shared" si="6"/>
        <v>14.343253055999998</v>
      </c>
      <c r="Y35" s="447">
        <f t="shared" si="7"/>
        <v>-95.513958883796604</v>
      </c>
      <c r="Z35" s="455">
        <f t="shared" si="42"/>
        <v>-0.19141073924608537</v>
      </c>
      <c r="AA35" s="440">
        <v>499</v>
      </c>
      <c r="AB35" s="440">
        <f>VLOOKUP(D35,Sheet25!A:B,2,0)</f>
        <v>1099</v>
      </c>
      <c r="AC35" s="449">
        <f>VLOOKUP(D35,Sheet6!O:P,2,0)</f>
        <v>999</v>
      </c>
      <c r="AD35" s="273">
        <v>1499</v>
      </c>
    </row>
    <row r="36" spans="1:30" ht="14.25" customHeight="1">
      <c r="A36" s="273"/>
      <c r="B36" s="273"/>
      <c r="C36" s="273"/>
      <c r="D36" s="274" t="s">
        <v>491</v>
      </c>
      <c r="E36" s="272" t="s">
        <v>492</v>
      </c>
      <c r="F36" s="271" t="s">
        <v>493</v>
      </c>
      <c r="G36" s="271" t="s">
        <v>494</v>
      </c>
      <c r="H36" s="271">
        <v>85098000</v>
      </c>
      <c r="I36" s="453"/>
      <c r="J36" s="272"/>
      <c r="K36" s="272"/>
      <c r="L36" s="272"/>
      <c r="M36" s="453"/>
      <c r="N36" s="453"/>
      <c r="O36" s="444">
        <v>17.5</v>
      </c>
      <c r="P36" s="445">
        <f t="shared" si="35"/>
        <v>0.35000000000000003</v>
      </c>
      <c r="Q36" s="445">
        <f t="shared" si="43"/>
        <v>3.9270000000000009</v>
      </c>
      <c r="R36" s="446">
        <f t="shared" si="37"/>
        <v>1916.3760000000002</v>
      </c>
      <c r="S36" s="446">
        <f t="shared" si="38"/>
        <v>2261.32368</v>
      </c>
      <c r="T36" s="447">
        <v>100</v>
      </c>
      <c r="U36" s="447">
        <f t="shared" si="3"/>
        <v>67.484999999999999</v>
      </c>
      <c r="V36" s="447">
        <f t="shared" si="33"/>
        <v>343.14406779660999</v>
      </c>
      <c r="W36" s="447">
        <f t="shared" si="5"/>
        <v>113.06618400000001</v>
      </c>
      <c r="X36" s="447">
        <f t="shared" si="6"/>
        <v>67.839710400000001</v>
      </c>
      <c r="Y36" s="447">
        <f t="shared" si="7"/>
        <v>-358.41096219661023</v>
      </c>
      <c r="Z36" s="455">
        <f>Y36/SUM(AA36-V36)</f>
        <v>-0.18800841760035564</v>
      </c>
      <c r="AA36" s="440">
        <f t="shared" ref="AA36:AA78" si="44">AB36/2</f>
        <v>2249.5</v>
      </c>
      <c r="AB36" s="440">
        <f>VLOOKUP(D36,Sheet25!A:B,2,0)</f>
        <v>4499</v>
      </c>
      <c r="AC36" s="449">
        <f>VLOOKUP(D36,Sheet6!O:P,2,0)</f>
        <v>3699</v>
      </c>
      <c r="AD36" s="271">
        <v>8999</v>
      </c>
    </row>
    <row r="37" spans="1:30" ht="14.25" customHeight="1">
      <c r="A37" s="273"/>
      <c r="B37" s="273"/>
      <c r="C37" s="273"/>
      <c r="D37" s="271" t="s">
        <v>508</v>
      </c>
      <c r="E37" s="276" t="s">
        <v>509</v>
      </c>
      <c r="F37" s="271" t="s">
        <v>481</v>
      </c>
      <c r="G37" s="271" t="s">
        <v>511</v>
      </c>
      <c r="H37" s="271">
        <v>85163100</v>
      </c>
      <c r="I37" s="273"/>
      <c r="J37" s="273"/>
      <c r="K37" s="273"/>
      <c r="L37" s="273"/>
      <c r="M37" s="273"/>
      <c r="N37" s="273"/>
      <c r="O37" s="273"/>
      <c r="P37" s="273"/>
      <c r="Q37" s="273"/>
      <c r="R37" s="446">
        <v>637</v>
      </c>
      <c r="S37" s="446">
        <v>751.6</v>
      </c>
      <c r="T37" s="447">
        <v>100</v>
      </c>
      <c r="U37" s="447">
        <f t="shared" si="3"/>
        <v>23.835000000000001</v>
      </c>
      <c r="V37" s="447">
        <f t="shared" si="33"/>
        <v>121.19491525423723</v>
      </c>
      <c r="W37" s="447">
        <f t="shared" si="5"/>
        <v>37.580000000000005</v>
      </c>
      <c r="X37" s="447">
        <f t="shared" si="6"/>
        <v>22.547999999999998</v>
      </c>
      <c r="Y37" s="447">
        <f t="shared" si="7"/>
        <v>-147.65791525423725</v>
      </c>
      <c r="Z37" s="455">
        <f t="shared" ref="Z37:Z38" si="45">Y37/AA37</f>
        <v>-0.18585011359878822</v>
      </c>
      <c r="AA37" s="440">
        <f t="shared" si="44"/>
        <v>794.5</v>
      </c>
      <c r="AB37" s="440">
        <f>VLOOKUP(D37,Sheet25!A:B,2,0)</f>
        <v>1589</v>
      </c>
      <c r="AC37" s="271">
        <v>1499</v>
      </c>
      <c r="AD37" s="271">
        <v>6499</v>
      </c>
    </row>
    <row r="38" spans="1:30" ht="14.25" customHeight="1">
      <c r="A38" s="273"/>
      <c r="B38" s="273"/>
      <c r="C38" s="273"/>
      <c r="D38" s="271" t="s">
        <v>651</v>
      </c>
      <c r="E38" s="274" t="s">
        <v>652</v>
      </c>
      <c r="F38" s="273" t="s">
        <v>653</v>
      </c>
      <c r="G38" s="273" t="s">
        <v>654</v>
      </c>
      <c r="H38" s="271">
        <v>84148090</v>
      </c>
      <c r="I38" s="273"/>
      <c r="J38" s="273"/>
      <c r="K38" s="273"/>
      <c r="L38" s="273"/>
      <c r="M38" s="273"/>
      <c r="N38" s="450"/>
      <c r="O38" s="444">
        <v>8.75</v>
      </c>
      <c r="P38" s="445">
        <f t="shared" ref="P38:P42" si="46">O38*2%</f>
        <v>0.17500000000000002</v>
      </c>
      <c r="Q38" s="445">
        <f>(O38+P38)*(B$9+(B$9*B$11))</f>
        <v>0.73631249999999993</v>
      </c>
      <c r="R38" s="446">
        <f t="shared" ref="R38:R45" si="47">(O38+P38+Q38)*B$2</f>
        <v>850.19550000000004</v>
      </c>
      <c r="S38" s="446">
        <f t="shared" ref="S38:S40" si="48">R38*1.18</f>
        <v>1003.23069</v>
      </c>
      <c r="T38" s="447">
        <v>100</v>
      </c>
      <c r="U38" s="447">
        <f t="shared" si="3"/>
        <v>30.99</v>
      </c>
      <c r="V38" s="447">
        <f t="shared" si="33"/>
        <v>157.57627118644064</v>
      </c>
      <c r="W38" s="447">
        <f t="shared" si="5"/>
        <v>50.161534500000002</v>
      </c>
      <c r="X38" s="447">
        <f t="shared" si="6"/>
        <v>30.096920699999998</v>
      </c>
      <c r="Y38" s="447">
        <f t="shared" si="7"/>
        <v>-186.02022638644067</v>
      </c>
      <c r="Z38" s="455">
        <f t="shared" si="45"/>
        <v>-0.18007766349123008</v>
      </c>
      <c r="AA38" s="440">
        <f t="shared" si="44"/>
        <v>1033</v>
      </c>
      <c r="AB38" s="440">
        <f>VLOOKUP(D38,Sheet25!A:B,2,0)</f>
        <v>2066</v>
      </c>
      <c r="AC38" s="449">
        <f>VLOOKUP(D38,Sheet6!O:P,2,0)</f>
        <v>1949</v>
      </c>
      <c r="AD38" s="273">
        <v>3699</v>
      </c>
    </row>
    <row r="39" spans="1:30" ht="14.25" hidden="1" customHeight="1">
      <c r="A39" s="273"/>
      <c r="B39" s="273"/>
      <c r="C39" s="273"/>
      <c r="D39" s="271" t="s">
        <v>603</v>
      </c>
      <c r="E39" s="274" t="s">
        <v>604</v>
      </c>
      <c r="F39" s="273" t="s">
        <v>605</v>
      </c>
      <c r="G39" s="273" t="s">
        <v>607</v>
      </c>
      <c r="H39" s="271">
        <v>85098000</v>
      </c>
      <c r="I39" s="273"/>
      <c r="J39" s="273"/>
      <c r="K39" s="273"/>
      <c r="L39" s="273"/>
      <c r="M39" s="273"/>
      <c r="N39" s="273"/>
      <c r="O39" s="444">
        <v>11.6</v>
      </c>
      <c r="P39" s="445">
        <f t="shared" si="46"/>
        <v>0.23199999999999998</v>
      </c>
      <c r="Q39" s="445">
        <f t="shared" ref="Q39:Q40" si="49">(O39+P39)*(B$7+(B$7*B$11))</f>
        <v>2.60304</v>
      </c>
      <c r="R39" s="446">
        <f t="shared" si="47"/>
        <v>1270.28352</v>
      </c>
      <c r="S39" s="446">
        <f t="shared" si="48"/>
        <v>1498.9345535999998</v>
      </c>
      <c r="T39" s="447">
        <v>100</v>
      </c>
      <c r="U39" s="447">
        <f t="shared" si="3"/>
        <v>39.734999999999999</v>
      </c>
      <c r="V39" s="447">
        <f t="shared" si="33"/>
        <v>202.04237288135596</v>
      </c>
      <c r="W39" s="447">
        <f t="shared" si="5"/>
        <v>74.946727679999995</v>
      </c>
      <c r="X39" s="447">
        <f t="shared" si="6"/>
        <v>44.968036607999991</v>
      </c>
      <c r="Y39" s="447">
        <f t="shared" si="7"/>
        <v>-407.47565716935588</v>
      </c>
      <c r="Z39" s="455">
        <f>Y39/SUM(AA39-V39)</f>
        <v>-0.36302097052460547</v>
      </c>
      <c r="AA39" s="440">
        <f t="shared" si="44"/>
        <v>1324.5</v>
      </c>
      <c r="AB39" s="440">
        <f>VLOOKUP(D39,Sheet25!A:B,2,0)</f>
        <v>2649</v>
      </c>
      <c r="AC39" s="449">
        <f>VLOOKUP(D39,Sheet6!O:P,2,0)</f>
        <v>2499</v>
      </c>
      <c r="AD39" s="273">
        <v>4999</v>
      </c>
    </row>
    <row r="40" spans="1:30" ht="14.25" customHeight="1">
      <c r="A40" s="273"/>
      <c r="B40" s="273"/>
      <c r="C40" s="273"/>
      <c r="D40" s="271" t="s">
        <v>441</v>
      </c>
      <c r="E40" s="274" t="s">
        <v>442</v>
      </c>
      <c r="F40" s="271" t="s">
        <v>443</v>
      </c>
      <c r="G40" s="271" t="s">
        <v>445</v>
      </c>
      <c r="H40" s="271">
        <v>85101000</v>
      </c>
      <c r="I40" s="453"/>
      <c r="J40" s="272"/>
      <c r="K40" s="272"/>
      <c r="L40" s="272"/>
      <c r="M40" s="453"/>
      <c r="N40" s="453"/>
      <c r="O40" s="444">
        <v>3.96</v>
      </c>
      <c r="P40" s="445">
        <f t="shared" si="46"/>
        <v>7.9200000000000007E-2</v>
      </c>
      <c r="Q40" s="445">
        <f t="shared" si="49"/>
        <v>0.88862400000000019</v>
      </c>
      <c r="R40" s="446">
        <f t="shared" si="47"/>
        <v>433.64851200000004</v>
      </c>
      <c r="S40" s="446">
        <f t="shared" si="48"/>
        <v>511.70524416000001</v>
      </c>
      <c r="T40" s="447">
        <v>100</v>
      </c>
      <c r="U40" s="447">
        <f t="shared" si="3"/>
        <v>17.474999999999998</v>
      </c>
      <c r="V40" s="447">
        <f t="shared" si="33"/>
        <v>88.855932203389784</v>
      </c>
      <c r="W40" s="447">
        <f t="shared" si="5"/>
        <v>25.585262208000003</v>
      </c>
      <c r="X40" s="447">
        <f t="shared" si="6"/>
        <v>15.351157324799999</v>
      </c>
      <c r="Y40" s="447">
        <f t="shared" si="7"/>
        <v>-98.41586373618982</v>
      </c>
      <c r="Z40" s="455">
        <f t="shared" ref="Z40:Z42" si="50">Y40/AA40</f>
        <v>-0.16895427250848039</v>
      </c>
      <c r="AA40" s="440">
        <f t="shared" si="44"/>
        <v>582.5</v>
      </c>
      <c r="AB40" s="440">
        <f>VLOOKUP(D40,Sheet25!A:B,2,0)</f>
        <v>1165</v>
      </c>
      <c r="AC40" s="449">
        <f>VLOOKUP(D40,Sheet6!O:P,2,0)</f>
        <v>1099</v>
      </c>
      <c r="AD40" s="271">
        <v>1499</v>
      </c>
    </row>
    <row r="41" spans="1:30" ht="14.25" customHeight="1">
      <c r="A41" s="273"/>
      <c r="B41" s="273"/>
      <c r="C41" s="273"/>
      <c r="D41" s="271" t="s">
        <v>520</v>
      </c>
      <c r="E41" s="272" t="s">
        <v>521</v>
      </c>
      <c r="F41" s="271" t="s">
        <v>522</v>
      </c>
      <c r="G41" s="271" t="s">
        <v>524</v>
      </c>
      <c r="H41" s="271">
        <v>90191020</v>
      </c>
      <c r="I41" s="453"/>
      <c r="J41" s="272"/>
      <c r="K41" s="272"/>
      <c r="L41" s="272"/>
      <c r="M41" s="453"/>
      <c r="N41" s="453"/>
      <c r="O41" s="444">
        <v>6</v>
      </c>
      <c r="P41" s="445">
        <f t="shared" si="46"/>
        <v>0.12</v>
      </c>
      <c r="Q41" s="445">
        <f t="shared" ref="Q41:Q42" si="51">(O41+P41)*(B$8+(B$8*B$11))</f>
        <v>0.67320000000000013</v>
      </c>
      <c r="R41" s="446">
        <f t="shared" si="47"/>
        <v>597.80160000000001</v>
      </c>
      <c r="S41" s="446">
        <f>R41*1.12</f>
        <v>669.53779200000008</v>
      </c>
      <c r="T41" s="447">
        <v>100</v>
      </c>
      <c r="U41" s="447">
        <f t="shared" si="3"/>
        <v>22.244999999999997</v>
      </c>
      <c r="V41" s="447">
        <f>AA41-(AA41/1.12)</f>
        <v>79.446428571428669</v>
      </c>
      <c r="W41" s="447">
        <f t="shared" si="5"/>
        <v>33.476889600000007</v>
      </c>
      <c r="X41" s="447">
        <f t="shared" si="6"/>
        <v>20.086133760000003</v>
      </c>
      <c r="Y41" s="447">
        <f t="shared" si="7"/>
        <v>-111.55605193142867</v>
      </c>
      <c r="Z41" s="455">
        <f t="shared" si="50"/>
        <v>-0.15044646248338323</v>
      </c>
      <c r="AA41" s="440">
        <f t="shared" si="44"/>
        <v>741.5</v>
      </c>
      <c r="AB41" s="440">
        <f>VLOOKUP(D41,Sheet25!A:B,2,0)</f>
        <v>1483</v>
      </c>
      <c r="AC41" s="449">
        <f>VLOOKUP(D41,Sheet6!O:P,2,0)</f>
        <v>1399</v>
      </c>
      <c r="AD41" s="271">
        <v>2699</v>
      </c>
    </row>
    <row r="42" spans="1:30" ht="14.25" customHeight="1">
      <c r="A42" s="273"/>
      <c r="B42" s="273"/>
      <c r="C42" s="273"/>
      <c r="D42" s="271" t="s">
        <v>797</v>
      </c>
      <c r="E42" s="274" t="s">
        <v>798</v>
      </c>
      <c r="F42" s="273" t="s">
        <v>799</v>
      </c>
      <c r="G42" s="273" t="s">
        <v>801</v>
      </c>
      <c r="H42" s="271">
        <v>90191020</v>
      </c>
      <c r="I42" s="273"/>
      <c r="J42" s="273"/>
      <c r="K42" s="273"/>
      <c r="L42" s="273"/>
      <c r="M42" s="273"/>
      <c r="N42" s="273"/>
      <c r="O42" s="444">
        <v>8</v>
      </c>
      <c r="P42" s="445">
        <f t="shared" si="46"/>
        <v>0.16</v>
      </c>
      <c r="Q42" s="445">
        <f t="shared" si="51"/>
        <v>0.89760000000000018</v>
      </c>
      <c r="R42" s="446">
        <f t="shared" si="47"/>
        <v>797.06880000000001</v>
      </c>
      <c r="S42" s="446">
        <f t="shared" ref="S42:S45" si="52">R42*1.18</f>
        <v>940.54118399999993</v>
      </c>
      <c r="T42" s="447">
        <v>100</v>
      </c>
      <c r="U42" s="447">
        <f t="shared" si="3"/>
        <v>30.195</v>
      </c>
      <c r="V42" s="447">
        <f t="shared" ref="V42:V46" si="53">AA42-(AA42/1.18)</f>
        <v>153.53389830508468</v>
      </c>
      <c r="W42" s="447">
        <f t="shared" si="5"/>
        <v>47.027059199999997</v>
      </c>
      <c r="X42" s="447">
        <f t="shared" si="6"/>
        <v>28.216235519999998</v>
      </c>
      <c r="Y42" s="447">
        <f t="shared" si="7"/>
        <v>-149.54099302508467</v>
      </c>
      <c r="Z42" s="455">
        <f t="shared" si="50"/>
        <v>-0.14857525387489784</v>
      </c>
      <c r="AA42" s="440">
        <f t="shared" si="44"/>
        <v>1006.5</v>
      </c>
      <c r="AB42" s="440">
        <f>VLOOKUP(D42,Sheet25!A:B,2,0)</f>
        <v>2013</v>
      </c>
      <c r="AC42" s="449">
        <f>VLOOKUP(D42,Sheet6!O:P,2,0)</f>
        <v>1899</v>
      </c>
      <c r="AD42" s="273">
        <v>3499</v>
      </c>
    </row>
    <row r="43" spans="1:30" ht="14.25" customHeight="1">
      <c r="A43" s="273"/>
      <c r="B43" s="273"/>
      <c r="C43" s="273"/>
      <c r="D43" s="271" t="s">
        <v>246</v>
      </c>
      <c r="E43" s="272" t="s">
        <v>247</v>
      </c>
      <c r="F43" s="271" t="s">
        <v>248</v>
      </c>
      <c r="G43" s="271" t="s">
        <v>251</v>
      </c>
      <c r="H43" s="271">
        <v>85098000</v>
      </c>
      <c r="I43" s="453">
        <v>2.1</v>
      </c>
      <c r="J43" s="272">
        <v>30</v>
      </c>
      <c r="K43" s="272">
        <v>19.5</v>
      </c>
      <c r="L43" s="272">
        <v>21</v>
      </c>
      <c r="M43" s="453">
        <f>(J43*K43*L43)/1000000</f>
        <v>1.2285000000000001E-2</v>
      </c>
      <c r="N43" s="453">
        <f>(J43*K43*L43)/5000</f>
        <v>2.4569999999999999</v>
      </c>
      <c r="O43" s="444">
        <v>13.6</v>
      </c>
      <c r="P43" s="445">
        <f>B$3/(B$4/M43)</f>
        <v>0.36132352941176471</v>
      </c>
      <c r="Q43" s="445">
        <f t="shared" ref="Q43:Q44" si="54">(O43+P43)*(B$7+(B$7*B$11))</f>
        <v>3.0714911764705888</v>
      </c>
      <c r="R43" s="446">
        <f t="shared" si="47"/>
        <v>1498.887694117647</v>
      </c>
      <c r="S43" s="446">
        <f t="shared" si="52"/>
        <v>1768.6874790588233</v>
      </c>
      <c r="T43" s="447">
        <v>100</v>
      </c>
      <c r="U43" s="447">
        <f t="shared" si="3"/>
        <v>55.484999999999999</v>
      </c>
      <c r="V43" s="447">
        <f t="shared" si="53"/>
        <v>282.12711864406765</v>
      </c>
      <c r="W43" s="447">
        <f t="shared" si="5"/>
        <v>88.434373952941172</v>
      </c>
      <c r="X43" s="447">
        <f t="shared" si="6"/>
        <v>53.060624371764696</v>
      </c>
      <c r="Y43" s="447">
        <f t="shared" si="7"/>
        <v>-228.49481108642055</v>
      </c>
      <c r="Z43" s="455">
        <f t="shared" ref="Z43:Z44" si="55">Y43/SUM(AA43-V43)</f>
        <v>-0.14578203681101715</v>
      </c>
      <c r="AA43" s="440">
        <f t="shared" si="44"/>
        <v>1849.5</v>
      </c>
      <c r="AB43" s="440">
        <f>VLOOKUP(D43,Sheet25!A:B,2,0)</f>
        <v>3699</v>
      </c>
      <c r="AC43" s="449">
        <f>VLOOKUP(D43,Sheet6!O:P,2,0)</f>
        <v>3399</v>
      </c>
      <c r="AD43" s="271">
        <v>9999</v>
      </c>
    </row>
    <row r="44" spans="1:30" ht="14.25" customHeight="1">
      <c r="A44" s="273"/>
      <c r="B44" s="273"/>
      <c r="C44" s="273"/>
      <c r="D44" s="271" t="s">
        <v>717</v>
      </c>
      <c r="E44" s="274" t="s">
        <v>718</v>
      </c>
      <c r="F44" s="273" t="s">
        <v>719</v>
      </c>
      <c r="G44" s="273" t="s">
        <v>716</v>
      </c>
      <c r="H44" s="271">
        <v>85086000</v>
      </c>
      <c r="I44" s="273"/>
      <c r="J44" s="273"/>
      <c r="K44" s="273"/>
      <c r="L44" s="273"/>
      <c r="M44" s="273"/>
      <c r="N44" s="450"/>
      <c r="O44" s="444">
        <v>9.35</v>
      </c>
      <c r="P44" s="445">
        <f t="shared" ref="P44:P45" si="56">O44*2%</f>
        <v>0.187</v>
      </c>
      <c r="Q44" s="445">
        <f t="shared" si="54"/>
        <v>2.0981399999999999</v>
      </c>
      <c r="R44" s="446">
        <f t="shared" si="47"/>
        <v>1023.8923199999999</v>
      </c>
      <c r="S44" s="446">
        <f t="shared" si="52"/>
        <v>1208.1929375999998</v>
      </c>
      <c r="T44" s="447">
        <v>100</v>
      </c>
      <c r="U44" s="447">
        <f t="shared" si="3"/>
        <v>38.984999999999999</v>
      </c>
      <c r="V44" s="447">
        <f t="shared" si="53"/>
        <v>198.22881355932191</v>
      </c>
      <c r="W44" s="447">
        <f t="shared" si="5"/>
        <v>60.409646879999997</v>
      </c>
      <c r="X44" s="447">
        <f t="shared" si="6"/>
        <v>36.245788127999994</v>
      </c>
      <c r="Y44" s="447">
        <f t="shared" si="7"/>
        <v>-158.26156856732183</v>
      </c>
      <c r="Z44" s="455">
        <f t="shared" si="55"/>
        <v>-0.14370808073061928</v>
      </c>
      <c r="AA44" s="440">
        <f t="shared" si="44"/>
        <v>1299.5</v>
      </c>
      <c r="AB44" s="440">
        <f>VLOOKUP(D44,Sheet25!A:B,2,0)</f>
        <v>2599</v>
      </c>
      <c r="AC44" s="449">
        <f>VLOOKUP(D44,Sheet6!O:P,2,0)</f>
        <v>2199</v>
      </c>
      <c r="AD44" s="273">
        <v>4499</v>
      </c>
    </row>
    <row r="45" spans="1:30" ht="14.25" customHeight="1">
      <c r="A45" s="273"/>
      <c r="B45" s="273"/>
      <c r="C45" s="273"/>
      <c r="D45" s="271" t="s">
        <v>625</v>
      </c>
      <c r="E45" s="274" t="s">
        <v>626</v>
      </c>
      <c r="F45" s="273" t="s">
        <v>627</v>
      </c>
      <c r="G45" s="273" t="s">
        <v>631</v>
      </c>
      <c r="H45" s="271">
        <v>84148090</v>
      </c>
      <c r="I45" s="273"/>
      <c r="J45" s="273"/>
      <c r="K45" s="273"/>
      <c r="L45" s="273"/>
      <c r="M45" s="273"/>
      <c r="N45" s="450"/>
      <c r="O45" s="444">
        <v>10.7</v>
      </c>
      <c r="P45" s="445">
        <f t="shared" si="56"/>
        <v>0.214</v>
      </c>
      <c r="Q45" s="445">
        <f>(O45+P45)*(B$9+(B$9*B$11))</f>
        <v>0.9004049999999999</v>
      </c>
      <c r="R45" s="446">
        <f t="shared" si="47"/>
        <v>1039.6676399999999</v>
      </c>
      <c r="S45" s="446">
        <f t="shared" si="52"/>
        <v>1226.8078151999998</v>
      </c>
      <c r="T45" s="447">
        <v>100</v>
      </c>
      <c r="U45" s="447">
        <f t="shared" si="3"/>
        <v>38.984999999999999</v>
      </c>
      <c r="V45" s="447">
        <f t="shared" si="53"/>
        <v>198.22881355932191</v>
      </c>
      <c r="W45" s="447">
        <f t="shared" si="5"/>
        <v>61.340390759999991</v>
      </c>
      <c r="X45" s="447">
        <f t="shared" si="6"/>
        <v>36.804234455999996</v>
      </c>
      <c r="Y45" s="447">
        <f t="shared" si="7"/>
        <v>-175.52607877532179</v>
      </c>
      <c r="Z45" s="455">
        <f t="shared" ref="Z45:Z52" si="57">Y45/AA45</f>
        <v>-0.13507201137000524</v>
      </c>
      <c r="AA45" s="440">
        <f t="shared" si="44"/>
        <v>1299.5</v>
      </c>
      <c r="AB45" s="440">
        <f>VLOOKUP(D45,Sheet25!A:B,2,0)</f>
        <v>2599</v>
      </c>
      <c r="AC45" s="449">
        <f>VLOOKUP(D45,Sheet6!O:P,2,0)</f>
        <v>2299</v>
      </c>
      <c r="AD45" s="273">
        <v>4199</v>
      </c>
    </row>
    <row r="46" spans="1:30" ht="14.25" customHeight="1">
      <c r="A46" s="273"/>
      <c r="B46" s="273"/>
      <c r="C46" s="273"/>
      <c r="D46" s="274" t="s">
        <v>538</v>
      </c>
      <c r="E46" s="276" t="s">
        <v>539</v>
      </c>
      <c r="F46" s="271" t="s">
        <v>483</v>
      </c>
      <c r="G46" s="271" t="s">
        <v>540</v>
      </c>
      <c r="H46" s="271">
        <v>85163100</v>
      </c>
      <c r="I46" s="273"/>
      <c r="J46" s="273"/>
      <c r="K46" s="273"/>
      <c r="L46" s="273"/>
      <c r="M46" s="273"/>
      <c r="N46" s="273"/>
      <c r="O46" s="273"/>
      <c r="P46" s="273"/>
      <c r="Q46" s="273"/>
      <c r="R46" s="459">
        <v>369.1</v>
      </c>
      <c r="S46" s="459">
        <v>435.6</v>
      </c>
      <c r="T46" s="447">
        <v>100</v>
      </c>
      <c r="U46" s="447">
        <f t="shared" si="3"/>
        <v>15.885</v>
      </c>
      <c r="V46" s="447">
        <f t="shared" si="53"/>
        <v>80.771186440677923</v>
      </c>
      <c r="W46" s="447">
        <f t="shared" si="5"/>
        <v>21.78</v>
      </c>
      <c r="X46" s="447">
        <f t="shared" si="6"/>
        <v>13.068</v>
      </c>
      <c r="Y46" s="447">
        <f t="shared" si="7"/>
        <v>-71.10418644067795</v>
      </c>
      <c r="Z46" s="455">
        <f t="shared" si="57"/>
        <v>-0.13428552680014721</v>
      </c>
      <c r="AA46" s="440">
        <f t="shared" si="44"/>
        <v>529.5</v>
      </c>
      <c r="AB46" s="440">
        <f>VLOOKUP(D46,Sheet25!A:B,2,0)</f>
        <v>1059</v>
      </c>
      <c r="AC46" s="449">
        <f>VLOOKUP(D46,Sheet6!O:P,2,0)</f>
        <v>999</v>
      </c>
      <c r="AD46" s="271">
        <v>6499</v>
      </c>
    </row>
    <row r="47" spans="1:30" ht="14.25" customHeight="1">
      <c r="A47" s="273"/>
      <c r="B47" s="273"/>
      <c r="C47" s="273"/>
      <c r="D47" s="271" t="s">
        <v>819</v>
      </c>
      <c r="E47" s="272" t="s">
        <v>820</v>
      </c>
      <c r="F47" s="271" t="s">
        <v>821</v>
      </c>
      <c r="G47" s="271" t="s">
        <v>822</v>
      </c>
      <c r="H47" s="271">
        <v>84213920</v>
      </c>
      <c r="I47" s="453">
        <v>0.3</v>
      </c>
      <c r="J47" s="272">
        <v>21.6</v>
      </c>
      <c r="K47" s="272">
        <v>16.600000000000001</v>
      </c>
      <c r="L47" s="272">
        <v>13.9</v>
      </c>
      <c r="M47" s="453">
        <f t="shared" ref="M47:M50" si="58">(J47*K47*L47)/1000000</f>
        <v>4.9839840000000012E-3</v>
      </c>
      <c r="N47" s="453">
        <f t="shared" ref="N47:N50" si="59">(J47*K47*L47)/5000</f>
        <v>0.99679680000000026</v>
      </c>
      <c r="O47" s="444">
        <v>85</v>
      </c>
      <c r="P47" s="445">
        <f t="shared" ref="P47:P50" si="60">B$3/(B$4/M47)</f>
        <v>0.14658776470588239</v>
      </c>
      <c r="Q47" s="445">
        <f>(O47+P47)*(B$9+(B$9*B$11))</f>
        <v>7.0245934905882343</v>
      </c>
      <c r="R47" s="446">
        <f t="shared" ref="R47:R61" si="61">(O47+P47+Q47)*B$2</f>
        <v>8111.063950465882</v>
      </c>
      <c r="S47" s="446">
        <f t="shared" ref="S47:S50" si="62">R47*1.12</f>
        <v>9084.3916245217879</v>
      </c>
      <c r="T47" s="447">
        <v>100</v>
      </c>
      <c r="U47" s="447">
        <f t="shared" si="3"/>
        <v>269.23500000000001</v>
      </c>
      <c r="V47" s="447">
        <f t="shared" ref="V47:V50" si="63">AA47-(AA47/1.12)</f>
        <v>961.55357142857247</v>
      </c>
      <c r="W47" s="447">
        <f t="shared" si="5"/>
        <v>454.21958122608942</v>
      </c>
      <c r="X47" s="447">
        <f t="shared" si="6"/>
        <v>272.53174873565365</v>
      </c>
      <c r="Y47" s="447">
        <f t="shared" si="7"/>
        <v>-1194.1038518561977</v>
      </c>
      <c r="Z47" s="455">
        <f t="shared" si="57"/>
        <v>-0.13305519548233302</v>
      </c>
      <c r="AA47" s="440">
        <f t="shared" si="44"/>
        <v>8974.5</v>
      </c>
      <c r="AB47" s="440">
        <f>VLOOKUP(D47,Sheet25!A:B,2,0)</f>
        <v>17949</v>
      </c>
      <c r="AC47" s="449">
        <f>VLOOKUP(D47,Sheet6!O:P,2,0)</f>
        <v>15990</v>
      </c>
      <c r="AD47" s="271">
        <v>29999</v>
      </c>
    </row>
    <row r="48" spans="1:30" ht="14.25" customHeight="1">
      <c r="A48" s="273"/>
      <c r="B48" s="273"/>
      <c r="C48" s="273"/>
      <c r="D48" s="271" t="s">
        <v>831</v>
      </c>
      <c r="E48" s="272" t="s">
        <v>832</v>
      </c>
      <c r="F48" s="271" t="s">
        <v>833</v>
      </c>
      <c r="G48" s="271" t="s">
        <v>834</v>
      </c>
      <c r="H48" s="271">
        <v>85098000</v>
      </c>
      <c r="I48" s="453">
        <v>0.3</v>
      </c>
      <c r="J48" s="272">
        <v>21.6</v>
      </c>
      <c r="K48" s="272">
        <v>16.600000000000001</v>
      </c>
      <c r="L48" s="272">
        <v>13.9</v>
      </c>
      <c r="M48" s="453">
        <f t="shared" si="58"/>
        <v>4.9839840000000012E-3</v>
      </c>
      <c r="N48" s="453">
        <f t="shared" si="59"/>
        <v>0.99679680000000026</v>
      </c>
      <c r="O48" s="444">
        <v>6</v>
      </c>
      <c r="P48" s="445">
        <f t="shared" si="60"/>
        <v>0.14658776470588239</v>
      </c>
      <c r="Q48" s="445">
        <f>(O48+P48)*(B$7+(B$7*B$11))</f>
        <v>1.3522493082352942</v>
      </c>
      <c r="R48" s="446">
        <f t="shared" si="61"/>
        <v>659.89766241882353</v>
      </c>
      <c r="S48" s="446">
        <f t="shared" si="62"/>
        <v>739.08538190908246</v>
      </c>
      <c r="T48" s="447">
        <v>100</v>
      </c>
      <c r="U48" s="447">
        <f t="shared" si="3"/>
        <v>25.425000000000001</v>
      </c>
      <c r="V48" s="447">
        <f t="shared" si="63"/>
        <v>90.803571428571445</v>
      </c>
      <c r="W48" s="447">
        <f t="shared" si="5"/>
        <v>36.954269095454123</v>
      </c>
      <c r="X48" s="447">
        <f t="shared" si="6"/>
        <v>22.172561457272472</v>
      </c>
      <c r="Y48" s="447">
        <f t="shared" si="7"/>
        <v>-87.753064400121559</v>
      </c>
      <c r="Z48" s="455">
        <f t="shared" si="57"/>
        <v>-0.10354343882020244</v>
      </c>
      <c r="AA48" s="440">
        <f t="shared" si="44"/>
        <v>847.5</v>
      </c>
      <c r="AB48" s="440">
        <f>VLOOKUP(D48,Sheet25!A:B,2,0)</f>
        <v>1695</v>
      </c>
      <c r="AC48" s="449">
        <f>VLOOKUP(D48,Sheet6!O:P,2,0)</f>
        <v>1599</v>
      </c>
      <c r="AD48" s="271">
        <v>2899</v>
      </c>
    </row>
    <row r="49" spans="1:30" ht="14.25" customHeight="1">
      <c r="A49" s="273"/>
      <c r="B49" s="273"/>
      <c r="C49" s="273"/>
      <c r="D49" s="271" t="s">
        <v>810</v>
      </c>
      <c r="E49" s="272" t="s">
        <v>811</v>
      </c>
      <c r="F49" s="271" t="s">
        <v>812</v>
      </c>
      <c r="G49" s="271" t="s">
        <v>814</v>
      </c>
      <c r="H49" s="271">
        <v>94043090</v>
      </c>
      <c r="I49" s="453">
        <v>0.3</v>
      </c>
      <c r="J49" s="272">
        <v>21.6</v>
      </c>
      <c r="K49" s="272">
        <v>16.600000000000001</v>
      </c>
      <c r="L49" s="272">
        <v>13.9</v>
      </c>
      <c r="M49" s="453">
        <f t="shared" si="58"/>
        <v>4.9839840000000012E-3</v>
      </c>
      <c r="N49" s="453">
        <f t="shared" si="59"/>
        <v>0.99679680000000026</v>
      </c>
      <c r="O49" s="444">
        <v>3.6</v>
      </c>
      <c r="P49" s="445">
        <f t="shared" si="60"/>
        <v>0.14658776470588239</v>
      </c>
      <c r="Q49" s="445">
        <f t="shared" ref="Q49:Q50" si="64">(O49+P49)*(B$6+(B$6*B$11))</f>
        <v>1.0303116352941177</v>
      </c>
      <c r="R49" s="446">
        <f t="shared" si="61"/>
        <v>420.36714720000003</v>
      </c>
      <c r="S49" s="446">
        <f t="shared" si="62"/>
        <v>470.8112048640001</v>
      </c>
      <c r="T49" s="447">
        <v>100</v>
      </c>
      <c r="U49" s="447">
        <f t="shared" si="3"/>
        <v>17.474999999999998</v>
      </c>
      <c r="V49" s="447">
        <f t="shared" si="63"/>
        <v>62.410714285714334</v>
      </c>
      <c r="W49" s="447">
        <f t="shared" si="5"/>
        <v>23.540560243200005</v>
      </c>
      <c r="X49" s="447">
        <f t="shared" si="6"/>
        <v>14.124336145920003</v>
      </c>
      <c r="Y49" s="447">
        <f t="shared" si="7"/>
        <v>-55.417757874834372</v>
      </c>
      <c r="Z49" s="455">
        <f t="shared" si="57"/>
        <v>-9.5137781759372306E-2</v>
      </c>
      <c r="AA49" s="440">
        <f t="shared" si="44"/>
        <v>582.5</v>
      </c>
      <c r="AB49" s="440">
        <f>VLOOKUP(D49,Sheet25!A:B,2,0)</f>
        <v>1165</v>
      </c>
      <c r="AC49" s="449">
        <f>VLOOKUP(D49,Sheet6!O:P,2,0)</f>
        <v>1099</v>
      </c>
      <c r="AD49" s="271">
        <v>1899</v>
      </c>
    </row>
    <row r="50" spans="1:30" ht="14.25" customHeight="1">
      <c r="A50" s="273"/>
      <c r="B50" s="273"/>
      <c r="C50" s="273"/>
      <c r="D50" s="271" t="s">
        <v>815</v>
      </c>
      <c r="E50" s="272" t="s">
        <v>816</v>
      </c>
      <c r="F50" s="271" t="s">
        <v>817</v>
      </c>
      <c r="G50" s="271" t="s">
        <v>818</v>
      </c>
      <c r="H50" s="271">
        <v>94043090</v>
      </c>
      <c r="I50" s="453">
        <v>0.3</v>
      </c>
      <c r="J50" s="272">
        <v>21.6</v>
      </c>
      <c r="K50" s="272">
        <v>16.600000000000001</v>
      </c>
      <c r="L50" s="272">
        <v>13.9</v>
      </c>
      <c r="M50" s="453">
        <f t="shared" si="58"/>
        <v>4.9839840000000012E-3</v>
      </c>
      <c r="N50" s="453">
        <f t="shared" si="59"/>
        <v>0.99679680000000026</v>
      </c>
      <c r="O50" s="444">
        <v>3.6</v>
      </c>
      <c r="P50" s="445">
        <f t="shared" si="60"/>
        <v>0.14658776470588239</v>
      </c>
      <c r="Q50" s="445">
        <f t="shared" si="64"/>
        <v>1.0303116352941177</v>
      </c>
      <c r="R50" s="446">
        <f t="shared" si="61"/>
        <v>420.36714720000003</v>
      </c>
      <c r="S50" s="446">
        <f t="shared" si="62"/>
        <v>470.8112048640001</v>
      </c>
      <c r="T50" s="447">
        <v>100</v>
      </c>
      <c r="U50" s="447">
        <f t="shared" si="3"/>
        <v>17.474999999999998</v>
      </c>
      <c r="V50" s="447">
        <f t="shared" si="63"/>
        <v>62.410714285714334</v>
      </c>
      <c r="W50" s="447">
        <f t="shared" si="5"/>
        <v>23.540560243200005</v>
      </c>
      <c r="X50" s="447">
        <f t="shared" si="6"/>
        <v>14.124336145920003</v>
      </c>
      <c r="Y50" s="447">
        <f t="shared" si="7"/>
        <v>-55.417757874834372</v>
      </c>
      <c r="Z50" s="455">
        <f t="shared" si="57"/>
        <v>-9.5137781759372306E-2</v>
      </c>
      <c r="AA50" s="440">
        <f t="shared" si="44"/>
        <v>582.5</v>
      </c>
      <c r="AB50" s="440">
        <f>VLOOKUP(D50,Sheet25!A:B,2,0)</f>
        <v>1165</v>
      </c>
      <c r="AC50" s="449">
        <f>VLOOKUP(D50,Sheet6!O:P,2,0)</f>
        <v>1099</v>
      </c>
      <c r="AD50" s="271">
        <v>1899</v>
      </c>
    </row>
    <row r="51" spans="1:30" ht="14.25" customHeight="1">
      <c r="A51" s="273"/>
      <c r="B51" s="273"/>
      <c r="C51" s="273"/>
      <c r="D51" s="271" t="s">
        <v>802</v>
      </c>
      <c r="E51" s="274" t="s">
        <v>803</v>
      </c>
      <c r="F51" s="273" t="s">
        <v>804</v>
      </c>
      <c r="G51" s="273" t="s">
        <v>805</v>
      </c>
      <c r="H51" s="271">
        <v>90191020</v>
      </c>
      <c r="I51" s="273"/>
      <c r="J51" s="273"/>
      <c r="K51" s="273"/>
      <c r="L51" s="273"/>
      <c r="M51" s="273"/>
      <c r="N51" s="273"/>
      <c r="O51" s="444">
        <v>7.9</v>
      </c>
      <c r="P51" s="445">
        <f t="shared" ref="P51:P54" si="65">O51*2%</f>
        <v>0.158</v>
      </c>
      <c r="Q51" s="445">
        <f>(O51+P51)*(B$8+(B$8*B$11))</f>
        <v>0.88638000000000006</v>
      </c>
      <c r="R51" s="446">
        <f t="shared" si="61"/>
        <v>787.10544000000004</v>
      </c>
      <c r="S51" s="446">
        <f t="shared" ref="S51:S61" si="66">R51*1.18</f>
        <v>928.7844192</v>
      </c>
      <c r="T51" s="447">
        <v>100</v>
      </c>
      <c r="U51" s="447">
        <f t="shared" si="3"/>
        <v>31.785</v>
      </c>
      <c r="V51" s="447">
        <f t="shared" ref="V51:V62" si="67">AA51-(AA51/1.18)</f>
        <v>161.61864406779659</v>
      </c>
      <c r="W51" s="447">
        <f t="shared" si="5"/>
        <v>46.43922096</v>
      </c>
      <c r="X51" s="447">
        <f t="shared" si="6"/>
        <v>27.863532576000001</v>
      </c>
      <c r="Y51" s="447">
        <f t="shared" si="7"/>
        <v>-95.311837603796633</v>
      </c>
      <c r="Z51" s="455">
        <f t="shared" si="57"/>
        <v>-8.9959261542044963E-2</v>
      </c>
      <c r="AA51" s="440">
        <f t="shared" si="44"/>
        <v>1059.5</v>
      </c>
      <c r="AB51" s="440">
        <f>VLOOKUP(D51,Sheet25!A:B,2,0)</f>
        <v>2119</v>
      </c>
      <c r="AC51" s="449">
        <f>VLOOKUP(D51,Sheet6!O:P,2,0)</f>
        <v>1999</v>
      </c>
      <c r="AD51" s="273">
        <v>3899</v>
      </c>
    </row>
    <row r="52" spans="1:30" ht="14.25" customHeight="1">
      <c r="A52" s="273"/>
      <c r="B52" s="273"/>
      <c r="C52" s="273"/>
      <c r="D52" s="271" t="s">
        <v>557</v>
      </c>
      <c r="E52" s="271" t="s">
        <v>558</v>
      </c>
      <c r="F52" s="273" t="s">
        <v>559</v>
      </c>
      <c r="G52" s="273" t="s">
        <v>561</v>
      </c>
      <c r="H52" s="271">
        <v>84212190</v>
      </c>
      <c r="I52" s="273">
        <v>0.06</v>
      </c>
      <c r="J52" s="273">
        <v>20</v>
      </c>
      <c r="K52" s="273">
        <v>18</v>
      </c>
      <c r="L52" s="273">
        <v>14</v>
      </c>
      <c r="M52" s="453">
        <f>(J52*K52*L52)/1000000</f>
        <v>5.0400000000000002E-3</v>
      </c>
      <c r="N52" s="453">
        <f>(J52*K52*L52)/5000</f>
        <v>1.008</v>
      </c>
      <c r="O52" s="444">
        <v>4.7</v>
      </c>
      <c r="P52" s="445">
        <f t="shared" si="65"/>
        <v>9.4E-2</v>
      </c>
      <c r="Q52" s="445">
        <f>(O52+P52)*(B$9+(B$9*B$11))</f>
        <v>0.395505</v>
      </c>
      <c r="R52" s="446">
        <f t="shared" si="61"/>
        <v>456.67644000000007</v>
      </c>
      <c r="S52" s="446">
        <f t="shared" si="66"/>
        <v>538.87819920000004</v>
      </c>
      <c r="T52" s="447">
        <v>100</v>
      </c>
      <c r="U52" s="447">
        <f t="shared" si="3"/>
        <v>19.86</v>
      </c>
      <c r="V52" s="447">
        <f t="shared" si="67"/>
        <v>100.98305084745755</v>
      </c>
      <c r="W52" s="447">
        <f t="shared" si="5"/>
        <v>26.943909960000003</v>
      </c>
      <c r="X52" s="447">
        <f t="shared" si="6"/>
        <v>16.166345976000002</v>
      </c>
      <c r="Y52" s="447">
        <f t="shared" si="7"/>
        <v>-58.62974678345762</v>
      </c>
      <c r="Z52" s="455">
        <f t="shared" si="57"/>
        <v>-8.856457218044958E-2</v>
      </c>
      <c r="AA52" s="440">
        <f t="shared" si="44"/>
        <v>662</v>
      </c>
      <c r="AB52" s="440">
        <f>VLOOKUP(D52,Sheet25!A:B,2,0)</f>
        <v>1324</v>
      </c>
      <c r="AC52" s="449">
        <f>VLOOKUP(D52,Sheet6!O:P,2,0)</f>
        <v>1249</v>
      </c>
      <c r="AD52" s="273">
        <v>2999</v>
      </c>
    </row>
    <row r="53" spans="1:30" ht="14.25" customHeight="1">
      <c r="A53" s="273"/>
      <c r="B53" s="273"/>
      <c r="C53" s="273"/>
      <c r="D53" s="271" t="s">
        <v>712</v>
      </c>
      <c r="E53" s="274" t="s">
        <v>1129</v>
      </c>
      <c r="F53" s="273" t="s">
        <v>714</v>
      </c>
      <c r="G53" s="273" t="s">
        <v>716</v>
      </c>
      <c r="H53" s="271">
        <v>85086000</v>
      </c>
      <c r="I53" s="273"/>
      <c r="J53" s="273"/>
      <c r="K53" s="273"/>
      <c r="L53" s="273"/>
      <c r="M53" s="273"/>
      <c r="N53" s="450"/>
      <c r="O53" s="444">
        <v>8.83</v>
      </c>
      <c r="P53" s="445">
        <f t="shared" si="65"/>
        <v>0.17660000000000001</v>
      </c>
      <c r="Q53" s="445">
        <f t="shared" ref="Q53:Q61" si="68">(O53+P53)*(B$7+(B$7*B$11))</f>
        <v>1.9814520000000004</v>
      </c>
      <c r="R53" s="446">
        <f t="shared" si="61"/>
        <v>966.94857600000012</v>
      </c>
      <c r="S53" s="446">
        <f t="shared" si="66"/>
        <v>1140.9993196800001</v>
      </c>
      <c r="T53" s="447">
        <v>100</v>
      </c>
      <c r="U53" s="447">
        <f t="shared" si="3"/>
        <v>38.984999999999999</v>
      </c>
      <c r="V53" s="447">
        <f t="shared" si="67"/>
        <v>198.22881355932191</v>
      </c>
      <c r="W53" s="447">
        <f t="shared" si="5"/>
        <v>57.049965984000011</v>
      </c>
      <c r="X53" s="447">
        <f t="shared" si="6"/>
        <v>34.229979590399999</v>
      </c>
      <c r="Y53" s="447">
        <f t="shared" si="7"/>
        <v>-95.942335133722054</v>
      </c>
      <c r="Z53" s="455">
        <f>Y53/SUM(AA53-V53)</f>
        <v>-8.7119627131813787E-2</v>
      </c>
      <c r="AA53" s="440">
        <f t="shared" si="44"/>
        <v>1299.5</v>
      </c>
      <c r="AB53" s="440">
        <f>VLOOKUP(D53,Sheet25!A:B,2,0)</f>
        <v>2599</v>
      </c>
      <c r="AC53" s="449">
        <f>VLOOKUP(D53,Sheet6!O:P,2,0)</f>
        <v>2299</v>
      </c>
      <c r="AD53" s="273">
        <v>4499</v>
      </c>
    </row>
    <row r="54" spans="1:30" ht="14.25" customHeight="1">
      <c r="A54" s="273"/>
      <c r="B54" s="273"/>
      <c r="C54" s="273"/>
      <c r="D54" s="271" t="s">
        <v>562</v>
      </c>
      <c r="E54" s="274" t="s">
        <v>563</v>
      </c>
      <c r="F54" s="273" t="s">
        <v>564</v>
      </c>
      <c r="G54" s="273" t="s">
        <v>565</v>
      </c>
      <c r="H54" s="271">
        <v>85098000</v>
      </c>
      <c r="I54" s="273"/>
      <c r="J54" s="273"/>
      <c r="K54" s="273"/>
      <c r="L54" s="273"/>
      <c r="M54" s="273"/>
      <c r="N54" s="273"/>
      <c r="O54" s="444">
        <v>5.16</v>
      </c>
      <c r="P54" s="445">
        <f t="shared" si="65"/>
        <v>0.1032</v>
      </c>
      <c r="Q54" s="445">
        <f t="shared" si="68"/>
        <v>1.1579040000000003</v>
      </c>
      <c r="R54" s="446">
        <f t="shared" si="61"/>
        <v>565.05715200000009</v>
      </c>
      <c r="S54" s="446">
        <f t="shared" si="66"/>
        <v>666.76743936000003</v>
      </c>
      <c r="T54" s="447">
        <v>100</v>
      </c>
      <c r="U54" s="447">
        <f t="shared" si="3"/>
        <v>23.835000000000001</v>
      </c>
      <c r="V54" s="447">
        <f t="shared" si="67"/>
        <v>121.19491525423723</v>
      </c>
      <c r="W54" s="447">
        <f t="shared" si="5"/>
        <v>33.338371968000004</v>
      </c>
      <c r="X54" s="447">
        <f t="shared" si="6"/>
        <v>20.0030231808</v>
      </c>
      <c r="Y54" s="447">
        <f t="shared" si="7"/>
        <v>-68.928462403037329</v>
      </c>
      <c r="Z54" s="455">
        <f t="shared" ref="Z54:Z57" si="69">Y54/AA54</f>
        <v>-8.6757032602941889E-2</v>
      </c>
      <c r="AA54" s="440">
        <f t="shared" si="44"/>
        <v>794.5</v>
      </c>
      <c r="AB54" s="440">
        <f>VLOOKUP(D54,Sheet25!A:B,2,0)</f>
        <v>1589</v>
      </c>
      <c r="AC54" s="449">
        <f>VLOOKUP(D54,Sheet6!O:P,2,0)</f>
        <v>1499</v>
      </c>
      <c r="AD54" s="273">
        <v>1699</v>
      </c>
    </row>
    <row r="55" spans="1:30" ht="14.25" customHeight="1">
      <c r="A55" s="273"/>
      <c r="B55" s="273"/>
      <c r="C55" s="273"/>
      <c r="D55" s="271" t="s">
        <v>240</v>
      </c>
      <c r="E55" s="272" t="s">
        <v>241</v>
      </c>
      <c r="F55" s="271" t="s">
        <v>242</v>
      </c>
      <c r="G55" s="271" t="s">
        <v>244</v>
      </c>
      <c r="H55" s="271">
        <v>85167990</v>
      </c>
      <c r="I55" s="453">
        <v>1.3</v>
      </c>
      <c r="J55" s="272">
        <v>29.2</v>
      </c>
      <c r="K55" s="272">
        <v>22.4</v>
      </c>
      <c r="L55" s="272">
        <v>13.6</v>
      </c>
      <c r="M55" s="453">
        <f>(J55*K55*L55)/1000000</f>
        <v>8.895488E-3</v>
      </c>
      <c r="N55" s="453">
        <f>(J55*K55*L55)/5000</f>
        <v>1.7790975999999998</v>
      </c>
      <c r="O55" s="444">
        <v>9.4499999999999993</v>
      </c>
      <c r="P55" s="445">
        <f>B$3/(B$4/M55)</f>
        <v>0.26163200000000003</v>
      </c>
      <c r="Q55" s="445">
        <f t="shared" si="68"/>
        <v>2.1365590400000003</v>
      </c>
      <c r="R55" s="446">
        <f t="shared" si="61"/>
        <v>1042.6408115199999</v>
      </c>
      <c r="S55" s="446">
        <f t="shared" si="66"/>
        <v>1230.3161575935999</v>
      </c>
      <c r="T55" s="447">
        <v>100</v>
      </c>
      <c r="U55" s="447">
        <f t="shared" si="3"/>
        <v>41.324999999999996</v>
      </c>
      <c r="V55" s="447">
        <f t="shared" si="67"/>
        <v>210.12711864406765</v>
      </c>
      <c r="W55" s="447">
        <f t="shared" si="5"/>
        <v>61.515807879679997</v>
      </c>
      <c r="X55" s="447">
        <f t="shared" si="6"/>
        <v>36.909484727807992</v>
      </c>
      <c r="Y55" s="447">
        <f t="shared" si="7"/>
        <v>-115.01822277155557</v>
      </c>
      <c r="Z55" s="455">
        <f t="shared" si="69"/>
        <v>-8.3497802374994975E-2</v>
      </c>
      <c r="AA55" s="440">
        <f t="shared" si="44"/>
        <v>1377.5</v>
      </c>
      <c r="AB55" s="440">
        <f>VLOOKUP(D55,Sheet25!A:B,2,0)</f>
        <v>2755</v>
      </c>
      <c r="AC55" s="449">
        <f>VLOOKUP(D55,Sheet6!O:P,2,0)</f>
        <v>2599</v>
      </c>
      <c r="AD55" s="271">
        <v>4999</v>
      </c>
    </row>
    <row r="56" spans="1:30" ht="14.25" customHeight="1">
      <c r="A56" s="273"/>
      <c r="B56" s="273"/>
      <c r="C56" s="273"/>
      <c r="D56" s="271" t="s">
        <v>448</v>
      </c>
      <c r="E56" s="274" t="s">
        <v>449</v>
      </c>
      <c r="F56" s="271" t="s">
        <v>450</v>
      </c>
      <c r="G56" s="271" t="s">
        <v>451</v>
      </c>
      <c r="H56" s="271">
        <v>85101000</v>
      </c>
      <c r="I56" s="453"/>
      <c r="J56" s="272"/>
      <c r="K56" s="272"/>
      <c r="L56" s="272"/>
      <c r="M56" s="453"/>
      <c r="N56" s="453"/>
      <c r="O56" s="444">
        <v>4.6500000000000004</v>
      </c>
      <c r="P56" s="445">
        <f t="shared" ref="P56:P61" si="70">O56*2%</f>
        <v>9.3000000000000013E-2</v>
      </c>
      <c r="Q56" s="445">
        <f t="shared" si="68"/>
        <v>1.0434600000000003</v>
      </c>
      <c r="R56" s="446">
        <f t="shared" si="61"/>
        <v>509.20848000000007</v>
      </c>
      <c r="S56" s="446">
        <f t="shared" si="66"/>
        <v>600.86600640000006</v>
      </c>
      <c r="T56" s="447">
        <v>100</v>
      </c>
      <c r="U56" s="447">
        <f t="shared" si="3"/>
        <v>22.244999999999997</v>
      </c>
      <c r="V56" s="447">
        <f t="shared" si="67"/>
        <v>113.11016949152543</v>
      </c>
      <c r="W56" s="447">
        <f t="shared" si="5"/>
        <v>30.043300320000004</v>
      </c>
      <c r="X56" s="447">
        <f t="shared" si="6"/>
        <v>18.025980192000002</v>
      </c>
      <c r="Y56" s="447">
        <f t="shared" si="7"/>
        <v>-51.132930003525502</v>
      </c>
      <c r="Z56" s="455">
        <f t="shared" si="69"/>
        <v>-6.8958772762677686E-2</v>
      </c>
      <c r="AA56" s="440">
        <f t="shared" si="44"/>
        <v>741.5</v>
      </c>
      <c r="AB56" s="440">
        <f>VLOOKUP(D56,Sheet25!A:B,2,0)</f>
        <v>1483</v>
      </c>
      <c r="AC56" s="449">
        <f>VLOOKUP(D56,Sheet6!O:P,2,0)</f>
        <v>1399</v>
      </c>
      <c r="AD56" s="271">
        <v>1899</v>
      </c>
    </row>
    <row r="57" spans="1:30" ht="14.25" customHeight="1">
      <c r="A57" s="273"/>
      <c r="B57" s="273"/>
      <c r="C57" s="273"/>
      <c r="D57" s="274" t="s">
        <v>454</v>
      </c>
      <c r="E57" s="274" t="s">
        <v>455</v>
      </c>
      <c r="F57" s="271" t="s">
        <v>456</v>
      </c>
      <c r="G57" s="271" t="s">
        <v>457</v>
      </c>
      <c r="H57" s="271">
        <v>85167990</v>
      </c>
      <c r="I57" s="453"/>
      <c r="J57" s="272"/>
      <c r="K57" s="272"/>
      <c r="L57" s="272"/>
      <c r="M57" s="453"/>
      <c r="N57" s="453"/>
      <c r="O57" s="444">
        <v>7</v>
      </c>
      <c r="P57" s="445">
        <f t="shared" si="70"/>
        <v>0.14000000000000001</v>
      </c>
      <c r="Q57" s="445">
        <f t="shared" si="68"/>
        <v>1.5708000000000002</v>
      </c>
      <c r="R57" s="446">
        <f t="shared" si="61"/>
        <v>766.55039999999985</v>
      </c>
      <c r="S57" s="446">
        <f t="shared" si="66"/>
        <v>904.52947199999983</v>
      </c>
      <c r="T57" s="447">
        <v>100</v>
      </c>
      <c r="U57" s="447">
        <f t="shared" si="3"/>
        <v>31.785</v>
      </c>
      <c r="V57" s="447">
        <f t="shared" si="67"/>
        <v>161.61864406779659</v>
      </c>
      <c r="W57" s="447">
        <f t="shared" si="5"/>
        <v>45.226473599999991</v>
      </c>
      <c r="X57" s="447">
        <f t="shared" si="6"/>
        <v>27.135884159999993</v>
      </c>
      <c r="Y57" s="447">
        <f t="shared" si="7"/>
        <v>-72.816401827796426</v>
      </c>
      <c r="Z57" s="455">
        <f t="shared" si="69"/>
        <v>-6.8727137166395877E-2</v>
      </c>
      <c r="AA57" s="440">
        <f t="shared" si="44"/>
        <v>1059.5</v>
      </c>
      <c r="AB57" s="440">
        <f>VLOOKUP(D57,Sheet25!A:B,2,0)</f>
        <v>2119</v>
      </c>
      <c r="AC57" s="449">
        <f>VLOOKUP(D57,Sheet6!O:P,2,0)</f>
        <v>1999</v>
      </c>
      <c r="AD57" s="271">
        <v>3999</v>
      </c>
    </row>
    <row r="58" spans="1:30" ht="14.25" customHeight="1">
      <c r="A58" s="273"/>
      <c r="B58" s="273"/>
      <c r="C58" s="273"/>
      <c r="D58" s="271" t="s">
        <v>659</v>
      </c>
      <c r="E58" s="274" t="s">
        <v>660</v>
      </c>
      <c r="F58" s="273" t="s">
        <v>661</v>
      </c>
      <c r="G58" s="273" t="s">
        <v>662</v>
      </c>
      <c r="H58" s="271">
        <v>85086000</v>
      </c>
      <c r="I58" s="273"/>
      <c r="J58" s="273"/>
      <c r="K58" s="273"/>
      <c r="L58" s="273"/>
      <c r="M58" s="273"/>
      <c r="N58" s="450"/>
      <c r="O58" s="444">
        <v>6.73</v>
      </c>
      <c r="P58" s="445">
        <f t="shared" si="70"/>
        <v>0.13460000000000003</v>
      </c>
      <c r="Q58" s="445">
        <f t="shared" si="68"/>
        <v>1.5102120000000003</v>
      </c>
      <c r="R58" s="446">
        <f t="shared" si="61"/>
        <v>736.98345600000005</v>
      </c>
      <c r="S58" s="446">
        <f t="shared" si="66"/>
        <v>869.64047807999998</v>
      </c>
      <c r="T58" s="447">
        <v>100</v>
      </c>
      <c r="U58" s="447">
        <f t="shared" si="3"/>
        <v>31.785</v>
      </c>
      <c r="V58" s="447">
        <f t="shared" si="67"/>
        <v>161.61864406779659</v>
      </c>
      <c r="W58" s="447">
        <f t="shared" si="5"/>
        <v>43.482023904000002</v>
      </c>
      <c r="X58" s="447">
        <f t="shared" si="6"/>
        <v>26.089214342399998</v>
      </c>
      <c r="Y58" s="447">
        <f t="shared" si="7"/>
        <v>-40.458338314196638</v>
      </c>
      <c r="Z58" s="455">
        <f>Y58/SUM(AA58-V58)</f>
        <v>-4.5059782171545097E-2</v>
      </c>
      <c r="AA58" s="440">
        <f t="shared" si="44"/>
        <v>1059.5</v>
      </c>
      <c r="AB58" s="440">
        <f>VLOOKUP(D58,Sheet25!A:B,2,0)</f>
        <v>2119</v>
      </c>
      <c r="AC58" s="449">
        <f>VLOOKUP(D58,Sheet6!O:P,2,0)</f>
        <v>1999</v>
      </c>
      <c r="AD58" s="273">
        <v>3999</v>
      </c>
    </row>
    <row r="59" spans="1:30" ht="14.25" customHeight="1">
      <c r="A59" s="273"/>
      <c r="B59" s="273"/>
      <c r="C59" s="273"/>
      <c r="D59" s="271" t="s">
        <v>679</v>
      </c>
      <c r="E59" s="274" t="s">
        <v>680</v>
      </c>
      <c r="F59" s="273" t="s">
        <v>681</v>
      </c>
      <c r="G59" s="273" t="s">
        <v>682</v>
      </c>
      <c r="H59" s="271">
        <v>85101000</v>
      </c>
      <c r="I59" s="273"/>
      <c r="J59" s="273"/>
      <c r="K59" s="273"/>
      <c r="L59" s="273"/>
      <c r="M59" s="273"/>
      <c r="N59" s="450"/>
      <c r="O59" s="444">
        <v>3.52</v>
      </c>
      <c r="P59" s="445">
        <f t="shared" si="70"/>
        <v>7.0400000000000004E-2</v>
      </c>
      <c r="Q59" s="445">
        <f t="shared" si="68"/>
        <v>0.78988800000000003</v>
      </c>
      <c r="R59" s="446">
        <f t="shared" si="61"/>
        <v>385.46534400000002</v>
      </c>
      <c r="S59" s="446">
        <f t="shared" si="66"/>
        <v>454.84910592</v>
      </c>
      <c r="T59" s="447">
        <v>100</v>
      </c>
      <c r="U59" s="447">
        <f t="shared" si="3"/>
        <v>18.434999999999999</v>
      </c>
      <c r="V59" s="447">
        <f t="shared" si="67"/>
        <v>93.73728813559319</v>
      </c>
      <c r="W59" s="447">
        <f t="shared" si="5"/>
        <v>22.742455296000003</v>
      </c>
      <c r="X59" s="447">
        <f t="shared" si="6"/>
        <v>13.6454731776</v>
      </c>
      <c r="Y59" s="447">
        <f t="shared" si="7"/>
        <v>-19.52556060919321</v>
      </c>
      <c r="Z59" s="455">
        <f t="shared" ref="Z59:Z67" si="71">Y59/AA59</f>
        <v>-3.1774712138638257E-2</v>
      </c>
      <c r="AA59" s="440">
        <f t="shared" si="44"/>
        <v>614.5</v>
      </c>
      <c r="AB59" s="440">
        <f>VLOOKUP(D59,Sheet25!A:B,2,0)</f>
        <v>1229</v>
      </c>
      <c r="AC59" s="449">
        <f>VLOOKUP(D59,Sheet6!O:P,2,0)</f>
        <v>1159</v>
      </c>
      <c r="AD59" s="273">
        <v>1599</v>
      </c>
    </row>
    <row r="60" spans="1:30" ht="14.25" customHeight="1">
      <c r="A60" s="273"/>
      <c r="B60" s="273"/>
      <c r="C60" s="273"/>
      <c r="D60" s="271" t="s">
        <v>700</v>
      </c>
      <c r="E60" s="274" t="s">
        <v>701</v>
      </c>
      <c r="F60" s="273" t="s">
        <v>702</v>
      </c>
      <c r="G60" s="273" t="s">
        <v>703</v>
      </c>
      <c r="H60" s="271">
        <v>85163100</v>
      </c>
      <c r="I60" s="273"/>
      <c r="J60" s="273"/>
      <c r="K60" s="273"/>
      <c r="L60" s="273"/>
      <c r="M60" s="273"/>
      <c r="N60" s="450"/>
      <c r="O60" s="444">
        <v>6.47</v>
      </c>
      <c r="P60" s="445">
        <f t="shared" si="70"/>
        <v>0.12939999999999999</v>
      </c>
      <c r="Q60" s="445">
        <f t="shared" si="68"/>
        <v>1.4518680000000002</v>
      </c>
      <c r="R60" s="446">
        <f t="shared" si="61"/>
        <v>708.51158400000008</v>
      </c>
      <c r="S60" s="446">
        <f t="shared" si="66"/>
        <v>836.04366912</v>
      </c>
      <c r="T60" s="447">
        <v>100</v>
      </c>
      <c r="U60" s="447">
        <f t="shared" si="3"/>
        <v>31.785</v>
      </c>
      <c r="V60" s="447">
        <f t="shared" si="67"/>
        <v>161.61864406779659</v>
      </c>
      <c r="W60" s="447">
        <f t="shared" si="5"/>
        <v>41.802183456000002</v>
      </c>
      <c r="X60" s="447">
        <f t="shared" si="6"/>
        <v>25.081310073599997</v>
      </c>
      <c r="Y60" s="447">
        <f t="shared" si="7"/>
        <v>-9.2987215973966748</v>
      </c>
      <c r="Z60" s="455">
        <f t="shared" si="71"/>
        <v>-8.776518732795351E-3</v>
      </c>
      <c r="AA60" s="440">
        <f t="shared" si="44"/>
        <v>1059.5</v>
      </c>
      <c r="AB60" s="440">
        <f>VLOOKUP(D60,Sheet25!A:B,2,0)</f>
        <v>2119</v>
      </c>
      <c r="AC60" s="449">
        <f>VLOOKUP(D60,Sheet6!O:P,2,0)</f>
        <v>1999</v>
      </c>
      <c r="AD60" s="273">
        <v>3399</v>
      </c>
    </row>
    <row r="61" spans="1:30" ht="14.25" customHeight="1">
      <c r="A61" s="273"/>
      <c r="B61" s="273"/>
      <c r="C61" s="273"/>
      <c r="D61" s="271" t="s">
        <v>468</v>
      </c>
      <c r="E61" s="276" t="s">
        <v>469</v>
      </c>
      <c r="F61" s="271" t="s">
        <v>470</v>
      </c>
      <c r="G61" s="271" t="s">
        <v>466</v>
      </c>
      <c r="H61" s="271">
        <v>85163100</v>
      </c>
      <c r="I61" s="453"/>
      <c r="J61" s="272"/>
      <c r="K61" s="272"/>
      <c r="L61" s="272"/>
      <c r="M61" s="453"/>
      <c r="N61" s="453"/>
      <c r="O61" s="444">
        <v>5</v>
      </c>
      <c r="P61" s="445">
        <f t="shared" si="70"/>
        <v>0.1</v>
      </c>
      <c r="Q61" s="445">
        <f t="shared" si="68"/>
        <v>1.1220000000000001</v>
      </c>
      <c r="R61" s="446">
        <f t="shared" si="61"/>
        <v>547.53599999999994</v>
      </c>
      <c r="S61" s="446">
        <f t="shared" si="66"/>
        <v>646.09247999999991</v>
      </c>
      <c r="T61" s="447">
        <v>100</v>
      </c>
      <c r="U61" s="447">
        <f t="shared" si="3"/>
        <v>25.425000000000001</v>
      </c>
      <c r="V61" s="447">
        <f t="shared" si="67"/>
        <v>129.27966101694915</v>
      </c>
      <c r="W61" s="447">
        <f t="shared" si="5"/>
        <v>32.304623999999997</v>
      </c>
      <c r="X61" s="447">
        <f t="shared" si="6"/>
        <v>19.382774399999995</v>
      </c>
      <c r="Y61" s="447">
        <f t="shared" si="7"/>
        <v>-6.4280594169490968</v>
      </c>
      <c r="Z61" s="455">
        <f t="shared" si="71"/>
        <v>-7.5847308754561612E-3</v>
      </c>
      <c r="AA61" s="440">
        <f t="shared" si="44"/>
        <v>847.5</v>
      </c>
      <c r="AB61" s="440">
        <f>VLOOKUP(D61,Sheet25!A:B,2,0)</f>
        <v>1695</v>
      </c>
      <c r="AC61" s="449">
        <f>VLOOKUP(D61,Sheet6!O:P,2,0)</f>
        <v>1599</v>
      </c>
      <c r="AD61" s="271">
        <v>3499</v>
      </c>
    </row>
    <row r="62" spans="1:30" ht="14.25" customHeight="1">
      <c r="A62" s="430"/>
      <c r="B62" s="430"/>
      <c r="C62" s="430"/>
      <c r="D62" s="430"/>
      <c r="E62" s="430"/>
      <c r="F62" s="430" t="s">
        <v>665</v>
      </c>
      <c r="G62" s="430"/>
      <c r="H62" s="430"/>
      <c r="I62" s="430"/>
      <c r="J62" s="430"/>
      <c r="K62" s="430"/>
      <c r="L62" s="430"/>
      <c r="M62" s="430"/>
      <c r="N62" s="430"/>
      <c r="O62" s="430"/>
      <c r="P62" s="430"/>
      <c r="Q62" s="430"/>
      <c r="R62" s="460">
        <v>1088.9000000000001</v>
      </c>
      <c r="S62" s="460">
        <v>1284.8</v>
      </c>
      <c r="T62" s="437">
        <v>100</v>
      </c>
      <c r="U62" s="437" t="e">
        <f t="shared" si="3"/>
        <v>#N/A</v>
      </c>
      <c r="V62" s="437" t="e">
        <f t="shared" si="67"/>
        <v>#N/A</v>
      </c>
      <c r="W62" s="437">
        <f t="shared" si="5"/>
        <v>64.239999999999995</v>
      </c>
      <c r="X62" s="437">
        <f t="shared" si="6"/>
        <v>38.543999999999997</v>
      </c>
      <c r="Y62" s="437" t="e">
        <f t="shared" si="7"/>
        <v>#N/A</v>
      </c>
      <c r="Z62" s="438" t="e">
        <f t="shared" si="71"/>
        <v>#N/A</v>
      </c>
      <c r="AA62" s="439" t="e">
        <f t="shared" si="44"/>
        <v>#N/A</v>
      </c>
      <c r="AB62" s="440" t="e">
        <f>VLOOKUP(D62,Sheet25!A:B,2,0)</f>
        <v>#N/A</v>
      </c>
      <c r="AC62" s="428">
        <v>2999</v>
      </c>
      <c r="AD62" s="428">
        <v>3999</v>
      </c>
    </row>
    <row r="63" spans="1:30" ht="14.25" customHeight="1">
      <c r="A63" s="273"/>
      <c r="B63" s="273"/>
      <c r="C63" s="273"/>
      <c r="D63" s="271" t="s">
        <v>615</v>
      </c>
      <c r="E63" s="271" t="s">
        <v>616</v>
      </c>
      <c r="F63" s="273" t="s">
        <v>617</v>
      </c>
      <c r="G63" s="273" t="s">
        <v>620</v>
      </c>
      <c r="H63" s="271">
        <v>90191020</v>
      </c>
      <c r="I63" s="273"/>
      <c r="J63" s="273"/>
      <c r="K63" s="273"/>
      <c r="L63" s="461"/>
      <c r="M63" s="461"/>
      <c r="N63" s="450"/>
      <c r="O63" s="444">
        <v>4.9000000000000004</v>
      </c>
      <c r="P63" s="445">
        <f t="shared" ref="P63:P72" si="72">O63*2%</f>
        <v>9.8000000000000004E-2</v>
      </c>
      <c r="Q63" s="445">
        <f t="shared" ref="Q63:Q64" si="73">(O63+P63)*(B$8+(B$8*B$11))</f>
        <v>0.54978000000000005</v>
      </c>
      <c r="R63" s="446">
        <f t="shared" ref="R63:R76" si="74">(O63+P63+Q63)*B$2</f>
        <v>488.20464000000004</v>
      </c>
      <c r="S63" s="446">
        <f t="shared" ref="S63:S64" si="75">R63*1.12</f>
        <v>546.78919680000013</v>
      </c>
      <c r="T63" s="447">
        <v>100</v>
      </c>
      <c r="U63" s="447">
        <f t="shared" si="3"/>
        <v>22.244999999999997</v>
      </c>
      <c r="V63" s="447">
        <f t="shared" ref="V63:V64" si="76">AA63-(AA63/1.12)</f>
        <v>79.446428571428669</v>
      </c>
      <c r="W63" s="447">
        <f t="shared" si="5"/>
        <v>27.339459840000007</v>
      </c>
      <c r="X63" s="447">
        <f t="shared" si="6"/>
        <v>16.403675904000004</v>
      </c>
      <c r="Y63" s="447">
        <f t="shared" si="7"/>
        <v>7.8607956845712756</v>
      </c>
      <c r="Z63" s="455">
        <f t="shared" si="71"/>
        <v>1.0601207936036784E-2</v>
      </c>
      <c r="AA63" s="440">
        <f t="shared" si="44"/>
        <v>741.5</v>
      </c>
      <c r="AB63" s="440">
        <f>VLOOKUP(D63,Sheet25!A:B,2,0)</f>
        <v>1483</v>
      </c>
      <c r="AC63" s="449">
        <f>VLOOKUP(D63,Sheet6!O:P,2,0)</f>
        <v>1399</v>
      </c>
      <c r="AD63" s="273">
        <v>2499</v>
      </c>
    </row>
    <row r="64" spans="1:30" ht="14.25" customHeight="1">
      <c r="A64" s="273"/>
      <c r="B64" s="273"/>
      <c r="C64" s="273"/>
      <c r="D64" s="271" t="s">
        <v>621</v>
      </c>
      <c r="E64" s="271" t="s">
        <v>622</v>
      </c>
      <c r="F64" s="273" t="s">
        <v>623</v>
      </c>
      <c r="G64" s="273" t="s">
        <v>624</v>
      </c>
      <c r="H64" s="271">
        <v>90191020</v>
      </c>
      <c r="I64" s="273"/>
      <c r="J64" s="273"/>
      <c r="K64" s="273"/>
      <c r="L64" s="273"/>
      <c r="M64" s="273"/>
      <c r="N64" s="450"/>
      <c r="O64" s="444">
        <v>4.9000000000000004</v>
      </c>
      <c r="P64" s="445">
        <f t="shared" si="72"/>
        <v>9.8000000000000004E-2</v>
      </c>
      <c r="Q64" s="445">
        <f t="shared" si="73"/>
        <v>0.54978000000000005</v>
      </c>
      <c r="R64" s="446">
        <f t="shared" si="74"/>
        <v>488.20464000000004</v>
      </c>
      <c r="S64" s="446">
        <f t="shared" si="75"/>
        <v>546.78919680000013</v>
      </c>
      <c r="T64" s="447">
        <v>100</v>
      </c>
      <c r="U64" s="447">
        <f t="shared" si="3"/>
        <v>22.244999999999997</v>
      </c>
      <c r="V64" s="447">
        <f t="shared" si="76"/>
        <v>79.446428571428669</v>
      </c>
      <c r="W64" s="447">
        <f t="shared" si="5"/>
        <v>27.339459840000007</v>
      </c>
      <c r="X64" s="447">
        <f t="shared" si="6"/>
        <v>16.403675904000004</v>
      </c>
      <c r="Y64" s="447">
        <f t="shared" si="7"/>
        <v>7.8607956845712756</v>
      </c>
      <c r="Z64" s="455">
        <f t="shared" si="71"/>
        <v>1.0601207936036784E-2</v>
      </c>
      <c r="AA64" s="440">
        <f t="shared" si="44"/>
        <v>741.5</v>
      </c>
      <c r="AB64" s="440">
        <f>VLOOKUP(D64,Sheet25!A:B,2,0)</f>
        <v>1483</v>
      </c>
      <c r="AC64" s="449">
        <f>VLOOKUP(D64,Sheet6!O:P,2,0)</f>
        <v>1399</v>
      </c>
      <c r="AD64" s="273">
        <v>2499</v>
      </c>
    </row>
    <row r="65" spans="1:30" ht="14.25" customHeight="1">
      <c r="A65" s="273"/>
      <c r="B65" s="273"/>
      <c r="C65" s="273"/>
      <c r="D65" s="271" t="s">
        <v>580</v>
      </c>
      <c r="E65" s="274" t="s">
        <v>581</v>
      </c>
      <c r="F65" s="273" t="s">
        <v>582</v>
      </c>
      <c r="G65" s="273" t="s">
        <v>583</v>
      </c>
      <c r="H65" s="271">
        <v>85163200</v>
      </c>
      <c r="I65" s="273"/>
      <c r="J65" s="273"/>
      <c r="K65" s="273"/>
      <c r="L65" s="273"/>
      <c r="M65" s="273"/>
      <c r="N65" s="273"/>
      <c r="O65" s="444">
        <v>8</v>
      </c>
      <c r="P65" s="445">
        <f t="shared" si="72"/>
        <v>0.16</v>
      </c>
      <c r="Q65" s="445">
        <f>(O65+P65)*(B$7+(B$7*B$11))</f>
        <v>1.7952000000000004</v>
      </c>
      <c r="R65" s="446">
        <f t="shared" si="74"/>
        <v>876.05760000000009</v>
      </c>
      <c r="S65" s="446">
        <f t="shared" ref="S65:S72" si="77">R65*1.18</f>
        <v>1033.7479680000001</v>
      </c>
      <c r="T65" s="447">
        <v>100</v>
      </c>
      <c r="U65" s="447">
        <f t="shared" si="3"/>
        <v>39.734999999999999</v>
      </c>
      <c r="V65" s="447">
        <f t="shared" ref="V65:V72" si="78">AA65-(AA65/1.18)</f>
        <v>202.04237288135596</v>
      </c>
      <c r="W65" s="447">
        <f t="shared" si="5"/>
        <v>51.687398400000006</v>
      </c>
      <c r="X65" s="447">
        <f t="shared" si="6"/>
        <v>31.012439040000004</v>
      </c>
      <c r="Y65" s="447">
        <f t="shared" si="7"/>
        <v>23.965189678643924</v>
      </c>
      <c r="Z65" s="455">
        <f t="shared" si="71"/>
        <v>1.8093763441784767E-2</v>
      </c>
      <c r="AA65" s="440">
        <f t="shared" si="44"/>
        <v>1324.5</v>
      </c>
      <c r="AB65" s="440">
        <f>VLOOKUP(D65,Sheet25!A:B,2,0)</f>
        <v>2649</v>
      </c>
      <c r="AC65" s="449">
        <f>VLOOKUP(D65,Sheet6!O:P,2,0)</f>
        <v>2499</v>
      </c>
      <c r="AD65" s="273">
        <v>3599</v>
      </c>
    </row>
    <row r="66" spans="1:30" ht="14.25" customHeight="1">
      <c r="A66" s="273"/>
      <c r="B66" s="273"/>
      <c r="C66" s="273"/>
      <c r="D66" s="271" t="s">
        <v>642</v>
      </c>
      <c r="E66" s="274" t="s">
        <v>643</v>
      </c>
      <c r="F66" s="273" t="s">
        <v>644</v>
      </c>
      <c r="G66" s="273" t="s">
        <v>645</v>
      </c>
      <c r="H66" s="271">
        <v>85437093</v>
      </c>
      <c r="I66" s="273"/>
      <c r="J66" s="273"/>
      <c r="K66" s="273"/>
      <c r="L66" s="273"/>
      <c r="M66" s="273"/>
      <c r="N66" s="450"/>
      <c r="O66" s="444">
        <v>5</v>
      </c>
      <c r="P66" s="445">
        <f t="shared" si="72"/>
        <v>0.1</v>
      </c>
      <c r="Q66" s="445">
        <f t="shared" ref="Q66:Q67" si="79">(O66+P66)*(B$8+(B$8*B$11))</f>
        <v>0.56100000000000005</v>
      </c>
      <c r="R66" s="446">
        <f t="shared" si="74"/>
        <v>498.16799999999995</v>
      </c>
      <c r="S66" s="446">
        <f t="shared" si="77"/>
        <v>587.83823999999993</v>
      </c>
      <c r="T66" s="447">
        <v>100</v>
      </c>
      <c r="U66" s="447">
        <f t="shared" si="3"/>
        <v>24.63</v>
      </c>
      <c r="V66" s="447">
        <f t="shared" si="78"/>
        <v>125.23728813559319</v>
      </c>
      <c r="W66" s="447">
        <f t="shared" si="5"/>
        <v>29.391911999999998</v>
      </c>
      <c r="X66" s="447">
        <f t="shared" si="6"/>
        <v>17.635147199999999</v>
      </c>
      <c r="Y66" s="447">
        <f t="shared" si="7"/>
        <v>25.937652664406869</v>
      </c>
      <c r="Z66" s="455">
        <f t="shared" si="71"/>
        <v>3.1592755985879253E-2</v>
      </c>
      <c r="AA66" s="440">
        <f t="shared" si="44"/>
        <v>821</v>
      </c>
      <c r="AB66" s="440">
        <f>VLOOKUP(D66,Sheet25!A:B,2,0)</f>
        <v>1642</v>
      </c>
      <c r="AC66" s="449">
        <f>VLOOKUP(D66,Sheet6!O:P,2,0)</f>
        <v>1549</v>
      </c>
      <c r="AD66" s="273">
        <v>2499</v>
      </c>
    </row>
    <row r="67" spans="1:30" ht="14.25" customHeight="1">
      <c r="A67" s="273"/>
      <c r="B67" s="273"/>
      <c r="C67" s="273"/>
      <c r="D67" s="271" t="s">
        <v>724</v>
      </c>
      <c r="E67" s="271" t="s">
        <v>725</v>
      </c>
      <c r="F67" s="273" t="s">
        <v>726</v>
      </c>
      <c r="G67" s="273" t="s">
        <v>727</v>
      </c>
      <c r="H67" s="271">
        <v>85437093</v>
      </c>
      <c r="I67" s="273"/>
      <c r="J67" s="273"/>
      <c r="K67" s="273"/>
      <c r="L67" s="273"/>
      <c r="M67" s="273"/>
      <c r="N67" s="450"/>
      <c r="O67" s="444">
        <v>4.5</v>
      </c>
      <c r="P67" s="445">
        <f t="shared" si="72"/>
        <v>0.09</v>
      </c>
      <c r="Q67" s="445">
        <f t="shared" si="79"/>
        <v>0.50490000000000002</v>
      </c>
      <c r="R67" s="446">
        <f t="shared" si="74"/>
        <v>448.35120000000001</v>
      </c>
      <c r="S67" s="446">
        <f t="shared" si="77"/>
        <v>529.05441599999995</v>
      </c>
      <c r="T67" s="447">
        <v>100</v>
      </c>
      <c r="U67" s="447">
        <f t="shared" si="3"/>
        <v>22.56</v>
      </c>
      <c r="V67" s="447">
        <f t="shared" si="78"/>
        <v>114.71186440677968</v>
      </c>
      <c r="W67" s="447">
        <f t="shared" si="5"/>
        <v>26.452720799999998</v>
      </c>
      <c r="X67" s="447">
        <f t="shared" si="6"/>
        <v>15.871632479999997</v>
      </c>
      <c r="Y67" s="447">
        <f t="shared" si="7"/>
        <v>24.05258231322032</v>
      </c>
      <c r="Z67" s="455">
        <f t="shared" si="71"/>
        <v>3.1984816905878087E-2</v>
      </c>
      <c r="AA67" s="440">
        <f t="shared" si="44"/>
        <v>752</v>
      </c>
      <c r="AB67" s="440">
        <f>VLOOKUP(D67,Sheet25!A:B,2,0)</f>
        <v>1504</v>
      </c>
      <c r="AC67" s="449">
        <f>VLOOKUP(D67,Sheet6!O:P,2,0)</f>
        <v>1419</v>
      </c>
      <c r="AD67" s="273">
        <v>1699</v>
      </c>
    </row>
    <row r="68" spans="1:30" ht="14.25" customHeight="1">
      <c r="A68" s="273"/>
      <c r="B68" s="273"/>
      <c r="C68" s="273"/>
      <c r="D68" s="271" t="s">
        <v>704</v>
      </c>
      <c r="E68" s="274" t="s">
        <v>705</v>
      </c>
      <c r="F68" s="273" t="s">
        <v>706</v>
      </c>
      <c r="G68" s="273" t="s">
        <v>708</v>
      </c>
      <c r="H68" s="271">
        <v>85098000</v>
      </c>
      <c r="I68" s="273"/>
      <c r="J68" s="273"/>
      <c r="K68" s="273"/>
      <c r="L68" s="273"/>
      <c r="M68" s="273"/>
      <c r="N68" s="450"/>
      <c r="O68" s="444">
        <v>20</v>
      </c>
      <c r="P68" s="445">
        <f t="shared" si="72"/>
        <v>0.4</v>
      </c>
      <c r="Q68" s="445">
        <f>(O68+P68)*(B$7+(B$7*B$11))</f>
        <v>4.4880000000000004</v>
      </c>
      <c r="R68" s="446">
        <f t="shared" si="74"/>
        <v>2190.1439999999998</v>
      </c>
      <c r="S68" s="446">
        <f t="shared" si="77"/>
        <v>2584.3699199999996</v>
      </c>
      <c r="T68" s="447">
        <v>100</v>
      </c>
      <c r="U68" s="447">
        <f t="shared" si="3"/>
        <v>95.384999999999991</v>
      </c>
      <c r="V68" s="447">
        <f t="shared" si="78"/>
        <v>485.00847457627106</v>
      </c>
      <c r="W68" s="447">
        <f t="shared" si="5"/>
        <v>129.21849599999999</v>
      </c>
      <c r="X68" s="447">
        <f t="shared" si="6"/>
        <v>77.531097599999981</v>
      </c>
      <c r="Y68" s="447">
        <f t="shared" si="7"/>
        <v>102.21293182372921</v>
      </c>
      <c r="Z68" s="455">
        <f>Y68/SUM(AA68-V68)</f>
        <v>3.7934033512187597E-2</v>
      </c>
      <c r="AA68" s="440">
        <f t="shared" si="44"/>
        <v>3179.5</v>
      </c>
      <c r="AB68" s="440">
        <f>VLOOKUP(D68,Sheet25!A:B,2,0)</f>
        <v>6359</v>
      </c>
      <c r="AC68" s="449">
        <f>VLOOKUP(D68,Sheet6!O:P,2,0)</f>
        <v>5999</v>
      </c>
      <c r="AD68" s="273">
        <v>8299</v>
      </c>
    </row>
    <row r="69" spans="1:30" ht="14.25" customHeight="1">
      <c r="A69" s="273"/>
      <c r="B69" s="273"/>
      <c r="C69" s="273"/>
      <c r="D69" s="271" t="s">
        <v>589</v>
      </c>
      <c r="E69" s="274" t="s">
        <v>590</v>
      </c>
      <c r="F69" s="273" t="s">
        <v>591</v>
      </c>
      <c r="G69" s="273" t="s">
        <v>593</v>
      </c>
      <c r="H69" s="271">
        <v>85437093</v>
      </c>
      <c r="I69" s="273"/>
      <c r="J69" s="273">
        <v>27.4</v>
      </c>
      <c r="K69" s="273">
        <v>7.4</v>
      </c>
      <c r="L69" s="273">
        <v>4.5</v>
      </c>
      <c r="M69" s="462">
        <f>L69*K69*J69/1000000</f>
        <v>9.1242000000000005E-4</v>
      </c>
      <c r="N69" s="273"/>
      <c r="O69" s="444">
        <v>6.8</v>
      </c>
      <c r="P69" s="445">
        <f t="shared" si="72"/>
        <v>0.13600000000000001</v>
      </c>
      <c r="Q69" s="445">
        <f>(O69+P69)*(B$8+(B$8*B$11))</f>
        <v>0.76296000000000008</v>
      </c>
      <c r="R69" s="446">
        <f t="shared" si="74"/>
        <v>677.50847999999996</v>
      </c>
      <c r="S69" s="446">
        <f t="shared" si="77"/>
        <v>799.46000639999988</v>
      </c>
      <c r="T69" s="447">
        <v>100</v>
      </c>
      <c r="U69" s="447">
        <f t="shared" si="3"/>
        <v>32.549999999999997</v>
      </c>
      <c r="V69" s="447">
        <f t="shared" si="78"/>
        <v>165.50847457627117</v>
      </c>
      <c r="W69" s="447">
        <f t="shared" si="5"/>
        <v>39.973000319999997</v>
      </c>
      <c r="X69" s="447">
        <f t="shared" si="6"/>
        <v>23.983800191999997</v>
      </c>
      <c r="Y69" s="447">
        <f t="shared" si="7"/>
        <v>45.476244911728863</v>
      </c>
      <c r="Z69" s="455">
        <f t="shared" ref="Z69:Z73" si="80">Y69/AA69</f>
        <v>4.1913589780395263E-2</v>
      </c>
      <c r="AA69" s="440">
        <f t="shared" si="44"/>
        <v>1085</v>
      </c>
      <c r="AB69" s="440">
        <f>VLOOKUP(D69,Sheet25!A:B,2,0)</f>
        <v>2170</v>
      </c>
      <c r="AC69" s="449">
        <f>VLOOKUP(D69,Sheet6!O:P,2,0)</f>
        <v>2047</v>
      </c>
      <c r="AD69" s="273">
        <v>2999</v>
      </c>
    </row>
    <row r="70" spans="1:30" ht="14.25" customHeight="1">
      <c r="A70" s="273"/>
      <c r="B70" s="273"/>
      <c r="C70" s="273"/>
      <c r="D70" s="271" t="s">
        <v>575</v>
      </c>
      <c r="E70" s="274" t="s">
        <v>576</v>
      </c>
      <c r="F70" s="273" t="s">
        <v>577</v>
      </c>
      <c r="G70" s="273" t="s">
        <v>579</v>
      </c>
      <c r="H70" s="271">
        <v>85163200</v>
      </c>
      <c r="I70" s="273"/>
      <c r="J70" s="273"/>
      <c r="K70" s="273"/>
      <c r="L70" s="273"/>
      <c r="M70" s="273"/>
      <c r="N70" s="273"/>
      <c r="O70" s="444">
        <v>6.64</v>
      </c>
      <c r="P70" s="445">
        <f t="shared" si="72"/>
        <v>0.1328</v>
      </c>
      <c r="Q70" s="445">
        <f>(O70+P70)*(B$7+(B$7*B$11))</f>
        <v>1.490016</v>
      </c>
      <c r="R70" s="446">
        <f t="shared" si="74"/>
        <v>727.12780799999996</v>
      </c>
      <c r="S70" s="446">
        <f t="shared" si="77"/>
        <v>858.01081343999988</v>
      </c>
      <c r="T70" s="447">
        <v>100</v>
      </c>
      <c r="U70" s="447">
        <f t="shared" si="3"/>
        <v>34.964999999999996</v>
      </c>
      <c r="V70" s="447">
        <f t="shared" si="78"/>
        <v>177.78813559322032</v>
      </c>
      <c r="W70" s="447">
        <f t="shared" si="5"/>
        <v>42.900540671999998</v>
      </c>
      <c r="X70" s="447">
        <f t="shared" si="6"/>
        <v>25.740324403199995</v>
      </c>
      <c r="Y70" s="447">
        <f t="shared" si="7"/>
        <v>56.978191331579751</v>
      </c>
      <c r="Z70" s="455">
        <f t="shared" si="80"/>
        <v>4.8887337049832474E-2</v>
      </c>
      <c r="AA70" s="440">
        <f t="shared" si="44"/>
        <v>1165.5</v>
      </c>
      <c r="AB70" s="440">
        <f>VLOOKUP(D70,Sheet25!A:B,2,0)</f>
        <v>2331</v>
      </c>
      <c r="AC70" s="449">
        <f>VLOOKUP(D70,Sheet6!O:P,2,0)</f>
        <v>2199</v>
      </c>
      <c r="AD70" s="273">
        <v>3599</v>
      </c>
    </row>
    <row r="71" spans="1:30" ht="14.25" customHeight="1">
      <c r="A71" s="273"/>
      <c r="B71" s="273"/>
      <c r="C71" s="273"/>
      <c r="D71" s="271" t="s">
        <v>835</v>
      </c>
      <c r="E71" s="274" t="s">
        <v>836</v>
      </c>
      <c r="F71" s="273" t="s">
        <v>837</v>
      </c>
      <c r="G71" s="271" t="s">
        <v>838</v>
      </c>
      <c r="H71" s="271">
        <v>90191020</v>
      </c>
      <c r="I71" s="273"/>
      <c r="J71" s="273"/>
      <c r="K71" s="273"/>
      <c r="L71" s="273"/>
      <c r="M71" s="273"/>
      <c r="N71" s="273"/>
      <c r="O71" s="444">
        <v>6.5</v>
      </c>
      <c r="P71" s="445">
        <f t="shared" si="72"/>
        <v>0.13</v>
      </c>
      <c r="Q71" s="445">
        <f>(O71+P71)*(B$8+(B$8*B$11))</f>
        <v>0.72930000000000006</v>
      </c>
      <c r="R71" s="446">
        <f t="shared" si="74"/>
        <v>647.61840000000007</v>
      </c>
      <c r="S71" s="446">
        <f t="shared" si="77"/>
        <v>764.18971199999999</v>
      </c>
      <c r="T71" s="447">
        <v>100</v>
      </c>
      <c r="U71" s="447">
        <f t="shared" si="3"/>
        <v>31.785</v>
      </c>
      <c r="V71" s="447">
        <f t="shared" si="78"/>
        <v>161.61864406779659</v>
      </c>
      <c r="W71" s="447">
        <f t="shared" si="5"/>
        <v>38.209485600000001</v>
      </c>
      <c r="X71" s="447">
        <f t="shared" si="6"/>
        <v>22.925691359999998</v>
      </c>
      <c r="Y71" s="447">
        <f t="shared" si="7"/>
        <v>57.34277897220332</v>
      </c>
      <c r="Z71" s="455">
        <f t="shared" si="80"/>
        <v>5.4122490771310351E-2</v>
      </c>
      <c r="AA71" s="440">
        <f t="shared" si="44"/>
        <v>1059.5</v>
      </c>
      <c r="AB71" s="440">
        <f>VLOOKUP(D71,Sheet25!A:B,2,0)</f>
        <v>2119</v>
      </c>
      <c r="AC71" s="271">
        <v>1999</v>
      </c>
      <c r="AD71" s="273">
        <v>3099</v>
      </c>
    </row>
    <row r="72" spans="1:30" ht="14.25" customHeight="1">
      <c r="A72" s="273"/>
      <c r="B72" s="273"/>
      <c r="C72" s="273"/>
      <c r="D72" s="271" t="s">
        <v>675</v>
      </c>
      <c r="E72" s="274" t="s">
        <v>676</v>
      </c>
      <c r="F72" s="273" t="s">
        <v>677</v>
      </c>
      <c r="G72" s="273" t="s">
        <v>678</v>
      </c>
      <c r="H72" s="271">
        <v>85101000</v>
      </c>
      <c r="I72" s="273"/>
      <c r="J72" s="273"/>
      <c r="K72" s="273"/>
      <c r="L72" s="273"/>
      <c r="M72" s="273"/>
      <c r="N72" s="450"/>
      <c r="O72" s="444">
        <v>4.55</v>
      </c>
      <c r="P72" s="445">
        <f t="shared" si="72"/>
        <v>9.0999999999999998E-2</v>
      </c>
      <c r="Q72" s="445">
        <f t="shared" ref="Q72:Q73" si="81">(O72+P72)*(B$7+(B$7*B$11))</f>
        <v>1.02102</v>
      </c>
      <c r="R72" s="446">
        <f t="shared" si="74"/>
        <v>498.25776000000002</v>
      </c>
      <c r="S72" s="446">
        <f t="shared" si="77"/>
        <v>587.94415679999997</v>
      </c>
      <c r="T72" s="447">
        <v>100</v>
      </c>
      <c r="U72" s="447">
        <f t="shared" si="3"/>
        <v>25.425000000000001</v>
      </c>
      <c r="V72" s="447">
        <f t="shared" si="78"/>
        <v>129.27966101694915</v>
      </c>
      <c r="W72" s="447">
        <f t="shared" si="5"/>
        <v>29.39720784</v>
      </c>
      <c r="X72" s="447">
        <f t="shared" si="6"/>
        <v>17.638324703999999</v>
      </c>
      <c r="Y72" s="447">
        <f t="shared" si="7"/>
        <v>47.502046439050829</v>
      </c>
      <c r="Z72" s="455">
        <f t="shared" si="80"/>
        <v>5.6049612317464102E-2</v>
      </c>
      <c r="AA72" s="440">
        <f t="shared" si="44"/>
        <v>847.5</v>
      </c>
      <c r="AB72" s="440">
        <f>VLOOKUP(D72,Sheet25!A:B,2,0)</f>
        <v>1695</v>
      </c>
      <c r="AC72" s="449">
        <f>VLOOKUP(D72,Sheet6!O:P,2,0)</f>
        <v>1599</v>
      </c>
      <c r="AD72" s="273">
        <v>1999</v>
      </c>
    </row>
    <row r="73" spans="1:30" ht="14.25" customHeight="1">
      <c r="A73" s="273"/>
      <c r="B73" s="273"/>
      <c r="C73" s="273"/>
      <c r="D73" s="271" t="s">
        <v>827</v>
      </c>
      <c r="E73" s="272" t="s">
        <v>828</v>
      </c>
      <c r="F73" s="271" t="s">
        <v>829</v>
      </c>
      <c r="G73" s="271" t="s">
        <v>830</v>
      </c>
      <c r="H73" s="271">
        <v>85098000</v>
      </c>
      <c r="I73" s="453">
        <v>0.3</v>
      </c>
      <c r="J73" s="272">
        <v>21.6</v>
      </c>
      <c r="K73" s="272">
        <v>16.600000000000001</v>
      </c>
      <c r="L73" s="272">
        <v>13.9</v>
      </c>
      <c r="M73" s="453">
        <f>(J73*K73*L73)/1000000</f>
        <v>4.9839840000000012E-3</v>
      </c>
      <c r="N73" s="453">
        <f>(J73*K73*L73)/5000</f>
        <v>0.99679680000000026</v>
      </c>
      <c r="O73" s="444">
        <v>6</v>
      </c>
      <c r="P73" s="445">
        <f>B$3/(B$4/M73)</f>
        <v>0.14658776470588239</v>
      </c>
      <c r="Q73" s="445">
        <f t="shared" si="81"/>
        <v>1.3522493082352942</v>
      </c>
      <c r="R73" s="446">
        <f t="shared" si="74"/>
        <v>659.89766241882353</v>
      </c>
      <c r="S73" s="446">
        <f>R73*1.12</f>
        <v>739.08538190908246</v>
      </c>
      <c r="T73" s="447">
        <v>100</v>
      </c>
      <c r="U73" s="447">
        <f t="shared" si="3"/>
        <v>31.785</v>
      </c>
      <c r="V73" s="447">
        <f>AA73-(AA73/1.12)</f>
        <v>113.51785714285722</v>
      </c>
      <c r="W73" s="447">
        <f t="shared" si="5"/>
        <v>36.954269095454123</v>
      </c>
      <c r="X73" s="447">
        <f t="shared" si="6"/>
        <v>22.172561457272472</v>
      </c>
      <c r="Y73" s="447">
        <f t="shared" si="7"/>
        <v>95.17264988559262</v>
      </c>
      <c r="Z73" s="455">
        <f t="shared" si="80"/>
        <v>8.9827890406411162E-2</v>
      </c>
      <c r="AA73" s="440">
        <f t="shared" si="44"/>
        <v>1059.5</v>
      </c>
      <c r="AB73" s="440">
        <f>VLOOKUP(D73,Sheet25!A:B,2,0)</f>
        <v>2119</v>
      </c>
      <c r="AC73" s="449">
        <f>VLOOKUP(D73,Sheet6!O:P,2,0)</f>
        <v>1999</v>
      </c>
      <c r="AD73" s="271">
        <v>3599</v>
      </c>
    </row>
    <row r="74" spans="1:30" ht="14.25" customHeight="1">
      <c r="A74" s="273"/>
      <c r="B74" s="273"/>
      <c r="C74" s="273"/>
      <c r="D74" s="271" t="s">
        <v>424</v>
      </c>
      <c r="E74" s="274" t="s">
        <v>425</v>
      </c>
      <c r="F74" s="271" t="s">
        <v>426</v>
      </c>
      <c r="G74" s="271" t="s">
        <v>427</v>
      </c>
      <c r="H74" s="271">
        <v>85086000</v>
      </c>
      <c r="I74" s="453"/>
      <c r="J74" s="272"/>
      <c r="K74" s="272"/>
      <c r="L74" s="272"/>
      <c r="M74" s="453"/>
      <c r="N74" s="453"/>
      <c r="O74" s="444">
        <v>9.5</v>
      </c>
      <c r="P74" s="445">
        <f t="shared" ref="P74:P76" si="82">O74*2%</f>
        <v>0.19</v>
      </c>
      <c r="Q74" s="445">
        <f>(O74+P74)*(B$8+(B$8*B$11))</f>
        <v>1.0659000000000001</v>
      </c>
      <c r="R74" s="446">
        <f t="shared" si="74"/>
        <v>946.51920000000007</v>
      </c>
      <c r="S74" s="446">
        <f t="shared" ref="S74:S76" si="83">R74*1.18</f>
        <v>1116.892656</v>
      </c>
      <c r="T74" s="447">
        <v>100</v>
      </c>
      <c r="U74" s="447">
        <f t="shared" si="3"/>
        <v>46.094999999999999</v>
      </c>
      <c r="V74" s="447">
        <f t="shared" ref="V74:V76" si="84">AA74-(AA74/1.18)</f>
        <v>234.38135593220341</v>
      </c>
      <c r="W74" s="447">
        <f t="shared" si="5"/>
        <v>55.844632799999999</v>
      </c>
      <c r="X74" s="447">
        <f t="shared" si="6"/>
        <v>33.506779680000001</v>
      </c>
      <c r="Y74" s="447">
        <f t="shared" si="7"/>
        <v>120.15303158779651</v>
      </c>
      <c r="Z74" s="455">
        <f>Y74/SUM(AA74-V74)</f>
        <v>9.2275025885844367E-2</v>
      </c>
      <c r="AA74" s="440">
        <f t="shared" si="44"/>
        <v>1536.5</v>
      </c>
      <c r="AB74" s="440">
        <f>VLOOKUP(D74,Sheet25!A:B,2,0)</f>
        <v>3073</v>
      </c>
      <c r="AC74" s="449">
        <f>VLOOKUP(D74,Sheet6!O:P,2,0)</f>
        <v>2899</v>
      </c>
      <c r="AD74" s="271">
        <v>5499</v>
      </c>
    </row>
    <row r="75" spans="1:30" ht="14.25" customHeight="1">
      <c r="A75" s="273"/>
      <c r="B75" s="273"/>
      <c r="C75" s="273"/>
      <c r="D75" s="271" t="s">
        <v>695</v>
      </c>
      <c r="E75" s="271" t="s">
        <v>696</v>
      </c>
      <c r="F75" s="273" t="s">
        <v>697</v>
      </c>
      <c r="G75" s="273" t="s">
        <v>699</v>
      </c>
      <c r="H75" s="271">
        <v>85163100</v>
      </c>
      <c r="I75" s="273"/>
      <c r="J75" s="273"/>
      <c r="K75" s="273"/>
      <c r="L75" s="273"/>
      <c r="M75" s="273"/>
      <c r="N75" s="450"/>
      <c r="O75" s="444">
        <v>8.32</v>
      </c>
      <c r="P75" s="445">
        <f t="shared" si="82"/>
        <v>0.16640000000000002</v>
      </c>
      <c r="Q75" s="445">
        <f>(O75+P75)*(B$7+(B$7*B$11))</f>
        <v>1.8670080000000002</v>
      </c>
      <c r="R75" s="446">
        <f t="shared" si="74"/>
        <v>911.09990400000004</v>
      </c>
      <c r="S75" s="446">
        <f t="shared" si="83"/>
        <v>1075.0978867199999</v>
      </c>
      <c r="T75" s="447">
        <v>100</v>
      </c>
      <c r="U75" s="447">
        <f t="shared" si="3"/>
        <v>47.684999999999995</v>
      </c>
      <c r="V75" s="447">
        <f t="shared" si="84"/>
        <v>242.4661016949151</v>
      </c>
      <c r="W75" s="447">
        <f t="shared" si="5"/>
        <v>53.754894336</v>
      </c>
      <c r="X75" s="447">
        <f t="shared" si="6"/>
        <v>32.252936601599998</v>
      </c>
      <c r="Y75" s="447">
        <f t="shared" si="7"/>
        <v>202.24116336748492</v>
      </c>
      <c r="Z75" s="455">
        <f>Y75/AA75</f>
        <v>0.12723571146114182</v>
      </c>
      <c r="AA75" s="440">
        <f t="shared" si="44"/>
        <v>1589.5</v>
      </c>
      <c r="AB75" s="440">
        <f>VLOOKUP(D75,Sheet25!A:B,2,0)</f>
        <v>3179</v>
      </c>
      <c r="AC75" s="449">
        <f>VLOOKUP(D75,Sheet6!O:P,2,0)</f>
        <v>2999</v>
      </c>
      <c r="AD75" s="273">
        <v>3699</v>
      </c>
    </row>
    <row r="76" spans="1:30" ht="14.25" customHeight="1">
      <c r="A76" s="273"/>
      <c r="B76" s="273"/>
      <c r="C76" s="273"/>
      <c r="D76" s="271" t="s">
        <v>584</v>
      </c>
      <c r="E76" s="274" t="s">
        <v>585</v>
      </c>
      <c r="F76" s="273" t="s">
        <v>586</v>
      </c>
      <c r="G76" s="273" t="s">
        <v>588</v>
      </c>
      <c r="H76" s="271">
        <v>85086000</v>
      </c>
      <c r="I76" s="273"/>
      <c r="J76" s="273"/>
      <c r="K76" s="273"/>
      <c r="L76" s="273"/>
      <c r="M76" s="273"/>
      <c r="N76" s="273"/>
      <c r="O76" s="444">
        <v>10.45</v>
      </c>
      <c r="P76" s="445">
        <f t="shared" si="82"/>
        <v>0.20899999999999999</v>
      </c>
      <c r="Q76" s="445">
        <f>(O76+P76)*(B$8+(B$8*B$11))</f>
        <v>1.17249</v>
      </c>
      <c r="R76" s="446">
        <f t="shared" si="74"/>
        <v>1041.17112</v>
      </c>
      <c r="S76" s="446">
        <f t="shared" si="83"/>
        <v>1228.5819216</v>
      </c>
      <c r="T76" s="447">
        <v>100</v>
      </c>
      <c r="U76" s="447">
        <f t="shared" si="3"/>
        <v>52.454999999999998</v>
      </c>
      <c r="V76" s="447">
        <f t="shared" si="84"/>
        <v>266.72033898305085</v>
      </c>
      <c r="W76" s="447">
        <f t="shared" si="5"/>
        <v>61.429096080000001</v>
      </c>
      <c r="X76" s="447">
        <f t="shared" si="6"/>
        <v>36.857457648</v>
      </c>
      <c r="Y76" s="447">
        <f t="shared" si="7"/>
        <v>189.86698728894913</v>
      </c>
      <c r="Z76" s="455">
        <f>Y76/SUM(AA76-V76)</f>
        <v>0.12813442665196453</v>
      </c>
      <c r="AA76" s="440">
        <f t="shared" si="44"/>
        <v>1748.5</v>
      </c>
      <c r="AB76" s="440">
        <f>VLOOKUP(D76,Sheet25!A:B,2,0)</f>
        <v>3497</v>
      </c>
      <c r="AC76" s="449">
        <f>VLOOKUP(D76,Sheet6!O:P,2,0)</f>
        <v>3299</v>
      </c>
      <c r="AD76" s="273">
        <v>6599</v>
      </c>
    </row>
    <row r="77" spans="1:30" ht="14.25" customHeight="1">
      <c r="A77" s="273"/>
      <c r="B77" s="273"/>
      <c r="C77" s="273"/>
      <c r="D77" s="271" t="s">
        <v>859</v>
      </c>
      <c r="E77" s="272" t="s">
        <v>860</v>
      </c>
      <c r="F77" s="271" t="s">
        <v>861</v>
      </c>
      <c r="G77" s="271" t="s">
        <v>1314</v>
      </c>
      <c r="H77" s="271"/>
      <c r="I77" s="453"/>
      <c r="J77" s="272"/>
      <c r="K77" s="272"/>
      <c r="L77" s="272"/>
      <c r="M77" s="453"/>
      <c r="N77" s="453"/>
      <c r="O77" s="444"/>
      <c r="P77" s="445"/>
      <c r="Q77" s="445"/>
      <c r="R77" s="446">
        <v>1245.2</v>
      </c>
      <c r="S77" s="446">
        <v>1469.4</v>
      </c>
      <c r="T77" s="447">
        <v>100</v>
      </c>
      <c r="U77" s="447">
        <f t="shared" si="3"/>
        <v>63.585000000000001</v>
      </c>
      <c r="V77" s="447">
        <f>AA77-(AA77/1.12)</f>
        <v>227.08928571428601</v>
      </c>
      <c r="W77" s="447">
        <f t="shared" si="5"/>
        <v>73.470000000000013</v>
      </c>
      <c r="X77" s="447">
        <f t="shared" si="6"/>
        <v>44.082000000000001</v>
      </c>
      <c r="Y77" s="447">
        <f t="shared" si="7"/>
        <v>366.07371428571389</v>
      </c>
      <c r="Z77" s="455">
        <f t="shared" ref="Z77:Z82" si="85">Y77/AA77</f>
        <v>0.17271701546860763</v>
      </c>
      <c r="AA77" s="440">
        <f t="shared" si="44"/>
        <v>2119.5</v>
      </c>
      <c r="AB77" s="440">
        <f>VLOOKUP(D77,Sheet25!A:B,2,0)</f>
        <v>4239</v>
      </c>
      <c r="AC77" s="449">
        <f>VLOOKUP(D77,Sheet6!O:P,2,0)</f>
        <v>3999</v>
      </c>
      <c r="AD77" s="271">
        <v>6499</v>
      </c>
    </row>
    <row r="78" spans="1:30" ht="14.25" customHeight="1">
      <c r="A78" s="273"/>
      <c r="B78" s="273"/>
      <c r="C78" s="273"/>
      <c r="D78" s="271" t="s">
        <v>552</v>
      </c>
      <c r="E78" s="272" t="s">
        <v>553</v>
      </c>
      <c r="F78" s="271" t="s">
        <v>554</v>
      </c>
      <c r="G78" s="271" t="s">
        <v>556</v>
      </c>
      <c r="H78" s="271">
        <v>85437093</v>
      </c>
      <c r="I78" s="453"/>
      <c r="J78" s="272"/>
      <c r="K78" s="272"/>
      <c r="L78" s="272"/>
      <c r="M78" s="453"/>
      <c r="N78" s="453"/>
      <c r="O78" s="444">
        <v>3.15</v>
      </c>
      <c r="P78" s="445">
        <f>O78*2%</f>
        <v>6.3E-2</v>
      </c>
      <c r="Q78" s="445">
        <f>(O78+P78)*(B$8+(B$8*B$11))</f>
        <v>0.35343000000000008</v>
      </c>
      <c r="R78" s="446">
        <f>(O78+P78+Q78)*B$2</f>
        <v>313.84584000000001</v>
      </c>
      <c r="S78" s="446">
        <f>R78*1.18</f>
        <v>370.33809120000001</v>
      </c>
      <c r="T78" s="447">
        <v>100</v>
      </c>
      <c r="U78" s="447">
        <f t="shared" si="3"/>
        <v>22.484999999999999</v>
      </c>
      <c r="V78" s="447">
        <f t="shared" ref="V78:V82" si="86">AA78-(AA78/1.18)</f>
        <v>114.33050847457628</v>
      </c>
      <c r="W78" s="447">
        <f t="shared" si="5"/>
        <v>18.51690456</v>
      </c>
      <c r="X78" s="447">
        <f t="shared" si="6"/>
        <v>11.110142736</v>
      </c>
      <c r="Y78" s="447">
        <f t="shared" si="7"/>
        <v>169.2116042294237</v>
      </c>
      <c r="Z78" s="455">
        <f t="shared" si="85"/>
        <v>0.22576598296120573</v>
      </c>
      <c r="AA78" s="440">
        <f t="shared" si="44"/>
        <v>749.5</v>
      </c>
      <c r="AB78" s="440">
        <f>VLOOKUP(D78,Sheet25!A:B,2,0)</f>
        <v>1499</v>
      </c>
      <c r="AC78" s="271">
        <v>1499</v>
      </c>
      <c r="AD78" s="273">
        <v>1499</v>
      </c>
    </row>
    <row r="79" spans="1:30" ht="14.25" customHeight="1">
      <c r="A79" s="430"/>
      <c r="B79" s="430"/>
      <c r="C79" s="430"/>
      <c r="D79" s="428" t="s">
        <v>329</v>
      </c>
      <c r="E79" s="428" t="s">
        <v>330</v>
      </c>
      <c r="F79" s="428" t="s">
        <v>331</v>
      </c>
      <c r="G79" s="428" t="s">
        <v>333</v>
      </c>
      <c r="H79" s="428">
        <v>85098000</v>
      </c>
      <c r="I79" s="428"/>
      <c r="J79" s="428"/>
      <c r="K79" s="430"/>
      <c r="L79" s="430"/>
      <c r="M79" s="463"/>
      <c r="N79" s="428"/>
      <c r="O79" s="464">
        <v>2.15</v>
      </c>
      <c r="P79" s="464">
        <v>2.15</v>
      </c>
      <c r="Q79" s="463">
        <v>0</v>
      </c>
      <c r="R79" s="430">
        <v>235.4</v>
      </c>
      <c r="S79" s="430">
        <v>277.8</v>
      </c>
      <c r="T79" s="430">
        <v>60</v>
      </c>
      <c r="U79" s="437">
        <f t="shared" si="3"/>
        <v>11.969999999999999</v>
      </c>
      <c r="V79" s="437">
        <f t="shared" si="86"/>
        <v>60.86440677966101</v>
      </c>
      <c r="W79" s="437">
        <f t="shared" si="5"/>
        <v>13.89</v>
      </c>
      <c r="X79" s="437">
        <f t="shared" si="6"/>
        <v>8.3339999999999996</v>
      </c>
      <c r="Y79" s="437">
        <f t="shared" si="7"/>
        <v>8.541593220338985</v>
      </c>
      <c r="Z79" s="438">
        <f t="shared" si="85"/>
        <v>2.1407501805360864E-2</v>
      </c>
      <c r="AA79" s="439">
        <v>399</v>
      </c>
      <c r="AB79" s="440" t="e">
        <f>VLOOKUP(D79,Sheet25!A:B,2,0)</f>
        <v>#N/A</v>
      </c>
      <c r="AC79" s="428"/>
      <c r="AD79" s="430"/>
    </row>
    <row r="80" spans="1:30" ht="14.25" customHeight="1">
      <c r="A80" s="430"/>
      <c r="B80" s="430"/>
      <c r="C80" s="430"/>
      <c r="D80" s="271" t="s">
        <v>335</v>
      </c>
      <c r="E80" s="271" t="s">
        <v>336</v>
      </c>
      <c r="F80" s="271" t="s">
        <v>337</v>
      </c>
      <c r="G80" s="271" t="s">
        <v>338</v>
      </c>
      <c r="H80" s="271">
        <v>85098000</v>
      </c>
      <c r="I80" s="271"/>
      <c r="J80" s="271"/>
      <c r="K80" s="273"/>
      <c r="L80" s="273"/>
      <c r="M80" s="465"/>
      <c r="N80" s="271"/>
      <c r="O80" s="466">
        <v>2.15</v>
      </c>
      <c r="P80" s="466">
        <v>2.15</v>
      </c>
      <c r="Q80" s="465">
        <v>0</v>
      </c>
      <c r="R80" s="273">
        <v>235.4</v>
      </c>
      <c r="S80" s="273">
        <v>277.8</v>
      </c>
      <c r="T80" s="273">
        <v>60</v>
      </c>
      <c r="U80" s="447">
        <f t="shared" si="3"/>
        <v>11.969999999999999</v>
      </c>
      <c r="V80" s="447">
        <f t="shared" si="86"/>
        <v>60.86440677966101</v>
      </c>
      <c r="W80" s="447">
        <f t="shared" si="5"/>
        <v>13.89</v>
      </c>
      <c r="X80" s="447">
        <f t="shared" si="6"/>
        <v>8.3339999999999996</v>
      </c>
      <c r="Y80" s="447">
        <f t="shared" si="7"/>
        <v>8.541593220338985</v>
      </c>
      <c r="Z80" s="455">
        <f t="shared" si="85"/>
        <v>2.1407501805360864E-2</v>
      </c>
      <c r="AA80" s="440">
        <v>399</v>
      </c>
      <c r="AB80" s="440" t="e">
        <f>VLOOKUP(D80,Sheet25!A:B,2,0)</f>
        <v>#N/A</v>
      </c>
      <c r="AC80" s="271"/>
      <c r="AD80" s="273"/>
    </row>
    <row r="81" spans="1:30" ht="14.25" customHeight="1">
      <c r="A81" s="430"/>
      <c r="B81" s="430"/>
      <c r="C81" s="430"/>
      <c r="D81" s="430"/>
      <c r="E81" s="430"/>
      <c r="F81" s="430" t="s">
        <v>876</v>
      </c>
      <c r="G81" s="430"/>
      <c r="H81" s="430"/>
      <c r="I81" s="430"/>
      <c r="J81" s="430"/>
      <c r="K81" s="430"/>
      <c r="L81" s="430"/>
      <c r="M81" s="430"/>
      <c r="N81" s="430"/>
      <c r="O81" s="430"/>
      <c r="P81" s="430"/>
      <c r="Q81" s="430"/>
      <c r="R81" s="430">
        <v>275</v>
      </c>
      <c r="S81" s="430">
        <v>324</v>
      </c>
      <c r="T81" s="430">
        <v>60</v>
      </c>
      <c r="U81" s="437">
        <f t="shared" si="3"/>
        <v>11.969999999999999</v>
      </c>
      <c r="V81" s="437">
        <f t="shared" si="86"/>
        <v>60.86440677966101</v>
      </c>
      <c r="W81" s="437">
        <f t="shared" si="5"/>
        <v>16.2</v>
      </c>
      <c r="X81" s="437">
        <f t="shared" si="6"/>
        <v>9.7199999999999989</v>
      </c>
      <c r="Y81" s="437">
        <f t="shared" si="7"/>
        <v>-34.754406779661011</v>
      </c>
      <c r="Z81" s="438">
        <f t="shared" si="85"/>
        <v>-8.7103776390127841E-2</v>
      </c>
      <c r="AA81" s="439">
        <v>399</v>
      </c>
      <c r="AB81" s="440" t="e">
        <f>VLOOKUP(D81,Sheet25!A:B,2,0)</f>
        <v>#N/A</v>
      </c>
      <c r="AC81" s="428"/>
      <c r="AD81" s="430"/>
    </row>
    <row r="82" spans="1:30" ht="14.25" customHeight="1">
      <c r="A82" s="430"/>
      <c r="B82" s="430"/>
      <c r="C82" s="430"/>
      <c r="D82" s="430"/>
      <c r="E82" s="430"/>
      <c r="F82" s="430" t="s">
        <v>554</v>
      </c>
      <c r="G82" s="430"/>
      <c r="H82" s="430"/>
      <c r="I82" s="430"/>
      <c r="J82" s="430"/>
      <c r="K82" s="430"/>
      <c r="L82" s="430"/>
      <c r="M82" s="430"/>
      <c r="N82" s="430"/>
      <c r="O82" s="430"/>
      <c r="P82" s="430"/>
      <c r="Q82" s="430"/>
      <c r="R82" s="430">
        <v>313.8</v>
      </c>
      <c r="S82" s="430">
        <v>370.3</v>
      </c>
      <c r="T82" s="430">
        <v>60</v>
      </c>
      <c r="U82" s="437">
        <f t="shared" si="3"/>
        <v>11.969999999999999</v>
      </c>
      <c r="V82" s="437">
        <f t="shared" si="86"/>
        <v>60.86440677966101</v>
      </c>
      <c r="W82" s="437">
        <f t="shared" si="5"/>
        <v>18.515000000000001</v>
      </c>
      <c r="X82" s="437">
        <f t="shared" si="6"/>
        <v>11.109</v>
      </c>
      <c r="Y82" s="437">
        <f t="shared" si="7"/>
        <v>-77.258406779661016</v>
      </c>
      <c r="Z82" s="438">
        <f t="shared" si="85"/>
        <v>-0.19363009217960153</v>
      </c>
      <c r="AA82" s="439">
        <v>399</v>
      </c>
      <c r="AB82" s="440" t="e">
        <f>VLOOKUP(D82,Sheet25!A:B,2,0)</f>
        <v>#N/A</v>
      </c>
      <c r="AC82" s="428"/>
      <c r="AD82" s="430"/>
    </row>
    <row r="83" spans="1:30" ht="14.25" customHeight="1">
      <c r="A83" s="273"/>
      <c r="B83" s="273"/>
      <c r="C83" s="273"/>
      <c r="D83" s="273"/>
      <c r="E83" s="273"/>
      <c r="F83" s="273"/>
      <c r="G83" s="273"/>
      <c r="H83" s="273"/>
      <c r="I83" s="273"/>
      <c r="J83" s="273"/>
      <c r="K83" s="273"/>
      <c r="L83" s="273"/>
      <c r="M83" s="273"/>
      <c r="N83" s="273"/>
      <c r="O83" s="273"/>
      <c r="P83" s="273"/>
      <c r="Q83" s="273"/>
      <c r="R83" s="273"/>
      <c r="S83" s="273"/>
      <c r="T83" s="273"/>
      <c r="U83" s="273"/>
      <c r="V83" s="273"/>
      <c r="W83" s="273"/>
      <c r="X83" s="273"/>
      <c r="Y83" s="273"/>
      <c r="Z83" s="273"/>
      <c r="AA83" s="273"/>
      <c r="AB83" s="273"/>
      <c r="AC83" s="273"/>
      <c r="AD83" s="273"/>
    </row>
    <row r="84" spans="1:30" ht="14.25" customHeight="1">
      <c r="A84" s="273"/>
      <c r="B84" s="273"/>
      <c r="C84" s="273"/>
      <c r="D84" s="273"/>
      <c r="E84" s="273"/>
      <c r="F84" s="273"/>
      <c r="G84" s="273"/>
      <c r="H84" s="273"/>
      <c r="I84" s="273"/>
      <c r="J84" s="273"/>
      <c r="K84" s="273"/>
      <c r="L84" s="273"/>
      <c r="M84" s="273"/>
      <c r="N84" s="273"/>
      <c r="O84" s="273"/>
      <c r="P84" s="273"/>
      <c r="Q84" s="273"/>
      <c r="R84" s="273"/>
      <c r="S84" s="273"/>
      <c r="T84" s="273"/>
      <c r="U84" s="273"/>
      <c r="V84" s="273"/>
      <c r="W84" s="273"/>
      <c r="X84" s="273"/>
      <c r="Y84" s="273"/>
      <c r="Z84" s="273"/>
      <c r="AA84" s="273"/>
      <c r="AB84" s="273"/>
      <c r="AC84" s="273"/>
      <c r="AD84" s="273"/>
    </row>
    <row r="85" spans="1:30" ht="14.25" customHeight="1">
      <c r="A85" s="273"/>
      <c r="B85" s="273"/>
      <c r="C85" s="273"/>
      <c r="D85" s="273"/>
      <c r="E85" s="273"/>
      <c r="F85" s="273"/>
      <c r="G85" s="273"/>
      <c r="H85" s="273"/>
      <c r="I85" s="273"/>
      <c r="J85" s="273"/>
      <c r="K85" s="273"/>
      <c r="L85" s="273"/>
      <c r="M85" s="273"/>
      <c r="N85" s="273"/>
      <c r="O85" s="273"/>
      <c r="P85" s="273"/>
      <c r="Q85" s="273"/>
      <c r="R85" s="273"/>
      <c r="S85" s="273"/>
      <c r="T85" s="273"/>
      <c r="U85" s="273"/>
      <c r="V85" s="273"/>
      <c r="W85" s="273"/>
      <c r="X85" s="273"/>
      <c r="Y85" s="273"/>
      <c r="Z85" s="273"/>
      <c r="AA85" s="273"/>
      <c r="AB85" s="273"/>
      <c r="AC85" s="273"/>
      <c r="AD85" s="273"/>
    </row>
    <row r="86" spans="1:30" ht="14.25" customHeight="1">
      <c r="A86" s="273"/>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c r="AA86" s="273"/>
      <c r="AB86" s="273"/>
      <c r="AC86" s="273"/>
      <c r="AD86" s="273"/>
    </row>
    <row r="87" spans="1:30" ht="14.25" customHeight="1">
      <c r="A87" s="273"/>
      <c r="B87" s="273"/>
      <c r="C87" s="273"/>
      <c r="D87" s="273"/>
      <c r="E87" s="274"/>
      <c r="F87" s="273"/>
      <c r="G87" s="273"/>
      <c r="H87" s="273"/>
      <c r="I87" s="273"/>
      <c r="J87" s="273"/>
      <c r="K87" s="273"/>
      <c r="L87" s="273"/>
      <c r="M87" s="273"/>
      <c r="N87" s="273"/>
      <c r="O87" s="273"/>
      <c r="P87" s="273"/>
      <c r="Q87" s="273"/>
      <c r="R87" s="273"/>
      <c r="S87" s="273"/>
      <c r="T87" s="273"/>
      <c r="U87" s="273"/>
      <c r="V87" s="273"/>
      <c r="W87" s="273"/>
      <c r="X87" s="273"/>
      <c r="Y87" s="273"/>
      <c r="Z87" s="467"/>
      <c r="AA87" s="273"/>
      <c r="AB87" s="273"/>
      <c r="AC87" s="273"/>
      <c r="AD87" s="273"/>
    </row>
    <row r="88" spans="1:30" ht="14.25" customHeight="1">
      <c r="A88" s="273"/>
      <c r="B88" s="273"/>
      <c r="C88" s="273"/>
      <c r="D88" s="273"/>
      <c r="E88" s="274"/>
      <c r="F88" s="273"/>
      <c r="G88" s="273"/>
      <c r="H88" s="273"/>
      <c r="I88" s="273"/>
      <c r="J88" s="273"/>
      <c r="K88" s="273"/>
      <c r="L88" s="273"/>
      <c r="M88" s="273"/>
      <c r="N88" s="273"/>
      <c r="O88" s="273"/>
      <c r="P88" s="273"/>
      <c r="Q88" s="273"/>
      <c r="R88" s="273"/>
      <c r="S88" s="273"/>
      <c r="T88" s="273"/>
      <c r="U88" s="273"/>
      <c r="V88" s="273"/>
      <c r="W88" s="273"/>
      <c r="X88" s="273"/>
      <c r="Y88" s="273"/>
      <c r="Z88" s="467"/>
      <c r="AA88" s="273"/>
      <c r="AB88" s="273"/>
      <c r="AC88" s="273"/>
      <c r="AD88" s="273"/>
    </row>
    <row r="89" spans="1:30" ht="14.25" customHeight="1">
      <c r="A89" s="273"/>
      <c r="B89" s="273"/>
      <c r="C89" s="273"/>
      <c r="D89" s="273"/>
      <c r="E89" s="274"/>
      <c r="F89" s="273"/>
      <c r="G89" s="273"/>
      <c r="H89" s="273"/>
      <c r="I89" s="273"/>
      <c r="J89" s="273"/>
      <c r="K89" s="273"/>
      <c r="L89" s="273"/>
      <c r="M89" s="273"/>
      <c r="N89" s="273"/>
      <c r="O89" s="273"/>
      <c r="P89" s="273"/>
      <c r="Q89" s="273"/>
      <c r="R89" s="273"/>
      <c r="S89" s="273"/>
      <c r="T89" s="273"/>
      <c r="U89" s="273"/>
      <c r="V89" s="273"/>
      <c r="W89" s="273"/>
      <c r="X89" s="273"/>
      <c r="Y89" s="273"/>
      <c r="Z89" s="467"/>
      <c r="AA89" s="273"/>
      <c r="AB89" s="273"/>
      <c r="AC89" s="273"/>
      <c r="AD89" s="273"/>
    </row>
    <row r="90" spans="1:30" ht="14.25" customHeight="1">
      <c r="A90" s="273"/>
      <c r="B90" s="273"/>
      <c r="C90" s="273"/>
      <c r="D90" s="273"/>
      <c r="E90" s="274"/>
      <c r="F90" s="273"/>
      <c r="G90" s="273"/>
      <c r="H90" s="273"/>
      <c r="I90" s="273"/>
      <c r="J90" s="273"/>
      <c r="K90" s="273"/>
      <c r="L90" s="273"/>
      <c r="M90" s="273"/>
      <c r="N90" s="273"/>
      <c r="O90" s="273"/>
      <c r="P90" s="273"/>
      <c r="Q90" s="273"/>
      <c r="R90" s="273"/>
      <c r="S90" s="273"/>
      <c r="T90" s="273"/>
      <c r="U90" s="273"/>
      <c r="V90" s="273"/>
      <c r="W90" s="273"/>
      <c r="X90" s="273"/>
      <c r="Y90" s="273"/>
      <c r="Z90" s="467"/>
      <c r="AA90" s="273"/>
      <c r="AB90" s="273"/>
      <c r="AC90" s="273"/>
      <c r="AD90" s="273"/>
    </row>
    <row r="91" spans="1:30" ht="14.25" customHeight="1">
      <c r="A91" s="273"/>
      <c r="B91" s="273"/>
      <c r="C91" s="273"/>
      <c r="D91" s="273"/>
      <c r="E91" s="274"/>
      <c r="F91" s="273"/>
      <c r="G91" s="273"/>
      <c r="H91" s="273"/>
      <c r="I91" s="273"/>
      <c r="J91" s="273"/>
      <c r="K91" s="273"/>
      <c r="L91" s="273"/>
      <c r="M91" s="273"/>
      <c r="N91" s="273"/>
      <c r="O91" s="273"/>
      <c r="P91" s="273"/>
      <c r="Q91" s="273"/>
      <c r="R91" s="273"/>
      <c r="S91" s="273"/>
      <c r="T91" s="273"/>
      <c r="U91" s="273"/>
      <c r="V91" s="273"/>
      <c r="W91" s="273"/>
      <c r="X91" s="273"/>
      <c r="Y91" s="273"/>
      <c r="Z91" s="467"/>
      <c r="AA91" s="273"/>
      <c r="AB91" s="273"/>
      <c r="AC91" s="273"/>
      <c r="AD91" s="273"/>
    </row>
    <row r="92" spans="1:30" ht="14.25" customHeight="1">
      <c r="A92" s="273"/>
      <c r="B92" s="273"/>
      <c r="C92" s="273"/>
      <c r="D92" s="273"/>
      <c r="E92" s="274"/>
      <c r="F92" s="273"/>
      <c r="G92" s="273"/>
      <c r="H92" s="273"/>
      <c r="I92" s="273"/>
      <c r="J92" s="273"/>
      <c r="K92" s="273"/>
      <c r="L92" s="273"/>
      <c r="M92" s="273"/>
      <c r="N92" s="273"/>
      <c r="O92" s="273"/>
      <c r="P92" s="273"/>
      <c r="Q92" s="273"/>
      <c r="R92" s="273"/>
      <c r="S92" s="273"/>
      <c r="T92" s="273"/>
      <c r="U92" s="273"/>
      <c r="V92" s="273"/>
      <c r="W92" s="273"/>
      <c r="X92" s="273"/>
      <c r="Y92" s="273"/>
      <c r="Z92" s="467"/>
      <c r="AA92" s="273"/>
      <c r="AB92" s="273"/>
      <c r="AC92" s="273"/>
      <c r="AD92" s="273"/>
    </row>
    <row r="93" spans="1:30" ht="14.25" customHeight="1">
      <c r="A93" s="273"/>
      <c r="B93" s="273"/>
      <c r="C93" s="273"/>
      <c r="D93" s="273"/>
      <c r="E93" s="274"/>
      <c r="F93" s="273"/>
      <c r="G93" s="273"/>
      <c r="H93" s="273"/>
      <c r="I93" s="273"/>
      <c r="J93" s="273"/>
      <c r="K93" s="273"/>
      <c r="L93" s="273"/>
      <c r="M93" s="273"/>
      <c r="N93" s="273"/>
      <c r="O93" s="273"/>
      <c r="P93" s="273"/>
      <c r="Q93" s="273"/>
      <c r="R93" s="273"/>
      <c r="S93" s="273"/>
      <c r="T93" s="273"/>
      <c r="U93" s="273"/>
      <c r="V93" s="273"/>
      <c r="W93" s="273"/>
      <c r="X93" s="273"/>
      <c r="Y93" s="273"/>
      <c r="Z93" s="467"/>
      <c r="AA93" s="273"/>
      <c r="AB93" s="273"/>
      <c r="AC93" s="273"/>
      <c r="AD93" s="273"/>
    </row>
    <row r="94" spans="1:30" ht="14.25" customHeight="1">
      <c r="A94" s="273"/>
      <c r="B94" s="273"/>
      <c r="C94" s="273"/>
      <c r="D94" s="273"/>
      <c r="E94" s="274"/>
      <c r="F94" s="273"/>
      <c r="G94" s="273"/>
      <c r="H94" s="273"/>
      <c r="I94" s="273"/>
      <c r="J94" s="273"/>
      <c r="K94" s="273"/>
      <c r="L94" s="273"/>
      <c r="M94" s="273"/>
      <c r="N94" s="273"/>
      <c r="O94" s="273"/>
      <c r="P94" s="273"/>
      <c r="Q94" s="273"/>
      <c r="R94" s="273"/>
      <c r="S94" s="273"/>
      <c r="T94" s="273"/>
      <c r="U94" s="273"/>
      <c r="V94" s="273"/>
      <c r="W94" s="273"/>
      <c r="X94" s="273"/>
      <c r="Y94" s="273"/>
      <c r="Z94" s="467"/>
      <c r="AA94" s="273"/>
      <c r="AB94" s="273"/>
      <c r="AC94" s="273"/>
      <c r="AD94" s="273"/>
    </row>
    <row r="95" spans="1:30" ht="14.25" customHeight="1">
      <c r="A95" s="273"/>
      <c r="B95" s="273"/>
      <c r="C95" s="273"/>
      <c r="D95" s="273"/>
      <c r="E95" s="274"/>
      <c r="F95" s="273"/>
      <c r="G95" s="273"/>
      <c r="H95" s="273"/>
      <c r="I95" s="273"/>
      <c r="J95" s="273"/>
      <c r="K95" s="273"/>
      <c r="L95" s="273"/>
      <c r="M95" s="273"/>
      <c r="N95" s="273"/>
      <c r="O95" s="273"/>
      <c r="P95" s="273"/>
      <c r="Q95" s="273"/>
      <c r="R95" s="273"/>
      <c r="S95" s="273"/>
      <c r="T95" s="273"/>
      <c r="U95" s="273"/>
      <c r="V95" s="273"/>
      <c r="W95" s="273"/>
      <c r="X95" s="273"/>
      <c r="Y95" s="273"/>
      <c r="Z95" s="467"/>
      <c r="AA95" s="273"/>
      <c r="AB95" s="273"/>
      <c r="AC95" s="273"/>
      <c r="AD95" s="273"/>
    </row>
    <row r="96" spans="1:30" ht="14.25" customHeight="1">
      <c r="A96" s="273"/>
      <c r="B96" s="273"/>
      <c r="C96" s="273"/>
      <c r="D96" s="273"/>
      <c r="E96" s="274"/>
      <c r="F96" s="273"/>
      <c r="G96" s="273"/>
      <c r="H96" s="273"/>
      <c r="I96" s="273"/>
      <c r="J96" s="273"/>
      <c r="K96" s="273"/>
      <c r="L96" s="273"/>
      <c r="M96" s="273"/>
      <c r="N96" s="273"/>
      <c r="O96" s="273"/>
      <c r="P96" s="273"/>
      <c r="Q96" s="273"/>
      <c r="R96" s="273"/>
      <c r="S96" s="273"/>
      <c r="T96" s="273"/>
      <c r="U96" s="273"/>
      <c r="V96" s="273"/>
      <c r="W96" s="273"/>
      <c r="X96" s="273"/>
      <c r="Y96" s="273"/>
      <c r="Z96" s="467"/>
      <c r="AA96" s="273"/>
      <c r="AB96" s="273"/>
      <c r="AC96" s="273"/>
      <c r="AD96" s="273"/>
    </row>
    <row r="97" spans="1:30" ht="14.25" customHeight="1">
      <c r="A97" s="273"/>
      <c r="B97" s="273"/>
      <c r="C97" s="273"/>
      <c r="D97" s="273"/>
      <c r="E97" s="274"/>
      <c r="F97" s="273"/>
      <c r="G97" s="273"/>
      <c r="H97" s="273"/>
      <c r="I97" s="273"/>
      <c r="J97" s="273"/>
      <c r="K97" s="273"/>
      <c r="L97" s="273"/>
      <c r="M97" s="273"/>
      <c r="N97" s="273"/>
      <c r="O97" s="273"/>
      <c r="P97" s="273"/>
      <c r="Q97" s="273"/>
      <c r="R97" s="273"/>
      <c r="S97" s="273"/>
      <c r="T97" s="273"/>
      <c r="U97" s="273"/>
      <c r="V97" s="273"/>
      <c r="W97" s="273"/>
      <c r="X97" s="273"/>
      <c r="Y97" s="273"/>
      <c r="Z97" s="467"/>
      <c r="AA97" s="273"/>
      <c r="AB97" s="273"/>
      <c r="AC97" s="273"/>
      <c r="AD97" s="273"/>
    </row>
    <row r="98" spans="1:30" ht="14.25" customHeight="1">
      <c r="A98" s="273"/>
      <c r="B98" s="273"/>
      <c r="C98" s="273"/>
      <c r="D98" s="273"/>
      <c r="E98" s="274"/>
      <c r="F98" s="273"/>
      <c r="G98" s="273"/>
      <c r="H98" s="273"/>
      <c r="I98" s="273"/>
      <c r="J98" s="273"/>
      <c r="K98" s="273"/>
      <c r="L98" s="273"/>
      <c r="M98" s="273"/>
      <c r="N98" s="273"/>
      <c r="O98" s="273"/>
      <c r="P98" s="273"/>
      <c r="Q98" s="273"/>
      <c r="R98" s="273"/>
      <c r="S98" s="273"/>
      <c r="T98" s="273"/>
      <c r="U98" s="273"/>
      <c r="V98" s="273"/>
      <c r="W98" s="273"/>
      <c r="X98" s="273"/>
      <c r="Y98" s="273"/>
      <c r="Z98" s="467"/>
      <c r="AA98" s="273"/>
      <c r="AB98" s="273"/>
      <c r="AC98" s="273"/>
      <c r="AD98" s="273"/>
    </row>
    <row r="99" spans="1:30" ht="14.25" customHeight="1">
      <c r="A99" s="273"/>
      <c r="B99" s="273"/>
      <c r="C99" s="273"/>
      <c r="D99" s="273"/>
      <c r="E99" s="274"/>
      <c r="F99" s="273"/>
      <c r="G99" s="273"/>
      <c r="H99" s="273"/>
      <c r="I99" s="273"/>
      <c r="J99" s="273"/>
      <c r="K99" s="273"/>
      <c r="L99" s="273"/>
      <c r="M99" s="273"/>
      <c r="N99" s="273"/>
      <c r="O99" s="273"/>
      <c r="P99" s="273"/>
      <c r="Q99" s="273"/>
      <c r="R99" s="273"/>
      <c r="S99" s="273"/>
      <c r="T99" s="273"/>
      <c r="U99" s="273"/>
      <c r="V99" s="273"/>
      <c r="W99" s="273"/>
      <c r="X99" s="273"/>
      <c r="Y99" s="273"/>
      <c r="Z99" s="467"/>
      <c r="AA99" s="273"/>
      <c r="AB99" s="273"/>
      <c r="AC99" s="273"/>
      <c r="AD99" s="273"/>
    </row>
    <row r="100" spans="1:30" ht="14.25" customHeight="1">
      <c r="A100" s="273"/>
      <c r="B100" s="273"/>
      <c r="C100" s="273"/>
      <c r="D100" s="273"/>
      <c r="E100" s="274"/>
      <c r="F100" s="273"/>
      <c r="G100" s="273"/>
      <c r="H100" s="273"/>
      <c r="I100" s="273"/>
      <c r="J100" s="273"/>
      <c r="K100" s="273"/>
      <c r="L100" s="273"/>
      <c r="M100" s="273"/>
      <c r="N100" s="273"/>
      <c r="O100" s="273"/>
      <c r="P100" s="273"/>
      <c r="Q100" s="273"/>
      <c r="R100" s="273"/>
      <c r="S100" s="273"/>
      <c r="T100" s="273"/>
      <c r="U100" s="273"/>
      <c r="V100" s="273"/>
      <c r="W100" s="273"/>
      <c r="X100" s="273"/>
      <c r="Y100" s="273"/>
      <c r="Z100" s="467"/>
      <c r="AA100" s="273"/>
      <c r="AB100" s="273"/>
      <c r="AC100" s="273"/>
      <c r="AD100" s="273"/>
    </row>
    <row r="101" spans="1:30" ht="14.25" customHeight="1">
      <c r="A101" s="273"/>
      <c r="B101" s="273"/>
      <c r="C101" s="273"/>
      <c r="D101" s="273"/>
      <c r="E101" s="274"/>
      <c r="F101" s="273"/>
      <c r="G101" s="273"/>
      <c r="H101" s="273"/>
      <c r="I101" s="273"/>
      <c r="J101" s="273"/>
      <c r="K101" s="273"/>
      <c r="L101" s="273"/>
      <c r="M101" s="273"/>
      <c r="N101" s="273"/>
      <c r="O101" s="273"/>
      <c r="P101" s="273"/>
      <c r="Q101" s="273"/>
      <c r="R101" s="273"/>
      <c r="S101" s="273"/>
      <c r="T101" s="273"/>
      <c r="U101" s="273"/>
      <c r="V101" s="273"/>
      <c r="W101" s="273"/>
      <c r="X101" s="273"/>
      <c r="Y101" s="273"/>
      <c r="Z101" s="467"/>
      <c r="AA101" s="273"/>
      <c r="AB101" s="273"/>
      <c r="AC101" s="273"/>
      <c r="AD101" s="273"/>
    </row>
    <row r="102" spans="1:30" ht="14.25" customHeight="1">
      <c r="A102" s="273"/>
      <c r="B102" s="273"/>
      <c r="C102" s="273"/>
      <c r="D102" s="273"/>
      <c r="E102" s="274"/>
      <c r="F102" s="273"/>
      <c r="G102" s="273"/>
      <c r="H102" s="273"/>
      <c r="I102" s="273"/>
      <c r="J102" s="273"/>
      <c r="K102" s="273"/>
      <c r="L102" s="273"/>
      <c r="M102" s="273"/>
      <c r="N102" s="273"/>
      <c r="O102" s="273"/>
      <c r="P102" s="273"/>
      <c r="Q102" s="273"/>
      <c r="R102" s="273"/>
      <c r="S102" s="273"/>
      <c r="T102" s="273"/>
      <c r="U102" s="273"/>
      <c r="V102" s="273"/>
      <c r="W102" s="273"/>
      <c r="X102" s="273"/>
      <c r="Y102" s="273"/>
      <c r="Z102" s="467"/>
      <c r="AA102" s="273"/>
      <c r="AB102" s="273"/>
      <c r="AC102" s="273"/>
      <c r="AD102" s="273"/>
    </row>
    <row r="103" spans="1:30" ht="14.25" customHeight="1">
      <c r="A103" s="273"/>
      <c r="B103" s="273"/>
      <c r="C103" s="273"/>
      <c r="D103" s="273"/>
      <c r="E103" s="274"/>
      <c r="F103" s="273"/>
      <c r="G103" s="273"/>
      <c r="H103" s="273"/>
      <c r="I103" s="273"/>
      <c r="J103" s="273"/>
      <c r="K103" s="273"/>
      <c r="L103" s="273"/>
      <c r="M103" s="273"/>
      <c r="N103" s="273"/>
      <c r="O103" s="273"/>
      <c r="P103" s="273"/>
      <c r="Q103" s="273"/>
      <c r="R103" s="273"/>
      <c r="S103" s="273"/>
      <c r="T103" s="273"/>
      <c r="U103" s="273"/>
      <c r="V103" s="273"/>
      <c r="W103" s="273"/>
      <c r="X103" s="273"/>
      <c r="Y103" s="273"/>
      <c r="Z103" s="467"/>
      <c r="AA103" s="273"/>
      <c r="AB103" s="273"/>
      <c r="AC103" s="273"/>
      <c r="AD103" s="273"/>
    </row>
    <row r="104" spans="1:30" ht="14.25" customHeight="1">
      <c r="A104" s="273"/>
      <c r="B104" s="273"/>
      <c r="C104" s="273"/>
      <c r="D104" s="273"/>
      <c r="E104" s="274"/>
      <c r="F104" s="273"/>
      <c r="G104" s="273"/>
      <c r="H104" s="273"/>
      <c r="I104" s="273"/>
      <c r="J104" s="273"/>
      <c r="K104" s="273"/>
      <c r="L104" s="273"/>
      <c r="M104" s="273"/>
      <c r="N104" s="273"/>
      <c r="O104" s="273"/>
      <c r="P104" s="273"/>
      <c r="Q104" s="273"/>
      <c r="R104" s="273"/>
      <c r="S104" s="273"/>
      <c r="T104" s="273"/>
      <c r="U104" s="273"/>
      <c r="V104" s="273"/>
      <c r="W104" s="273"/>
      <c r="X104" s="273"/>
      <c r="Y104" s="273"/>
      <c r="Z104" s="467"/>
      <c r="AA104" s="273"/>
      <c r="AB104" s="273"/>
      <c r="AC104" s="273"/>
      <c r="AD104" s="273"/>
    </row>
    <row r="105" spans="1:30" ht="14.25" customHeight="1">
      <c r="A105" s="273"/>
      <c r="B105" s="273"/>
      <c r="C105" s="273"/>
      <c r="D105" s="273"/>
      <c r="E105" s="274"/>
      <c r="F105" s="273"/>
      <c r="G105" s="273"/>
      <c r="H105" s="273"/>
      <c r="I105" s="273"/>
      <c r="J105" s="273"/>
      <c r="K105" s="273"/>
      <c r="L105" s="273"/>
      <c r="M105" s="273"/>
      <c r="N105" s="273"/>
      <c r="O105" s="273"/>
      <c r="P105" s="273"/>
      <c r="Q105" s="273"/>
      <c r="R105" s="273"/>
      <c r="S105" s="273"/>
      <c r="T105" s="273"/>
      <c r="U105" s="273"/>
      <c r="V105" s="273"/>
      <c r="W105" s="273"/>
      <c r="X105" s="273"/>
      <c r="Y105" s="273"/>
      <c r="Z105" s="467"/>
      <c r="AA105" s="273"/>
      <c r="AB105" s="273"/>
      <c r="AC105" s="273"/>
      <c r="AD105" s="273"/>
    </row>
    <row r="106" spans="1:30" ht="14.25" customHeight="1">
      <c r="A106" s="273"/>
      <c r="B106" s="273"/>
      <c r="C106" s="273"/>
      <c r="D106" s="273"/>
      <c r="E106" s="274"/>
      <c r="F106" s="273"/>
      <c r="G106" s="273"/>
      <c r="H106" s="273"/>
      <c r="I106" s="273"/>
      <c r="J106" s="273"/>
      <c r="K106" s="273"/>
      <c r="L106" s="273"/>
      <c r="M106" s="273"/>
      <c r="N106" s="273"/>
      <c r="O106" s="273"/>
      <c r="P106" s="273"/>
      <c r="Q106" s="273"/>
      <c r="R106" s="273"/>
      <c r="S106" s="273"/>
      <c r="T106" s="273"/>
      <c r="U106" s="273"/>
      <c r="V106" s="273"/>
      <c r="W106" s="273"/>
      <c r="X106" s="273"/>
      <c r="Y106" s="273"/>
      <c r="Z106" s="467"/>
      <c r="AA106" s="273"/>
      <c r="AB106" s="273"/>
      <c r="AC106" s="273"/>
      <c r="AD106" s="273"/>
    </row>
    <row r="107" spans="1:30" ht="14.25" customHeight="1">
      <c r="A107" s="273"/>
      <c r="B107" s="273"/>
      <c r="C107" s="273"/>
      <c r="D107" s="273"/>
      <c r="E107" s="274"/>
      <c r="F107" s="273"/>
      <c r="G107" s="273"/>
      <c r="H107" s="273"/>
      <c r="I107" s="273"/>
      <c r="J107" s="273"/>
      <c r="K107" s="273"/>
      <c r="L107" s="273"/>
      <c r="M107" s="273"/>
      <c r="N107" s="273"/>
      <c r="O107" s="273"/>
      <c r="P107" s="273"/>
      <c r="Q107" s="273"/>
      <c r="R107" s="273"/>
      <c r="S107" s="273"/>
      <c r="T107" s="273"/>
      <c r="U107" s="273"/>
      <c r="V107" s="273"/>
      <c r="W107" s="273"/>
      <c r="X107" s="273"/>
      <c r="Y107" s="273"/>
      <c r="Z107" s="467"/>
      <c r="AA107" s="273"/>
      <c r="AB107" s="273"/>
      <c r="AC107" s="273"/>
      <c r="AD107" s="273"/>
    </row>
    <row r="108" spans="1:30" ht="14.25" customHeight="1">
      <c r="A108" s="273"/>
      <c r="B108" s="273"/>
      <c r="C108" s="273"/>
      <c r="D108" s="273"/>
      <c r="E108" s="274"/>
      <c r="F108" s="273"/>
      <c r="G108" s="273"/>
      <c r="H108" s="273"/>
      <c r="I108" s="273"/>
      <c r="J108" s="273"/>
      <c r="K108" s="273"/>
      <c r="L108" s="273"/>
      <c r="M108" s="273"/>
      <c r="N108" s="273"/>
      <c r="O108" s="273"/>
      <c r="P108" s="273"/>
      <c r="Q108" s="273"/>
      <c r="R108" s="273"/>
      <c r="S108" s="273"/>
      <c r="T108" s="273"/>
      <c r="U108" s="273"/>
      <c r="V108" s="273"/>
      <c r="W108" s="273"/>
      <c r="X108" s="273"/>
      <c r="Y108" s="273"/>
      <c r="Z108" s="467"/>
      <c r="AA108" s="273"/>
      <c r="AB108" s="273"/>
      <c r="AC108" s="273"/>
      <c r="AD108" s="273"/>
    </row>
    <row r="109" spans="1:30" ht="14.25" customHeight="1">
      <c r="A109" s="273"/>
      <c r="B109" s="273"/>
      <c r="C109" s="273"/>
      <c r="D109" s="273"/>
      <c r="E109" s="274"/>
      <c r="F109" s="273"/>
      <c r="G109" s="273"/>
      <c r="H109" s="273"/>
      <c r="I109" s="273"/>
      <c r="J109" s="273"/>
      <c r="K109" s="273"/>
      <c r="L109" s="273"/>
      <c r="M109" s="273"/>
      <c r="N109" s="273"/>
      <c r="O109" s="273"/>
      <c r="P109" s="273"/>
      <c r="Q109" s="273"/>
      <c r="R109" s="273"/>
      <c r="S109" s="273"/>
      <c r="T109" s="273"/>
      <c r="U109" s="273"/>
      <c r="V109" s="273"/>
      <c r="W109" s="273"/>
      <c r="X109" s="273"/>
      <c r="Y109" s="273"/>
      <c r="Z109" s="467"/>
      <c r="AA109" s="273"/>
      <c r="AB109" s="273"/>
      <c r="AC109" s="273"/>
      <c r="AD109" s="273"/>
    </row>
    <row r="110" spans="1:30" ht="14.25" customHeight="1">
      <c r="A110" s="273"/>
      <c r="B110" s="273"/>
      <c r="C110" s="273"/>
      <c r="D110" s="273"/>
      <c r="E110" s="274"/>
      <c r="F110" s="273"/>
      <c r="G110" s="273"/>
      <c r="H110" s="273"/>
      <c r="I110" s="273"/>
      <c r="J110" s="273"/>
      <c r="K110" s="273"/>
      <c r="L110" s="273"/>
      <c r="M110" s="273"/>
      <c r="N110" s="273"/>
      <c r="O110" s="273"/>
      <c r="P110" s="273"/>
      <c r="Q110" s="273"/>
      <c r="R110" s="273"/>
      <c r="S110" s="273"/>
      <c r="T110" s="273"/>
      <c r="U110" s="273"/>
      <c r="V110" s="273"/>
      <c r="W110" s="273"/>
      <c r="X110" s="273"/>
      <c r="Y110" s="273"/>
      <c r="Z110" s="467"/>
      <c r="AA110" s="273"/>
      <c r="AB110" s="273"/>
      <c r="AC110" s="273"/>
      <c r="AD110" s="273"/>
    </row>
    <row r="111" spans="1:30" ht="14.25" customHeight="1">
      <c r="A111" s="273"/>
      <c r="B111" s="273"/>
      <c r="C111" s="273"/>
      <c r="D111" s="273"/>
      <c r="E111" s="274"/>
      <c r="F111" s="273"/>
      <c r="G111" s="273"/>
      <c r="H111" s="273"/>
      <c r="I111" s="273"/>
      <c r="J111" s="273"/>
      <c r="K111" s="273"/>
      <c r="L111" s="273"/>
      <c r="M111" s="273"/>
      <c r="N111" s="273"/>
      <c r="O111" s="273"/>
      <c r="P111" s="273"/>
      <c r="Q111" s="273"/>
      <c r="R111" s="273"/>
      <c r="S111" s="273"/>
      <c r="T111" s="273"/>
      <c r="U111" s="273"/>
      <c r="V111" s="273"/>
      <c r="W111" s="273"/>
      <c r="X111" s="273"/>
      <c r="Y111" s="273"/>
      <c r="Z111" s="467"/>
      <c r="AA111" s="273"/>
      <c r="AB111" s="273"/>
      <c r="AC111" s="273"/>
      <c r="AD111" s="273"/>
    </row>
    <row r="112" spans="1:30" ht="14.25" customHeight="1">
      <c r="A112" s="273"/>
      <c r="B112" s="273"/>
      <c r="C112" s="273"/>
      <c r="D112" s="273"/>
      <c r="E112" s="274"/>
      <c r="F112" s="273"/>
      <c r="G112" s="273"/>
      <c r="H112" s="273"/>
      <c r="I112" s="273"/>
      <c r="J112" s="273"/>
      <c r="K112" s="273"/>
      <c r="L112" s="273"/>
      <c r="M112" s="273"/>
      <c r="N112" s="273"/>
      <c r="O112" s="273"/>
      <c r="P112" s="273"/>
      <c r="Q112" s="273"/>
      <c r="R112" s="273"/>
      <c r="S112" s="273"/>
      <c r="T112" s="273"/>
      <c r="U112" s="273"/>
      <c r="V112" s="273"/>
      <c r="W112" s="273"/>
      <c r="X112" s="273"/>
      <c r="Y112" s="273"/>
      <c r="Z112" s="467"/>
      <c r="AA112" s="273"/>
      <c r="AB112" s="273"/>
      <c r="AC112" s="273"/>
      <c r="AD112" s="273"/>
    </row>
    <row r="113" spans="1:30" ht="14.25" customHeight="1">
      <c r="A113" s="273"/>
      <c r="B113" s="273"/>
      <c r="C113" s="273"/>
      <c r="D113" s="273"/>
      <c r="E113" s="274"/>
      <c r="F113" s="273"/>
      <c r="G113" s="273"/>
      <c r="H113" s="273"/>
      <c r="I113" s="273"/>
      <c r="J113" s="273"/>
      <c r="K113" s="273"/>
      <c r="L113" s="273"/>
      <c r="M113" s="273"/>
      <c r="N113" s="273"/>
      <c r="O113" s="273"/>
      <c r="P113" s="273"/>
      <c r="Q113" s="273"/>
      <c r="R113" s="273"/>
      <c r="S113" s="273"/>
      <c r="T113" s="273"/>
      <c r="U113" s="273"/>
      <c r="V113" s="273"/>
      <c r="W113" s="273"/>
      <c r="X113" s="273"/>
      <c r="Y113" s="273"/>
      <c r="Z113" s="467"/>
      <c r="AA113" s="273"/>
      <c r="AB113" s="273"/>
      <c r="AC113" s="273"/>
      <c r="AD113" s="273"/>
    </row>
    <row r="114" spans="1:30" ht="14.25" customHeight="1">
      <c r="A114" s="273"/>
      <c r="B114" s="273"/>
      <c r="C114" s="273"/>
      <c r="D114" s="273"/>
      <c r="E114" s="274"/>
      <c r="F114" s="273"/>
      <c r="G114" s="273"/>
      <c r="H114" s="273"/>
      <c r="I114" s="273"/>
      <c r="J114" s="273"/>
      <c r="K114" s="273"/>
      <c r="L114" s="273"/>
      <c r="M114" s="273"/>
      <c r="N114" s="273"/>
      <c r="O114" s="273"/>
      <c r="P114" s="273"/>
      <c r="Q114" s="273"/>
      <c r="R114" s="273"/>
      <c r="S114" s="273"/>
      <c r="T114" s="273"/>
      <c r="U114" s="273"/>
      <c r="V114" s="273"/>
      <c r="W114" s="273"/>
      <c r="X114" s="273"/>
      <c r="Y114" s="273"/>
      <c r="Z114" s="467"/>
      <c r="AA114" s="273"/>
      <c r="AB114" s="273"/>
      <c r="AC114" s="273"/>
      <c r="AD114" s="273"/>
    </row>
    <row r="115" spans="1:30" ht="14.25" customHeight="1">
      <c r="A115" s="273"/>
      <c r="B115" s="273"/>
      <c r="C115" s="273"/>
      <c r="D115" s="273"/>
      <c r="E115" s="274"/>
      <c r="F115" s="273"/>
      <c r="G115" s="273"/>
      <c r="H115" s="273"/>
      <c r="I115" s="273"/>
      <c r="J115" s="273"/>
      <c r="K115" s="273"/>
      <c r="L115" s="273"/>
      <c r="M115" s="273"/>
      <c r="N115" s="273"/>
      <c r="O115" s="273"/>
      <c r="P115" s="273"/>
      <c r="Q115" s="273"/>
      <c r="R115" s="273"/>
      <c r="S115" s="273"/>
      <c r="T115" s="273"/>
      <c r="U115" s="273"/>
      <c r="V115" s="273"/>
      <c r="W115" s="273"/>
      <c r="X115" s="273"/>
      <c r="Y115" s="273"/>
      <c r="Z115" s="467"/>
      <c r="AA115" s="273"/>
      <c r="AB115" s="273"/>
      <c r="AC115" s="273"/>
      <c r="AD115" s="273"/>
    </row>
    <row r="116" spans="1:30" ht="14.25" customHeight="1">
      <c r="A116" s="273"/>
      <c r="B116" s="273"/>
      <c r="C116" s="273"/>
      <c r="D116" s="273"/>
      <c r="E116" s="274"/>
      <c r="F116" s="273"/>
      <c r="G116" s="273"/>
      <c r="H116" s="273"/>
      <c r="I116" s="273"/>
      <c r="J116" s="273"/>
      <c r="K116" s="273"/>
      <c r="L116" s="273"/>
      <c r="M116" s="273"/>
      <c r="N116" s="273"/>
      <c r="O116" s="273"/>
      <c r="P116" s="273"/>
      <c r="Q116" s="273"/>
      <c r="R116" s="273"/>
      <c r="S116" s="273"/>
      <c r="T116" s="273"/>
      <c r="U116" s="273"/>
      <c r="V116" s="273"/>
      <c r="W116" s="273"/>
      <c r="X116" s="273"/>
      <c r="Y116" s="273"/>
      <c r="Z116" s="467"/>
      <c r="AA116" s="273"/>
      <c r="AB116" s="273"/>
      <c r="AC116" s="273"/>
      <c r="AD116" s="273"/>
    </row>
    <row r="117" spans="1:30" ht="14.25" customHeight="1">
      <c r="A117" s="273"/>
      <c r="B117" s="273"/>
      <c r="C117" s="273"/>
      <c r="D117" s="273"/>
      <c r="E117" s="274"/>
      <c r="F117" s="273"/>
      <c r="G117" s="273"/>
      <c r="H117" s="273"/>
      <c r="I117" s="273"/>
      <c r="J117" s="273"/>
      <c r="K117" s="273"/>
      <c r="L117" s="273"/>
      <c r="M117" s="273"/>
      <c r="N117" s="273"/>
      <c r="O117" s="273"/>
      <c r="P117" s="273"/>
      <c r="Q117" s="273"/>
      <c r="R117" s="273"/>
      <c r="S117" s="273"/>
      <c r="T117" s="273"/>
      <c r="U117" s="273"/>
      <c r="V117" s="273"/>
      <c r="W117" s="273"/>
      <c r="X117" s="273"/>
      <c r="Y117" s="273"/>
      <c r="Z117" s="467"/>
      <c r="AA117" s="273"/>
      <c r="AB117" s="273"/>
      <c r="AC117" s="273"/>
      <c r="AD117" s="273"/>
    </row>
    <row r="118" spans="1:30" ht="14.25" customHeight="1">
      <c r="A118" s="273"/>
      <c r="B118" s="273"/>
      <c r="C118" s="273"/>
      <c r="D118" s="273"/>
      <c r="E118" s="274"/>
      <c r="F118" s="273"/>
      <c r="G118" s="273"/>
      <c r="H118" s="273"/>
      <c r="I118" s="273"/>
      <c r="J118" s="273"/>
      <c r="K118" s="273"/>
      <c r="L118" s="273"/>
      <c r="M118" s="273"/>
      <c r="N118" s="273"/>
      <c r="O118" s="273"/>
      <c r="P118" s="273"/>
      <c r="Q118" s="273"/>
      <c r="R118" s="273"/>
      <c r="S118" s="273"/>
      <c r="T118" s="273"/>
      <c r="U118" s="273"/>
      <c r="V118" s="273"/>
      <c r="W118" s="273"/>
      <c r="X118" s="273"/>
      <c r="Y118" s="273"/>
      <c r="Z118" s="467"/>
      <c r="AA118" s="273"/>
      <c r="AB118" s="273"/>
      <c r="AC118" s="273"/>
      <c r="AD118" s="273"/>
    </row>
    <row r="119" spans="1:30" ht="14.25" customHeight="1">
      <c r="A119" s="273"/>
      <c r="B119" s="273"/>
      <c r="C119" s="273"/>
      <c r="D119" s="273"/>
      <c r="E119" s="274"/>
      <c r="F119" s="273"/>
      <c r="G119" s="273"/>
      <c r="H119" s="273"/>
      <c r="I119" s="273"/>
      <c r="J119" s="273"/>
      <c r="K119" s="273"/>
      <c r="L119" s="273"/>
      <c r="M119" s="273"/>
      <c r="N119" s="273"/>
      <c r="O119" s="273"/>
      <c r="P119" s="273"/>
      <c r="Q119" s="273"/>
      <c r="R119" s="273"/>
      <c r="S119" s="273"/>
      <c r="T119" s="273"/>
      <c r="U119" s="273"/>
      <c r="V119" s="273"/>
      <c r="W119" s="273"/>
      <c r="X119" s="273"/>
      <c r="Y119" s="273"/>
      <c r="Z119" s="467"/>
      <c r="AA119" s="273"/>
      <c r="AB119" s="273"/>
      <c r="AC119" s="273"/>
      <c r="AD119" s="273"/>
    </row>
    <row r="120" spans="1:30" ht="14.25" customHeight="1">
      <c r="A120" s="273"/>
      <c r="B120" s="273"/>
      <c r="C120" s="273"/>
      <c r="D120" s="273"/>
      <c r="E120" s="274"/>
      <c r="F120" s="273"/>
      <c r="G120" s="273"/>
      <c r="H120" s="273"/>
      <c r="I120" s="273"/>
      <c r="J120" s="273"/>
      <c r="K120" s="273"/>
      <c r="L120" s="273"/>
      <c r="M120" s="273"/>
      <c r="N120" s="273"/>
      <c r="O120" s="273"/>
      <c r="P120" s="273"/>
      <c r="Q120" s="273"/>
      <c r="R120" s="273"/>
      <c r="S120" s="273"/>
      <c r="T120" s="273"/>
      <c r="U120" s="273"/>
      <c r="V120" s="273"/>
      <c r="W120" s="273"/>
      <c r="X120" s="273"/>
      <c r="Y120" s="273"/>
      <c r="Z120" s="467"/>
      <c r="AA120" s="273"/>
      <c r="AB120" s="273"/>
      <c r="AC120" s="273"/>
      <c r="AD120" s="273"/>
    </row>
    <row r="121" spans="1:30" ht="14.25" customHeight="1">
      <c r="A121" s="273"/>
      <c r="B121" s="273"/>
      <c r="C121" s="273"/>
      <c r="D121" s="273"/>
      <c r="E121" s="274"/>
      <c r="F121" s="273"/>
      <c r="G121" s="273"/>
      <c r="H121" s="273"/>
      <c r="I121" s="273"/>
      <c r="J121" s="273"/>
      <c r="K121" s="273"/>
      <c r="L121" s="273"/>
      <c r="M121" s="273"/>
      <c r="N121" s="273"/>
      <c r="O121" s="273"/>
      <c r="P121" s="273"/>
      <c r="Q121" s="273"/>
      <c r="R121" s="273"/>
      <c r="S121" s="273"/>
      <c r="T121" s="273"/>
      <c r="U121" s="273"/>
      <c r="V121" s="273"/>
      <c r="W121" s="273"/>
      <c r="X121" s="273"/>
      <c r="Y121" s="273"/>
      <c r="Z121" s="467"/>
      <c r="AA121" s="273"/>
      <c r="AB121" s="273"/>
      <c r="AC121" s="273"/>
      <c r="AD121" s="273"/>
    </row>
    <row r="122" spans="1:30" ht="14.25" customHeight="1">
      <c r="A122" s="273"/>
      <c r="B122" s="273"/>
      <c r="C122" s="273"/>
      <c r="D122" s="273"/>
      <c r="E122" s="274"/>
      <c r="F122" s="273"/>
      <c r="G122" s="273"/>
      <c r="H122" s="273"/>
      <c r="I122" s="273"/>
      <c r="J122" s="273"/>
      <c r="K122" s="273"/>
      <c r="L122" s="273"/>
      <c r="M122" s="273"/>
      <c r="N122" s="273"/>
      <c r="O122" s="273"/>
      <c r="P122" s="273"/>
      <c r="Q122" s="273"/>
      <c r="R122" s="273"/>
      <c r="S122" s="273"/>
      <c r="T122" s="273"/>
      <c r="U122" s="273"/>
      <c r="V122" s="273"/>
      <c r="W122" s="273"/>
      <c r="X122" s="273"/>
      <c r="Y122" s="273"/>
      <c r="Z122" s="467"/>
      <c r="AA122" s="273"/>
      <c r="AB122" s="273"/>
      <c r="AC122" s="273"/>
      <c r="AD122" s="273"/>
    </row>
    <row r="123" spans="1:30" ht="14.25" customHeight="1">
      <c r="A123" s="273"/>
      <c r="B123" s="273"/>
      <c r="C123" s="273"/>
      <c r="D123" s="273"/>
      <c r="E123" s="274"/>
      <c r="F123" s="273"/>
      <c r="G123" s="273"/>
      <c r="H123" s="273"/>
      <c r="I123" s="273"/>
      <c r="J123" s="273"/>
      <c r="K123" s="273"/>
      <c r="L123" s="273"/>
      <c r="M123" s="273"/>
      <c r="N123" s="273"/>
      <c r="O123" s="273"/>
      <c r="P123" s="273"/>
      <c r="Q123" s="273"/>
      <c r="R123" s="273"/>
      <c r="S123" s="273"/>
      <c r="T123" s="273"/>
      <c r="U123" s="273"/>
      <c r="V123" s="273"/>
      <c r="W123" s="273"/>
      <c r="X123" s="273"/>
      <c r="Y123" s="273"/>
      <c r="Z123" s="467"/>
      <c r="AA123" s="273"/>
      <c r="AB123" s="273"/>
      <c r="AC123" s="273"/>
      <c r="AD123" s="273"/>
    </row>
    <row r="124" spans="1:30" ht="14.25" customHeight="1">
      <c r="A124" s="273"/>
      <c r="B124" s="273"/>
      <c r="C124" s="273"/>
      <c r="D124" s="273"/>
      <c r="E124" s="274"/>
      <c r="F124" s="273"/>
      <c r="G124" s="273"/>
      <c r="H124" s="273"/>
      <c r="I124" s="273"/>
      <c r="J124" s="273"/>
      <c r="K124" s="273"/>
      <c r="L124" s="273"/>
      <c r="M124" s="273"/>
      <c r="N124" s="273"/>
      <c r="O124" s="273"/>
      <c r="P124" s="273"/>
      <c r="Q124" s="273"/>
      <c r="R124" s="273"/>
      <c r="S124" s="273"/>
      <c r="T124" s="273"/>
      <c r="U124" s="273"/>
      <c r="V124" s="273"/>
      <c r="W124" s="273"/>
      <c r="X124" s="273"/>
      <c r="Y124" s="273"/>
      <c r="Z124" s="467"/>
      <c r="AA124" s="273"/>
      <c r="AB124" s="273"/>
      <c r="AC124" s="273"/>
      <c r="AD124" s="273"/>
    </row>
    <row r="125" spans="1:30" ht="14.25" customHeight="1">
      <c r="A125" s="273"/>
      <c r="B125" s="273"/>
      <c r="C125" s="273"/>
      <c r="D125" s="273"/>
      <c r="E125" s="274"/>
      <c r="F125" s="273"/>
      <c r="G125" s="273"/>
      <c r="H125" s="273"/>
      <c r="I125" s="273"/>
      <c r="J125" s="273"/>
      <c r="K125" s="273"/>
      <c r="L125" s="273"/>
      <c r="M125" s="273"/>
      <c r="N125" s="273"/>
      <c r="O125" s="273"/>
      <c r="P125" s="273"/>
      <c r="Q125" s="273"/>
      <c r="R125" s="273"/>
      <c r="S125" s="273"/>
      <c r="T125" s="273"/>
      <c r="U125" s="273"/>
      <c r="V125" s="273"/>
      <c r="W125" s="273"/>
      <c r="X125" s="273"/>
      <c r="Y125" s="273"/>
      <c r="Z125" s="467"/>
      <c r="AA125" s="273"/>
      <c r="AB125" s="273"/>
      <c r="AC125" s="273"/>
      <c r="AD125" s="273"/>
    </row>
    <row r="126" spans="1:30" ht="14.25" customHeight="1">
      <c r="A126" s="273"/>
      <c r="B126" s="273"/>
      <c r="C126" s="273"/>
      <c r="D126" s="273"/>
      <c r="E126" s="274"/>
      <c r="F126" s="273"/>
      <c r="G126" s="273"/>
      <c r="H126" s="273"/>
      <c r="I126" s="273"/>
      <c r="J126" s="273"/>
      <c r="K126" s="273"/>
      <c r="L126" s="273"/>
      <c r="M126" s="273"/>
      <c r="N126" s="273"/>
      <c r="O126" s="273"/>
      <c r="P126" s="273"/>
      <c r="Q126" s="273"/>
      <c r="R126" s="273"/>
      <c r="S126" s="273"/>
      <c r="T126" s="273"/>
      <c r="U126" s="273"/>
      <c r="V126" s="273"/>
      <c r="W126" s="273"/>
      <c r="X126" s="273"/>
      <c r="Y126" s="273"/>
      <c r="Z126" s="467"/>
      <c r="AA126" s="273"/>
      <c r="AB126" s="273"/>
      <c r="AC126" s="273"/>
      <c r="AD126" s="273"/>
    </row>
    <row r="127" spans="1:30" ht="14.25" customHeight="1">
      <c r="A127" s="273"/>
      <c r="B127" s="273"/>
      <c r="C127" s="273"/>
      <c r="D127" s="273"/>
      <c r="E127" s="274"/>
      <c r="F127" s="273"/>
      <c r="G127" s="273"/>
      <c r="H127" s="273"/>
      <c r="I127" s="273"/>
      <c r="J127" s="273"/>
      <c r="K127" s="273"/>
      <c r="L127" s="273"/>
      <c r="M127" s="273"/>
      <c r="N127" s="273"/>
      <c r="O127" s="273"/>
      <c r="P127" s="273"/>
      <c r="Q127" s="273"/>
      <c r="R127" s="273"/>
      <c r="S127" s="273"/>
      <c r="T127" s="273"/>
      <c r="U127" s="273"/>
      <c r="V127" s="273"/>
      <c r="W127" s="273"/>
      <c r="X127" s="273"/>
      <c r="Y127" s="273"/>
      <c r="Z127" s="467"/>
      <c r="AA127" s="273"/>
      <c r="AB127" s="273"/>
      <c r="AC127" s="273"/>
      <c r="AD127" s="273"/>
    </row>
    <row r="128" spans="1:30" ht="14.25" customHeight="1">
      <c r="A128" s="273"/>
      <c r="B128" s="273"/>
      <c r="C128" s="273"/>
      <c r="D128" s="273"/>
      <c r="E128" s="274"/>
      <c r="F128" s="273"/>
      <c r="G128" s="273"/>
      <c r="H128" s="273"/>
      <c r="I128" s="273"/>
      <c r="J128" s="273"/>
      <c r="K128" s="273"/>
      <c r="L128" s="273"/>
      <c r="M128" s="273"/>
      <c r="N128" s="273"/>
      <c r="O128" s="273"/>
      <c r="P128" s="273"/>
      <c r="Q128" s="273"/>
      <c r="R128" s="273"/>
      <c r="S128" s="273"/>
      <c r="T128" s="273"/>
      <c r="U128" s="273"/>
      <c r="V128" s="273"/>
      <c r="W128" s="273"/>
      <c r="X128" s="273"/>
      <c r="Y128" s="273"/>
      <c r="Z128" s="467"/>
      <c r="AA128" s="273"/>
      <c r="AB128" s="273"/>
      <c r="AC128" s="273"/>
      <c r="AD128" s="273"/>
    </row>
    <row r="129" spans="1:30" ht="14.25" customHeight="1">
      <c r="A129" s="273"/>
      <c r="B129" s="273"/>
      <c r="C129" s="273"/>
      <c r="D129" s="273"/>
      <c r="E129" s="274"/>
      <c r="F129" s="273"/>
      <c r="G129" s="273"/>
      <c r="H129" s="273"/>
      <c r="I129" s="273"/>
      <c r="J129" s="273"/>
      <c r="K129" s="273"/>
      <c r="L129" s="273"/>
      <c r="M129" s="273"/>
      <c r="N129" s="273"/>
      <c r="O129" s="273"/>
      <c r="P129" s="273"/>
      <c r="Q129" s="273"/>
      <c r="R129" s="273"/>
      <c r="S129" s="273"/>
      <c r="T129" s="273"/>
      <c r="U129" s="273"/>
      <c r="V129" s="273"/>
      <c r="W129" s="273"/>
      <c r="X129" s="273"/>
      <c r="Y129" s="273"/>
      <c r="Z129" s="467"/>
      <c r="AA129" s="273"/>
      <c r="AB129" s="273"/>
      <c r="AC129" s="273"/>
      <c r="AD129" s="273"/>
    </row>
    <row r="130" spans="1:30" ht="14.25" customHeight="1">
      <c r="A130" s="273"/>
      <c r="B130" s="273"/>
      <c r="C130" s="273"/>
      <c r="D130" s="273"/>
      <c r="E130" s="274"/>
      <c r="F130" s="273"/>
      <c r="G130" s="273"/>
      <c r="H130" s="273"/>
      <c r="I130" s="273"/>
      <c r="J130" s="273"/>
      <c r="K130" s="273"/>
      <c r="L130" s="273"/>
      <c r="M130" s="273"/>
      <c r="N130" s="273"/>
      <c r="O130" s="273"/>
      <c r="P130" s="273"/>
      <c r="Q130" s="273"/>
      <c r="R130" s="273"/>
      <c r="S130" s="273"/>
      <c r="T130" s="273"/>
      <c r="U130" s="273"/>
      <c r="V130" s="273"/>
      <c r="W130" s="273"/>
      <c r="X130" s="273"/>
      <c r="Y130" s="273"/>
      <c r="Z130" s="467"/>
      <c r="AA130" s="273"/>
      <c r="AB130" s="273"/>
      <c r="AC130" s="273"/>
      <c r="AD130" s="273"/>
    </row>
    <row r="131" spans="1:30" ht="14.25" customHeight="1">
      <c r="A131" s="273"/>
      <c r="B131" s="273"/>
      <c r="C131" s="273"/>
      <c r="D131" s="273"/>
      <c r="E131" s="274"/>
      <c r="F131" s="273"/>
      <c r="G131" s="273"/>
      <c r="H131" s="273"/>
      <c r="I131" s="273"/>
      <c r="J131" s="273"/>
      <c r="K131" s="273"/>
      <c r="L131" s="273"/>
      <c r="M131" s="273"/>
      <c r="N131" s="273"/>
      <c r="O131" s="273"/>
      <c r="P131" s="273"/>
      <c r="Q131" s="273"/>
      <c r="R131" s="273"/>
      <c r="S131" s="273"/>
      <c r="T131" s="273"/>
      <c r="U131" s="273"/>
      <c r="V131" s="273"/>
      <c r="W131" s="273"/>
      <c r="X131" s="273"/>
      <c r="Y131" s="273"/>
      <c r="Z131" s="467"/>
      <c r="AA131" s="273"/>
      <c r="AB131" s="273"/>
      <c r="AC131" s="273"/>
      <c r="AD131" s="273"/>
    </row>
    <row r="132" spans="1:30" ht="14.25" customHeight="1">
      <c r="A132" s="273"/>
      <c r="B132" s="273"/>
      <c r="C132" s="273"/>
      <c r="D132" s="273"/>
      <c r="E132" s="274"/>
      <c r="F132" s="273"/>
      <c r="G132" s="273"/>
      <c r="H132" s="273"/>
      <c r="I132" s="273"/>
      <c r="J132" s="273"/>
      <c r="K132" s="273"/>
      <c r="L132" s="273"/>
      <c r="M132" s="273"/>
      <c r="N132" s="273"/>
      <c r="O132" s="273"/>
      <c r="P132" s="273"/>
      <c r="Q132" s="273"/>
      <c r="R132" s="273"/>
      <c r="S132" s="273"/>
      <c r="T132" s="273"/>
      <c r="U132" s="273"/>
      <c r="V132" s="273"/>
      <c r="W132" s="273"/>
      <c r="X132" s="273"/>
      <c r="Y132" s="273"/>
      <c r="Z132" s="467"/>
      <c r="AA132" s="273"/>
      <c r="AB132" s="273"/>
      <c r="AC132" s="273"/>
      <c r="AD132" s="273"/>
    </row>
    <row r="133" spans="1:30" ht="14.25" customHeight="1">
      <c r="A133" s="273"/>
      <c r="B133" s="273"/>
      <c r="C133" s="273"/>
      <c r="D133" s="273"/>
      <c r="E133" s="274"/>
      <c r="F133" s="273"/>
      <c r="G133" s="273"/>
      <c r="H133" s="273"/>
      <c r="I133" s="273"/>
      <c r="J133" s="273"/>
      <c r="K133" s="273"/>
      <c r="L133" s="273"/>
      <c r="M133" s="273"/>
      <c r="N133" s="273"/>
      <c r="O133" s="273"/>
      <c r="P133" s="273"/>
      <c r="Q133" s="273"/>
      <c r="R133" s="273"/>
      <c r="S133" s="273"/>
      <c r="T133" s="273"/>
      <c r="U133" s="273"/>
      <c r="V133" s="273"/>
      <c r="W133" s="273"/>
      <c r="X133" s="273"/>
      <c r="Y133" s="273"/>
      <c r="Z133" s="467"/>
      <c r="AA133" s="273"/>
      <c r="AB133" s="273"/>
      <c r="AC133" s="273"/>
      <c r="AD133" s="273"/>
    </row>
    <row r="134" spans="1:30" ht="14.25" customHeight="1">
      <c r="A134" s="273"/>
      <c r="B134" s="273"/>
      <c r="C134" s="273"/>
      <c r="D134" s="273"/>
      <c r="E134" s="274"/>
      <c r="F134" s="273"/>
      <c r="G134" s="273"/>
      <c r="H134" s="273"/>
      <c r="I134" s="273"/>
      <c r="J134" s="273"/>
      <c r="K134" s="273"/>
      <c r="L134" s="273"/>
      <c r="M134" s="273"/>
      <c r="N134" s="273"/>
      <c r="O134" s="273"/>
      <c r="P134" s="273"/>
      <c r="Q134" s="273"/>
      <c r="R134" s="273"/>
      <c r="S134" s="273"/>
      <c r="T134" s="273"/>
      <c r="U134" s="273"/>
      <c r="V134" s="273"/>
      <c r="W134" s="273"/>
      <c r="X134" s="273"/>
      <c r="Y134" s="273"/>
      <c r="Z134" s="467"/>
      <c r="AA134" s="273"/>
      <c r="AB134" s="273"/>
      <c r="AC134" s="273"/>
      <c r="AD134" s="273"/>
    </row>
    <row r="135" spans="1:30" ht="14.25" customHeight="1">
      <c r="A135" s="273"/>
      <c r="B135" s="273"/>
      <c r="C135" s="273"/>
      <c r="D135" s="273"/>
      <c r="E135" s="274"/>
      <c r="F135" s="273"/>
      <c r="G135" s="273"/>
      <c r="H135" s="273"/>
      <c r="I135" s="273"/>
      <c r="J135" s="273"/>
      <c r="K135" s="273"/>
      <c r="L135" s="273"/>
      <c r="M135" s="273"/>
      <c r="N135" s="273"/>
      <c r="O135" s="273"/>
      <c r="P135" s="273"/>
      <c r="Q135" s="273"/>
      <c r="R135" s="273"/>
      <c r="S135" s="273"/>
      <c r="T135" s="273"/>
      <c r="U135" s="273"/>
      <c r="V135" s="273"/>
      <c r="W135" s="273"/>
      <c r="X135" s="273"/>
      <c r="Y135" s="273"/>
      <c r="Z135" s="467"/>
      <c r="AA135" s="273"/>
      <c r="AB135" s="273"/>
      <c r="AC135" s="273"/>
      <c r="AD135" s="273"/>
    </row>
    <row r="136" spans="1:30" ht="14.25" customHeight="1">
      <c r="A136" s="273"/>
      <c r="B136" s="273"/>
      <c r="C136" s="273"/>
      <c r="D136" s="273"/>
      <c r="E136" s="274"/>
      <c r="F136" s="273"/>
      <c r="G136" s="273"/>
      <c r="H136" s="273"/>
      <c r="I136" s="273"/>
      <c r="J136" s="273"/>
      <c r="K136" s="273"/>
      <c r="L136" s="273"/>
      <c r="M136" s="273"/>
      <c r="N136" s="273"/>
      <c r="O136" s="273"/>
      <c r="P136" s="273"/>
      <c r="Q136" s="273"/>
      <c r="R136" s="273"/>
      <c r="S136" s="273"/>
      <c r="T136" s="273"/>
      <c r="U136" s="273"/>
      <c r="V136" s="273"/>
      <c r="W136" s="273"/>
      <c r="X136" s="273"/>
      <c r="Y136" s="273"/>
      <c r="Z136" s="467"/>
      <c r="AA136" s="273"/>
      <c r="AB136" s="273"/>
      <c r="AC136" s="273"/>
      <c r="AD136" s="273"/>
    </row>
    <row r="137" spans="1:30" ht="14.25" customHeight="1">
      <c r="A137" s="273"/>
      <c r="B137" s="273"/>
      <c r="C137" s="273"/>
      <c r="D137" s="273"/>
      <c r="E137" s="274"/>
      <c r="F137" s="273"/>
      <c r="G137" s="273"/>
      <c r="H137" s="273"/>
      <c r="I137" s="273"/>
      <c r="J137" s="273"/>
      <c r="K137" s="273"/>
      <c r="L137" s="273"/>
      <c r="M137" s="273"/>
      <c r="N137" s="273"/>
      <c r="O137" s="273"/>
      <c r="P137" s="273"/>
      <c r="Q137" s="273"/>
      <c r="R137" s="273"/>
      <c r="S137" s="273"/>
      <c r="T137" s="273"/>
      <c r="U137" s="273"/>
      <c r="V137" s="273"/>
      <c r="W137" s="273"/>
      <c r="X137" s="273"/>
      <c r="Y137" s="273"/>
      <c r="Z137" s="467"/>
      <c r="AA137" s="273"/>
      <c r="AB137" s="273"/>
      <c r="AC137" s="273"/>
      <c r="AD137" s="273"/>
    </row>
    <row r="138" spans="1:30" ht="14.25" customHeight="1">
      <c r="A138" s="273"/>
      <c r="B138" s="273"/>
      <c r="C138" s="273"/>
      <c r="D138" s="273"/>
      <c r="E138" s="274"/>
      <c r="F138" s="273"/>
      <c r="G138" s="273"/>
      <c r="H138" s="273"/>
      <c r="I138" s="273"/>
      <c r="J138" s="273"/>
      <c r="K138" s="273"/>
      <c r="L138" s="273"/>
      <c r="M138" s="273"/>
      <c r="N138" s="273"/>
      <c r="O138" s="273"/>
      <c r="P138" s="273"/>
      <c r="Q138" s="273"/>
      <c r="R138" s="273"/>
      <c r="S138" s="273"/>
      <c r="T138" s="273"/>
      <c r="U138" s="273"/>
      <c r="V138" s="273"/>
      <c r="W138" s="273"/>
      <c r="X138" s="273"/>
      <c r="Y138" s="273"/>
      <c r="Z138" s="467"/>
      <c r="AA138" s="273"/>
      <c r="AB138" s="273"/>
      <c r="AC138" s="273"/>
      <c r="AD138" s="273"/>
    </row>
    <row r="139" spans="1:30" ht="14.25" customHeight="1">
      <c r="A139" s="273"/>
      <c r="B139" s="273"/>
      <c r="C139" s="273"/>
      <c r="D139" s="273"/>
      <c r="E139" s="274"/>
      <c r="F139" s="273"/>
      <c r="G139" s="273"/>
      <c r="H139" s="273"/>
      <c r="I139" s="273"/>
      <c r="J139" s="273"/>
      <c r="K139" s="273"/>
      <c r="L139" s="273"/>
      <c r="M139" s="273"/>
      <c r="N139" s="273"/>
      <c r="O139" s="273"/>
      <c r="P139" s="273"/>
      <c r="Q139" s="273"/>
      <c r="R139" s="273"/>
      <c r="S139" s="273"/>
      <c r="T139" s="273"/>
      <c r="U139" s="273"/>
      <c r="V139" s="273"/>
      <c r="W139" s="273"/>
      <c r="X139" s="273"/>
      <c r="Y139" s="273"/>
      <c r="Z139" s="467"/>
      <c r="AA139" s="273"/>
      <c r="AB139" s="273"/>
      <c r="AC139" s="273"/>
      <c r="AD139" s="273"/>
    </row>
    <row r="140" spans="1:30" ht="14.25" customHeight="1">
      <c r="A140" s="273"/>
      <c r="B140" s="273"/>
      <c r="C140" s="273"/>
      <c r="D140" s="273"/>
      <c r="E140" s="274"/>
      <c r="F140" s="273"/>
      <c r="G140" s="273"/>
      <c r="H140" s="273"/>
      <c r="I140" s="273"/>
      <c r="J140" s="273"/>
      <c r="K140" s="273"/>
      <c r="L140" s="273"/>
      <c r="M140" s="273"/>
      <c r="N140" s="273"/>
      <c r="O140" s="273"/>
      <c r="P140" s="273"/>
      <c r="Q140" s="273"/>
      <c r="R140" s="273"/>
      <c r="S140" s="273"/>
      <c r="T140" s="273"/>
      <c r="U140" s="273"/>
      <c r="V140" s="273"/>
      <c r="W140" s="273"/>
      <c r="X140" s="273"/>
      <c r="Y140" s="273"/>
      <c r="Z140" s="467"/>
      <c r="AA140" s="273"/>
      <c r="AB140" s="273"/>
      <c r="AC140" s="273"/>
      <c r="AD140" s="273"/>
    </row>
    <row r="141" spans="1:30" ht="14.25" customHeight="1">
      <c r="A141" s="273"/>
      <c r="B141" s="273"/>
      <c r="C141" s="273"/>
      <c r="D141" s="273"/>
      <c r="E141" s="274"/>
      <c r="F141" s="273"/>
      <c r="G141" s="273"/>
      <c r="H141" s="273"/>
      <c r="I141" s="273"/>
      <c r="J141" s="273"/>
      <c r="K141" s="273"/>
      <c r="L141" s="273"/>
      <c r="M141" s="273"/>
      <c r="N141" s="273"/>
      <c r="O141" s="273"/>
      <c r="P141" s="273"/>
      <c r="Q141" s="273"/>
      <c r="R141" s="273"/>
      <c r="S141" s="273"/>
      <c r="T141" s="273"/>
      <c r="U141" s="273"/>
      <c r="V141" s="273"/>
      <c r="W141" s="273"/>
      <c r="X141" s="273"/>
      <c r="Y141" s="273"/>
      <c r="Z141" s="467"/>
      <c r="AA141" s="273"/>
      <c r="AB141" s="273"/>
      <c r="AC141" s="273"/>
      <c r="AD141" s="273"/>
    </row>
    <row r="142" spans="1:30" ht="14.25" customHeight="1">
      <c r="A142" s="273"/>
      <c r="B142" s="273"/>
      <c r="C142" s="273"/>
      <c r="D142" s="273"/>
      <c r="E142" s="274"/>
      <c r="F142" s="273"/>
      <c r="G142" s="273"/>
      <c r="H142" s="273"/>
      <c r="I142" s="273"/>
      <c r="J142" s="273"/>
      <c r="K142" s="273"/>
      <c r="L142" s="273"/>
      <c r="M142" s="273"/>
      <c r="N142" s="273"/>
      <c r="O142" s="273"/>
      <c r="P142" s="273"/>
      <c r="Q142" s="273"/>
      <c r="R142" s="273"/>
      <c r="S142" s="273"/>
      <c r="T142" s="273"/>
      <c r="U142" s="273"/>
      <c r="V142" s="273"/>
      <c r="W142" s="273"/>
      <c r="X142" s="273"/>
      <c r="Y142" s="273"/>
      <c r="Z142" s="467"/>
      <c r="AA142" s="273"/>
      <c r="AB142" s="273"/>
      <c r="AC142" s="273"/>
      <c r="AD142" s="273"/>
    </row>
    <row r="143" spans="1:30" ht="14.25" customHeight="1">
      <c r="A143" s="273"/>
      <c r="B143" s="273"/>
      <c r="C143" s="273"/>
      <c r="D143" s="273"/>
      <c r="E143" s="274"/>
      <c r="F143" s="273"/>
      <c r="G143" s="273"/>
      <c r="H143" s="273"/>
      <c r="I143" s="273"/>
      <c r="J143" s="273"/>
      <c r="K143" s="273"/>
      <c r="L143" s="273"/>
      <c r="M143" s="273"/>
      <c r="N143" s="273"/>
      <c r="O143" s="273"/>
      <c r="P143" s="273"/>
      <c r="Q143" s="273"/>
      <c r="R143" s="273"/>
      <c r="S143" s="273"/>
      <c r="T143" s="273"/>
      <c r="U143" s="273"/>
      <c r="V143" s="273"/>
      <c r="W143" s="273"/>
      <c r="X143" s="273"/>
      <c r="Y143" s="273"/>
      <c r="Z143" s="467"/>
      <c r="AA143" s="273"/>
      <c r="AB143" s="273"/>
      <c r="AC143" s="273"/>
      <c r="AD143" s="273"/>
    </row>
    <row r="144" spans="1:30" ht="14.25" customHeight="1">
      <c r="A144" s="273"/>
      <c r="B144" s="273"/>
      <c r="C144" s="273"/>
      <c r="D144" s="273"/>
      <c r="E144" s="274"/>
      <c r="F144" s="273"/>
      <c r="G144" s="273"/>
      <c r="H144" s="273"/>
      <c r="I144" s="273"/>
      <c r="J144" s="273"/>
      <c r="K144" s="273"/>
      <c r="L144" s="273"/>
      <c r="M144" s="273"/>
      <c r="N144" s="273"/>
      <c r="O144" s="273"/>
      <c r="P144" s="273"/>
      <c r="Q144" s="273"/>
      <c r="R144" s="273"/>
      <c r="S144" s="273"/>
      <c r="T144" s="273"/>
      <c r="U144" s="273"/>
      <c r="V144" s="273"/>
      <c r="W144" s="273"/>
      <c r="X144" s="273"/>
      <c r="Y144" s="273"/>
      <c r="Z144" s="467"/>
      <c r="AA144" s="273"/>
      <c r="AB144" s="273"/>
      <c r="AC144" s="273"/>
      <c r="AD144" s="273"/>
    </row>
    <row r="145" spans="1:30" ht="14.25" customHeight="1">
      <c r="A145" s="273"/>
      <c r="B145" s="273"/>
      <c r="C145" s="273"/>
      <c r="D145" s="273"/>
      <c r="E145" s="274"/>
      <c r="F145" s="273"/>
      <c r="G145" s="273"/>
      <c r="H145" s="273"/>
      <c r="I145" s="273"/>
      <c r="J145" s="273"/>
      <c r="K145" s="273"/>
      <c r="L145" s="273"/>
      <c r="M145" s="273"/>
      <c r="N145" s="273"/>
      <c r="O145" s="273"/>
      <c r="P145" s="273"/>
      <c r="Q145" s="273"/>
      <c r="R145" s="273"/>
      <c r="S145" s="273"/>
      <c r="T145" s="273"/>
      <c r="U145" s="273"/>
      <c r="V145" s="273"/>
      <c r="W145" s="273"/>
      <c r="X145" s="273"/>
      <c r="Y145" s="273"/>
      <c r="Z145" s="467"/>
      <c r="AA145" s="273"/>
      <c r="AB145" s="273"/>
      <c r="AC145" s="273"/>
      <c r="AD145" s="273"/>
    </row>
    <row r="146" spans="1:30" ht="14.25" customHeight="1">
      <c r="A146" s="273"/>
      <c r="B146" s="273"/>
      <c r="C146" s="273"/>
      <c r="D146" s="273"/>
      <c r="E146" s="274"/>
      <c r="F146" s="273"/>
      <c r="G146" s="273"/>
      <c r="H146" s="273"/>
      <c r="I146" s="273"/>
      <c r="J146" s="273"/>
      <c r="K146" s="273"/>
      <c r="L146" s="273"/>
      <c r="M146" s="273"/>
      <c r="N146" s="273"/>
      <c r="O146" s="273"/>
      <c r="P146" s="273"/>
      <c r="Q146" s="273"/>
      <c r="R146" s="273"/>
      <c r="S146" s="273"/>
      <c r="T146" s="273"/>
      <c r="U146" s="273"/>
      <c r="V146" s="273"/>
      <c r="W146" s="273"/>
      <c r="X146" s="273"/>
      <c r="Y146" s="273"/>
      <c r="Z146" s="467"/>
      <c r="AA146" s="273"/>
      <c r="AB146" s="273"/>
      <c r="AC146" s="273"/>
      <c r="AD146" s="273"/>
    </row>
    <row r="147" spans="1:30" ht="14.25" customHeight="1">
      <c r="A147" s="273"/>
      <c r="B147" s="273"/>
      <c r="C147" s="273"/>
      <c r="D147" s="273"/>
      <c r="E147" s="274"/>
      <c r="F147" s="273"/>
      <c r="G147" s="273"/>
      <c r="H147" s="273"/>
      <c r="I147" s="273"/>
      <c r="J147" s="273"/>
      <c r="K147" s="273"/>
      <c r="L147" s="273"/>
      <c r="M147" s="273"/>
      <c r="N147" s="273"/>
      <c r="O147" s="273"/>
      <c r="P147" s="273"/>
      <c r="Q147" s="273"/>
      <c r="R147" s="273"/>
      <c r="S147" s="273"/>
      <c r="T147" s="273"/>
      <c r="U147" s="273"/>
      <c r="V147" s="273"/>
      <c r="W147" s="273"/>
      <c r="X147" s="273"/>
      <c r="Y147" s="273"/>
      <c r="Z147" s="467"/>
      <c r="AA147" s="273"/>
      <c r="AB147" s="273"/>
      <c r="AC147" s="273"/>
      <c r="AD147" s="273"/>
    </row>
    <row r="148" spans="1:30" ht="14.25" customHeight="1">
      <c r="A148" s="273"/>
      <c r="B148" s="273"/>
      <c r="C148" s="273"/>
      <c r="D148" s="273"/>
      <c r="E148" s="274"/>
      <c r="F148" s="273"/>
      <c r="G148" s="273"/>
      <c r="H148" s="273"/>
      <c r="I148" s="273"/>
      <c r="J148" s="273"/>
      <c r="K148" s="273"/>
      <c r="L148" s="273"/>
      <c r="M148" s="273"/>
      <c r="N148" s="273"/>
      <c r="O148" s="273"/>
      <c r="P148" s="273"/>
      <c r="Q148" s="273"/>
      <c r="R148" s="273"/>
      <c r="S148" s="273"/>
      <c r="T148" s="273"/>
      <c r="U148" s="273"/>
      <c r="V148" s="273"/>
      <c r="W148" s="273"/>
      <c r="X148" s="273"/>
      <c r="Y148" s="273"/>
      <c r="Z148" s="467"/>
      <c r="AA148" s="273"/>
      <c r="AB148" s="273"/>
      <c r="AC148" s="273"/>
      <c r="AD148" s="273"/>
    </row>
    <row r="149" spans="1:30" ht="14.25" customHeight="1">
      <c r="A149" s="273"/>
      <c r="B149" s="273"/>
      <c r="C149" s="273"/>
      <c r="D149" s="273"/>
      <c r="E149" s="274"/>
      <c r="F149" s="273"/>
      <c r="G149" s="273"/>
      <c r="H149" s="273"/>
      <c r="I149" s="273"/>
      <c r="J149" s="273"/>
      <c r="K149" s="273"/>
      <c r="L149" s="273"/>
      <c r="M149" s="273"/>
      <c r="N149" s="273"/>
      <c r="O149" s="273"/>
      <c r="P149" s="273"/>
      <c r="Q149" s="273"/>
      <c r="R149" s="273"/>
      <c r="S149" s="273"/>
      <c r="T149" s="273"/>
      <c r="U149" s="273"/>
      <c r="V149" s="273"/>
      <c r="W149" s="273"/>
      <c r="X149" s="273"/>
      <c r="Y149" s="273"/>
      <c r="Z149" s="467"/>
      <c r="AA149" s="273"/>
      <c r="AB149" s="273"/>
      <c r="AC149" s="273"/>
      <c r="AD149" s="273"/>
    </row>
    <row r="150" spans="1:30" ht="14.25" customHeight="1">
      <c r="A150" s="273"/>
      <c r="B150" s="273"/>
      <c r="C150" s="273"/>
      <c r="D150" s="273"/>
      <c r="E150" s="274"/>
      <c r="F150" s="273"/>
      <c r="G150" s="273"/>
      <c r="H150" s="273"/>
      <c r="I150" s="273"/>
      <c r="J150" s="273"/>
      <c r="K150" s="273"/>
      <c r="L150" s="273"/>
      <c r="M150" s="273"/>
      <c r="N150" s="273"/>
      <c r="O150" s="273"/>
      <c r="P150" s="273"/>
      <c r="Q150" s="273"/>
      <c r="R150" s="273"/>
      <c r="S150" s="273"/>
      <c r="T150" s="273"/>
      <c r="U150" s="273"/>
      <c r="V150" s="273"/>
      <c r="W150" s="273"/>
      <c r="X150" s="273"/>
      <c r="Y150" s="273"/>
      <c r="Z150" s="467"/>
      <c r="AA150" s="273"/>
      <c r="AB150" s="273"/>
      <c r="AC150" s="273"/>
      <c r="AD150" s="273"/>
    </row>
    <row r="151" spans="1:30" ht="14.25" customHeight="1">
      <c r="A151" s="273"/>
      <c r="B151" s="273"/>
      <c r="C151" s="273"/>
      <c r="D151" s="273"/>
      <c r="E151" s="274"/>
      <c r="F151" s="273"/>
      <c r="G151" s="273"/>
      <c r="H151" s="273"/>
      <c r="I151" s="273"/>
      <c r="J151" s="273"/>
      <c r="K151" s="273"/>
      <c r="L151" s="273"/>
      <c r="M151" s="273"/>
      <c r="N151" s="273"/>
      <c r="O151" s="273"/>
      <c r="P151" s="273"/>
      <c r="Q151" s="273"/>
      <c r="R151" s="273"/>
      <c r="S151" s="273"/>
      <c r="T151" s="273"/>
      <c r="U151" s="273"/>
      <c r="V151" s="273"/>
      <c r="W151" s="273"/>
      <c r="X151" s="273"/>
      <c r="Y151" s="273"/>
      <c r="Z151" s="467"/>
      <c r="AA151" s="273"/>
      <c r="AB151" s="273"/>
      <c r="AC151" s="273"/>
      <c r="AD151" s="273"/>
    </row>
    <row r="152" spans="1:30" ht="14.25" customHeight="1">
      <c r="A152" s="273"/>
      <c r="B152" s="273"/>
      <c r="C152" s="273"/>
      <c r="D152" s="273"/>
      <c r="E152" s="274"/>
      <c r="F152" s="273"/>
      <c r="G152" s="273"/>
      <c r="H152" s="273"/>
      <c r="I152" s="273"/>
      <c r="J152" s="273"/>
      <c r="K152" s="273"/>
      <c r="L152" s="273"/>
      <c r="M152" s="273"/>
      <c r="N152" s="273"/>
      <c r="O152" s="273"/>
      <c r="P152" s="273"/>
      <c r="Q152" s="273"/>
      <c r="R152" s="273"/>
      <c r="S152" s="273"/>
      <c r="T152" s="273"/>
      <c r="U152" s="273"/>
      <c r="V152" s="273"/>
      <c r="W152" s="273"/>
      <c r="X152" s="273"/>
      <c r="Y152" s="273"/>
      <c r="Z152" s="467"/>
      <c r="AA152" s="273"/>
      <c r="AB152" s="273"/>
      <c r="AC152" s="273"/>
      <c r="AD152" s="273"/>
    </row>
    <row r="153" spans="1:30" ht="14.25" customHeight="1">
      <c r="A153" s="273"/>
      <c r="B153" s="273"/>
      <c r="C153" s="273"/>
      <c r="D153" s="273"/>
      <c r="E153" s="274"/>
      <c r="F153" s="273"/>
      <c r="G153" s="273"/>
      <c r="H153" s="273"/>
      <c r="I153" s="273"/>
      <c r="J153" s="273"/>
      <c r="K153" s="273"/>
      <c r="L153" s="273"/>
      <c r="M153" s="273"/>
      <c r="N153" s="273"/>
      <c r="O153" s="273"/>
      <c r="P153" s="273"/>
      <c r="Q153" s="273"/>
      <c r="R153" s="273"/>
      <c r="S153" s="273"/>
      <c r="T153" s="273"/>
      <c r="U153" s="273"/>
      <c r="V153" s="273"/>
      <c r="W153" s="273"/>
      <c r="X153" s="273"/>
      <c r="Y153" s="273"/>
      <c r="Z153" s="467"/>
      <c r="AA153" s="273"/>
      <c r="AB153" s="273"/>
      <c r="AC153" s="273"/>
      <c r="AD153" s="273"/>
    </row>
    <row r="154" spans="1:30" ht="14.25" customHeight="1">
      <c r="A154" s="273"/>
      <c r="B154" s="273"/>
      <c r="C154" s="273"/>
      <c r="D154" s="273"/>
      <c r="E154" s="274"/>
      <c r="F154" s="273"/>
      <c r="G154" s="273"/>
      <c r="H154" s="273"/>
      <c r="I154" s="273"/>
      <c r="J154" s="273"/>
      <c r="K154" s="273"/>
      <c r="L154" s="273"/>
      <c r="M154" s="273"/>
      <c r="N154" s="273"/>
      <c r="O154" s="273"/>
      <c r="P154" s="273"/>
      <c r="Q154" s="273"/>
      <c r="R154" s="273"/>
      <c r="S154" s="273"/>
      <c r="T154" s="273"/>
      <c r="U154" s="273"/>
      <c r="V154" s="273"/>
      <c r="W154" s="273"/>
      <c r="X154" s="273"/>
      <c r="Y154" s="273"/>
      <c r="Z154" s="467"/>
      <c r="AA154" s="273"/>
      <c r="AB154" s="273"/>
      <c r="AC154" s="273"/>
      <c r="AD154" s="273"/>
    </row>
    <row r="155" spans="1:30" ht="14.25" customHeight="1">
      <c r="A155" s="273"/>
      <c r="B155" s="273"/>
      <c r="C155" s="273"/>
      <c r="D155" s="273"/>
      <c r="E155" s="274"/>
      <c r="F155" s="273"/>
      <c r="G155" s="273"/>
      <c r="H155" s="273"/>
      <c r="I155" s="273"/>
      <c r="J155" s="273"/>
      <c r="K155" s="273"/>
      <c r="L155" s="273"/>
      <c r="M155" s="273"/>
      <c r="N155" s="273"/>
      <c r="O155" s="273"/>
      <c r="P155" s="273"/>
      <c r="Q155" s="273"/>
      <c r="R155" s="273"/>
      <c r="S155" s="273"/>
      <c r="T155" s="273"/>
      <c r="U155" s="273"/>
      <c r="V155" s="273"/>
      <c r="W155" s="273"/>
      <c r="X155" s="273"/>
      <c r="Y155" s="273"/>
      <c r="Z155" s="467"/>
      <c r="AA155" s="273"/>
      <c r="AB155" s="273"/>
      <c r="AC155" s="273"/>
      <c r="AD155" s="273"/>
    </row>
    <row r="156" spans="1:30" ht="14.25" customHeight="1">
      <c r="A156" s="273"/>
      <c r="B156" s="273"/>
      <c r="C156" s="273"/>
      <c r="D156" s="273"/>
      <c r="E156" s="274"/>
      <c r="F156" s="273"/>
      <c r="G156" s="273"/>
      <c r="H156" s="273"/>
      <c r="I156" s="273"/>
      <c r="J156" s="273"/>
      <c r="K156" s="273"/>
      <c r="L156" s="273"/>
      <c r="M156" s="273"/>
      <c r="N156" s="273"/>
      <c r="O156" s="273"/>
      <c r="P156" s="273"/>
      <c r="Q156" s="273"/>
      <c r="R156" s="273"/>
      <c r="S156" s="273"/>
      <c r="T156" s="273"/>
      <c r="U156" s="273"/>
      <c r="V156" s="273"/>
      <c r="W156" s="273"/>
      <c r="X156" s="273"/>
      <c r="Y156" s="273"/>
      <c r="Z156" s="467"/>
      <c r="AA156" s="273"/>
      <c r="AB156" s="273"/>
      <c r="AC156" s="273"/>
      <c r="AD156" s="273"/>
    </row>
    <row r="157" spans="1:30" ht="14.25" customHeight="1">
      <c r="A157" s="273"/>
      <c r="B157" s="273"/>
      <c r="C157" s="273"/>
      <c r="D157" s="273"/>
      <c r="E157" s="274"/>
      <c r="F157" s="273"/>
      <c r="G157" s="273"/>
      <c r="H157" s="273"/>
      <c r="I157" s="273"/>
      <c r="J157" s="273"/>
      <c r="K157" s="273"/>
      <c r="L157" s="273"/>
      <c r="M157" s="273"/>
      <c r="N157" s="273"/>
      <c r="O157" s="273"/>
      <c r="P157" s="273"/>
      <c r="Q157" s="273"/>
      <c r="R157" s="273"/>
      <c r="S157" s="273"/>
      <c r="T157" s="273"/>
      <c r="U157" s="273"/>
      <c r="V157" s="273"/>
      <c r="W157" s="273"/>
      <c r="X157" s="273"/>
      <c r="Y157" s="273"/>
      <c r="Z157" s="467"/>
      <c r="AA157" s="273"/>
      <c r="AB157" s="273"/>
      <c r="AC157" s="273"/>
      <c r="AD157" s="273"/>
    </row>
    <row r="158" spans="1:30" ht="14.25" customHeight="1">
      <c r="A158" s="273"/>
      <c r="B158" s="273"/>
      <c r="C158" s="273"/>
      <c r="D158" s="273"/>
      <c r="E158" s="274"/>
      <c r="F158" s="273"/>
      <c r="G158" s="273"/>
      <c r="H158" s="273"/>
      <c r="I158" s="273"/>
      <c r="J158" s="273"/>
      <c r="K158" s="273"/>
      <c r="L158" s="273"/>
      <c r="M158" s="273"/>
      <c r="N158" s="273"/>
      <c r="O158" s="273"/>
      <c r="P158" s="273"/>
      <c r="Q158" s="273"/>
      <c r="R158" s="273"/>
      <c r="S158" s="273"/>
      <c r="T158" s="273"/>
      <c r="U158" s="273"/>
      <c r="V158" s="273"/>
      <c r="W158" s="273"/>
      <c r="X158" s="273"/>
      <c r="Y158" s="273"/>
      <c r="Z158" s="467"/>
      <c r="AA158" s="273"/>
      <c r="AB158" s="273"/>
      <c r="AC158" s="273"/>
      <c r="AD158" s="273"/>
    </row>
    <row r="159" spans="1:30" ht="14.25" customHeight="1">
      <c r="A159" s="273"/>
      <c r="B159" s="273"/>
      <c r="C159" s="273"/>
      <c r="D159" s="273"/>
      <c r="E159" s="274"/>
      <c r="F159" s="273"/>
      <c r="G159" s="273"/>
      <c r="H159" s="273"/>
      <c r="I159" s="273"/>
      <c r="J159" s="273"/>
      <c r="K159" s="273"/>
      <c r="L159" s="273"/>
      <c r="M159" s="273"/>
      <c r="N159" s="273"/>
      <c r="O159" s="273"/>
      <c r="P159" s="273"/>
      <c r="Q159" s="273"/>
      <c r="R159" s="273"/>
      <c r="S159" s="273"/>
      <c r="T159" s="273"/>
      <c r="U159" s="273"/>
      <c r="V159" s="273"/>
      <c r="W159" s="273"/>
      <c r="X159" s="273"/>
      <c r="Y159" s="273"/>
      <c r="Z159" s="467"/>
      <c r="AA159" s="273"/>
      <c r="AB159" s="273"/>
      <c r="AC159" s="273"/>
      <c r="AD159" s="273"/>
    </row>
    <row r="160" spans="1:30" ht="14.25" customHeight="1">
      <c r="A160" s="273"/>
      <c r="B160" s="273"/>
      <c r="C160" s="273"/>
      <c r="D160" s="273"/>
      <c r="E160" s="274"/>
      <c r="F160" s="273"/>
      <c r="G160" s="273"/>
      <c r="H160" s="273"/>
      <c r="I160" s="273"/>
      <c r="J160" s="273"/>
      <c r="K160" s="273"/>
      <c r="L160" s="273"/>
      <c r="M160" s="273"/>
      <c r="N160" s="273"/>
      <c r="O160" s="273"/>
      <c r="P160" s="273"/>
      <c r="Q160" s="273"/>
      <c r="R160" s="273"/>
      <c r="S160" s="273"/>
      <c r="T160" s="273"/>
      <c r="U160" s="273"/>
      <c r="V160" s="273"/>
      <c r="W160" s="273"/>
      <c r="X160" s="273"/>
      <c r="Y160" s="273"/>
      <c r="Z160" s="467"/>
      <c r="AA160" s="273"/>
      <c r="AB160" s="273"/>
      <c r="AC160" s="273"/>
      <c r="AD160" s="273"/>
    </row>
    <row r="161" spans="1:30" ht="14.25" customHeight="1">
      <c r="A161" s="273"/>
      <c r="B161" s="273"/>
      <c r="C161" s="273"/>
      <c r="D161" s="273"/>
      <c r="E161" s="274"/>
      <c r="F161" s="273"/>
      <c r="G161" s="273"/>
      <c r="H161" s="273"/>
      <c r="I161" s="273"/>
      <c r="J161" s="273"/>
      <c r="K161" s="273"/>
      <c r="L161" s="273"/>
      <c r="M161" s="273"/>
      <c r="N161" s="273"/>
      <c r="O161" s="273"/>
      <c r="P161" s="273"/>
      <c r="Q161" s="273"/>
      <c r="R161" s="273"/>
      <c r="S161" s="273"/>
      <c r="T161" s="273"/>
      <c r="U161" s="273"/>
      <c r="V161" s="273"/>
      <c r="W161" s="273"/>
      <c r="X161" s="273"/>
      <c r="Y161" s="273"/>
      <c r="Z161" s="467"/>
      <c r="AA161" s="273"/>
      <c r="AB161" s="273"/>
      <c r="AC161" s="273"/>
      <c r="AD161" s="273"/>
    </row>
    <row r="162" spans="1:30" ht="14.25" customHeight="1">
      <c r="A162" s="273"/>
      <c r="B162" s="273"/>
      <c r="C162" s="273"/>
      <c r="D162" s="273"/>
      <c r="E162" s="274"/>
      <c r="F162" s="273"/>
      <c r="G162" s="273"/>
      <c r="H162" s="273"/>
      <c r="I162" s="273"/>
      <c r="J162" s="273"/>
      <c r="K162" s="273"/>
      <c r="L162" s="273"/>
      <c r="M162" s="273"/>
      <c r="N162" s="273"/>
      <c r="O162" s="273"/>
      <c r="P162" s="273"/>
      <c r="Q162" s="273"/>
      <c r="R162" s="273"/>
      <c r="S162" s="273"/>
      <c r="T162" s="273"/>
      <c r="U162" s="273"/>
      <c r="V162" s="273"/>
      <c r="W162" s="273"/>
      <c r="X162" s="273"/>
      <c r="Y162" s="273"/>
      <c r="Z162" s="467"/>
      <c r="AA162" s="273"/>
      <c r="AB162" s="273"/>
      <c r="AC162" s="273"/>
      <c r="AD162" s="273"/>
    </row>
    <row r="163" spans="1:30" ht="14.25" customHeight="1">
      <c r="A163" s="273"/>
      <c r="B163" s="273"/>
      <c r="C163" s="273"/>
      <c r="D163" s="273"/>
      <c r="E163" s="274"/>
      <c r="F163" s="273"/>
      <c r="G163" s="273"/>
      <c r="H163" s="273"/>
      <c r="I163" s="273"/>
      <c r="J163" s="273"/>
      <c r="K163" s="273"/>
      <c r="L163" s="273"/>
      <c r="M163" s="273"/>
      <c r="N163" s="273"/>
      <c r="O163" s="273"/>
      <c r="P163" s="273"/>
      <c r="Q163" s="273"/>
      <c r="R163" s="273"/>
      <c r="S163" s="273"/>
      <c r="T163" s="273"/>
      <c r="U163" s="273"/>
      <c r="V163" s="273"/>
      <c r="W163" s="273"/>
      <c r="X163" s="273"/>
      <c r="Y163" s="273"/>
      <c r="Z163" s="467"/>
      <c r="AA163" s="273"/>
      <c r="AB163" s="273"/>
      <c r="AC163" s="273"/>
      <c r="AD163" s="273"/>
    </row>
    <row r="164" spans="1:30" ht="14.25" customHeight="1">
      <c r="A164" s="273"/>
      <c r="B164" s="273"/>
      <c r="C164" s="273"/>
      <c r="D164" s="273"/>
      <c r="E164" s="274"/>
      <c r="F164" s="273"/>
      <c r="G164" s="273"/>
      <c r="H164" s="273"/>
      <c r="I164" s="273"/>
      <c r="J164" s="273"/>
      <c r="K164" s="273"/>
      <c r="L164" s="273"/>
      <c r="M164" s="273"/>
      <c r="N164" s="273"/>
      <c r="O164" s="273"/>
      <c r="P164" s="273"/>
      <c r="Q164" s="273"/>
      <c r="R164" s="273"/>
      <c r="S164" s="273"/>
      <c r="T164" s="273"/>
      <c r="U164" s="273"/>
      <c r="V164" s="273"/>
      <c r="W164" s="273"/>
      <c r="X164" s="273"/>
      <c r="Y164" s="273"/>
      <c r="Z164" s="467"/>
      <c r="AA164" s="273"/>
      <c r="AB164" s="273"/>
      <c r="AC164" s="273"/>
      <c r="AD164" s="273"/>
    </row>
    <row r="165" spans="1:30" ht="14.25" customHeight="1">
      <c r="A165" s="273"/>
      <c r="B165" s="273"/>
      <c r="C165" s="273"/>
      <c r="D165" s="273"/>
      <c r="E165" s="274"/>
      <c r="F165" s="273"/>
      <c r="G165" s="273"/>
      <c r="H165" s="273"/>
      <c r="I165" s="273"/>
      <c r="J165" s="273"/>
      <c r="K165" s="273"/>
      <c r="L165" s="273"/>
      <c r="M165" s="273"/>
      <c r="N165" s="273"/>
      <c r="O165" s="273"/>
      <c r="P165" s="273"/>
      <c r="Q165" s="273"/>
      <c r="R165" s="273"/>
      <c r="S165" s="273"/>
      <c r="T165" s="273"/>
      <c r="U165" s="273"/>
      <c r="V165" s="273"/>
      <c r="W165" s="273"/>
      <c r="X165" s="273"/>
      <c r="Y165" s="273"/>
      <c r="Z165" s="467"/>
      <c r="AA165" s="273"/>
      <c r="AB165" s="273"/>
      <c r="AC165" s="273"/>
      <c r="AD165" s="273"/>
    </row>
    <row r="166" spans="1:30" ht="14.25" customHeight="1">
      <c r="A166" s="273"/>
      <c r="B166" s="273"/>
      <c r="C166" s="273"/>
      <c r="D166" s="273"/>
      <c r="E166" s="274"/>
      <c r="F166" s="273"/>
      <c r="G166" s="273"/>
      <c r="H166" s="273"/>
      <c r="I166" s="273"/>
      <c r="J166" s="273"/>
      <c r="K166" s="273"/>
      <c r="L166" s="273"/>
      <c r="M166" s="273"/>
      <c r="N166" s="273"/>
      <c r="O166" s="273"/>
      <c r="P166" s="273"/>
      <c r="Q166" s="273"/>
      <c r="R166" s="273"/>
      <c r="S166" s="273"/>
      <c r="T166" s="273"/>
      <c r="U166" s="273"/>
      <c r="V166" s="273"/>
      <c r="W166" s="273"/>
      <c r="X166" s="273"/>
      <c r="Y166" s="273"/>
      <c r="Z166" s="467"/>
      <c r="AA166" s="273"/>
      <c r="AB166" s="273"/>
      <c r="AC166" s="273"/>
      <c r="AD166" s="273"/>
    </row>
    <row r="167" spans="1:30" ht="14.25" customHeight="1">
      <c r="A167" s="273"/>
      <c r="B167" s="273"/>
      <c r="C167" s="273"/>
      <c r="D167" s="273"/>
      <c r="E167" s="274"/>
      <c r="F167" s="273"/>
      <c r="G167" s="273"/>
      <c r="H167" s="273"/>
      <c r="I167" s="273"/>
      <c r="J167" s="273"/>
      <c r="K167" s="273"/>
      <c r="L167" s="273"/>
      <c r="M167" s="273"/>
      <c r="N167" s="273"/>
      <c r="O167" s="273"/>
      <c r="P167" s="273"/>
      <c r="Q167" s="273"/>
      <c r="R167" s="273"/>
      <c r="S167" s="273"/>
      <c r="T167" s="273"/>
      <c r="U167" s="273"/>
      <c r="V167" s="273"/>
      <c r="W167" s="273"/>
      <c r="X167" s="273"/>
      <c r="Y167" s="273"/>
      <c r="Z167" s="467"/>
      <c r="AA167" s="273"/>
      <c r="AB167" s="273"/>
      <c r="AC167" s="273"/>
      <c r="AD167" s="273"/>
    </row>
    <row r="168" spans="1:30" ht="14.25" customHeight="1">
      <c r="A168" s="273"/>
      <c r="B168" s="273"/>
      <c r="C168" s="273"/>
      <c r="D168" s="273"/>
      <c r="E168" s="274"/>
      <c r="F168" s="273"/>
      <c r="G168" s="273"/>
      <c r="H168" s="273"/>
      <c r="I168" s="273"/>
      <c r="J168" s="273"/>
      <c r="K168" s="273"/>
      <c r="L168" s="273"/>
      <c r="M168" s="273"/>
      <c r="N168" s="273"/>
      <c r="O168" s="273"/>
      <c r="P168" s="273"/>
      <c r="Q168" s="273"/>
      <c r="R168" s="273"/>
      <c r="S168" s="273"/>
      <c r="T168" s="273"/>
      <c r="U168" s="273"/>
      <c r="V168" s="273"/>
      <c r="W168" s="273"/>
      <c r="X168" s="273"/>
      <c r="Y168" s="273"/>
      <c r="Z168" s="467"/>
      <c r="AA168" s="273"/>
      <c r="AB168" s="273"/>
      <c r="AC168" s="273"/>
      <c r="AD168" s="273"/>
    </row>
    <row r="169" spans="1:30" ht="14.25" customHeight="1">
      <c r="A169" s="273"/>
      <c r="B169" s="273"/>
      <c r="C169" s="273"/>
      <c r="D169" s="273"/>
      <c r="E169" s="274"/>
      <c r="F169" s="273"/>
      <c r="G169" s="273"/>
      <c r="H169" s="273"/>
      <c r="I169" s="273"/>
      <c r="J169" s="273"/>
      <c r="K169" s="273"/>
      <c r="L169" s="273"/>
      <c r="M169" s="273"/>
      <c r="N169" s="273"/>
      <c r="O169" s="273"/>
      <c r="P169" s="273"/>
      <c r="Q169" s="273"/>
      <c r="R169" s="273"/>
      <c r="S169" s="273"/>
      <c r="T169" s="273"/>
      <c r="U169" s="273"/>
      <c r="V169" s="273"/>
      <c r="W169" s="273"/>
      <c r="X169" s="273"/>
      <c r="Y169" s="273"/>
      <c r="Z169" s="467"/>
      <c r="AA169" s="273"/>
      <c r="AB169" s="273"/>
      <c r="AC169" s="273"/>
      <c r="AD169" s="273"/>
    </row>
    <row r="170" spans="1:30" ht="14.25" customHeight="1">
      <c r="A170" s="273"/>
      <c r="B170" s="273"/>
      <c r="C170" s="273"/>
      <c r="D170" s="273"/>
      <c r="E170" s="274"/>
      <c r="F170" s="273"/>
      <c r="G170" s="273"/>
      <c r="H170" s="273"/>
      <c r="I170" s="273"/>
      <c r="J170" s="273"/>
      <c r="K170" s="273"/>
      <c r="L170" s="273"/>
      <c r="M170" s="273"/>
      <c r="N170" s="273"/>
      <c r="O170" s="273"/>
      <c r="P170" s="273"/>
      <c r="Q170" s="273"/>
      <c r="R170" s="273"/>
      <c r="S170" s="273"/>
      <c r="T170" s="273"/>
      <c r="U170" s="273"/>
      <c r="V170" s="273"/>
      <c r="W170" s="273"/>
      <c r="X170" s="273"/>
      <c r="Y170" s="273"/>
      <c r="Z170" s="467"/>
      <c r="AA170" s="273"/>
      <c r="AB170" s="273"/>
      <c r="AC170" s="273"/>
      <c r="AD170" s="273"/>
    </row>
    <row r="171" spans="1:30" ht="14.25" customHeight="1">
      <c r="A171" s="273"/>
      <c r="B171" s="273"/>
      <c r="C171" s="273"/>
      <c r="D171" s="273"/>
      <c r="E171" s="274"/>
      <c r="F171" s="273"/>
      <c r="G171" s="273"/>
      <c r="H171" s="273"/>
      <c r="I171" s="273"/>
      <c r="J171" s="273"/>
      <c r="K171" s="273"/>
      <c r="L171" s="273"/>
      <c r="M171" s="273"/>
      <c r="N171" s="273"/>
      <c r="O171" s="273"/>
      <c r="P171" s="273"/>
      <c r="Q171" s="273"/>
      <c r="R171" s="273"/>
      <c r="S171" s="273"/>
      <c r="T171" s="273"/>
      <c r="U171" s="273"/>
      <c r="V171" s="273"/>
      <c r="W171" s="273"/>
      <c r="X171" s="273"/>
      <c r="Y171" s="273"/>
      <c r="Z171" s="467"/>
      <c r="AA171" s="273"/>
      <c r="AB171" s="273"/>
      <c r="AC171" s="273"/>
      <c r="AD171" s="273"/>
    </row>
    <row r="172" spans="1:30" ht="14.25" customHeight="1">
      <c r="A172" s="273"/>
      <c r="B172" s="273"/>
      <c r="C172" s="273"/>
      <c r="D172" s="273"/>
      <c r="E172" s="274"/>
      <c r="F172" s="273"/>
      <c r="G172" s="273"/>
      <c r="H172" s="273"/>
      <c r="I172" s="273"/>
      <c r="J172" s="273"/>
      <c r="K172" s="273"/>
      <c r="L172" s="273"/>
      <c r="M172" s="273"/>
      <c r="N172" s="273"/>
      <c r="O172" s="273"/>
      <c r="P172" s="273"/>
      <c r="Q172" s="273"/>
      <c r="R172" s="273"/>
      <c r="S172" s="273"/>
      <c r="T172" s="273"/>
      <c r="U172" s="273"/>
      <c r="V172" s="273"/>
      <c r="W172" s="273"/>
      <c r="X172" s="273"/>
      <c r="Y172" s="273"/>
      <c r="Z172" s="467"/>
      <c r="AA172" s="273"/>
      <c r="AB172" s="273"/>
      <c r="AC172" s="273"/>
      <c r="AD172" s="273"/>
    </row>
    <row r="173" spans="1:30" ht="14.25" customHeight="1">
      <c r="A173" s="273"/>
      <c r="B173" s="273"/>
      <c r="C173" s="273"/>
      <c r="D173" s="273"/>
      <c r="E173" s="274"/>
      <c r="F173" s="273"/>
      <c r="G173" s="273"/>
      <c r="H173" s="273"/>
      <c r="I173" s="273"/>
      <c r="J173" s="273"/>
      <c r="K173" s="273"/>
      <c r="L173" s="273"/>
      <c r="M173" s="273"/>
      <c r="N173" s="273"/>
      <c r="O173" s="273"/>
      <c r="P173" s="273"/>
      <c r="Q173" s="273"/>
      <c r="R173" s="273"/>
      <c r="S173" s="273"/>
      <c r="T173" s="273"/>
      <c r="U173" s="273"/>
      <c r="V173" s="273"/>
      <c r="W173" s="273"/>
      <c r="X173" s="273"/>
      <c r="Y173" s="273"/>
      <c r="Z173" s="467"/>
      <c r="AA173" s="273"/>
      <c r="AB173" s="273"/>
      <c r="AC173" s="273"/>
      <c r="AD173" s="273"/>
    </row>
    <row r="174" spans="1:30" ht="14.25" customHeight="1">
      <c r="A174" s="273"/>
      <c r="B174" s="273"/>
      <c r="C174" s="273"/>
      <c r="D174" s="273"/>
      <c r="E174" s="274"/>
      <c r="F174" s="273"/>
      <c r="G174" s="273"/>
      <c r="H174" s="273"/>
      <c r="I174" s="273"/>
      <c r="J174" s="273"/>
      <c r="K174" s="273"/>
      <c r="L174" s="273"/>
      <c r="M174" s="273"/>
      <c r="N174" s="273"/>
      <c r="O174" s="273"/>
      <c r="P174" s="273"/>
      <c r="Q174" s="273"/>
      <c r="R174" s="273"/>
      <c r="S174" s="273"/>
      <c r="T174" s="273"/>
      <c r="U174" s="273"/>
      <c r="V174" s="273"/>
      <c r="W174" s="273"/>
      <c r="X174" s="273"/>
      <c r="Y174" s="273"/>
      <c r="Z174" s="467"/>
      <c r="AA174" s="273"/>
      <c r="AB174" s="273"/>
      <c r="AC174" s="273"/>
      <c r="AD174" s="273"/>
    </row>
    <row r="175" spans="1:30" ht="14.25" customHeight="1">
      <c r="A175" s="273"/>
      <c r="B175" s="273"/>
      <c r="C175" s="273"/>
      <c r="D175" s="273"/>
      <c r="E175" s="274"/>
      <c r="F175" s="273"/>
      <c r="G175" s="273"/>
      <c r="H175" s="273"/>
      <c r="I175" s="273"/>
      <c r="J175" s="273"/>
      <c r="K175" s="273"/>
      <c r="L175" s="273"/>
      <c r="M175" s="273"/>
      <c r="N175" s="273"/>
      <c r="O175" s="273"/>
      <c r="P175" s="273"/>
      <c r="Q175" s="273"/>
      <c r="R175" s="273"/>
      <c r="S175" s="273"/>
      <c r="T175" s="273"/>
      <c r="U175" s="273"/>
      <c r="V175" s="273"/>
      <c r="W175" s="273"/>
      <c r="X175" s="273"/>
      <c r="Y175" s="273"/>
      <c r="Z175" s="467"/>
      <c r="AA175" s="273"/>
      <c r="AB175" s="273"/>
      <c r="AC175" s="273"/>
      <c r="AD175" s="273"/>
    </row>
    <row r="176" spans="1:30" ht="14.25" customHeight="1">
      <c r="A176" s="273"/>
      <c r="B176" s="273"/>
      <c r="C176" s="273"/>
      <c r="D176" s="273"/>
      <c r="E176" s="274"/>
      <c r="F176" s="273"/>
      <c r="G176" s="273"/>
      <c r="H176" s="273"/>
      <c r="I176" s="273"/>
      <c r="J176" s="273"/>
      <c r="K176" s="273"/>
      <c r="L176" s="273"/>
      <c r="M176" s="273"/>
      <c r="N176" s="273"/>
      <c r="O176" s="273"/>
      <c r="P176" s="273"/>
      <c r="Q176" s="273"/>
      <c r="R176" s="273"/>
      <c r="S176" s="273"/>
      <c r="T176" s="273"/>
      <c r="U176" s="273"/>
      <c r="V176" s="273"/>
      <c r="W176" s="273"/>
      <c r="X176" s="273"/>
      <c r="Y176" s="273"/>
      <c r="Z176" s="467"/>
      <c r="AA176" s="273"/>
      <c r="AB176" s="273"/>
      <c r="AC176" s="273"/>
      <c r="AD176" s="273"/>
    </row>
    <row r="177" spans="1:30" ht="14.25" customHeight="1">
      <c r="A177" s="273"/>
      <c r="B177" s="273"/>
      <c r="C177" s="273"/>
      <c r="D177" s="273"/>
      <c r="E177" s="274"/>
      <c r="F177" s="273"/>
      <c r="G177" s="273"/>
      <c r="H177" s="273"/>
      <c r="I177" s="273"/>
      <c r="J177" s="273"/>
      <c r="K177" s="273"/>
      <c r="L177" s="273"/>
      <c r="M177" s="273"/>
      <c r="N177" s="273"/>
      <c r="O177" s="273"/>
      <c r="P177" s="273"/>
      <c r="Q177" s="273"/>
      <c r="R177" s="273"/>
      <c r="S177" s="273"/>
      <c r="T177" s="273"/>
      <c r="U177" s="273"/>
      <c r="V177" s="273"/>
      <c r="W177" s="273"/>
      <c r="X177" s="273"/>
      <c r="Y177" s="273"/>
      <c r="Z177" s="467"/>
      <c r="AA177" s="273"/>
      <c r="AB177" s="273"/>
      <c r="AC177" s="273"/>
      <c r="AD177" s="273"/>
    </row>
    <row r="178" spans="1:30" ht="14.25" customHeight="1">
      <c r="A178" s="273"/>
      <c r="B178" s="273"/>
      <c r="C178" s="273"/>
      <c r="D178" s="273"/>
      <c r="E178" s="274"/>
      <c r="F178" s="273"/>
      <c r="G178" s="273"/>
      <c r="H178" s="273"/>
      <c r="I178" s="273"/>
      <c r="J178" s="273"/>
      <c r="K178" s="273"/>
      <c r="L178" s="273"/>
      <c r="M178" s="273"/>
      <c r="N178" s="273"/>
      <c r="O178" s="273"/>
      <c r="P178" s="273"/>
      <c r="Q178" s="273"/>
      <c r="R178" s="273"/>
      <c r="S178" s="273"/>
      <c r="T178" s="273"/>
      <c r="U178" s="273"/>
      <c r="V178" s="273"/>
      <c r="W178" s="273"/>
      <c r="X178" s="273"/>
      <c r="Y178" s="273"/>
      <c r="Z178" s="467"/>
      <c r="AA178" s="273"/>
      <c r="AB178" s="273"/>
      <c r="AC178" s="273"/>
      <c r="AD178" s="273"/>
    </row>
    <row r="179" spans="1:30" ht="14.25" customHeight="1">
      <c r="A179" s="273"/>
      <c r="B179" s="273"/>
      <c r="C179" s="273"/>
      <c r="D179" s="273"/>
      <c r="E179" s="274"/>
      <c r="F179" s="273"/>
      <c r="G179" s="273"/>
      <c r="H179" s="273"/>
      <c r="I179" s="273"/>
      <c r="J179" s="273"/>
      <c r="K179" s="273"/>
      <c r="L179" s="273"/>
      <c r="M179" s="273"/>
      <c r="N179" s="273"/>
      <c r="O179" s="273"/>
      <c r="P179" s="273"/>
      <c r="Q179" s="273"/>
      <c r="R179" s="273"/>
      <c r="S179" s="273"/>
      <c r="T179" s="273"/>
      <c r="U179" s="273"/>
      <c r="V179" s="273"/>
      <c r="W179" s="273"/>
      <c r="X179" s="273"/>
      <c r="Y179" s="273"/>
      <c r="Z179" s="467"/>
      <c r="AA179" s="273"/>
      <c r="AB179" s="273"/>
      <c r="AC179" s="273"/>
      <c r="AD179" s="273"/>
    </row>
    <row r="180" spans="1:30" ht="14.25" customHeight="1">
      <c r="A180" s="273"/>
      <c r="B180" s="273"/>
      <c r="C180" s="273"/>
      <c r="D180" s="273"/>
      <c r="E180" s="274"/>
      <c r="F180" s="273"/>
      <c r="G180" s="273"/>
      <c r="H180" s="273"/>
      <c r="I180" s="273"/>
      <c r="J180" s="273"/>
      <c r="K180" s="273"/>
      <c r="L180" s="273"/>
      <c r="M180" s="273"/>
      <c r="N180" s="273"/>
      <c r="O180" s="273"/>
      <c r="P180" s="273"/>
      <c r="Q180" s="273"/>
      <c r="R180" s="273"/>
      <c r="S180" s="273"/>
      <c r="T180" s="273"/>
      <c r="U180" s="273"/>
      <c r="V180" s="273"/>
      <c r="W180" s="273"/>
      <c r="X180" s="273"/>
      <c r="Y180" s="273"/>
      <c r="Z180" s="467"/>
      <c r="AA180" s="273"/>
      <c r="AB180" s="273"/>
      <c r="AC180" s="273"/>
      <c r="AD180" s="273"/>
    </row>
    <row r="181" spans="1:30" ht="14.25" customHeight="1">
      <c r="A181" s="273"/>
      <c r="B181" s="273"/>
      <c r="C181" s="273"/>
      <c r="D181" s="273"/>
      <c r="E181" s="274"/>
      <c r="F181" s="273"/>
      <c r="G181" s="273"/>
      <c r="H181" s="273"/>
      <c r="I181" s="273"/>
      <c r="J181" s="273"/>
      <c r="K181" s="273"/>
      <c r="L181" s="273"/>
      <c r="M181" s="273"/>
      <c r="N181" s="273"/>
      <c r="O181" s="273"/>
      <c r="P181" s="273"/>
      <c r="Q181" s="273"/>
      <c r="R181" s="273"/>
      <c r="S181" s="273"/>
      <c r="T181" s="273"/>
      <c r="U181" s="273"/>
      <c r="V181" s="273"/>
      <c r="W181" s="273"/>
      <c r="X181" s="273"/>
      <c r="Y181" s="273"/>
      <c r="Z181" s="467"/>
      <c r="AA181" s="273"/>
      <c r="AB181" s="273"/>
      <c r="AC181" s="273"/>
      <c r="AD181" s="273"/>
    </row>
    <row r="182" spans="1:30" ht="14.25" customHeight="1">
      <c r="A182" s="273"/>
      <c r="B182" s="273"/>
      <c r="C182" s="273"/>
      <c r="D182" s="273"/>
      <c r="E182" s="274"/>
      <c r="F182" s="273"/>
      <c r="G182" s="273"/>
      <c r="H182" s="273"/>
      <c r="I182" s="273"/>
      <c r="J182" s="273"/>
      <c r="K182" s="273"/>
      <c r="L182" s="273"/>
      <c r="M182" s="273"/>
      <c r="N182" s="273"/>
      <c r="O182" s="273"/>
      <c r="P182" s="273"/>
      <c r="Q182" s="273"/>
      <c r="R182" s="273"/>
      <c r="S182" s="273"/>
      <c r="T182" s="273"/>
      <c r="U182" s="273"/>
      <c r="V182" s="273"/>
      <c r="W182" s="273"/>
      <c r="X182" s="273"/>
      <c r="Y182" s="273"/>
      <c r="Z182" s="467"/>
      <c r="AA182" s="273"/>
      <c r="AB182" s="273"/>
      <c r="AC182" s="273"/>
      <c r="AD182" s="273"/>
    </row>
    <row r="183" spans="1:30" ht="14.25" customHeight="1">
      <c r="A183" s="273"/>
      <c r="B183" s="273"/>
      <c r="C183" s="273"/>
      <c r="D183" s="273"/>
      <c r="E183" s="274"/>
      <c r="F183" s="273"/>
      <c r="G183" s="273"/>
      <c r="H183" s="273"/>
      <c r="I183" s="273"/>
      <c r="J183" s="273"/>
      <c r="K183" s="273"/>
      <c r="L183" s="273"/>
      <c r="M183" s="273"/>
      <c r="N183" s="273"/>
      <c r="O183" s="273"/>
      <c r="P183" s="273"/>
      <c r="Q183" s="273"/>
      <c r="R183" s="273"/>
      <c r="S183" s="273"/>
      <c r="T183" s="273"/>
      <c r="U183" s="273"/>
      <c r="V183" s="273"/>
      <c r="W183" s="273"/>
      <c r="X183" s="273"/>
      <c r="Y183" s="273"/>
      <c r="Z183" s="467"/>
      <c r="AA183" s="273"/>
      <c r="AB183" s="273"/>
      <c r="AC183" s="273"/>
      <c r="AD183" s="273"/>
    </row>
    <row r="184" spans="1:30" ht="14.25" customHeight="1">
      <c r="A184" s="273"/>
      <c r="B184" s="273"/>
      <c r="C184" s="273"/>
      <c r="D184" s="273"/>
      <c r="E184" s="274"/>
      <c r="F184" s="273"/>
      <c r="G184" s="273"/>
      <c r="H184" s="273"/>
      <c r="I184" s="273"/>
      <c r="J184" s="273"/>
      <c r="K184" s="273"/>
      <c r="L184" s="273"/>
      <c r="M184" s="273"/>
      <c r="N184" s="273"/>
      <c r="O184" s="273"/>
      <c r="P184" s="273"/>
      <c r="Q184" s="273"/>
      <c r="R184" s="273"/>
      <c r="S184" s="273"/>
      <c r="T184" s="273"/>
      <c r="U184" s="273"/>
      <c r="V184" s="273"/>
      <c r="W184" s="273"/>
      <c r="X184" s="273"/>
      <c r="Y184" s="273"/>
      <c r="Z184" s="467"/>
      <c r="AA184" s="273"/>
      <c r="AB184" s="273"/>
      <c r="AC184" s="273"/>
      <c r="AD184" s="273"/>
    </row>
    <row r="185" spans="1:30" ht="14.25" customHeight="1">
      <c r="A185" s="273"/>
      <c r="B185" s="273"/>
      <c r="C185" s="273"/>
      <c r="D185" s="273"/>
      <c r="E185" s="274"/>
      <c r="F185" s="273"/>
      <c r="G185" s="273"/>
      <c r="H185" s="273"/>
      <c r="I185" s="273"/>
      <c r="J185" s="273"/>
      <c r="K185" s="273"/>
      <c r="L185" s="273"/>
      <c r="M185" s="273"/>
      <c r="N185" s="273"/>
      <c r="O185" s="273"/>
      <c r="P185" s="273"/>
      <c r="Q185" s="273"/>
      <c r="R185" s="273"/>
      <c r="S185" s="273"/>
      <c r="T185" s="273"/>
      <c r="U185" s="273"/>
      <c r="V185" s="273"/>
      <c r="W185" s="273"/>
      <c r="X185" s="273"/>
      <c r="Y185" s="273"/>
      <c r="Z185" s="467"/>
      <c r="AA185" s="273"/>
      <c r="AB185" s="273"/>
      <c r="AC185" s="273"/>
      <c r="AD185" s="273"/>
    </row>
    <row r="186" spans="1:30" ht="14.25" customHeight="1">
      <c r="A186" s="273"/>
      <c r="B186" s="273"/>
      <c r="C186" s="273"/>
      <c r="D186" s="273"/>
      <c r="E186" s="274"/>
      <c r="F186" s="273"/>
      <c r="G186" s="273"/>
      <c r="H186" s="273"/>
      <c r="I186" s="273"/>
      <c r="J186" s="273"/>
      <c r="K186" s="273"/>
      <c r="L186" s="273"/>
      <c r="M186" s="273"/>
      <c r="N186" s="273"/>
      <c r="O186" s="273"/>
      <c r="P186" s="273"/>
      <c r="Q186" s="273"/>
      <c r="R186" s="273"/>
      <c r="S186" s="273"/>
      <c r="T186" s="273"/>
      <c r="U186" s="273"/>
      <c r="V186" s="273"/>
      <c r="W186" s="273"/>
      <c r="X186" s="273"/>
      <c r="Y186" s="273"/>
      <c r="Z186" s="467"/>
      <c r="AA186" s="273"/>
      <c r="AB186" s="273"/>
      <c r="AC186" s="273"/>
      <c r="AD186" s="273"/>
    </row>
    <row r="187" spans="1:30" ht="14.25" customHeight="1">
      <c r="A187" s="273"/>
      <c r="B187" s="273"/>
      <c r="C187" s="273"/>
      <c r="D187" s="273"/>
      <c r="E187" s="274"/>
      <c r="F187" s="273"/>
      <c r="G187" s="273"/>
      <c r="H187" s="273"/>
      <c r="I187" s="273"/>
      <c r="J187" s="273"/>
      <c r="K187" s="273"/>
      <c r="L187" s="273"/>
      <c r="M187" s="273"/>
      <c r="N187" s="273"/>
      <c r="O187" s="273"/>
      <c r="P187" s="273"/>
      <c r="Q187" s="273"/>
      <c r="R187" s="273"/>
      <c r="S187" s="273"/>
      <c r="T187" s="273"/>
      <c r="U187" s="273"/>
      <c r="V187" s="273"/>
      <c r="W187" s="273"/>
      <c r="X187" s="273"/>
      <c r="Y187" s="273"/>
      <c r="Z187" s="467"/>
      <c r="AA187" s="273"/>
      <c r="AB187" s="273"/>
      <c r="AC187" s="273"/>
      <c r="AD187" s="273"/>
    </row>
    <row r="188" spans="1:30" ht="14.25" customHeight="1">
      <c r="A188" s="273"/>
      <c r="B188" s="273"/>
      <c r="C188" s="273"/>
      <c r="D188" s="273"/>
      <c r="E188" s="274"/>
      <c r="F188" s="273"/>
      <c r="G188" s="273"/>
      <c r="H188" s="273"/>
      <c r="I188" s="273"/>
      <c r="J188" s="273"/>
      <c r="K188" s="273"/>
      <c r="L188" s="273"/>
      <c r="M188" s="273"/>
      <c r="N188" s="273"/>
      <c r="O188" s="273"/>
      <c r="P188" s="273"/>
      <c r="Q188" s="273"/>
      <c r="R188" s="273"/>
      <c r="S188" s="273"/>
      <c r="T188" s="273"/>
      <c r="U188" s="273"/>
      <c r="V188" s="273"/>
      <c r="W188" s="273"/>
      <c r="X188" s="273"/>
      <c r="Y188" s="273"/>
      <c r="Z188" s="467"/>
      <c r="AA188" s="273"/>
      <c r="AB188" s="273"/>
      <c r="AC188" s="273"/>
      <c r="AD188" s="273"/>
    </row>
    <row r="189" spans="1:30" ht="14.25" customHeight="1">
      <c r="A189" s="273"/>
      <c r="B189" s="273"/>
      <c r="C189" s="273"/>
      <c r="D189" s="273"/>
      <c r="E189" s="274"/>
      <c r="F189" s="273"/>
      <c r="G189" s="273"/>
      <c r="H189" s="273"/>
      <c r="I189" s="273"/>
      <c r="J189" s="273"/>
      <c r="K189" s="273"/>
      <c r="L189" s="273"/>
      <c r="M189" s="273"/>
      <c r="N189" s="273"/>
      <c r="O189" s="273"/>
      <c r="P189" s="273"/>
      <c r="Q189" s="273"/>
      <c r="R189" s="273"/>
      <c r="S189" s="273"/>
      <c r="T189" s="273"/>
      <c r="U189" s="273"/>
      <c r="V189" s="273"/>
      <c r="W189" s="273"/>
      <c r="X189" s="273"/>
      <c r="Y189" s="273"/>
      <c r="Z189" s="467"/>
      <c r="AA189" s="273"/>
      <c r="AB189" s="273"/>
      <c r="AC189" s="273"/>
      <c r="AD189" s="273"/>
    </row>
    <row r="190" spans="1:30" ht="14.25" customHeight="1">
      <c r="A190" s="273"/>
      <c r="B190" s="273"/>
      <c r="C190" s="273"/>
      <c r="D190" s="273"/>
      <c r="E190" s="274"/>
      <c r="F190" s="273"/>
      <c r="G190" s="273"/>
      <c r="H190" s="273"/>
      <c r="I190" s="273"/>
      <c r="J190" s="273"/>
      <c r="K190" s="273"/>
      <c r="L190" s="273"/>
      <c r="M190" s="273"/>
      <c r="N190" s="273"/>
      <c r="O190" s="273"/>
      <c r="P190" s="273"/>
      <c r="Q190" s="273"/>
      <c r="R190" s="273"/>
      <c r="S190" s="273"/>
      <c r="T190" s="273"/>
      <c r="U190" s="273"/>
      <c r="V190" s="273"/>
      <c r="W190" s="273"/>
      <c r="X190" s="273"/>
      <c r="Y190" s="273"/>
      <c r="Z190" s="467"/>
      <c r="AA190" s="273"/>
      <c r="AB190" s="273"/>
      <c r="AC190" s="273"/>
      <c r="AD190" s="273"/>
    </row>
    <row r="191" spans="1:30" ht="14.25" customHeight="1">
      <c r="A191" s="273"/>
      <c r="B191" s="273"/>
      <c r="C191" s="273"/>
      <c r="D191" s="273"/>
      <c r="E191" s="274"/>
      <c r="F191" s="273"/>
      <c r="G191" s="273"/>
      <c r="H191" s="273"/>
      <c r="I191" s="273"/>
      <c r="J191" s="273"/>
      <c r="K191" s="273"/>
      <c r="L191" s="273"/>
      <c r="M191" s="273"/>
      <c r="N191" s="273"/>
      <c r="O191" s="273"/>
      <c r="P191" s="273"/>
      <c r="Q191" s="273"/>
      <c r="R191" s="273"/>
      <c r="S191" s="273"/>
      <c r="T191" s="273"/>
      <c r="U191" s="273"/>
      <c r="V191" s="273"/>
      <c r="W191" s="273"/>
      <c r="X191" s="273"/>
      <c r="Y191" s="273"/>
      <c r="Z191" s="467"/>
      <c r="AA191" s="273"/>
      <c r="AB191" s="273"/>
      <c r="AC191" s="273"/>
      <c r="AD191" s="273"/>
    </row>
    <row r="192" spans="1:30" ht="14.25" customHeight="1">
      <c r="A192" s="273"/>
      <c r="B192" s="273"/>
      <c r="C192" s="273"/>
      <c r="D192" s="273"/>
      <c r="E192" s="274"/>
      <c r="F192" s="273"/>
      <c r="G192" s="273"/>
      <c r="H192" s="273"/>
      <c r="I192" s="273"/>
      <c r="J192" s="273"/>
      <c r="K192" s="273"/>
      <c r="L192" s="273"/>
      <c r="M192" s="273"/>
      <c r="N192" s="273"/>
      <c r="O192" s="273"/>
      <c r="P192" s="273"/>
      <c r="Q192" s="273"/>
      <c r="R192" s="273"/>
      <c r="S192" s="273"/>
      <c r="T192" s="273"/>
      <c r="U192" s="273"/>
      <c r="V192" s="273"/>
      <c r="W192" s="273"/>
      <c r="X192" s="273"/>
      <c r="Y192" s="273"/>
      <c r="Z192" s="467"/>
      <c r="AA192" s="273"/>
      <c r="AB192" s="273"/>
      <c r="AC192" s="273"/>
      <c r="AD192" s="273"/>
    </row>
    <row r="193" spans="1:30" ht="14.25" customHeight="1">
      <c r="A193" s="273"/>
      <c r="B193" s="273"/>
      <c r="C193" s="273"/>
      <c r="D193" s="273"/>
      <c r="E193" s="274"/>
      <c r="F193" s="273"/>
      <c r="G193" s="273"/>
      <c r="H193" s="273"/>
      <c r="I193" s="273"/>
      <c r="J193" s="273"/>
      <c r="K193" s="273"/>
      <c r="L193" s="273"/>
      <c r="M193" s="273"/>
      <c r="N193" s="273"/>
      <c r="O193" s="273"/>
      <c r="P193" s="273"/>
      <c r="Q193" s="273"/>
      <c r="R193" s="273"/>
      <c r="S193" s="273"/>
      <c r="T193" s="273"/>
      <c r="U193" s="273"/>
      <c r="V193" s="273"/>
      <c r="W193" s="273"/>
      <c r="X193" s="273"/>
      <c r="Y193" s="273"/>
      <c r="Z193" s="467"/>
      <c r="AA193" s="273"/>
      <c r="AB193" s="273"/>
      <c r="AC193" s="273"/>
      <c r="AD193" s="273"/>
    </row>
    <row r="194" spans="1:30" ht="14.25" customHeight="1">
      <c r="A194" s="273"/>
      <c r="B194" s="273"/>
      <c r="C194" s="273"/>
      <c r="D194" s="273"/>
      <c r="E194" s="274"/>
      <c r="F194" s="273"/>
      <c r="G194" s="273"/>
      <c r="H194" s="273"/>
      <c r="I194" s="273"/>
      <c r="J194" s="273"/>
      <c r="K194" s="273"/>
      <c r="L194" s="273"/>
      <c r="M194" s="273"/>
      <c r="N194" s="273"/>
      <c r="O194" s="273"/>
      <c r="P194" s="273"/>
      <c r="Q194" s="273"/>
      <c r="R194" s="273"/>
      <c r="S194" s="273"/>
      <c r="T194" s="273"/>
      <c r="U194" s="273"/>
      <c r="V194" s="273"/>
      <c r="W194" s="273"/>
      <c r="X194" s="273"/>
      <c r="Y194" s="273"/>
      <c r="Z194" s="467"/>
      <c r="AA194" s="273"/>
      <c r="AB194" s="273"/>
      <c r="AC194" s="273"/>
      <c r="AD194" s="273"/>
    </row>
    <row r="195" spans="1:30" ht="14.25" customHeight="1">
      <c r="A195" s="273"/>
      <c r="B195" s="273"/>
      <c r="C195" s="273"/>
      <c r="D195" s="273"/>
      <c r="E195" s="274"/>
      <c r="F195" s="273"/>
      <c r="G195" s="273"/>
      <c r="H195" s="273"/>
      <c r="I195" s="273"/>
      <c r="J195" s="273"/>
      <c r="K195" s="273"/>
      <c r="L195" s="273"/>
      <c r="M195" s="273"/>
      <c r="N195" s="273"/>
      <c r="O195" s="273"/>
      <c r="P195" s="273"/>
      <c r="Q195" s="273"/>
      <c r="R195" s="273"/>
      <c r="S195" s="273"/>
      <c r="T195" s="273"/>
      <c r="U195" s="273"/>
      <c r="V195" s="273"/>
      <c r="W195" s="273"/>
      <c r="X195" s="273"/>
      <c r="Y195" s="273"/>
      <c r="Z195" s="467"/>
      <c r="AA195" s="273"/>
      <c r="AB195" s="273"/>
      <c r="AC195" s="273"/>
      <c r="AD195" s="273"/>
    </row>
    <row r="196" spans="1:30" ht="14.25" customHeight="1">
      <c r="A196" s="273"/>
      <c r="B196" s="273"/>
      <c r="C196" s="273"/>
      <c r="D196" s="273"/>
      <c r="E196" s="274"/>
      <c r="F196" s="273"/>
      <c r="G196" s="273"/>
      <c r="H196" s="273"/>
      <c r="I196" s="273"/>
      <c r="J196" s="273"/>
      <c r="K196" s="273"/>
      <c r="L196" s="273"/>
      <c r="M196" s="273"/>
      <c r="N196" s="273"/>
      <c r="O196" s="273"/>
      <c r="P196" s="273"/>
      <c r="Q196" s="273"/>
      <c r="R196" s="273"/>
      <c r="S196" s="273"/>
      <c r="T196" s="273"/>
      <c r="U196" s="273"/>
      <c r="V196" s="273"/>
      <c r="W196" s="273"/>
      <c r="X196" s="273"/>
      <c r="Y196" s="273"/>
      <c r="Z196" s="467"/>
      <c r="AA196" s="273"/>
      <c r="AB196" s="273"/>
      <c r="AC196" s="273"/>
      <c r="AD196" s="273"/>
    </row>
    <row r="197" spans="1:30" ht="14.25" customHeight="1">
      <c r="A197" s="273"/>
      <c r="B197" s="273"/>
      <c r="C197" s="273"/>
      <c r="D197" s="273"/>
      <c r="E197" s="274"/>
      <c r="F197" s="273"/>
      <c r="G197" s="273"/>
      <c r="H197" s="273"/>
      <c r="I197" s="273"/>
      <c r="J197" s="273"/>
      <c r="K197" s="273"/>
      <c r="L197" s="273"/>
      <c r="M197" s="273"/>
      <c r="N197" s="273"/>
      <c r="O197" s="273"/>
      <c r="P197" s="273"/>
      <c r="Q197" s="273"/>
      <c r="R197" s="273"/>
      <c r="S197" s="273"/>
      <c r="T197" s="273"/>
      <c r="U197" s="273"/>
      <c r="V197" s="273"/>
      <c r="W197" s="273"/>
      <c r="X197" s="273"/>
      <c r="Y197" s="273"/>
      <c r="Z197" s="467"/>
      <c r="AA197" s="273"/>
      <c r="AB197" s="273"/>
      <c r="AC197" s="273"/>
      <c r="AD197" s="273"/>
    </row>
    <row r="198" spans="1:30" ht="14.25" customHeight="1">
      <c r="A198" s="273"/>
      <c r="B198" s="273"/>
      <c r="C198" s="273"/>
      <c r="D198" s="273"/>
      <c r="E198" s="274"/>
      <c r="F198" s="273"/>
      <c r="G198" s="273"/>
      <c r="H198" s="273"/>
      <c r="I198" s="273"/>
      <c r="J198" s="273"/>
      <c r="K198" s="273"/>
      <c r="L198" s="273"/>
      <c r="M198" s="273"/>
      <c r="N198" s="273"/>
      <c r="O198" s="273"/>
      <c r="P198" s="273"/>
      <c r="Q198" s="273"/>
      <c r="R198" s="273"/>
      <c r="S198" s="273"/>
      <c r="T198" s="273"/>
      <c r="U198" s="273"/>
      <c r="V198" s="273"/>
      <c r="W198" s="273"/>
      <c r="X198" s="273"/>
      <c r="Y198" s="273"/>
      <c r="Z198" s="467"/>
      <c r="AA198" s="273"/>
      <c r="AB198" s="273"/>
      <c r="AC198" s="273"/>
      <c r="AD198" s="273"/>
    </row>
    <row r="199" spans="1:30" ht="14.25" customHeight="1">
      <c r="A199" s="273"/>
      <c r="B199" s="273"/>
      <c r="C199" s="273"/>
      <c r="D199" s="273"/>
      <c r="E199" s="274"/>
      <c r="F199" s="273"/>
      <c r="G199" s="273"/>
      <c r="H199" s="273"/>
      <c r="I199" s="273"/>
      <c r="J199" s="273"/>
      <c r="K199" s="273"/>
      <c r="L199" s="273"/>
      <c r="M199" s="273"/>
      <c r="N199" s="273"/>
      <c r="O199" s="273"/>
      <c r="P199" s="273"/>
      <c r="Q199" s="273"/>
      <c r="R199" s="273"/>
      <c r="S199" s="273"/>
      <c r="T199" s="273"/>
      <c r="U199" s="273"/>
      <c r="V199" s="273"/>
      <c r="W199" s="273"/>
      <c r="X199" s="273"/>
      <c r="Y199" s="273"/>
      <c r="Z199" s="467"/>
      <c r="AA199" s="273"/>
      <c r="AB199" s="273"/>
      <c r="AC199" s="273"/>
      <c r="AD199" s="273"/>
    </row>
    <row r="200" spans="1:30" ht="14.25" customHeight="1">
      <c r="A200" s="273"/>
      <c r="B200" s="273"/>
      <c r="C200" s="273"/>
      <c r="D200" s="273"/>
      <c r="E200" s="274"/>
      <c r="F200" s="273"/>
      <c r="G200" s="273"/>
      <c r="H200" s="273"/>
      <c r="I200" s="273"/>
      <c r="J200" s="273"/>
      <c r="K200" s="273"/>
      <c r="L200" s="273"/>
      <c r="M200" s="273"/>
      <c r="N200" s="273"/>
      <c r="O200" s="273"/>
      <c r="P200" s="273"/>
      <c r="Q200" s="273"/>
      <c r="R200" s="273"/>
      <c r="S200" s="273"/>
      <c r="T200" s="273"/>
      <c r="U200" s="273"/>
      <c r="V200" s="273"/>
      <c r="W200" s="273"/>
      <c r="X200" s="273"/>
      <c r="Y200" s="273"/>
      <c r="Z200" s="467"/>
      <c r="AA200" s="273"/>
      <c r="AB200" s="273"/>
      <c r="AC200" s="273"/>
      <c r="AD200" s="273"/>
    </row>
    <row r="201" spans="1:30" ht="14.25" customHeight="1">
      <c r="A201" s="273"/>
      <c r="B201" s="273"/>
      <c r="C201" s="273"/>
      <c r="D201" s="273"/>
      <c r="E201" s="274"/>
      <c r="F201" s="273"/>
      <c r="G201" s="273"/>
      <c r="H201" s="273"/>
      <c r="I201" s="273"/>
      <c r="J201" s="273"/>
      <c r="K201" s="273"/>
      <c r="L201" s="273"/>
      <c r="M201" s="273"/>
      <c r="N201" s="273"/>
      <c r="O201" s="273"/>
      <c r="P201" s="273"/>
      <c r="Q201" s="273"/>
      <c r="R201" s="273"/>
      <c r="S201" s="273"/>
      <c r="T201" s="273"/>
      <c r="U201" s="273"/>
      <c r="V201" s="273"/>
      <c r="W201" s="273"/>
      <c r="X201" s="273"/>
      <c r="Y201" s="273"/>
      <c r="Z201" s="467"/>
      <c r="AA201" s="273"/>
      <c r="AB201" s="273"/>
      <c r="AC201" s="273"/>
      <c r="AD201" s="273"/>
    </row>
    <row r="202" spans="1:30" ht="14.25" customHeight="1">
      <c r="A202" s="273"/>
      <c r="B202" s="273"/>
      <c r="C202" s="273"/>
      <c r="D202" s="273"/>
      <c r="E202" s="274"/>
      <c r="F202" s="273"/>
      <c r="G202" s="273"/>
      <c r="H202" s="273"/>
      <c r="I202" s="273"/>
      <c r="J202" s="273"/>
      <c r="K202" s="273"/>
      <c r="L202" s="273"/>
      <c r="M202" s="273"/>
      <c r="N202" s="273"/>
      <c r="O202" s="273"/>
      <c r="P202" s="273"/>
      <c r="Q202" s="273"/>
      <c r="R202" s="273"/>
      <c r="S202" s="273"/>
      <c r="T202" s="273"/>
      <c r="U202" s="273"/>
      <c r="V202" s="273"/>
      <c r="W202" s="273"/>
      <c r="X202" s="273"/>
      <c r="Y202" s="273"/>
      <c r="Z202" s="467"/>
      <c r="AA202" s="273"/>
      <c r="AB202" s="273"/>
      <c r="AC202" s="273"/>
      <c r="AD202" s="273"/>
    </row>
    <row r="203" spans="1:30" ht="14.25" customHeight="1">
      <c r="A203" s="273"/>
      <c r="B203" s="273"/>
      <c r="C203" s="273"/>
      <c r="D203" s="273"/>
      <c r="E203" s="274"/>
      <c r="F203" s="273"/>
      <c r="G203" s="273"/>
      <c r="H203" s="273"/>
      <c r="I203" s="273"/>
      <c r="J203" s="273"/>
      <c r="K203" s="273"/>
      <c r="L203" s="273"/>
      <c r="M203" s="273"/>
      <c r="N203" s="273"/>
      <c r="O203" s="273"/>
      <c r="P203" s="273"/>
      <c r="Q203" s="273"/>
      <c r="R203" s="273"/>
      <c r="S203" s="273"/>
      <c r="T203" s="273"/>
      <c r="U203" s="273"/>
      <c r="V203" s="273"/>
      <c r="W203" s="273"/>
      <c r="X203" s="273"/>
      <c r="Y203" s="273"/>
      <c r="Z203" s="467"/>
      <c r="AA203" s="273"/>
      <c r="AB203" s="273"/>
      <c r="AC203" s="273"/>
      <c r="AD203" s="273"/>
    </row>
    <row r="204" spans="1:30" ht="14.25" customHeight="1">
      <c r="A204" s="273"/>
      <c r="B204" s="273"/>
      <c r="C204" s="273"/>
      <c r="D204" s="273"/>
      <c r="E204" s="274"/>
      <c r="F204" s="273"/>
      <c r="G204" s="273"/>
      <c r="H204" s="273"/>
      <c r="I204" s="273"/>
      <c r="J204" s="273"/>
      <c r="K204" s="273"/>
      <c r="L204" s="273"/>
      <c r="M204" s="273"/>
      <c r="N204" s="273"/>
      <c r="O204" s="273"/>
      <c r="P204" s="273"/>
      <c r="Q204" s="273"/>
      <c r="R204" s="273"/>
      <c r="S204" s="273"/>
      <c r="T204" s="273"/>
      <c r="U204" s="273"/>
      <c r="V204" s="273"/>
      <c r="W204" s="273"/>
      <c r="X204" s="273"/>
      <c r="Y204" s="273"/>
      <c r="Z204" s="467"/>
      <c r="AA204" s="273"/>
      <c r="AB204" s="273"/>
      <c r="AC204" s="273"/>
      <c r="AD204" s="273"/>
    </row>
    <row r="205" spans="1:30" ht="14.25" customHeight="1">
      <c r="A205" s="273"/>
      <c r="B205" s="273"/>
      <c r="C205" s="273"/>
      <c r="D205" s="273"/>
      <c r="E205" s="274"/>
      <c r="F205" s="273"/>
      <c r="G205" s="273"/>
      <c r="H205" s="273"/>
      <c r="I205" s="273"/>
      <c r="J205" s="273"/>
      <c r="K205" s="273"/>
      <c r="L205" s="273"/>
      <c r="M205" s="273"/>
      <c r="N205" s="273"/>
      <c r="O205" s="273"/>
      <c r="P205" s="273"/>
      <c r="Q205" s="273"/>
      <c r="R205" s="273"/>
      <c r="S205" s="273"/>
      <c r="T205" s="273"/>
      <c r="U205" s="273"/>
      <c r="V205" s="273"/>
      <c r="W205" s="273"/>
      <c r="X205" s="273"/>
      <c r="Y205" s="273"/>
      <c r="Z205" s="467"/>
      <c r="AA205" s="273"/>
      <c r="AB205" s="273"/>
      <c r="AC205" s="273"/>
      <c r="AD205" s="273"/>
    </row>
    <row r="206" spans="1:30" ht="14.25" customHeight="1">
      <c r="A206" s="273"/>
      <c r="B206" s="273"/>
      <c r="C206" s="273"/>
      <c r="D206" s="273"/>
      <c r="E206" s="274"/>
      <c r="F206" s="273"/>
      <c r="G206" s="273"/>
      <c r="H206" s="273"/>
      <c r="I206" s="273"/>
      <c r="J206" s="273"/>
      <c r="K206" s="273"/>
      <c r="L206" s="273"/>
      <c r="M206" s="273"/>
      <c r="N206" s="273"/>
      <c r="O206" s="273"/>
      <c r="P206" s="273"/>
      <c r="Q206" s="273"/>
      <c r="R206" s="273"/>
      <c r="S206" s="273"/>
      <c r="T206" s="273"/>
      <c r="U206" s="273"/>
      <c r="V206" s="273"/>
      <c r="W206" s="273"/>
      <c r="X206" s="273"/>
      <c r="Y206" s="273"/>
      <c r="Z206" s="467"/>
      <c r="AA206" s="273"/>
      <c r="AB206" s="273"/>
      <c r="AC206" s="273"/>
      <c r="AD206" s="273"/>
    </row>
    <row r="207" spans="1:30" ht="14.25" customHeight="1">
      <c r="A207" s="273"/>
      <c r="B207" s="273"/>
      <c r="C207" s="273"/>
      <c r="D207" s="273"/>
      <c r="E207" s="274"/>
      <c r="F207" s="273"/>
      <c r="G207" s="273"/>
      <c r="H207" s="273"/>
      <c r="I207" s="273"/>
      <c r="J207" s="273"/>
      <c r="K207" s="273"/>
      <c r="L207" s="273"/>
      <c r="M207" s="273"/>
      <c r="N207" s="273"/>
      <c r="O207" s="273"/>
      <c r="P207" s="273"/>
      <c r="Q207" s="273"/>
      <c r="R207" s="273"/>
      <c r="S207" s="273"/>
      <c r="T207" s="273"/>
      <c r="U207" s="273"/>
      <c r="V207" s="273"/>
      <c r="W207" s="273"/>
      <c r="X207" s="273"/>
      <c r="Y207" s="273"/>
      <c r="Z207" s="467"/>
      <c r="AA207" s="273"/>
      <c r="AB207" s="273"/>
      <c r="AC207" s="273"/>
      <c r="AD207" s="273"/>
    </row>
    <row r="208" spans="1:30" ht="14.25" customHeight="1">
      <c r="A208" s="273"/>
      <c r="B208" s="273"/>
      <c r="C208" s="273"/>
      <c r="D208" s="273"/>
      <c r="E208" s="274"/>
      <c r="F208" s="273"/>
      <c r="G208" s="273"/>
      <c r="H208" s="273"/>
      <c r="I208" s="273"/>
      <c r="J208" s="273"/>
      <c r="K208" s="273"/>
      <c r="L208" s="273"/>
      <c r="M208" s="273"/>
      <c r="N208" s="273"/>
      <c r="O208" s="273"/>
      <c r="P208" s="273"/>
      <c r="Q208" s="273"/>
      <c r="R208" s="273"/>
      <c r="S208" s="273"/>
      <c r="T208" s="273"/>
      <c r="U208" s="273"/>
      <c r="V208" s="273"/>
      <c r="W208" s="273"/>
      <c r="X208" s="273"/>
      <c r="Y208" s="273"/>
      <c r="Z208" s="467"/>
      <c r="AA208" s="273"/>
      <c r="AB208" s="273"/>
      <c r="AC208" s="273"/>
      <c r="AD208" s="273"/>
    </row>
    <row r="209" spans="1:30" ht="14.25" customHeight="1">
      <c r="A209" s="273"/>
      <c r="B209" s="273"/>
      <c r="C209" s="273"/>
      <c r="D209" s="273"/>
      <c r="E209" s="274"/>
      <c r="F209" s="273"/>
      <c r="G209" s="273"/>
      <c r="H209" s="273"/>
      <c r="I209" s="273"/>
      <c r="J209" s="273"/>
      <c r="K209" s="273"/>
      <c r="L209" s="273"/>
      <c r="M209" s="273"/>
      <c r="N209" s="273"/>
      <c r="O209" s="273"/>
      <c r="P209" s="273"/>
      <c r="Q209" s="273"/>
      <c r="R209" s="273"/>
      <c r="S209" s="273"/>
      <c r="T209" s="273"/>
      <c r="U209" s="273"/>
      <c r="V209" s="273"/>
      <c r="W209" s="273"/>
      <c r="X209" s="273"/>
      <c r="Y209" s="273"/>
      <c r="Z209" s="467"/>
      <c r="AA209" s="273"/>
      <c r="AB209" s="273"/>
      <c r="AC209" s="273"/>
      <c r="AD209" s="273"/>
    </row>
    <row r="210" spans="1:30" ht="14.25" customHeight="1">
      <c r="A210" s="273"/>
      <c r="B210" s="273"/>
      <c r="C210" s="273"/>
      <c r="D210" s="273"/>
      <c r="E210" s="274"/>
      <c r="F210" s="273"/>
      <c r="G210" s="273"/>
      <c r="H210" s="273"/>
      <c r="I210" s="273"/>
      <c r="J210" s="273"/>
      <c r="K210" s="273"/>
      <c r="L210" s="273"/>
      <c r="M210" s="273"/>
      <c r="N210" s="273"/>
      <c r="O210" s="273"/>
      <c r="P210" s="273"/>
      <c r="Q210" s="273"/>
      <c r="R210" s="273"/>
      <c r="S210" s="273"/>
      <c r="T210" s="273"/>
      <c r="U210" s="273"/>
      <c r="V210" s="273"/>
      <c r="W210" s="273"/>
      <c r="X210" s="273"/>
      <c r="Y210" s="273"/>
      <c r="Z210" s="467"/>
      <c r="AA210" s="273"/>
      <c r="AB210" s="273"/>
      <c r="AC210" s="273"/>
      <c r="AD210" s="273"/>
    </row>
    <row r="211" spans="1:30" ht="14.25" customHeight="1">
      <c r="A211" s="273"/>
      <c r="B211" s="273"/>
      <c r="C211" s="273"/>
      <c r="D211" s="273"/>
      <c r="E211" s="274"/>
      <c r="F211" s="273"/>
      <c r="G211" s="273"/>
      <c r="H211" s="273"/>
      <c r="I211" s="273"/>
      <c r="J211" s="273"/>
      <c r="K211" s="273"/>
      <c r="L211" s="273"/>
      <c r="M211" s="273"/>
      <c r="N211" s="273"/>
      <c r="O211" s="273"/>
      <c r="P211" s="273"/>
      <c r="Q211" s="273"/>
      <c r="R211" s="273"/>
      <c r="S211" s="273"/>
      <c r="T211" s="273"/>
      <c r="U211" s="273"/>
      <c r="V211" s="273"/>
      <c r="W211" s="273"/>
      <c r="X211" s="273"/>
      <c r="Y211" s="273"/>
      <c r="Z211" s="467"/>
      <c r="AA211" s="273"/>
      <c r="AB211" s="273"/>
      <c r="AC211" s="273"/>
      <c r="AD211" s="273"/>
    </row>
    <row r="212" spans="1:30" ht="14.25" customHeight="1">
      <c r="A212" s="273"/>
      <c r="B212" s="273"/>
      <c r="C212" s="273"/>
      <c r="D212" s="273"/>
      <c r="E212" s="274"/>
      <c r="F212" s="273"/>
      <c r="G212" s="273"/>
      <c r="H212" s="273"/>
      <c r="I212" s="273"/>
      <c r="J212" s="273"/>
      <c r="K212" s="273"/>
      <c r="L212" s="273"/>
      <c r="M212" s="273"/>
      <c r="N212" s="273"/>
      <c r="O212" s="273"/>
      <c r="P212" s="273"/>
      <c r="Q212" s="273"/>
      <c r="R212" s="273"/>
      <c r="S212" s="273"/>
      <c r="T212" s="273"/>
      <c r="U212" s="273"/>
      <c r="V212" s="273"/>
      <c r="W212" s="273"/>
      <c r="X212" s="273"/>
      <c r="Y212" s="273"/>
      <c r="Z212" s="467"/>
      <c r="AA212" s="273"/>
      <c r="AB212" s="273"/>
      <c r="AC212" s="273"/>
      <c r="AD212" s="273"/>
    </row>
    <row r="213" spans="1:30" ht="14.25" customHeight="1">
      <c r="A213" s="273"/>
      <c r="B213" s="273"/>
      <c r="C213" s="273"/>
      <c r="D213" s="273"/>
      <c r="E213" s="274"/>
      <c r="F213" s="273"/>
      <c r="G213" s="273"/>
      <c r="H213" s="273"/>
      <c r="I213" s="273"/>
      <c r="J213" s="273"/>
      <c r="K213" s="273"/>
      <c r="L213" s="273"/>
      <c r="M213" s="273"/>
      <c r="N213" s="273"/>
      <c r="O213" s="273"/>
      <c r="P213" s="273"/>
      <c r="Q213" s="273"/>
      <c r="R213" s="273"/>
      <c r="S213" s="273"/>
      <c r="T213" s="273"/>
      <c r="U213" s="273"/>
      <c r="V213" s="273"/>
      <c r="W213" s="273"/>
      <c r="X213" s="273"/>
      <c r="Y213" s="273"/>
      <c r="Z213" s="467"/>
      <c r="AA213" s="273"/>
      <c r="AB213" s="273"/>
      <c r="AC213" s="273"/>
      <c r="AD213" s="273"/>
    </row>
    <row r="214" spans="1:30" ht="14.25" customHeight="1">
      <c r="A214" s="273"/>
      <c r="B214" s="273"/>
      <c r="C214" s="273"/>
      <c r="D214" s="273"/>
      <c r="E214" s="274"/>
      <c r="F214" s="273"/>
      <c r="G214" s="273"/>
      <c r="H214" s="273"/>
      <c r="I214" s="273"/>
      <c r="J214" s="273"/>
      <c r="K214" s="273"/>
      <c r="L214" s="273"/>
      <c r="M214" s="273"/>
      <c r="N214" s="273"/>
      <c r="O214" s="273"/>
      <c r="P214" s="273"/>
      <c r="Q214" s="273"/>
      <c r="R214" s="273"/>
      <c r="S214" s="273"/>
      <c r="T214" s="273"/>
      <c r="U214" s="273"/>
      <c r="V214" s="273"/>
      <c r="W214" s="273"/>
      <c r="X214" s="273"/>
      <c r="Y214" s="273"/>
      <c r="Z214" s="467"/>
      <c r="AA214" s="273"/>
      <c r="AB214" s="273"/>
      <c r="AC214" s="273"/>
      <c r="AD214" s="273"/>
    </row>
    <row r="215" spans="1:30" ht="14.25" customHeight="1">
      <c r="A215" s="273"/>
      <c r="B215" s="273"/>
      <c r="C215" s="273"/>
      <c r="D215" s="273"/>
      <c r="E215" s="274"/>
      <c r="F215" s="273"/>
      <c r="G215" s="273"/>
      <c r="H215" s="273"/>
      <c r="I215" s="273"/>
      <c r="J215" s="273"/>
      <c r="K215" s="273"/>
      <c r="L215" s="273"/>
      <c r="M215" s="273"/>
      <c r="N215" s="273"/>
      <c r="O215" s="273"/>
      <c r="P215" s="273"/>
      <c r="Q215" s="273"/>
      <c r="R215" s="273"/>
      <c r="S215" s="273"/>
      <c r="T215" s="273"/>
      <c r="U215" s="273"/>
      <c r="V215" s="273"/>
      <c r="W215" s="273"/>
      <c r="X215" s="273"/>
      <c r="Y215" s="273"/>
      <c r="Z215" s="467"/>
      <c r="AA215" s="273"/>
      <c r="AB215" s="273"/>
      <c r="AC215" s="273"/>
      <c r="AD215" s="273"/>
    </row>
    <row r="216" spans="1:30" ht="14.25" customHeight="1">
      <c r="A216" s="273"/>
      <c r="B216" s="273"/>
      <c r="C216" s="273"/>
      <c r="D216" s="273"/>
      <c r="E216" s="274"/>
      <c r="F216" s="273"/>
      <c r="G216" s="273"/>
      <c r="H216" s="273"/>
      <c r="I216" s="273"/>
      <c r="J216" s="273"/>
      <c r="K216" s="273"/>
      <c r="L216" s="273"/>
      <c r="M216" s="273"/>
      <c r="N216" s="273"/>
      <c r="O216" s="273"/>
      <c r="P216" s="273"/>
      <c r="Q216" s="273"/>
      <c r="R216" s="273"/>
      <c r="S216" s="273"/>
      <c r="T216" s="273"/>
      <c r="U216" s="273"/>
      <c r="V216" s="273"/>
      <c r="W216" s="273"/>
      <c r="X216" s="273"/>
      <c r="Y216" s="273"/>
      <c r="Z216" s="467"/>
      <c r="AA216" s="273"/>
      <c r="AB216" s="273"/>
      <c r="AC216" s="273"/>
      <c r="AD216" s="273"/>
    </row>
    <row r="217" spans="1:30" ht="14.25" customHeight="1">
      <c r="A217" s="273"/>
      <c r="B217" s="273"/>
      <c r="C217" s="273"/>
      <c r="D217" s="273"/>
      <c r="E217" s="274"/>
      <c r="F217" s="273"/>
      <c r="G217" s="273"/>
      <c r="H217" s="273"/>
      <c r="I217" s="273"/>
      <c r="J217" s="273"/>
      <c r="K217" s="273"/>
      <c r="L217" s="273"/>
      <c r="M217" s="273"/>
      <c r="N217" s="273"/>
      <c r="O217" s="273"/>
      <c r="P217" s="273"/>
      <c r="Q217" s="273"/>
      <c r="R217" s="273"/>
      <c r="S217" s="273"/>
      <c r="T217" s="273"/>
      <c r="U217" s="273"/>
      <c r="V217" s="273"/>
      <c r="W217" s="273"/>
      <c r="X217" s="273"/>
      <c r="Y217" s="273"/>
      <c r="Z217" s="467"/>
      <c r="AA217" s="273"/>
      <c r="AB217" s="273"/>
      <c r="AC217" s="273"/>
      <c r="AD217" s="273"/>
    </row>
    <row r="218" spans="1:30" ht="14.25" customHeight="1">
      <c r="A218" s="273"/>
      <c r="B218" s="273"/>
      <c r="C218" s="273"/>
      <c r="D218" s="273"/>
      <c r="E218" s="274"/>
      <c r="F218" s="273"/>
      <c r="G218" s="273"/>
      <c r="H218" s="273"/>
      <c r="I218" s="273"/>
      <c r="J218" s="273"/>
      <c r="K218" s="273"/>
      <c r="L218" s="273"/>
      <c r="M218" s="273"/>
      <c r="N218" s="273"/>
      <c r="O218" s="273"/>
      <c r="P218" s="273"/>
      <c r="Q218" s="273"/>
      <c r="R218" s="273"/>
      <c r="S218" s="273"/>
      <c r="T218" s="273"/>
      <c r="U218" s="273"/>
      <c r="V218" s="273"/>
      <c r="W218" s="273"/>
      <c r="X218" s="273"/>
      <c r="Y218" s="273"/>
      <c r="Z218" s="467"/>
      <c r="AA218" s="273"/>
      <c r="AB218" s="273"/>
      <c r="AC218" s="273"/>
      <c r="AD218" s="273"/>
    </row>
    <row r="219" spans="1:30" ht="14.25" customHeight="1">
      <c r="A219" s="273"/>
      <c r="B219" s="273"/>
      <c r="C219" s="273"/>
      <c r="D219" s="273"/>
      <c r="E219" s="274"/>
      <c r="F219" s="273"/>
      <c r="G219" s="273"/>
      <c r="H219" s="273"/>
      <c r="I219" s="273"/>
      <c r="J219" s="273"/>
      <c r="K219" s="273"/>
      <c r="L219" s="273"/>
      <c r="M219" s="273"/>
      <c r="N219" s="273"/>
      <c r="O219" s="273"/>
      <c r="P219" s="273"/>
      <c r="Q219" s="273"/>
      <c r="R219" s="273"/>
      <c r="S219" s="273"/>
      <c r="T219" s="273"/>
      <c r="U219" s="273"/>
      <c r="V219" s="273"/>
      <c r="W219" s="273"/>
      <c r="X219" s="273"/>
      <c r="Y219" s="273"/>
      <c r="Z219" s="467"/>
      <c r="AA219" s="273"/>
      <c r="AB219" s="273"/>
      <c r="AC219" s="273"/>
      <c r="AD219" s="273"/>
    </row>
    <row r="220" spans="1:30" ht="14.25" customHeight="1">
      <c r="A220" s="273"/>
      <c r="B220" s="273"/>
      <c r="C220" s="273"/>
      <c r="D220" s="273"/>
      <c r="E220" s="274"/>
      <c r="F220" s="273"/>
      <c r="G220" s="273"/>
      <c r="H220" s="273"/>
      <c r="I220" s="273"/>
      <c r="J220" s="273"/>
      <c r="K220" s="273"/>
      <c r="L220" s="273"/>
      <c r="M220" s="273"/>
      <c r="N220" s="273"/>
      <c r="O220" s="273"/>
      <c r="P220" s="273"/>
      <c r="Q220" s="273"/>
      <c r="R220" s="273"/>
      <c r="S220" s="273"/>
      <c r="T220" s="273"/>
      <c r="U220" s="273"/>
      <c r="V220" s="273"/>
      <c r="W220" s="273"/>
      <c r="X220" s="273"/>
      <c r="Y220" s="273"/>
      <c r="Z220" s="467"/>
      <c r="AA220" s="273"/>
      <c r="AB220" s="273"/>
      <c r="AC220" s="273"/>
      <c r="AD220" s="273"/>
    </row>
    <row r="221" spans="1:30" ht="14.25" customHeight="1">
      <c r="A221" s="273"/>
      <c r="B221" s="273"/>
      <c r="C221" s="273"/>
      <c r="D221" s="273"/>
      <c r="E221" s="274"/>
      <c r="F221" s="273"/>
      <c r="G221" s="273"/>
      <c r="H221" s="273"/>
      <c r="I221" s="273"/>
      <c r="J221" s="273"/>
      <c r="K221" s="273"/>
      <c r="L221" s="273"/>
      <c r="M221" s="273"/>
      <c r="N221" s="273"/>
      <c r="O221" s="273"/>
      <c r="P221" s="273"/>
      <c r="Q221" s="273"/>
      <c r="R221" s="273"/>
      <c r="S221" s="273"/>
      <c r="T221" s="273"/>
      <c r="U221" s="273"/>
      <c r="V221" s="273"/>
      <c r="W221" s="273"/>
      <c r="X221" s="273"/>
      <c r="Y221" s="273"/>
      <c r="Z221" s="467"/>
      <c r="AA221" s="273"/>
      <c r="AB221" s="273"/>
      <c r="AC221" s="273"/>
      <c r="AD221" s="273"/>
    </row>
    <row r="222" spans="1:30" ht="14.25" customHeight="1">
      <c r="A222" s="273"/>
      <c r="B222" s="273"/>
      <c r="C222" s="273"/>
      <c r="D222" s="273"/>
      <c r="E222" s="274"/>
      <c r="F222" s="273"/>
      <c r="G222" s="273"/>
      <c r="H222" s="273"/>
      <c r="I222" s="273"/>
      <c r="J222" s="273"/>
      <c r="K222" s="273"/>
      <c r="L222" s="273"/>
      <c r="M222" s="273"/>
      <c r="N222" s="273"/>
      <c r="O222" s="273"/>
      <c r="P222" s="273"/>
      <c r="Q222" s="273"/>
      <c r="R222" s="273"/>
      <c r="S222" s="273"/>
      <c r="T222" s="273"/>
      <c r="U222" s="273"/>
      <c r="V222" s="273"/>
      <c r="W222" s="273"/>
      <c r="X222" s="273"/>
      <c r="Y222" s="273"/>
      <c r="Z222" s="467"/>
      <c r="AA222" s="273"/>
      <c r="AB222" s="273"/>
      <c r="AC222" s="273"/>
      <c r="AD222" s="273"/>
    </row>
    <row r="223" spans="1:30" ht="14.25" customHeight="1">
      <c r="A223" s="273"/>
      <c r="B223" s="273"/>
      <c r="C223" s="273"/>
      <c r="D223" s="273"/>
      <c r="E223" s="274"/>
      <c r="F223" s="273"/>
      <c r="G223" s="273"/>
      <c r="H223" s="273"/>
      <c r="I223" s="273"/>
      <c r="J223" s="273"/>
      <c r="K223" s="273"/>
      <c r="L223" s="273"/>
      <c r="M223" s="273"/>
      <c r="N223" s="273"/>
      <c r="O223" s="273"/>
      <c r="P223" s="273"/>
      <c r="Q223" s="273"/>
      <c r="R223" s="273"/>
      <c r="S223" s="273"/>
      <c r="T223" s="273"/>
      <c r="U223" s="273"/>
      <c r="V223" s="273"/>
      <c r="W223" s="273"/>
      <c r="X223" s="273"/>
      <c r="Y223" s="273"/>
      <c r="Z223" s="467"/>
      <c r="AA223" s="273"/>
      <c r="AB223" s="273"/>
      <c r="AC223" s="273"/>
      <c r="AD223" s="273"/>
    </row>
    <row r="224" spans="1:30" ht="14.25" customHeight="1">
      <c r="A224" s="273"/>
      <c r="B224" s="273"/>
      <c r="C224" s="273"/>
      <c r="D224" s="273"/>
      <c r="E224" s="274"/>
      <c r="F224" s="273"/>
      <c r="G224" s="273"/>
      <c r="H224" s="273"/>
      <c r="I224" s="273"/>
      <c r="J224" s="273"/>
      <c r="K224" s="273"/>
      <c r="L224" s="273"/>
      <c r="M224" s="273"/>
      <c r="N224" s="273"/>
      <c r="O224" s="273"/>
      <c r="P224" s="273"/>
      <c r="Q224" s="273"/>
      <c r="R224" s="273"/>
      <c r="S224" s="273"/>
      <c r="T224" s="273"/>
      <c r="U224" s="273"/>
      <c r="V224" s="273"/>
      <c r="W224" s="273"/>
      <c r="X224" s="273"/>
      <c r="Y224" s="273"/>
      <c r="Z224" s="467"/>
      <c r="AA224" s="273"/>
      <c r="AB224" s="273"/>
      <c r="AC224" s="273"/>
      <c r="AD224" s="273"/>
    </row>
    <row r="225" spans="1:30" ht="14.25" customHeight="1">
      <c r="A225" s="273"/>
      <c r="B225" s="273"/>
      <c r="C225" s="273"/>
      <c r="D225" s="273"/>
      <c r="E225" s="274"/>
      <c r="F225" s="273"/>
      <c r="G225" s="273"/>
      <c r="H225" s="273"/>
      <c r="I225" s="273"/>
      <c r="J225" s="273"/>
      <c r="K225" s="273"/>
      <c r="L225" s="273"/>
      <c r="M225" s="273"/>
      <c r="N225" s="273"/>
      <c r="O225" s="273"/>
      <c r="P225" s="273"/>
      <c r="Q225" s="273"/>
      <c r="R225" s="273"/>
      <c r="S225" s="273"/>
      <c r="T225" s="273"/>
      <c r="U225" s="273"/>
      <c r="V225" s="273"/>
      <c r="W225" s="273"/>
      <c r="X225" s="273"/>
      <c r="Y225" s="273"/>
      <c r="Z225" s="467"/>
      <c r="AA225" s="273"/>
      <c r="AB225" s="273"/>
      <c r="AC225" s="273"/>
      <c r="AD225" s="273"/>
    </row>
    <row r="226" spans="1:30" ht="14.25" customHeight="1">
      <c r="A226" s="273"/>
      <c r="B226" s="273"/>
      <c r="C226" s="273"/>
      <c r="D226" s="273"/>
      <c r="E226" s="274"/>
      <c r="F226" s="273"/>
      <c r="G226" s="273"/>
      <c r="H226" s="273"/>
      <c r="I226" s="273"/>
      <c r="J226" s="273"/>
      <c r="K226" s="273"/>
      <c r="L226" s="273"/>
      <c r="M226" s="273"/>
      <c r="N226" s="273"/>
      <c r="O226" s="273"/>
      <c r="P226" s="273"/>
      <c r="Q226" s="273"/>
      <c r="R226" s="273"/>
      <c r="S226" s="273"/>
      <c r="T226" s="273"/>
      <c r="U226" s="273"/>
      <c r="V226" s="273"/>
      <c r="W226" s="273"/>
      <c r="X226" s="273"/>
      <c r="Y226" s="273"/>
      <c r="Z226" s="467"/>
      <c r="AA226" s="273"/>
      <c r="AB226" s="273"/>
      <c r="AC226" s="273"/>
      <c r="AD226" s="273"/>
    </row>
    <row r="227" spans="1:30" ht="14.25" customHeight="1">
      <c r="A227" s="273"/>
      <c r="B227" s="273"/>
      <c r="C227" s="273"/>
      <c r="D227" s="273"/>
      <c r="E227" s="274"/>
      <c r="F227" s="273"/>
      <c r="G227" s="273"/>
      <c r="H227" s="273"/>
      <c r="I227" s="273"/>
      <c r="J227" s="273"/>
      <c r="K227" s="273"/>
      <c r="L227" s="273"/>
      <c r="M227" s="273"/>
      <c r="N227" s="273"/>
      <c r="O227" s="273"/>
      <c r="P227" s="273"/>
      <c r="Q227" s="273"/>
      <c r="R227" s="273"/>
      <c r="S227" s="273"/>
      <c r="T227" s="273"/>
      <c r="U227" s="273"/>
      <c r="V227" s="273"/>
      <c r="W227" s="273"/>
      <c r="X227" s="273"/>
      <c r="Y227" s="273"/>
      <c r="Z227" s="467"/>
      <c r="AA227" s="273"/>
      <c r="AB227" s="273"/>
      <c r="AC227" s="273"/>
      <c r="AD227" s="273"/>
    </row>
    <row r="228" spans="1:30" ht="14.25" customHeight="1">
      <c r="A228" s="273"/>
      <c r="B228" s="273"/>
      <c r="C228" s="273"/>
      <c r="D228" s="273"/>
      <c r="E228" s="274"/>
      <c r="F228" s="273"/>
      <c r="G228" s="273"/>
      <c r="H228" s="273"/>
      <c r="I228" s="273"/>
      <c r="J228" s="273"/>
      <c r="K228" s="273"/>
      <c r="L228" s="273"/>
      <c r="M228" s="273"/>
      <c r="N228" s="273"/>
      <c r="O228" s="273"/>
      <c r="P228" s="273"/>
      <c r="Q228" s="273"/>
      <c r="R228" s="273"/>
      <c r="S228" s="273"/>
      <c r="T228" s="273"/>
      <c r="U228" s="273"/>
      <c r="V228" s="273"/>
      <c r="W228" s="273"/>
      <c r="X228" s="273"/>
      <c r="Y228" s="273"/>
      <c r="Z228" s="467"/>
      <c r="AA228" s="273"/>
      <c r="AB228" s="273"/>
      <c r="AC228" s="273"/>
      <c r="AD228" s="273"/>
    </row>
    <row r="229" spans="1:30" ht="14.25" customHeight="1">
      <c r="A229" s="273"/>
      <c r="B229" s="273"/>
      <c r="C229" s="273"/>
      <c r="D229" s="273"/>
      <c r="E229" s="274"/>
      <c r="F229" s="273"/>
      <c r="G229" s="273"/>
      <c r="H229" s="273"/>
      <c r="I229" s="273"/>
      <c r="J229" s="273"/>
      <c r="K229" s="273"/>
      <c r="L229" s="273"/>
      <c r="M229" s="273"/>
      <c r="N229" s="273"/>
      <c r="O229" s="273"/>
      <c r="P229" s="273"/>
      <c r="Q229" s="273"/>
      <c r="R229" s="273"/>
      <c r="S229" s="273"/>
      <c r="T229" s="273"/>
      <c r="U229" s="273"/>
      <c r="V229" s="273"/>
      <c r="W229" s="273"/>
      <c r="X229" s="273"/>
      <c r="Y229" s="273"/>
      <c r="Z229" s="467"/>
      <c r="AA229" s="273"/>
      <c r="AB229" s="273"/>
      <c r="AC229" s="273"/>
      <c r="AD229" s="273"/>
    </row>
    <row r="230" spans="1:30" ht="14.25" customHeight="1">
      <c r="A230" s="273"/>
      <c r="B230" s="273"/>
      <c r="C230" s="273"/>
      <c r="D230" s="273"/>
      <c r="E230" s="274"/>
      <c r="F230" s="273"/>
      <c r="G230" s="273"/>
      <c r="H230" s="273"/>
      <c r="I230" s="273"/>
      <c r="J230" s="273"/>
      <c r="K230" s="273"/>
      <c r="L230" s="273"/>
      <c r="M230" s="273"/>
      <c r="N230" s="273"/>
      <c r="O230" s="273"/>
      <c r="P230" s="273"/>
      <c r="Q230" s="273"/>
      <c r="R230" s="273"/>
      <c r="S230" s="273"/>
      <c r="T230" s="273"/>
      <c r="U230" s="273"/>
      <c r="V230" s="273"/>
      <c r="W230" s="273"/>
      <c r="X230" s="273"/>
      <c r="Y230" s="273"/>
      <c r="Z230" s="467"/>
      <c r="AA230" s="273"/>
      <c r="AB230" s="273"/>
      <c r="AC230" s="273"/>
      <c r="AD230" s="273"/>
    </row>
    <row r="231" spans="1:30" ht="14.25" customHeight="1">
      <c r="A231" s="273"/>
      <c r="B231" s="273"/>
      <c r="C231" s="273"/>
      <c r="D231" s="273"/>
      <c r="E231" s="274"/>
      <c r="F231" s="273"/>
      <c r="G231" s="273"/>
      <c r="H231" s="273"/>
      <c r="I231" s="273"/>
      <c r="J231" s="273"/>
      <c r="K231" s="273"/>
      <c r="L231" s="273"/>
      <c r="M231" s="273"/>
      <c r="N231" s="273"/>
      <c r="O231" s="273"/>
      <c r="P231" s="273"/>
      <c r="Q231" s="273"/>
      <c r="R231" s="273"/>
      <c r="S231" s="273"/>
      <c r="T231" s="273"/>
      <c r="U231" s="273"/>
      <c r="V231" s="273"/>
      <c r="W231" s="273"/>
      <c r="X231" s="273"/>
      <c r="Y231" s="273"/>
      <c r="Z231" s="467"/>
      <c r="AA231" s="273"/>
      <c r="AB231" s="273"/>
      <c r="AC231" s="273"/>
      <c r="AD231" s="273"/>
    </row>
    <row r="232" spans="1:30" ht="14.25" customHeight="1">
      <c r="A232" s="273"/>
      <c r="B232" s="273"/>
      <c r="C232" s="273"/>
      <c r="D232" s="273"/>
      <c r="E232" s="274"/>
      <c r="F232" s="273"/>
      <c r="G232" s="273"/>
      <c r="H232" s="273"/>
      <c r="I232" s="273"/>
      <c r="J232" s="273"/>
      <c r="K232" s="273"/>
      <c r="L232" s="273"/>
      <c r="M232" s="273"/>
      <c r="N232" s="273"/>
      <c r="O232" s="273"/>
      <c r="P232" s="273"/>
      <c r="Q232" s="273"/>
      <c r="R232" s="273"/>
      <c r="S232" s="273"/>
      <c r="T232" s="273"/>
      <c r="U232" s="273"/>
      <c r="V232" s="273"/>
      <c r="W232" s="273"/>
      <c r="X232" s="273"/>
      <c r="Y232" s="273"/>
      <c r="Z232" s="467"/>
      <c r="AA232" s="273"/>
      <c r="AB232" s="273"/>
      <c r="AC232" s="273"/>
      <c r="AD232" s="273"/>
    </row>
    <row r="233" spans="1:30" ht="14.25" customHeight="1">
      <c r="A233" s="273"/>
      <c r="B233" s="273"/>
      <c r="C233" s="273"/>
      <c r="D233" s="273"/>
      <c r="E233" s="274"/>
      <c r="F233" s="273"/>
      <c r="G233" s="273"/>
      <c r="H233" s="273"/>
      <c r="I233" s="273"/>
      <c r="J233" s="273"/>
      <c r="K233" s="273"/>
      <c r="L233" s="273"/>
      <c r="M233" s="273"/>
      <c r="N233" s="273"/>
      <c r="O233" s="273"/>
      <c r="P233" s="273"/>
      <c r="Q233" s="273"/>
      <c r="R233" s="273"/>
      <c r="S233" s="273"/>
      <c r="T233" s="273"/>
      <c r="U233" s="273"/>
      <c r="V233" s="273"/>
      <c r="W233" s="273"/>
      <c r="X233" s="273"/>
      <c r="Y233" s="273"/>
      <c r="Z233" s="467"/>
      <c r="AA233" s="273"/>
      <c r="AB233" s="273"/>
      <c r="AC233" s="273"/>
      <c r="AD233" s="273"/>
    </row>
    <row r="234" spans="1:30" ht="14.25" customHeight="1">
      <c r="A234" s="273"/>
      <c r="B234" s="273"/>
      <c r="C234" s="273"/>
      <c r="D234" s="273"/>
      <c r="E234" s="274"/>
      <c r="F234" s="273"/>
      <c r="G234" s="273"/>
      <c r="H234" s="273"/>
      <c r="I234" s="273"/>
      <c r="J234" s="273"/>
      <c r="K234" s="273"/>
      <c r="L234" s="273"/>
      <c r="M234" s="273"/>
      <c r="N234" s="273"/>
      <c r="O234" s="273"/>
      <c r="P234" s="273"/>
      <c r="Q234" s="273"/>
      <c r="R234" s="273"/>
      <c r="S234" s="273"/>
      <c r="T234" s="273"/>
      <c r="U234" s="273"/>
      <c r="V234" s="273"/>
      <c r="W234" s="273"/>
      <c r="X234" s="273"/>
      <c r="Y234" s="273"/>
      <c r="Z234" s="467"/>
      <c r="AA234" s="273"/>
      <c r="AB234" s="273"/>
      <c r="AC234" s="273"/>
      <c r="AD234" s="273"/>
    </row>
    <row r="235" spans="1:30" ht="14.25" customHeight="1">
      <c r="A235" s="273"/>
      <c r="B235" s="273"/>
      <c r="C235" s="273"/>
      <c r="D235" s="273"/>
      <c r="E235" s="274"/>
      <c r="F235" s="273"/>
      <c r="G235" s="273"/>
      <c r="H235" s="273"/>
      <c r="I235" s="273"/>
      <c r="J235" s="273"/>
      <c r="K235" s="273"/>
      <c r="L235" s="273"/>
      <c r="M235" s="273"/>
      <c r="N235" s="273"/>
      <c r="O235" s="273"/>
      <c r="P235" s="273"/>
      <c r="Q235" s="273"/>
      <c r="R235" s="273"/>
      <c r="S235" s="273"/>
      <c r="T235" s="273"/>
      <c r="U235" s="273"/>
      <c r="V235" s="273"/>
      <c r="W235" s="273"/>
      <c r="X235" s="273"/>
      <c r="Y235" s="273"/>
      <c r="Z235" s="467"/>
      <c r="AA235" s="273"/>
      <c r="AB235" s="273"/>
      <c r="AC235" s="273"/>
      <c r="AD235" s="273"/>
    </row>
    <row r="236" spans="1:30" ht="14.25" customHeight="1">
      <c r="A236" s="273"/>
      <c r="B236" s="273"/>
      <c r="C236" s="273"/>
      <c r="D236" s="273"/>
      <c r="E236" s="274"/>
      <c r="F236" s="273"/>
      <c r="G236" s="273"/>
      <c r="H236" s="273"/>
      <c r="I236" s="273"/>
      <c r="J236" s="273"/>
      <c r="K236" s="273"/>
      <c r="L236" s="273"/>
      <c r="M236" s="273"/>
      <c r="N236" s="273"/>
      <c r="O236" s="273"/>
      <c r="P236" s="273"/>
      <c r="Q236" s="273"/>
      <c r="R236" s="273"/>
      <c r="S236" s="273"/>
      <c r="T236" s="273"/>
      <c r="U236" s="273"/>
      <c r="V236" s="273"/>
      <c r="W236" s="273"/>
      <c r="X236" s="273"/>
      <c r="Y236" s="273"/>
      <c r="Z236" s="467"/>
      <c r="AA236" s="273"/>
      <c r="AB236" s="273"/>
      <c r="AC236" s="273"/>
      <c r="AD236" s="273"/>
    </row>
    <row r="237" spans="1:30" ht="14.25" customHeight="1">
      <c r="A237" s="273"/>
      <c r="B237" s="273"/>
      <c r="C237" s="273"/>
      <c r="D237" s="273"/>
      <c r="E237" s="274"/>
      <c r="F237" s="273"/>
      <c r="G237" s="273"/>
      <c r="H237" s="273"/>
      <c r="I237" s="273"/>
      <c r="J237" s="273"/>
      <c r="K237" s="273"/>
      <c r="L237" s="273"/>
      <c r="M237" s="273"/>
      <c r="N237" s="273"/>
      <c r="O237" s="273"/>
      <c r="P237" s="273"/>
      <c r="Q237" s="273"/>
      <c r="R237" s="273"/>
      <c r="S237" s="273"/>
      <c r="T237" s="273"/>
      <c r="U237" s="273"/>
      <c r="V237" s="273"/>
      <c r="W237" s="273"/>
      <c r="X237" s="273"/>
      <c r="Y237" s="273"/>
      <c r="Z237" s="467"/>
      <c r="AA237" s="273"/>
      <c r="AB237" s="273"/>
      <c r="AC237" s="273"/>
      <c r="AD237" s="273"/>
    </row>
    <row r="238" spans="1:30" ht="14.25" customHeight="1">
      <c r="A238" s="273"/>
      <c r="B238" s="273"/>
      <c r="C238" s="273"/>
      <c r="D238" s="273"/>
      <c r="E238" s="274"/>
      <c r="F238" s="273"/>
      <c r="G238" s="273"/>
      <c r="H238" s="273"/>
      <c r="I238" s="273"/>
      <c r="J238" s="273"/>
      <c r="K238" s="273"/>
      <c r="L238" s="273"/>
      <c r="M238" s="273"/>
      <c r="N238" s="273"/>
      <c r="O238" s="273"/>
      <c r="P238" s="273"/>
      <c r="Q238" s="273"/>
      <c r="R238" s="273"/>
      <c r="S238" s="273"/>
      <c r="T238" s="273"/>
      <c r="U238" s="273"/>
      <c r="V238" s="273"/>
      <c r="W238" s="273"/>
      <c r="X238" s="273"/>
      <c r="Y238" s="273"/>
      <c r="Z238" s="467"/>
      <c r="AA238" s="273"/>
      <c r="AB238" s="273"/>
      <c r="AC238" s="273"/>
      <c r="AD238" s="273"/>
    </row>
    <row r="239" spans="1:30" ht="14.25" customHeight="1">
      <c r="A239" s="273"/>
      <c r="B239" s="273"/>
      <c r="C239" s="273"/>
      <c r="D239" s="273"/>
      <c r="E239" s="274"/>
      <c r="F239" s="273"/>
      <c r="G239" s="273"/>
      <c r="H239" s="273"/>
      <c r="I239" s="273"/>
      <c r="J239" s="273"/>
      <c r="K239" s="273"/>
      <c r="L239" s="273"/>
      <c r="M239" s="273"/>
      <c r="N239" s="273"/>
      <c r="O239" s="273"/>
      <c r="P239" s="273"/>
      <c r="Q239" s="273"/>
      <c r="R239" s="273"/>
      <c r="S239" s="273"/>
      <c r="T239" s="273"/>
      <c r="U239" s="273"/>
      <c r="V239" s="273"/>
      <c r="W239" s="273"/>
      <c r="X239" s="273"/>
      <c r="Y239" s="273"/>
      <c r="Z239" s="467"/>
      <c r="AA239" s="273"/>
      <c r="AB239" s="273"/>
      <c r="AC239" s="273"/>
      <c r="AD239" s="273"/>
    </row>
    <row r="240" spans="1:30" ht="14.25" customHeight="1">
      <c r="A240" s="273"/>
      <c r="B240" s="273"/>
      <c r="C240" s="273"/>
      <c r="D240" s="273"/>
      <c r="E240" s="274"/>
      <c r="F240" s="273"/>
      <c r="G240" s="273"/>
      <c r="H240" s="273"/>
      <c r="I240" s="273"/>
      <c r="J240" s="273"/>
      <c r="K240" s="273"/>
      <c r="L240" s="273"/>
      <c r="M240" s="273"/>
      <c r="N240" s="273"/>
      <c r="O240" s="273"/>
      <c r="P240" s="273"/>
      <c r="Q240" s="273"/>
      <c r="R240" s="273"/>
      <c r="S240" s="273"/>
      <c r="T240" s="273"/>
      <c r="U240" s="273"/>
      <c r="V240" s="273"/>
      <c r="W240" s="273"/>
      <c r="X240" s="273"/>
      <c r="Y240" s="273"/>
      <c r="Z240" s="467"/>
      <c r="AA240" s="273"/>
      <c r="AB240" s="273"/>
      <c r="AC240" s="273"/>
      <c r="AD240" s="273"/>
    </row>
    <row r="241" spans="1:30" ht="14.25" customHeight="1">
      <c r="A241" s="273"/>
      <c r="B241" s="273"/>
      <c r="C241" s="273"/>
      <c r="D241" s="273"/>
      <c r="E241" s="274"/>
      <c r="F241" s="273"/>
      <c r="G241" s="273"/>
      <c r="H241" s="273"/>
      <c r="I241" s="273"/>
      <c r="J241" s="273"/>
      <c r="K241" s="273"/>
      <c r="L241" s="273"/>
      <c r="M241" s="273"/>
      <c r="N241" s="273"/>
      <c r="O241" s="273"/>
      <c r="P241" s="273"/>
      <c r="Q241" s="273"/>
      <c r="R241" s="273"/>
      <c r="S241" s="273"/>
      <c r="T241" s="273"/>
      <c r="U241" s="273"/>
      <c r="V241" s="273"/>
      <c r="W241" s="273"/>
      <c r="X241" s="273"/>
      <c r="Y241" s="273"/>
      <c r="Z241" s="467"/>
      <c r="AA241" s="273"/>
      <c r="AB241" s="273"/>
      <c r="AC241" s="273"/>
      <c r="AD241" s="273"/>
    </row>
    <row r="242" spans="1:30" ht="14.25" customHeight="1">
      <c r="A242" s="273"/>
      <c r="B242" s="273"/>
      <c r="C242" s="273"/>
      <c r="D242" s="273"/>
      <c r="E242" s="274"/>
      <c r="F242" s="273"/>
      <c r="G242" s="273"/>
      <c r="H242" s="273"/>
      <c r="I242" s="273"/>
      <c r="J242" s="273"/>
      <c r="K242" s="273"/>
      <c r="L242" s="273"/>
      <c r="M242" s="273"/>
      <c r="N242" s="273"/>
      <c r="O242" s="273"/>
      <c r="P242" s="273"/>
      <c r="Q242" s="273"/>
      <c r="R242" s="273"/>
      <c r="S242" s="273"/>
      <c r="T242" s="273"/>
      <c r="U242" s="273"/>
      <c r="V242" s="273"/>
      <c r="W242" s="273"/>
      <c r="X242" s="273"/>
      <c r="Y242" s="273"/>
      <c r="Z242" s="467"/>
      <c r="AA242" s="273"/>
      <c r="AB242" s="273"/>
      <c r="AC242" s="273"/>
      <c r="AD242" s="273"/>
    </row>
    <row r="243" spans="1:30" ht="14.25" customHeight="1">
      <c r="A243" s="273"/>
      <c r="B243" s="273"/>
      <c r="C243" s="273"/>
      <c r="D243" s="273"/>
      <c r="E243" s="274"/>
      <c r="F243" s="273"/>
      <c r="G243" s="273"/>
      <c r="H243" s="273"/>
      <c r="I243" s="273"/>
      <c r="J243" s="273"/>
      <c r="K243" s="273"/>
      <c r="L243" s="273"/>
      <c r="M243" s="273"/>
      <c r="N243" s="273"/>
      <c r="O243" s="273"/>
      <c r="P243" s="273"/>
      <c r="Q243" s="273"/>
      <c r="R243" s="273"/>
      <c r="S243" s="273"/>
      <c r="T243" s="273"/>
      <c r="U243" s="273"/>
      <c r="V243" s="273"/>
      <c r="W243" s="273"/>
      <c r="X243" s="273"/>
      <c r="Y243" s="273"/>
      <c r="Z243" s="467"/>
      <c r="AA243" s="273"/>
      <c r="AB243" s="273"/>
      <c r="AC243" s="273"/>
      <c r="AD243" s="273"/>
    </row>
    <row r="244" spans="1:30" ht="14.25" customHeight="1">
      <c r="A244" s="273"/>
      <c r="B244" s="273"/>
      <c r="C244" s="273"/>
      <c r="D244" s="273"/>
      <c r="E244" s="274"/>
      <c r="F244" s="273"/>
      <c r="G244" s="273"/>
      <c r="H244" s="273"/>
      <c r="I244" s="273"/>
      <c r="J244" s="273"/>
      <c r="K244" s="273"/>
      <c r="L244" s="273"/>
      <c r="M244" s="273"/>
      <c r="N244" s="273"/>
      <c r="O244" s="273"/>
      <c r="P244" s="273"/>
      <c r="Q244" s="273"/>
      <c r="R244" s="273"/>
      <c r="S244" s="273"/>
      <c r="T244" s="273"/>
      <c r="U244" s="273"/>
      <c r="V244" s="273"/>
      <c r="W244" s="273"/>
      <c r="X244" s="273"/>
      <c r="Y244" s="273"/>
      <c r="Z244" s="467"/>
      <c r="AA244" s="273"/>
      <c r="AB244" s="273"/>
      <c r="AC244" s="273"/>
      <c r="AD244" s="273"/>
    </row>
    <row r="245" spans="1:30" ht="14.25" customHeight="1">
      <c r="A245" s="273"/>
      <c r="B245" s="273"/>
      <c r="C245" s="273"/>
      <c r="D245" s="273"/>
      <c r="E245" s="274"/>
      <c r="F245" s="273"/>
      <c r="G245" s="273"/>
      <c r="H245" s="273"/>
      <c r="I245" s="273"/>
      <c r="J245" s="273"/>
      <c r="K245" s="273"/>
      <c r="L245" s="273"/>
      <c r="M245" s="273"/>
      <c r="N245" s="273"/>
      <c r="O245" s="273"/>
      <c r="P245" s="273"/>
      <c r="Q245" s="273"/>
      <c r="R245" s="273"/>
      <c r="S245" s="273"/>
      <c r="T245" s="273"/>
      <c r="U245" s="273"/>
      <c r="V245" s="273"/>
      <c r="W245" s="273"/>
      <c r="X245" s="273"/>
      <c r="Y245" s="273"/>
      <c r="Z245" s="467"/>
      <c r="AA245" s="273"/>
      <c r="AB245" s="273"/>
      <c r="AC245" s="273"/>
      <c r="AD245" s="273"/>
    </row>
    <row r="246" spans="1:30" ht="14.25" customHeight="1">
      <c r="A246" s="273"/>
      <c r="B246" s="273"/>
      <c r="C246" s="273"/>
      <c r="D246" s="273"/>
      <c r="E246" s="274"/>
      <c r="F246" s="273"/>
      <c r="G246" s="273"/>
      <c r="H246" s="273"/>
      <c r="I246" s="273"/>
      <c r="J246" s="273"/>
      <c r="K246" s="273"/>
      <c r="L246" s="273"/>
      <c r="M246" s="273"/>
      <c r="N246" s="273"/>
      <c r="O246" s="273"/>
      <c r="P246" s="273"/>
      <c r="Q246" s="273"/>
      <c r="R246" s="273"/>
      <c r="S246" s="273"/>
      <c r="T246" s="273"/>
      <c r="U246" s="273"/>
      <c r="V246" s="273"/>
      <c r="W246" s="273"/>
      <c r="X246" s="273"/>
      <c r="Y246" s="273"/>
      <c r="Z246" s="467"/>
      <c r="AA246" s="273"/>
      <c r="AB246" s="273"/>
      <c r="AC246" s="273"/>
      <c r="AD246" s="273"/>
    </row>
    <row r="247" spans="1:30" ht="14.25" customHeight="1">
      <c r="A247" s="273"/>
      <c r="B247" s="273"/>
      <c r="C247" s="273"/>
      <c r="D247" s="273"/>
      <c r="E247" s="274"/>
      <c r="F247" s="273"/>
      <c r="G247" s="273"/>
      <c r="H247" s="273"/>
      <c r="I247" s="273"/>
      <c r="J247" s="273"/>
      <c r="K247" s="273"/>
      <c r="L247" s="273"/>
      <c r="M247" s="273"/>
      <c r="N247" s="273"/>
      <c r="O247" s="273"/>
      <c r="P247" s="273"/>
      <c r="Q247" s="273"/>
      <c r="R247" s="273"/>
      <c r="S247" s="273"/>
      <c r="T247" s="273"/>
      <c r="U247" s="273"/>
      <c r="V247" s="273"/>
      <c r="W247" s="273"/>
      <c r="X247" s="273"/>
      <c r="Y247" s="273"/>
      <c r="Z247" s="467"/>
      <c r="AA247" s="273"/>
      <c r="AB247" s="273"/>
      <c r="AC247" s="273"/>
      <c r="AD247" s="273"/>
    </row>
    <row r="248" spans="1:30" ht="14.25" customHeight="1">
      <c r="A248" s="273"/>
      <c r="B248" s="273"/>
      <c r="C248" s="273"/>
      <c r="D248" s="273"/>
      <c r="E248" s="274"/>
      <c r="F248" s="273"/>
      <c r="G248" s="273"/>
      <c r="H248" s="273"/>
      <c r="I248" s="273"/>
      <c r="J248" s="273"/>
      <c r="K248" s="273"/>
      <c r="L248" s="273"/>
      <c r="M248" s="273"/>
      <c r="N248" s="273"/>
      <c r="O248" s="273"/>
      <c r="P248" s="273"/>
      <c r="Q248" s="273"/>
      <c r="R248" s="273"/>
      <c r="S248" s="273"/>
      <c r="T248" s="273"/>
      <c r="U248" s="273"/>
      <c r="V248" s="273"/>
      <c r="W248" s="273"/>
      <c r="X248" s="273"/>
      <c r="Y248" s="273"/>
      <c r="Z248" s="467"/>
      <c r="AA248" s="273"/>
      <c r="AB248" s="273"/>
      <c r="AC248" s="273"/>
      <c r="AD248" s="273"/>
    </row>
    <row r="249" spans="1:30" ht="14.25" customHeight="1">
      <c r="A249" s="273"/>
      <c r="B249" s="273"/>
      <c r="C249" s="273"/>
      <c r="D249" s="273"/>
      <c r="E249" s="274"/>
      <c r="F249" s="273"/>
      <c r="G249" s="273"/>
      <c r="H249" s="273"/>
      <c r="I249" s="273"/>
      <c r="J249" s="273"/>
      <c r="K249" s="273"/>
      <c r="L249" s="273"/>
      <c r="M249" s="273"/>
      <c r="N249" s="273"/>
      <c r="O249" s="273"/>
      <c r="P249" s="273"/>
      <c r="Q249" s="273"/>
      <c r="R249" s="273"/>
      <c r="S249" s="273"/>
      <c r="T249" s="273"/>
      <c r="U249" s="273"/>
      <c r="V249" s="273"/>
      <c r="W249" s="273"/>
      <c r="X249" s="273"/>
      <c r="Y249" s="273"/>
      <c r="Z249" s="467"/>
      <c r="AA249" s="273"/>
      <c r="AB249" s="273"/>
      <c r="AC249" s="273"/>
      <c r="AD249" s="273"/>
    </row>
    <row r="250" spans="1:30" ht="14.25" customHeight="1">
      <c r="A250" s="273"/>
      <c r="B250" s="273"/>
      <c r="C250" s="273"/>
      <c r="D250" s="273"/>
      <c r="E250" s="274"/>
      <c r="F250" s="273"/>
      <c r="G250" s="273"/>
      <c r="H250" s="273"/>
      <c r="I250" s="273"/>
      <c r="J250" s="273"/>
      <c r="K250" s="273"/>
      <c r="L250" s="273"/>
      <c r="M250" s="273"/>
      <c r="N250" s="273"/>
      <c r="O250" s="273"/>
      <c r="P250" s="273"/>
      <c r="Q250" s="273"/>
      <c r="R250" s="273"/>
      <c r="S250" s="273"/>
      <c r="T250" s="273"/>
      <c r="U250" s="273"/>
      <c r="V250" s="273"/>
      <c r="W250" s="273"/>
      <c r="X250" s="273"/>
      <c r="Y250" s="273"/>
      <c r="Z250" s="467"/>
      <c r="AA250" s="273"/>
      <c r="AB250" s="273"/>
      <c r="AC250" s="273"/>
      <c r="AD250" s="273"/>
    </row>
    <row r="251" spans="1:30" ht="14.25" customHeight="1">
      <c r="A251" s="273"/>
      <c r="B251" s="273"/>
      <c r="C251" s="273"/>
      <c r="D251" s="273"/>
      <c r="E251" s="274"/>
      <c r="F251" s="273"/>
      <c r="G251" s="273"/>
      <c r="H251" s="273"/>
      <c r="I251" s="273"/>
      <c r="J251" s="273"/>
      <c r="K251" s="273"/>
      <c r="L251" s="273"/>
      <c r="M251" s="273"/>
      <c r="N251" s="273"/>
      <c r="O251" s="273"/>
      <c r="P251" s="273"/>
      <c r="Q251" s="273"/>
      <c r="R251" s="273"/>
      <c r="S251" s="273"/>
      <c r="T251" s="273"/>
      <c r="U251" s="273"/>
      <c r="V251" s="273"/>
      <c r="W251" s="273"/>
      <c r="X251" s="273"/>
      <c r="Y251" s="273"/>
      <c r="Z251" s="467"/>
      <c r="AA251" s="273"/>
      <c r="AB251" s="273"/>
      <c r="AC251" s="273"/>
      <c r="AD251" s="273"/>
    </row>
    <row r="252" spans="1:30" ht="14.25" customHeight="1">
      <c r="A252" s="273"/>
      <c r="B252" s="273"/>
      <c r="C252" s="273"/>
      <c r="D252" s="273"/>
      <c r="E252" s="274"/>
      <c r="F252" s="273"/>
      <c r="G252" s="273"/>
      <c r="H252" s="273"/>
      <c r="I252" s="273"/>
      <c r="J252" s="273"/>
      <c r="K252" s="273"/>
      <c r="L252" s="273"/>
      <c r="M252" s="273"/>
      <c r="N252" s="273"/>
      <c r="O252" s="273"/>
      <c r="P252" s="273"/>
      <c r="Q252" s="273"/>
      <c r="R252" s="273"/>
      <c r="S252" s="273"/>
      <c r="T252" s="273"/>
      <c r="U252" s="273"/>
      <c r="V252" s="273"/>
      <c r="W252" s="273"/>
      <c r="X252" s="273"/>
      <c r="Y252" s="273"/>
      <c r="Z252" s="467"/>
      <c r="AA252" s="273"/>
      <c r="AB252" s="273"/>
      <c r="AC252" s="273"/>
      <c r="AD252" s="273"/>
    </row>
    <row r="253" spans="1:30" ht="14.25" customHeight="1">
      <c r="A253" s="273"/>
      <c r="B253" s="273"/>
      <c r="C253" s="273"/>
      <c r="D253" s="273"/>
      <c r="E253" s="274"/>
      <c r="F253" s="273"/>
      <c r="G253" s="273"/>
      <c r="H253" s="273"/>
      <c r="I253" s="273"/>
      <c r="J253" s="273"/>
      <c r="K253" s="273"/>
      <c r="L253" s="273"/>
      <c r="M253" s="273"/>
      <c r="N253" s="273"/>
      <c r="O253" s="273"/>
      <c r="P253" s="273"/>
      <c r="Q253" s="273"/>
      <c r="R253" s="273"/>
      <c r="S253" s="273"/>
      <c r="T253" s="273"/>
      <c r="U253" s="273"/>
      <c r="V253" s="273"/>
      <c r="W253" s="273"/>
      <c r="X253" s="273"/>
      <c r="Y253" s="273"/>
      <c r="Z253" s="467"/>
      <c r="AA253" s="273"/>
      <c r="AB253" s="273"/>
      <c r="AC253" s="273"/>
      <c r="AD253" s="273"/>
    </row>
    <row r="254" spans="1:30" ht="14.25" customHeight="1">
      <c r="A254" s="273"/>
      <c r="B254" s="273"/>
      <c r="C254" s="273"/>
      <c r="D254" s="273"/>
      <c r="E254" s="274"/>
      <c r="F254" s="273"/>
      <c r="G254" s="273"/>
      <c r="H254" s="273"/>
      <c r="I254" s="273"/>
      <c r="J254" s="273"/>
      <c r="K254" s="273"/>
      <c r="L254" s="273"/>
      <c r="M254" s="273"/>
      <c r="N254" s="273"/>
      <c r="O254" s="273"/>
      <c r="P254" s="273"/>
      <c r="Q254" s="273"/>
      <c r="R254" s="273"/>
      <c r="S254" s="273"/>
      <c r="T254" s="273"/>
      <c r="U254" s="273"/>
      <c r="V254" s="273"/>
      <c r="W254" s="273"/>
      <c r="X254" s="273"/>
      <c r="Y254" s="273"/>
      <c r="Z254" s="467"/>
      <c r="AA254" s="273"/>
      <c r="AB254" s="273"/>
      <c r="AC254" s="273"/>
      <c r="AD254" s="273"/>
    </row>
    <row r="255" spans="1:30" ht="14.25" customHeight="1">
      <c r="A255" s="273"/>
      <c r="B255" s="273"/>
      <c r="C255" s="273"/>
      <c r="D255" s="273"/>
      <c r="E255" s="274"/>
      <c r="F255" s="273"/>
      <c r="G255" s="273"/>
      <c r="H255" s="273"/>
      <c r="I255" s="273"/>
      <c r="J255" s="273"/>
      <c r="K255" s="273"/>
      <c r="L255" s="273"/>
      <c r="M255" s="273"/>
      <c r="N255" s="273"/>
      <c r="O255" s="273"/>
      <c r="P255" s="273"/>
      <c r="Q255" s="273"/>
      <c r="R255" s="273"/>
      <c r="S255" s="273"/>
      <c r="T255" s="273"/>
      <c r="U255" s="273"/>
      <c r="V255" s="273"/>
      <c r="W255" s="273"/>
      <c r="X255" s="273"/>
      <c r="Y255" s="273"/>
      <c r="Z255" s="467"/>
      <c r="AA255" s="273"/>
      <c r="AB255" s="273"/>
      <c r="AC255" s="273"/>
      <c r="AD255" s="273"/>
    </row>
    <row r="256" spans="1:30" ht="14.25" customHeight="1">
      <c r="A256" s="273"/>
      <c r="B256" s="273"/>
      <c r="C256" s="273"/>
      <c r="D256" s="273"/>
      <c r="E256" s="274"/>
      <c r="F256" s="273"/>
      <c r="G256" s="273"/>
      <c r="H256" s="273"/>
      <c r="I256" s="273"/>
      <c r="J256" s="273"/>
      <c r="K256" s="273"/>
      <c r="L256" s="273"/>
      <c r="M256" s="273"/>
      <c r="N256" s="273"/>
      <c r="O256" s="273"/>
      <c r="P256" s="273"/>
      <c r="Q256" s="273"/>
      <c r="R256" s="273"/>
      <c r="S256" s="273"/>
      <c r="T256" s="273"/>
      <c r="U256" s="273"/>
      <c r="V256" s="273"/>
      <c r="W256" s="273"/>
      <c r="X256" s="273"/>
      <c r="Y256" s="273"/>
      <c r="Z256" s="467"/>
      <c r="AA256" s="273"/>
      <c r="AB256" s="273"/>
      <c r="AC256" s="273"/>
      <c r="AD256" s="273"/>
    </row>
    <row r="257" spans="1:30" ht="14.25" customHeight="1">
      <c r="A257" s="273"/>
      <c r="B257" s="273"/>
      <c r="C257" s="273"/>
      <c r="D257" s="273"/>
      <c r="E257" s="274"/>
      <c r="F257" s="273"/>
      <c r="G257" s="273"/>
      <c r="H257" s="273"/>
      <c r="I257" s="273"/>
      <c r="J257" s="273"/>
      <c r="K257" s="273"/>
      <c r="L257" s="273"/>
      <c r="M257" s="273"/>
      <c r="N257" s="273"/>
      <c r="O257" s="273"/>
      <c r="P257" s="273"/>
      <c r="Q257" s="273"/>
      <c r="R257" s="273"/>
      <c r="S257" s="273"/>
      <c r="T257" s="273"/>
      <c r="U257" s="273"/>
      <c r="V257" s="273"/>
      <c r="W257" s="273"/>
      <c r="X257" s="273"/>
      <c r="Y257" s="273"/>
      <c r="Z257" s="467"/>
      <c r="AA257" s="273"/>
      <c r="AB257" s="273"/>
      <c r="AC257" s="273"/>
      <c r="AD257" s="273"/>
    </row>
    <row r="258" spans="1:30" ht="14.25" customHeight="1">
      <c r="A258" s="273"/>
      <c r="B258" s="273"/>
      <c r="C258" s="273"/>
      <c r="D258" s="273"/>
      <c r="E258" s="274"/>
      <c r="F258" s="273"/>
      <c r="G258" s="273"/>
      <c r="H258" s="273"/>
      <c r="I258" s="273"/>
      <c r="J258" s="273"/>
      <c r="K258" s="273"/>
      <c r="L258" s="273"/>
      <c r="M258" s="273"/>
      <c r="N258" s="273"/>
      <c r="O258" s="273"/>
      <c r="P258" s="273"/>
      <c r="Q258" s="273"/>
      <c r="R258" s="273"/>
      <c r="S258" s="273"/>
      <c r="T258" s="273"/>
      <c r="U258" s="273"/>
      <c r="V258" s="273"/>
      <c r="W258" s="273"/>
      <c r="X258" s="273"/>
      <c r="Y258" s="273"/>
      <c r="Z258" s="467"/>
      <c r="AA258" s="273"/>
      <c r="AB258" s="273"/>
      <c r="AC258" s="273"/>
      <c r="AD258" s="273"/>
    </row>
    <row r="259" spans="1:30" ht="14.25" customHeight="1">
      <c r="A259" s="273"/>
      <c r="B259" s="273"/>
      <c r="C259" s="273"/>
      <c r="D259" s="273"/>
      <c r="E259" s="274"/>
      <c r="F259" s="273"/>
      <c r="G259" s="273"/>
      <c r="H259" s="273"/>
      <c r="I259" s="273"/>
      <c r="J259" s="273"/>
      <c r="K259" s="273"/>
      <c r="L259" s="273"/>
      <c r="M259" s="273"/>
      <c r="N259" s="273"/>
      <c r="O259" s="273"/>
      <c r="P259" s="273"/>
      <c r="Q259" s="273"/>
      <c r="R259" s="273"/>
      <c r="S259" s="273"/>
      <c r="T259" s="273"/>
      <c r="U259" s="273"/>
      <c r="V259" s="273"/>
      <c r="W259" s="273"/>
      <c r="X259" s="273"/>
      <c r="Y259" s="273"/>
      <c r="Z259" s="467"/>
      <c r="AA259" s="273"/>
      <c r="AB259" s="273"/>
      <c r="AC259" s="273"/>
      <c r="AD259" s="273"/>
    </row>
    <row r="260" spans="1:30" ht="14.25" customHeight="1">
      <c r="A260" s="273"/>
      <c r="B260" s="273"/>
      <c r="C260" s="273"/>
      <c r="D260" s="273"/>
      <c r="E260" s="274"/>
      <c r="F260" s="273"/>
      <c r="G260" s="273"/>
      <c r="H260" s="273"/>
      <c r="I260" s="273"/>
      <c r="J260" s="273"/>
      <c r="K260" s="273"/>
      <c r="L260" s="273"/>
      <c r="M260" s="273"/>
      <c r="N260" s="273"/>
      <c r="O260" s="273"/>
      <c r="P260" s="273"/>
      <c r="Q260" s="273"/>
      <c r="R260" s="273"/>
      <c r="S260" s="273"/>
      <c r="T260" s="273"/>
      <c r="U260" s="273"/>
      <c r="V260" s="273"/>
      <c r="W260" s="273"/>
      <c r="X260" s="273"/>
      <c r="Y260" s="273"/>
      <c r="Z260" s="467"/>
      <c r="AA260" s="273"/>
      <c r="AB260" s="273"/>
      <c r="AC260" s="273"/>
      <c r="AD260" s="273"/>
    </row>
    <row r="261" spans="1:30" ht="14.25" customHeight="1">
      <c r="A261" s="273"/>
      <c r="B261" s="273"/>
      <c r="C261" s="273"/>
      <c r="D261" s="273"/>
      <c r="E261" s="274"/>
      <c r="F261" s="273"/>
      <c r="G261" s="273"/>
      <c r="H261" s="273"/>
      <c r="I261" s="273"/>
      <c r="J261" s="273"/>
      <c r="K261" s="273"/>
      <c r="L261" s="273"/>
      <c r="M261" s="273"/>
      <c r="N261" s="273"/>
      <c r="O261" s="273"/>
      <c r="P261" s="273"/>
      <c r="Q261" s="273"/>
      <c r="R261" s="273"/>
      <c r="S261" s="273"/>
      <c r="T261" s="273"/>
      <c r="U261" s="273"/>
      <c r="V261" s="273"/>
      <c r="W261" s="273"/>
      <c r="X261" s="273"/>
      <c r="Y261" s="273"/>
      <c r="Z261" s="467"/>
      <c r="AA261" s="273"/>
      <c r="AB261" s="273"/>
      <c r="AC261" s="273"/>
      <c r="AD261" s="273"/>
    </row>
    <row r="262" spans="1:30" ht="14.25" customHeight="1">
      <c r="A262" s="273"/>
      <c r="B262" s="273"/>
      <c r="C262" s="273"/>
      <c r="D262" s="273"/>
      <c r="E262" s="274"/>
      <c r="F262" s="273"/>
      <c r="G262" s="273"/>
      <c r="H262" s="273"/>
      <c r="I262" s="273"/>
      <c r="J262" s="273"/>
      <c r="K262" s="273"/>
      <c r="L262" s="273"/>
      <c r="M262" s="273"/>
      <c r="N262" s="273"/>
      <c r="O262" s="273"/>
      <c r="P262" s="273"/>
      <c r="Q262" s="273"/>
      <c r="R262" s="273"/>
      <c r="S262" s="273"/>
      <c r="T262" s="273"/>
      <c r="U262" s="273"/>
      <c r="V262" s="273"/>
      <c r="W262" s="273"/>
      <c r="X262" s="273"/>
      <c r="Y262" s="273"/>
      <c r="Z262" s="467"/>
      <c r="AA262" s="273"/>
      <c r="AB262" s="273"/>
      <c r="AC262" s="273"/>
      <c r="AD262" s="273"/>
    </row>
    <row r="263" spans="1:30" ht="14.25" customHeight="1">
      <c r="A263" s="273"/>
      <c r="B263" s="273"/>
      <c r="C263" s="273"/>
      <c r="D263" s="273"/>
      <c r="E263" s="274"/>
      <c r="F263" s="273"/>
      <c r="G263" s="273"/>
      <c r="H263" s="273"/>
      <c r="I263" s="273"/>
      <c r="J263" s="273"/>
      <c r="K263" s="273"/>
      <c r="L263" s="273"/>
      <c r="M263" s="273"/>
      <c r="N263" s="273"/>
      <c r="O263" s="273"/>
      <c r="P263" s="273"/>
      <c r="Q263" s="273"/>
      <c r="R263" s="273"/>
      <c r="S263" s="273"/>
      <c r="T263" s="273"/>
      <c r="U263" s="273"/>
      <c r="V263" s="273"/>
      <c r="W263" s="273"/>
      <c r="X263" s="273"/>
      <c r="Y263" s="273"/>
      <c r="Z263" s="467"/>
      <c r="AA263" s="273"/>
      <c r="AB263" s="273"/>
      <c r="AC263" s="273"/>
      <c r="AD263" s="273"/>
    </row>
    <row r="264" spans="1:30" ht="14.25" customHeight="1">
      <c r="A264" s="273"/>
      <c r="B264" s="273"/>
      <c r="C264" s="273"/>
      <c r="D264" s="273"/>
      <c r="E264" s="274"/>
      <c r="F264" s="273"/>
      <c r="G264" s="273"/>
      <c r="H264" s="273"/>
      <c r="I264" s="273"/>
      <c r="J264" s="273"/>
      <c r="K264" s="273"/>
      <c r="L264" s="273"/>
      <c r="M264" s="273"/>
      <c r="N264" s="273"/>
      <c r="O264" s="273"/>
      <c r="P264" s="273"/>
      <c r="Q264" s="273"/>
      <c r="R264" s="273"/>
      <c r="S264" s="273"/>
      <c r="T264" s="273"/>
      <c r="U264" s="273"/>
      <c r="V264" s="273"/>
      <c r="W264" s="273"/>
      <c r="X264" s="273"/>
      <c r="Y264" s="273"/>
      <c r="Z264" s="467"/>
      <c r="AA264" s="273"/>
      <c r="AB264" s="273"/>
      <c r="AC264" s="273"/>
      <c r="AD264" s="273"/>
    </row>
    <row r="265" spans="1:30" ht="14.25" customHeight="1">
      <c r="A265" s="273"/>
      <c r="B265" s="273"/>
      <c r="C265" s="273"/>
      <c r="D265" s="273"/>
      <c r="E265" s="274"/>
      <c r="F265" s="273"/>
      <c r="G265" s="273"/>
      <c r="H265" s="273"/>
      <c r="I265" s="273"/>
      <c r="J265" s="273"/>
      <c r="K265" s="273"/>
      <c r="L265" s="273"/>
      <c r="M265" s="273"/>
      <c r="N265" s="273"/>
      <c r="O265" s="273"/>
      <c r="P265" s="273"/>
      <c r="Q265" s="273"/>
      <c r="R265" s="273"/>
      <c r="S265" s="273"/>
      <c r="T265" s="273"/>
      <c r="U265" s="273"/>
      <c r="V265" s="273"/>
      <c r="W265" s="273"/>
      <c r="X265" s="273"/>
      <c r="Y265" s="273"/>
      <c r="Z265" s="467"/>
      <c r="AA265" s="273"/>
      <c r="AB265" s="273"/>
      <c r="AC265" s="273"/>
      <c r="AD265" s="273"/>
    </row>
    <row r="266" spans="1:30" ht="14.25" customHeight="1">
      <c r="A266" s="273"/>
      <c r="B266" s="273"/>
      <c r="C266" s="273"/>
      <c r="D266" s="273"/>
      <c r="E266" s="274"/>
      <c r="F266" s="273"/>
      <c r="G266" s="273"/>
      <c r="H266" s="273"/>
      <c r="I266" s="273"/>
      <c r="J266" s="273"/>
      <c r="K266" s="273"/>
      <c r="L266" s="273"/>
      <c r="M266" s="273"/>
      <c r="N266" s="273"/>
      <c r="O266" s="273"/>
      <c r="P266" s="273"/>
      <c r="Q266" s="273"/>
      <c r="R266" s="273"/>
      <c r="S266" s="273"/>
      <c r="T266" s="273"/>
      <c r="U266" s="273"/>
      <c r="V266" s="273"/>
      <c r="W266" s="273"/>
      <c r="X266" s="273"/>
      <c r="Y266" s="273"/>
      <c r="Z266" s="467"/>
      <c r="AA266" s="273"/>
      <c r="AB266" s="273"/>
      <c r="AC266" s="273"/>
      <c r="AD266" s="273"/>
    </row>
    <row r="267" spans="1:30" ht="14.25" customHeight="1">
      <c r="A267" s="273"/>
      <c r="B267" s="273"/>
      <c r="C267" s="273"/>
      <c r="D267" s="273"/>
      <c r="E267" s="274"/>
      <c r="F267" s="273"/>
      <c r="G267" s="273"/>
      <c r="H267" s="273"/>
      <c r="I267" s="273"/>
      <c r="J267" s="273"/>
      <c r="K267" s="273"/>
      <c r="L267" s="273"/>
      <c r="M267" s="273"/>
      <c r="N267" s="273"/>
      <c r="O267" s="273"/>
      <c r="P267" s="273"/>
      <c r="Q267" s="273"/>
      <c r="R267" s="273"/>
      <c r="S267" s="273"/>
      <c r="T267" s="273"/>
      <c r="U267" s="273"/>
      <c r="V267" s="273"/>
      <c r="W267" s="273"/>
      <c r="X267" s="273"/>
      <c r="Y267" s="273"/>
      <c r="Z267" s="467"/>
      <c r="AA267" s="273"/>
      <c r="AB267" s="273"/>
      <c r="AC267" s="273"/>
      <c r="AD267" s="273"/>
    </row>
    <row r="268" spans="1:30" ht="14.25" customHeight="1">
      <c r="A268" s="273"/>
      <c r="B268" s="273"/>
      <c r="C268" s="273"/>
      <c r="D268" s="273"/>
      <c r="E268" s="274"/>
      <c r="F268" s="273"/>
      <c r="G268" s="273"/>
      <c r="H268" s="273"/>
      <c r="I268" s="273"/>
      <c r="J268" s="273"/>
      <c r="K268" s="273"/>
      <c r="L268" s="273"/>
      <c r="M268" s="273"/>
      <c r="N268" s="273"/>
      <c r="O268" s="273"/>
      <c r="P268" s="273"/>
      <c r="Q268" s="273"/>
      <c r="R268" s="273"/>
      <c r="S268" s="273"/>
      <c r="T268" s="273"/>
      <c r="U268" s="273"/>
      <c r="V268" s="273"/>
      <c r="W268" s="273"/>
      <c r="X268" s="273"/>
      <c r="Y268" s="273"/>
      <c r="Z268" s="467"/>
      <c r="AA268" s="273"/>
      <c r="AB268" s="273"/>
      <c r="AC268" s="273"/>
      <c r="AD268" s="273"/>
    </row>
    <row r="269" spans="1:30" ht="14.25" customHeight="1">
      <c r="A269" s="273"/>
      <c r="B269" s="273"/>
      <c r="C269" s="273"/>
      <c r="D269" s="273"/>
      <c r="E269" s="274"/>
      <c r="F269" s="273"/>
      <c r="G269" s="273"/>
      <c r="H269" s="273"/>
      <c r="I269" s="273"/>
      <c r="J269" s="273"/>
      <c r="K269" s="273"/>
      <c r="L269" s="273"/>
      <c r="M269" s="273"/>
      <c r="N269" s="273"/>
      <c r="O269" s="273"/>
      <c r="P269" s="273"/>
      <c r="Q269" s="273"/>
      <c r="R269" s="273"/>
      <c r="S269" s="273"/>
      <c r="T269" s="273"/>
      <c r="U269" s="273"/>
      <c r="V269" s="273"/>
      <c r="W269" s="273"/>
      <c r="X269" s="273"/>
      <c r="Y269" s="273"/>
      <c r="Z269" s="467"/>
      <c r="AA269" s="273"/>
      <c r="AB269" s="273"/>
      <c r="AC269" s="273"/>
      <c r="AD269" s="273"/>
    </row>
    <row r="270" spans="1:30" ht="14.25" customHeight="1">
      <c r="A270" s="273"/>
      <c r="B270" s="273"/>
      <c r="C270" s="273"/>
      <c r="D270" s="273"/>
      <c r="E270" s="274"/>
      <c r="F270" s="273"/>
      <c r="G270" s="273"/>
      <c r="H270" s="273"/>
      <c r="I270" s="273"/>
      <c r="J270" s="273"/>
      <c r="K270" s="273"/>
      <c r="L270" s="273"/>
      <c r="M270" s="273"/>
      <c r="N270" s="273"/>
      <c r="O270" s="273"/>
      <c r="P270" s="273"/>
      <c r="Q270" s="273"/>
      <c r="R270" s="273"/>
      <c r="S270" s="273"/>
      <c r="T270" s="273"/>
      <c r="U270" s="273"/>
      <c r="V270" s="273"/>
      <c r="W270" s="273"/>
      <c r="X270" s="273"/>
      <c r="Y270" s="273"/>
      <c r="Z270" s="467"/>
      <c r="AA270" s="273"/>
      <c r="AB270" s="273"/>
      <c r="AC270" s="273"/>
      <c r="AD270" s="273"/>
    </row>
    <row r="271" spans="1:30" ht="14.25" customHeight="1">
      <c r="A271" s="273"/>
      <c r="B271" s="273"/>
      <c r="C271" s="273"/>
      <c r="D271" s="273"/>
      <c r="E271" s="274"/>
      <c r="F271" s="273"/>
      <c r="G271" s="273"/>
      <c r="H271" s="273"/>
      <c r="I271" s="273"/>
      <c r="J271" s="273"/>
      <c r="K271" s="273"/>
      <c r="L271" s="273"/>
      <c r="M271" s="273"/>
      <c r="N271" s="273"/>
      <c r="O271" s="273"/>
      <c r="P271" s="273"/>
      <c r="Q271" s="273"/>
      <c r="R271" s="273"/>
      <c r="S271" s="273"/>
      <c r="T271" s="273"/>
      <c r="U271" s="273"/>
      <c r="V271" s="273"/>
      <c r="W271" s="273"/>
      <c r="X271" s="273"/>
      <c r="Y271" s="273"/>
      <c r="Z271" s="467"/>
      <c r="AA271" s="273"/>
      <c r="AB271" s="273"/>
      <c r="AC271" s="273"/>
      <c r="AD271" s="273"/>
    </row>
    <row r="272" spans="1:30" ht="14.25" customHeight="1">
      <c r="A272" s="273"/>
      <c r="B272" s="273"/>
      <c r="C272" s="273"/>
      <c r="D272" s="273"/>
      <c r="E272" s="274"/>
      <c r="F272" s="273"/>
      <c r="G272" s="273"/>
      <c r="H272" s="273"/>
      <c r="I272" s="273"/>
      <c r="J272" s="273"/>
      <c r="K272" s="273"/>
      <c r="L272" s="273"/>
      <c r="M272" s="273"/>
      <c r="N272" s="273"/>
      <c r="O272" s="273"/>
      <c r="P272" s="273"/>
      <c r="Q272" s="273"/>
      <c r="R272" s="273"/>
      <c r="S272" s="273"/>
      <c r="T272" s="273"/>
      <c r="U272" s="273"/>
      <c r="V272" s="273"/>
      <c r="W272" s="273"/>
      <c r="X272" s="273"/>
      <c r="Y272" s="273"/>
      <c r="Z272" s="467"/>
      <c r="AA272" s="273"/>
      <c r="AB272" s="273"/>
      <c r="AC272" s="273"/>
      <c r="AD272" s="273"/>
    </row>
    <row r="273" spans="1:30" ht="14.25" customHeight="1">
      <c r="A273" s="273"/>
      <c r="B273" s="273"/>
      <c r="C273" s="273"/>
      <c r="D273" s="273"/>
      <c r="E273" s="274"/>
      <c r="F273" s="273"/>
      <c r="G273" s="273"/>
      <c r="H273" s="273"/>
      <c r="I273" s="273"/>
      <c r="J273" s="273"/>
      <c r="K273" s="273"/>
      <c r="L273" s="273"/>
      <c r="M273" s="273"/>
      <c r="N273" s="273"/>
      <c r="O273" s="273"/>
      <c r="P273" s="273"/>
      <c r="Q273" s="273"/>
      <c r="R273" s="273"/>
      <c r="S273" s="273"/>
      <c r="T273" s="273"/>
      <c r="U273" s="273"/>
      <c r="V273" s="273"/>
      <c r="W273" s="273"/>
      <c r="X273" s="273"/>
      <c r="Y273" s="273"/>
      <c r="Z273" s="467"/>
      <c r="AA273" s="273"/>
      <c r="AB273" s="273"/>
      <c r="AC273" s="273"/>
      <c r="AD273" s="273"/>
    </row>
    <row r="274" spans="1:30" ht="14.25" customHeight="1">
      <c r="A274" s="273"/>
      <c r="B274" s="273"/>
      <c r="C274" s="273"/>
      <c r="D274" s="273"/>
      <c r="E274" s="274"/>
      <c r="F274" s="273"/>
      <c r="G274" s="273"/>
      <c r="H274" s="273"/>
      <c r="I274" s="273"/>
      <c r="J274" s="273"/>
      <c r="K274" s="273"/>
      <c r="L274" s="273"/>
      <c r="M274" s="273"/>
      <c r="N274" s="273"/>
      <c r="O274" s="273"/>
      <c r="P274" s="273"/>
      <c r="Q274" s="273"/>
      <c r="R274" s="273"/>
      <c r="S274" s="273"/>
      <c r="T274" s="273"/>
      <c r="U274" s="273"/>
      <c r="V274" s="273"/>
      <c r="W274" s="273"/>
      <c r="X274" s="273"/>
      <c r="Y274" s="273"/>
      <c r="Z274" s="467"/>
      <c r="AA274" s="273"/>
      <c r="AB274" s="273"/>
      <c r="AC274" s="273"/>
      <c r="AD274" s="273"/>
    </row>
    <row r="275" spans="1:30" ht="14.25" customHeight="1">
      <c r="A275" s="273"/>
      <c r="B275" s="273"/>
      <c r="C275" s="273"/>
      <c r="D275" s="273"/>
      <c r="E275" s="274"/>
      <c r="F275" s="273"/>
      <c r="G275" s="273"/>
      <c r="H275" s="273"/>
      <c r="I275" s="273"/>
      <c r="J275" s="273"/>
      <c r="K275" s="273"/>
      <c r="L275" s="273"/>
      <c r="M275" s="273"/>
      <c r="N275" s="273"/>
      <c r="O275" s="273"/>
      <c r="P275" s="273"/>
      <c r="Q275" s="273"/>
      <c r="R275" s="273"/>
      <c r="S275" s="273"/>
      <c r="T275" s="273"/>
      <c r="U275" s="273"/>
      <c r="V275" s="273"/>
      <c r="W275" s="273"/>
      <c r="X275" s="273"/>
      <c r="Y275" s="273"/>
      <c r="Z275" s="467"/>
      <c r="AA275" s="273"/>
      <c r="AB275" s="273"/>
      <c r="AC275" s="273"/>
      <c r="AD275" s="273"/>
    </row>
    <row r="276" spans="1:30" ht="14.25" customHeight="1">
      <c r="A276" s="273"/>
      <c r="B276" s="273"/>
      <c r="C276" s="273"/>
      <c r="D276" s="273"/>
      <c r="E276" s="274"/>
      <c r="F276" s="273"/>
      <c r="G276" s="273"/>
      <c r="H276" s="273"/>
      <c r="I276" s="273"/>
      <c r="J276" s="273"/>
      <c r="K276" s="273"/>
      <c r="L276" s="273"/>
      <c r="M276" s="273"/>
      <c r="N276" s="273"/>
      <c r="O276" s="273"/>
      <c r="P276" s="273"/>
      <c r="Q276" s="273"/>
      <c r="R276" s="273"/>
      <c r="S276" s="273"/>
      <c r="T276" s="273"/>
      <c r="U276" s="273"/>
      <c r="V276" s="273"/>
      <c r="W276" s="273"/>
      <c r="X276" s="273"/>
      <c r="Y276" s="273"/>
      <c r="Z276" s="467"/>
      <c r="AA276" s="273"/>
      <c r="AB276" s="273"/>
      <c r="AC276" s="273"/>
      <c r="AD276" s="273"/>
    </row>
    <row r="277" spans="1:30" ht="14.25" customHeight="1">
      <c r="A277" s="273"/>
      <c r="B277" s="273"/>
      <c r="C277" s="273"/>
      <c r="D277" s="273"/>
      <c r="E277" s="274"/>
      <c r="F277" s="273"/>
      <c r="G277" s="273"/>
      <c r="H277" s="273"/>
      <c r="I277" s="273"/>
      <c r="J277" s="273"/>
      <c r="K277" s="273"/>
      <c r="L277" s="273"/>
      <c r="M277" s="273"/>
      <c r="N277" s="273"/>
      <c r="O277" s="273"/>
      <c r="P277" s="273"/>
      <c r="Q277" s="273"/>
      <c r="R277" s="273"/>
      <c r="S277" s="273"/>
      <c r="T277" s="273"/>
      <c r="U277" s="273"/>
      <c r="V277" s="273"/>
      <c r="W277" s="273"/>
      <c r="X277" s="273"/>
      <c r="Y277" s="273"/>
      <c r="Z277" s="467"/>
      <c r="AA277" s="273"/>
      <c r="AB277" s="273"/>
      <c r="AC277" s="273"/>
      <c r="AD277" s="273"/>
    </row>
    <row r="278" spans="1:30" ht="14.25" customHeight="1">
      <c r="A278" s="273"/>
      <c r="B278" s="273"/>
      <c r="C278" s="273"/>
      <c r="D278" s="273"/>
      <c r="E278" s="274"/>
      <c r="F278" s="273"/>
      <c r="G278" s="273"/>
      <c r="H278" s="273"/>
      <c r="I278" s="273"/>
      <c r="J278" s="273"/>
      <c r="K278" s="273"/>
      <c r="L278" s="273"/>
      <c r="M278" s="273"/>
      <c r="N278" s="273"/>
      <c r="O278" s="273"/>
      <c r="P278" s="273"/>
      <c r="Q278" s="273"/>
      <c r="R278" s="273"/>
      <c r="S278" s="273"/>
      <c r="T278" s="273"/>
      <c r="U278" s="273"/>
      <c r="V278" s="273"/>
      <c r="W278" s="273"/>
      <c r="X278" s="273"/>
      <c r="Y278" s="273"/>
      <c r="Z278" s="467"/>
      <c r="AA278" s="273"/>
      <c r="AB278" s="273"/>
      <c r="AC278" s="273"/>
      <c r="AD278" s="273"/>
    </row>
    <row r="279" spans="1:30" ht="14.25" customHeight="1">
      <c r="A279" s="273"/>
      <c r="B279" s="273"/>
      <c r="C279" s="273"/>
      <c r="D279" s="273"/>
      <c r="E279" s="274"/>
      <c r="F279" s="273"/>
      <c r="G279" s="273"/>
      <c r="H279" s="273"/>
      <c r="I279" s="273"/>
      <c r="J279" s="273"/>
      <c r="K279" s="273"/>
      <c r="L279" s="273"/>
      <c r="M279" s="273"/>
      <c r="N279" s="273"/>
      <c r="O279" s="273"/>
      <c r="P279" s="273"/>
      <c r="Q279" s="273"/>
      <c r="R279" s="273"/>
      <c r="S279" s="273"/>
      <c r="T279" s="273"/>
      <c r="U279" s="273"/>
      <c r="V279" s="273"/>
      <c r="W279" s="273"/>
      <c r="X279" s="273"/>
      <c r="Y279" s="273"/>
      <c r="Z279" s="467"/>
      <c r="AA279" s="273"/>
      <c r="AB279" s="273"/>
      <c r="AC279" s="273"/>
      <c r="AD279" s="273"/>
    </row>
    <row r="280" spans="1:30" ht="14.25" customHeight="1">
      <c r="A280" s="273"/>
      <c r="B280" s="273"/>
      <c r="C280" s="273"/>
      <c r="D280" s="273"/>
      <c r="E280" s="274"/>
      <c r="F280" s="273"/>
      <c r="G280" s="273"/>
      <c r="H280" s="273"/>
      <c r="I280" s="273"/>
      <c r="J280" s="273"/>
      <c r="K280" s="273"/>
      <c r="L280" s="273"/>
      <c r="M280" s="273"/>
      <c r="N280" s="273"/>
      <c r="O280" s="273"/>
      <c r="P280" s="273"/>
      <c r="Q280" s="273"/>
      <c r="R280" s="273"/>
      <c r="S280" s="273"/>
      <c r="T280" s="273"/>
      <c r="U280" s="273"/>
      <c r="V280" s="273"/>
      <c r="W280" s="273"/>
      <c r="X280" s="273"/>
      <c r="Y280" s="273"/>
      <c r="Z280" s="467"/>
      <c r="AA280" s="273"/>
      <c r="AB280" s="273"/>
      <c r="AC280" s="273"/>
      <c r="AD280" s="273"/>
    </row>
    <row r="281" spans="1:30" ht="14.25" customHeight="1">
      <c r="A281" s="273"/>
      <c r="B281" s="273"/>
      <c r="C281" s="273"/>
      <c r="D281" s="273"/>
      <c r="E281" s="274"/>
      <c r="F281" s="273"/>
      <c r="G281" s="273"/>
      <c r="H281" s="273"/>
      <c r="I281" s="273"/>
      <c r="J281" s="273"/>
      <c r="K281" s="273"/>
      <c r="L281" s="273"/>
      <c r="M281" s="273"/>
      <c r="N281" s="273"/>
      <c r="O281" s="273"/>
      <c r="P281" s="273"/>
      <c r="Q281" s="273"/>
      <c r="R281" s="273"/>
      <c r="S281" s="273"/>
      <c r="T281" s="273"/>
      <c r="U281" s="273"/>
      <c r="V281" s="273"/>
      <c r="W281" s="273"/>
      <c r="X281" s="273"/>
      <c r="Y281" s="273"/>
      <c r="Z281" s="467"/>
      <c r="AA281" s="273"/>
      <c r="AB281" s="273"/>
      <c r="AC281" s="273"/>
      <c r="AD281" s="273"/>
    </row>
    <row r="282" spans="1:30" ht="14.25" customHeight="1">
      <c r="A282" s="273"/>
      <c r="B282" s="273"/>
      <c r="C282" s="273"/>
      <c r="D282" s="273"/>
      <c r="E282" s="274"/>
      <c r="F282" s="273"/>
      <c r="G282" s="273"/>
      <c r="H282" s="273"/>
      <c r="I282" s="273"/>
      <c r="J282" s="273"/>
      <c r="K282" s="273"/>
      <c r="L282" s="273"/>
      <c r="M282" s="273"/>
      <c r="N282" s="273"/>
      <c r="O282" s="273"/>
      <c r="P282" s="273"/>
      <c r="Q282" s="273"/>
      <c r="R282" s="273"/>
      <c r="S282" s="273"/>
      <c r="T282" s="273"/>
      <c r="U282" s="273"/>
      <c r="V282" s="273"/>
      <c r="W282" s="273"/>
      <c r="X282" s="273"/>
      <c r="Y282" s="273"/>
      <c r="Z282" s="467"/>
      <c r="AA282" s="273"/>
      <c r="AB282" s="273"/>
      <c r="AC282" s="273"/>
      <c r="AD282" s="273"/>
    </row>
    <row r="283" spans="1:30" ht="14.25" customHeight="1">
      <c r="A283" s="273"/>
      <c r="B283" s="273"/>
      <c r="C283" s="273"/>
      <c r="D283" s="273"/>
      <c r="E283" s="274"/>
      <c r="F283" s="273"/>
      <c r="G283" s="273"/>
      <c r="H283" s="273"/>
      <c r="I283" s="273"/>
      <c r="J283" s="273"/>
      <c r="K283" s="273"/>
      <c r="L283" s="273"/>
      <c r="M283" s="273"/>
      <c r="N283" s="273"/>
      <c r="O283" s="273"/>
      <c r="P283" s="273"/>
      <c r="Q283" s="273"/>
      <c r="R283" s="273"/>
      <c r="S283" s="273"/>
      <c r="T283" s="273"/>
      <c r="U283" s="273"/>
      <c r="V283" s="273"/>
      <c r="W283" s="273"/>
      <c r="X283" s="273"/>
      <c r="Y283" s="273"/>
      <c r="Z283" s="467"/>
      <c r="AA283" s="273"/>
      <c r="AB283" s="273"/>
      <c r="AC283" s="273"/>
      <c r="AD283" s="273"/>
    </row>
    <row r="284" spans="1:30" ht="14.25" customHeight="1">
      <c r="A284" s="273"/>
      <c r="B284" s="273"/>
      <c r="C284" s="273"/>
      <c r="D284" s="273"/>
      <c r="E284" s="274"/>
      <c r="F284" s="273"/>
      <c r="G284" s="273"/>
      <c r="H284" s="273"/>
      <c r="I284" s="273"/>
      <c r="J284" s="273"/>
      <c r="K284" s="273"/>
      <c r="L284" s="273"/>
      <c r="M284" s="273"/>
      <c r="N284" s="273"/>
      <c r="O284" s="273"/>
      <c r="P284" s="273"/>
      <c r="Q284" s="273"/>
      <c r="R284" s="273"/>
      <c r="S284" s="273"/>
      <c r="T284" s="273"/>
      <c r="U284" s="273"/>
      <c r="V284" s="273"/>
      <c r="W284" s="273"/>
      <c r="X284" s="273"/>
      <c r="Y284" s="273"/>
      <c r="Z284" s="467"/>
      <c r="AA284" s="273"/>
      <c r="AB284" s="273"/>
      <c r="AC284" s="273"/>
      <c r="AD284" s="273"/>
    </row>
    <row r="285" spans="1:30" ht="14.25" customHeight="1">
      <c r="A285" s="273"/>
      <c r="B285" s="273"/>
      <c r="C285" s="273"/>
      <c r="D285" s="273"/>
      <c r="E285" s="274"/>
      <c r="F285" s="273"/>
      <c r="G285" s="273"/>
      <c r="H285" s="273"/>
      <c r="I285" s="273"/>
      <c r="J285" s="273"/>
      <c r="K285" s="273"/>
      <c r="L285" s="273"/>
      <c r="M285" s="273"/>
      <c r="N285" s="273"/>
      <c r="O285" s="273"/>
      <c r="P285" s="273"/>
      <c r="Q285" s="273"/>
      <c r="R285" s="273"/>
      <c r="S285" s="273"/>
      <c r="T285" s="273"/>
      <c r="U285" s="273"/>
      <c r="V285" s="273"/>
      <c r="W285" s="273"/>
      <c r="X285" s="273"/>
      <c r="Y285" s="273"/>
      <c r="Z285" s="467"/>
      <c r="AA285" s="273"/>
      <c r="AB285" s="273"/>
      <c r="AC285" s="273"/>
      <c r="AD285" s="273"/>
    </row>
    <row r="286" spans="1:30" ht="14.25" customHeight="1">
      <c r="A286" s="273"/>
      <c r="B286" s="273"/>
      <c r="C286" s="273"/>
      <c r="D286" s="273"/>
      <c r="E286" s="274"/>
      <c r="F286" s="273"/>
      <c r="G286" s="273"/>
      <c r="H286" s="273"/>
      <c r="I286" s="273"/>
      <c r="J286" s="273"/>
      <c r="K286" s="273"/>
      <c r="L286" s="273"/>
      <c r="M286" s="273"/>
      <c r="N286" s="273"/>
      <c r="O286" s="273"/>
      <c r="P286" s="273"/>
      <c r="Q286" s="273"/>
      <c r="R286" s="273"/>
      <c r="S286" s="273"/>
      <c r="T286" s="273"/>
      <c r="U286" s="273"/>
      <c r="V286" s="273"/>
      <c r="W286" s="273"/>
      <c r="X286" s="273"/>
      <c r="Y286" s="273"/>
      <c r="Z286" s="467"/>
      <c r="AA286" s="273"/>
      <c r="AB286" s="273"/>
      <c r="AC286" s="273"/>
      <c r="AD286" s="273"/>
    </row>
    <row r="287" spans="1:30" ht="14.25" customHeight="1">
      <c r="A287" s="273"/>
      <c r="B287" s="273"/>
      <c r="C287" s="273"/>
      <c r="D287" s="273"/>
      <c r="E287" s="274"/>
      <c r="F287" s="273"/>
      <c r="G287" s="273"/>
      <c r="H287" s="273"/>
      <c r="I287" s="273"/>
      <c r="J287" s="273"/>
      <c r="K287" s="273"/>
      <c r="L287" s="273"/>
      <c r="M287" s="273"/>
      <c r="N287" s="273"/>
      <c r="O287" s="273"/>
      <c r="P287" s="273"/>
      <c r="Q287" s="273"/>
      <c r="R287" s="273"/>
      <c r="S287" s="273"/>
      <c r="T287" s="273"/>
      <c r="U287" s="273"/>
      <c r="V287" s="273"/>
      <c r="W287" s="273"/>
      <c r="X287" s="273"/>
      <c r="Y287" s="273"/>
      <c r="Z287" s="467"/>
      <c r="AA287" s="273"/>
      <c r="AB287" s="273"/>
      <c r="AC287" s="273"/>
      <c r="AD287" s="273"/>
    </row>
    <row r="288" spans="1:30" ht="14.25" customHeight="1">
      <c r="A288" s="273"/>
      <c r="B288" s="273"/>
      <c r="C288" s="273"/>
      <c r="D288" s="273"/>
      <c r="E288" s="274"/>
      <c r="F288" s="273"/>
      <c r="G288" s="273"/>
      <c r="H288" s="273"/>
      <c r="I288" s="273"/>
      <c r="J288" s="273"/>
      <c r="K288" s="273"/>
      <c r="L288" s="273"/>
      <c r="M288" s="273"/>
      <c r="N288" s="273"/>
      <c r="O288" s="273"/>
      <c r="P288" s="273"/>
      <c r="Q288" s="273"/>
      <c r="R288" s="273"/>
      <c r="S288" s="273"/>
      <c r="T288" s="273"/>
      <c r="U288" s="273"/>
      <c r="V288" s="273"/>
      <c r="W288" s="273"/>
      <c r="X288" s="273"/>
      <c r="Y288" s="273"/>
      <c r="Z288" s="467"/>
      <c r="AA288" s="273"/>
      <c r="AB288" s="273"/>
      <c r="AC288" s="273"/>
      <c r="AD288" s="273"/>
    </row>
    <row r="289" spans="1:30" ht="14.25" customHeight="1">
      <c r="A289" s="273"/>
      <c r="B289" s="273"/>
      <c r="C289" s="273"/>
      <c r="D289" s="273"/>
      <c r="E289" s="274"/>
      <c r="F289" s="273"/>
      <c r="G289" s="273"/>
      <c r="H289" s="273"/>
      <c r="I289" s="273"/>
      <c r="J289" s="273"/>
      <c r="K289" s="273"/>
      <c r="L289" s="273"/>
      <c r="M289" s="273"/>
      <c r="N289" s="273"/>
      <c r="O289" s="273"/>
      <c r="P289" s="273"/>
      <c r="Q289" s="273"/>
      <c r="R289" s="273"/>
      <c r="S289" s="273"/>
      <c r="T289" s="273"/>
      <c r="U289" s="273"/>
      <c r="V289" s="273"/>
      <c r="W289" s="273"/>
      <c r="X289" s="273"/>
      <c r="Y289" s="273"/>
      <c r="Z289" s="467"/>
      <c r="AA289" s="273"/>
      <c r="AB289" s="273"/>
      <c r="AC289" s="273"/>
      <c r="AD289" s="273"/>
    </row>
    <row r="290" spans="1:30" ht="14.25" customHeight="1">
      <c r="A290" s="273"/>
      <c r="B290" s="273"/>
      <c r="C290" s="273"/>
      <c r="D290" s="273"/>
      <c r="E290" s="274"/>
      <c r="F290" s="273"/>
      <c r="G290" s="273"/>
      <c r="H290" s="273"/>
      <c r="I290" s="273"/>
      <c r="J290" s="273"/>
      <c r="K290" s="273"/>
      <c r="L290" s="273"/>
      <c r="M290" s="273"/>
      <c r="N290" s="273"/>
      <c r="O290" s="273"/>
      <c r="P290" s="273"/>
      <c r="Q290" s="273"/>
      <c r="R290" s="273"/>
      <c r="S290" s="273"/>
      <c r="T290" s="273"/>
      <c r="U290" s="273"/>
      <c r="V290" s="273"/>
      <c r="W290" s="273"/>
      <c r="X290" s="273"/>
      <c r="Y290" s="273"/>
      <c r="Z290" s="467"/>
      <c r="AA290" s="273"/>
      <c r="AB290" s="273"/>
      <c r="AC290" s="273"/>
      <c r="AD290" s="273"/>
    </row>
    <row r="291" spans="1:30" ht="14.25" customHeight="1">
      <c r="A291" s="273"/>
      <c r="B291" s="273"/>
      <c r="C291" s="273"/>
      <c r="D291" s="273"/>
      <c r="E291" s="274"/>
      <c r="F291" s="273"/>
      <c r="G291" s="273"/>
      <c r="H291" s="273"/>
      <c r="I291" s="273"/>
      <c r="J291" s="273"/>
      <c r="K291" s="273"/>
      <c r="L291" s="273"/>
      <c r="M291" s="273"/>
      <c r="N291" s="273"/>
      <c r="O291" s="273"/>
      <c r="P291" s="273"/>
      <c r="Q291" s="273"/>
      <c r="R291" s="273"/>
      <c r="S291" s="273"/>
      <c r="T291" s="273"/>
      <c r="U291" s="273"/>
      <c r="V291" s="273"/>
      <c r="W291" s="273"/>
      <c r="X291" s="273"/>
      <c r="Y291" s="273"/>
      <c r="Z291" s="467"/>
      <c r="AA291" s="273"/>
      <c r="AB291" s="273"/>
      <c r="AC291" s="273"/>
      <c r="AD291" s="273"/>
    </row>
    <row r="292" spans="1:30" ht="14.25" customHeight="1">
      <c r="A292" s="273"/>
      <c r="B292" s="273"/>
      <c r="C292" s="273"/>
      <c r="D292" s="273"/>
      <c r="E292" s="274"/>
      <c r="F292" s="273"/>
      <c r="G292" s="273"/>
      <c r="H292" s="273"/>
      <c r="I292" s="273"/>
      <c r="J292" s="273"/>
      <c r="K292" s="273"/>
      <c r="L292" s="273"/>
      <c r="M292" s="273"/>
      <c r="N292" s="273"/>
      <c r="O292" s="273"/>
      <c r="P292" s="273"/>
      <c r="Q292" s="273"/>
      <c r="R292" s="273"/>
      <c r="S292" s="273"/>
      <c r="T292" s="273"/>
      <c r="U292" s="273"/>
      <c r="V292" s="273"/>
      <c r="W292" s="273"/>
      <c r="X292" s="273"/>
      <c r="Y292" s="273"/>
      <c r="Z292" s="467"/>
      <c r="AA292" s="273"/>
      <c r="AB292" s="273"/>
      <c r="AC292" s="273"/>
      <c r="AD292" s="273"/>
    </row>
    <row r="293" spans="1:30" ht="14.25" customHeight="1">
      <c r="A293" s="273"/>
      <c r="B293" s="273"/>
      <c r="C293" s="273"/>
      <c r="D293" s="273"/>
      <c r="E293" s="274"/>
      <c r="F293" s="273"/>
      <c r="G293" s="273"/>
      <c r="H293" s="273"/>
      <c r="I293" s="273"/>
      <c r="J293" s="273"/>
      <c r="K293" s="273"/>
      <c r="L293" s="273"/>
      <c r="M293" s="273"/>
      <c r="N293" s="273"/>
      <c r="O293" s="273"/>
      <c r="P293" s="273"/>
      <c r="Q293" s="273"/>
      <c r="R293" s="273"/>
      <c r="S293" s="273"/>
      <c r="T293" s="273"/>
      <c r="U293" s="273"/>
      <c r="V293" s="273"/>
      <c r="W293" s="273"/>
      <c r="X293" s="273"/>
      <c r="Y293" s="273"/>
      <c r="Z293" s="467"/>
      <c r="AA293" s="273"/>
      <c r="AB293" s="273"/>
      <c r="AC293" s="273"/>
      <c r="AD293" s="273"/>
    </row>
    <row r="294" spans="1:30" ht="14.25" customHeight="1">
      <c r="A294" s="273"/>
      <c r="B294" s="273"/>
      <c r="C294" s="273"/>
      <c r="D294" s="273"/>
      <c r="E294" s="274"/>
      <c r="F294" s="273"/>
      <c r="G294" s="273"/>
      <c r="H294" s="273"/>
      <c r="I294" s="273"/>
      <c r="J294" s="273"/>
      <c r="K294" s="273"/>
      <c r="L294" s="273"/>
      <c r="M294" s="273"/>
      <c r="N294" s="273"/>
      <c r="O294" s="273"/>
      <c r="P294" s="273"/>
      <c r="Q294" s="273"/>
      <c r="R294" s="273"/>
      <c r="S294" s="273"/>
      <c r="T294" s="273"/>
      <c r="U294" s="273"/>
      <c r="V294" s="273"/>
      <c r="W294" s="273"/>
      <c r="X294" s="273"/>
      <c r="Y294" s="273"/>
      <c r="Z294" s="467"/>
      <c r="AA294" s="273"/>
      <c r="AB294" s="273"/>
      <c r="AC294" s="273"/>
      <c r="AD294" s="273"/>
    </row>
    <row r="295" spans="1:30" ht="14.25" customHeight="1">
      <c r="A295" s="273"/>
      <c r="B295" s="273"/>
      <c r="C295" s="273"/>
      <c r="D295" s="273"/>
      <c r="E295" s="274"/>
      <c r="F295" s="273"/>
      <c r="G295" s="273"/>
      <c r="H295" s="273"/>
      <c r="I295" s="273"/>
      <c r="J295" s="273"/>
      <c r="K295" s="273"/>
      <c r="L295" s="273"/>
      <c r="M295" s="273"/>
      <c r="N295" s="273"/>
      <c r="O295" s="273"/>
      <c r="P295" s="273"/>
      <c r="Q295" s="273"/>
      <c r="R295" s="273"/>
      <c r="S295" s="273"/>
      <c r="T295" s="273"/>
      <c r="U295" s="273"/>
      <c r="V295" s="273"/>
      <c r="W295" s="273"/>
      <c r="X295" s="273"/>
      <c r="Y295" s="273"/>
      <c r="Z295" s="467"/>
      <c r="AA295" s="273"/>
      <c r="AB295" s="273"/>
      <c r="AC295" s="273"/>
      <c r="AD295" s="273"/>
    </row>
    <row r="296" spans="1:30" ht="14.25" customHeight="1">
      <c r="A296" s="273"/>
      <c r="B296" s="273"/>
      <c r="C296" s="273"/>
      <c r="D296" s="273"/>
      <c r="E296" s="274"/>
      <c r="F296" s="273"/>
      <c r="G296" s="273"/>
      <c r="H296" s="273"/>
      <c r="I296" s="273"/>
      <c r="J296" s="273"/>
      <c r="K296" s="273"/>
      <c r="L296" s="273"/>
      <c r="M296" s="273"/>
      <c r="N296" s="273"/>
      <c r="O296" s="273"/>
      <c r="P296" s="273"/>
      <c r="Q296" s="273"/>
      <c r="R296" s="273"/>
      <c r="S296" s="273"/>
      <c r="T296" s="273"/>
      <c r="U296" s="273"/>
      <c r="V296" s="273"/>
      <c r="W296" s="273"/>
      <c r="X296" s="273"/>
      <c r="Y296" s="273"/>
      <c r="Z296" s="467"/>
      <c r="AA296" s="273"/>
      <c r="AB296" s="273"/>
      <c r="AC296" s="273"/>
      <c r="AD296" s="273"/>
    </row>
    <row r="297" spans="1:30" ht="14.25" customHeight="1">
      <c r="A297" s="273"/>
      <c r="B297" s="273"/>
      <c r="C297" s="273"/>
      <c r="D297" s="273"/>
      <c r="E297" s="274"/>
      <c r="F297" s="273"/>
      <c r="G297" s="273"/>
      <c r="H297" s="273"/>
      <c r="I297" s="273"/>
      <c r="J297" s="273"/>
      <c r="K297" s="273"/>
      <c r="L297" s="273"/>
      <c r="M297" s="273"/>
      <c r="N297" s="273"/>
      <c r="O297" s="273"/>
      <c r="P297" s="273"/>
      <c r="Q297" s="273"/>
      <c r="R297" s="273"/>
      <c r="S297" s="273"/>
      <c r="T297" s="273"/>
      <c r="U297" s="273"/>
      <c r="V297" s="273"/>
      <c r="W297" s="273"/>
      <c r="X297" s="273"/>
      <c r="Y297" s="273"/>
      <c r="Z297" s="467"/>
      <c r="AA297" s="273"/>
      <c r="AB297" s="273"/>
      <c r="AC297" s="273"/>
      <c r="AD297" s="273"/>
    </row>
    <row r="298" spans="1:30" ht="14.25" customHeight="1">
      <c r="A298" s="273"/>
      <c r="B298" s="273"/>
      <c r="C298" s="273"/>
      <c r="D298" s="273"/>
      <c r="E298" s="274"/>
      <c r="F298" s="273"/>
      <c r="G298" s="273"/>
      <c r="H298" s="273"/>
      <c r="I298" s="273"/>
      <c r="J298" s="273"/>
      <c r="K298" s="273"/>
      <c r="L298" s="273"/>
      <c r="M298" s="273"/>
      <c r="N298" s="273"/>
      <c r="O298" s="273"/>
      <c r="P298" s="273"/>
      <c r="Q298" s="273"/>
      <c r="R298" s="273"/>
      <c r="S298" s="273"/>
      <c r="T298" s="273"/>
      <c r="U298" s="273"/>
      <c r="V298" s="273"/>
      <c r="W298" s="273"/>
      <c r="X298" s="273"/>
      <c r="Y298" s="273"/>
      <c r="Z298" s="467"/>
      <c r="AA298" s="273"/>
      <c r="AB298" s="273"/>
      <c r="AC298" s="273"/>
      <c r="AD298" s="273"/>
    </row>
    <row r="299" spans="1:30" ht="14.25" customHeight="1">
      <c r="A299" s="273"/>
      <c r="B299" s="273"/>
      <c r="C299" s="273"/>
      <c r="D299" s="273"/>
      <c r="E299" s="274"/>
      <c r="F299" s="273"/>
      <c r="G299" s="273"/>
      <c r="H299" s="273"/>
      <c r="I299" s="273"/>
      <c r="J299" s="273"/>
      <c r="K299" s="273"/>
      <c r="L299" s="273"/>
      <c r="M299" s="273"/>
      <c r="N299" s="273"/>
      <c r="O299" s="273"/>
      <c r="P299" s="273"/>
      <c r="Q299" s="273"/>
      <c r="R299" s="273"/>
      <c r="S299" s="273"/>
      <c r="T299" s="273"/>
      <c r="U299" s="273"/>
      <c r="V299" s="273"/>
      <c r="W299" s="273"/>
      <c r="X299" s="273"/>
      <c r="Y299" s="273"/>
      <c r="Z299" s="467"/>
      <c r="AA299" s="273"/>
      <c r="AB299" s="273"/>
      <c r="AC299" s="273"/>
      <c r="AD299" s="273"/>
    </row>
    <row r="300" spans="1:30" ht="14.25" customHeight="1">
      <c r="A300" s="273"/>
      <c r="B300" s="273"/>
      <c r="C300" s="273"/>
      <c r="D300" s="273"/>
      <c r="E300" s="274"/>
      <c r="F300" s="273"/>
      <c r="G300" s="273"/>
      <c r="H300" s="273"/>
      <c r="I300" s="273"/>
      <c r="J300" s="273"/>
      <c r="K300" s="273"/>
      <c r="L300" s="273"/>
      <c r="M300" s="273"/>
      <c r="N300" s="273"/>
      <c r="O300" s="273"/>
      <c r="P300" s="273"/>
      <c r="Q300" s="273"/>
      <c r="R300" s="273"/>
      <c r="S300" s="273"/>
      <c r="T300" s="273"/>
      <c r="U300" s="273"/>
      <c r="V300" s="273"/>
      <c r="W300" s="273"/>
      <c r="X300" s="273"/>
      <c r="Y300" s="273"/>
      <c r="Z300" s="467"/>
      <c r="AA300" s="273"/>
      <c r="AB300" s="273"/>
      <c r="AC300" s="273"/>
      <c r="AD300" s="273"/>
    </row>
    <row r="301" spans="1:30" ht="14.25" customHeight="1">
      <c r="A301" s="273"/>
      <c r="B301" s="273"/>
      <c r="C301" s="273"/>
      <c r="D301" s="273"/>
      <c r="E301" s="274"/>
      <c r="F301" s="273"/>
      <c r="G301" s="273"/>
      <c r="H301" s="273"/>
      <c r="I301" s="273"/>
      <c r="J301" s="273"/>
      <c r="K301" s="273"/>
      <c r="L301" s="273"/>
      <c r="M301" s="273"/>
      <c r="N301" s="273"/>
      <c r="O301" s="273"/>
      <c r="P301" s="273"/>
      <c r="Q301" s="273"/>
      <c r="R301" s="273"/>
      <c r="S301" s="273"/>
      <c r="T301" s="273"/>
      <c r="U301" s="273"/>
      <c r="V301" s="273"/>
      <c r="W301" s="273"/>
      <c r="X301" s="273"/>
      <c r="Y301" s="273"/>
      <c r="Z301" s="467"/>
      <c r="AA301" s="273"/>
      <c r="AB301" s="273"/>
      <c r="AC301" s="273"/>
      <c r="AD301" s="273"/>
    </row>
    <row r="302" spans="1:30" ht="14.25" customHeight="1">
      <c r="A302" s="273"/>
      <c r="B302" s="273"/>
      <c r="C302" s="273"/>
      <c r="D302" s="273"/>
      <c r="E302" s="274"/>
      <c r="F302" s="273"/>
      <c r="G302" s="273"/>
      <c r="H302" s="273"/>
      <c r="I302" s="273"/>
      <c r="J302" s="273"/>
      <c r="K302" s="273"/>
      <c r="L302" s="273"/>
      <c r="M302" s="273"/>
      <c r="N302" s="273"/>
      <c r="O302" s="273"/>
      <c r="P302" s="273"/>
      <c r="Q302" s="273"/>
      <c r="R302" s="273"/>
      <c r="S302" s="273"/>
      <c r="T302" s="273"/>
      <c r="U302" s="273"/>
      <c r="V302" s="273"/>
      <c r="W302" s="273"/>
      <c r="X302" s="273"/>
      <c r="Y302" s="273"/>
      <c r="Z302" s="467"/>
      <c r="AA302" s="273"/>
      <c r="AB302" s="273"/>
      <c r="AC302" s="273"/>
      <c r="AD302" s="273"/>
    </row>
    <row r="303" spans="1:30" ht="14.25" customHeight="1">
      <c r="A303" s="273"/>
      <c r="B303" s="273"/>
      <c r="C303" s="273"/>
      <c r="D303" s="273"/>
      <c r="E303" s="274"/>
      <c r="F303" s="273"/>
      <c r="G303" s="273"/>
      <c r="H303" s="273"/>
      <c r="I303" s="273"/>
      <c r="J303" s="273"/>
      <c r="K303" s="273"/>
      <c r="L303" s="273"/>
      <c r="M303" s="273"/>
      <c r="N303" s="273"/>
      <c r="O303" s="273"/>
      <c r="P303" s="273"/>
      <c r="Q303" s="273"/>
      <c r="R303" s="273"/>
      <c r="S303" s="273"/>
      <c r="T303" s="273"/>
      <c r="U303" s="273"/>
      <c r="V303" s="273"/>
      <c r="W303" s="273"/>
      <c r="X303" s="273"/>
      <c r="Y303" s="273"/>
      <c r="Z303" s="467"/>
      <c r="AA303" s="273"/>
      <c r="AB303" s="273"/>
      <c r="AC303" s="273"/>
      <c r="AD303" s="273"/>
    </row>
    <row r="304" spans="1:30" ht="14.25" customHeight="1">
      <c r="A304" s="273"/>
      <c r="B304" s="273"/>
      <c r="C304" s="273"/>
      <c r="D304" s="273"/>
      <c r="E304" s="274"/>
      <c r="F304" s="273"/>
      <c r="G304" s="273"/>
      <c r="H304" s="273"/>
      <c r="I304" s="273"/>
      <c r="J304" s="273"/>
      <c r="K304" s="273"/>
      <c r="L304" s="273"/>
      <c r="M304" s="273"/>
      <c r="N304" s="273"/>
      <c r="O304" s="273"/>
      <c r="P304" s="273"/>
      <c r="Q304" s="273"/>
      <c r="R304" s="273"/>
      <c r="S304" s="273"/>
      <c r="T304" s="273"/>
      <c r="U304" s="273"/>
      <c r="V304" s="273"/>
      <c r="W304" s="273"/>
      <c r="X304" s="273"/>
      <c r="Y304" s="273"/>
      <c r="Z304" s="467"/>
      <c r="AA304" s="273"/>
      <c r="AB304" s="273"/>
      <c r="AC304" s="273"/>
      <c r="AD304" s="273"/>
    </row>
    <row r="305" spans="1:30" ht="14.25" customHeight="1">
      <c r="A305" s="273"/>
      <c r="B305" s="273"/>
      <c r="C305" s="273"/>
      <c r="D305" s="273"/>
      <c r="E305" s="274"/>
      <c r="F305" s="273"/>
      <c r="G305" s="273"/>
      <c r="H305" s="273"/>
      <c r="I305" s="273"/>
      <c r="J305" s="273"/>
      <c r="K305" s="273"/>
      <c r="L305" s="273"/>
      <c r="M305" s="273"/>
      <c r="N305" s="273"/>
      <c r="O305" s="273"/>
      <c r="P305" s="273"/>
      <c r="Q305" s="273"/>
      <c r="R305" s="273"/>
      <c r="S305" s="273"/>
      <c r="T305" s="273"/>
      <c r="U305" s="273"/>
      <c r="V305" s="273"/>
      <c r="W305" s="273"/>
      <c r="X305" s="273"/>
      <c r="Y305" s="273"/>
      <c r="Z305" s="467"/>
      <c r="AA305" s="273"/>
      <c r="AB305" s="273"/>
      <c r="AC305" s="273"/>
      <c r="AD305" s="273"/>
    </row>
    <row r="306" spans="1:30" ht="14.25" customHeight="1">
      <c r="A306" s="273"/>
      <c r="B306" s="273"/>
      <c r="C306" s="273"/>
      <c r="D306" s="273"/>
      <c r="E306" s="274"/>
      <c r="F306" s="273"/>
      <c r="G306" s="273"/>
      <c r="H306" s="273"/>
      <c r="I306" s="273"/>
      <c r="J306" s="273"/>
      <c r="K306" s="273"/>
      <c r="L306" s="273"/>
      <c r="M306" s="273"/>
      <c r="N306" s="273"/>
      <c r="O306" s="273"/>
      <c r="P306" s="273"/>
      <c r="Q306" s="273"/>
      <c r="R306" s="273"/>
      <c r="S306" s="273"/>
      <c r="T306" s="273"/>
      <c r="U306" s="273"/>
      <c r="V306" s="273"/>
      <c r="W306" s="273"/>
      <c r="X306" s="273"/>
      <c r="Y306" s="273"/>
      <c r="Z306" s="467"/>
      <c r="AA306" s="273"/>
      <c r="AB306" s="273"/>
      <c r="AC306" s="273"/>
      <c r="AD306" s="273"/>
    </row>
    <row r="307" spans="1:30" ht="14.25" customHeight="1">
      <c r="A307" s="273"/>
      <c r="B307" s="273"/>
      <c r="C307" s="273"/>
      <c r="D307" s="273"/>
      <c r="E307" s="274"/>
      <c r="F307" s="273"/>
      <c r="G307" s="273"/>
      <c r="H307" s="273"/>
      <c r="I307" s="273"/>
      <c r="J307" s="273"/>
      <c r="K307" s="273"/>
      <c r="L307" s="273"/>
      <c r="M307" s="273"/>
      <c r="N307" s="273"/>
      <c r="O307" s="273"/>
      <c r="P307" s="273"/>
      <c r="Q307" s="273"/>
      <c r="R307" s="273"/>
      <c r="S307" s="273"/>
      <c r="T307" s="273"/>
      <c r="U307" s="273"/>
      <c r="V307" s="273"/>
      <c r="W307" s="273"/>
      <c r="X307" s="273"/>
      <c r="Y307" s="273"/>
      <c r="Z307" s="467"/>
      <c r="AA307" s="273"/>
      <c r="AB307" s="273"/>
      <c r="AC307" s="273"/>
      <c r="AD307" s="273"/>
    </row>
    <row r="308" spans="1:30" ht="14.25" customHeight="1">
      <c r="A308" s="273"/>
      <c r="B308" s="273"/>
      <c r="C308" s="273"/>
      <c r="D308" s="273"/>
      <c r="E308" s="274"/>
      <c r="F308" s="273"/>
      <c r="G308" s="273"/>
      <c r="H308" s="273"/>
      <c r="I308" s="273"/>
      <c r="J308" s="273"/>
      <c r="K308" s="273"/>
      <c r="L308" s="273"/>
      <c r="M308" s="273"/>
      <c r="N308" s="273"/>
      <c r="O308" s="273"/>
      <c r="P308" s="273"/>
      <c r="Q308" s="273"/>
      <c r="R308" s="273"/>
      <c r="S308" s="273"/>
      <c r="T308" s="273"/>
      <c r="U308" s="273"/>
      <c r="V308" s="273"/>
      <c r="W308" s="273"/>
      <c r="X308" s="273"/>
      <c r="Y308" s="273"/>
      <c r="Z308" s="467"/>
      <c r="AA308" s="273"/>
      <c r="AB308" s="273"/>
      <c r="AC308" s="273"/>
      <c r="AD308" s="273"/>
    </row>
    <row r="309" spans="1:30" ht="14.25" customHeight="1">
      <c r="A309" s="273"/>
      <c r="B309" s="273"/>
      <c r="C309" s="273"/>
      <c r="D309" s="273"/>
      <c r="E309" s="274"/>
      <c r="F309" s="273"/>
      <c r="G309" s="273"/>
      <c r="H309" s="273"/>
      <c r="I309" s="273"/>
      <c r="J309" s="273"/>
      <c r="K309" s="273"/>
      <c r="L309" s="273"/>
      <c r="M309" s="273"/>
      <c r="N309" s="273"/>
      <c r="O309" s="273"/>
      <c r="P309" s="273"/>
      <c r="Q309" s="273"/>
      <c r="R309" s="273"/>
      <c r="S309" s="273"/>
      <c r="T309" s="273"/>
      <c r="U309" s="273"/>
      <c r="V309" s="273"/>
      <c r="W309" s="273"/>
      <c r="X309" s="273"/>
      <c r="Y309" s="273"/>
      <c r="Z309" s="467"/>
      <c r="AA309" s="273"/>
      <c r="AB309" s="273"/>
      <c r="AC309" s="273"/>
      <c r="AD309" s="273"/>
    </row>
    <row r="310" spans="1:30" ht="14.25" customHeight="1">
      <c r="A310" s="273"/>
      <c r="B310" s="273"/>
      <c r="C310" s="273"/>
      <c r="D310" s="273"/>
      <c r="E310" s="274"/>
      <c r="F310" s="273"/>
      <c r="G310" s="273"/>
      <c r="H310" s="273"/>
      <c r="I310" s="273"/>
      <c r="J310" s="273"/>
      <c r="K310" s="273"/>
      <c r="L310" s="273"/>
      <c r="M310" s="273"/>
      <c r="N310" s="273"/>
      <c r="O310" s="273"/>
      <c r="P310" s="273"/>
      <c r="Q310" s="273"/>
      <c r="R310" s="273"/>
      <c r="S310" s="273"/>
      <c r="T310" s="273"/>
      <c r="U310" s="273"/>
      <c r="V310" s="273"/>
      <c r="W310" s="273"/>
      <c r="X310" s="273"/>
      <c r="Y310" s="273"/>
      <c r="Z310" s="467"/>
      <c r="AA310" s="273"/>
      <c r="AB310" s="273"/>
      <c r="AC310" s="273"/>
      <c r="AD310" s="273"/>
    </row>
    <row r="311" spans="1:30" ht="14.25" customHeight="1">
      <c r="A311" s="273"/>
      <c r="B311" s="273"/>
      <c r="C311" s="273"/>
      <c r="D311" s="273"/>
      <c r="E311" s="274"/>
      <c r="F311" s="273"/>
      <c r="G311" s="273"/>
      <c r="H311" s="273"/>
      <c r="I311" s="273"/>
      <c r="J311" s="273"/>
      <c r="K311" s="273"/>
      <c r="L311" s="273"/>
      <c r="M311" s="273"/>
      <c r="N311" s="273"/>
      <c r="O311" s="273"/>
      <c r="P311" s="273"/>
      <c r="Q311" s="273"/>
      <c r="R311" s="273"/>
      <c r="S311" s="273"/>
      <c r="T311" s="273"/>
      <c r="U311" s="273"/>
      <c r="V311" s="273"/>
      <c r="W311" s="273"/>
      <c r="X311" s="273"/>
      <c r="Y311" s="273"/>
      <c r="Z311" s="467"/>
      <c r="AA311" s="273"/>
      <c r="AB311" s="273"/>
      <c r="AC311" s="273"/>
      <c r="AD311" s="273"/>
    </row>
    <row r="312" spans="1:30" ht="14.25" customHeight="1">
      <c r="A312" s="273"/>
      <c r="B312" s="273"/>
      <c r="C312" s="273"/>
      <c r="D312" s="273"/>
      <c r="E312" s="274"/>
      <c r="F312" s="273"/>
      <c r="G312" s="273"/>
      <c r="H312" s="273"/>
      <c r="I312" s="273"/>
      <c r="J312" s="273"/>
      <c r="K312" s="273"/>
      <c r="L312" s="273"/>
      <c r="M312" s="273"/>
      <c r="N312" s="273"/>
      <c r="O312" s="273"/>
      <c r="P312" s="273"/>
      <c r="Q312" s="273"/>
      <c r="R312" s="273"/>
      <c r="S312" s="273"/>
      <c r="T312" s="273"/>
      <c r="U312" s="273"/>
      <c r="V312" s="273"/>
      <c r="W312" s="273"/>
      <c r="X312" s="273"/>
      <c r="Y312" s="273"/>
      <c r="Z312" s="467"/>
      <c r="AA312" s="273"/>
      <c r="AB312" s="273"/>
      <c r="AC312" s="273"/>
      <c r="AD312" s="273"/>
    </row>
    <row r="313" spans="1:30" ht="14.25" customHeight="1">
      <c r="A313" s="273"/>
      <c r="B313" s="273"/>
      <c r="C313" s="273"/>
      <c r="D313" s="273"/>
      <c r="E313" s="274"/>
      <c r="F313" s="273"/>
      <c r="G313" s="273"/>
      <c r="H313" s="273"/>
      <c r="I313" s="273"/>
      <c r="J313" s="273"/>
      <c r="K313" s="273"/>
      <c r="L313" s="273"/>
      <c r="M313" s="273"/>
      <c r="N313" s="273"/>
      <c r="O313" s="273"/>
      <c r="P313" s="273"/>
      <c r="Q313" s="273"/>
      <c r="R313" s="273"/>
      <c r="S313" s="273"/>
      <c r="T313" s="273"/>
      <c r="U313" s="273"/>
      <c r="V313" s="273"/>
      <c r="W313" s="273"/>
      <c r="X313" s="273"/>
      <c r="Y313" s="273"/>
      <c r="Z313" s="467"/>
      <c r="AA313" s="273"/>
      <c r="AB313" s="273"/>
      <c r="AC313" s="273"/>
      <c r="AD313" s="273"/>
    </row>
    <row r="314" spans="1:30" ht="14.25" customHeight="1">
      <c r="A314" s="273"/>
      <c r="B314" s="273"/>
      <c r="C314" s="273"/>
      <c r="D314" s="273"/>
      <c r="E314" s="274"/>
      <c r="F314" s="273"/>
      <c r="G314" s="273"/>
      <c r="H314" s="273"/>
      <c r="I314" s="273"/>
      <c r="J314" s="273"/>
      <c r="K314" s="273"/>
      <c r="L314" s="273"/>
      <c r="M314" s="273"/>
      <c r="N314" s="273"/>
      <c r="O314" s="273"/>
      <c r="P314" s="273"/>
      <c r="Q314" s="273"/>
      <c r="R314" s="273"/>
      <c r="S314" s="273"/>
      <c r="T314" s="273"/>
      <c r="U314" s="273"/>
      <c r="V314" s="273"/>
      <c r="W314" s="273"/>
      <c r="X314" s="273"/>
      <c r="Y314" s="273"/>
      <c r="Z314" s="467"/>
      <c r="AA314" s="273"/>
      <c r="AB314" s="273"/>
      <c r="AC314" s="273"/>
      <c r="AD314" s="273"/>
    </row>
    <row r="315" spans="1:30" ht="14.25" customHeight="1">
      <c r="A315" s="273"/>
      <c r="B315" s="273"/>
      <c r="C315" s="273"/>
      <c r="D315" s="273"/>
      <c r="E315" s="274"/>
      <c r="F315" s="273"/>
      <c r="G315" s="273"/>
      <c r="H315" s="273"/>
      <c r="I315" s="273"/>
      <c r="J315" s="273"/>
      <c r="K315" s="273"/>
      <c r="L315" s="273"/>
      <c r="M315" s="273"/>
      <c r="N315" s="273"/>
      <c r="O315" s="273"/>
      <c r="P315" s="273"/>
      <c r="Q315" s="273"/>
      <c r="R315" s="273"/>
      <c r="S315" s="273"/>
      <c r="T315" s="273"/>
      <c r="U315" s="273"/>
      <c r="V315" s="273"/>
      <c r="W315" s="273"/>
      <c r="X315" s="273"/>
      <c r="Y315" s="273"/>
      <c r="Z315" s="467"/>
      <c r="AA315" s="273"/>
      <c r="AB315" s="273"/>
      <c r="AC315" s="273"/>
      <c r="AD315" s="273"/>
    </row>
    <row r="316" spans="1:30" ht="14.25" customHeight="1">
      <c r="A316" s="273"/>
      <c r="B316" s="273"/>
      <c r="C316" s="273"/>
      <c r="D316" s="273"/>
      <c r="E316" s="274"/>
      <c r="F316" s="273"/>
      <c r="G316" s="273"/>
      <c r="H316" s="273"/>
      <c r="I316" s="273"/>
      <c r="J316" s="273"/>
      <c r="K316" s="273"/>
      <c r="L316" s="273"/>
      <c r="M316" s="273"/>
      <c r="N316" s="273"/>
      <c r="O316" s="273"/>
      <c r="P316" s="273"/>
      <c r="Q316" s="273"/>
      <c r="R316" s="273"/>
      <c r="S316" s="273"/>
      <c r="T316" s="273"/>
      <c r="U316" s="273"/>
      <c r="V316" s="273"/>
      <c r="W316" s="273"/>
      <c r="X316" s="273"/>
      <c r="Y316" s="273"/>
      <c r="Z316" s="467"/>
      <c r="AA316" s="273"/>
      <c r="AB316" s="273"/>
      <c r="AC316" s="273"/>
      <c r="AD316" s="273"/>
    </row>
    <row r="317" spans="1:30" ht="14.25" customHeight="1">
      <c r="A317" s="273"/>
      <c r="B317" s="273"/>
      <c r="C317" s="273"/>
      <c r="D317" s="273"/>
      <c r="E317" s="274"/>
      <c r="F317" s="273"/>
      <c r="G317" s="273"/>
      <c r="H317" s="273"/>
      <c r="I317" s="273"/>
      <c r="J317" s="273"/>
      <c r="K317" s="273"/>
      <c r="L317" s="273"/>
      <c r="M317" s="273"/>
      <c r="N317" s="273"/>
      <c r="O317" s="273"/>
      <c r="P317" s="273"/>
      <c r="Q317" s="273"/>
      <c r="R317" s="273"/>
      <c r="S317" s="273"/>
      <c r="T317" s="273"/>
      <c r="U317" s="273"/>
      <c r="V317" s="273"/>
      <c r="W317" s="273"/>
      <c r="X317" s="273"/>
      <c r="Y317" s="273"/>
      <c r="Z317" s="467"/>
      <c r="AA317" s="273"/>
      <c r="AB317" s="273"/>
      <c r="AC317" s="273"/>
      <c r="AD317" s="273"/>
    </row>
    <row r="318" spans="1:30" ht="14.25" customHeight="1">
      <c r="A318" s="273"/>
      <c r="B318" s="273"/>
      <c r="C318" s="273"/>
      <c r="D318" s="273"/>
      <c r="E318" s="274"/>
      <c r="F318" s="273"/>
      <c r="G318" s="273"/>
      <c r="H318" s="273"/>
      <c r="I318" s="273"/>
      <c r="J318" s="273"/>
      <c r="K318" s="273"/>
      <c r="L318" s="273"/>
      <c r="M318" s="273"/>
      <c r="N318" s="273"/>
      <c r="O318" s="273"/>
      <c r="P318" s="273"/>
      <c r="Q318" s="273"/>
      <c r="R318" s="273"/>
      <c r="S318" s="273"/>
      <c r="T318" s="273"/>
      <c r="U318" s="273"/>
      <c r="V318" s="273"/>
      <c r="W318" s="273"/>
      <c r="X318" s="273"/>
      <c r="Y318" s="273"/>
      <c r="Z318" s="467"/>
      <c r="AA318" s="273"/>
      <c r="AB318" s="273"/>
      <c r="AC318" s="273"/>
      <c r="AD318" s="273"/>
    </row>
    <row r="319" spans="1:30" ht="14.25" customHeight="1">
      <c r="A319" s="273"/>
      <c r="B319" s="273"/>
      <c r="C319" s="273"/>
      <c r="D319" s="273"/>
      <c r="E319" s="274"/>
      <c r="F319" s="273"/>
      <c r="G319" s="273"/>
      <c r="H319" s="273"/>
      <c r="I319" s="273"/>
      <c r="J319" s="273"/>
      <c r="K319" s="273"/>
      <c r="L319" s="273"/>
      <c r="M319" s="273"/>
      <c r="N319" s="273"/>
      <c r="O319" s="273"/>
      <c r="P319" s="273"/>
      <c r="Q319" s="273"/>
      <c r="R319" s="273"/>
      <c r="S319" s="273"/>
      <c r="T319" s="273"/>
      <c r="U319" s="273"/>
      <c r="V319" s="273"/>
      <c r="W319" s="273"/>
      <c r="X319" s="273"/>
      <c r="Y319" s="273"/>
      <c r="Z319" s="467"/>
      <c r="AA319" s="273"/>
      <c r="AB319" s="273"/>
      <c r="AC319" s="273"/>
      <c r="AD319" s="273"/>
    </row>
    <row r="320" spans="1:30" ht="14.25" customHeight="1">
      <c r="A320" s="273"/>
      <c r="B320" s="273"/>
      <c r="C320" s="273"/>
      <c r="D320" s="273"/>
      <c r="E320" s="274"/>
      <c r="F320" s="273"/>
      <c r="G320" s="273"/>
      <c r="H320" s="273"/>
      <c r="I320" s="273"/>
      <c r="J320" s="273"/>
      <c r="K320" s="273"/>
      <c r="L320" s="273"/>
      <c r="M320" s="273"/>
      <c r="N320" s="273"/>
      <c r="O320" s="273"/>
      <c r="P320" s="273"/>
      <c r="Q320" s="273"/>
      <c r="R320" s="273"/>
      <c r="S320" s="273"/>
      <c r="T320" s="273"/>
      <c r="U320" s="273"/>
      <c r="V320" s="273"/>
      <c r="W320" s="273"/>
      <c r="X320" s="273"/>
      <c r="Y320" s="273"/>
      <c r="Z320" s="467"/>
      <c r="AA320" s="273"/>
      <c r="AB320" s="273"/>
      <c r="AC320" s="273"/>
      <c r="AD320" s="273"/>
    </row>
    <row r="321" spans="1:30" ht="14.25" customHeight="1">
      <c r="A321" s="273"/>
      <c r="B321" s="273"/>
      <c r="C321" s="273"/>
      <c r="D321" s="273"/>
      <c r="E321" s="274"/>
      <c r="F321" s="273"/>
      <c r="G321" s="273"/>
      <c r="H321" s="273"/>
      <c r="I321" s="273"/>
      <c r="J321" s="273"/>
      <c r="K321" s="273"/>
      <c r="L321" s="273"/>
      <c r="M321" s="273"/>
      <c r="N321" s="273"/>
      <c r="O321" s="273"/>
      <c r="P321" s="273"/>
      <c r="Q321" s="273"/>
      <c r="R321" s="273"/>
      <c r="S321" s="273"/>
      <c r="T321" s="273"/>
      <c r="U321" s="273"/>
      <c r="V321" s="273"/>
      <c r="W321" s="273"/>
      <c r="X321" s="273"/>
      <c r="Y321" s="273"/>
      <c r="Z321" s="467"/>
      <c r="AA321" s="273"/>
      <c r="AB321" s="273"/>
      <c r="AC321" s="273"/>
      <c r="AD321" s="273"/>
    </row>
    <row r="322" spans="1:30" ht="14.25" customHeight="1">
      <c r="A322" s="273"/>
      <c r="B322" s="273"/>
      <c r="C322" s="273"/>
      <c r="D322" s="273"/>
      <c r="E322" s="274"/>
      <c r="F322" s="273"/>
      <c r="G322" s="273"/>
      <c r="H322" s="273"/>
      <c r="I322" s="273"/>
      <c r="J322" s="273"/>
      <c r="K322" s="273"/>
      <c r="L322" s="273"/>
      <c r="M322" s="273"/>
      <c r="N322" s="273"/>
      <c r="O322" s="273"/>
      <c r="P322" s="273"/>
      <c r="Q322" s="273"/>
      <c r="R322" s="273"/>
      <c r="S322" s="273"/>
      <c r="T322" s="273"/>
      <c r="U322" s="273"/>
      <c r="V322" s="273"/>
      <c r="W322" s="273"/>
      <c r="X322" s="273"/>
      <c r="Y322" s="273"/>
      <c r="Z322" s="467"/>
      <c r="AA322" s="273"/>
      <c r="AB322" s="273"/>
      <c r="AC322" s="273"/>
      <c r="AD322" s="273"/>
    </row>
    <row r="323" spans="1:30" ht="14.25" customHeight="1">
      <c r="A323" s="273"/>
      <c r="B323" s="273"/>
      <c r="C323" s="273"/>
      <c r="D323" s="273"/>
      <c r="E323" s="274"/>
      <c r="F323" s="273"/>
      <c r="G323" s="273"/>
      <c r="H323" s="273"/>
      <c r="I323" s="273"/>
      <c r="J323" s="273"/>
      <c r="K323" s="273"/>
      <c r="L323" s="273"/>
      <c r="M323" s="273"/>
      <c r="N323" s="273"/>
      <c r="O323" s="273"/>
      <c r="P323" s="273"/>
      <c r="Q323" s="273"/>
      <c r="R323" s="273"/>
      <c r="S323" s="273"/>
      <c r="T323" s="273"/>
      <c r="U323" s="273"/>
      <c r="V323" s="273"/>
      <c r="W323" s="273"/>
      <c r="X323" s="273"/>
      <c r="Y323" s="273"/>
      <c r="Z323" s="467"/>
      <c r="AA323" s="273"/>
      <c r="AB323" s="273"/>
      <c r="AC323" s="273"/>
      <c r="AD323" s="273"/>
    </row>
    <row r="324" spans="1:30" ht="14.25" customHeight="1">
      <c r="A324" s="273"/>
      <c r="B324" s="273"/>
      <c r="C324" s="273"/>
      <c r="D324" s="273"/>
      <c r="E324" s="274"/>
      <c r="F324" s="273"/>
      <c r="G324" s="273"/>
      <c r="H324" s="273"/>
      <c r="I324" s="273"/>
      <c r="J324" s="273"/>
      <c r="K324" s="273"/>
      <c r="L324" s="273"/>
      <c r="M324" s="273"/>
      <c r="N324" s="273"/>
      <c r="O324" s="273"/>
      <c r="P324" s="273"/>
      <c r="Q324" s="273"/>
      <c r="R324" s="273"/>
      <c r="S324" s="273"/>
      <c r="T324" s="273"/>
      <c r="U324" s="273"/>
      <c r="V324" s="273"/>
      <c r="W324" s="273"/>
      <c r="X324" s="273"/>
      <c r="Y324" s="273"/>
      <c r="Z324" s="467"/>
      <c r="AA324" s="273"/>
      <c r="AB324" s="273"/>
      <c r="AC324" s="273"/>
      <c r="AD324" s="273"/>
    </row>
    <row r="325" spans="1:30" ht="14.25" customHeight="1">
      <c r="A325" s="273"/>
      <c r="B325" s="273"/>
      <c r="C325" s="273"/>
      <c r="D325" s="273"/>
      <c r="E325" s="274"/>
      <c r="F325" s="273"/>
      <c r="G325" s="273"/>
      <c r="H325" s="273"/>
      <c r="I325" s="273"/>
      <c r="J325" s="273"/>
      <c r="K325" s="273"/>
      <c r="L325" s="273"/>
      <c r="M325" s="273"/>
      <c r="N325" s="273"/>
      <c r="O325" s="273"/>
      <c r="P325" s="273"/>
      <c r="Q325" s="273"/>
      <c r="R325" s="273"/>
      <c r="S325" s="273"/>
      <c r="T325" s="273"/>
      <c r="U325" s="273"/>
      <c r="V325" s="273"/>
      <c r="W325" s="273"/>
      <c r="X325" s="273"/>
      <c r="Y325" s="273"/>
      <c r="Z325" s="467"/>
      <c r="AA325" s="273"/>
      <c r="AB325" s="273"/>
      <c r="AC325" s="273"/>
      <c r="AD325" s="273"/>
    </row>
    <row r="326" spans="1:30" ht="14.25" customHeight="1">
      <c r="A326" s="273"/>
      <c r="B326" s="273"/>
      <c r="C326" s="273"/>
      <c r="D326" s="273"/>
      <c r="E326" s="274"/>
      <c r="F326" s="273"/>
      <c r="G326" s="273"/>
      <c r="H326" s="273"/>
      <c r="I326" s="273"/>
      <c r="J326" s="273"/>
      <c r="K326" s="273"/>
      <c r="L326" s="273"/>
      <c r="M326" s="273"/>
      <c r="N326" s="273"/>
      <c r="O326" s="273"/>
      <c r="P326" s="273"/>
      <c r="Q326" s="273"/>
      <c r="R326" s="273"/>
      <c r="S326" s="273"/>
      <c r="T326" s="273"/>
      <c r="U326" s="273"/>
      <c r="V326" s="273"/>
      <c r="W326" s="273"/>
      <c r="X326" s="273"/>
      <c r="Y326" s="273"/>
      <c r="Z326" s="467"/>
      <c r="AA326" s="273"/>
      <c r="AB326" s="273"/>
      <c r="AC326" s="273"/>
      <c r="AD326" s="273"/>
    </row>
    <row r="327" spans="1:30" ht="14.25" customHeight="1">
      <c r="A327" s="273"/>
      <c r="B327" s="273"/>
      <c r="C327" s="273"/>
      <c r="D327" s="273"/>
      <c r="E327" s="274"/>
      <c r="F327" s="273"/>
      <c r="G327" s="273"/>
      <c r="H327" s="273"/>
      <c r="I327" s="273"/>
      <c r="J327" s="273"/>
      <c r="K327" s="273"/>
      <c r="L327" s="273"/>
      <c r="M327" s="273"/>
      <c r="N327" s="273"/>
      <c r="O327" s="273"/>
      <c r="P327" s="273"/>
      <c r="Q327" s="273"/>
      <c r="R327" s="273"/>
      <c r="S327" s="273"/>
      <c r="T327" s="273"/>
      <c r="U327" s="273"/>
      <c r="V327" s="273"/>
      <c r="W327" s="273"/>
      <c r="X327" s="273"/>
      <c r="Y327" s="273"/>
      <c r="Z327" s="467"/>
      <c r="AA327" s="273"/>
      <c r="AB327" s="273"/>
      <c r="AC327" s="273"/>
      <c r="AD327" s="273"/>
    </row>
    <row r="328" spans="1:30" ht="14.25" customHeight="1">
      <c r="A328" s="273"/>
      <c r="B328" s="273"/>
      <c r="C328" s="273"/>
      <c r="D328" s="273"/>
      <c r="E328" s="274"/>
      <c r="F328" s="273"/>
      <c r="G328" s="273"/>
      <c r="H328" s="273"/>
      <c r="I328" s="273"/>
      <c r="J328" s="273"/>
      <c r="K328" s="273"/>
      <c r="L328" s="273"/>
      <c r="M328" s="273"/>
      <c r="N328" s="273"/>
      <c r="O328" s="273"/>
      <c r="P328" s="273"/>
      <c r="Q328" s="273"/>
      <c r="R328" s="273"/>
      <c r="S328" s="273"/>
      <c r="T328" s="273"/>
      <c r="U328" s="273"/>
      <c r="V328" s="273"/>
      <c r="W328" s="273"/>
      <c r="X328" s="273"/>
      <c r="Y328" s="273"/>
      <c r="Z328" s="467"/>
      <c r="AA328" s="273"/>
      <c r="AB328" s="273"/>
      <c r="AC328" s="273"/>
      <c r="AD328" s="273"/>
    </row>
    <row r="329" spans="1:30" ht="14.25" customHeight="1">
      <c r="A329" s="273"/>
      <c r="B329" s="273"/>
      <c r="C329" s="273"/>
      <c r="D329" s="273"/>
      <c r="E329" s="274"/>
      <c r="F329" s="273"/>
      <c r="G329" s="273"/>
      <c r="H329" s="273"/>
      <c r="I329" s="273"/>
      <c r="J329" s="273"/>
      <c r="K329" s="273"/>
      <c r="L329" s="273"/>
      <c r="M329" s="273"/>
      <c r="N329" s="273"/>
      <c r="O329" s="273"/>
      <c r="P329" s="273"/>
      <c r="Q329" s="273"/>
      <c r="R329" s="273"/>
      <c r="S329" s="273"/>
      <c r="T329" s="273"/>
      <c r="U329" s="273"/>
      <c r="V329" s="273"/>
      <c r="W329" s="273"/>
      <c r="X329" s="273"/>
      <c r="Y329" s="273"/>
      <c r="Z329" s="467"/>
      <c r="AA329" s="273"/>
      <c r="AB329" s="273"/>
      <c r="AC329" s="273"/>
      <c r="AD329" s="273"/>
    </row>
    <row r="330" spans="1:30" ht="14.25" customHeight="1">
      <c r="A330" s="273"/>
      <c r="B330" s="273"/>
      <c r="C330" s="273"/>
      <c r="D330" s="273"/>
      <c r="E330" s="274"/>
      <c r="F330" s="273"/>
      <c r="G330" s="273"/>
      <c r="H330" s="273"/>
      <c r="I330" s="273"/>
      <c r="J330" s="273"/>
      <c r="K330" s="273"/>
      <c r="L330" s="273"/>
      <c r="M330" s="273"/>
      <c r="N330" s="273"/>
      <c r="O330" s="273"/>
      <c r="P330" s="273"/>
      <c r="Q330" s="273"/>
      <c r="R330" s="273"/>
      <c r="S330" s="273"/>
      <c r="T330" s="273"/>
      <c r="U330" s="273"/>
      <c r="V330" s="273"/>
      <c r="W330" s="273"/>
      <c r="X330" s="273"/>
      <c r="Y330" s="273"/>
      <c r="Z330" s="467"/>
      <c r="AA330" s="273"/>
      <c r="AB330" s="273"/>
      <c r="AC330" s="273"/>
      <c r="AD330" s="273"/>
    </row>
    <row r="331" spans="1:30" ht="14.25" customHeight="1">
      <c r="A331" s="273"/>
      <c r="B331" s="273"/>
      <c r="C331" s="273"/>
      <c r="D331" s="273"/>
      <c r="E331" s="274"/>
      <c r="F331" s="273"/>
      <c r="G331" s="273"/>
      <c r="H331" s="273"/>
      <c r="I331" s="273"/>
      <c r="J331" s="273"/>
      <c r="K331" s="273"/>
      <c r="L331" s="273"/>
      <c r="M331" s="273"/>
      <c r="N331" s="273"/>
      <c r="O331" s="273"/>
      <c r="P331" s="273"/>
      <c r="Q331" s="273"/>
      <c r="R331" s="273"/>
      <c r="S331" s="273"/>
      <c r="T331" s="273"/>
      <c r="U331" s="273"/>
      <c r="V331" s="273"/>
      <c r="W331" s="273"/>
      <c r="X331" s="273"/>
      <c r="Y331" s="273"/>
      <c r="Z331" s="467"/>
      <c r="AA331" s="273"/>
      <c r="AB331" s="273"/>
      <c r="AC331" s="273"/>
      <c r="AD331" s="273"/>
    </row>
    <row r="332" spans="1:30" ht="14.25" customHeight="1">
      <c r="A332" s="273"/>
      <c r="B332" s="273"/>
      <c r="C332" s="273"/>
      <c r="D332" s="273"/>
      <c r="E332" s="274"/>
      <c r="F332" s="273"/>
      <c r="G332" s="273"/>
      <c r="H332" s="273"/>
      <c r="I332" s="273"/>
      <c r="J332" s="273"/>
      <c r="K332" s="273"/>
      <c r="L332" s="273"/>
      <c r="M332" s="273"/>
      <c r="N332" s="273"/>
      <c r="O332" s="273"/>
      <c r="P332" s="273"/>
      <c r="Q332" s="273"/>
      <c r="R332" s="273"/>
      <c r="S332" s="273"/>
      <c r="T332" s="273"/>
      <c r="U332" s="273"/>
      <c r="V332" s="273"/>
      <c r="W332" s="273"/>
      <c r="X332" s="273"/>
      <c r="Y332" s="273"/>
      <c r="Z332" s="467"/>
      <c r="AA332" s="273"/>
      <c r="AB332" s="273"/>
      <c r="AC332" s="273"/>
      <c r="AD332" s="273"/>
    </row>
    <row r="333" spans="1:30" ht="14.25" customHeight="1">
      <c r="A333" s="273"/>
      <c r="B333" s="273"/>
      <c r="C333" s="273"/>
      <c r="D333" s="273"/>
      <c r="E333" s="274"/>
      <c r="F333" s="273"/>
      <c r="G333" s="273"/>
      <c r="H333" s="273"/>
      <c r="I333" s="273"/>
      <c r="J333" s="273"/>
      <c r="K333" s="273"/>
      <c r="L333" s="273"/>
      <c r="M333" s="273"/>
      <c r="N333" s="273"/>
      <c r="O333" s="273"/>
      <c r="P333" s="273"/>
      <c r="Q333" s="273"/>
      <c r="R333" s="273"/>
      <c r="S333" s="273"/>
      <c r="T333" s="273"/>
      <c r="U333" s="273"/>
      <c r="V333" s="273"/>
      <c r="W333" s="273"/>
      <c r="X333" s="273"/>
      <c r="Y333" s="273"/>
      <c r="Z333" s="467"/>
      <c r="AA333" s="273"/>
      <c r="AB333" s="273"/>
      <c r="AC333" s="273"/>
      <c r="AD333" s="273"/>
    </row>
    <row r="334" spans="1:30" ht="14.25" customHeight="1">
      <c r="A334" s="273"/>
      <c r="B334" s="273"/>
      <c r="C334" s="273"/>
      <c r="D334" s="273"/>
      <c r="E334" s="274"/>
      <c r="F334" s="273"/>
      <c r="G334" s="273"/>
      <c r="H334" s="273"/>
      <c r="I334" s="273"/>
      <c r="J334" s="273"/>
      <c r="K334" s="273"/>
      <c r="L334" s="273"/>
      <c r="M334" s="273"/>
      <c r="N334" s="273"/>
      <c r="O334" s="273"/>
      <c r="P334" s="273"/>
      <c r="Q334" s="273"/>
      <c r="R334" s="273"/>
      <c r="S334" s="273"/>
      <c r="T334" s="273"/>
      <c r="U334" s="273"/>
      <c r="V334" s="273"/>
      <c r="W334" s="273"/>
      <c r="X334" s="273"/>
      <c r="Y334" s="273"/>
      <c r="Z334" s="467"/>
      <c r="AA334" s="273"/>
      <c r="AB334" s="273"/>
      <c r="AC334" s="273"/>
      <c r="AD334" s="273"/>
    </row>
    <row r="335" spans="1:30" ht="14.25" customHeight="1">
      <c r="A335" s="273"/>
      <c r="B335" s="273"/>
      <c r="C335" s="273"/>
      <c r="D335" s="273"/>
      <c r="E335" s="274"/>
      <c r="F335" s="273"/>
      <c r="G335" s="273"/>
      <c r="H335" s="273"/>
      <c r="I335" s="273"/>
      <c r="J335" s="273"/>
      <c r="K335" s="273"/>
      <c r="L335" s="273"/>
      <c r="M335" s="273"/>
      <c r="N335" s="273"/>
      <c r="O335" s="273"/>
      <c r="P335" s="273"/>
      <c r="Q335" s="273"/>
      <c r="R335" s="273"/>
      <c r="S335" s="273"/>
      <c r="T335" s="273"/>
      <c r="U335" s="273"/>
      <c r="V335" s="273"/>
      <c r="W335" s="273"/>
      <c r="X335" s="273"/>
      <c r="Y335" s="273"/>
      <c r="Z335" s="467"/>
      <c r="AA335" s="273"/>
      <c r="AB335" s="273"/>
      <c r="AC335" s="273"/>
      <c r="AD335" s="273"/>
    </row>
    <row r="336" spans="1:30" ht="14.25" customHeight="1">
      <c r="A336" s="273"/>
      <c r="B336" s="273"/>
      <c r="C336" s="273"/>
      <c r="D336" s="273"/>
      <c r="E336" s="274"/>
      <c r="F336" s="273"/>
      <c r="G336" s="273"/>
      <c r="H336" s="273"/>
      <c r="I336" s="273"/>
      <c r="J336" s="273"/>
      <c r="K336" s="273"/>
      <c r="L336" s="273"/>
      <c r="M336" s="273"/>
      <c r="N336" s="273"/>
      <c r="O336" s="273"/>
      <c r="P336" s="273"/>
      <c r="Q336" s="273"/>
      <c r="R336" s="273"/>
      <c r="S336" s="273"/>
      <c r="T336" s="273"/>
      <c r="U336" s="273"/>
      <c r="V336" s="273"/>
      <c r="W336" s="273"/>
      <c r="X336" s="273"/>
      <c r="Y336" s="273"/>
      <c r="Z336" s="467"/>
      <c r="AA336" s="273"/>
      <c r="AB336" s="273"/>
      <c r="AC336" s="273"/>
      <c r="AD336" s="273"/>
    </row>
    <row r="337" spans="1:30" ht="14.25" customHeight="1">
      <c r="A337" s="273"/>
      <c r="B337" s="273"/>
      <c r="C337" s="273"/>
      <c r="D337" s="273"/>
      <c r="E337" s="274"/>
      <c r="F337" s="273"/>
      <c r="G337" s="273"/>
      <c r="H337" s="273"/>
      <c r="I337" s="273"/>
      <c r="J337" s="273"/>
      <c r="K337" s="273"/>
      <c r="L337" s="273"/>
      <c r="M337" s="273"/>
      <c r="N337" s="273"/>
      <c r="O337" s="273"/>
      <c r="P337" s="273"/>
      <c r="Q337" s="273"/>
      <c r="R337" s="273"/>
      <c r="S337" s="273"/>
      <c r="T337" s="273"/>
      <c r="U337" s="273"/>
      <c r="V337" s="273"/>
      <c r="W337" s="273"/>
      <c r="X337" s="273"/>
      <c r="Y337" s="273"/>
      <c r="Z337" s="467"/>
      <c r="AA337" s="273"/>
      <c r="AB337" s="273"/>
      <c r="AC337" s="273"/>
      <c r="AD337" s="273"/>
    </row>
    <row r="338" spans="1:30" ht="14.25" customHeight="1">
      <c r="A338" s="273"/>
      <c r="B338" s="273"/>
      <c r="C338" s="273"/>
      <c r="D338" s="273"/>
      <c r="E338" s="274"/>
      <c r="F338" s="273"/>
      <c r="G338" s="273"/>
      <c r="H338" s="273"/>
      <c r="I338" s="273"/>
      <c r="J338" s="273"/>
      <c r="K338" s="273"/>
      <c r="L338" s="273"/>
      <c r="M338" s="273"/>
      <c r="N338" s="273"/>
      <c r="O338" s="273"/>
      <c r="P338" s="273"/>
      <c r="Q338" s="273"/>
      <c r="R338" s="273"/>
      <c r="S338" s="273"/>
      <c r="T338" s="273"/>
      <c r="U338" s="273"/>
      <c r="V338" s="273"/>
      <c r="W338" s="273"/>
      <c r="X338" s="273"/>
      <c r="Y338" s="273"/>
      <c r="Z338" s="467"/>
      <c r="AA338" s="273"/>
      <c r="AB338" s="273"/>
      <c r="AC338" s="273"/>
      <c r="AD338" s="273"/>
    </row>
    <row r="339" spans="1:30" ht="14.25" customHeight="1">
      <c r="A339" s="273"/>
      <c r="B339" s="273"/>
      <c r="C339" s="273"/>
      <c r="D339" s="273"/>
      <c r="E339" s="274"/>
      <c r="F339" s="273"/>
      <c r="G339" s="273"/>
      <c r="H339" s="273"/>
      <c r="I339" s="273"/>
      <c r="J339" s="273"/>
      <c r="K339" s="273"/>
      <c r="L339" s="273"/>
      <c r="M339" s="273"/>
      <c r="N339" s="273"/>
      <c r="O339" s="273"/>
      <c r="P339" s="273"/>
      <c r="Q339" s="273"/>
      <c r="R339" s="273"/>
      <c r="S339" s="273"/>
      <c r="T339" s="273"/>
      <c r="U339" s="273"/>
      <c r="V339" s="273"/>
      <c r="W339" s="273"/>
      <c r="X339" s="273"/>
      <c r="Y339" s="273"/>
      <c r="Z339" s="467"/>
      <c r="AA339" s="273"/>
      <c r="AB339" s="273"/>
      <c r="AC339" s="273"/>
      <c r="AD339" s="273"/>
    </row>
    <row r="340" spans="1:30" ht="14.25" customHeight="1">
      <c r="A340" s="273"/>
      <c r="B340" s="273"/>
      <c r="C340" s="273"/>
      <c r="D340" s="273"/>
      <c r="E340" s="274"/>
      <c r="F340" s="273"/>
      <c r="G340" s="273"/>
      <c r="H340" s="273"/>
      <c r="I340" s="273"/>
      <c r="J340" s="273"/>
      <c r="K340" s="273"/>
      <c r="L340" s="273"/>
      <c r="M340" s="273"/>
      <c r="N340" s="273"/>
      <c r="O340" s="273"/>
      <c r="P340" s="273"/>
      <c r="Q340" s="273"/>
      <c r="R340" s="273"/>
      <c r="S340" s="273"/>
      <c r="T340" s="273"/>
      <c r="U340" s="273"/>
      <c r="V340" s="273"/>
      <c r="W340" s="273"/>
      <c r="X340" s="273"/>
      <c r="Y340" s="273"/>
      <c r="Z340" s="467"/>
      <c r="AA340" s="273"/>
      <c r="AB340" s="273"/>
      <c r="AC340" s="273"/>
      <c r="AD340" s="273"/>
    </row>
    <row r="341" spans="1:30" ht="14.25" customHeight="1">
      <c r="A341" s="273"/>
      <c r="B341" s="273"/>
      <c r="C341" s="273"/>
      <c r="D341" s="273"/>
      <c r="E341" s="274"/>
      <c r="F341" s="273"/>
      <c r="G341" s="273"/>
      <c r="H341" s="273"/>
      <c r="I341" s="273"/>
      <c r="J341" s="273"/>
      <c r="K341" s="273"/>
      <c r="L341" s="273"/>
      <c r="M341" s="273"/>
      <c r="N341" s="273"/>
      <c r="O341" s="273"/>
      <c r="P341" s="273"/>
      <c r="Q341" s="273"/>
      <c r="R341" s="273"/>
      <c r="S341" s="273"/>
      <c r="T341" s="273"/>
      <c r="U341" s="273"/>
      <c r="V341" s="273"/>
      <c r="W341" s="273"/>
      <c r="X341" s="273"/>
      <c r="Y341" s="273"/>
      <c r="Z341" s="467"/>
      <c r="AA341" s="273"/>
      <c r="AB341" s="273"/>
      <c r="AC341" s="273"/>
      <c r="AD341" s="273"/>
    </row>
    <row r="342" spans="1:30" ht="14.25" customHeight="1">
      <c r="A342" s="273"/>
      <c r="B342" s="273"/>
      <c r="C342" s="273"/>
      <c r="D342" s="273"/>
      <c r="E342" s="274"/>
      <c r="F342" s="273"/>
      <c r="G342" s="273"/>
      <c r="H342" s="273"/>
      <c r="I342" s="273"/>
      <c r="J342" s="273"/>
      <c r="K342" s="273"/>
      <c r="L342" s="273"/>
      <c r="M342" s="273"/>
      <c r="N342" s="273"/>
      <c r="O342" s="273"/>
      <c r="P342" s="273"/>
      <c r="Q342" s="273"/>
      <c r="R342" s="273"/>
      <c r="S342" s="273"/>
      <c r="T342" s="273"/>
      <c r="U342" s="273"/>
      <c r="V342" s="273"/>
      <c r="W342" s="273"/>
      <c r="X342" s="273"/>
      <c r="Y342" s="273"/>
      <c r="Z342" s="467"/>
      <c r="AA342" s="273"/>
      <c r="AB342" s="273"/>
      <c r="AC342" s="273"/>
      <c r="AD342" s="273"/>
    </row>
    <row r="343" spans="1:30" ht="14.25" customHeight="1">
      <c r="A343" s="273"/>
      <c r="B343" s="273"/>
      <c r="C343" s="273"/>
      <c r="D343" s="273"/>
      <c r="E343" s="274"/>
      <c r="F343" s="273"/>
      <c r="G343" s="273"/>
      <c r="H343" s="273"/>
      <c r="I343" s="273"/>
      <c r="J343" s="273"/>
      <c r="K343" s="273"/>
      <c r="L343" s="273"/>
      <c r="M343" s="273"/>
      <c r="N343" s="273"/>
      <c r="O343" s="273"/>
      <c r="P343" s="273"/>
      <c r="Q343" s="273"/>
      <c r="R343" s="273"/>
      <c r="S343" s="273"/>
      <c r="T343" s="273"/>
      <c r="U343" s="273"/>
      <c r="V343" s="273"/>
      <c r="W343" s="273"/>
      <c r="X343" s="273"/>
      <c r="Y343" s="273"/>
      <c r="Z343" s="467"/>
      <c r="AA343" s="273"/>
      <c r="AB343" s="273"/>
      <c r="AC343" s="273"/>
      <c r="AD343" s="273"/>
    </row>
    <row r="344" spans="1:30" ht="14.25" customHeight="1">
      <c r="A344" s="273"/>
      <c r="B344" s="273"/>
      <c r="C344" s="273"/>
      <c r="D344" s="273"/>
      <c r="E344" s="274"/>
      <c r="F344" s="273"/>
      <c r="G344" s="273"/>
      <c r="H344" s="273"/>
      <c r="I344" s="273"/>
      <c r="J344" s="273"/>
      <c r="K344" s="273"/>
      <c r="L344" s="273"/>
      <c r="M344" s="273"/>
      <c r="N344" s="273"/>
      <c r="O344" s="273"/>
      <c r="P344" s="273"/>
      <c r="Q344" s="273"/>
      <c r="R344" s="273"/>
      <c r="S344" s="273"/>
      <c r="T344" s="273"/>
      <c r="U344" s="273"/>
      <c r="V344" s="273"/>
      <c r="W344" s="273"/>
      <c r="X344" s="273"/>
      <c r="Y344" s="273"/>
      <c r="Z344" s="467"/>
      <c r="AA344" s="273"/>
      <c r="AB344" s="273"/>
      <c r="AC344" s="273"/>
      <c r="AD344" s="273"/>
    </row>
    <row r="345" spans="1:30" ht="14.25" customHeight="1">
      <c r="A345" s="273"/>
      <c r="B345" s="273"/>
      <c r="C345" s="273"/>
      <c r="D345" s="273"/>
      <c r="E345" s="274"/>
      <c r="F345" s="273"/>
      <c r="G345" s="273"/>
      <c r="H345" s="273"/>
      <c r="I345" s="273"/>
      <c r="J345" s="273"/>
      <c r="K345" s="273"/>
      <c r="L345" s="273"/>
      <c r="M345" s="273"/>
      <c r="N345" s="273"/>
      <c r="O345" s="273"/>
      <c r="P345" s="273"/>
      <c r="Q345" s="273"/>
      <c r="R345" s="273"/>
      <c r="S345" s="273"/>
      <c r="T345" s="273"/>
      <c r="U345" s="273"/>
      <c r="V345" s="273"/>
      <c r="W345" s="273"/>
      <c r="X345" s="273"/>
      <c r="Y345" s="273"/>
      <c r="Z345" s="467"/>
      <c r="AA345" s="273"/>
      <c r="AB345" s="273"/>
      <c r="AC345" s="273"/>
      <c r="AD345" s="273"/>
    </row>
    <row r="346" spans="1:30" ht="14.25" customHeight="1">
      <c r="A346" s="273"/>
      <c r="B346" s="273"/>
      <c r="C346" s="273"/>
      <c r="D346" s="273"/>
      <c r="E346" s="274"/>
      <c r="F346" s="273"/>
      <c r="G346" s="273"/>
      <c r="H346" s="273"/>
      <c r="I346" s="273"/>
      <c r="J346" s="273"/>
      <c r="K346" s="273"/>
      <c r="L346" s="273"/>
      <c r="M346" s="273"/>
      <c r="N346" s="273"/>
      <c r="O346" s="273"/>
      <c r="P346" s="273"/>
      <c r="Q346" s="273"/>
      <c r="R346" s="273"/>
      <c r="S346" s="273"/>
      <c r="T346" s="273"/>
      <c r="U346" s="273"/>
      <c r="V346" s="273"/>
      <c r="W346" s="273"/>
      <c r="X346" s="273"/>
      <c r="Y346" s="273"/>
      <c r="Z346" s="467"/>
      <c r="AA346" s="273"/>
      <c r="AB346" s="273"/>
      <c r="AC346" s="273"/>
      <c r="AD346" s="273"/>
    </row>
    <row r="347" spans="1:30" ht="14.25" customHeight="1">
      <c r="A347" s="273"/>
      <c r="B347" s="273"/>
      <c r="C347" s="273"/>
      <c r="D347" s="273"/>
      <c r="E347" s="274"/>
      <c r="F347" s="273"/>
      <c r="G347" s="273"/>
      <c r="H347" s="273"/>
      <c r="I347" s="273"/>
      <c r="J347" s="273"/>
      <c r="K347" s="273"/>
      <c r="L347" s="273"/>
      <c r="M347" s="273"/>
      <c r="N347" s="273"/>
      <c r="O347" s="273"/>
      <c r="P347" s="273"/>
      <c r="Q347" s="273"/>
      <c r="R347" s="273"/>
      <c r="S347" s="273"/>
      <c r="T347" s="273"/>
      <c r="U347" s="273"/>
      <c r="V347" s="273"/>
      <c r="W347" s="273"/>
      <c r="X347" s="273"/>
      <c r="Y347" s="273"/>
      <c r="Z347" s="467"/>
      <c r="AA347" s="273"/>
      <c r="AB347" s="273"/>
      <c r="AC347" s="273"/>
      <c r="AD347" s="273"/>
    </row>
    <row r="348" spans="1:30" ht="14.25" customHeight="1">
      <c r="A348" s="273"/>
      <c r="B348" s="273"/>
      <c r="C348" s="273"/>
      <c r="D348" s="273"/>
      <c r="E348" s="274"/>
      <c r="F348" s="273"/>
      <c r="G348" s="273"/>
      <c r="H348" s="273"/>
      <c r="I348" s="273"/>
      <c r="J348" s="273"/>
      <c r="K348" s="273"/>
      <c r="L348" s="273"/>
      <c r="M348" s="273"/>
      <c r="N348" s="273"/>
      <c r="O348" s="273"/>
      <c r="P348" s="273"/>
      <c r="Q348" s="273"/>
      <c r="R348" s="273"/>
      <c r="S348" s="273"/>
      <c r="T348" s="273"/>
      <c r="U348" s="273"/>
      <c r="V348" s="273"/>
      <c r="W348" s="273"/>
      <c r="X348" s="273"/>
      <c r="Y348" s="273"/>
      <c r="Z348" s="467"/>
      <c r="AA348" s="273"/>
      <c r="AB348" s="273"/>
      <c r="AC348" s="273"/>
      <c r="AD348" s="273"/>
    </row>
    <row r="349" spans="1:30" ht="14.25" customHeight="1">
      <c r="A349" s="273"/>
      <c r="B349" s="273"/>
      <c r="C349" s="273"/>
      <c r="D349" s="273"/>
      <c r="E349" s="274"/>
      <c r="F349" s="273"/>
      <c r="G349" s="273"/>
      <c r="H349" s="273"/>
      <c r="I349" s="273"/>
      <c r="J349" s="273"/>
      <c r="K349" s="273"/>
      <c r="L349" s="273"/>
      <c r="M349" s="273"/>
      <c r="N349" s="273"/>
      <c r="O349" s="273"/>
      <c r="P349" s="273"/>
      <c r="Q349" s="273"/>
      <c r="R349" s="273"/>
      <c r="S349" s="273"/>
      <c r="T349" s="273"/>
      <c r="U349" s="273"/>
      <c r="V349" s="273"/>
      <c r="W349" s="273"/>
      <c r="X349" s="273"/>
      <c r="Y349" s="273"/>
      <c r="Z349" s="467"/>
      <c r="AA349" s="273"/>
      <c r="AB349" s="273"/>
      <c r="AC349" s="273"/>
      <c r="AD349" s="273"/>
    </row>
    <row r="350" spans="1:30" ht="14.25" customHeight="1">
      <c r="A350" s="273"/>
      <c r="B350" s="273"/>
      <c r="C350" s="273"/>
      <c r="D350" s="273"/>
      <c r="E350" s="274"/>
      <c r="F350" s="273"/>
      <c r="G350" s="273"/>
      <c r="H350" s="273"/>
      <c r="I350" s="273"/>
      <c r="J350" s="273"/>
      <c r="K350" s="273"/>
      <c r="L350" s="273"/>
      <c r="M350" s="273"/>
      <c r="N350" s="273"/>
      <c r="O350" s="273"/>
      <c r="P350" s="273"/>
      <c r="Q350" s="273"/>
      <c r="R350" s="273"/>
      <c r="S350" s="273"/>
      <c r="T350" s="273"/>
      <c r="U350" s="273"/>
      <c r="V350" s="273"/>
      <c r="W350" s="273"/>
      <c r="X350" s="273"/>
      <c r="Y350" s="273"/>
      <c r="Z350" s="467"/>
      <c r="AA350" s="273"/>
      <c r="AB350" s="273"/>
      <c r="AC350" s="273"/>
      <c r="AD350" s="273"/>
    </row>
    <row r="351" spans="1:30" ht="14.25" customHeight="1">
      <c r="A351" s="273"/>
      <c r="B351" s="273"/>
      <c r="C351" s="273"/>
      <c r="D351" s="273"/>
      <c r="E351" s="274"/>
      <c r="F351" s="273"/>
      <c r="G351" s="273"/>
      <c r="H351" s="273"/>
      <c r="I351" s="273"/>
      <c r="J351" s="273"/>
      <c r="K351" s="273"/>
      <c r="L351" s="273"/>
      <c r="M351" s="273"/>
      <c r="N351" s="273"/>
      <c r="O351" s="273"/>
      <c r="P351" s="273"/>
      <c r="Q351" s="273"/>
      <c r="R351" s="273"/>
      <c r="S351" s="273"/>
      <c r="T351" s="273"/>
      <c r="U351" s="273"/>
      <c r="V351" s="273"/>
      <c r="W351" s="273"/>
      <c r="X351" s="273"/>
      <c r="Y351" s="273"/>
      <c r="Z351" s="467"/>
      <c r="AA351" s="273"/>
      <c r="AB351" s="273"/>
      <c r="AC351" s="273"/>
      <c r="AD351" s="273"/>
    </row>
    <row r="352" spans="1:30" ht="14.25" customHeight="1">
      <c r="A352" s="273"/>
      <c r="B352" s="273"/>
      <c r="C352" s="273"/>
      <c r="D352" s="273"/>
      <c r="E352" s="274"/>
      <c r="F352" s="273"/>
      <c r="G352" s="273"/>
      <c r="H352" s="273"/>
      <c r="I352" s="273"/>
      <c r="J352" s="273"/>
      <c r="K352" s="273"/>
      <c r="L352" s="273"/>
      <c r="M352" s="273"/>
      <c r="N352" s="273"/>
      <c r="O352" s="273"/>
      <c r="P352" s="273"/>
      <c r="Q352" s="273"/>
      <c r="R352" s="273"/>
      <c r="S352" s="273"/>
      <c r="T352" s="273"/>
      <c r="U352" s="273"/>
      <c r="V352" s="273"/>
      <c r="W352" s="273"/>
      <c r="X352" s="273"/>
      <c r="Y352" s="273"/>
      <c r="Z352" s="467"/>
      <c r="AA352" s="273"/>
      <c r="AB352" s="273"/>
      <c r="AC352" s="273"/>
      <c r="AD352" s="273"/>
    </row>
    <row r="353" spans="1:30" ht="14.25" customHeight="1">
      <c r="A353" s="273"/>
      <c r="B353" s="273"/>
      <c r="C353" s="273"/>
      <c r="D353" s="273"/>
      <c r="E353" s="274"/>
      <c r="F353" s="273"/>
      <c r="G353" s="273"/>
      <c r="H353" s="273"/>
      <c r="I353" s="273"/>
      <c r="J353" s="273"/>
      <c r="K353" s="273"/>
      <c r="L353" s="273"/>
      <c r="M353" s="273"/>
      <c r="N353" s="273"/>
      <c r="O353" s="273"/>
      <c r="P353" s="273"/>
      <c r="Q353" s="273"/>
      <c r="R353" s="273"/>
      <c r="S353" s="273"/>
      <c r="T353" s="273"/>
      <c r="U353" s="273"/>
      <c r="V353" s="273"/>
      <c r="W353" s="273"/>
      <c r="X353" s="273"/>
      <c r="Y353" s="273"/>
      <c r="Z353" s="467"/>
      <c r="AA353" s="273"/>
      <c r="AB353" s="273"/>
      <c r="AC353" s="273"/>
      <c r="AD353" s="273"/>
    </row>
    <row r="354" spans="1:30" ht="14.25" customHeight="1">
      <c r="A354" s="273"/>
      <c r="B354" s="273"/>
      <c r="C354" s="273"/>
      <c r="D354" s="273"/>
      <c r="E354" s="274"/>
      <c r="F354" s="273"/>
      <c r="G354" s="273"/>
      <c r="H354" s="273"/>
      <c r="I354" s="273"/>
      <c r="J354" s="273"/>
      <c r="K354" s="273"/>
      <c r="L354" s="273"/>
      <c r="M354" s="273"/>
      <c r="N354" s="273"/>
      <c r="O354" s="273"/>
      <c r="P354" s="273"/>
      <c r="Q354" s="273"/>
      <c r="R354" s="273"/>
      <c r="S354" s="273"/>
      <c r="T354" s="273"/>
      <c r="U354" s="273"/>
      <c r="V354" s="273"/>
      <c r="W354" s="273"/>
      <c r="X354" s="273"/>
      <c r="Y354" s="273"/>
      <c r="Z354" s="467"/>
      <c r="AA354" s="273"/>
      <c r="AB354" s="273"/>
      <c r="AC354" s="273"/>
      <c r="AD354" s="273"/>
    </row>
    <row r="355" spans="1:30" ht="14.25" customHeight="1">
      <c r="A355" s="273"/>
      <c r="B355" s="273"/>
      <c r="C355" s="273"/>
      <c r="D355" s="273"/>
      <c r="E355" s="274"/>
      <c r="F355" s="273"/>
      <c r="G355" s="273"/>
      <c r="H355" s="273"/>
      <c r="I355" s="273"/>
      <c r="J355" s="273"/>
      <c r="K355" s="273"/>
      <c r="L355" s="273"/>
      <c r="M355" s="273"/>
      <c r="N355" s="273"/>
      <c r="O355" s="273"/>
      <c r="P355" s="273"/>
      <c r="Q355" s="273"/>
      <c r="R355" s="273"/>
      <c r="S355" s="273"/>
      <c r="T355" s="273"/>
      <c r="U355" s="273"/>
      <c r="V355" s="273"/>
      <c r="W355" s="273"/>
      <c r="X355" s="273"/>
      <c r="Y355" s="273"/>
      <c r="Z355" s="467"/>
      <c r="AA355" s="273"/>
      <c r="AB355" s="273"/>
      <c r="AC355" s="273"/>
      <c r="AD355" s="273"/>
    </row>
    <row r="356" spans="1:30" ht="14.25" customHeight="1">
      <c r="A356" s="273"/>
      <c r="B356" s="273"/>
      <c r="C356" s="273"/>
      <c r="D356" s="273"/>
      <c r="E356" s="274"/>
      <c r="F356" s="273"/>
      <c r="G356" s="273"/>
      <c r="H356" s="273"/>
      <c r="I356" s="273"/>
      <c r="J356" s="273"/>
      <c r="K356" s="273"/>
      <c r="L356" s="273"/>
      <c r="M356" s="273"/>
      <c r="N356" s="273"/>
      <c r="O356" s="273"/>
      <c r="P356" s="273"/>
      <c r="Q356" s="273"/>
      <c r="R356" s="273"/>
      <c r="S356" s="273"/>
      <c r="T356" s="273"/>
      <c r="U356" s="273"/>
      <c r="V356" s="273"/>
      <c r="W356" s="273"/>
      <c r="X356" s="273"/>
      <c r="Y356" s="273"/>
      <c r="Z356" s="467"/>
      <c r="AA356" s="273"/>
      <c r="AB356" s="273"/>
      <c r="AC356" s="273"/>
      <c r="AD356" s="273"/>
    </row>
    <row r="357" spans="1:30" ht="14.25" customHeight="1">
      <c r="A357" s="273"/>
      <c r="B357" s="273"/>
      <c r="C357" s="273"/>
      <c r="D357" s="273"/>
      <c r="E357" s="274"/>
      <c r="F357" s="273"/>
      <c r="G357" s="273"/>
      <c r="H357" s="273"/>
      <c r="I357" s="273"/>
      <c r="J357" s="273"/>
      <c r="K357" s="273"/>
      <c r="L357" s="273"/>
      <c r="M357" s="273"/>
      <c r="N357" s="273"/>
      <c r="O357" s="273"/>
      <c r="P357" s="273"/>
      <c r="Q357" s="273"/>
      <c r="R357" s="273"/>
      <c r="S357" s="273"/>
      <c r="T357" s="273"/>
      <c r="U357" s="273"/>
      <c r="V357" s="273"/>
      <c r="W357" s="273"/>
      <c r="X357" s="273"/>
      <c r="Y357" s="273"/>
      <c r="Z357" s="467"/>
      <c r="AA357" s="273"/>
      <c r="AB357" s="273"/>
      <c r="AC357" s="273"/>
      <c r="AD357" s="273"/>
    </row>
    <row r="358" spans="1:30" ht="14.25" customHeight="1">
      <c r="A358" s="273"/>
      <c r="B358" s="273"/>
      <c r="C358" s="273"/>
      <c r="D358" s="273"/>
      <c r="E358" s="274"/>
      <c r="F358" s="273"/>
      <c r="G358" s="273"/>
      <c r="H358" s="273"/>
      <c r="I358" s="273"/>
      <c r="J358" s="273"/>
      <c r="K358" s="273"/>
      <c r="L358" s="273"/>
      <c r="M358" s="273"/>
      <c r="N358" s="273"/>
      <c r="O358" s="273"/>
      <c r="P358" s="273"/>
      <c r="Q358" s="273"/>
      <c r="R358" s="273"/>
      <c r="S358" s="273"/>
      <c r="T358" s="273"/>
      <c r="U358" s="273"/>
      <c r="V358" s="273"/>
      <c r="W358" s="273"/>
      <c r="X358" s="273"/>
      <c r="Y358" s="273"/>
      <c r="Z358" s="467"/>
      <c r="AA358" s="273"/>
      <c r="AB358" s="273"/>
      <c r="AC358" s="273"/>
      <c r="AD358" s="273"/>
    </row>
    <row r="359" spans="1:30" ht="14.25" customHeight="1">
      <c r="A359" s="273"/>
      <c r="B359" s="273"/>
      <c r="C359" s="273"/>
      <c r="D359" s="273"/>
      <c r="E359" s="274"/>
      <c r="F359" s="273"/>
      <c r="G359" s="273"/>
      <c r="H359" s="273"/>
      <c r="I359" s="273"/>
      <c r="J359" s="273"/>
      <c r="K359" s="273"/>
      <c r="L359" s="273"/>
      <c r="M359" s="273"/>
      <c r="N359" s="273"/>
      <c r="O359" s="273"/>
      <c r="P359" s="273"/>
      <c r="Q359" s="273"/>
      <c r="R359" s="273"/>
      <c r="S359" s="273"/>
      <c r="T359" s="273"/>
      <c r="U359" s="273"/>
      <c r="V359" s="273"/>
      <c r="W359" s="273"/>
      <c r="X359" s="273"/>
      <c r="Y359" s="273"/>
      <c r="Z359" s="467"/>
      <c r="AA359" s="273"/>
      <c r="AB359" s="273"/>
      <c r="AC359" s="273"/>
      <c r="AD359" s="273"/>
    </row>
    <row r="360" spans="1:30" ht="14.25" customHeight="1">
      <c r="A360" s="273"/>
      <c r="B360" s="273"/>
      <c r="C360" s="273"/>
      <c r="D360" s="273"/>
      <c r="E360" s="274"/>
      <c r="F360" s="273"/>
      <c r="G360" s="273"/>
      <c r="H360" s="273"/>
      <c r="I360" s="273"/>
      <c r="J360" s="273"/>
      <c r="K360" s="273"/>
      <c r="L360" s="273"/>
      <c r="M360" s="273"/>
      <c r="N360" s="273"/>
      <c r="O360" s="273"/>
      <c r="P360" s="273"/>
      <c r="Q360" s="273"/>
      <c r="R360" s="273"/>
      <c r="S360" s="273"/>
      <c r="T360" s="273"/>
      <c r="U360" s="273"/>
      <c r="V360" s="273"/>
      <c r="W360" s="273"/>
      <c r="X360" s="273"/>
      <c r="Y360" s="273"/>
      <c r="Z360" s="467"/>
      <c r="AA360" s="273"/>
      <c r="AB360" s="273"/>
      <c r="AC360" s="273"/>
      <c r="AD360" s="273"/>
    </row>
    <row r="361" spans="1:30" ht="14.25" customHeight="1">
      <c r="A361" s="273"/>
      <c r="B361" s="273"/>
      <c r="C361" s="273"/>
      <c r="D361" s="273"/>
      <c r="E361" s="274"/>
      <c r="F361" s="273"/>
      <c r="G361" s="273"/>
      <c r="H361" s="273"/>
      <c r="I361" s="273"/>
      <c r="J361" s="273"/>
      <c r="K361" s="273"/>
      <c r="L361" s="273"/>
      <c r="M361" s="273"/>
      <c r="N361" s="273"/>
      <c r="O361" s="273"/>
      <c r="P361" s="273"/>
      <c r="Q361" s="273"/>
      <c r="R361" s="273"/>
      <c r="S361" s="273"/>
      <c r="T361" s="273"/>
      <c r="U361" s="273"/>
      <c r="V361" s="273"/>
      <c r="W361" s="273"/>
      <c r="X361" s="273"/>
      <c r="Y361" s="273"/>
      <c r="Z361" s="467"/>
      <c r="AA361" s="273"/>
      <c r="AB361" s="273"/>
      <c r="AC361" s="273"/>
      <c r="AD361" s="273"/>
    </row>
    <row r="362" spans="1:30" ht="14.25" customHeight="1">
      <c r="A362" s="273"/>
      <c r="B362" s="273"/>
      <c r="C362" s="273"/>
      <c r="D362" s="273"/>
      <c r="E362" s="274"/>
      <c r="F362" s="273"/>
      <c r="G362" s="273"/>
      <c r="H362" s="273"/>
      <c r="I362" s="273"/>
      <c r="J362" s="273"/>
      <c r="K362" s="273"/>
      <c r="L362" s="273"/>
      <c r="M362" s="273"/>
      <c r="N362" s="273"/>
      <c r="O362" s="273"/>
      <c r="P362" s="273"/>
      <c r="Q362" s="273"/>
      <c r="R362" s="273"/>
      <c r="S362" s="273"/>
      <c r="T362" s="273"/>
      <c r="U362" s="273"/>
      <c r="V362" s="273"/>
      <c r="W362" s="273"/>
      <c r="X362" s="273"/>
      <c r="Y362" s="273"/>
      <c r="Z362" s="467"/>
      <c r="AA362" s="273"/>
      <c r="AB362" s="273"/>
      <c r="AC362" s="273"/>
      <c r="AD362" s="273"/>
    </row>
    <row r="363" spans="1:30" ht="14.25" customHeight="1">
      <c r="A363" s="273"/>
      <c r="B363" s="273"/>
      <c r="C363" s="273"/>
      <c r="D363" s="273"/>
      <c r="E363" s="274"/>
      <c r="F363" s="273"/>
      <c r="G363" s="273"/>
      <c r="H363" s="273"/>
      <c r="I363" s="273"/>
      <c r="J363" s="273"/>
      <c r="K363" s="273"/>
      <c r="L363" s="273"/>
      <c r="M363" s="273"/>
      <c r="N363" s="273"/>
      <c r="O363" s="273"/>
      <c r="P363" s="273"/>
      <c r="Q363" s="273"/>
      <c r="R363" s="273"/>
      <c r="S363" s="273"/>
      <c r="T363" s="273"/>
      <c r="U363" s="273"/>
      <c r="V363" s="273"/>
      <c r="W363" s="273"/>
      <c r="X363" s="273"/>
      <c r="Y363" s="273"/>
      <c r="Z363" s="467"/>
      <c r="AA363" s="273"/>
      <c r="AB363" s="273"/>
      <c r="AC363" s="273"/>
      <c r="AD363" s="273"/>
    </row>
    <row r="364" spans="1:30" ht="14.25" customHeight="1">
      <c r="A364" s="273"/>
      <c r="B364" s="273"/>
      <c r="C364" s="273"/>
      <c r="D364" s="273"/>
      <c r="E364" s="274"/>
      <c r="F364" s="273"/>
      <c r="G364" s="273"/>
      <c r="H364" s="273"/>
      <c r="I364" s="273"/>
      <c r="J364" s="273"/>
      <c r="K364" s="273"/>
      <c r="L364" s="273"/>
      <c r="M364" s="273"/>
      <c r="N364" s="273"/>
      <c r="O364" s="273"/>
      <c r="P364" s="273"/>
      <c r="Q364" s="273"/>
      <c r="R364" s="273"/>
      <c r="S364" s="273"/>
      <c r="T364" s="273"/>
      <c r="U364" s="273"/>
      <c r="V364" s="273"/>
      <c r="W364" s="273"/>
      <c r="X364" s="273"/>
      <c r="Y364" s="273"/>
      <c r="Z364" s="467"/>
      <c r="AA364" s="273"/>
      <c r="AB364" s="273"/>
      <c r="AC364" s="273"/>
      <c r="AD364" s="273"/>
    </row>
    <row r="365" spans="1:30" ht="14.25" customHeight="1">
      <c r="A365" s="273"/>
      <c r="B365" s="273"/>
      <c r="C365" s="273"/>
      <c r="D365" s="273"/>
      <c r="E365" s="274"/>
      <c r="F365" s="273"/>
      <c r="G365" s="273"/>
      <c r="H365" s="273"/>
      <c r="I365" s="273"/>
      <c r="J365" s="273"/>
      <c r="K365" s="273"/>
      <c r="L365" s="273"/>
      <c r="M365" s="273"/>
      <c r="N365" s="273"/>
      <c r="O365" s="273"/>
      <c r="P365" s="273"/>
      <c r="Q365" s="273"/>
      <c r="R365" s="273"/>
      <c r="S365" s="273"/>
      <c r="T365" s="273"/>
      <c r="U365" s="273"/>
      <c r="V365" s="273"/>
      <c r="W365" s="273"/>
      <c r="X365" s="273"/>
      <c r="Y365" s="273"/>
      <c r="Z365" s="467"/>
      <c r="AA365" s="273"/>
      <c r="AB365" s="273"/>
      <c r="AC365" s="273"/>
      <c r="AD365" s="273"/>
    </row>
    <row r="366" spans="1:30" ht="14.25" customHeight="1">
      <c r="A366" s="273"/>
      <c r="B366" s="273"/>
      <c r="C366" s="273"/>
      <c r="D366" s="273"/>
      <c r="E366" s="274"/>
      <c r="F366" s="273"/>
      <c r="G366" s="273"/>
      <c r="H366" s="273"/>
      <c r="I366" s="273"/>
      <c r="J366" s="273"/>
      <c r="K366" s="273"/>
      <c r="L366" s="273"/>
      <c r="M366" s="273"/>
      <c r="N366" s="273"/>
      <c r="O366" s="273"/>
      <c r="P366" s="273"/>
      <c r="Q366" s="273"/>
      <c r="R366" s="273"/>
      <c r="S366" s="273"/>
      <c r="T366" s="273"/>
      <c r="U366" s="273"/>
      <c r="V366" s="273"/>
      <c r="W366" s="273"/>
      <c r="X366" s="273"/>
      <c r="Y366" s="273"/>
      <c r="Z366" s="467"/>
      <c r="AA366" s="273"/>
      <c r="AB366" s="273"/>
      <c r="AC366" s="273"/>
      <c r="AD366" s="273"/>
    </row>
    <row r="367" spans="1:30" ht="14.25" customHeight="1">
      <c r="A367" s="273"/>
      <c r="B367" s="273"/>
      <c r="C367" s="273"/>
      <c r="D367" s="273"/>
      <c r="E367" s="274"/>
      <c r="F367" s="273"/>
      <c r="G367" s="273"/>
      <c r="H367" s="273"/>
      <c r="I367" s="273"/>
      <c r="J367" s="273"/>
      <c r="K367" s="273"/>
      <c r="L367" s="273"/>
      <c r="M367" s="273"/>
      <c r="N367" s="273"/>
      <c r="O367" s="273"/>
      <c r="P367" s="273"/>
      <c r="Q367" s="273"/>
      <c r="R367" s="273"/>
      <c r="S367" s="273"/>
      <c r="T367" s="273"/>
      <c r="U367" s="273"/>
      <c r="V367" s="273"/>
      <c r="W367" s="273"/>
      <c r="X367" s="273"/>
      <c r="Y367" s="273"/>
      <c r="Z367" s="467"/>
      <c r="AA367" s="273"/>
      <c r="AB367" s="273"/>
      <c r="AC367" s="273"/>
      <c r="AD367" s="273"/>
    </row>
    <row r="368" spans="1:30" ht="14.25" customHeight="1">
      <c r="A368" s="273"/>
      <c r="B368" s="273"/>
      <c r="C368" s="273"/>
      <c r="D368" s="273"/>
      <c r="E368" s="274"/>
      <c r="F368" s="273"/>
      <c r="G368" s="273"/>
      <c r="H368" s="273"/>
      <c r="I368" s="273"/>
      <c r="J368" s="273"/>
      <c r="K368" s="273"/>
      <c r="L368" s="273"/>
      <c r="M368" s="273"/>
      <c r="N368" s="273"/>
      <c r="O368" s="273"/>
      <c r="P368" s="273"/>
      <c r="Q368" s="273"/>
      <c r="R368" s="273"/>
      <c r="S368" s="273"/>
      <c r="T368" s="273"/>
      <c r="U368" s="273"/>
      <c r="V368" s="273"/>
      <c r="W368" s="273"/>
      <c r="X368" s="273"/>
      <c r="Y368" s="273"/>
      <c r="Z368" s="467"/>
      <c r="AA368" s="273"/>
      <c r="AB368" s="273"/>
      <c r="AC368" s="273"/>
      <c r="AD368" s="273"/>
    </row>
    <row r="369" spans="1:30" ht="14.25" customHeight="1">
      <c r="A369" s="273"/>
      <c r="B369" s="273"/>
      <c r="C369" s="273"/>
      <c r="D369" s="273"/>
      <c r="E369" s="274"/>
      <c r="F369" s="273"/>
      <c r="G369" s="273"/>
      <c r="H369" s="273"/>
      <c r="I369" s="273"/>
      <c r="J369" s="273"/>
      <c r="K369" s="273"/>
      <c r="L369" s="273"/>
      <c r="M369" s="273"/>
      <c r="N369" s="273"/>
      <c r="O369" s="273"/>
      <c r="P369" s="273"/>
      <c r="Q369" s="273"/>
      <c r="R369" s="273"/>
      <c r="S369" s="273"/>
      <c r="T369" s="273"/>
      <c r="U369" s="273"/>
      <c r="V369" s="273"/>
      <c r="W369" s="273"/>
      <c r="X369" s="273"/>
      <c r="Y369" s="273"/>
      <c r="Z369" s="467"/>
      <c r="AA369" s="273"/>
      <c r="AB369" s="273"/>
      <c r="AC369" s="273"/>
      <c r="AD369" s="273"/>
    </row>
    <row r="370" spans="1:30" ht="14.25" customHeight="1">
      <c r="A370" s="273"/>
      <c r="B370" s="273"/>
      <c r="C370" s="273"/>
      <c r="D370" s="273"/>
      <c r="E370" s="274"/>
      <c r="F370" s="273"/>
      <c r="G370" s="273"/>
      <c r="H370" s="273"/>
      <c r="I370" s="273"/>
      <c r="J370" s="273"/>
      <c r="K370" s="273"/>
      <c r="L370" s="273"/>
      <c r="M370" s="273"/>
      <c r="N370" s="273"/>
      <c r="O370" s="273"/>
      <c r="P370" s="273"/>
      <c r="Q370" s="273"/>
      <c r="R370" s="273"/>
      <c r="S370" s="273"/>
      <c r="T370" s="273"/>
      <c r="U370" s="273"/>
      <c r="V370" s="273"/>
      <c r="W370" s="273"/>
      <c r="X370" s="273"/>
      <c r="Y370" s="273"/>
      <c r="Z370" s="467"/>
      <c r="AA370" s="273"/>
      <c r="AB370" s="273"/>
      <c r="AC370" s="273"/>
      <c r="AD370" s="273"/>
    </row>
    <row r="371" spans="1:30" ht="14.25" customHeight="1">
      <c r="A371" s="273"/>
      <c r="B371" s="273"/>
      <c r="C371" s="273"/>
      <c r="D371" s="273"/>
      <c r="E371" s="274"/>
      <c r="F371" s="273"/>
      <c r="G371" s="273"/>
      <c r="H371" s="273"/>
      <c r="I371" s="273"/>
      <c r="J371" s="273"/>
      <c r="K371" s="273"/>
      <c r="L371" s="273"/>
      <c r="M371" s="273"/>
      <c r="N371" s="273"/>
      <c r="O371" s="273"/>
      <c r="P371" s="273"/>
      <c r="Q371" s="273"/>
      <c r="R371" s="273"/>
      <c r="S371" s="273"/>
      <c r="T371" s="273"/>
      <c r="U371" s="273"/>
      <c r="V371" s="273"/>
      <c r="W371" s="273"/>
      <c r="X371" s="273"/>
      <c r="Y371" s="273"/>
      <c r="Z371" s="467"/>
      <c r="AA371" s="273"/>
      <c r="AB371" s="273"/>
      <c r="AC371" s="273"/>
      <c r="AD371" s="273"/>
    </row>
    <row r="372" spans="1:30" ht="14.25" customHeight="1">
      <c r="A372" s="273"/>
      <c r="B372" s="273"/>
      <c r="C372" s="273"/>
      <c r="D372" s="273"/>
      <c r="E372" s="274"/>
      <c r="F372" s="273"/>
      <c r="G372" s="273"/>
      <c r="H372" s="273"/>
      <c r="I372" s="273"/>
      <c r="J372" s="273"/>
      <c r="K372" s="273"/>
      <c r="L372" s="273"/>
      <c r="M372" s="273"/>
      <c r="N372" s="273"/>
      <c r="O372" s="273"/>
      <c r="P372" s="273"/>
      <c r="Q372" s="273"/>
      <c r="R372" s="273"/>
      <c r="S372" s="273"/>
      <c r="T372" s="273"/>
      <c r="U372" s="273"/>
      <c r="V372" s="273"/>
      <c r="W372" s="273"/>
      <c r="X372" s="273"/>
      <c r="Y372" s="273"/>
      <c r="Z372" s="467"/>
      <c r="AA372" s="273"/>
      <c r="AB372" s="273"/>
      <c r="AC372" s="273"/>
      <c r="AD372" s="273"/>
    </row>
    <row r="373" spans="1:30" ht="14.25" customHeight="1">
      <c r="A373" s="273"/>
      <c r="B373" s="273"/>
      <c r="C373" s="273"/>
      <c r="D373" s="273"/>
      <c r="E373" s="274"/>
      <c r="F373" s="273"/>
      <c r="G373" s="273"/>
      <c r="H373" s="273"/>
      <c r="I373" s="273"/>
      <c r="J373" s="273"/>
      <c r="K373" s="273"/>
      <c r="L373" s="273"/>
      <c r="M373" s="273"/>
      <c r="N373" s="273"/>
      <c r="O373" s="273"/>
      <c r="P373" s="273"/>
      <c r="Q373" s="273"/>
      <c r="R373" s="273"/>
      <c r="S373" s="273"/>
      <c r="T373" s="273"/>
      <c r="U373" s="273"/>
      <c r="V373" s="273"/>
      <c r="W373" s="273"/>
      <c r="X373" s="273"/>
      <c r="Y373" s="273"/>
      <c r="Z373" s="467"/>
      <c r="AA373" s="273"/>
      <c r="AB373" s="273"/>
      <c r="AC373" s="273"/>
      <c r="AD373" s="273"/>
    </row>
    <row r="374" spans="1:30" ht="14.25" customHeight="1">
      <c r="A374" s="273"/>
      <c r="B374" s="273"/>
      <c r="C374" s="273"/>
      <c r="D374" s="273"/>
      <c r="E374" s="274"/>
      <c r="F374" s="273"/>
      <c r="G374" s="273"/>
      <c r="H374" s="273"/>
      <c r="I374" s="273"/>
      <c r="J374" s="273"/>
      <c r="K374" s="273"/>
      <c r="L374" s="273"/>
      <c r="M374" s="273"/>
      <c r="N374" s="273"/>
      <c r="O374" s="273"/>
      <c r="P374" s="273"/>
      <c r="Q374" s="273"/>
      <c r="R374" s="273"/>
      <c r="S374" s="273"/>
      <c r="T374" s="273"/>
      <c r="U374" s="273"/>
      <c r="V374" s="273"/>
      <c r="W374" s="273"/>
      <c r="X374" s="273"/>
      <c r="Y374" s="273"/>
      <c r="Z374" s="467"/>
      <c r="AA374" s="273"/>
      <c r="AB374" s="273"/>
      <c r="AC374" s="273"/>
      <c r="AD374" s="273"/>
    </row>
    <row r="375" spans="1:30" ht="14.25" customHeight="1">
      <c r="A375" s="273"/>
      <c r="B375" s="273"/>
      <c r="C375" s="273"/>
      <c r="D375" s="273"/>
      <c r="E375" s="274"/>
      <c r="F375" s="273"/>
      <c r="G375" s="273"/>
      <c r="H375" s="273"/>
      <c r="I375" s="273"/>
      <c r="J375" s="273"/>
      <c r="K375" s="273"/>
      <c r="L375" s="273"/>
      <c r="M375" s="273"/>
      <c r="N375" s="273"/>
      <c r="O375" s="273"/>
      <c r="P375" s="273"/>
      <c r="Q375" s="273"/>
      <c r="R375" s="273"/>
      <c r="S375" s="273"/>
      <c r="T375" s="273"/>
      <c r="U375" s="273"/>
      <c r="V375" s="273"/>
      <c r="W375" s="273"/>
      <c r="X375" s="273"/>
      <c r="Y375" s="273"/>
      <c r="Z375" s="467"/>
      <c r="AA375" s="273"/>
      <c r="AB375" s="273"/>
      <c r="AC375" s="273"/>
      <c r="AD375" s="273"/>
    </row>
    <row r="376" spans="1:30" ht="14.25" customHeight="1">
      <c r="A376" s="273"/>
      <c r="B376" s="273"/>
      <c r="C376" s="273"/>
      <c r="D376" s="273"/>
      <c r="E376" s="274"/>
      <c r="F376" s="273"/>
      <c r="G376" s="273"/>
      <c r="H376" s="273"/>
      <c r="I376" s="273"/>
      <c r="J376" s="273"/>
      <c r="K376" s="273"/>
      <c r="L376" s="273"/>
      <c r="M376" s="273"/>
      <c r="N376" s="273"/>
      <c r="O376" s="273"/>
      <c r="P376" s="273"/>
      <c r="Q376" s="273"/>
      <c r="R376" s="273"/>
      <c r="S376" s="273"/>
      <c r="T376" s="273"/>
      <c r="U376" s="273"/>
      <c r="V376" s="273"/>
      <c r="W376" s="273"/>
      <c r="X376" s="273"/>
      <c r="Y376" s="273"/>
      <c r="Z376" s="467"/>
      <c r="AA376" s="273"/>
      <c r="AB376" s="273"/>
      <c r="AC376" s="273"/>
      <c r="AD376" s="273"/>
    </row>
    <row r="377" spans="1:30" ht="14.25" customHeight="1">
      <c r="A377" s="273"/>
      <c r="B377" s="273"/>
      <c r="C377" s="273"/>
      <c r="D377" s="273"/>
      <c r="E377" s="274"/>
      <c r="F377" s="273"/>
      <c r="G377" s="273"/>
      <c r="H377" s="273"/>
      <c r="I377" s="273"/>
      <c r="J377" s="273"/>
      <c r="K377" s="273"/>
      <c r="L377" s="273"/>
      <c r="M377" s="273"/>
      <c r="N377" s="273"/>
      <c r="O377" s="273"/>
      <c r="P377" s="273"/>
      <c r="Q377" s="273"/>
      <c r="R377" s="273"/>
      <c r="S377" s="273"/>
      <c r="T377" s="273"/>
      <c r="U377" s="273"/>
      <c r="V377" s="273"/>
      <c r="W377" s="273"/>
      <c r="X377" s="273"/>
      <c r="Y377" s="273"/>
      <c r="Z377" s="467"/>
      <c r="AA377" s="273"/>
      <c r="AB377" s="273"/>
      <c r="AC377" s="273"/>
      <c r="AD377" s="273"/>
    </row>
    <row r="378" spans="1:30" ht="14.25" customHeight="1">
      <c r="A378" s="273"/>
      <c r="B378" s="273"/>
      <c r="C378" s="273"/>
      <c r="D378" s="273"/>
      <c r="E378" s="274"/>
      <c r="F378" s="273"/>
      <c r="G378" s="273"/>
      <c r="H378" s="273"/>
      <c r="I378" s="273"/>
      <c r="J378" s="273"/>
      <c r="K378" s="273"/>
      <c r="L378" s="273"/>
      <c r="M378" s="273"/>
      <c r="N378" s="273"/>
      <c r="O378" s="273"/>
      <c r="P378" s="273"/>
      <c r="Q378" s="273"/>
      <c r="R378" s="273"/>
      <c r="S378" s="273"/>
      <c r="T378" s="273"/>
      <c r="U378" s="273"/>
      <c r="V378" s="273"/>
      <c r="W378" s="273"/>
      <c r="X378" s="273"/>
      <c r="Y378" s="273"/>
      <c r="Z378" s="467"/>
      <c r="AA378" s="273"/>
      <c r="AB378" s="273"/>
      <c r="AC378" s="273"/>
      <c r="AD378" s="273"/>
    </row>
    <row r="379" spans="1:30" ht="14.25" customHeight="1">
      <c r="A379" s="273"/>
      <c r="B379" s="273"/>
      <c r="C379" s="273"/>
      <c r="D379" s="273"/>
      <c r="E379" s="274"/>
      <c r="F379" s="273"/>
      <c r="G379" s="273"/>
      <c r="H379" s="273"/>
      <c r="I379" s="273"/>
      <c r="J379" s="273"/>
      <c r="K379" s="273"/>
      <c r="L379" s="273"/>
      <c r="M379" s="273"/>
      <c r="N379" s="273"/>
      <c r="O379" s="273"/>
      <c r="P379" s="273"/>
      <c r="Q379" s="273"/>
      <c r="R379" s="273"/>
      <c r="S379" s="273"/>
      <c r="T379" s="273"/>
      <c r="U379" s="273"/>
      <c r="V379" s="273"/>
      <c r="W379" s="273"/>
      <c r="X379" s="273"/>
      <c r="Y379" s="273"/>
      <c r="Z379" s="467"/>
      <c r="AA379" s="273"/>
      <c r="AB379" s="273"/>
      <c r="AC379" s="273"/>
      <c r="AD379" s="273"/>
    </row>
    <row r="380" spans="1:30" ht="14.25" customHeight="1">
      <c r="A380" s="273"/>
      <c r="B380" s="273"/>
      <c r="C380" s="273"/>
      <c r="D380" s="273"/>
      <c r="E380" s="274"/>
      <c r="F380" s="273"/>
      <c r="G380" s="273"/>
      <c r="H380" s="273"/>
      <c r="I380" s="273"/>
      <c r="J380" s="273"/>
      <c r="K380" s="273"/>
      <c r="L380" s="273"/>
      <c r="M380" s="273"/>
      <c r="N380" s="273"/>
      <c r="O380" s="273"/>
      <c r="P380" s="273"/>
      <c r="Q380" s="273"/>
      <c r="R380" s="273"/>
      <c r="S380" s="273"/>
      <c r="T380" s="273"/>
      <c r="U380" s="273"/>
      <c r="V380" s="273"/>
      <c r="W380" s="273"/>
      <c r="X380" s="273"/>
      <c r="Y380" s="273"/>
      <c r="Z380" s="467"/>
      <c r="AA380" s="273"/>
      <c r="AB380" s="273"/>
      <c r="AC380" s="273"/>
      <c r="AD380" s="273"/>
    </row>
    <row r="381" spans="1:30" ht="14.25" customHeight="1">
      <c r="A381" s="273"/>
      <c r="B381" s="273"/>
      <c r="C381" s="273"/>
      <c r="D381" s="273"/>
      <c r="E381" s="274"/>
      <c r="F381" s="273"/>
      <c r="G381" s="273"/>
      <c r="H381" s="273"/>
      <c r="I381" s="273"/>
      <c r="J381" s="273"/>
      <c r="K381" s="273"/>
      <c r="L381" s="273"/>
      <c r="M381" s="273"/>
      <c r="N381" s="273"/>
      <c r="O381" s="273"/>
      <c r="P381" s="273"/>
      <c r="Q381" s="273"/>
      <c r="R381" s="273"/>
      <c r="S381" s="273"/>
      <c r="T381" s="273"/>
      <c r="U381" s="273"/>
      <c r="V381" s="273"/>
      <c r="W381" s="273"/>
      <c r="X381" s="273"/>
      <c r="Y381" s="273"/>
      <c r="Z381" s="467"/>
      <c r="AA381" s="273"/>
      <c r="AB381" s="273"/>
      <c r="AC381" s="273"/>
      <c r="AD381" s="273"/>
    </row>
    <row r="382" spans="1:30" ht="14.25" customHeight="1">
      <c r="A382" s="273"/>
      <c r="B382" s="273"/>
      <c r="C382" s="273"/>
      <c r="D382" s="273"/>
      <c r="E382" s="274"/>
      <c r="F382" s="273"/>
      <c r="G382" s="273"/>
      <c r="H382" s="273"/>
      <c r="I382" s="273"/>
      <c r="J382" s="273"/>
      <c r="K382" s="273"/>
      <c r="L382" s="273"/>
      <c r="M382" s="273"/>
      <c r="N382" s="273"/>
      <c r="O382" s="273"/>
      <c r="P382" s="273"/>
      <c r="Q382" s="273"/>
      <c r="R382" s="273"/>
      <c r="S382" s="273"/>
      <c r="T382" s="273"/>
      <c r="U382" s="273"/>
      <c r="V382" s="273"/>
      <c r="W382" s="273"/>
      <c r="X382" s="273"/>
      <c r="Y382" s="273"/>
      <c r="Z382" s="467"/>
      <c r="AA382" s="273"/>
      <c r="AB382" s="273"/>
      <c r="AC382" s="273"/>
      <c r="AD382" s="273"/>
    </row>
    <row r="383" spans="1:30" ht="14.25" customHeight="1">
      <c r="A383" s="273"/>
      <c r="B383" s="273"/>
      <c r="C383" s="273"/>
      <c r="D383" s="273"/>
      <c r="E383" s="274"/>
      <c r="F383" s="273"/>
      <c r="G383" s="273"/>
      <c r="H383" s="273"/>
      <c r="I383" s="273"/>
      <c r="J383" s="273"/>
      <c r="K383" s="273"/>
      <c r="L383" s="273"/>
      <c r="M383" s="273"/>
      <c r="N383" s="273"/>
      <c r="O383" s="273"/>
      <c r="P383" s="273"/>
      <c r="Q383" s="273"/>
      <c r="R383" s="273"/>
      <c r="S383" s="273"/>
      <c r="T383" s="273"/>
      <c r="U383" s="273"/>
      <c r="V383" s="273"/>
      <c r="W383" s="273"/>
      <c r="X383" s="273"/>
      <c r="Y383" s="273"/>
      <c r="Z383" s="467"/>
      <c r="AA383" s="273"/>
      <c r="AB383" s="273"/>
      <c r="AC383" s="273"/>
      <c r="AD383" s="273"/>
    </row>
    <row r="384" spans="1:30" ht="14.25" customHeight="1">
      <c r="A384" s="273"/>
      <c r="B384" s="273"/>
      <c r="C384" s="273"/>
      <c r="D384" s="273"/>
      <c r="E384" s="274"/>
      <c r="F384" s="273"/>
      <c r="G384" s="273"/>
      <c r="H384" s="273"/>
      <c r="I384" s="273"/>
      <c r="J384" s="273"/>
      <c r="K384" s="273"/>
      <c r="L384" s="273"/>
      <c r="M384" s="273"/>
      <c r="N384" s="273"/>
      <c r="O384" s="273"/>
      <c r="P384" s="273"/>
      <c r="Q384" s="273"/>
      <c r="R384" s="273"/>
      <c r="S384" s="273"/>
      <c r="T384" s="273"/>
      <c r="U384" s="273"/>
      <c r="V384" s="273"/>
      <c r="W384" s="273"/>
      <c r="X384" s="273"/>
      <c r="Y384" s="273"/>
      <c r="Z384" s="467"/>
      <c r="AA384" s="273"/>
      <c r="AB384" s="273"/>
      <c r="AC384" s="273"/>
      <c r="AD384" s="273"/>
    </row>
    <row r="385" spans="1:30" ht="14.25" customHeight="1">
      <c r="A385" s="273"/>
      <c r="B385" s="273"/>
      <c r="C385" s="273"/>
      <c r="D385" s="273"/>
      <c r="E385" s="274"/>
      <c r="F385" s="273"/>
      <c r="G385" s="273"/>
      <c r="H385" s="273"/>
      <c r="I385" s="273"/>
      <c r="J385" s="273"/>
      <c r="K385" s="273"/>
      <c r="L385" s="273"/>
      <c r="M385" s="273"/>
      <c r="N385" s="273"/>
      <c r="O385" s="273"/>
      <c r="P385" s="273"/>
      <c r="Q385" s="273"/>
      <c r="R385" s="273"/>
      <c r="S385" s="273"/>
      <c r="T385" s="273"/>
      <c r="U385" s="273"/>
      <c r="V385" s="273"/>
      <c r="W385" s="273"/>
      <c r="X385" s="273"/>
      <c r="Y385" s="273"/>
      <c r="Z385" s="467"/>
      <c r="AA385" s="273"/>
      <c r="AB385" s="273"/>
      <c r="AC385" s="273"/>
      <c r="AD385" s="273"/>
    </row>
    <row r="386" spans="1:30" ht="14.25" customHeight="1">
      <c r="A386" s="273"/>
      <c r="B386" s="273"/>
      <c r="C386" s="273"/>
      <c r="D386" s="273"/>
      <c r="E386" s="274"/>
      <c r="F386" s="273"/>
      <c r="G386" s="273"/>
      <c r="H386" s="273"/>
      <c r="I386" s="273"/>
      <c r="J386" s="273"/>
      <c r="K386" s="273"/>
      <c r="L386" s="273"/>
      <c r="M386" s="273"/>
      <c r="N386" s="273"/>
      <c r="O386" s="273"/>
      <c r="P386" s="273"/>
      <c r="Q386" s="273"/>
      <c r="R386" s="273"/>
      <c r="S386" s="273"/>
      <c r="T386" s="273"/>
      <c r="U386" s="273"/>
      <c r="V386" s="273"/>
      <c r="W386" s="273"/>
      <c r="X386" s="273"/>
      <c r="Y386" s="273"/>
      <c r="Z386" s="467"/>
      <c r="AA386" s="273"/>
      <c r="AB386" s="273"/>
      <c r="AC386" s="273"/>
      <c r="AD386" s="273"/>
    </row>
    <row r="387" spans="1:30" ht="14.25" customHeight="1">
      <c r="A387" s="273"/>
      <c r="B387" s="273"/>
      <c r="C387" s="273"/>
      <c r="D387" s="273"/>
      <c r="E387" s="274"/>
      <c r="F387" s="273"/>
      <c r="G387" s="273"/>
      <c r="H387" s="273"/>
      <c r="I387" s="273"/>
      <c r="J387" s="273"/>
      <c r="K387" s="273"/>
      <c r="L387" s="273"/>
      <c r="M387" s="273"/>
      <c r="N387" s="273"/>
      <c r="O387" s="273"/>
      <c r="P387" s="273"/>
      <c r="Q387" s="273"/>
      <c r="R387" s="273"/>
      <c r="S387" s="273"/>
      <c r="T387" s="273"/>
      <c r="U387" s="273"/>
      <c r="V387" s="273"/>
      <c r="W387" s="273"/>
      <c r="X387" s="273"/>
      <c r="Y387" s="273"/>
      <c r="Z387" s="467"/>
      <c r="AA387" s="273"/>
      <c r="AB387" s="273"/>
      <c r="AC387" s="273"/>
      <c r="AD387" s="273"/>
    </row>
    <row r="388" spans="1:30" ht="14.25" customHeight="1">
      <c r="A388" s="273"/>
      <c r="B388" s="273"/>
      <c r="C388" s="273"/>
      <c r="D388" s="273"/>
      <c r="E388" s="274"/>
      <c r="F388" s="273"/>
      <c r="G388" s="273"/>
      <c r="H388" s="273"/>
      <c r="I388" s="273"/>
      <c r="J388" s="273"/>
      <c r="K388" s="273"/>
      <c r="L388" s="273"/>
      <c r="M388" s="273"/>
      <c r="N388" s="273"/>
      <c r="O388" s="273"/>
      <c r="P388" s="273"/>
      <c r="Q388" s="273"/>
      <c r="R388" s="273"/>
      <c r="S388" s="273"/>
      <c r="T388" s="273"/>
      <c r="U388" s="273"/>
      <c r="V388" s="273"/>
      <c r="W388" s="273"/>
      <c r="X388" s="273"/>
      <c r="Y388" s="273"/>
      <c r="Z388" s="467"/>
      <c r="AA388" s="273"/>
      <c r="AB388" s="273"/>
      <c r="AC388" s="273"/>
      <c r="AD388" s="273"/>
    </row>
    <row r="389" spans="1:30" ht="14.25" customHeight="1">
      <c r="A389" s="273"/>
      <c r="B389" s="273"/>
      <c r="C389" s="273"/>
      <c r="D389" s="273"/>
      <c r="E389" s="274"/>
      <c r="F389" s="273"/>
      <c r="G389" s="273"/>
      <c r="H389" s="273"/>
      <c r="I389" s="273"/>
      <c r="J389" s="273"/>
      <c r="K389" s="273"/>
      <c r="L389" s="273"/>
      <c r="M389" s="273"/>
      <c r="N389" s="273"/>
      <c r="O389" s="273"/>
      <c r="P389" s="273"/>
      <c r="Q389" s="273"/>
      <c r="R389" s="273"/>
      <c r="S389" s="273"/>
      <c r="T389" s="273"/>
      <c r="U389" s="273"/>
      <c r="V389" s="273"/>
      <c r="W389" s="273"/>
      <c r="X389" s="273"/>
      <c r="Y389" s="273"/>
      <c r="Z389" s="467"/>
      <c r="AA389" s="273"/>
      <c r="AB389" s="273"/>
      <c r="AC389" s="273"/>
      <c r="AD389" s="273"/>
    </row>
    <row r="390" spans="1:30" ht="14.25" customHeight="1">
      <c r="A390" s="273"/>
      <c r="B390" s="273"/>
      <c r="C390" s="273"/>
      <c r="D390" s="273"/>
      <c r="E390" s="274"/>
      <c r="F390" s="273"/>
      <c r="G390" s="273"/>
      <c r="H390" s="273"/>
      <c r="I390" s="273"/>
      <c r="J390" s="273"/>
      <c r="K390" s="273"/>
      <c r="L390" s="273"/>
      <c r="M390" s="273"/>
      <c r="N390" s="273"/>
      <c r="O390" s="273"/>
      <c r="P390" s="273"/>
      <c r="Q390" s="273"/>
      <c r="R390" s="273"/>
      <c r="S390" s="273"/>
      <c r="T390" s="273"/>
      <c r="U390" s="273"/>
      <c r="V390" s="273"/>
      <c r="W390" s="273"/>
      <c r="X390" s="273"/>
      <c r="Y390" s="273"/>
      <c r="Z390" s="467"/>
      <c r="AA390" s="273"/>
      <c r="AB390" s="273"/>
      <c r="AC390" s="273"/>
      <c r="AD390" s="273"/>
    </row>
    <row r="391" spans="1:30" ht="14.25" customHeight="1">
      <c r="A391" s="273"/>
      <c r="B391" s="273"/>
      <c r="C391" s="273"/>
      <c r="D391" s="273"/>
      <c r="E391" s="274"/>
      <c r="F391" s="273"/>
      <c r="G391" s="273"/>
      <c r="H391" s="273"/>
      <c r="I391" s="273"/>
      <c r="J391" s="273"/>
      <c r="K391" s="273"/>
      <c r="L391" s="273"/>
      <c r="M391" s="273"/>
      <c r="N391" s="273"/>
      <c r="O391" s="273"/>
      <c r="P391" s="273"/>
      <c r="Q391" s="273"/>
      <c r="R391" s="273"/>
      <c r="S391" s="273"/>
      <c r="T391" s="273"/>
      <c r="U391" s="273"/>
      <c r="V391" s="273"/>
      <c r="W391" s="273"/>
      <c r="X391" s="273"/>
      <c r="Y391" s="273"/>
      <c r="Z391" s="467"/>
      <c r="AA391" s="273"/>
      <c r="AB391" s="273"/>
      <c r="AC391" s="273"/>
      <c r="AD391" s="273"/>
    </row>
    <row r="392" spans="1:30" ht="14.25" customHeight="1">
      <c r="A392" s="273"/>
      <c r="B392" s="273"/>
      <c r="C392" s="273"/>
      <c r="D392" s="273"/>
      <c r="E392" s="274"/>
      <c r="F392" s="273"/>
      <c r="G392" s="273"/>
      <c r="H392" s="273"/>
      <c r="I392" s="273"/>
      <c r="J392" s="273"/>
      <c r="K392" s="273"/>
      <c r="L392" s="273"/>
      <c r="M392" s="273"/>
      <c r="N392" s="273"/>
      <c r="O392" s="273"/>
      <c r="P392" s="273"/>
      <c r="Q392" s="273"/>
      <c r="R392" s="273"/>
      <c r="S392" s="273"/>
      <c r="T392" s="273"/>
      <c r="U392" s="273"/>
      <c r="V392" s="273"/>
      <c r="W392" s="273"/>
      <c r="X392" s="273"/>
      <c r="Y392" s="273"/>
      <c r="Z392" s="467"/>
      <c r="AA392" s="273"/>
      <c r="AB392" s="273"/>
      <c r="AC392" s="273"/>
      <c r="AD392" s="273"/>
    </row>
    <row r="393" spans="1:30" ht="14.25" customHeight="1">
      <c r="A393" s="273"/>
      <c r="B393" s="273"/>
      <c r="C393" s="273"/>
      <c r="D393" s="273"/>
      <c r="E393" s="274"/>
      <c r="F393" s="273"/>
      <c r="G393" s="273"/>
      <c r="H393" s="273"/>
      <c r="I393" s="273"/>
      <c r="J393" s="273"/>
      <c r="K393" s="273"/>
      <c r="L393" s="273"/>
      <c r="M393" s="273"/>
      <c r="N393" s="273"/>
      <c r="O393" s="273"/>
      <c r="P393" s="273"/>
      <c r="Q393" s="273"/>
      <c r="R393" s="273"/>
      <c r="S393" s="273"/>
      <c r="T393" s="273"/>
      <c r="U393" s="273"/>
      <c r="V393" s="273"/>
      <c r="W393" s="273"/>
      <c r="X393" s="273"/>
      <c r="Y393" s="273"/>
      <c r="Z393" s="467"/>
      <c r="AA393" s="273"/>
      <c r="AB393" s="273"/>
      <c r="AC393" s="273"/>
      <c r="AD393" s="273"/>
    </row>
    <row r="394" spans="1:30" ht="14.25" customHeight="1">
      <c r="A394" s="273"/>
      <c r="B394" s="273"/>
      <c r="C394" s="273"/>
      <c r="D394" s="273"/>
      <c r="E394" s="274"/>
      <c r="F394" s="273"/>
      <c r="G394" s="273"/>
      <c r="H394" s="273"/>
      <c r="I394" s="273"/>
      <c r="J394" s="273"/>
      <c r="K394" s="273"/>
      <c r="L394" s="273"/>
      <c r="M394" s="273"/>
      <c r="N394" s="273"/>
      <c r="O394" s="273"/>
      <c r="P394" s="273"/>
      <c r="Q394" s="273"/>
      <c r="R394" s="273"/>
      <c r="S394" s="273"/>
      <c r="T394" s="273"/>
      <c r="U394" s="273"/>
      <c r="V394" s="273"/>
      <c r="W394" s="273"/>
      <c r="X394" s="273"/>
      <c r="Y394" s="273"/>
      <c r="Z394" s="467"/>
      <c r="AA394" s="273"/>
      <c r="AB394" s="273"/>
      <c r="AC394" s="273"/>
      <c r="AD394" s="273"/>
    </row>
    <row r="395" spans="1:30" ht="14.25" customHeight="1">
      <c r="A395" s="273"/>
      <c r="B395" s="273"/>
      <c r="C395" s="273"/>
      <c r="D395" s="273"/>
      <c r="E395" s="274"/>
      <c r="F395" s="273"/>
      <c r="G395" s="273"/>
      <c r="H395" s="273"/>
      <c r="I395" s="273"/>
      <c r="J395" s="273"/>
      <c r="K395" s="273"/>
      <c r="L395" s="273"/>
      <c r="M395" s="273"/>
      <c r="N395" s="273"/>
      <c r="O395" s="273"/>
      <c r="P395" s="273"/>
      <c r="Q395" s="273"/>
      <c r="R395" s="273"/>
      <c r="S395" s="273"/>
      <c r="T395" s="273"/>
      <c r="U395" s="273"/>
      <c r="V395" s="273"/>
      <c r="W395" s="273"/>
      <c r="X395" s="273"/>
      <c r="Y395" s="273"/>
      <c r="Z395" s="467"/>
      <c r="AA395" s="273"/>
      <c r="AB395" s="273"/>
      <c r="AC395" s="273"/>
      <c r="AD395" s="273"/>
    </row>
    <row r="396" spans="1:30" ht="14.25" customHeight="1">
      <c r="A396" s="273"/>
      <c r="B396" s="273"/>
      <c r="C396" s="273"/>
      <c r="D396" s="273"/>
      <c r="E396" s="274"/>
      <c r="F396" s="273"/>
      <c r="G396" s="273"/>
      <c r="H396" s="273"/>
      <c r="I396" s="273"/>
      <c r="J396" s="273"/>
      <c r="K396" s="273"/>
      <c r="L396" s="273"/>
      <c r="M396" s="273"/>
      <c r="N396" s="273"/>
      <c r="O396" s="273"/>
      <c r="P396" s="273"/>
      <c r="Q396" s="273"/>
      <c r="R396" s="273"/>
      <c r="S396" s="273"/>
      <c r="T396" s="273"/>
      <c r="U396" s="273"/>
      <c r="V396" s="273"/>
      <c r="W396" s="273"/>
      <c r="X396" s="273"/>
      <c r="Y396" s="273"/>
      <c r="Z396" s="467"/>
      <c r="AA396" s="273"/>
      <c r="AB396" s="273"/>
      <c r="AC396" s="273"/>
      <c r="AD396" s="273"/>
    </row>
    <row r="397" spans="1:30" ht="14.25" customHeight="1">
      <c r="A397" s="273"/>
      <c r="B397" s="273"/>
      <c r="C397" s="273"/>
      <c r="D397" s="273"/>
      <c r="E397" s="274"/>
      <c r="F397" s="273"/>
      <c r="G397" s="273"/>
      <c r="H397" s="273"/>
      <c r="I397" s="273"/>
      <c r="J397" s="273"/>
      <c r="K397" s="273"/>
      <c r="L397" s="273"/>
      <c r="M397" s="273"/>
      <c r="N397" s="273"/>
      <c r="O397" s="273"/>
      <c r="P397" s="273"/>
      <c r="Q397" s="273"/>
      <c r="R397" s="273"/>
      <c r="S397" s="273"/>
      <c r="T397" s="273"/>
      <c r="U397" s="273"/>
      <c r="V397" s="273"/>
      <c r="W397" s="273"/>
      <c r="X397" s="273"/>
      <c r="Y397" s="273"/>
      <c r="Z397" s="467"/>
      <c r="AA397" s="273"/>
      <c r="AB397" s="273"/>
      <c r="AC397" s="273"/>
      <c r="AD397" s="273"/>
    </row>
    <row r="398" spans="1:30" ht="14.25" customHeight="1">
      <c r="A398" s="273"/>
      <c r="B398" s="273"/>
      <c r="C398" s="273"/>
      <c r="D398" s="273"/>
      <c r="E398" s="274"/>
      <c r="F398" s="273"/>
      <c r="G398" s="273"/>
      <c r="H398" s="273"/>
      <c r="I398" s="273"/>
      <c r="J398" s="273"/>
      <c r="K398" s="273"/>
      <c r="L398" s="273"/>
      <c r="M398" s="273"/>
      <c r="N398" s="273"/>
      <c r="O398" s="273"/>
      <c r="P398" s="273"/>
      <c r="Q398" s="273"/>
      <c r="R398" s="273"/>
      <c r="S398" s="273"/>
      <c r="T398" s="273"/>
      <c r="U398" s="273"/>
      <c r="V398" s="273"/>
      <c r="W398" s="273"/>
      <c r="X398" s="273"/>
      <c r="Y398" s="273"/>
      <c r="Z398" s="467"/>
      <c r="AA398" s="273"/>
      <c r="AB398" s="273"/>
      <c r="AC398" s="273"/>
      <c r="AD398" s="273"/>
    </row>
    <row r="399" spans="1:30" ht="14.25" customHeight="1">
      <c r="A399" s="273"/>
      <c r="B399" s="273"/>
      <c r="C399" s="273"/>
      <c r="D399" s="273"/>
      <c r="E399" s="274"/>
      <c r="F399" s="273"/>
      <c r="G399" s="273"/>
      <c r="H399" s="273"/>
      <c r="I399" s="273"/>
      <c r="J399" s="273"/>
      <c r="K399" s="273"/>
      <c r="L399" s="273"/>
      <c r="M399" s="273"/>
      <c r="N399" s="273"/>
      <c r="O399" s="273"/>
      <c r="P399" s="273"/>
      <c r="Q399" s="273"/>
      <c r="R399" s="273"/>
      <c r="S399" s="273"/>
      <c r="T399" s="273"/>
      <c r="U399" s="273"/>
      <c r="V399" s="273"/>
      <c r="W399" s="273"/>
      <c r="X399" s="273"/>
      <c r="Y399" s="273"/>
      <c r="Z399" s="467"/>
      <c r="AA399" s="273"/>
      <c r="AB399" s="273"/>
      <c r="AC399" s="273"/>
      <c r="AD399" s="273"/>
    </row>
    <row r="400" spans="1:30" ht="14.25" customHeight="1">
      <c r="A400" s="273"/>
      <c r="B400" s="273"/>
      <c r="C400" s="273"/>
      <c r="D400" s="273"/>
      <c r="E400" s="274"/>
      <c r="F400" s="273"/>
      <c r="G400" s="273"/>
      <c r="H400" s="273"/>
      <c r="I400" s="273"/>
      <c r="J400" s="273"/>
      <c r="K400" s="273"/>
      <c r="L400" s="273"/>
      <c r="M400" s="273"/>
      <c r="N400" s="273"/>
      <c r="O400" s="273"/>
      <c r="P400" s="273"/>
      <c r="Q400" s="273"/>
      <c r="R400" s="273"/>
      <c r="S400" s="273"/>
      <c r="T400" s="273"/>
      <c r="U400" s="273"/>
      <c r="V400" s="273"/>
      <c r="W400" s="273"/>
      <c r="X400" s="273"/>
      <c r="Y400" s="273"/>
      <c r="Z400" s="467"/>
      <c r="AA400" s="273"/>
      <c r="AB400" s="273"/>
      <c r="AC400" s="273"/>
      <c r="AD400" s="273"/>
    </row>
    <row r="401" spans="1:30" ht="14.25" customHeight="1">
      <c r="A401" s="273"/>
      <c r="B401" s="273"/>
      <c r="C401" s="273"/>
      <c r="D401" s="273"/>
      <c r="E401" s="274"/>
      <c r="F401" s="273"/>
      <c r="G401" s="273"/>
      <c r="H401" s="273"/>
      <c r="I401" s="273"/>
      <c r="J401" s="273"/>
      <c r="K401" s="273"/>
      <c r="L401" s="273"/>
      <c r="M401" s="273"/>
      <c r="N401" s="273"/>
      <c r="O401" s="273"/>
      <c r="P401" s="273"/>
      <c r="Q401" s="273"/>
      <c r="R401" s="273"/>
      <c r="S401" s="273"/>
      <c r="T401" s="273"/>
      <c r="U401" s="273"/>
      <c r="V401" s="273"/>
      <c r="W401" s="273"/>
      <c r="X401" s="273"/>
      <c r="Y401" s="273"/>
      <c r="Z401" s="467"/>
      <c r="AA401" s="273"/>
      <c r="AB401" s="273"/>
      <c r="AC401" s="273"/>
      <c r="AD401" s="273"/>
    </row>
    <row r="402" spans="1:30" ht="14.25" customHeight="1">
      <c r="A402" s="273"/>
      <c r="B402" s="273"/>
      <c r="C402" s="273"/>
      <c r="D402" s="273"/>
      <c r="E402" s="274"/>
      <c r="F402" s="273"/>
      <c r="G402" s="273"/>
      <c r="H402" s="273"/>
      <c r="I402" s="273"/>
      <c r="J402" s="273"/>
      <c r="K402" s="273"/>
      <c r="L402" s="273"/>
      <c r="M402" s="273"/>
      <c r="N402" s="273"/>
      <c r="O402" s="273"/>
      <c r="P402" s="273"/>
      <c r="Q402" s="273"/>
      <c r="R402" s="273"/>
      <c r="S402" s="273"/>
      <c r="T402" s="273"/>
      <c r="U402" s="273"/>
      <c r="V402" s="273"/>
      <c r="W402" s="273"/>
      <c r="X402" s="273"/>
      <c r="Y402" s="273"/>
      <c r="Z402" s="467"/>
      <c r="AA402" s="273"/>
      <c r="AB402" s="273"/>
      <c r="AC402" s="273"/>
      <c r="AD402" s="273"/>
    </row>
    <row r="403" spans="1:30" ht="14.25" customHeight="1">
      <c r="A403" s="273"/>
      <c r="B403" s="273"/>
      <c r="C403" s="273"/>
      <c r="D403" s="273"/>
      <c r="E403" s="274"/>
      <c r="F403" s="273"/>
      <c r="G403" s="273"/>
      <c r="H403" s="273"/>
      <c r="I403" s="273"/>
      <c r="J403" s="273"/>
      <c r="K403" s="273"/>
      <c r="L403" s="273"/>
      <c r="M403" s="273"/>
      <c r="N403" s="273"/>
      <c r="O403" s="273"/>
      <c r="P403" s="273"/>
      <c r="Q403" s="273"/>
      <c r="R403" s="273"/>
      <c r="S403" s="273"/>
      <c r="T403" s="273"/>
      <c r="U403" s="273"/>
      <c r="V403" s="273"/>
      <c r="W403" s="273"/>
      <c r="X403" s="273"/>
      <c r="Y403" s="273"/>
      <c r="Z403" s="467"/>
      <c r="AA403" s="273"/>
      <c r="AB403" s="273"/>
      <c r="AC403" s="273"/>
      <c r="AD403" s="273"/>
    </row>
    <row r="404" spans="1:30" ht="14.25" customHeight="1">
      <c r="A404" s="273"/>
      <c r="B404" s="273"/>
      <c r="C404" s="273"/>
      <c r="D404" s="273"/>
      <c r="E404" s="274"/>
      <c r="F404" s="273"/>
      <c r="G404" s="273"/>
      <c r="H404" s="273"/>
      <c r="I404" s="273"/>
      <c r="J404" s="273"/>
      <c r="K404" s="273"/>
      <c r="L404" s="273"/>
      <c r="M404" s="273"/>
      <c r="N404" s="273"/>
      <c r="O404" s="273"/>
      <c r="P404" s="273"/>
      <c r="Q404" s="273"/>
      <c r="R404" s="273"/>
      <c r="S404" s="273"/>
      <c r="T404" s="273"/>
      <c r="U404" s="273"/>
      <c r="V404" s="273"/>
      <c r="W404" s="273"/>
      <c r="X404" s="273"/>
      <c r="Y404" s="273"/>
      <c r="Z404" s="467"/>
      <c r="AA404" s="273"/>
      <c r="AB404" s="273"/>
      <c r="AC404" s="273"/>
      <c r="AD404" s="273"/>
    </row>
    <row r="405" spans="1:30" ht="14.25" customHeight="1">
      <c r="A405" s="273"/>
      <c r="B405" s="273"/>
      <c r="C405" s="273"/>
      <c r="D405" s="273"/>
      <c r="E405" s="274"/>
      <c r="F405" s="273"/>
      <c r="G405" s="273"/>
      <c r="H405" s="273"/>
      <c r="I405" s="273"/>
      <c r="J405" s="273"/>
      <c r="K405" s="273"/>
      <c r="L405" s="273"/>
      <c r="M405" s="273"/>
      <c r="N405" s="273"/>
      <c r="O405" s="273"/>
      <c r="P405" s="273"/>
      <c r="Q405" s="273"/>
      <c r="R405" s="273"/>
      <c r="S405" s="273"/>
      <c r="T405" s="273"/>
      <c r="U405" s="273"/>
      <c r="V405" s="273"/>
      <c r="W405" s="273"/>
      <c r="X405" s="273"/>
      <c r="Y405" s="273"/>
      <c r="Z405" s="467"/>
      <c r="AA405" s="273"/>
      <c r="AB405" s="273"/>
      <c r="AC405" s="273"/>
      <c r="AD405" s="273"/>
    </row>
    <row r="406" spans="1:30" ht="14.25" customHeight="1">
      <c r="A406" s="273"/>
      <c r="B406" s="273"/>
      <c r="C406" s="273"/>
      <c r="D406" s="273"/>
      <c r="E406" s="274"/>
      <c r="F406" s="273"/>
      <c r="G406" s="273"/>
      <c r="H406" s="273"/>
      <c r="I406" s="273"/>
      <c r="J406" s="273"/>
      <c r="K406" s="273"/>
      <c r="L406" s="273"/>
      <c r="M406" s="273"/>
      <c r="N406" s="273"/>
      <c r="O406" s="273"/>
      <c r="P406" s="273"/>
      <c r="Q406" s="273"/>
      <c r="R406" s="273"/>
      <c r="S406" s="273"/>
      <c r="T406" s="273"/>
      <c r="U406" s="273"/>
      <c r="V406" s="273"/>
      <c r="W406" s="273"/>
      <c r="X406" s="273"/>
      <c r="Y406" s="273"/>
      <c r="Z406" s="467"/>
      <c r="AA406" s="273"/>
      <c r="AB406" s="273"/>
      <c r="AC406" s="273"/>
      <c r="AD406" s="273"/>
    </row>
    <row r="407" spans="1:30" ht="14.25" customHeight="1">
      <c r="A407" s="273"/>
      <c r="B407" s="273"/>
      <c r="C407" s="273"/>
      <c r="D407" s="273"/>
      <c r="E407" s="274"/>
      <c r="F407" s="273"/>
      <c r="G407" s="273"/>
      <c r="H407" s="273"/>
      <c r="I407" s="273"/>
      <c r="J407" s="273"/>
      <c r="K407" s="273"/>
      <c r="L407" s="273"/>
      <c r="M407" s="273"/>
      <c r="N407" s="273"/>
      <c r="O407" s="273"/>
      <c r="P407" s="273"/>
      <c r="Q407" s="273"/>
      <c r="R407" s="273"/>
      <c r="S407" s="273"/>
      <c r="T407" s="273"/>
      <c r="U407" s="273"/>
      <c r="V407" s="273"/>
      <c r="W407" s="273"/>
      <c r="X407" s="273"/>
      <c r="Y407" s="273"/>
      <c r="Z407" s="467"/>
      <c r="AA407" s="273"/>
      <c r="AB407" s="273"/>
      <c r="AC407" s="273"/>
      <c r="AD407" s="273"/>
    </row>
    <row r="408" spans="1:30" ht="14.25" customHeight="1">
      <c r="A408" s="273"/>
      <c r="B408" s="273"/>
      <c r="C408" s="273"/>
      <c r="D408" s="273"/>
      <c r="E408" s="274"/>
      <c r="F408" s="273"/>
      <c r="G408" s="273"/>
      <c r="H408" s="273"/>
      <c r="I408" s="273"/>
      <c r="J408" s="273"/>
      <c r="K408" s="273"/>
      <c r="L408" s="273"/>
      <c r="M408" s="273"/>
      <c r="N408" s="273"/>
      <c r="O408" s="273"/>
      <c r="P408" s="273"/>
      <c r="Q408" s="273"/>
      <c r="R408" s="273"/>
      <c r="S408" s="273"/>
      <c r="T408" s="273"/>
      <c r="U408" s="273"/>
      <c r="V408" s="273"/>
      <c r="W408" s="273"/>
      <c r="X408" s="273"/>
      <c r="Y408" s="273"/>
      <c r="Z408" s="467"/>
      <c r="AA408" s="273"/>
      <c r="AB408" s="273"/>
      <c r="AC408" s="273"/>
      <c r="AD408" s="273"/>
    </row>
    <row r="409" spans="1:30" ht="14.25" customHeight="1">
      <c r="A409" s="273"/>
      <c r="B409" s="273"/>
      <c r="C409" s="273"/>
      <c r="D409" s="273"/>
      <c r="E409" s="274"/>
      <c r="F409" s="273"/>
      <c r="G409" s="273"/>
      <c r="H409" s="273"/>
      <c r="I409" s="273"/>
      <c r="J409" s="273"/>
      <c r="K409" s="273"/>
      <c r="L409" s="273"/>
      <c r="M409" s="273"/>
      <c r="N409" s="273"/>
      <c r="O409" s="273"/>
      <c r="P409" s="273"/>
      <c r="Q409" s="273"/>
      <c r="R409" s="273"/>
      <c r="S409" s="273"/>
      <c r="T409" s="273"/>
      <c r="U409" s="273"/>
      <c r="V409" s="273"/>
      <c r="W409" s="273"/>
      <c r="X409" s="273"/>
      <c r="Y409" s="273"/>
      <c r="Z409" s="467"/>
      <c r="AA409" s="273"/>
      <c r="AB409" s="273"/>
      <c r="AC409" s="273"/>
      <c r="AD409" s="273"/>
    </row>
    <row r="410" spans="1:30" ht="14.25" customHeight="1">
      <c r="A410" s="273"/>
      <c r="B410" s="273"/>
      <c r="C410" s="273"/>
      <c r="D410" s="273"/>
      <c r="E410" s="274"/>
      <c r="F410" s="273"/>
      <c r="G410" s="273"/>
      <c r="H410" s="273"/>
      <c r="I410" s="273"/>
      <c r="J410" s="273"/>
      <c r="K410" s="273"/>
      <c r="L410" s="273"/>
      <c r="M410" s="273"/>
      <c r="N410" s="273"/>
      <c r="O410" s="273"/>
      <c r="P410" s="273"/>
      <c r="Q410" s="273"/>
      <c r="R410" s="273"/>
      <c r="S410" s="273"/>
      <c r="T410" s="273"/>
      <c r="U410" s="273"/>
      <c r="V410" s="273"/>
      <c r="W410" s="273"/>
      <c r="X410" s="273"/>
      <c r="Y410" s="273"/>
      <c r="Z410" s="467"/>
      <c r="AA410" s="273"/>
      <c r="AB410" s="273"/>
      <c r="AC410" s="273"/>
      <c r="AD410" s="273"/>
    </row>
    <row r="411" spans="1:30" ht="14.25" customHeight="1">
      <c r="A411" s="273"/>
      <c r="B411" s="273"/>
      <c r="C411" s="273"/>
      <c r="D411" s="273"/>
      <c r="E411" s="274"/>
      <c r="F411" s="273"/>
      <c r="G411" s="273"/>
      <c r="H411" s="273"/>
      <c r="I411" s="273"/>
      <c r="J411" s="273"/>
      <c r="K411" s="273"/>
      <c r="L411" s="273"/>
      <c r="M411" s="273"/>
      <c r="N411" s="273"/>
      <c r="O411" s="273"/>
      <c r="P411" s="273"/>
      <c r="Q411" s="273"/>
      <c r="R411" s="273"/>
      <c r="S411" s="273"/>
      <c r="T411" s="273"/>
      <c r="U411" s="273"/>
      <c r="V411" s="273"/>
      <c r="W411" s="273"/>
      <c r="X411" s="273"/>
      <c r="Y411" s="273"/>
      <c r="Z411" s="467"/>
      <c r="AA411" s="273"/>
      <c r="AB411" s="273"/>
      <c r="AC411" s="273"/>
      <c r="AD411" s="273"/>
    </row>
    <row r="412" spans="1:30" ht="14.25" customHeight="1">
      <c r="A412" s="273"/>
      <c r="B412" s="273"/>
      <c r="C412" s="273"/>
      <c r="D412" s="273"/>
      <c r="E412" s="274"/>
      <c r="F412" s="273"/>
      <c r="G412" s="273"/>
      <c r="H412" s="273"/>
      <c r="I412" s="273"/>
      <c r="J412" s="273"/>
      <c r="K412" s="273"/>
      <c r="L412" s="273"/>
      <c r="M412" s="273"/>
      <c r="N412" s="273"/>
      <c r="O412" s="273"/>
      <c r="P412" s="273"/>
      <c r="Q412" s="273"/>
      <c r="R412" s="273"/>
      <c r="S412" s="273"/>
      <c r="T412" s="273"/>
      <c r="U412" s="273"/>
      <c r="V412" s="273"/>
      <c r="W412" s="273"/>
      <c r="X412" s="273"/>
      <c r="Y412" s="273"/>
      <c r="Z412" s="467"/>
      <c r="AA412" s="273"/>
      <c r="AB412" s="273"/>
      <c r="AC412" s="273"/>
      <c r="AD412" s="273"/>
    </row>
    <row r="413" spans="1:30" ht="14.25" customHeight="1">
      <c r="A413" s="273"/>
      <c r="B413" s="273"/>
      <c r="C413" s="273"/>
      <c r="D413" s="273"/>
      <c r="E413" s="274"/>
      <c r="F413" s="273"/>
      <c r="G413" s="273"/>
      <c r="H413" s="273"/>
      <c r="I413" s="273"/>
      <c r="J413" s="273"/>
      <c r="K413" s="273"/>
      <c r="L413" s="273"/>
      <c r="M413" s="273"/>
      <c r="N413" s="273"/>
      <c r="O413" s="273"/>
      <c r="P413" s="273"/>
      <c r="Q413" s="273"/>
      <c r="R413" s="273"/>
      <c r="S413" s="273"/>
      <c r="T413" s="273"/>
      <c r="U413" s="273"/>
      <c r="V413" s="273"/>
      <c r="W413" s="273"/>
      <c r="X413" s="273"/>
      <c r="Y413" s="273"/>
      <c r="Z413" s="467"/>
      <c r="AA413" s="273"/>
      <c r="AB413" s="273"/>
      <c r="AC413" s="273"/>
      <c r="AD413" s="273"/>
    </row>
    <row r="414" spans="1:30" ht="14.25" customHeight="1">
      <c r="A414" s="273"/>
      <c r="B414" s="273"/>
      <c r="C414" s="273"/>
      <c r="D414" s="273"/>
      <c r="E414" s="274"/>
      <c r="F414" s="273"/>
      <c r="G414" s="273"/>
      <c r="H414" s="273"/>
      <c r="I414" s="273"/>
      <c r="J414" s="273"/>
      <c r="K414" s="273"/>
      <c r="L414" s="273"/>
      <c r="M414" s="273"/>
      <c r="N414" s="273"/>
      <c r="O414" s="273"/>
      <c r="P414" s="273"/>
      <c r="Q414" s="273"/>
      <c r="R414" s="273"/>
      <c r="S414" s="273"/>
      <c r="T414" s="273"/>
      <c r="U414" s="273"/>
      <c r="V414" s="273"/>
      <c r="W414" s="273"/>
      <c r="X414" s="273"/>
      <c r="Y414" s="273"/>
      <c r="Z414" s="467"/>
      <c r="AA414" s="273"/>
      <c r="AB414" s="273"/>
      <c r="AC414" s="273"/>
      <c r="AD414" s="273"/>
    </row>
    <row r="415" spans="1:30" ht="14.25" customHeight="1">
      <c r="A415" s="273"/>
      <c r="B415" s="273"/>
      <c r="C415" s="273"/>
      <c r="D415" s="273"/>
      <c r="E415" s="274"/>
      <c r="F415" s="273"/>
      <c r="G415" s="273"/>
      <c r="H415" s="273"/>
      <c r="I415" s="273"/>
      <c r="J415" s="273"/>
      <c r="K415" s="273"/>
      <c r="L415" s="273"/>
      <c r="M415" s="273"/>
      <c r="N415" s="273"/>
      <c r="O415" s="273"/>
      <c r="P415" s="273"/>
      <c r="Q415" s="273"/>
      <c r="R415" s="273"/>
      <c r="S415" s="273"/>
      <c r="T415" s="273"/>
      <c r="U415" s="273"/>
      <c r="V415" s="273"/>
      <c r="W415" s="273"/>
      <c r="X415" s="273"/>
      <c r="Y415" s="273"/>
      <c r="Z415" s="467"/>
      <c r="AA415" s="273"/>
      <c r="AB415" s="273"/>
      <c r="AC415" s="273"/>
      <c r="AD415" s="273"/>
    </row>
    <row r="416" spans="1:30" ht="14.25" customHeight="1">
      <c r="A416" s="273"/>
      <c r="B416" s="273"/>
      <c r="C416" s="273"/>
      <c r="D416" s="273"/>
      <c r="E416" s="274"/>
      <c r="F416" s="273"/>
      <c r="G416" s="273"/>
      <c r="H416" s="273"/>
      <c r="I416" s="273"/>
      <c r="J416" s="273"/>
      <c r="K416" s="273"/>
      <c r="L416" s="273"/>
      <c r="M416" s="273"/>
      <c r="N416" s="273"/>
      <c r="O416" s="273"/>
      <c r="P416" s="273"/>
      <c r="Q416" s="273"/>
      <c r="R416" s="273"/>
      <c r="S416" s="273"/>
      <c r="T416" s="273"/>
      <c r="U416" s="273"/>
      <c r="V416" s="273"/>
      <c r="W416" s="273"/>
      <c r="X416" s="273"/>
      <c r="Y416" s="273"/>
      <c r="Z416" s="467"/>
      <c r="AA416" s="273"/>
      <c r="AB416" s="273"/>
      <c r="AC416" s="273"/>
      <c r="AD416" s="273"/>
    </row>
    <row r="417" spans="1:30" ht="14.25" customHeight="1">
      <c r="A417" s="273"/>
      <c r="B417" s="273"/>
      <c r="C417" s="273"/>
      <c r="D417" s="273"/>
      <c r="E417" s="274"/>
      <c r="F417" s="273"/>
      <c r="G417" s="273"/>
      <c r="H417" s="273"/>
      <c r="I417" s="273"/>
      <c r="J417" s="273"/>
      <c r="K417" s="273"/>
      <c r="L417" s="273"/>
      <c r="M417" s="273"/>
      <c r="N417" s="273"/>
      <c r="O417" s="273"/>
      <c r="P417" s="273"/>
      <c r="Q417" s="273"/>
      <c r="R417" s="273"/>
      <c r="S417" s="273"/>
      <c r="T417" s="273"/>
      <c r="U417" s="273"/>
      <c r="V417" s="273"/>
      <c r="W417" s="273"/>
      <c r="X417" s="273"/>
      <c r="Y417" s="273"/>
      <c r="Z417" s="467"/>
      <c r="AA417" s="273"/>
      <c r="AB417" s="273"/>
      <c r="AC417" s="273"/>
      <c r="AD417" s="273"/>
    </row>
    <row r="418" spans="1:30" ht="14.25" customHeight="1">
      <c r="A418" s="273"/>
      <c r="B418" s="273"/>
      <c r="C418" s="273"/>
      <c r="D418" s="273"/>
      <c r="E418" s="274"/>
      <c r="F418" s="273"/>
      <c r="G418" s="273"/>
      <c r="H418" s="273"/>
      <c r="I418" s="273"/>
      <c r="J418" s="273"/>
      <c r="K418" s="273"/>
      <c r="L418" s="273"/>
      <c r="M418" s="273"/>
      <c r="N418" s="273"/>
      <c r="O418" s="273"/>
      <c r="P418" s="273"/>
      <c r="Q418" s="273"/>
      <c r="R418" s="273"/>
      <c r="S418" s="273"/>
      <c r="T418" s="273"/>
      <c r="U418" s="273"/>
      <c r="V418" s="273"/>
      <c r="W418" s="273"/>
      <c r="X418" s="273"/>
      <c r="Y418" s="273"/>
      <c r="Z418" s="467"/>
      <c r="AA418" s="273"/>
      <c r="AB418" s="273"/>
      <c r="AC418" s="273"/>
      <c r="AD418" s="273"/>
    </row>
    <row r="419" spans="1:30" ht="14.25" customHeight="1">
      <c r="A419" s="273"/>
      <c r="B419" s="273"/>
      <c r="C419" s="273"/>
      <c r="D419" s="273"/>
      <c r="E419" s="274"/>
      <c r="F419" s="273"/>
      <c r="G419" s="273"/>
      <c r="H419" s="273"/>
      <c r="I419" s="273"/>
      <c r="J419" s="273"/>
      <c r="K419" s="273"/>
      <c r="L419" s="273"/>
      <c r="M419" s="273"/>
      <c r="N419" s="273"/>
      <c r="O419" s="273"/>
      <c r="P419" s="273"/>
      <c r="Q419" s="273"/>
      <c r="R419" s="273"/>
      <c r="S419" s="273"/>
      <c r="T419" s="273"/>
      <c r="U419" s="273"/>
      <c r="V419" s="273"/>
      <c r="W419" s="273"/>
      <c r="X419" s="273"/>
      <c r="Y419" s="273"/>
      <c r="Z419" s="467"/>
      <c r="AA419" s="273"/>
      <c r="AB419" s="273"/>
      <c r="AC419" s="273"/>
      <c r="AD419" s="273"/>
    </row>
    <row r="420" spans="1:30" ht="14.25" customHeight="1">
      <c r="A420" s="273"/>
      <c r="B420" s="273"/>
      <c r="C420" s="273"/>
      <c r="D420" s="273"/>
      <c r="E420" s="274"/>
      <c r="F420" s="273"/>
      <c r="G420" s="273"/>
      <c r="H420" s="273"/>
      <c r="I420" s="273"/>
      <c r="J420" s="273"/>
      <c r="K420" s="273"/>
      <c r="L420" s="273"/>
      <c r="M420" s="273"/>
      <c r="N420" s="273"/>
      <c r="O420" s="273"/>
      <c r="P420" s="273"/>
      <c r="Q420" s="273"/>
      <c r="R420" s="273"/>
      <c r="S420" s="273"/>
      <c r="T420" s="273"/>
      <c r="U420" s="273"/>
      <c r="V420" s="273"/>
      <c r="W420" s="273"/>
      <c r="X420" s="273"/>
      <c r="Y420" s="273"/>
      <c r="Z420" s="467"/>
      <c r="AA420" s="273"/>
      <c r="AB420" s="273"/>
      <c r="AC420" s="273"/>
      <c r="AD420" s="273"/>
    </row>
    <row r="421" spans="1:30" ht="14.25" customHeight="1">
      <c r="A421" s="273"/>
      <c r="B421" s="273"/>
      <c r="C421" s="273"/>
      <c r="D421" s="273"/>
      <c r="E421" s="274"/>
      <c r="F421" s="273"/>
      <c r="G421" s="273"/>
      <c r="H421" s="273"/>
      <c r="I421" s="273"/>
      <c r="J421" s="273"/>
      <c r="K421" s="273"/>
      <c r="L421" s="273"/>
      <c r="M421" s="273"/>
      <c r="N421" s="273"/>
      <c r="O421" s="273"/>
      <c r="P421" s="273"/>
      <c r="Q421" s="273"/>
      <c r="R421" s="273"/>
      <c r="S421" s="273"/>
      <c r="T421" s="273"/>
      <c r="U421" s="273"/>
      <c r="V421" s="273"/>
      <c r="W421" s="273"/>
      <c r="X421" s="273"/>
      <c r="Y421" s="273"/>
      <c r="Z421" s="467"/>
      <c r="AA421" s="273"/>
      <c r="AB421" s="273"/>
      <c r="AC421" s="273"/>
      <c r="AD421" s="273"/>
    </row>
    <row r="422" spans="1:30" ht="14.25" customHeight="1">
      <c r="A422" s="273"/>
      <c r="B422" s="273"/>
      <c r="C422" s="273"/>
      <c r="D422" s="273"/>
      <c r="E422" s="274"/>
      <c r="F422" s="273"/>
      <c r="G422" s="273"/>
      <c r="H422" s="273"/>
      <c r="I422" s="273"/>
      <c r="J422" s="273"/>
      <c r="K422" s="273"/>
      <c r="L422" s="273"/>
      <c r="M422" s="273"/>
      <c r="N422" s="273"/>
      <c r="O422" s="273"/>
      <c r="P422" s="273"/>
      <c r="Q422" s="273"/>
      <c r="R422" s="273"/>
      <c r="S422" s="273"/>
      <c r="T422" s="273"/>
      <c r="U422" s="273"/>
      <c r="V422" s="273"/>
      <c r="W422" s="273"/>
      <c r="X422" s="273"/>
      <c r="Y422" s="273"/>
      <c r="Z422" s="467"/>
      <c r="AA422" s="273"/>
      <c r="AB422" s="273"/>
      <c r="AC422" s="273"/>
      <c r="AD422" s="273"/>
    </row>
    <row r="423" spans="1:30" ht="14.25" customHeight="1">
      <c r="A423" s="273"/>
      <c r="B423" s="273"/>
      <c r="C423" s="273"/>
      <c r="D423" s="273"/>
      <c r="E423" s="274"/>
      <c r="F423" s="273"/>
      <c r="G423" s="273"/>
      <c r="H423" s="273"/>
      <c r="I423" s="273"/>
      <c r="J423" s="273"/>
      <c r="K423" s="273"/>
      <c r="L423" s="273"/>
      <c r="M423" s="273"/>
      <c r="N423" s="273"/>
      <c r="O423" s="273"/>
      <c r="P423" s="273"/>
      <c r="Q423" s="273"/>
      <c r="R423" s="273"/>
      <c r="S423" s="273"/>
      <c r="T423" s="273"/>
      <c r="U423" s="273"/>
      <c r="V423" s="273"/>
      <c r="W423" s="273"/>
      <c r="X423" s="273"/>
      <c r="Y423" s="273"/>
      <c r="Z423" s="467"/>
      <c r="AA423" s="273"/>
      <c r="AB423" s="273"/>
      <c r="AC423" s="273"/>
      <c r="AD423" s="273"/>
    </row>
    <row r="424" spans="1:30" ht="14.25" customHeight="1">
      <c r="A424" s="273"/>
      <c r="B424" s="273"/>
      <c r="C424" s="273"/>
      <c r="D424" s="273"/>
      <c r="E424" s="274"/>
      <c r="F424" s="273"/>
      <c r="G424" s="273"/>
      <c r="H424" s="273"/>
      <c r="I424" s="273"/>
      <c r="J424" s="273"/>
      <c r="K424" s="273"/>
      <c r="L424" s="273"/>
      <c r="M424" s="273"/>
      <c r="N424" s="273"/>
      <c r="O424" s="273"/>
      <c r="P424" s="273"/>
      <c r="Q424" s="273"/>
      <c r="R424" s="273"/>
      <c r="S424" s="273"/>
      <c r="T424" s="273"/>
      <c r="U424" s="273"/>
      <c r="V424" s="273"/>
      <c r="W424" s="273"/>
      <c r="X424" s="273"/>
      <c r="Y424" s="273"/>
      <c r="Z424" s="467"/>
      <c r="AA424" s="273"/>
      <c r="AB424" s="273"/>
      <c r="AC424" s="273"/>
      <c r="AD424" s="273"/>
    </row>
    <row r="425" spans="1:30" ht="14.25" customHeight="1">
      <c r="A425" s="273"/>
      <c r="B425" s="273"/>
      <c r="C425" s="273"/>
      <c r="D425" s="273"/>
      <c r="E425" s="274"/>
      <c r="F425" s="273"/>
      <c r="G425" s="273"/>
      <c r="H425" s="273"/>
      <c r="I425" s="273"/>
      <c r="J425" s="273"/>
      <c r="K425" s="273"/>
      <c r="L425" s="273"/>
      <c r="M425" s="273"/>
      <c r="N425" s="273"/>
      <c r="O425" s="273"/>
      <c r="P425" s="273"/>
      <c r="Q425" s="273"/>
      <c r="R425" s="273"/>
      <c r="S425" s="273"/>
      <c r="T425" s="273"/>
      <c r="U425" s="273"/>
      <c r="V425" s="273"/>
      <c r="W425" s="273"/>
      <c r="X425" s="273"/>
      <c r="Y425" s="273"/>
      <c r="Z425" s="467"/>
      <c r="AA425" s="273"/>
      <c r="AB425" s="273"/>
      <c r="AC425" s="273"/>
      <c r="AD425" s="273"/>
    </row>
    <row r="426" spans="1:30" ht="14.25" customHeight="1">
      <c r="A426" s="273"/>
      <c r="B426" s="273"/>
      <c r="C426" s="273"/>
      <c r="D426" s="273"/>
      <c r="E426" s="274"/>
      <c r="F426" s="273"/>
      <c r="G426" s="273"/>
      <c r="H426" s="273"/>
      <c r="I426" s="273"/>
      <c r="J426" s="273"/>
      <c r="K426" s="273"/>
      <c r="L426" s="273"/>
      <c r="M426" s="273"/>
      <c r="N426" s="273"/>
      <c r="O426" s="273"/>
      <c r="P426" s="273"/>
      <c r="Q426" s="273"/>
      <c r="R426" s="273"/>
      <c r="S426" s="273"/>
      <c r="T426" s="273"/>
      <c r="U426" s="273"/>
      <c r="V426" s="273"/>
      <c r="W426" s="273"/>
      <c r="X426" s="273"/>
      <c r="Y426" s="273"/>
      <c r="Z426" s="467"/>
      <c r="AA426" s="273"/>
      <c r="AB426" s="273"/>
      <c r="AC426" s="273"/>
      <c r="AD426" s="273"/>
    </row>
    <row r="427" spans="1:30" ht="14.25" customHeight="1">
      <c r="A427" s="273"/>
      <c r="B427" s="273"/>
      <c r="C427" s="273"/>
      <c r="D427" s="273"/>
      <c r="E427" s="274"/>
      <c r="F427" s="273"/>
      <c r="G427" s="273"/>
      <c r="H427" s="273"/>
      <c r="I427" s="273"/>
      <c r="J427" s="273"/>
      <c r="K427" s="273"/>
      <c r="L427" s="273"/>
      <c r="M427" s="273"/>
      <c r="N427" s="273"/>
      <c r="O427" s="273"/>
      <c r="P427" s="273"/>
      <c r="Q427" s="273"/>
      <c r="R427" s="273"/>
      <c r="S427" s="273"/>
      <c r="T427" s="273"/>
      <c r="U427" s="273"/>
      <c r="V427" s="273"/>
      <c r="W427" s="273"/>
      <c r="X427" s="273"/>
      <c r="Y427" s="273"/>
      <c r="Z427" s="467"/>
      <c r="AA427" s="273"/>
      <c r="AB427" s="273"/>
      <c r="AC427" s="273"/>
      <c r="AD427" s="273"/>
    </row>
    <row r="428" spans="1:30" ht="14.25" customHeight="1">
      <c r="A428" s="273"/>
      <c r="B428" s="273"/>
      <c r="C428" s="273"/>
      <c r="D428" s="273"/>
      <c r="E428" s="274"/>
      <c r="F428" s="273"/>
      <c r="G428" s="273"/>
      <c r="H428" s="273"/>
      <c r="I428" s="273"/>
      <c r="J428" s="273"/>
      <c r="K428" s="273"/>
      <c r="L428" s="273"/>
      <c r="M428" s="273"/>
      <c r="N428" s="273"/>
      <c r="O428" s="273"/>
      <c r="P428" s="273"/>
      <c r="Q428" s="273"/>
      <c r="R428" s="273"/>
      <c r="S428" s="273"/>
      <c r="T428" s="273"/>
      <c r="U428" s="273"/>
      <c r="V428" s="273"/>
      <c r="W428" s="273"/>
      <c r="X428" s="273"/>
      <c r="Y428" s="273"/>
      <c r="Z428" s="467"/>
      <c r="AA428" s="273"/>
      <c r="AB428" s="273"/>
      <c r="AC428" s="273"/>
      <c r="AD428" s="273"/>
    </row>
    <row r="429" spans="1:30" ht="14.25" customHeight="1">
      <c r="A429" s="273"/>
      <c r="B429" s="273"/>
      <c r="C429" s="273"/>
      <c r="D429" s="273"/>
      <c r="E429" s="274"/>
      <c r="F429" s="273"/>
      <c r="G429" s="273"/>
      <c r="H429" s="273"/>
      <c r="I429" s="273"/>
      <c r="J429" s="273"/>
      <c r="K429" s="273"/>
      <c r="L429" s="273"/>
      <c r="M429" s="273"/>
      <c r="N429" s="273"/>
      <c r="O429" s="273"/>
      <c r="P429" s="273"/>
      <c r="Q429" s="273"/>
      <c r="R429" s="273"/>
      <c r="S429" s="273"/>
      <c r="T429" s="273"/>
      <c r="U429" s="273"/>
      <c r="V429" s="273"/>
      <c r="W429" s="273"/>
      <c r="X429" s="273"/>
      <c r="Y429" s="273"/>
      <c r="Z429" s="467"/>
      <c r="AA429" s="273"/>
      <c r="AB429" s="273"/>
      <c r="AC429" s="273"/>
      <c r="AD429" s="273"/>
    </row>
    <row r="430" spans="1:30" ht="14.25" customHeight="1">
      <c r="A430" s="273"/>
      <c r="B430" s="273"/>
      <c r="C430" s="273"/>
      <c r="D430" s="273"/>
      <c r="E430" s="274"/>
      <c r="F430" s="273"/>
      <c r="G430" s="273"/>
      <c r="H430" s="273"/>
      <c r="I430" s="273"/>
      <c r="J430" s="273"/>
      <c r="K430" s="273"/>
      <c r="L430" s="273"/>
      <c r="M430" s="273"/>
      <c r="N430" s="273"/>
      <c r="O430" s="273"/>
      <c r="P430" s="273"/>
      <c r="Q430" s="273"/>
      <c r="R430" s="273"/>
      <c r="S430" s="273"/>
      <c r="T430" s="273"/>
      <c r="U430" s="273"/>
      <c r="V430" s="273"/>
      <c r="W430" s="273"/>
      <c r="X430" s="273"/>
      <c r="Y430" s="273"/>
      <c r="Z430" s="467"/>
      <c r="AA430" s="273"/>
      <c r="AB430" s="273"/>
      <c r="AC430" s="273"/>
      <c r="AD430" s="273"/>
    </row>
    <row r="431" spans="1:30" ht="14.25" customHeight="1">
      <c r="A431" s="273"/>
      <c r="B431" s="273"/>
      <c r="C431" s="273"/>
      <c r="D431" s="273"/>
      <c r="E431" s="274"/>
      <c r="F431" s="273"/>
      <c r="G431" s="273"/>
      <c r="H431" s="273"/>
      <c r="I431" s="273"/>
      <c r="J431" s="273"/>
      <c r="K431" s="273"/>
      <c r="L431" s="273"/>
      <c r="M431" s="273"/>
      <c r="N431" s="273"/>
      <c r="O431" s="273"/>
      <c r="P431" s="273"/>
      <c r="Q431" s="273"/>
      <c r="R431" s="273"/>
      <c r="S431" s="273"/>
      <c r="T431" s="273"/>
      <c r="U431" s="273"/>
      <c r="V431" s="273"/>
      <c r="W431" s="273"/>
      <c r="X431" s="273"/>
      <c r="Y431" s="273"/>
      <c r="Z431" s="467"/>
      <c r="AA431" s="273"/>
      <c r="AB431" s="273"/>
      <c r="AC431" s="273"/>
      <c r="AD431" s="273"/>
    </row>
    <row r="432" spans="1:30" ht="14.25" customHeight="1">
      <c r="A432" s="273"/>
      <c r="B432" s="273"/>
      <c r="C432" s="273"/>
      <c r="D432" s="273"/>
      <c r="E432" s="274"/>
      <c r="F432" s="273"/>
      <c r="G432" s="273"/>
      <c r="H432" s="273"/>
      <c r="I432" s="273"/>
      <c r="J432" s="273"/>
      <c r="K432" s="273"/>
      <c r="L432" s="273"/>
      <c r="M432" s="273"/>
      <c r="N432" s="273"/>
      <c r="O432" s="273"/>
      <c r="P432" s="273"/>
      <c r="Q432" s="273"/>
      <c r="R432" s="273"/>
      <c r="S432" s="273"/>
      <c r="T432" s="273"/>
      <c r="U432" s="273"/>
      <c r="V432" s="273"/>
      <c r="W432" s="273"/>
      <c r="X432" s="273"/>
      <c r="Y432" s="273"/>
      <c r="Z432" s="467"/>
      <c r="AA432" s="273"/>
      <c r="AB432" s="273"/>
      <c r="AC432" s="273"/>
      <c r="AD432" s="273"/>
    </row>
    <row r="433" spans="1:30" ht="14.25" customHeight="1">
      <c r="A433" s="273"/>
      <c r="B433" s="273"/>
      <c r="C433" s="273"/>
      <c r="D433" s="273"/>
      <c r="E433" s="274"/>
      <c r="F433" s="273"/>
      <c r="G433" s="273"/>
      <c r="H433" s="273"/>
      <c r="I433" s="273"/>
      <c r="J433" s="273"/>
      <c r="K433" s="273"/>
      <c r="L433" s="273"/>
      <c r="M433" s="273"/>
      <c r="N433" s="273"/>
      <c r="O433" s="273"/>
      <c r="P433" s="273"/>
      <c r="Q433" s="273"/>
      <c r="R433" s="273"/>
      <c r="S433" s="273"/>
      <c r="T433" s="273"/>
      <c r="U433" s="273"/>
      <c r="V433" s="273"/>
      <c r="W433" s="273"/>
      <c r="X433" s="273"/>
      <c r="Y433" s="273"/>
      <c r="Z433" s="467"/>
      <c r="AA433" s="273"/>
      <c r="AB433" s="273"/>
      <c r="AC433" s="273"/>
      <c r="AD433" s="273"/>
    </row>
    <row r="434" spans="1:30" ht="14.25" customHeight="1">
      <c r="A434" s="273"/>
      <c r="B434" s="273"/>
      <c r="C434" s="273"/>
      <c r="D434" s="273"/>
      <c r="E434" s="274"/>
      <c r="F434" s="273"/>
      <c r="G434" s="273"/>
      <c r="H434" s="273"/>
      <c r="I434" s="273"/>
      <c r="J434" s="273"/>
      <c r="K434" s="273"/>
      <c r="L434" s="273"/>
      <c r="M434" s="273"/>
      <c r="N434" s="273"/>
      <c r="O434" s="273"/>
      <c r="P434" s="273"/>
      <c r="Q434" s="273"/>
      <c r="R434" s="273"/>
      <c r="S434" s="273"/>
      <c r="T434" s="273"/>
      <c r="U434" s="273"/>
      <c r="V434" s="273"/>
      <c r="W434" s="273"/>
      <c r="X434" s="273"/>
      <c r="Y434" s="273"/>
      <c r="Z434" s="467"/>
      <c r="AA434" s="273"/>
      <c r="AB434" s="273"/>
      <c r="AC434" s="273"/>
      <c r="AD434" s="273"/>
    </row>
    <row r="435" spans="1:30" ht="14.25" customHeight="1">
      <c r="A435" s="273"/>
      <c r="B435" s="273"/>
      <c r="C435" s="273"/>
      <c r="D435" s="273"/>
      <c r="E435" s="274"/>
      <c r="F435" s="273"/>
      <c r="G435" s="273"/>
      <c r="H435" s="273"/>
      <c r="I435" s="273"/>
      <c r="J435" s="273"/>
      <c r="K435" s="273"/>
      <c r="L435" s="273"/>
      <c r="M435" s="273"/>
      <c r="N435" s="273"/>
      <c r="O435" s="273"/>
      <c r="P435" s="273"/>
      <c r="Q435" s="273"/>
      <c r="R435" s="273"/>
      <c r="S435" s="273"/>
      <c r="T435" s="273"/>
      <c r="U435" s="273"/>
      <c r="V435" s="273"/>
      <c r="W435" s="273"/>
      <c r="X435" s="273"/>
      <c r="Y435" s="273"/>
      <c r="Z435" s="467"/>
      <c r="AA435" s="273"/>
      <c r="AB435" s="273"/>
      <c r="AC435" s="273"/>
      <c r="AD435" s="273"/>
    </row>
    <row r="436" spans="1:30" ht="14.25" customHeight="1">
      <c r="A436" s="273"/>
      <c r="B436" s="273"/>
      <c r="C436" s="273"/>
      <c r="D436" s="273"/>
      <c r="E436" s="274"/>
      <c r="F436" s="273"/>
      <c r="G436" s="273"/>
      <c r="H436" s="273"/>
      <c r="I436" s="273"/>
      <c r="J436" s="273"/>
      <c r="K436" s="273"/>
      <c r="L436" s="273"/>
      <c r="M436" s="273"/>
      <c r="N436" s="273"/>
      <c r="O436" s="273"/>
      <c r="P436" s="273"/>
      <c r="Q436" s="273"/>
      <c r="R436" s="273"/>
      <c r="S436" s="273"/>
      <c r="T436" s="273"/>
      <c r="U436" s="273"/>
      <c r="V436" s="273"/>
      <c r="W436" s="273"/>
      <c r="X436" s="273"/>
      <c r="Y436" s="273"/>
      <c r="Z436" s="467"/>
      <c r="AA436" s="273"/>
      <c r="AB436" s="273"/>
      <c r="AC436" s="273"/>
      <c r="AD436" s="273"/>
    </row>
    <row r="437" spans="1:30" ht="14.25" customHeight="1">
      <c r="A437" s="273"/>
      <c r="B437" s="273"/>
      <c r="C437" s="273"/>
      <c r="D437" s="273"/>
      <c r="E437" s="274"/>
      <c r="F437" s="273"/>
      <c r="G437" s="273"/>
      <c r="H437" s="273"/>
      <c r="I437" s="273"/>
      <c r="J437" s="273"/>
      <c r="K437" s="273"/>
      <c r="L437" s="273"/>
      <c r="M437" s="273"/>
      <c r="N437" s="273"/>
      <c r="O437" s="273"/>
      <c r="P437" s="273"/>
      <c r="Q437" s="273"/>
      <c r="R437" s="273"/>
      <c r="S437" s="273"/>
      <c r="T437" s="273"/>
      <c r="U437" s="273"/>
      <c r="V437" s="273"/>
      <c r="W437" s="273"/>
      <c r="X437" s="273"/>
      <c r="Y437" s="273"/>
      <c r="Z437" s="467"/>
      <c r="AA437" s="273"/>
      <c r="AB437" s="273"/>
      <c r="AC437" s="273"/>
      <c r="AD437" s="273"/>
    </row>
    <row r="438" spans="1:30" ht="14.25" customHeight="1">
      <c r="A438" s="273"/>
      <c r="B438" s="273"/>
      <c r="C438" s="273"/>
      <c r="D438" s="273"/>
      <c r="E438" s="274"/>
      <c r="F438" s="273"/>
      <c r="G438" s="273"/>
      <c r="H438" s="273"/>
      <c r="I438" s="273"/>
      <c r="J438" s="273"/>
      <c r="K438" s="273"/>
      <c r="L438" s="273"/>
      <c r="M438" s="273"/>
      <c r="N438" s="273"/>
      <c r="O438" s="273"/>
      <c r="P438" s="273"/>
      <c r="Q438" s="273"/>
      <c r="R438" s="273"/>
      <c r="S438" s="273"/>
      <c r="T438" s="273"/>
      <c r="U438" s="273"/>
      <c r="V438" s="273"/>
      <c r="W438" s="273"/>
      <c r="X438" s="273"/>
      <c r="Y438" s="273"/>
      <c r="Z438" s="467"/>
      <c r="AA438" s="273"/>
      <c r="AB438" s="273"/>
      <c r="AC438" s="273"/>
      <c r="AD438" s="273"/>
    </row>
    <row r="439" spans="1:30" ht="14.25" customHeight="1">
      <c r="A439" s="273"/>
      <c r="B439" s="273"/>
      <c r="C439" s="273"/>
      <c r="D439" s="273"/>
      <c r="E439" s="274"/>
      <c r="F439" s="273"/>
      <c r="G439" s="273"/>
      <c r="H439" s="273"/>
      <c r="I439" s="273"/>
      <c r="J439" s="273"/>
      <c r="K439" s="273"/>
      <c r="L439" s="273"/>
      <c r="M439" s="273"/>
      <c r="N439" s="273"/>
      <c r="O439" s="273"/>
      <c r="P439" s="273"/>
      <c r="Q439" s="273"/>
      <c r="R439" s="273"/>
      <c r="S439" s="273"/>
      <c r="T439" s="273"/>
      <c r="U439" s="273"/>
      <c r="V439" s="273"/>
      <c r="W439" s="273"/>
      <c r="X439" s="273"/>
      <c r="Y439" s="273"/>
      <c r="Z439" s="467"/>
      <c r="AA439" s="273"/>
      <c r="AB439" s="273"/>
      <c r="AC439" s="273"/>
      <c r="AD439" s="273"/>
    </row>
    <row r="440" spans="1:30" ht="14.25" customHeight="1">
      <c r="A440" s="273"/>
      <c r="B440" s="273"/>
      <c r="C440" s="273"/>
      <c r="D440" s="273"/>
      <c r="E440" s="274"/>
      <c r="F440" s="273"/>
      <c r="G440" s="273"/>
      <c r="H440" s="273"/>
      <c r="I440" s="273"/>
      <c r="J440" s="273"/>
      <c r="K440" s="273"/>
      <c r="L440" s="273"/>
      <c r="M440" s="273"/>
      <c r="N440" s="273"/>
      <c r="O440" s="273"/>
      <c r="P440" s="273"/>
      <c r="Q440" s="273"/>
      <c r="R440" s="273"/>
      <c r="S440" s="273"/>
      <c r="T440" s="273"/>
      <c r="U440" s="273"/>
      <c r="V440" s="273"/>
      <c r="W440" s="273"/>
      <c r="X440" s="273"/>
      <c r="Y440" s="273"/>
      <c r="Z440" s="467"/>
      <c r="AA440" s="273"/>
      <c r="AB440" s="273"/>
      <c r="AC440" s="273"/>
      <c r="AD440" s="273"/>
    </row>
    <row r="441" spans="1:30" ht="14.25" customHeight="1">
      <c r="A441" s="273"/>
      <c r="B441" s="273"/>
      <c r="C441" s="273"/>
      <c r="D441" s="273"/>
      <c r="E441" s="274"/>
      <c r="F441" s="273"/>
      <c r="G441" s="273"/>
      <c r="H441" s="273"/>
      <c r="I441" s="273"/>
      <c r="J441" s="273"/>
      <c r="K441" s="273"/>
      <c r="L441" s="273"/>
      <c r="M441" s="273"/>
      <c r="N441" s="273"/>
      <c r="O441" s="273"/>
      <c r="P441" s="273"/>
      <c r="Q441" s="273"/>
      <c r="R441" s="273"/>
      <c r="S441" s="273"/>
      <c r="T441" s="273"/>
      <c r="U441" s="273"/>
      <c r="V441" s="273"/>
      <c r="W441" s="273"/>
      <c r="X441" s="273"/>
      <c r="Y441" s="273"/>
      <c r="Z441" s="467"/>
      <c r="AA441" s="273"/>
      <c r="AB441" s="273"/>
      <c r="AC441" s="273"/>
      <c r="AD441" s="273"/>
    </row>
    <row r="442" spans="1:30" ht="14.25" customHeight="1">
      <c r="A442" s="273"/>
      <c r="B442" s="273"/>
      <c r="C442" s="273"/>
      <c r="D442" s="273"/>
      <c r="E442" s="274"/>
      <c r="F442" s="273"/>
      <c r="G442" s="273"/>
      <c r="H442" s="273"/>
      <c r="I442" s="273"/>
      <c r="J442" s="273"/>
      <c r="K442" s="273"/>
      <c r="L442" s="273"/>
      <c r="M442" s="273"/>
      <c r="N442" s="273"/>
      <c r="O442" s="273"/>
      <c r="P442" s="273"/>
      <c r="Q442" s="273"/>
      <c r="R442" s="273"/>
      <c r="S442" s="273"/>
      <c r="T442" s="273"/>
      <c r="U442" s="273"/>
      <c r="V442" s="273"/>
      <c r="W442" s="273"/>
      <c r="X442" s="273"/>
      <c r="Y442" s="273"/>
      <c r="Z442" s="467"/>
      <c r="AA442" s="273"/>
      <c r="AB442" s="273"/>
      <c r="AC442" s="273"/>
      <c r="AD442" s="273"/>
    </row>
    <row r="443" spans="1:30" ht="14.25" customHeight="1">
      <c r="A443" s="273"/>
      <c r="B443" s="273"/>
      <c r="C443" s="273"/>
      <c r="D443" s="273"/>
      <c r="E443" s="274"/>
      <c r="F443" s="273"/>
      <c r="G443" s="273"/>
      <c r="H443" s="273"/>
      <c r="I443" s="273"/>
      <c r="J443" s="273"/>
      <c r="K443" s="273"/>
      <c r="L443" s="273"/>
      <c r="M443" s="273"/>
      <c r="N443" s="273"/>
      <c r="O443" s="273"/>
      <c r="P443" s="273"/>
      <c r="Q443" s="273"/>
      <c r="R443" s="273"/>
      <c r="S443" s="273"/>
      <c r="T443" s="273"/>
      <c r="U443" s="273"/>
      <c r="V443" s="273"/>
      <c r="W443" s="273"/>
      <c r="X443" s="273"/>
      <c r="Y443" s="273"/>
      <c r="Z443" s="467"/>
      <c r="AA443" s="273"/>
      <c r="AB443" s="273"/>
      <c r="AC443" s="273"/>
      <c r="AD443" s="273"/>
    </row>
    <row r="444" spans="1:30" ht="14.25" customHeight="1">
      <c r="A444" s="273"/>
      <c r="B444" s="273"/>
      <c r="C444" s="273"/>
      <c r="D444" s="273"/>
      <c r="E444" s="274"/>
      <c r="F444" s="273"/>
      <c r="G444" s="273"/>
      <c r="H444" s="273"/>
      <c r="I444" s="273"/>
      <c r="J444" s="273"/>
      <c r="K444" s="273"/>
      <c r="L444" s="273"/>
      <c r="M444" s="273"/>
      <c r="N444" s="273"/>
      <c r="O444" s="273"/>
      <c r="P444" s="273"/>
      <c r="Q444" s="273"/>
      <c r="R444" s="273"/>
      <c r="S444" s="273"/>
      <c r="T444" s="273"/>
      <c r="U444" s="273"/>
      <c r="V444" s="273"/>
      <c r="W444" s="273"/>
      <c r="X444" s="273"/>
      <c r="Y444" s="273"/>
      <c r="Z444" s="467"/>
      <c r="AA444" s="273"/>
      <c r="AB444" s="273"/>
      <c r="AC444" s="273"/>
      <c r="AD444" s="273"/>
    </row>
    <row r="445" spans="1:30" ht="14.25" customHeight="1">
      <c r="A445" s="273"/>
      <c r="B445" s="273"/>
      <c r="C445" s="273"/>
      <c r="D445" s="273"/>
      <c r="E445" s="274"/>
      <c r="F445" s="273"/>
      <c r="G445" s="273"/>
      <c r="H445" s="273"/>
      <c r="I445" s="273"/>
      <c r="J445" s="273"/>
      <c r="K445" s="273"/>
      <c r="L445" s="273"/>
      <c r="M445" s="273"/>
      <c r="N445" s="273"/>
      <c r="O445" s="273"/>
      <c r="P445" s="273"/>
      <c r="Q445" s="273"/>
      <c r="R445" s="273"/>
      <c r="S445" s="273"/>
      <c r="T445" s="273"/>
      <c r="U445" s="273"/>
      <c r="V445" s="273"/>
      <c r="W445" s="273"/>
      <c r="X445" s="273"/>
      <c r="Y445" s="273"/>
      <c r="Z445" s="467"/>
      <c r="AA445" s="273"/>
      <c r="AB445" s="273"/>
      <c r="AC445" s="273"/>
      <c r="AD445" s="273"/>
    </row>
    <row r="446" spans="1:30" ht="14.25" customHeight="1">
      <c r="A446" s="273"/>
      <c r="B446" s="273"/>
      <c r="C446" s="273"/>
      <c r="D446" s="273"/>
      <c r="E446" s="274"/>
      <c r="F446" s="273"/>
      <c r="G446" s="273"/>
      <c r="H446" s="273"/>
      <c r="I446" s="273"/>
      <c r="J446" s="273"/>
      <c r="K446" s="273"/>
      <c r="L446" s="273"/>
      <c r="M446" s="273"/>
      <c r="N446" s="273"/>
      <c r="O446" s="273"/>
      <c r="P446" s="273"/>
      <c r="Q446" s="273"/>
      <c r="R446" s="273"/>
      <c r="S446" s="273"/>
      <c r="T446" s="273"/>
      <c r="U446" s="273"/>
      <c r="V446" s="273"/>
      <c r="W446" s="273"/>
      <c r="X446" s="273"/>
      <c r="Y446" s="273"/>
      <c r="Z446" s="467"/>
      <c r="AA446" s="273"/>
      <c r="AB446" s="273"/>
      <c r="AC446" s="273"/>
      <c r="AD446" s="273"/>
    </row>
    <row r="447" spans="1:30" ht="14.25" customHeight="1">
      <c r="A447" s="273"/>
      <c r="B447" s="273"/>
      <c r="C447" s="273"/>
      <c r="D447" s="273"/>
      <c r="E447" s="274"/>
      <c r="F447" s="273"/>
      <c r="G447" s="273"/>
      <c r="H447" s="273"/>
      <c r="I447" s="273"/>
      <c r="J447" s="273"/>
      <c r="K447" s="273"/>
      <c r="L447" s="273"/>
      <c r="M447" s="273"/>
      <c r="N447" s="273"/>
      <c r="O447" s="273"/>
      <c r="P447" s="273"/>
      <c r="Q447" s="273"/>
      <c r="R447" s="273"/>
      <c r="S447" s="273"/>
      <c r="T447" s="273"/>
      <c r="U447" s="273"/>
      <c r="V447" s="273"/>
      <c r="W447" s="273"/>
      <c r="X447" s="273"/>
      <c r="Y447" s="273"/>
      <c r="Z447" s="467"/>
      <c r="AA447" s="273"/>
      <c r="AB447" s="273"/>
      <c r="AC447" s="273"/>
      <c r="AD447" s="273"/>
    </row>
    <row r="448" spans="1:30" ht="14.25" customHeight="1">
      <c r="A448" s="273"/>
      <c r="B448" s="273"/>
      <c r="C448" s="273"/>
      <c r="D448" s="273"/>
      <c r="E448" s="274"/>
      <c r="F448" s="273"/>
      <c r="G448" s="273"/>
      <c r="H448" s="273"/>
      <c r="I448" s="273"/>
      <c r="J448" s="273"/>
      <c r="K448" s="273"/>
      <c r="L448" s="273"/>
      <c r="M448" s="273"/>
      <c r="N448" s="273"/>
      <c r="O448" s="273"/>
      <c r="P448" s="273"/>
      <c r="Q448" s="273"/>
      <c r="R448" s="273"/>
      <c r="S448" s="273"/>
      <c r="T448" s="273"/>
      <c r="U448" s="273"/>
      <c r="V448" s="273"/>
      <c r="W448" s="273"/>
      <c r="X448" s="273"/>
      <c r="Y448" s="273"/>
      <c r="Z448" s="467"/>
      <c r="AA448" s="273"/>
      <c r="AB448" s="273"/>
      <c r="AC448" s="273"/>
      <c r="AD448" s="273"/>
    </row>
    <row r="449" spans="1:30" ht="14.25" customHeight="1">
      <c r="A449" s="273"/>
      <c r="B449" s="273"/>
      <c r="C449" s="273"/>
      <c r="D449" s="273"/>
      <c r="E449" s="274"/>
      <c r="F449" s="273"/>
      <c r="G449" s="273"/>
      <c r="H449" s="273"/>
      <c r="I449" s="273"/>
      <c r="J449" s="273"/>
      <c r="K449" s="273"/>
      <c r="L449" s="273"/>
      <c r="M449" s="273"/>
      <c r="N449" s="273"/>
      <c r="O449" s="273"/>
      <c r="P449" s="273"/>
      <c r="Q449" s="273"/>
      <c r="R449" s="273"/>
      <c r="S449" s="273"/>
      <c r="T449" s="273"/>
      <c r="U449" s="273"/>
      <c r="V449" s="273"/>
      <c r="W449" s="273"/>
      <c r="X449" s="273"/>
      <c r="Y449" s="273"/>
      <c r="Z449" s="467"/>
      <c r="AA449" s="273"/>
      <c r="AB449" s="273"/>
      <c r="AC449" s="273"/>
      <c r="AD449" s="273"/>
    </row>
    <row r="450" spans="1:30" ht="14.25" customHeight="1">
      <c r="A450" s="273"/>
      <c r="B450" s="273"/>
      <c r="C450" s="273"/>
      <c r="D450" s="273"/>
      <c r="E450" s="274"/>
      <c r="F450" s="273"/>
      <c r="G450" s="273"/>
      <c r="H450" s="273"/>
      <c r="I450" s="273"/>
      <c r="J450" s="273"/>
      <c r="K450" s="273"/>
      <c r="L450" s="273"/>
      <c r="M450" s="273"/>
      <c r="N450" s="273"/>
      <c r="O450" s="273"/>
      <c r="P450" s="273"/>
      <c r="Q450" s="273"/>
      <c r="R450" s="273"/>
      <c r="S450" s="273"/>
      <c r="T450" s="273"/>
      <c r="U450" s="273"/>
      <c r="V450" s="273"/>
      <c r="W450" s="273"/>
      <c r="X450" s="273"/>
      <c r="Y450" s="273"/>
      <c r="Z450" s="467"/>
      <c r="AA450" s="273"/>
      <c r="AB450" s="273"/>
      <c r="AC450" s="273"/>
      <c r="AD450" s="273"/>
    </row>
    <row r="451" spans="1:30" ht="14.25" customHeight="1">
      <c r="A451" s="273"/>
      <c r="B451" s="273"/>
      <c r="C451" s="273"/>
      <c r="D451" s="273"/>
      <c r="E451" s="274"/>
      <c r="F451" s="273"/>
      <c r="G451" s="273"/>
      <c r="H451" s="273"/>
      <c r="I451" s="273"/>
      <c r="J451" s="273"/>
      <c r="K451" s="273"/>
      <c r="L451" s="273"/>
      <c r="M451" s="273"/>
      <c r="N451" s="273"/>
      <c r="O451" s="273"/>
      <c r="P451" s="273"/>
      <c r="Q451" s="273"/>
      <c r="R451" s="273"/>
      <c r="S451" s="273"/>
      <c r="T451" s="273"/>
      <c r="U451" s="273"/>
      <c r="V451" s="273"/>
      <c r="W451" s="273"/>
      <c r="X451" s="273"/>
      <c r="Y451" s="273"/>
      <c r="Z451" s="467"/>
      <c r="AA451" s="273"/>
      <c r="AB451" s="273"/>
      <c r="AC451" s="273"/>
      <c r="AD451" s="273"/>
    </row>
    <row r="452" spans="1:30" ht="14.25" customHeight="1">
      <c r="A452" s="273"/>
      <c r="B452" s="273"/>
      <c r="C452" s="273"/>
      <c r="D452" s="273"/>
      <c r="E452" s="274"/>
      <c r="F452" s="273"/>
      <c r="G452" s="273"/>
      <c r="H452" s="273"/>
      <c r="I452" s="273"/>
      <c r="J452" s="273"/>
      <c r="K452" s="273"/>
      <c r="L452" s="273"/>
      <c r="M452" s="273"/>
      <c r="N452" s="273"/>
      <c r="O452" s="273"/>
      <c r="P452" s="273"/>
      <c r="Q452" s="273"/>
      <c r="R452" s="273"/>
      <c r="S452" s="273"/>
      <c r="T452" s="273"/>
      <c r="U452" s="273"/>
      <c r="V452" s="273"/>
      <c r="W452" s="273"/>
      <c r="X452" s="273"/>
      <c r="Y452" s="273"/>
      <c r="Z452" s="467"/>
      <c r="AA452" s="273"/>
      <c r="AB452" s="273"/>
      <c r="AC452" s="273"/>
      <c r="AD452" s="273"/>
    </row>
    <row r="453" spans="1:30" ht="14.25" customHeight="1">
      <c r="A453" s="273"/>
      <c r="B453" s="273"/>
      <c r="C453" s="273"/>
      <c r="D453" s="273"/>
      <c r="E453" s="274"/>
      <c r="F453" s="273"/>
      <c r="G453" s="273"/>
      <c r="H453" s="273"/>
      <c r="I453" s="273"/>
      <c r="J453" s="273"/>
      <c r="K453" s="273"/>
      <c r="L453" s="273"/>
      <c r="M453" s="273"/>
      <c r="N453" s="273"/>
      <c r="O453" s="273"/>
      <c r="P453" s="273"/>
      <c r="Q453" s="273"/>
      <c r="R453" s="273"/>
      <c r="S453" s="273"/>
      <c r="T453" s="273"/>
      <c r="U453" s="273"/>
      <c r="V453" s="273"/>
      <c r="W453" s="273"/>
      <c r="X453" s="273"/>
      <c r="Y453" s="273"/>
      <c r="Z453" s="467"/>
      <c r="AA453" s="273"/>
      <c r="AB453" s="273"/>
      <c r="AC453" s="273"/>
      <c r="AD453" s="273"/>
    </row>
    <row r="454" spans="1:30" ht="14.25" customHeight="1">
      <c r="A454" s="273"/>
      <c r="B454" s="273"/>
      <c r="C454" s="273"/>
      <c r="D454" s="273"/>
      <c r="E454" s="274"/>
      <c r="F454" s="273"/>
      <c r="G454" s="273"/>
      <c r="H454" s="273"/>
      <c r="I454" s="273"/>
      <c r="J454" s="273"/>
      <c r="K454" s="273"/>
      <c r="L454" s="273"/>
      <c r="M454" s="273"/>
      <c r="N454" s="273"/>
      <c r="O454" s="273"/>
      <c r="P454" s="273"/>
      <c r="Q454" s="273"/>
      <c r="R454" s="273"/>
      <c r="S454" s="273"/>
      <c r="T454" s="273"/>
      <c r="U454" s="273"/>
      <c r="V454" s="273"/>
      <c r="W454" s="273"/>
      <c r="X454" s="273"/>
      <c r="Y454" s="273"/>
      <c r="Z454" s="467"/>
      <c r="AA454" s="273"/>
      <c r="AB454" s="273"/>
      <c r="AC454" s="273"/>
      <c r="AD454" s="273"/>
    </row>
    <row r="455" spans="1:30" ht="14.25" customHeight="1">
      <c r="A455" s="273"/>
      <c r="B455" s="273"/>
      <c r="C455" s="273"/>
      <c r="D455" s="273"/>
      <c r="E455" s="274"/>
      <c r="F455" s="273"/>
      <c r="G455" s="273"/>
      <c r="H455" s="273"/>
      <c r="I455" s="273"/>
      <c r="J455" s="273"/>
      <c r="K455" s="273"/>
      <c r="L455" s="273"/>
      <c r="M455" s="273"/>
      <c r="N455" s="273"/>
      <c r="O455" s="273"/>
      <c r="P455" s="273"/>
      <c r="Q455" s="273"/>
      <c r="R455" s="273"/>
      <c r="S455" s="273"/>
      <c r="T455" s="273"/>
      <c r="U455" s="273"/>
      <c r="V455" s="273"/>
      <c r="W455" s="273"/>
      <c r="X455" s="273"/>
      <c r="Y455" s="273"/>
      <c r="Z455" s="467"/>
      <c r="AA455" s="273"/>
      <c r="AB455" s="273"/>
      <c r="AC455" s="273"/>
      <c r="AD455" s="273"/>
    </row>
    <row r="456" spans="1:30" ht="14.25" customHeight="1">
      <c r="A456" s="273"/>
      <c r="B456" s="273"/>
      <c r="C456" s="273"/>
      <c r="D456" s="273"/>
      <c r="E456" s="274"/>
      <c r="F456" s="273"/>
      <c r="G456" s="273"/>
      <c r="H456" s="273"/>
      <c r="I456" s="273"/>
      <c r="J456" s="273"/>
      <c r="K456" s="273"/>
      <c r="L456" s="273"/>
      <c r="M456" s="273"/>
      <c r="N456" s="273"/>
      <c r="O456" s="273"/>
      <c r="P456" s="273"/>
      <c r="Q456" s="273"/>
      <c r="R456" s="273"/>
      <c r="S456" s="273"/>
      <c r="T456" s="273"/>
      <c r="U456" s="273"/>
      <c r="V456" s="273"/>
      <c r="W456" s="273"/>
      <c r="X456" s="273"/>
      <c r="Y456" s="273"/>
      <c r="Z456" s="467"/>
      <c r="AA456" s="273"/>
      <c r="AB456" s="273"/>
      <c r="AC456" s="273"/>
      <c r="AD456" s="273"/>
    </row>
    <row r="457" spans="1:30" ht="14.25" customHeight="1">
      <c r="A457" s="273"/>
      <c r="B457" s="273"/>
      <c r="C457" s="273"/>
      <c r="D457" s="273"/>
      <c r="E457" s="274"/>
      <c r="F457" s="273"/>
      <c r="G457" s="273"/>
      <c r="H457" s="273"/>
      <c r="I457" s="273"/>
      <c r="J457" s="273"/>
      <c r="K457" s="273"/>
      <c r="L457" s="273"/>
      <c r="M457" s="273"/>
      <c r="N457" s="273"/>
      <c r="O457" s="273"/>
      <c r="P457" s="273"/>
      <c r="Q457" s="273"/>
      <c r="R457" s="273"/>
      <c r="S457" s="273"/>
      <c r="T457" s="273"/>
      <c r="U457" s="273"/>
      <c r="V457" s="273"/>
      <c r="W457" s="273"/>
      <c r="X457" s="273"/>
      <c r="Y457" s="273"/>
      <c r="Z457" s="467"/>
      <c r="AA457" s="273"/>
      <c r="AB457" s="273"/>
      <c r="AC457" s="273"/>
      <c r="AD457" s="273"/>
    </row>
    <row r="458" spans="1:30" ht="14.25" customHeight="1">
      <c r="A458" s="273"/>
      <c r="B458" s="273"/>
      <c r="C458" s="273"/>
      <c r="D458" s="273"/>
      <c r="E458" s="274"/>
      <c r="F458" s="273"/>
      <c r="G458" s="273"/>
      <c r="H458" s="273"/>
      <c r="I458" s="273"/>
      <c r="J458" s="273"/>
      <c r="K458" s="273"/>
      <c r="L458" s="273"/>
      <c r="M458" s="273"/>
      <c r="N458" s="273"/>
      <c r="O458" s="273"/>
      <c r="P458" s="273"/>
      <c r="Q458" s="273"/>
      <c r="R458" s="273"/>
      <c r="S458" s="273"/>
      <c r="T458" s="273"/>
      <c r="U458" s="273"/>
      <c r="V458" s="273"/>
      <c r="W458" s="273"/>
      <c r="X458" s="273"/>
      <c r="Y458" s="273"/>
      <c r="Z458" s="467"/>
      <c r="AA458" s="273"/>
      <c r="AB458" s="273"/>
      <c r="AC458" s="273"/>
      <c r="AD458" s="273"/>
    </row>
    <row r="459" spans="1:30" ht="14.25" customHeight="1">
      <c r="A459" s="273"/>
      <c r="B459" s="273"/>
      <c r="C459" s="273"/>
      <c r="D459" s="273"/>
      <c r="E459" s="274"/>
      <c r="F459" s="273"/>
      <c r="G459" s="273"/>
      <c r="H459" s="273"/>
      <c r="I459" s="273"/>
      <c r="J459" s="273"/>
      <c r="K459" s="273"/>
      <c r="L459" s="273"/>
      <c r="M459" s="273"/>
      <c r="N459" s="273"/>
      <c r="O459" s="273"/>
      <c r="P459" s="273"/>
      <c r="Q459" s="273"/>
      <c r="R459" s="273"/>
      <c r="S459" s="273"/>
      <c r="T459" s="273"/>
      <c r="U459" s="273"/>
      <c r="V459" s="273"/>
      <c r="W459" s="273"/>
      <c r="X459" s="273"/>
      <c r="Y459" s="273"/>
      <c r="Z459" s="467"/>
      <c r="AA459" s="273"/>
      <c r="AB459" s="273"/>
      <c r="AC459" s="273"/>
      <c r="AD459" s="273"/>
    </row>
    <row r="460" spans="1:30" ht="14.25" customHeight="1">
      <c r="A460" s="273"/>
      <c r="B460" s="273"/>
      <c r="C460" s="273"/>
      <c r="D460" s="273"/>
      <c r="E460" s="274"/>
      <c r="F460" s="273"/>
      <c r="G460" s="273"/>
      <c r="H460" s="273"/>
      <c r="I460" s="273"/>
      <c r="J460" s="273"/>
      <c r="K460" s="273"/>
      <c r="L460" s="273"/>
      <c r="M460" s="273"/>
      <c r="N460" s="273"/>
      <c r="O460" s="273"/>
      <c r="P460" s="273"/>
      <c r="Q460" s="273"/>
      <c r="R460" s="273"/>
      <c r="S460" s="273"/>
      <c r="T460" s="273"/>
      <c r="U460" s="273"/>
      <c r="V460" s="273"/>
      <c r="W460" s="273"/>
      <c r="X460" s="273"/>
      <c r="Y460" s="273"/>
      <c r="Z460" s="467"/>
      <c r="AA460" s="273"/>
      <c r="AB460" s="273"/>
      <c r="AC460" s="273"/>
      <c r="AD460" s="273"/>
    </row>
    <row r="461" spans="1:30" ht="14.25" customHeight="1">
      <c r="A461" s="273"/>
      <c r="B461" s="273"/>
      <c r="C461" s="273"/>
      <c r="D461" s="273"/>
      <c r="E461" s="274"/>
      <c r="F461" s="273"/>
      <c r="G461" s="273"/>
      <c r="H461" s="273"/>
      <c r="I461" s="273"/>
      <c r="J461" s="273"/>
      <c r="K461" s="273"/>
      <c r="L461" s="273"/>
      <c r="M461" s="273"/>
      <c r="N461" s="273"/>
      <c r="O461" s="273"/>
      <c r="P461" s="273"/>
      <c r="Q461" s="273"/>
      <c r="R461" s="273"/>
      <c r="S461" s="273"/>
      <c r="T461" s="273"/>
      <c r="U461" s="273"/>
      <c r="V461" s="273"/>
      <c r="W461" s="273"/>
      <c r="X461" s="273"/>
      <c r="Y461" s="273"/>
      <c r="Z461" s="467"/>
      <c r="AA461" s="273"/>
      <c r="AB461" s="273"/>
      <c r="AC461" s="273"/>
      <c r="AD461" s="273"/>
    </row>
    <row r="462" spans="1:30" ht="14.25" customHeight="1">
      <c r="A462" s="273"/>
      <c r="B462" s="273"/>
      <c r="C462" s="273"/>
      <c r="D462" s="273"/>
      <c r="E462" s="274"/>
      <c r="F462" s="273"/>
      <c r="G462" s="273"/>
      <c r="H462" s="273"/>
      <c r="I462" s="273"/>
      <c r="J462" s="273"/>
      <c r="K462" s="273"/>
      <c r="L462" s="273"/>
      <c r="M462" s="273"/>
      <c r="N462" s="273"/>
      <c r="O462" s="273"/>
      <c r="P462" s="273"/>
      <c r="Q462" s="273"/>
      <c r="R462" s="273"/>
      <c r="S462" s="273"/>
      <c r="T462" s="273"/>
      <c r="U462" s="273"/>
      <c r="V462" s="273"/>
      <c r="W462" s="273"/>
      <c r="X462" s="273"/>
      <c r="Y462" s="273"/>
      <c r="Z462" s="467"/>
      <c r="AA462" s="273"/>
      <c r="AB462" s="273"/>
      <c r="AC462" s="273"/>
      <c r="AD462" s="273"/>
    </row>
    <row r="463" spans="1:30" ht="14.25" customHeight="1">
      <c r="A463" s="273"/>
      <c r="B463" s="273"/>
      <c r="C463" s="273"/>
      <c r="D463" s="273"/>
      <c r="E463" s="274"/>
      <c r="F463" s="273"/>
      <c r="G463" s="273"/>
      <c r="H463" s="273"/>
      <c r="I463" s="273"/>
      <c r="J463" s="273"/>
      <c r="K463" s="273"/>
      <c r="L463" s="273"/>
      <c r="M463" s="273"/>
      <c r="N463" s="273"/>
      <c r="O463" s="273"/>
      <c r="P463" s="273"/>
      <c r="Q463" s="273"/>
      <c r="R463" s="273"/>
      <c r="S463" s="273"/>
      <c r="T463" s="273"/>
      <c r="U463" s="273"/>
      <c r="V463" s="273"/>
      <c r="W463" s="273"/>
      <c r="X463" s="273"/>
      <c r="Y463" s="273"/>
      <c r="Z463" s="467"/>
      <c r="AA463" s="273"/>
      <c r="AB463" s="273"/>
      <c r="AC463" s="273"/>
      <c r="AD463" s="273"/>
    </row>
    <row r="464" spans="1:30" ht="14.25" customHeight="1">
      <c r="A464" s="273"/>
      <c r="B464" s="273"/>
      <c r="C464" s="273"/>
      <c r="D464" s="273"/>
      <c r="E464" s="274"/>
      <c r="F464" s="273"/>
      <c r="G464" s="273"/>
      <c r="H464" s="273"/>
      <c r="I464" s="273"/>
      <c r="J464" s="273"/>
      <c r="K464" s="273"/>
      <c r="L464" s="273"/>
      <c r="M464" s="273"/>
      <c r="N464" s="273"/>
      <c r="O464" s="273"/>
      <c r="P464" s="273"/>
      <c r="Q464" s="273"/>
      <c r="R464" s="273"/>
      <c r="S464" s="273"/>
      <c r="T464" s="273"/>
      <c r="U464" s="273"/>
      <c r="V464" s="273"/>
      <c r="W464" s="273"/>
      <c r="X464" s="273"/>
      <c r="Y464" s="273"/>
      <c r="Z464" s="467"/>
      <c r="AA464" s="273"/>
      <c r="AB464" s="273"/>
      <c r="AC464" s="273"/>
      <c r="AD464" s="273"/>
    </row>
    <row r="465" spans="1:30" ht="14.25" customHeight="1">
      <c r="A465" s="273"/>
      <c r="B465" s="273"/>
      <c r="C465" s="273"/>
      <c r="D465" s="273"/>
      <c r="E465" s="274"/>
      <c r="F465" s="273"/>
      <c r="G465" s="273"/>
      <c r="H465" s="273"/>
      <c r="I465" s="273"/>
      <c r="J465" s="273"/>
      <c r="K465" s="273"/>
      <c r="L465" s="273"/>
      <c r="M465" s="273"/>
      <c r="N465" s="273"/>
      <c r="O465" s="273"/>
      <c r="P465" s="273"/>
      <c r="Q465" s="273"/>
      <c r="R465" s="273"/>
      <c r="S465" s="273"/>
      <c r="T465" s="273"/>
      <c r="U465" s="273"/>
      <c r="V465" s="273"/>
      <c r="W465" s="273"/>
      <c r="X465" s="273"/>
      <c r="Y465" s="273"/>
      <c r="Z465" s="467"/>
      <c r="AA465" s="273"/>
      <c r="AB465" s="273"/>
      <c r="AC465" s="273"/>
      <c r="AD465" s="273"/>
    </row>
    <row r="466" spans="1:30" ht="14.25" customHeight="1">
      <c r="A466" s="273"/>
      <c r="B466" s="273"/>
      <c r="C466" s="273"/>
      <c r="D466" s="273"/>
      <c r="E466" s="274"/>
      <c r="F466" s="273"/>
      <c r="G466" s="273"/>
      <c r="H466" s="273"/>
      <c r="I466" s="273"/>
      <c r="J466" s="273"/>
      <c r="K466" s="273"/>
      <c r="L466" s="273"/>
      <c r="M466" s="273"/>
      <c r="N466" s="273"/>
      <c r="O466" s="273"/>
      <c r="P466" s="273"/>
      <c r="Q466" s="273"/>
      <c r="R466" s="273"/>
      <c r="S466" s="273"/>
      <c r="T466" s="273"/>
      <c r="U466" s="273"/>
      <c r="V466" s="273"/>
      <c r="W466" s="273"/>
      <c r="X466" s="273"/>
      <c r="Y466" s="273"/>
      <c r="Z466" s="467"/>
      <c r="AA466" s="273"/>
      <c r="AB466" s="273"/>
      <c r="AC466" s="273"/>
      <c r="AD466" s="273"/>
    </row>
    <row r="467" spans="1:30" ht="14.25" customHeight="1">
      <c r="A467" s="273"/>
      <c r="B467" s="273"/>
      <c r="C467" s="273"/>
      <c r="D467" s="273"/>
      <c r="E467" s="274"/>
      <c r="F467" s="273"/>
      <c r="G467" s="273"/>
      <c r="H467" s="273"/>
      <c r="I467" s="273"/>
      <c r="J467" s="273"/>
      <c r="K467" s="273"/>
      <c r="L467" s="273"/>
      <c r="M467" s="273"/>
      <c r="N467" s="273"/>
      <c r="O467" s="273"/>
      <c r="P467" s="273"/>
      <c r="Q467" s="273"/>
      <c r="R467" s="273"/>
      <c r="S467" s="273"/>
      <c r="T467" s="273"/>
      <c r="U467" s="273"/>
      <c r="V467" s="273"/>
      <c r="W467" s="273"/>
      <c r="X467" s="273"/>
      <c r="Y467" s="273"/>
      <c r="Z467" s="467"/>
      <c r="AA467" s="273"/>
      <c r="AB467" s="273"/>
      <c r="AC467" s="273"/>
      <c r="AD467" s="273"/>
    </row>
    <row r="468" spans="1:30" ht="14.25" customHeight="1">
      <c r="A468" s="273"/>
      <c r="B468" s="273"/>
      <c r="C468" s="273"/>
      <c r="D468" s="273"/>
      <c r="E468" s="274"/>
      <c r="F468" s="273"/>
      <c r="G468" s="273"/>
      <c r="H468" s="273"/>
      <c r="I468" s="273"/>
      <c r="J468" s="273"/>
      <c r="K468" s="273"/>
      <c r="L468" s="273"/>
      <c r="M468" s="273"/>
      <c r="N468" s="273"/>
      <c r="O468" s="273"/>
      <c r="P468" s="273"/>
      <c r="Q468" s="273"/>
      <c r="R468" s="273"/>
      <c r="S468" s="273"/>
      <c r="T468" s="273"/>
      <c r="U468" s="273"/>
      <c r="V468" s="273"/>
      <c r="W468" s="273"/>
      <c r="X468" s="273"/>
      <c r="Y468" s="273"/>
      <c r="Z468" s="467"/>
      <c r="AA468" s="273"/>
      <c r="AB468" s="273"/>
      <c r="AC468" s="273"/>
      <c r="AD468" s="273"/>
    </row>
    <row r="469" spans="1:30" ht="14.25" customHeight="1">
      <c r="A469" s="273"/>
      <c r="B469" s="273"/>
      <c r="C469" s="273"/>
      <c r="D469" s="273"/>
      <c r="E469" s="274"/>
      <c r="F469" s="273"/>
      <c r="G469" s="273"/>
      <c r="H469" s="273"/>
      <c r="I469" s="273"/>
      <c r="J469" s="273"/>
      <c r="K469" s="273"/>
      <c r="L469" s="273"/>
      <c r="M469" s="273"/>
      <c r="N469" s="273"/>
      <c r="O469" s="273"/>
      <c r="P469" s="273"/>
      <c r="Q469" s="273"/>
      <c r="R469" s="273"/>
      <c r="S469" s="273"/>
      <c r="T469" s="273"/>
      <c r="U469" s="273"/>
      <c r="V469" s="273"/>
      <c r="W469" s="273"/>
      <c r="X469" s="273"/>
      <c r="Y469" s="273"/>
      <c r="Z469" s="467"/>
      <c r="AA469" s="273"/>
      <c r="AB469" s="273"/>
      <c r="AC469" s="273"/>
      <c r="AD469" s="273"/>
    </row>
    <row r="470" spans="1:30" ht="14.25" customHeight="1">
      <c r="A470" s="273"/>
      <c r="B470" s="273"/>
      <c r="C470" s="273"/>
      <c r="D470" s="273"/>
      <c r="E470" s="274"/>
      <c r="F470" s="273"/>
      <c r="G470" s="273"/>
      <c r="H470" s="273"/>
      <c r="I470" s="273"/>
      <c r="J470" s="273"/>
      <c r="K470" s="273"/>
      <c r="L470" s="273"/>
      <c r="M470" s="273"/>
      <c r="N470" s="273"/>
      <c r="O470" s="273"/>
      <c r="P470" s="273"/>
      <c r="Q470" s="273"/>
      <c r="R470" s="273"/>
      <c r="S470" s="273"/>
      <c r="T470" s="273"/>
      <c r="U470" s="273"/>
      <c r="V470" s="273"/>
      <c r="W470" s="273"/>
      <c r="X470" s="273"/>
      <c r="Y470" s="273"/>
      <c r="Z470" s="467"/>
      <c r="AA470" s="273"/>
      <c r="AB470" s="273"/>
      <c r="AC470" s="273"/>
      <c r="AD470" s="273"/>
    </row>
    <row r="471" spans="1:30" ht="14.25" customHeight="1">
      <c r="A471" s="273"/>
      <c r="B471" s="273"/>
      <c r="C471" s="273"/>
      <c r="D471" s="273"/>
      <c r="E471" s="274"/>
      <c r="F471" s="273"/>
      <c r="G471" s="273"/>
      <c r="H471" s="273"/>
      <c r="I471" s="273"/>
      <c r="J471" s="273"/>
      <c r="K471" s="273"/>
      <c r="L471" s="273"/>
      <c r="M471" s="273"/>
      <c r="N471" s="273"/>
      <c r="O471" s="273"/>
      <c r="P471" s="273"/>
      <c r="Q471" s="273"/>
      <c r="R471" s="273"/>
      <c r="S471" s="273"/>
      <c r="T471" s="273"/>
      <c r="U471" s="273"/>
      <c r="V471" s="273"/>
      <c r="W471" s="273"/>
      <c r="X471" s="273"/>
      <c r="Y471" s="273"/>
      <c r="Z471" s="467"/>
      <c r="AA471" s="273"/>
      <c r="AB471" s="273"/>
      <c r="AC471" s="273"/>
      <c r="AD471" s="273"/>
    </row>
    <row r="472" spans="1:30" ht="14.25" customHeight="1">
      <c r="A472" s="273"/>
      <c r="B472" s="273"/>
      <c r="C472" s="273"/>
      <c r="D472" s="273"/>
      <c r="E472" s="274"/>
      <c r="F472" s="273"/>
      <c r="G472" s="273"/>
      <c r="H472" s="273"/>
      <c r="I472" s="273"/>
      <c r="J472" s="273"/>
      <c r="K472" s="273"/>
      <c r="L472" s="273"/>
      <c r="M472" s="273"/>
      <c r="N472" s="273"/>
      <c r="O472" s="273"/>
      <c r="P472" s="273"/>
      <c r="Q472" s="273"/>
      <c r="R472" s="273"/>
      <c r="S472" s="273"/>
      <c r="T472" s="273"/>
      <c r="U472" s="273"/>
      <c r="V472" s="273"/>
      <c r="W472" s="273"/>
      <c r="X472" s="273"/>
      <c r="Y472" s="273"/>
      <c r="Z472" s="467"/>
      <c r="AA472" s="273"/>
      <c r="AB472" s="273"/>
      <c r="AC472" s="273"/>
      <c r="AD472" s="273"/>
    </row>
    <row r="473" spans="1:30" ht="14.25" customHeight="1">
      <c r="A473" s="273"/>
      <c r="B473" s="273"/>
      <c r="C473" s="273"/>
      <c r="D473" s="273"/>
      <c r="E473" s="274"/>
      <c r="F473" s="273"/>
      <c r="G473" s="273"/>
      <c r="H473" s="273"/>
      <c r="I473" s="273"/>
      <c r="J473" s="273"/>
      <c r="K473" s="273"/>
      <c r="L473" s="273"/>
      <c r="M473" s="273"/>
      <c r="N473" s="273"/>
      <c r="O473" s="273"/>
      <c r="P473" s="273"/>
      <c r="Q473" s="273"/>
      <c r="R473" s="273"/>
      <c r="S473" s="273"/>
      <c r="T473" s="273"/>
      <c r="U473" s="273"/>
      <c r="V473" s="273"/>
      <c r="W473" s="273"/>
      <c r="X473" s="273"/>
      <c r="Y473" s="273"/>
      <c r="Z473" s="467"/>
      <c r="AA473" s="273"/>
      <c r="AB473" s="273"/>
      <c r="AC473" s="273"/>
      <c r="AD473" s="273"/>
    </row>
    <row r="474" spans="1:30" ht="14.25" customHeight="1">
      <c r="A474" s="273"/>
      <c r="B474" s="273"/>
      <c r="C474" s="273"/>
      <c r="D474" s="273"/>
      <c r="E474" s="274"/>
      <c r="F474" s="273"/>
      <c r="G474" s="273"/>
      <c r="H474" s="273"/>
      <c r="I474" s="273"/>
      <c r="J474" s="273"/>
      <c r="K474" s="273"/>
      <c r="L474" s="273"/>
      <c r="M474" s="273"/>
      <c r="N474" s="273"/>
      <c r="O474" s="273"/>
      <c r="P474" s="273"/>
      <c r="Q474" s="273"/>
      <c r="R474" s="273"/>
      <c r="S474" s="273"/>
      <c r="T474" s="273"/>
      <c r="U474" s="273"/>
      <c r="V474" s="273"/>
      <c r="W474" s="273"/>
      <c r="X474" s="273"/>
      <c r="Y474" s="273"/>
      <c r="Z474" s="467"/>
      <c r="AA474" s="273"/>
      <c r="AB474" s="273"/>
      <c r="AC474" s="273"/>
      <c r="AD474" s="273"/>
    </row>
    <row r="475" spans="1:30" ht="14.25" customHeight="1">
      <c r="A475" s="273"/>
      <c r="B475" s="273"/>
      <c r="C475" s="273"/>
      <c r="D475" s="273"/>
      <c r="E475" s="274"/>
      <c r="F475" s="273"/>
      <c r="G475" s="273"/>
      <c r="H475" s="273"/>
      <c r="I475" s="273"/>
      <c r="J475" s="273"/>
      <c r="K475" s="273"/>
      <c r="L475" s="273"/>
      <c r="M475" s="273"/>
      <c r="N475" s="273"/>
      <c r="O475" s="273"/>
      <c r="P475" s="273"/>
      <c r="Q475" s="273"/>
      <c r="R475" s="273"/>
      <c r="S475" s="273"/>
      <c r="T475" s="273"/>
      <c r="U475" s="273"/>
      <c r="V475" s="273"/>
      <c r="W475" s="273"/>
      <c r="X475" s="273"/>
      <c r="Y475" s="273"/>
      <c r="Z475" s="467"/>
      <c r="AA475" s="273"/>
      <c r="AB475" s="273"/>
      <c r="AC475" s="273"/>
      <c r="AD475" s="273"/>
    </row>
    <row r="476" spans="1:30" ht="14.25" customHeight="1">
      <c r="A476" s="273"/>
      <c r="B476" s="273"/>
      <c r="C476" s="273"/>
      <c r="D476" s="273"/>
      <c r="E476" s="274"/>
      <c r="F476" s="273"/>
      <c r="G476" s="273"/>
      <c r="H476" s="273"/>
      <c r="I476" s="273"/>
      <c r="J476" s="273"/>
      <c r="K476" s="273"/>
      <c r="L476" s="273"/>
      <c r="M476" s="273"/>
      <c r="N476" s="273"/>
      <c r="O476" s="273"/>
      <c r="P476" s="273"/>
      <c r="Q476" s="273"/>
      <c r="R476" s="273"/>
      <c r="S476" s="273"/>
      <c r="T476" s="273"/>
      <c r="U476" s="273"/>
      <c r="V476" s="273"/>
      <c r="W476" s="273"/>
      <c r="X476" s="273"/>
      <c r="Y476" s="273"/>
      <c r="Z476" s="467"/>
      <c r="AA476" s="273"/>
      <c r="AB476" s="273"/>
      <c r="AC476" s="273"/>
      <c r="AD476" s="273"/>
    </row>
    <row r="477" spans="1:30" ht="14.25" customHeight="1">
      <c r="A477" s="273"/>
      <c r="B477" s="273"/>
      <c r="C477" s="273"/>
      <c r="D477" s="273"/>
      <c r="E477" s="274"/>
      <c r="F477" s="273"/>
      <c r="G477" s="273"/>
      <c r="H477" s="273"/>
      <c r="I477" s="273"/>
      <c r="J477" s="273"/>
      <c r="K477" s="273"/>
      <c r="L477" s="273"/>
      <c r="M477" s="273"/>
      <c r="N477" s="273"/>
      <c r="O477" s="273"/>
      <c r="P477" s="273"/>
      <c r="Q477" s="273"/>
      <c r="R477" s="273"/>
      <c r="S477" s="273"/>
      <c r="T477" s="273"/>
      <c r="U477" s="273"/>
      <c r="V477" s="273"/>
      <c r="W477" s="273"/>
      <c r="X477" s="273"/>
      <c r="Y477" s="273"/>
      <c r="Z477" s="467"/>
      <c r="AA477" s="273"/>
      <c r="AB477" s="273"/>
      <c r="AC477" s="273"/>
      <c r="AD477" s="273"/>
    </row>
    <row r="478" spans="1:30" ht="14.25" customHeight="1">
      <c r="A478" s="273"/>
      <c r="B478" s="273"/>
      <c r="C478" s="273"/>
      <c r="D478" s="273"/>
      <c r="E478" s="274"/>
      <c r="F478" s="273"/>
      <c r="G478" s="273"/>
      <c r="H478" s="273"/>
      <c r="I478" s="273"/>
      <c r="J478" s="273"/>
      <c r="K478" s="273"/>
      <c r="L478" s="273"/>
      <c r="M478" s="273"/>
      <c r="N478" s="273"/>
      <c r="O478" s="273"/>
      <c r="P478" s="273"/>
      <c r="Q478" s="273"/>
      <c r="R478" s="273"/>
      <c r="S478" s="273"/>
      <c r="T478" s="273"/>
      <c r="U478" s="273"/>
      <c r="V478" s="273"/>
      <c r="W478" s="273"/>
      <c r="X478" s="273"/>
      <c r="Y478" s="273"/>
      <c r="Z478" s="467"/>
      <c r="AA478" s="273"/>
      <c r="AB478" s="273"/>
      <c r="AC478" s="273"/>
      <c r="AD478" s="273"/>
    </row>
    <row r="479" spans="1:30" ht="14.25" customHeight="1">
      <c r="A479" s="273"/>
      <c r="B479" s="273"/>
      <c r="C479" s="273"/>
      <c r="D479" s="273"/>
      <c r="E479" s="274"/>
      <c r="F479" s="273"/>
      <c r="G479" s="273"/>
      <c r="H479" s="273"/>
      <c r="I479" s="273"/>
      <c r="J479" s="273"/>
      <c r="K479" s="273"/>
      <c r="L479" s="273"/>
      <c r="M479" s="273"/>
      <c r="N479" s="273"/>
      <c r="O479" s="273"/>
      <c r="P479" s="273"/>
      <c r="Q479" s="273"/>
      <c r="R479" s="273"/>
      <c r="S479" s="273"/>
      <c r="T479" s="273"/>
      <c r="U479" s="273"/>
      <c r="V479" s="273"/>
      <c r="W479" s="273"/>
      <c r="X479" s="273"/>
      <c r="Y479" s="273"/>
      <c r="Z479" s="467"/>
      <c r="AA479" s="273"/>
      <c r="AB479" s="273"/>
      <c r="AC479" s="273"/>
      <c r="AD479" s="273"/>
    </row>
    <row r="480" spans="1:30" ht="14.25" customHeight="1">
      <c r="A480" s="273"/>
      <c r="B480" s="273"/>
      <c r="C480" s="273"/>
      <c r="D480" s="273"/>
      <c r="E480" s="274"/>
      <c r="F480" s="273"/>
      <c r="G480" s="273"/>
      <c r="H480" s="273"/>
      <c r="I480" s="273"/>
      <c r="J480" s="273"/>
      <c r="K480" s="273"/>
      <c r="L480" s="273"/>
      <c r="M480" s="273"/>
      <c r="N480" s="273"/>
      <c r="O480" s="273"/>
      <c r="P480" s="273"/>
      <c r="Q480" s="273"/>
      <c r="R480" s="273"/>
      <c r="S480" s="273"/>
      <c r="T480" s="273"/>
      <c r="U480" s="273"/>
      <c r="V480" s="273"/>
      <c r="W480" s="273"/>
      <c r="X480" s="273"/>
      <c r="Y480" s="273"/>
      <c r="Z480" s="467"/>
      <c r="AA480" s="273"/>
      <c r="AB480" s="273"/>
      <c r="AC480" s="273"/>
      <c r="AD480" s="273"/>
    </row>
    <row r="481" spans="1:30" ht="14.25" customHeight="1">
      <c r="A481" s="273"/>
      <c r="B481" s="273"/>
      <c r="C481" s="273"/>
      <c r="D481" s="273"/>
      <c r="E481" s="274"/>
      <c r="F481" s="273"/>
      <c r="G481" s="273"/>
      <c r="H481" s="273"/>
      <c r="I481" s="273"/>
      <c r="J481" s="273"/>
      <c r="K481" s="273"/>
      <c r="L481" s="273"/>
      <c r="M481" s="273"/>
      <c r="N481" s="273"/>
      <c r="O481" s="273"/>
      <c r="P481" s="273"/>
      <c r="Q481" s="273"/>
      <c r="R481" s="273"/>
      <c r="S481" s="273"/>
      <c r="T481" s="273"/>
      <c r="U481" s="273"/>
      <c r="V481" s="273"/>
      <c r="W481" s="273"/>
      <c r="X481" s="273"/>
      <c r="Y481" s="273"/>
      <c r="Z481" s="467"/>
      <c r="AA481" s="273"/>
      <c r="AB481" s="273"/>
      <c r="AC481" s="273"/>
      <c r="AD481" s="273"/>
    </row>
    <row r="482" spans="1:30" ht="14.25" customHeight="1">
      <c r="A482" s="273"/>
      <c r="B482" s="273"/>
      <c r="C482" s="273"/>
      <c r="D482" s="273"/>
      <c r="E482" s="274"/>
      <c r="F482" s="273"/>
      <c r="G482" s="273"/>
      <c r="H482" s="273"/>
      <c r="I482" s="273"/>
      <c r="J482" s="273"/>
      <c r="K482" s="273"/>
      <c r="L482" s="273"/>
      <c r="M482" s="273"/>
      <c r="N482" s="273"/>
      <c r="O482" s="273"/>
      <c r="P482" s="273"/>
      <c r="Q482" s="273"/>
      <c r="R482" s="273"/>
      <c r="S482" s="273"/>
      <c r="T482" s="273"/>
      <c r="U482" s="273"/>
      <c r="V482" s="273"/>
      <c r="W482" s="273"/>
      <c r="X482" s="273"/>
      <c r="Y482" s="273"/>
      <c r="Z482" s="467"/>
      <c r="AA482" s="273"/>
      <c r="AB482" s="273"/>
      <c r="AC482" s="273"/>
      <c r="AD482" s="273"/>
    </row>
    <row r="483" spans="1:30" ht="14.25" customHeight="1">
      <c r="A483" s="273"/>
      <c r="B483" s="273"/>
      <c r="C483" s="273"/>
      <c r="D483" s="273"/>
      <c r="E483" s="274"/>
      <c r="F483" s="273"/>
      <c r="G483" s="273"/>
      <c r="H483" s="273"/>
      <c r="I483" s="273"/>
      <c r="J483" s="273"/>
      <c r="K483" s="273"/>
      <c r="L483" s="273"/>
      <c r="M483" s="273"/>
      <c r="N483" s="273"/>
      <c r="O483" s="273"/>
      <c r="P483" s="273"/>
      <c r="Q483" s="273"/>
      <c r="R483" s="273"/>
      <c r="S483" s="273"/>
      <c r="T483" s="273"/>
      <c r="U483" s="273"/>
      <c r="V483" s="273"/>
      <c r="W483" s="273"/>
      <c r="X483" s="273"/>
      <c r="Y483" s="273"/>
      <c r="Z483" s="467"/>
      <c r="AA483" s="273"/>
      <c r="AB483" s="273"/>
      <c r="AC483" s="273"/>
      <c r="AD483" s="273"/>
    </row>
    <row r="484" spans="1:30" ht="14.25" customHeight="1">
      <c r="A484" s="273"/>
      <c r="B484" s="273"/>
      <c r="C484" s="273"/>
      <c r="D484" s="273"/>
      <c r="E484" s="274"/>
      <c r="F484" s="273"/>
      <c r="G484" s="273"/>
      <c r="H484" s="273"/>
      <c r="I484" s="273"/>
      <c r="J484" s="273"/>
      <c r="K484" s="273"/>
      <c r="L484" s="273"/>
      <c r="M484" s="273"/>
      <c r="N484" s="273"/>
      <c r="O484" s="273"/>
      <c r="P484" s="273"/>
      <c r="Q484" s="273"/>
      <c r="R484" s="273"/>
      <c r="S484" s="273"/>
      <c r="T484" s="273"/>
      <c r="U484" s="273"/>
      <c r="V484" s="273"/>
      <c r="W484" s="273"/>
      <c r="X484" s="273"/>
      <c r="Y484" s="273"/>
      <c r="Z484" s="467"/>
      <c r="AA484" s="273"/>
      <c r="AB484" s="273"/>
      <c r="AC484" s="273"/>
      <c r="AD484" s="273"/>
    </row>
    <row r="485" spans="1:30" ht="14.25" customHeight="1">
      <c r="A485" s="273"/>
      <c r="B485" s="273"/>
      <c r="C485" s="273"/>
      <c r="D485" s="273"/>
      <c r="E485" s="274"/>
      <c r="F485" s="273"/>
      <c r="G485" s="273"/>
      <c r="H485" s="273"/>
      <c r="I485" s="273"/>
      <c r="J485" s="273"/>
      <c r="K485" s="273"/>
      <c r="L485" s="273"/>
      <c r="M485" s="273"/>
      <c r="N485" s="273"/>
      <c r="O485" s="273"/>
      <c r="P485" s="273"/>
      <c r="Q485" s="273"/>
      <c r="R485" s="273"/>
      <c r="S485" s="273"/>
      <c r="T485" s="273"/>
      <c r="U485" s="273"/>
      <c r="V485" s="273"/>
      <c r="W485" s="273"/>
      <c r="X485" s="273"/>
      <c r="Y485" s="273"/>
      <c r="Z485" s="467"/>
      <c r="AA485" s="273"/>
      <c r="AB485" s="273"/>
      <c r="AC485" s="273"/>
      <c r="AD485" s="273"/>
    </row>
    <row r="486" spans="1:30" ht="14.25" customHeight="1">
      <c r="A486" s="273"/>
      <c r="B486" s="273"/>
      <c r="C486" s="273"/>
      <c r="D486" s="273"/>
      <c r="E486" s="274"/>
      <c r="F486" s="273"/>
      <c r="G486" s="273"/>
      <c r="H486" s="273"/>
      <c r="I486" s="273"/>
      <c r="J486" s="273"/>
      <c r="K486" s="273"/>
      <c r="L486" s="273"/>
      <c r="M486" s="273"/>
      <c r="N486" s="273"/>
      <c r="O486" s="273"/>
      <c r="P486" s="273"/>
      <c r="Q486" s="273"/>
      <c r="R486" s="273"/>
      <c r="S486" s="273"/>
      <c r="T486" s="273"/>
      <c r="U486" s="273"/>
      <c r="V486" s="273"/>
      <c r="W486" s="273"/>
      <c r="X486" s="273"/>
      <c r="Y486" s="273"/>
      <c r="Z486" s="467"/>
      <c r="AA486" s="273"/>
      <c r="AB486" s="273"/>
      <c r="AC486" s="273"/>
      <c r="AD486" s="273"/>
    </row>
    <row r="487" spans="1:30" ht="14.25" customHeight="1">
      <c r="A487" s="273"/>
      <c r="B487" s="273"/>
      <c r="C487" s="273"/>
      <c r="D487" s="273"/>
      <c r="E487" s="274"/>
      <c r="F487" s="273"/>
      <c r="G487" s="273"/>
      <c r="H487" s="273"/>
      <c r="I487" s="273"/>
      <c r="J487" s="273"/>
      <c r="K487" s="273"/>
      <c r="L487" s="273"/>
      <c r="M487" s="273"/>
      <c r="N487" s="273"/>
      <c r="O487" s="273"/>
      <c r="P487" s="273"/>
      <c r="Q487" s="273"/>
      <c r="R487" s="273"/>
      <c r="S487" s="273"/>
      <c r="T487" s="273"/>
      <c r="U487" s="273"/>
      <c r="V487" s="273"/>
      <c r="W487" s="273"/>
      <c r="X487" s="273"/>
      <c r="Y487" s="273"/>
      <c r="Z487" s="467"/>
      <c r="AA487" s="273"/>
      <c r="AB487" s="273"/>
      <c r="AC487" s="273"/>
      <c r="AD487" s="273"/>
    </row>
    <row r="488" spans="1:30" ht="14.25" customHeight="1">
      <c r="A488" s="273"/>
      <c r="B488" s="273"/>
      <c r="C488" s="273"/>
      <c r="D488" s="273"/>
      <c r="E488" s="274"/>
      <c r="F488" s="273"/>
      <c r="G488" s="273"/>
      <c r="H488" s="273"/>
      <c r="I488" s="273"/>
      <c r="J488" s="273"/>
      <c r="K488" s="273"/>
      <c r="L488" s="273"/>
      <c r="M488" s="273"/>
      <c r="N488" s="273"/>
      <c r="O488" s="273"/>
      <c r="P488" s="273"/>
      <c r="Q488" s="273"/>
      <c r="R488" s="273"/>
      <c r="S488" s="273"/>
      <c r="T488" s="273"/>
      <c r="U488" s="273"/>
      <c r="V488" s="273"/>
      <c r="W488" s="273"/>
      <c r="X488" s="273"/>
      <c r="Y488" s="273"/>
      <c r="Z488" s="467"/>
      <c r="AA488" s="273"/>
      <c r="AB488" s="273"/>
      <c r="AC488" s="273"/>
      <c r="AD488" s="273"/>
    </row>
    <row r="489" spans="1:30" ht="14.25" customHeight="1">
      <c r="A489" s="273"/>
      <c r="B489" s="273"/>
      <c r="C489" s="273"/>
      <c r="D489" s="273"/>
      <c r="E489" s="274"/>
      <c r="F489" s="273"/>
      <c r="G489" s="273"/>
      <c r="H489" s="273"/>
      <c r="I489" s="273"/>
      <c r="J489" s="273"/>
      <c r="K489" s="273"/>
      <c r="L489" s="273"/>
      <c r="M489" s="273"/>
      <c r="N489" s="273"/>
      <c r="O489" s="273"/>
      <c r="P489" s="273"/>
      <c r="Q489" s="273"/>
      <c r="R489" s="273"/>
      <c r="S489" s="273"/>
      <c r="T489" s="273"/>
      <c r="U489" s="273"/>
      <c r="V489" s="273"/>
      <c r="W489" s="273"/>
      <c r="X489" s="273"/>
      <c r="Y489" s="273"/>
      <c r="Z489" s="467"/>
      <c r="AA489" s="273"/>
      <c r="AB489" s="273"/>
      <c r="AC489" s="273"/>
      <c r="AD489" s="273"/>
    </row>
    <row r="490" spans="1:30" ht="14.25" customHeight="1">
      <c r="A490" s="273"/>
      <c r="B490" s="273"/>
      <c r="C490" s="273"/>
      <c r="D490" s="273"/>
      <c r="E490" s="274"/>
      <c r="F490" s="273"/>
      <c r="G490" s="273"/>
      <c r="H490" s="273"/>
      <c r="I490" s="273"/>
      <c r="J490" s="273"/>
      <c r="K490" s="273"/>
      <c r="L490" s="273"/>
      <c r="M490" s="273"/>
      <c r="N490" s="273"/>
      <c r="O490" s="273"/>
      <c r="P490" s="273"/>
      <c r="Q490" s="273"/>
      <c r="R490" s="273"/>
      <c r="S490" s="273"/>
      <c r="T490" s="273"/>
      <c r="U490" s="273"/>
      <c r="V490" s="273"/>
      <c r="W490" s="273"/>
      <c r="X490" s="273"/>
      <c r="Y490" s="273"/>
      <c r="Z490" s="467"/>
      <c r="AA490" s="273"/>
      <c r="AB490" s="273"/>
      <c r="AC490" s="273"/>
      <c r="AD490" s="273"/>
    </row>
    <row r="491" spans="1:30" ht="14.25" customHeight="1">
      <c r="A491" s="273"/>
      <c r="B491" s="273"/>
      <c r="C491" s="273"/>
      <c r="D491" s="273"/>
      <c r="E491" s="274"/>
      <c r="F491" s="273"/>
      <c r="G491" s="273"/>
      <c r="H491" s="273"/>
      <c r="I491" s="273"/>
      <c r="J491" s="273"/>
      <c r="K491" s="273"/>
      <c r="L491" s="273"/>
      <c r="M491" s="273"/>
      <c r="N491" s="273"/>
      <c r="O491" s="273"/>
      <c r="P491" s="273"/>
      <c r="Q491" s="273"/>
      <c r="R491" s="273"/>
      <c r="S491" s="273"/>
      <c r="T491" s="273"/>
      <c r="U491" s="273"/>
      <c r="V491" s="273"/>
      <c r="W491" s="273"/>
      <c r="X491" s="273"/>
      <c r="Y491" s="273"/>
      <c r="Z491" s="467"/>
      <c r="AA491" s="273"/>
      <c r="AB491" s="273"/>
      <c r="AC491" s="273"/>
      <c r="AD491" s="273"/>
    </row>
    <row r="492" spans="1:30" ht="14.25" customHeight="1">
      <c r="A492" s="273"/>
      <c r="B492" s="273"/>
      <c r="C492" s="273"/>
      <c r="D492" s="273"/>
      <c r="E492" s="274"/>
      <c r="F492" s="273"/>
      <c r="G492" s="273"/>
      <c r="H492" s="273"/>
      <c r="I492" s="273"/>
      <c r="J492" s="273"/>
      <c r="K492" s="273"/>
      <c r="L492" s="273"/>
      <c r="M492" s="273"/>
      <c r="N492" s="273"/>
      <c r="O492" s="273"/>
      <c r="P492" s="273"/>
      <c r="Q492" s="273"/>
      <c r="R492" s="273"/>
      <c r="S492" s="273"/>
      <c r="T492" s="273"/>
      <c r="U492" s="273"/>
      <c r="V492" s="273"/>
      <c r="W492" s="273"/>
      <c r="X492" s="273"/>
      <c r="Y492" s="273"/>
      <c r="Z492" s="467"/>
      <c r="AA492" s="273"/>
      <c r="AB492" s="273"/>
      <c r="AC492" s="273"/>
      <c r="AD492" s="273"/>
    </row>
    <row r="493" spans="1:30" ht="14.25" customHeight="1">
      <c r="A493" s="273"/>
      <c r="B493" s="273"/>
      <c r="C493" s="273"/>
      <c r="D493" s="273"/>
      <c r="E493" s="274"/>
      <c r="F493" s="273"/>
      <c r="G493" s="273"/>
      <c r="H493" s="273"/>
      <c r="I493" s="273"/>
      <c r="J493" s="273"/>
      <c r="K493" s="273"/>
      <c r="L493" s="273"/>
      <c r="M493" s="273"/>
      <c r="N493" s="273"/>
      <c r="O493" s="273"/>
      <c r="P493" s="273"/>
      <c r="Q493" s="273"/>
      <c r="R493" s="273"/>
      <c r="S493" s="273"/>
      <c r="T493" s="273"/>
      <c r="U493" s="273"/>
      <c r="V493" s="273"/>
      <c r="W493" s="273"/>
      <c r="X493" s="273"/>
      <c r="Y493" s="273"/>
      <c r="Z493" s="467"/>
      <c r="AA493" s="273"/>
      <c r="AB493" s="273"/>
      <c r="AC493" s="273"/>
      <c r="AD493" s="273"/>
    </row>
    <row r="494" spans="1:30" ht="14.25" customHeight="1">
      <c r="A494" s="273"/>
      <c r="B494" s="273"/>
      <c r="C494" s="273"/>
      <c r="D494" s="273"/>
      <c r="E494" s="274"/>
      <c r="F494" s="273"/>
      <c r="G494" s="273"/>
      <c r="H494" s="273"/>
      <c r="I494" s="273"/>
      <c r="J494" s="273"/>
      <c r="K494" s="273"/>
      <c r="L494" s="273"/>
      <c r="M494" s="273"/>
      <c r="N494" s="273"/>
      <c r="O494" s="273"/>
      <c r="P494" s="273"/>
      <c r="Q494" s="273"/>
      <c r="R494" s="273"/>
      <c r="S494" s="273"/>
      <c r="T494" s="273"/>
      <c r="U494" s="273"/>
      <c r="V494" s="273"/>
      <c r="W494" s="273"/>
      <c r="X494" s="273"/>
      <c r="Y494" s="273"/>
      <c r="Z494" s="467"/>
      <c r="AA494" s="273"/>
      <c r="AB494" s="273"/>
      <c r="AC494" s="273"/>
      <c r="AD494" s="273"/>
    </row>
    <row r="495" spans="1:30" ht="14.25" customHeight="1">
      <c r="A495" s="273"/>
      <c r="B495" s="273"/>
      <c r="C495" s="273"/>
      <c r="D495" s="273"/>
      <c r="E495" s="274"/>
      <c r="F495" s="273"/>
      <c r="G495" s="273"/>
      <c r="H495" s="273"/>
      <c r="I495" s="273"/>
      <c r="J495" s="273"/>
      <c r="K495" s="273"/>
      <c r="L495" s="273"/>
      <c r="M495" s="273"/>
      <c r="N495" s="273"/>
      <c r="O495" s="273"/>
      <c r="P495" s="273"/>
      <c r="Q495" s="273"/>
      <c r="R495" s="273"/>
      <c r="S495" s="273"/>
      <c r="T495" s="273"/>
      <c r="U495" s="273"/>
      <c r="V495" s="273"/>
      <c r="W495" s="273"/>
      <c r="X495" s="273"/>
      <c r="Y495" s="273"/>
      <c r="Z495" s="467"/>
      <c r="AA495" s="273"/>
      <c r="AB495" s="273"/>
      <c r="AC495" s="273"/>
      <c r="AD495" s="273"/>
    </row>
    <row r="496" spans="1:30" ht="14.25" customHeight="1">
      <c r="A496" s="273"/>
      <c r="B496" s="273"/>
      <c r="C496" s="273"/>
      <c r="D496" s="273"/>
      <c r="E496" s="274"/>
      <c r="F496" s="273"/>
      <c r="G496" s="273"/>
      <c r="H496" s="273"/>
      <c r="I496" s="273"/>
      <c r="J496" s="273"/>
      <c r="K496" s="273"/>
      <c r="L496" s="273"/>
      <c r="M496" s="273"/>
      <c r="N496" s="273"/>
      <c r="O496" s="273"/>
      <c r="P496" s="273"/>
      <c r="Q496" s="273"/>
      <c r="R496" s="273"/>
      <c r="S496" s="273"/>
      <c r="T496" s="273"/>
      <c r="U496" s="273"/>
      <c r="V496" s="273"/>
      <c r="W496" s="273"/>
      <c r="X496" s="273"/>
      <c r="Y496" s="273"/>
      <c r="Z496" s="467"/>
      <c r="AA496" s="273"/>
      <c r="AB496" s="273"/>
      <c r="AC496" s="273"/>
      <c r="AD496" s="273"/>
    </row>
    <row r="497" spans="1:30" ht="14.25" customHeight="1">
      <c r="A497" s="273"/>
      <c r="B497" s="273"/>
      <c r="C497" s="273"/>
      <c r="D497" s="273"/>
      <c r="E497" s="274"/>
      <c r="F497" s="273"/>
      <c r="G497" s="273"/>
      <c r="H497" s="273"/>
      <c r="I497" s="273"/>
      <c r="J497" s="273"/>
      <c r="K497" s="273"/>
      <c r="L497" s="273"/>
      <c r="M497" s="273"/>
      <c r="N497" s="273"/>
      <c r="O497" s="273"/>
      <c r="P497" s="273"/>
      <c r="Q497" s="273"/>
      <c r="R497" s="273"/>
      <c r="S497" s="273"/>
      <c r="T497" s="273"/>
      <c r="U497" s="273"/>
      <c r="V497" s="273"/>
      <c r="W497" s="273"/>
      <c r="X497" s="273"/>
      <c r="Y497" s="273"/>
      <c r="Z497" s="467"/>
      <c r="AA497" s="273"/>
      <c r="AB497" s="273"/>
      <c r="AC497" s="273"/>
      <c r="AD497" s="273"/>
    </row>
    <row r="498" spans="1:30" ht="14.25" customHeight="1">
      <c r="A498" s="273"/>
      <c r="B498" s="273"/>
      <c r="C498" s="273"/>
      <c r="D498" s="273"/>
      <c r="E498" s="274"/>
      <c r="F498" s="273"/>
      <c r="G498" s="273"/>
      <c r="H498" s="273"/>
      <c r="I498" s="273"/>
      <c r="J498" s="273"/>
      <c r="K498" s="273"/>
      <c r="L498" s="273"/>
      <c r="M498" s="273"/>
      <c r="N498" s="273"/>
      <c r="O498" s="273"/>
      <c r="P498" s="273"/>
      <c r="Q498" s="273"/>
      <c r="R498" s="273"/>
      <c r="S498" s="273"/>
      <c r="T498" s="273"/>
      <c r="U498" s="273"/>
      <c r="V498" s="273"/>
      <c r="W498" s="273"/>
      <c r="X498" s="273"/>
      <c r="Y498" s="273"/>
      <c r="Z498" s="467"/>
      <c r="AA498" s="273"/>
      <c r="AB498" s="273"/>
      <c r="AC498" s="273"/>
      <c r="AD498" s="273"/>
    </row>
    <row r="499" spans="1:30" ht="14.25" customHeight="1">
      <c r="A499" s="273"/>
      <c r="B499" s="273"/>
      <c r="C499" s="273"/>
      <c r="D499" s="273"/>
      <c r="E499" s="274"/>
      <c r="F499" s="273"/>
      <c r="G499" s="273"/>
      <c r="H499" s="273"/>
      <c r="I499" s="273"/>
      <c r="J499" s="273"/>
      <c r="K499" s="273"/>
      <c r="L499" s="273"/>
      <c r="M499" s="273"/>
      <c r="N499" s="273"/>
      <c r="O499" s="273"/>
      <c r="P499" s="273"/>
      <c r="Q499" s="273"/>
      <c r="R499" s="273"/>
      <c r="S499" s="273"/>
      <c r="T499" s="273"/>
      <c r="U499" s="273"/>
      <c r="V499" s="273"/>
      <c r="W499" s="273"/>
      <c r="X499" s="273"/>
      <c r="Y499" s="273"/>
      <c r="Z499" s="467"/>
      <c r="AA499" s="273"/>
      <c r="AB499" s="273"/>
      <c r="AC499" s="273"/>
      <c r="AD499" s="273"/>
    </row>
    <row r="500" spans="1:30" ht="14.25" customHeight="1">
      <c r="A500" s="273"/>
      <c r="B500" s="273"/>
      <c r="C500" s="273"/>
      <c r="D500" s="273"/>
      <c r="E500" s="274"/>
      <c r="F500" s="273"/>
      <c r="G500" s="273"/>
      <c r="H500" s="273"/>
      <c r="I500" s="273"/>
      <c r="J500" s="273"/>
      <c r="K500" s="273"/>
      <c r="L500" s="273"/>
      <c r="M500" s="273"/>
      <c r="N500" s="273"/>
      <c r="O500" s="273"/>
      <c r="P500" s="273"/>
      <c r="Q500" s="273"/>
      <c r="R500" s="273"/>
      <c r="S500" s="273"/>
      <c r="T500" s="273"/>
      <c r="U500" s="273"/>
      <c r="V500" s="273"/>
      <c r="W500" s="273"/>
      <c r="X500" s="273"/>
      <c r="Y500" s="273"/>
      <c r="Z500" s="467"/>
      <c r="AA500" s="273"/>
      <c r="AB500" s="273"/>
      <c r="AC500" s="273"/>
      <c r="AD500" s="273"/>
    </row>
    <row r="501" spans="1:30" ht="14.25" customHeight="1">
      <c r="A501" s="273"/>
      <c r="B501" s="273"/>
      <c r="C501" s="273"/>
      <c r="D501" s="273"/>
      <c r="E501" s="274"/>
      <c r="F501" s="273"/>
      <c r="G501" s="273"/>
      <c r="H501" s="273"/>
      <c r="I501" s="273"/>
      <c r="J501" s="273"/>
      <c r="K501" s="273"/>
      <c r="L501" s="273"/>
      <c r="M501" s="273"/>
      <c r="N501" s="273"/>
      <c r="O501" s="273"/>
      <c r="P501" s="273"/>
      <c r="Q501" s="273"/>
      <c r="R501" s="273"/>
      <c r="S501" s="273"/>
      <c r="T501" s="273"/>
      <c r="U501" s="273"/>
      <c r="V501" s="273"/>
      <c r="W501" s="273"/>
      <c r="X501" s="273"/>
      <c r="Y501" s="273"/>
      <c r="Z501" s="467"/>
      <c r="AA501" s="273"/>
      <c r="AB501" s="273"/>
      <c r="AC501" s="273"/>
      <c r="AD501" s="273"/>
    </row>
    <row r="502" spans="1:30" ht="14.25" customHeight="1">
      <c r="A502" s="273"/>
      <c r="B502" s="273"/>
      <c r="C502" s="273"/>
      <c r="D502" s="273"/>
      <c r="E502" s="274"/>
      <c r="F502" s="273"/>
      <c r="G502" s="273"/>
      <c r="H502" s="273"/>
      <c r="I502" s="273"/>
      <c r="J502" s="273"/>
      <c r="K502" s="273"/>
      <c r="L502" s="273"/>
      <c r="M502" s="273"/>
      <c r="N502" s="273"/>
      <c r="O502" s="273"/>
      <c r="P502" s="273"/>
      <c r="Q502" s="273"/>
      <c r="R502" s="273"/>
      <c r="S502" s="273"/>
      <c r="T502" s="273"/>
      <c r="U502" s="273"/>
      <c r="V502" s="273"/>
      <c r="W502" s="273"/>
      <c r="X502" s="273"/>
      <c r="Y502" s="273"/>
      <c r="Z502" s="467"/>
      <c r="AA502" s="273"/>
      <c r="AB502" s="273"/>
      <c r="AC502" s="273"/>
      <c r="AD502" s="273"/>
    </row>
    <row r="503" spans="1:30" ht="14.25" customHeight="1">
      <c r="A503" s="273"/>
      <c r="B503" s="273"/>
      <c r="C503" s="273"/>
      <c r="D503" s="273"/>
      <c r="E503" s="274"/>
      <c r="F503" s="273"/>
      <c r="G503" s="273"/>
      <c r="H503" s="273"/>
      <c r="I503" s="273"/>
      <c r="J503" s="273"/>
      <c r="K503" s="273"/>
      <c r="L503" s="273"/>
      <c r="M503" s="273"/>
      <c r="N503" s="273"/>
      <c r="O503" s="273"/>
      <c r="P503" s="273"/>
      <c r="Q503" s="273"/>
      <c r="R503" s="273"/>
      <c r="S503" s="273"/>
      <c r="T503" s="273"/>
      <c r="U503" s="273"/>
      <c r="V503" s="273"/>
      <c r="W503" s="273"/>
      <c r="X503" s="273"/>
      <c r="Y503" s="273"/>
      <c r="Z503" s="467"/>
      <c r="AA503" s="273"/>
      <c r="AB503" s="273"/>
      <c r="AC503" s="273"/>
      <c r="AD503" s="273"/>
    </row>
    <row r="504" spans="1:30" ht="14.25" customHeight="1">
      <c r="A504" s="273"/>
      <c r="B504" s="273"/>
      <c r="C504" s="273"/>
      <c r="D504" s="273"/>
      <c r="E504" s="274"/>
      <c r="F504" s="273"/>
      <c r="G504" s="273"/>
      <c r="H504" s="273"/>
      <c r="I504" s="273"/>
      <c r="J504" s="273"/>
      <c r="K504" s="273"/>
      <c r="L504" s="273"/>
      <c r="M504" s="273"/>
      <c r="N504" s="273"/>
      <c r="O504" s="273"/>
      <c r="P504" s="273"/>
      <c r="Q504" s="273"/>
      <c r="R504" s="273"/>
      <c r="S504" s="273"/>
      <c r="T504" s="273"/>
      <c r="U504" s="273"/>
      <c r="V504" s="273"/>
      <c r="W504" s="273"/>
      <c r="X504" s="273"/>
      <c r="Y504" s="273"/>
      <c r="Z504" s="467"/>
      <c r="AA504" s="273"/>
      <c r="AB504" s="273"/>
      <c r="AC504" s="273"/>
      <c r="AD504" s="273"/>
    </row>
    <row r="505" spans="1:30" ht="14.25" customHeight="1">
      <c r="A505" s="273"/>
      <c r="B505" s="273"/>
      <c r="C505" s="273"/>
      <c r="D505" s="273"/>
      <c r="E505" s="274"/>
      <c r="F505" s="273"/>
      <c r="G505" s="273"/>
      <c r="H505" s="273"/>
      <c r="I505" s="273"/>
      <c r="J505" s="273"/>
      <c r="K505" s="273"/>
      <c r="L505" s="273"/>
      <c r="M505" s="273"/>
      <c r="N505" s="273"/>
      <c r="O505" s="273"/>
      <c r="P505" s="273"/>
      <c r="Q505" s="273"/>
      <c r="R505" s="273"/>
      <c r="S505" s="273"/>
      <c r="T505" s="273"/>
      <c r="U505" s="273"/>
      <c r="V505" s="273"/>
      <c r="W505" s="273"/>
      <c r="X505" s="273"/>
      <c r="Y505" s="273"/>
      <c r="Z505" s="467"/>
      <c r="AA505" s="273"/>
      <c r="AB505" s="273"/>
      <c r="AC505" s="273"/>
      <c r="AD505" s="273"/>
    </row>
    <row r="506" spans="1:30" ht="14.25" customHeight="1">
      <c r="A506" s="273"/>
      <c r="B506" s="273"/>
      <c r="C506" s="273"/>
      <c r="D506" s="273"/>
      <c r="E506" s="274"/>
      <c r="F506" s="273"/>
      <c r="G506" s="273"/>
      <c r="H506" s="273"/>
      <c r="I506" s="273"/>
      <c r="J506" s="273"/>
      <c r="K506" s="273"/>
      <c r="L506" s="273"/>
      <c r="M506" s="273"/>
      <c r="N506" s="273"/>
      <c r="O506" s="273"/>
      <c r="P506" s="273"/>
      <c r="Q506" s="273"/>
      <c r="R506" s="273"/>
      <c r="S506" s="273"/>
      <c r="T506" s="273"/>
      <c r="U506" s="273"/>
      <c r="V506" s="273"/>
      <c r="W506" s="273"/>
      <c r="X506" s="273"/>
      <c r="Y506" s="273"/>
      <c r="Z506" s="467"/>
      <c r="AA506" s="273"/>
      <c r="AB506" s="273"/>
      <c r="AC506" s="273"/>
      <c r="AD506" s="273"/>
    </row>
    <row r="507" spans="1:30" ht="14.25" customHeight="1">
      <c r="A507" s="273"/>
      <c r="B507" s="273"/>
      <c r="C507" s="273"/>
      <c r="D507" s="273"/>
      <c r="E507" s="274"/>
      <c r="F507" s="273"/>
      <c r="G507" s="273"/>
      <c r="H507" s="273"/>
      <c r="I507" s="273"/>
      <c r="J507" s="273"/>
      <c r="K507" s="273"/>
      <c r="L507" s="273"/>
      <c r="M507" s="273"/>
      <c r="N507" s="273"/>
      <c r="O507" s="273"/>
      <c r="P507" s="273"/>
      <c r="Q507" s="273"/>
      <c r="R507" s="273"/>
      <c r="S507" s="273"/>
      <c r="T507" s="273"/>
      <c r="U507" s="273"/>
      <c r="V507" s="273"/>
      <c r="W507" s="273"/>
      <c r="X507" s="273"/>
      <c r="Y507" s="273"/>
      <c r="Z507" s="467"/>
      <c r="AA507" s="273"/>
      <c r="AB507" s="273"/>
      <c r="AC507" s="273"/>
      <c r="AD507" s="273"/>
    </row>
    <row r="508" spans="1:30" ht="14.25" customHeight="1">
      <c r="A508" s="273"/>
      <c r="B508" s="273"/>
      <c r="C508" s="273"/>
      <c r="D508" s="273"/>
      <c r="E508" s="274"/>
      <c r="F508" s="273"/>
      <c r="G508" s="273"/>
      <c r="H508" s="273"/>
      <c r="I508" s="273"/>
      <c r="J508" s="273"/>
      <c r="K508" s="273"/>
      <c r="L508" s="273"/>
      <c r="M508" s="273"/>
      <c r="N508" s="273"/>
      <c r="O508" s="273"/>
      <c r="P508" s="273"/>
      <c r="Q508" s="273"/>
      <c r="R508" s="273"/>
      <c r="S508" s="273"/>
      <c r="T508" s="273"/>
      <c r="U508" s="273"/>
      <c r="V508" s="273"/>
      <c r="W508" s="273"/>
      <c r="X508" s="273"/>
      <c r="Y508" s="273"/>
      <c r="Z508" s="467"/>
      <c r="AA508" s="273"/>
      <c r="AB508" s="273"/>
      <c r="AC508" s="273"/>
      <c r="AD508" s="273"/>
    </row>
    <row r="509" spans="1:30" ht="14.25" customHeight="1">
      <c r="A509" s="273"/>
      <c r="B509" s="273"/>
      <c r="C509" s="273"/>
      <c r="D509" s="273"/>
      <c r="E509" s="274"/>
      <c r="F509" s="273"/>
      <c r="G509" s="273"/>
      <c r="H509" s="273"/>
      <c r="I509" s="273"/>
      <c r="J509" s="273"/>
      <c r="K509" s="273"/>
      <c r="L509" s="273"/>
      <c r="M509" s="273"/>
      <c r="N509" s="273"/>
      <c r="O509" s="273"/>
      <c r="P509" s="273"/>
      <c r="Q509" s="273"/>
      <c r="R509" s="273"/>
      <c r="S509" s="273"/>
      <c r="T509" s="273"/>
      <c r="U509" s="273"/>
      <c r="V509" s="273"/>
      <c r="W509" s="273"/>
      <c r="X509" s="273"/>
      <c r="Y509" s="273"/>
      <c r="Z509" s="467"/>
      <c r="AA509" s="273"/>
      <c r="AB509" s="273"/>
      <c r="AC509" s="273"/>
      <c r="AD509" s="273"/>
    </row>
    <row r="510" spans="1:30" ht="14.25" customHeight="1">
      <c r="A510" s="273"/>
      <c r="B510" s="273"/>
      <c r="C510" s="273"/>
      <c r="D510" s="273"/>
      <c r="E510" s="274"/>
      <c r="F510" s="273"/>
      <c r="G510" s="273"/>
      <c r="H510" s="273"/>
      <c r="I510" s="273"/>
      <c r="J510" s="273"/>
      <c r="K510" s="273"/>
      <c r="L510" s="273"/>
      <c r="M510" s="273"/>
      <c r="N510" s="273"/>
      <c r="O510" s="273"/>
      <c r="P510" s="273"/>
      <c r="Q510" s="273"/>
      <c r="R510" s="273"/>
      <c r="S510" s="273"/>
      <c r="T510" s="273"/>
      <c r="U510" s="273"/>
      <c r="V510" s="273"/>
      <c r="W510" s="273"/>
      <c r="X510" s="273"/>
      <c r="Y510" s="273"/>
      <c r="Z510" s="467"/>
      <c r="AA510" s="273"/>
      <c r="AB510" s="273"/>
      <c r="AC510" s="273"/>
      <c r="AD510" s="273"/>
    </row>
    <row r="511" spans="1:30" ht="14.25" customHeight="1">
      <c r="A511" s="273"/>
      <c r="B511" s="273"/>
      <c r="C511" s="273"/>
      <c r="D511" s="273"/>
      <c r="E511" s="274"/>
      <c r="F511" s="273"/>
      <c r="G511" s="273"/>
      <c r="H511" s="273"/>
      <c r="I511" s="273"/>
      <c r="J511" s="273"/>
      <c r="K511" s="273"/>
      <c r="L511" s="273"/>
      <c r="M511" s="273"/>
      <c r="N511" s="273"/>
      <c r="O511" s="273"/>
      <c r="P511" s="273"/>
      <c r="Q511" s="273"/>
      <c r="R511" s="273"/>
      <c r="S511" s="273"/>
      <c r="T511" s="273"/>
      <c r="U511" s="273"/>
      <c r="V511" s="273"/>
      <c r="W511" s="273"/>
      <c r="X511" s="273"/>
      <c r="Y511" s="273"/>
      <c r="Z511" s="467"/>
      <c r="AA511" s="273"/>
      <c r="AB511" s="273"/>
      <c r="AC511" s="273"/>
      <c r="AD511" s="273"/>
    </row>
    <row r="512" spans="1:30" ht="14.25" customHeight="1">
      <c r="A512" s="273"/>
      <c r="B512" s="273"/>
      <c r="C512" s="273"/>
      <c r="D512" s="273"/>
      <c r="E512" s="274"/>
      <c r="F512" s="273"/>
      <c r="G512" s="273"/>
      <c r="H512" s="273"/>
      <c r="I512" s="273"/>
      <c r="J512" s="273"/>
      <c r="K512" s="273"/>
      <c r="L512" s="273"/>
      <c r="M512" s="273"/>
      <c r="N512" s="273"/>
      <c r="O512" s="273"/>
      <c r="P512" s="273"/>
      <c r="Q512" s="273"/>
      <c r="R512" s="273"/>
      <c r="S512" s="273"/>
      <c r="T512" s="273"/>
      <c r="U512" s="273"/>
      <c r="V512" s="273"/>
      <c r="W512" s="273"/>
      <c r="X512" s="273"/>
      <c r="Y512" s="273"/>
      <c r="Z512" s="467"/>
      <c r="AA512" s="273"/>
      <c r="AB512" s="273"/>
      <c r="AC512" s="273"/>
      <c r="AD512" s="273"/>
    </row>
    <row r="513" spans="1:30" ht="14.25" customHeight="1">
      <c r="A513" s="273"/>
      <c r="B513" s="273"/>
      <c r="C513" s="273"/>
      <c r="D513" s="273"/>
      <c r="E513" s="274"/>
      <c r="F513" s="273"/>
      <c r="G513" s="273"/>
      <c r="H513" s="273"/>
      <c r="I513" s="273"/>
      <c r="J513" s="273"/>
      <c r="K513" s="273"/>
      <c r="L513" s="273"/>
      <c r="M513" s="273"/>
      <c r="N513" s="273"/>
      <c r="O513" s="273"/>
      <c r="P513" s="273"/>
      <c r="Q513" s="273"/>
      <c r="R513" s="273"/>
      <c r="S513" s="273"/>
      <c r="T513" s="273"/>
      <c r="U513" s="273"/>
      <c r="V513" s="273"/>
      <c r="W513" s="273"/>
      <c r="X513" s="273"/>
      <c r="Y513" s="273"/>
      <c r="Z513" s="467"/>
      <c r="AA513" s="273"/>
      <c r="AB513" s="273"/>
      <c r="AC513" s="273"/>
      <c r="AD513" s="273"/>
    </row>
    <row r="514" spans="1:30" ht="14.25" customHeight="1">
      <c r="A514" s="273"/>
      <c r="B514" s="273"/>
      <c r="C514" s="273"/>
      <c r="D514" s="273"/>
      <c r="E514" s="274"/>
      <c r="F514" s="273"/>
      <c r="G514" s="273"/>
      <c r="H514" s="273"/>
      <c r="I514" s="273"/>
      <c r="J514" s="273"/>
      <c r="K514" s="273"/>
      <c r="L514" s="273"/>
      <c r="M514" s="273"/>
      <c r="N514" s="273"/>
      <c r="O514" s="273"/>
      <c r="P514" s="273"/>
      <c r="Q514" s="273"/>
      <c r="R514" s="273"/>
      <c r="S514" s="273"/>
      <c r="T514" s="273"/>
      <c r="U514" s="273"/>
      <c r="V514" s="273"/>
      <c r="W514" s="273"/>
      <c r="X514" s="273"/>
      <c r="Y514" s="273"/>
      <c r="Z514" s="467"/>
      <c r="AA514" s="273"/>
      <c r="AB514" s="273"/>
      <c r="AC514" s="273"/>
      <c r="AD514" s="273"/>
    </row>
    <row r="515" spans="1:30" ht="14.25" customHeight="1">
      <c r="A515" s="273"/>
      <c r="B515" s="273"/>
      <c r="C515" s="273"/>
      <c r="D515" s="273"/>
      <c r="E515" s="274"/>
      <c r="F515" s="273"/>
      <c r="G515" s="273"/>
      <c r="H515" s="273"/>
      <c r="I515" s="273"/>
      <c r="J515" s="273"/>
      <c r="K515" s="273"/>
      <c r="L515" s="273"/>
      <c r="M515" s="273"/>
      <c r="N515" s="273"/>
      <c r="O515" s="273"/>
      <c r="P515" s="273"/>
      <c r="Q515" s="273"/>
      <c r="R515" s="273"/>
      <c r="S515" s="273"/>
      <c r="T515" s="273"/>
      <c r="U515" s="273"/>
      <c r="V515" s="273"/>
      <c r="W515" s="273"/>
      <c r="X515" s="273"/>
      <c r="Y515" s="273"/>
      <c r="Z515" s="467"/>
      <c r="AA515" s="273"/>
      <c r="AB515" s="273"/>
      <c r="AC515" s="273"/>
      <c r="AD515" s="273"/>
    </row>
    <row r="516" spans="1:30" ht="14.25" customHeight="1">
      <c r="A516" s="273"/>
      <c r="B516" s="273"/>
      <c r="C516" s="273"/>
      <c r="D516" s="273"/>
      <c r="E516" s="274"/>
      <c r="F516" s="273"/>
      <c r="G516" s="273"/>
      <c r="H516" s="273"/>
      <c r="I516" s="273"/>
      <c r="J516" s="273"/>
      <c r="K516" s="273"/>
      <c r="L516" s="273"/>
      <c r="M516" s="273"/>
      <c r="N516" s="273"/>
      <c r="O516" s="273"/>
      <c r="P516" s="273"/>
      <c r="Q516" s="273"/>
      <c r="R516" s="273"/>
      <c r="S516" s="273"/>
      <c r="T516" s="273"/>
      <c r="U516" s="273"/>
      <c r="V516" s="273"/>
      <c r="W516" s="273"/>
      <c r="X516" s="273"/>
      <c r="Y516" s="273"/>
      <c r="Z516" s="467"/>
      <c r="AA516" s="273"/>
      <c r="AB516" s="273"/>
      <c r="AC516" s="273"/>
      <c r="AD516" s="273"/>
    </row>
    <row r="517" spans="1:30" ht="14.25" customHeight="1">
      <c r="A517" s="273"/>
      <c r="B517" s="273"/>
      <c r="C517" s="273"/>
      <c r="D517" s="273"/>
      <c r="E517" s="274"/>
      <c r="F517" s="273"/>
      <c r="G517" s="273"/>
      <c r="H517" s="273"/>
      <c r="I517" s="273"/>
      <c r="J517" s="273"/>
      <c r="K517" s="273"/>
      <c r="L517" s="273"/>
      <c r="M517" s="273"/>
      <c r="N517" s="273"/>
      <c r="O517" s="273"/>
      <c r="P517" s="273"/>
      <c r="Q517" s="273"/>
      <c r="R517" s="273"/>
      <c r="S517" s="273"/>
      <c r="T517" s="273"/>
      <c r="U517" s="273"/>
      <c r="V517" s="273"/>
      <c r="W517" s="273"/>
      <c r="X517" s="273"/>
      <c r="Y517" s="273"/>
      <c r="Z517" s="467"/>
      <c r="AA517" s="273"/>
      <c r="AB517" s="273"/>
      <c r="AC517" s="273"/>
      <c r="AD517" s="273"/>
    </row>
    <row r="518" spans="1:30" ht="14.25" customHeight="1">
      <c r="A518" s="273"/>
      <c r="B518" s="273"/>
      <c r="C518" s="273"/>
      <c r="D518" s="273"/>
      <c r="E518" s="274"/>
      <c r="F518" s="273"/>
      <c r="G518" s="273"/>
      <c r="H518" s="273"/>
      <c r="I518" s="273"/>
      <c r="J518" s="273"/>
      <c r="K518" s="273"/>
      <c r="L518" s="273"/>
      <c r="M518" s="273"/>
      <c r="N518" s="273"/>
      <c r="O518" s="273"/>
      <c r="P518" s="273"/>
      <c r="Q518" s="273"/>
      <c r="R518" s="273"/>
      <c r="S518" s="273"/>
      <c r="T518" s="273"/>
      <c r="U518" s="273"/>
      <c r="V518" s="273"/>
      <c r="W518" s="273"/>
      <c r="X518" s="273"/>
      <c r="Y518" s="273"/>
      <c r="Z518" s="467"/>
      <c r="AA518" s="273"/>
      <c r="AB518" s="273"/>
      <c r="AC518" s="273"/>
      <c r="AD518" s="273"/>
    </row>
    <row r="519" spans="1:30" ht="14.25" customHeight="1">
      <c r="A519" s="273"/>
      <c r="B519" s="273"/>
      <c r="C519" s="273"/>
      <c r="D519" s="273"/>
      <c r="E519" s="274"/>
      <c r="F519" s="273"/>
      <c r="G519" s="273"/>
      <c r="H519" s="273"/>
      <c r="I519" s="273"/>
      <c r="J519" s="273"/>
      <c r="K519" s="273"/>
      <c r="L519" s="273"/>
      <c r="M519" s="273"/>
      <c r="N519" s="273"/>
      <c r="O519" s="273"/>
      <c r="P519" s="273"/>
      <c r="Q519" s="273"/>
      <c r="R519" s="273"/>
      <c r="S519" s="273"/>
      <c r="T519" s="273"/>
      <c r="U519" s="273"/>
      <c r="V519" s="273"/>
      <c r="W519" s="273"/>
      <c r="X519" s="273"/>
      <c r="Y519" s="273"/>
      <c r="Z519" s="467"/>
      <c r="AA519" s="273"/>
      <c r="AB519" s="273"/>
      <c r="AC519" s="273"/>
      <c r="AD519" s="273"/>
    </row>
    <row r="520" spans="1:30" ht="14.25" customHeight="1">
      <c r="A520" s="273"/>
      <c r="B520" s="273"/>
      <c r="C520" s="273"/>
      <c r="D520" s="273"/>
      <c r="E520" s="274"/>
      <c r="F520" s="273"/>
      <c r="G520" s="273"/>
      <c r="H520" s="273"/>
      <c r="I520" s="273"/>
      <c r="J520" s="273"/>
      <c r="K520" s="273"/>
      <c r="L520" s="273"/>
      <c r="M520" s="273"/>
      <c r="N520" s="273"/>
      <c r="O520" s="273"/>
      <c r="P520" s="273"/>
      <c r="Q520" s="273"/>
      <c r="R520" s="273"/>
      <c r="S520" s="273"/>
      <c r="T520" s="273"/>
      <c r="U520" s="273"/>
      <c r="V520" s="273"/>
      <c r="W520" s="273"/>
      <c r="X520" s="273"/>
      <c r="Y520" s="273"/>
      <c r="Z520" s="467"/>
      <c r="AA520" s="273"/>
      <c r="AB520" s="273"/>
      <c r="AC520" s="273"/>
      <c r="AD520" s="273"/>
    </row>
    <row r="521" spans="1:30" ht="14.25" customHeight="1">
      <c r="A521" s="273"/>
      <c r="B521" s="273"/>
      <c r="C521" s="273"/>
      <c r="D521" s="273"/>
      <c r="E521" s="274"/>
      <c r="F521" s="273"/>
      <c r="G521" s="273"/>
      <c r="H521" s="273"/>
      <c r="I521" s="273"/>
      <c r="J521" s="273"/>
      <c r="K521" s="273"/>
      <c r="L521" s="273"/>
      <c r="M521" s="273"/>
      <c r="N521" s="273"/>
      <c r="O521" s="273"/>
      <c r="P521" s="273"/>
      <c r="Q521" s="273"/>
      <c r="R521" s="273"/>
      <c r="S521" s="273"/>
      <c r="T521" s="273"/>
      <c r="U521" s="273"/>
      <c r="V521" s="273"/>
      <c r="W521" s="273"/>
      <c r="X521" s="273"/>
      <c r="Y521" s="273"/>
      <c r="Z521" s="467"/>
      <c r="AA521" s="273"/>
      <c r="AB521" s="273"/>
      <c r="AC521" s="273"/>
      <c r="AD521" s="273"/>
    </row>
    <row r="522" spans="1:30" ht="14.25" customHeight="1">
      <c r="A522" s="273"/>
      <c r="B522" s="273"/>
      <c r="C522" s="273"/>
      <c r="D522" s="273"/>
      <c r="E522" s="274"/>
      <c r="F522" s="273"/>
      <c r="G522" s="273"/>
      <c r="H522" s="273"/>
      <c r="I522" s="273"/>
      <c r="J522" s="273"/>
      <c r="K522" s="273"/>
      <c r="L522" s="273"/>
      <c r="M522" s="273"/>
      <c r="N522" s="273"/>
      <c r="O522" s="273"/>
      <c r="P522" s="273"/>
      <c r="Q522" s="273"/>
      <c r="R522" s="273"/>
      <c r="S522" s="273"/>
      <c r="T522" s="273"/>
      <c r="U522" s="273"/>
      <c r="V522" s="273"/>
      <c r="W522" s="273"/>
      <c r="X522" s="273"/>
      <c r="Y522" s="273"/>
      <c r="Z522" s="467"/>
      <c r="AA522" s="273"/>
      <c r="AB522" s="273"/>
      <c r="AC522" s="273"/>
      <c r="AD522" s="273"/>
    </row>
    <row r="523" spans="1:30" ht="14.25" customHeight="1">
      <c r="A523" s="273"/>
      <c r="B523" s="273"/>
      <c r="C523" s="273"/>
      <c r="D523" s="273"/>
      <c r="E523" s="274"/>
      <c r="F523" s="273"/>
      <c r="G523" s="273"/>
      <c r="H523" s="273"/>
      <c r="I523" s="273"/>
      <c r="J523" s="273"/>
      <c r="K523" s="273"/>
      <c r="L523" s="273"/>
      <c r="M523" s="273"/>
      <c r="N523" s="273"/>
      <c r="O523" s="273"/>
      <c r="P523" s="273"/>
      <c r="Q523" s="273"/>
      <c r="R523" s="273"/>
      <c r="S523" s="273"/>
      <c r="T523" s="273"/>
      <c r="U523" s="273"/>
      <c r="V523" s="273"/>
      <c r="W523" s="273"/>
      <c r="X523" s="273"/>
      <c r="Y523" s="273"/>
      <c r="Z523" s="467"/>
      <c r="AA523" s="273"/>
      <c r="AB523" s="273"/>
      <c r="AC523" s="273"/>
      <c r="AD523" s="273"/>
    </row>
    <row r="524" spans="1:30" ht="14.25" customHeight="1">
      <c r="A524" s="273"/>
      <c r="B524" s="273"/>
      <c r="C524" s="273"/>
      <c r="D524" s="273"/>
      <c r="E524" s="274"/>
      <c r="F524" s="273"/>
      <c r="G524" s="273"/>
      <c r="H524" s="273"/>
      <c r="I524" s="273"/>
      <c r="J524" s="273"/>
      <c r="K524" s="273"/>
      <c r="L524" s="273"/>
      <c r="M524" s="273"/>
      <c r="N524" s="273"/>
      <c r="O524" s="273"/>
      <c r="P524" s="273"/>
      <c r="Q524" s="273"/>
      <c r="R524" s="273"/>
      <c r="S524" s="273"/>
      <c r="T524" s="273"/>
      <c r="U524" s="273"/>
      <c r="V524" s="273"/>
      <c r="W524" s="273"/>
      <c r="X524" s="273"/>
      <c r="Y524" s="273"/>
      <c r="Z524" s="467"/>
      <c r="AA524" s="273"/>
      <c r="AB524" s="273"/>
      <c r="AC524" s="273"/>
      <c r="AD524" s="273"/>
    </row>
    <row r="525" spans="1:30" ht="14.25" customHeight="1">
      <c r="A525" s="273"/>
      <c r="B525" s="273"/>
      <c r="C525" s="273"/>
      <c r="D525" s="273"/>
      <c r="E525" s="274"/>
      <c r="F525" s="273"/>
      <c r="G525" s="273"/>
      <c r="H525" s="273"/>
      <c r="I525" s="273"/>
      <c r="J525" s="273"/>
      <c r="K525" s="273"/>
      <c r="L525" s="273"/>
      <c r="M525" s="273"/>
      <c r="N525" s="273"/>
      <c r="O525" s="273"/>
      <c r="P525" s="273"/>
      <c r="Q525" s="273"/>
      <c r="R525" s="273"/>
      <c r="S525" s="273"/>
      <c r="T525" s="273"/>
      <c r="U525" s="273"/>
      <c r="V525" s="273"/>
      <c r="W525" s="273"/>
      <c r="X525" s="273"/>
      <c r="Y525" s="273"/>
      <c r="Z525" s="467"/>
      <c r="AA525" s="273"/>
      <c r="AB525" s="273"/>
      <c r="AC525" s="273"/>
      <c r="AD525" s="273"/>
    </row>
    <row r="526" spans="1:30" ht="14.25" customHeight="1">
      <c r="A526" s="273"/>
      <c r="B526" s="273"/>
      <c r="C526" s="273"/>
      <c r="D526" s="273"/>
      <c r="E526" s="274"/>
      <c r="F526" s="273"/>
      <c r="G526" s="273"/>
      <c r="H526" s="273"/>
      <c r="I526" s="273"/>
      <c r="J526" s="273"/>
      <c r="K526" s="273"/>
      <c r="L526" s="273"/>
      <c r="M526" s="273"/>
      <c r="N526" s="273"/>
      <c r="O526" s="273"/>
      <c r="P526" s="273"/>
      <c r="Q526" s="273"/>
      <c r="R526" s="273"/>
      <c r="S526" s="273"/>
      <c r="T526" s="273"/>
      <c r="U526" s="273"/>
      <c r="V526" s="273"/>
      <c r="W526" s="273"/>
      <c r="X526" s="273"/>
      <c r="Y526" s="273"/>
      <c r="Z526" s="467"/>
      <c r="AA526" s="273"/>
      <c r="AB526" s="273"/>
      <c r="AC526" s="273"/>
      <c r="AD526" s="273"/>
    </row>
    <row r="527" spans="1:30" ht="14.25" customHeight="1">
      <c r="A527" s="273"/>
      <c r="B527" s="273"/>
      <c r="C527" s="273"/>
      <c r="D527" s="273"/>
      <c r="E527" s="274"/>
      <c r="F527" s="273"/>
      <c r="G527" s="273"/>
      <c r="H527" s="273"/>
      <c r="I527" s="273"/>
      <c r="J527" s="273"/>
      <c r="K527" s="273"/>
      <c r="L527" s="273"/>
      <c r="M527" s="273"/>
      <c r="N527" s="273"/>
      <c r="O527" s="273"/>
      <c r="P527" s="273"/>
      <c r="Q527" s="273"/>
      <c r="R527" s="273"/>
      <c r="S527" s="273"/>
      <c r="T527" s="273"/>
      <c r="U527" s="273"/>
      <c r="V527" s="273"/>
      <c r="W527" s="273"/>
      <c r="X527" s="273"/>
      <c r="Y527" s="273"/>
      <c r="Z527" s="467"/>
      <c r="AA527" s="273"/>
      <c r="AB527" s="273"/>
      <c r="AC527" s="273"/>
      <c r="AD527" s="273"/>
    </row>
    <row r="528" spans="1:30" ht="14.25" customHeight="1">
      <c r="A528" s="273"/>
      <c r="B528" s="273"/>
      <c r="C528" s="273"/>
      <c r="D528" s="273"/>
      <c r="E528" s="274"/>
      <c r="F528" s="273"/>
      <c r="G528" s="273"/>
      <c r="H528" s="273"/>
      <c r="I528" s="273"/>
      <c r="J528" s="273"/>
      <c r="K528" s="273"/>
      <c r="L528" s="273"/>
      <c r="M528" s="273"/>
      <c r="N528" s="273"/>
      <c r="O528" s="273"/>
      <c r="P528" s="273"/>
      <c r="Q528" s="273"/>
      <c r="R528" s="273"/>
      <c r="S528" s="273"/>
      <c r="T528" s="273"/>
      <c r="U528" s="273"/>
      <c r="V528" s="273"/>
      <c r="W528" s="273"/>
      <c r="X528" s="273"/>
      <c r="Y528" s="273"/>
      <c r="Z528" s="467"/>
      <c r="AA528" s="273"/>
      <c r="AB528" s="273"/>
      <c r="AC528" s="273"/>
      <c r="AD528" s="273"/>
    </row>
    <row r="529" spans="1:30" ht="14.25" customHeight="1">
      <c r="A529" s="273"/>
      <c r="B529" s="273"/>
      <c r="C529" s="273"/>
      <c r="D529" s="273"/>
      <c r="E529" s="274"/>
      <c r="F529" s="273"/>
      <c r="G529" s="273"/>
      <c r="H529" s="273"/>
      <c r="I529" s="273"/>
      <c r="J529" s="273"/>
      <c r="K529" s="273"/>
      <c r="L529" s="273"/>
      <c r="M529" s="273"/>
      <c r="N529" s="273"/>
      <c r="O529" s="273"/>
      <c r="P529" s="273"/>
      <c r="Q529" s="273"/>
      <c r="R529" s="273"/>
      <c r="S529" s="273"/>
      <c r="T529" s="273"/>
      <c r="U529" s="273"/>
      <c r="V529" s="273"/>
      <c r="W529" s="273"/>
      <c r="X529" s="273"/>
      <c r="Y529" s="273"/>
      <c r="Z529" s="467"/>
      <c r="AA529" s="273"/>
      <c r="AB529" s="273"/>
      <c r="AC529" s="273"/>
      <c r="AD529" s="273"/>
    </row>
    <row r="530" spans="1:30" ht="14.25" customHeight="1">
      <c r="A530" s="273"/>
      <c r="B530" s="273"/>
      <c r="C530" s="273"/>
      <c r="D530" s="273"/>
      <c r="E530" s="274"/>
      <c r="F530" s="273"/>
      <c r="G530" s="273"/>
      <c r="H530" s="273"/>
      <c r="I530" s="273"/>
      <c r="J530" s="273"/>
      <c r="K530" s="273"/>
      <c r="L530" s="273"/>
      <c r="M530" s="273"/>
      <c r="N530" s="273"/>
      <c r="O530" s="273"/>
      <c r="P530" s="273"/>
      <c r="Q530" s="273"/>
      <c r="R530" s="273"/>
      <c r="S530" s="273"/>
      <c r="T530" s="273"/>
      <c r="U530" s="273"/>
      <c r="V530" s="273"/>
      <c r="W530" s="273"/>
      <c r="X530" s="273"/>
      <c r="Y530" s="273"/>
      <c r="Z530" s="467"/>
      <c r="AA530" s="273"/>
      <c r="AB530" s="273"/>
      <c r="AC530" s="273"/>
      <c r="AD530" s="273"/>
    </row>
    <row r="531" spans="1:30" ht="14.25" customHeight="1">
      <c r="A531" s="273"/>
      <c r="B531" s="273"/>
      <c r="C531" s="273"/>
      <c r="D531" s="273"/>
      <c r="E531" s="274"/>
      <c r="F531" s="273"/>
      <c r="G531" s="273"/>
      <c r="H531" s="273"/>
      <c r="I531" s="273"/>
      <c r="J531" s="273"/>
      <c r="K531" s="273"/>
      <c r="L531" s="273"/>
      <c r="M531" s="273"/>
      <c r="N531" s="273"/>
      <c r="O531" s="273"/>
      <c r="P531" s="273"/>
      <c r="Q531" s="273"/>
      <c r="R531" s="273"/>
      <c r="S531" s="273"/>
      <c r="T531" s="273"/>
      <c r="U531" s="273"/>
      <c r="V531" s="273"/>
      <c r="W531" s="273"/>
      <c r="X531" s="273"/>
      <c r="Y531" s="273"/>
      <c r="Z531" s="467"/>
      <c r="AA531" s="273"/>
      <c r="AB531" s="273"/>
      <c r="AC531" s="273"/>
      <c r="AD531" s="273"/>
    </row>
    <row r="532" spans="1:30" ht="14.25" customHeight="1">
      <c r="A532" s="273"/>
      <c r="B532" s="273"/>
      <c r="C532" s="273"/>
      <c r="D532" s="273"/>
      <c r="E532" s="274"/>
      <c r="F532" s="273"/>
      <c r="G532" s="273"/>
      <c r="H532" s="273"/>
      <c r="I532" s="273"/>
      <c r="J532" s="273"/>
      <c r="K532" s="273"/>
      <c r="L532" s="273"/>
      <c r="M532" s="273"/>
      <c r="N532" s="273"/>
      <c r="O532" s="273"/>
      <c r="P532" s="273"/>
      <c r="Q532" s="273"/>
      <c r="R532" s="273"/>
      <c r="S532" s="273"/>
      <c r="T532" s="273"/>
      <c r="U532" s="273"/>
      <c r="V532" s="273"/>
      <c r="W532" s="273"/>
      <c r="X532" s="273"/>
      <c r="Y532" s="273"/>
      <c r="Z532" s="467"/>
      <c r="AA532" s="273"/>
      <c r="AB532" s="273"/>
      <c r="AC532" s="273"/>
      <c r="AD532" s="273"/>
    </row>
    <row r="533" spans="1:30" ht="14.25" customHeight="1">
      <c r="A533" s="273"/>
      <c r="B533" s="273"/>
      <c r="C533" s="273"/>
      <c r="D533" s="273"/>
      <c r="E533" s="274"/>
      <c r="F533" s="273"/>
      <c r="G533" s="273"/>
      <c r="H533" s="273"/>
      <c r="I533" s="273"/>
      <c r="J533" s="273"/>
      <c r="K533" s="273"/>
      <c r="L533" s="273"/>
      <c r="M533" s="273"/>
      <c r="N533" s="273"/>
      <c r="O533" s="273"/>
      <c r="P533" s="273"/>
      <c r="Q533" s="273"/>
      <c r="R533" s="273"/>
      <c r="S533" s="273"/>
      <c r="T533" s="273"/>
      <c r="U533" s="273"/>
      <c r="V533" s="273"/>
      <c r="W533" s="273"/>
      <c r="X533" s="273"/>
      <c r="Y533" s="273"/>
      <c r="Z533" s="467"/>
      <c r="AA533" s="273"/>
      <c r="AB533" s="273"/>
      <c r="AC533" s="273"/>
      <c r="AD533" s="273"/>
    </row>
    <row r="534" spans="1:30" ht="14.25" customHeight="1">
      <c r="A534" s="273"/>
      <c r="B534" s="273"/>
      <c r="C534" s="273"/>
      <c r="D534" s="273"/>
      <c r="E534" s="274"/>
      <c r="F534" s="273"/>
      <c r="G534" s="273"/>
      <c r="H534" s="273"/>
      <c r="I534" s="273"/>
      <c r="J534" s="273"/>
      <c r="K534" s="273"/>
      <c r="L534" s="273"/>
      <c r="M534" s="273"/>
      <c r="N534" s="273"/>
      <c r="O534" s="273"/>
      <c r="P534" s="273"/>
      <c r="Q534" s="273"/>
      <c r="R534" s="273"/>
      <c r="S534" s="273"/>
      <c r="T534" s="273"/>
      <c r="U534" s="273"/>
      <c r="V534" s="273"/>
      <c r="W534" s="273"/>
      <c r="X534" s="273"/>
      <c r="Y534" s="273"/>
      <c r="Z534" s="467"/>
      <c r="AA534" s="273"/>
      <c r="AB534" s="273"/>
      <c r="AC534" s="273"/>
      <c r="AD534" s="273"/>
    </row>
    <row r="535" spans="1:30" ht="14.25" customHeight="1">
      <c r="A535" s="273"/>
      <c r="B535" s="273"/>
      <c r="C535" s="273"/>
      <c r="D535" s="273"/>
      <c r="E535" s="274"/>
      <c r="F535" s="273"/>
      <c r="G535" s="273"/>
      <c r="H535" s="273"/>
      <c r="I535" s="273"/>
      <c r="J535" s="273"/>
      <c r="K535" s="273"/>
      <c r="L535" s="273"/>
      <c r="M535" s="273"/>
      <c r="N535" s="273"/>
      <c r="O535" s="273"/>
      <c r="P535" s="273"/>
      <c r="Q535" s="273"/>
      <c r="R535" s="273"/>
      <c r="S535" s="273"/>
      <c r="T535" s="273"/>
      <c r="U535" s="273"/>
      <c r="V535" s="273"/>
      <c r="W535" s="273"/>
      <c r="X535" s="273"/>
      <c r="Y535" s="273"/>
      <c r="Z535" s="467"/>
      <c r="AA535" s="273"/>
      <c r="AB535" s="273"/>
      <c r="AC535" s="273"/>
      <c r="AD535" s="273"/>
    </row>
    <row r="536" spans="1:30" ht="14.25" customHeight="1">
      <c r="A536" s="273"/>
      <c r="B536" s="273"/>
      <c r="C536" s="273"/>
      <c r="D536" s="273"/>
      <c r="E536" s="274"/>
      <c r="F536" s="273"/>
      <c r="G536" s="273"/>
      <c r="H536" s="273"/>
      <c r="I536" s="273"/>
      <c r="J536" s="273"/>
      <c r="K536" s="273"/>
      <c r="L536" s="273"/>
      <c r="M536" s="273"/>
      <c r="N536" s="273"/>
      <c r="O536" s="273"/>
      <c r="P536" s="273"/>
      <c r="Q536" s="273"/>
      <c r="R536" s="273"/>
      <c r="S536" s="273"/>
      <c r="T536" s="273"/>
      <c r="U536" s="273"/>
      <c r="V536" s="273"/>
      <c r="W536" s="273"/>
      <c r="X536" s="273"/>
      <c r="Y536" s="273"/>
      <c r="Z536" s="467"/>
      <c r="AA536" s="273"/>
      <c r="AB536" s="273"/>
      <c r="AC536" s="273"/>
      <c r="AD536" s="273"/>
    </row>
    <row r="537" spans="1:30" ht="14.25" customHeight="1">
      <c r="A537" s="273"/>
      <c r="B537" s="273"/>
      <c r="C537" s="273"/>
      <c r="D537" s="273"/>
      <c r="E537" s="274"/>
      <c r="F537" s="273"/>
      <c r="G537" s="273"/>
      <c r="H537" s="273"/>
      <c r="I537" s="273"/>
      <c r="J537" s="273"/>
      <c r="K537" s="273"/>
      <c r="L537" s="273"/>
      <c r="M537" s="273"/>
      <c r="N537" s="273"/>
      <c r="O537" s="273"/>
      <c r="P537" s="273"/>
      <c r="Q537" s="273"/>
      <c r="R537" s="273"/>
      <c r="S537" s="273"/>
      <c r="T537" s="273"/>
      <c r="U537" s="273"/>
      <c r="V537" s="273"/>
      <c r="W537" s="273"/>
      <c r="X537" s="273"/>
      <c r="Y537" s="273"/>
      <c r="Z537" s="467"/>
      <c r="AA537" s="273"/>
      <c r="AB537" s="273"/>
      <c r="AC537" s="273"/>
      <c r="AD537" s="273"/>
    </row>
    <row r="538" spans="1:30" ht="14.25" customHeight="1">
      <c r="A538" s="273"/>
      <c r="B538" s="273"/>
      <c r="C538" s="273"/>
      <c r="D538" s="273"/>
      <c r="E538" s="274"/>
      <c r="F538" s="273"/>
      <c r="G538" s="273"/>
      <c r="H538" s="273"/>
      <c r="I538" s="273"/>
      <c r="J538" s="273"/>
      <c r="K538" s="273"/>
      <c r="L538" s="273"/>
      <c r="M538" s="273"/>
      <c r="N538" s="273"/>
      <c r="O538" s="273"/>
      <c r="P538" s="273"/>
      <c r="Q538" s="273"/>
      <c r="R538" s="273"/>
      <c r="S538" s="273"/>
      <c r="T538" s="273"/>
      <c r="U538" s="273"/>
      <c r="V538" s="273"/>
      <c r="W538" s="273"/>
      <c r="X538" s="273"/>
      <c r="Y538" s="273"/>
      <c r="Z538" s="467"/>
      <c r="AA538" s="273"/>
      <c r="AB538" s="273"/>
      <c r="AC538" s="273"/>
      <c r="AD538" s="273"/>
    </row>
    <row r="539" spans="1:30" ht="14.25" customHeight="1">
      <c r="A539" s="273"/>
      <c r="B539" s="273"/>
      <c r="C539" s="273"/>
      <c r="D539" s="273"/>
      <c r="E539" s="274"/>
      <c r="F539" s="273"/>
      <c r="G539" s="273"/>
      <c r="H539" s="273"/>
      <c r="I539" s="273"/>
      <c r="J539" s="273"/>
      <c r="K539" s="273"/>
      <c r="L539" s="273"/>
      <c r="M539" s="273"/>
      <c r="N539" s="273"/>
      <c r="O539" s="273"/>
      <c r="P539" s="273"/>
      <c r="Q539" s="273"/>
      <c r="R539" s="273"/>
      <c r="S539" s="273"/>
      <c r="T539" s="273"/>
      <c r="U539" s="273"/>
      <c r="V539" s="273"/>
      <c r="W539" s="273"/>
      <c r="X539" s="273"/>
      <c r="Y539" s="273"/>
      <c r="Z539" s="467"/>
      <c r="AA539" s="273"/>
      <c r="AB539" s="273"/>
      <c r="AC539" s="273"/>
      <c r="AD539" s="273"/>
    </row>
    <row r="540" spans="1:30" ht="14.25" customHeight="1">
      <c r="A540" s="273"/>
      <c r="B540" s="273"/>
      <c r="C540" s="273"/>
      <c r="D540" s="273"/>
      <c r="E540" s="274"/>
      <c r="F540" s="273"/>
      <c r="G540" s="273"/>
      <c r="H540" s="273"/>
      <c r="I540" s="273"/>
      <c r="J540" s="273"/>
      <c r="K540" s="273"/>
      <c r="L540" s="273"/>
      <c r="M540" s="273"/>
      <c r="N540" s="273"/>
      <c r="O540" s="273"/>
      <c r="P540" s="273"/>
      <c r="Q540" s="273"/>
      <c r="R540" s="273"/>
      <c r="S540" s="273"/>
      <c r="T540" s="273"/>
      <c r="U540" s="273"/>
      <c r="V540" s="273"/>
      <c r="W540" s="273"/>
      <c r="X540" s="273"/>
      <c r="Y540" s="273"/>
      <c r="Z540" s="467"/>
      <c r="AA540" s="273"/>
      <c r="AB540" s="273"/>
      <c r="AC540" s="273"/>
      <c r="AD540" s="273"/>
    </row>
    <row r="541" spans="1:30" ht="14.25" customHeight="1">
      <c r="A541" s="273"/>
      <c r="B541" s="273"/>
      <c r="C541" s="273"/>
      <c r="D541" s="273"/>
      <c r="E541" s="274"/>
      <c r="F541" s="273"/>
      <c r="G541" s="273"/>
      <c r="H541" s="273"/>
      <c r="I541" s="273"/>
      <c r="J541" s="273"/>
      <c r="K541" s="273"/>
      <c r="L541" s="273"/>
      <c r="M541" s="273"/>
      <c r="N541" s="273"/>
      <c r="O541" s="273"/>
      <c r="P541" s="273"/>
      <c r="Q541" s="273"/>
      <c r="R541" s="273"/>
      <c r="S541" s="273"/>
      <c r="T541" s="273"/>
      <c r="U541" s="273"/>
      <c r="V541" s="273"/>
      <c r="W541" s="273"/>
      <c r="X541" s="273"/>
      <c r="Y541" s="273"/>
      <c r="Z541" s="467"/>
      <c r="AA541" s="273"/>
      <c r="AB541" s="273"/>
      <c r="AC541" s="273"/>
      <c r="AD541" s="273"/>
    </row>
    <row r="542" spans="1:30" ht="14.25" customHeight="1">
      <c r="A542" s="273"/>
      <c r="B542" s="273"/>
      <c r="C542" s="273"/>
      <c r="D542" s="273"/>
      <c r="E542" s="274"/>
      <c r="F542" s="273"/>
      <c r="G542" s="273"/>
      <c r="H542" s="273"/>
      <c r="I542" s="273"/>
      <c r="J542" s="273"/>
      <c r="K542" s="273"/>
      <c r="L542" s="273"/>
      <c r="M542" s="273"/>
      <c r="N542" s="273"/>
      <c r="O542" s="273"/>
      <c r="P542" s="273"/>
      <c r="Q542" s="273"/>
      <c r="R542" s="273"/>
      <c r="S542" s="273"/>
      <c r="T542" s="273"/>
      <c r="U542" s="273"/>
      <c r="V542" s="273"/>
      <c r="W542" s="273"/>
      <c r="X542" s="273"/>
      <c r="Y542" s="273"/>
      <c r="Z542" s="467"/>
      <c r="AA542" s="273"/>
      <c r="AB542" s="273"/>
      <c r="AC542" s="273"/>
      <c r="AD542" s="273"/>
    </row>
    <row r="543" spans="1:30" ht="14.25" customHeight="1">
      <c r="A543" s="273"/>
      <c r="B543" s="273"/>
      <c r="C543" s="273"/>
      <c r="D543" s="273"/>
      <c r="E543" s="274"/>
      <c r="F543" s="273"/>
      <c r="G543" s="273"/>
      <c r="H543" s="273"/>
      <c r="I543" s="273"/>
      <c r="J543" s="273"/>
      <c r="K543" s="273"/>
      <c r="L543" s="273"/>
      <c r="M543" s="273"/>
      <c r="N543" s="273"/>
      <c r="O543" s="273"/>
      <c r="P543" s="273"/>
      <c r="Q543" s="273"/>
      <c r="R543" s="273"/>
      <c r="S543" s="273"/>
      <c r="T543" s="273"/>
      <c r="U543" s="273"/>
      <c r="V543" s="273"/>
      <c r="W543" s="273"/>
      <c r="X543" s="273"/>
      <c r="Y543" s="273"/>
      <c r="Z543" s="467"/>
      <c r="AA543" s="273"/>
      <c r="AB543" s="273"/>
      <c r="AC543" s="273"/>
      <c r="AD543" s="273"/>
    </row>
    <row r="544" spans="1:30" ht="14.25" customHeight="1">
      <c r="A544" s="273"/>
      <c r="B544" s="273"/>
      <c r="C544" s="273"/>
      <c r="D544" s="273"/>
      <c r="E544" s="274"/>
      <c r="F544" s="273"/>
      <c r="G544" s="273"/>
      <c r="H544" s="273"/>
      <c r="I544" s="273"/>
      <c r="J544" s="273"/>
      <c r="K544" s="273"/>
      <c r="L544" s="273"/>
      <c r="M544" s="273"/>
      <c r="N544" s="273"/>
      <c r="O544" s="273"/>
      <c r="P544" s="273"/>
      <c r="Q544" s="273"/>
      <c r="R544" s="273"/>
      <c r="S544" s="273"/>
      <c r="T544" s="273"/>
      <c r="U544" s="273"/>
      <c r="V544" s="273"/>
      <c r="W544" s="273"/>
      <c r="X544" s="273"/>
      <c r="Y544" s="273"/>
      <c r="Z544" s="467"/>
      <c r="AA544" s="273"/>
      <c r="AB544" s="273"/>
      <c r="AC544" s="273"/>
      <c r="AD544" s="273"/>
    </row>
    <row r="545" spans="1:30" ht="14.25" customHeight="1">
      <c r="A545" s="273"/>
      <c r="B545" s="273"/>
      <c r="C545" s="273"/>
      <c r="D545" s="273"/>
      <c r="E545" s="274"/>
      <c r="F545" s="273"/>
      <c r="G545" s="273"/>
      <c r="H545" s="273"/>
      <c r="I545" s="273"/>
      <c r="J545" s="273"/>
      <c r="K545" s="273"/>
      <c r="L545" s="273"/>
      <c r="M545" s="273"/>
      <c r="N545" s="273"/>
      <c r="O545" s="273"/>
      <c r="P545" s="273"/>
      <c r="Q545" s="273"/>
      <c r="R545" s="273"/>
      <c r="S545" s="273"/>
      <c r="T545" s="273"/>
      <c r="U545" s="273"/>
      <c r="V545" s="273"/>
      <c r="W545" s="273"/>
      <c r="X545" s="273"/>
      <c r="Y545" s="273"/>
      <c r="Z545" s="467"/>
      <c r="AA545" s="273"/>
      <c r="AB545" s="273"/>
      <c r="AC545" s="273"/>
      <c r="AD545" s="273"/>
    </row>
    <row r="546" spans="1:30" ht="14.25" customHeight="1">
      <c r="A546" s="273"/>
      <c r="B546" s="273"/>
      <c r="C546" s="273"/>
      <c r="D546" s="273"/>
      <c r="E546" s="274"/>
      <c r="F546" s="273"/>
      <c r="G546" s="273"/>
      <c r="H546" s="273"/>
      <c r="I546" s="273"/>
      <c r="J546" s="273"/>
      <c r="K546" s="273"/>
      <c r="L546" s="273"/>
      <c r="M546" s="273"/>
      <c r="N546" s="273"/>
      <c r="O546" s="273"/>
      <c r="P546" s="273"/>
      <c r="Q546" s="273"/>
      <c r="R546" s="273"/>
      <c r="S546" s="273"/>
      <c r="T546" s="273"/>
      <c r="U546" s="273"/>
      <c r="V546" s="273"/>
      <c r="W546" s="273"/>
      <c r="X546" s="273"/>
      <c r="Y546" s="273"/>
      <c r="Z546" s="467"/>
      <c r="AA546" s="273"/>
      <c r="AB546" s="273"/>
      <c r="AC546" s="273"/>
      <c r="AD546" s="273"/>
    </row>
    <row r="547" spans="1:30" ht="14.25" customHeight="1">
      <c r="A547" s="273"/>
      <c r="B547" s="273"/>
      <c r="C547" s="273"/>
      <c r="D547" s="273"/>
      <c r="E547" s="274"/>
      <c r="F547" s="273"/>
      <c r="G547" s="273"/>
      <c r="H547" s="273"/>
      <c r="I547" s="273"/>
      <c r="J547" s="273"/>
      <c r="K547" s="273"/>
      <c r="L547" s="273"/>
      <c r="M547" s="273"/>
      <c r="N547" s="273"/>
      <c r="O547" s="273"/>
      <c r="P547" s="273"/>
      <c r="Q547" s="273"/>
      <c r="R547" s="273"/>
      <c r="S547" s="273"/>
      <c r="T547" s="273"/>
      <c r="U547" s="273"/>
      <c r="V547" s="273"/>
      <c r="W547" s="273"/>
      <c r="X547" s="273"/>
      <c r="Y547" s="273"/>
      <c r="Z547" s="467"/>
      <c r="AA547" s="273"/>
      <c r="AB547" s="273"/>
      <c r="AC547" s="273"/>
      <c r="AD547" s="273"/>
    </row>
    <row r="548" spans="1:30" ht="14.25" customHeight="1">
      <c r="A548" s="273"/>
      <c r="B548" s="273"/>
      <c r="C548" s="273"/>
      <c r="D548" s="273"/>
      <c r="E548" s="274"/>
      <c r="F548" s="273"/>
      <c r="G548" s="273"/>
      <c r="H548" s="273"/>
      <c r="I548" s="273"/>
      <c r="J548" s="273"/>
      <c r="K548" s="273"/>
      <c r="L548" s="273"/>
      <c r="M548" s="273"/>
      <c r="N548" s="273"/>
      <c r="O548" s="273"/>
      <c r="P548" s="273"/>
      <c r="Q548" s="273"/>
      <c r="R548" s="273"/>
      <c r="S548" s="273"/>
      <c r="T548" s="273"/>
      <c r="U548" s="273"/>
      <c r="V548" s="273"/>
      <c r="W548" s="273"/>
      <c r="X548" s="273"/>
      <c r="Y548" s="273"/>
      <c r="Z548" s="467"/>
      <c r="AA548" s="273"/>
      <c r="AB548" s="273"/>
      <c r="AC548" s="273"/>
      <c r="AD548" s="273"/>
    </row>
    <row r="549" spans="1:30" ht="14.25" customHeight="1">
      <c r="A549" s="273"/>
      <c r="B549" s="273"/>
      <c r="C549" s="273"/>
      <c r="D549" s="273"/>
      <c r="E549" s="274"/>
      <c r="F549" s="273"/>
      <c r="G549" s="273"/>
      <c r="H549" s="273"/>
      <c r="I549" s="273"/>
      <c r="J549" s="273"/>
      <c r="K549" s="273"/>
      <c r="L549" s="273"/>
      <c r="M549" s="273"/>
      <c r="N549" s="273"/>
      <c r="O549" s="273"/>
      <c r="P549" s="273"/>
      <c r="Q549" s="273"/>
      <c r="R549" s="273"/>
      <c r="S549" s="273"/>
      <c r="T549" s="273"/>
      <c r="U549" s="273"/>
      <c r="V549" s="273"/>
      <c r="W549" s="273"/>
      <c r="X549" s="273"/>
      <c r="Y549" s="273"/>
      <c r="Z549" s="467"/>
      <c r="AA549" s="273"/>
      <c r="AB549" s="273"/>
      <c r="AC549" s="273"/>
      <c r="AD549" s="273"/>
    </row>
    <row r="550" spans="1:30" ht="14.25" customHeight="1">
      <c r="A550" s="273"/>
      <c r="B550" s="273"/>
      <c r="C550" s="273"/>
      <c r="D550" s="273"/>
      <c r="E550" s="274"/>
      <c r="F550" s="273"/>
      <c r="G550" s="273"/>
      <c r="H550" s="273"/>
      <c r="I550" s="273"/>
      <c r="J550" s="273"/>
      <c r="K550" s="273"/>
      <c r="L550" s="273"/>
      <c r="M550" s="273"/>
      <c r="N550" s="273"/>
      <c r="O550" s="273"/>
      <c r="P550" s="273"/>
      <c r="Q550" s="273"/>
      <c r="R550" s="273"/>
      <c r="S550" s="273"/>
      <c r="T550" s="273"/>
      <c r="U550" s="273"/>
      <c r="V550" s="273"/>
      <c r="W550" s="273"/>
      <c r="X550" s="273"/>
      <c r="Y550" s="273"/>
      <c r="Z550" s="467"/>
      <c r="AA550" s="273"/>
      <c r="AB550" s="273"/>
      <c r="AC550" s="273"/>
      <c r="AD550" s="273"/>
    </row>
    <row r="551" spans="1:30" ht="14.25" customHeight="1">
      <c r="A551" s="273"/>
      <c r="B551" s="273"/>
      <c r="C551" s="273"/>
      <c r="D551" s="273"/>
      <c r="E551" s="274"/>
      <c r="F551" s="273"/>
      <c r="G551" s="273"/>
      <c r="H551" s="273"/>
      <c r="I551" s="273"/>
      <c r="J551" s="273"/>
      <c r="K551" s="273"/>
      <c r="L551" s="273"/>
      <c r="M551" s="273"/>
      <c r="N551" s="273"/>
      <c r="O551" s="273"/>
      <c r="P551" s="273"/>
      <c r="Q551" s="273"/>
      <c r="R551" s="273"/>
      <c r="S551" s="273"/>
      <c r="T551" s="273"/>
      <c r="U551" s="273"/>
      <c r="V551" s="273"/>
      <c r="W551" s="273"/>
      <c r="X551" s="273"/>
      <c r="Y551" s="273"/>
      <c r="Z551" s="467"/>
      <c r="AA551" s="273"/>
      <c r="AB551" s="273"/>
      <c r="AC551" s="273"/>
      <c r="AD551" s="273"/>
    </row>
    <row r="552" spans="1:30" ht="14.25" customHeight="1">
      <c r="A552" s="273"/>
      <c r="B552" s="273"/>
      <c r="C552" s="273"/>
      <c r="D552" s="273"/>
      <c r="E552" s="274"/>
      <c r="F552" s="273"/>
      <c r="G552" s="273"/>
      <c r="H552" s="273"/>
      <c r="I552" s="273"/>
      <c r="J552" s="273"/>
      <c r="K552" s="273"/>
      <c r="L552" s="273"/>
      <c r="M552" s="273"/>
      <c r="N552" s="273"/>
      <c r="O552" s="273"/>
      <c r="P552" s="273"/>
      <c r="Q552" s="273"/>
      <c r="R552" s="273"/>
      <c r="S552" s="273"/>
      <c r="T552" s="273"/>
      <c r="U552" s="273"/>
      <c r="V552" s="273"/>
      <c r="W552" s="273"/>
      <c r="X552" s="273"/>
      <c r="Y552" s="273"/>
      <c r="Z552" s="467"/>
      <c r="AA552" s="273"/>
      <c r="AB552" s="273"/>
      <c r="AC552" s="273"/>
      <c r="AD552" s="273"/>
    </row>
    <row r="553" spans="1:30" ht="14.25" customHeight="1">
      <c r="A553" s="273"/>
      <c r="B553" s="273"/>
      <c r="C553" s="273"/>
      <c r="D553" s="273"/>
      <c r="E553" s="274"/>
      <c r="F553" s="273"/>
      <c r="G553" s="273"/>
      <c r="H553" s="273"/>
      <c r="I553" s="273"/>
      <c r="J553" s="273"/>
      <c r="K553" s="273"/>
      <c r="L553" s="273"/>
      <c r="M553" s="273"/>
      <c r="N553" s="273"/>
      <c r="O553" s="273"/>
      <c r="P553" s="273"/>
      <c r="Q553" s="273"/>
      <c r="R553" s="273"/>
      <c r="S553" s="273"/>
      <c r="T553" s="273"/>
      <c r="U553" s="273"/>
      <c r="V553" s="273"/>
      <c r="W553" s="273"/>
      <c r="X553" s="273"/>
      <c r="Y553" s="273"/>
      <c r="Z553" s="467"/>
      <c r="AA553" s="273"/>
      <c r="AB553" s="273"/>
      <c r="AC553" s="273"/>
      <c r="AD553" s="273"/>
    </row>
    <row r="554" spans="1:30" ht="14.25" customHeight="1">
      <c r="A554" s="273"/>
      <c r="B554" s="273"/>
      <c r="C554" s="273"/>
      <c r="D554" s="273"/>
      <c r="E554" s="274"/>
      <c r="F554" s="273"/>
      <c r="G554" s="273"/>
      <c r="H554" s="273"/>
      <c r="I554" s="273"/>
      <c r="J554" s="273"/>
      <c r="K554" s="273"/>
      <c r="L554" s="273"/>
      <c r="M554" s="273"/>
      <c r="N554" s="273"/>
      <c r="O554" s="273"/>
      <c r="P554" s="273"/>
      <c r="Q554" s="273"/>
      <c r="R554" s="273"/>
      <c r="S554" s="273"/>
      <c r="T554" s="273"/>
      <c r="U554" s="273"/>
      <c r="V554" s="273"/>
      <c r="W554" s="273"/>
      <c r="X554" s="273"/>
      <c r="Y554" s="273"/>
      <c r="Z554" s="467"/>
      <c r="AA554" s="273"/>
      <c r="AB554" s="273"/>
      <c r="AC554" s="273"/>
      <c r="AD554" s="273"/>
    </row>
    <row r="555" spans="1:30" ht="14.25" customHeight="1">
      <c r="A555" s="273"/>
      <c r="B555" s="273"/>
      <c r="C555" s="273"/>
      <c r="D555" s="273"/>
      <c r="E555" s="274"/>
      <c r="F555" s="273"/>
      <c r="G555" s="273"/>
      <c r="H555" s="273"/>
      <c r="I555" s="273"/>
      <c r="J555" s="273"/>
      <c r="K555" s="273"/>
      <c r="L555" s="273"/>
      <c r="M555" s="273"/>
      <c r="N555" s="273"/>
      <c r="O555" s="273"/>
      <c r="P555" s="273"/>
      <c r="Q555" s="273"/>
      <c r="R555" s="273"/>
      <c r="S555" s="273"/>
      <c r="T555" s="273"/>
      <c r="U555" s="273"/>
      <c r="V555" s="273"/>
      <c r="W555" s="273"/>
      <c r="X555" s="273"/>
      <c r="Y555" s="273"/>
      <c r="Z555" s="467"/>
      <c r="AA555" s="273"/>
      <c r="AB555" s="273"/>
      <c r="AC555" s="273"/>
      <c r="AD555" s="273"/>
    </row>
    <row r="556" spans="1:30" ht="14.25" customHeight="1">
      <c r="A556" s="273"/>
      <c r="B556" s="273"/>
      <c r="C556" s="273"/>
      <c r="D556" s="273"/>
      <c r="E556" s="274"/>
      <c r="F556" s="273"/>
      <c r="G556" s="273"/>
      <c r="H556" s="273"/>
      <c r="I556" s="273"/>
      <c r="J556" s="273"/>
      <c r="K556" s="273"/>
      <c r="L556" s="273"/>
      <c r="M556" s="273"/>
      <c r="N556" s="273"/>
      <c r="O556" s="273"/>
      <c r="P556" s="273"/>
      <c r="Q556" s="273"/>
      <c r="R556" s="273"/>
      <c r="S556" s="273"/>
      <c r="T556" s="273"/>
      <c r="U556" s="273"/>
      <c r="V556" s="273"/>
      <c r="W556" s="273"/>
      <c r="X556" s="273"/>
      <c r="Y556" s="273"/>
      <c r="Z556" s="467"/>
      <c r="AA556" s="273"/>
      <c r="AB556" s="273"/>
      <c r="AC556" s="273"/>
      <c r="AD556" s="273"/>
    </row>
    <row r="557" spans="1:30" ht="14.25" customHeight="1">
      <c r="A557" s="273"/>
      <c r="B557" s="273"/>
      <c r="C557" s="273"/>
      <c r="D557" s="273"/>
      <c r="E557" s="274"/>
      <c r="F557" s="273"/>
      <c r="G557" s="273"/>
      <c r="H557" s="273"/>
      <c r="I557" s="273"/>
      <c r="J557" s="273"/>
      <c r="K557" s="273"/>
      <c r="L557" s="273"/>
      <c r="M557" s="273"/>
      <c r="N557" s="273"/>
      <c r="O557" s="273"/>
      <c r="P557" s="273"/>
      <c r="Q557" s="273"/>
      <c r="R557" s="273"/>
      <c r="S557" s="273"/>
      <c r="T557" s="273"/>
      <c r="U557" s="273"/>
      <c r="V557" s="273"/>
      <c r="W557" s="273"/>
      <c r="X557" s="273"/>
      <c r="Y557" s="273"/>
      <c r="Z557" s="467"/>
      <c r="AA557" s="273"/>
      <c r="AB557" s="273"/>
      <c r="AC557" s="273"/>
      <c r="AD557" s="273"/>
    </row>
    <row r="558" spans="1:30" ht="14.25" customHeight="1">
      <c r="A558" s="273"/>
      <c r="B558" s="273"/>
      <c r="C558" s="273"/>
      <c r="D558" s="273"/>
      <c r="E558" s="274"/>
      <c r="F558" s="273"/>
      <c r="G558" s="273"/>
      <c r="H558" s="273"/>
      <c r="I558" s="273"/>
      <c r="J558" s="273"/>
      <c r="K558" s="273"/>
      <c r="L558" s="273"/>
      <c r="M558" s="273"/>
      <c r="N558" s="273"/>
      <c r="O558" s="273"/>
      <c r="P558" s="273"/>
      <c r="Q558" s="273"/>
      <c r="R558" s="273"/>
      <c r="S558" s="273"/>
      <c r="T558" s="273"/>
      <c r="U558" s="273"/>
      <c r="V558" s="273"/>
      <c r="W558" s="273"/>
      <c r="X558" s="273"/>
      <c r="Y558" s="273"/>
      <c r="Z558" s="467"/>
      <c r="AA558" s="273"/>
      <c r="AB558" s="273"/>
      <c r="AC558" s="273"/>
      <c r="AD558" s="273"/>
    </row>
    <row r="559" spans="1:30" ht="14.25" customHeight="1">
      <c r="A559" s="273"/>
      <c r="B559" s="273"/>
      <c r="C559" s="273"/>
      <c r="D559" s="273"/>
      <c r="E559" s="274"/>
      <c r="F559" s="273"/>
      <c r="G559" s="273"/>
      <c r="H559" s="273"/>
      <c r="I559" s="273"/>
      <c r="J559" s="273"/>
      <c r="K559" s="273"/>
      <c r="L559" s="273"/>
      <c r="M559" s="273"/>
      <c r="N559" s="273"/>
      <c r="O559" s="273"/>
      <c r="P559" s="273"/>
      <c r="Q559" s="273"/>
      <c r="R559" s="273"/>
      <c r="S559" s="273"/>
      <c r="T559" s="273"/>
      <c r="U559" s="273"/>
      <c r="V559" s="273"/>
      <c r="W559" s="273"/>
      <c r="X559" s="273"/>
      <c r="Y559" s="273"/>
      <c r="Z559" s="467"/>
      <c r="AA559" s="273"/>
      <c r="AB559" s="273"/>
      <c r="AC559" s="273"/>
      <c r="AD559" s="273"/>
    </row>
    <row r="560" spans="1:30" ht="14.25" customHeight="1">
      <c r="A560" s="273"/>
      <c r="B560" s="273"/>
      <c r="C560" s="273"/>
      <c r="D560" s="273"/>
      <c r="E560" s="274"/>
      <c r="F560" s="273"/>
      <c r="G560" s="273"/>
      <c r="H560" s="273"/>
      <c r="I560" s="273"/>
      <c r="J560" s="273"/>
      <c r="K560" s="273"/>
      <c r="L560" s="273"/>
      <c r="M560" s="273"/>
      <c r="N560" s="273"/>
      <c r="O560" s="273"/>
      <c r="P560" s="273"/>
      <c r="Q560" s="273"/>
      <c r="R560" s="273"/>
      <c r="S560" s="273"/>
      <c r="T560" s="273"/>
      <c r="U560" s="273"/>
      <c r="V560" s="273"/>
      <c r="W560" s="273"/>
      <c r="X560" s="273"/>
      <c r="Y560" s="273"/>
      <c r="Z560" s="467"/>
      <c r="AA560" s="273"/>
      <c r="AB560" s="273"/>
      <c r="AC560" s="273"/>
      <c r="AD560" s="273"/>
    </row>
    <row r="561" spans="1:30" ht="14.25" customHeight="1">
      <c r="A561" s="273"/>
      <c r="B561" s="273"/>
      <c r="C561" s="273"/>
      <c r="D561" s="273"/>
      <c r="E561" s="274"/>
      <c r="F561" s="273"/>
      <c r="G561" s="273"/>
      <c r="H561" s="273"/>
      <c r="I561" s="273"/>
      <c r="J561" s="273"/>
      <c r="K561" s="273"/>
      <c r="L561" s="273"/>
      <c r="M561" s="273"/>
      <c r="N561" s="273"/>
      <c r="O561" s="273"/>
      <c r="P561" s="273"/>
      <c r="Q561" s="273"/>
      <c r="R561" s="273"/>
      <c r="S561" s="273"/>
      <c r="T561" s="273"/>
      <c r="U561" s="273"/>
      <c r="V561" s="273"/>
      <c r="W561" s="273"/>
      <c r="X561" s="273"/>
      <c r="Y561" s="273"/>
      <c r="Z561" s="467"/>
      <c r="AA561" s="273"/>
      <c r="AB561" s="273"/>
      <c r="AC561" s="273"/>
      <c r="AD561" s="273"/>
    </row>
    <row r="562" spans="1:30" ht="14.25" customHeight="1">
      <c r="A562" s="273"/>
      <c r="B562" s="273"/>
      <c r="C562" s="273"/>
      <c r="D562" s="273"/>
      <c r="E562" s="274"/>
      <c r="F562" s="273"/>
      <c r="G562" s="273"/>
      <c r="H562" s="273"/>
      <c r="I562" s="273"/>
      <c r="J562" s="273"/>
      <c r="K562" s="273"/>
      <c r="L562" s="273"/>
      <c r="M562" s="273"/>
      <c r="N562" s="273"/>
      <c r="O562" s="273"/>
      <c r="P562" s="273"/>
      <c r="Q562" s="273"/>
      <c r="R562" s="273"/>
      <c r="S562" s="273"/>
      <c r="T562" s="273"/>
      <c r="U562" s="273"/>
      <c r="V562" s="273"/>
      <c r="W562" s="273"/>
      <c r="X562" s="273"/>
      <c r="Y562" s="273"/>
      <c r="Z562" s="467"/>
      <c r="AA562" s="273"/>
      <c r="AB562" s="273"/>
      <c r="AC562" s="273"/>
      <c r="AD562" s="273"/>
    </row>
    <row r="563" spans="1:30" ht="14.25" customHeight="1">
      <c r="A563" s="273"/>
      <c r="B563" s="273"/>
      <c r="C563" s="273"/>
      <c r="D563" s="273"/>
      <c r="E563" s="274"/>
      <c r="F563" s="273"/>
      <c r="G563" s="273"/>
      <c r="H563" s="273"/>
      <c r="I563" s="273"/>
      <c r="J563" s="273"/>
      <c r="K563" s="273"/>
      <c r="L563" s="273"/>
      <c r="M563" s="273"/>
      <c r="N563" s="273"/>
      <c r="O563" s="273"/>
      <c r="P563" s="273"/>
      <c r="Q563" s="273"/>
      <c r="R563" s="273"/>
      <c r="S563" s="273"/>
      <c r="T563" s="273"/>
      <c r="U563" s="273"/>
      <c r="V563" s="273"/>
      <c r="W563" s="273"/>
      <c r="X563" s="273"/>
      <c r="Y563" s="273"/>
      <c r="Z563" s="467"/>
      <c r="AA563" s="273"/>
      <c r="AB563" s="273"/>
      <c r="AC563" s="273"/>
      <c r="AD563" s="273"/>
    </row>
    <row r="564" spans="1:30" ht="14.25" customHeight="1">
      <c r="A564" s="273"/>
      <c r="B564" s="273"/>
      <c r="C564" s="273"/>
      <c r="D564" s="273"/>
      <c r="E564" s="274"/>
      <c r="F564" s="273"/>
      <c r="G564" s="273"/>
      <c r="H564" s="273"/>
      <c r="I564" s="273"/>
      <c r="J564" s="273"/>
      <c r="K564" s="273"/>
      <c r="L564" s="273"/>
      <c r="M564" s="273"/>
      <c r="N564" s="273"/>
      <c r="O564" s="273"/>
      <c r="P564" s="273"/>
      <c r="Q564" s="273"/>
      <c r="R564" s="273"/>
      <c r="S564" s="273"/>
      <c r="T564" s="273"/>
      <c r="U564" s="273"/>
      <c r="V564" s="273"/>
      <c r="W564" s="273"/>
      <c r="X564" s="273"/>
      <c r="Y564" s="273"/>
      <c r="Z564" s="467"/>
      <c r="AA564" s="273"/>
      <c r="AB564" s="273"/>
      <c r="AC564" s="273"/>
      <c r="AD564" s="273"/>
    </row>
    <row r="565" spans="1:30" ht="14.25" customHeight="1">
      <c r="A565" s="273"/>
      <c r="B565" s="273"/>
      <c r="C565" s="273"/>
      <c r="D565" s="273"/>
      <c r="E565" s="274"/>
      <c r="F565" s="273"/>
      <c r="G565" s="273"/>
      <c r="H565" s="273"/>
      <c r="I565" s="273"/>
      <c r="J565" s="273"/>
      <c r="K565" s="273"/>
      <c r="L565" s="273"/>
      <c r="M565" s="273"/>
      <c r="N565" s="273"/>
      <c r="O565" s="273"/>
      <c r="P565" s="273"/>
      <c r="Q565" s="273"/>
      <c r="R565" s="273"/>
      <c r="S565" s="273"/>
      <c r="T565" s="273"/>
      <c r="U565" s="273"/>
      <c r="V565" s="273"/>
      <c r="W565" s="273"/>
      <c r="X565" s="273"/>
      <c r="Y565" s="273"/>
      <c r="Z565" s="467"/>
      <c r="AA565" s="273"/>
      <c r="AB565" s="273"/>
      <c r="AC565" s="273"/>
      <c r="AD565" s="273"/>
    </row>
    <row r="566" spans="1:30" ht="14.25" customHeight="1">
      <c r="A566" s="273"/>
      <c r="B566" s="273"/>
      <c r="C566" s="273"/>
      <c r="D566" s="273"/>
      <c r="E566" s="274"/>
      <c r="F566" s="273"/>
      <c r="G566" s="273"/>
      <c r="H566" s="273"/>
      <c r="I566" s="273"/>
      <c r="J566" s="273"/>
      <c r="K566" s="273"/>
      <c r="L566" s="273"/>
      <c r="M566" s="273"/>
      <c r="N566" s="273"/>
      <c r="O566" s="273"/>
      <c r="P566" s="273"/>
      <c r="Q566" s="273"/>
      <c r="R566" s="273"/>
      <c r="S566" s="273"/>
      <c r="T566" s="273"/>
      <c r="U566" s="273"/>
      <c r="V566" s="273"/>
      <c r="W566" s="273"/>
      <c r="X566" s="273"/>
      <c r="Y566" s="273"/>
      <c r="Z566" s="467"/>
      <c r="AA566" s="273"/>
      <c r="AB566" s="273"/>
      <c r="AC566" s="273"/>
      <c r="AD566" s="273"/>
    </row>
    <row r="567" spans="1:30" ht="14.25" customHeight="1">
      <c r="A567" s="273"/>
      <c r="B567" s="273"/>
      <c r="C567" s="273"/>
      <c r="D567" s="273"/>
      <c r="E567" s="274"/>
      <c r="F567" s="273"/>
      <c r="G567" s="273"/>
      <c r="H567" s="273"/>
      <c r="I567" s="273"/>
      <c r="J567" s="273"/>
      <c r="K567" s="273"/>
      <c r="L567" s="273"/>
      <c r="M567" s="273"/>
      <c r="N567" s="273"/>
      <c r="O567" s="273"/>
      <c r="P567" s="273"/>
      <c r="Q567" s="273"/>
      <c r="R567" s="273"/>
      <c r="S567" s="273"/>
      <c r="T567" s="273"/>
      <c r="U567" s="273"/>
      <c r="V567" s="273"/>
      <c r="W567" s="273"/>
      <c r="X567" s="273"/>
      <c r="Y567" s="273"/>
      <c r="Z567" s="467"/>
      <c r="AA567" s="273"/>
      <c r="AB567" s="273"/>
      <c r="AC567" s="273"/>
      <c r="AD567" s="273"/>
    </row>
    <row r="568" spans="1:30" ht="14.25" customHeight="1">
      <c r="A568" s="273"/>
      <c r="B568" s="273"/>
      <c r="C568" s="273"/>
      <c r="D568" s="273"/>
      <c r="E568" s="274"/>
      <c r="F568" s="273"/>
      <c r="G568" s="273"/>
      <c r="H568" s="273"/>
      <c r="I568" s="273"/>
      <c r="J568" s="273"/>
      <c r="K568" s="273"/>
      <c r="L568" s="273"/>
      <c r="M568" s="273"/>
      <c r="N568" s="273"/>
      <c r="O568" s="273"/>
      <c r="P568" s="273"/>
      <c r="Q568" s="273"/>
      <c r="R568" s="273"/>
      <c r="S568" s="273"/>
      <c r="T568" s="273"/>
      <c r="U568" s="273"/>
      <c r="V568" s="273"/>
      <c r="W568" s="273"/>
      <c r="X568" s="273"/>
      <c r="Y568" s="273"/>
      <c r="Z568" s="467"/>
      <c r="AA568" s="273"/>
      <c r="AB568" s="273"/>
      <c r="AC568" s="273"/>
      <c r="AD568" s="273"/>
    </row>
    <row r="569" spans="1:30" ht="14.25" customHeight="1">
      <c r="A569" s="273"/>
      <c r="B569" s="273"/>
      <c r="C569" s="273"/>
      <c r="D569" s="273"/>
      <c r="E569" s="274"/>
      <c r="F569" s="273"/>
      <c r="G569" s="273"/>
      <c r="H569" s="273"/>
      <c r="I569" s="273"/>
      <c r="J569" s="273"/>
      <c r="K569" s="273"/>
      <c r="L569" s="273"/>
      <c r="M569" s="273"/>
      <c r="N569" s="273"/>
      <c r="O569" s="273"/>
      <c r="P569" s="273"/>
      <c r="Q569" s="273"/>
      <c r="R569" s="273"/>
      <c r="S569" s="273"/>
      <c r="T569" s="273"/>
      <c r="U569" s="273"/>
      <c r="V569" s="273"/>
      <c r="W569" s="273"/>
      <c r="X569" s="273"/>
      <c r="Y569" s="273"/>
      <c r="Z569" s="467"/>
      <c r="AA569" s="273"/>
      <c r="AB569" s="273"/>
      <c r="AC569" s="273"/>
      <c r="AD569" s="273"/>
    </row>
    <row r="570" spans="1:30" ht="14.25" customHeight="1">
      <c r="A570" s="273"/>
      <c r="B570" s="273"/>
      <c r="C570" s="273"/>
      <c r="D570" s="273"/>
      <c r="E570" s="274"/>
      <c r="F570" s="273"/>
      <c r="G570" s="273"/>
      <c r="H570" s="273"/>
      <c r="I570" s="273"/>
      <c r="J570" s="273"/>
      <c r="K570" s="273"/>
      <c r="L570" s="273"/>
      <c r="M570" s="273"/>
      <c r="N570" s="273"/>
      <c r="O570" s="273"/>
      <c r="P570" s="273"/>
      <c r="Q570" s="273"/>
      <c r="R570" s="273"/>
      <c r="S570" s="273"/>
      <c r="T570" s="273"/>
      <c r="U570" s="273"/>
      <c r="V570" s="273"/>
      <c r="W570" s="273"/>
      <c r="X570" s="273"/>
      <c r="Y570" s="273"/>
      <c r="Z570" s="467"/>
      <c r="AA570" s="273"/>
      <c r="AB570" s="273"/>
      <c r="AC570" s="273"/>
      <c r="AD570" s="273"/>
    </row>
    <row r="571" spans="1:30" ht="14.25" customHeight="1">
      <c r="A571" s="273"/>
      <c r="B571" s="273"/>
      <c r="C571" s="273"/>
      <c r="D571" s="273"/>
      <c r="E571" s="274"/>
      <c r="F571" s="273"/>
      <c r="G571" s="273"/>
      <c r="H571" s="273"/>
      <c r="I571" s="273"/>
      <c r="J571" s="273"/>
      <c r="K571" s="273"/>
      <c r="L571" s="273"/>
      <c r="M571" s="273"/>
      <c r="N571" s="273"/>
      <c r="O571" s="273"/>
      <c r="P571" s="273"/>
      <c r="Q571" s="273"/>
      <c r="R571" s="273"/>
      <c r="S571" s="273"/>
      <c r="T571" s="273"/>
      <c r="U571" s="273"/>
      <c r="V571" s="273"/>
      <c r="W571" s="273"/>
      <c r="X571" s="273"/>
      <c r="Y571" s="273"/>
      <c r="Z571" s="467"/>
      <c r="AA571" s="273"/>
      <c r="AB571" s="273"/>
      <c r="AC571" s="273"/>
      <c r="AD571" s="273"/>
    </row>
    <row r="572" spans="1:30" ht="14.25" customHeight="1">
      <c r="A572" s="273"/>
      <c r="B572" s="273"/>
      <c r="C572" s="273"/>
      <c r="D572" s="273"/>
      <c r="E572" s="274"/>
      <c r="F572" s="273"/>
      <c r="G572" s="273"/>
      <c r="H572" s="273"/>
      <c r="I572" s="273"/>
      <c r="J572" s="273"/>
      <c r="K572" s="273"/>
      <c r="L572" s="273"/>
      <c r="M572" s="273"/>
      <c r="N572" s="273"/>
      <c r="O572" s="273"/>
      <c r="P572" s="273"/>
      <c r="Q572" s="273"/>
      <c r="R572" s="273"/>
      <c r="S572" s="273"/>
      <c r="T572" s="273"/>
      <c r="U572" s="273"/>
      <c r="V572" s="273"/>
      <c r="W572" s="273"/>
      <c r="X572" s="273"/>
      <c r="Y572" s="273"/>
      <c r="Z572" s="467"/>
      <c r="AA572" s="273"/>
      <c r="AB572" s="273"/>
      <c r="AC572" s="273"/>
      <c r="AD572" s="273"/>
    </row>
    <row r="573" spans="1:30" ht="14.25" customHeight="1">
      <c r="A573" s="273"/>
      <c r="B573" s="273"/>
      <c r="C573" s="273"/>
      <c r="D573" s="273"/>
      <c r="E573" s="274"/>
      <c r="F573" s="273"/>
      <c r="G573" s="273"/>
      <c r="H573" s="273"/>
      <c r="I573" s="273"/>
      <c r="J573" s="273"/>
      <c r="K573" s="273"/>
      <c r="L573" s="273"/>
      <c r="M573" s="273"/>
      <c r="N573" s="273"/>
      <c r="O573" s="273"/>
      <c r="P573" s="273"/>
      <c r="Q573" s="273"/>
      <c r="R573" s="273"/>
      <c r="S573" s="273"/>
      <c r="T573" s="273"/>
      <c r="U573" s="273"/>
      <c r="V573" s="273"/>
      <c r="W573" s="273"/>
      <c r="X573" s="273"/>
      <c r="Y573" s="273"/>
      <c r="Z573" s="467"/>
      <c r="AA573" s="273"/>
      <c r="AB573" s="273"/>
      <c r="AC573" s="273"/>
      <c r="AD573" s="273"/>
    </row>
    <row r="574" spans="1:30" ht="14.25" customHeight="1">
      <c r="A574" s="273"/>
      <c r="B574" s="273"/>
      <c r="C574" s="273"/>
      <c r="D574" s="273"/>
      <c r="E574" s="274"/>
      <c r="F574" s="273"/>
      <c r="G574" s="273"/>
      <c r="H574" s="273"/>
      <c r="I574" s="273"/>
      <c r="J574" s="273"/>
      <c r="K574" s="273"/>
      <c r="L574" s="273"/>
      <c r="M574" s="273"/>
      <c r="N574" s="273"/>
      <c r="O574" s="273"/>
      <c r="P574" s="273"/>
      <c r="Q574" s="273"/>
      <c r="R574" s="273"/>
      <c r="S574" s="273"/>
      <c r="T574" s="273"/>
      <c r="U574" s="273"/>
      <c r="V574" s="273"/>
      <c r="W574" s="273"/>
      <c r="X574" s="273"/>
      <c r="Y574" s="273"/>
      <c r="Z574" s="467"/>
      <c r="AA574" s="273"/>
      <c r="AB574" s="273"/>
      <c r="AC574" s="273"/>
      <c r="AD574" s="273"/>
    </row>
    <row r="575" spans="1:30" ht="14.25" customHeight="1">
      <c r="A575" s="273"/>
      <c r="B575" s="273"/>
      <c r="C575" s="273"/>
      <c r="D575" s="273"/>
      <c r="E575" s="274"/>
      <c r="F575" s="273"/>
      <c r="G575" s="273"/>
      <c r="H575" s="273"/>
      <c r="I575" s="273"/>
      <c r="J575" s="273"/>
      <c r="K575" s="273"/>
      <c r="L575" s="273"/>
      <c r="M575" s="273"/>
      <c r="N575" s="273"/>
      <c r="O575" s="273"/>
      <c r="P575" s="273"/>
      <c r="Q575" s="273"/>
      <c r="R575" s="273"/>
      <c r="S575" s="273"/>
      <c r="T575" s="273"/>
      <c r="U575" s="273"/>
      <c r="V575" s="273"/>
      <c r="W575" s="273"/>
      <c r="X575" s="273"/>
      <c r="Y575" s="273"/>
      <c r="Z575" s="467"/>
      <c r="AA575" s="273"/>
      <c r="AB575" s="273"/>
      <c r="AC575" s="273"/>
      <c r="AD575" s="273"/>
    </row>
    <row r="576" spans="1:30" ht="14.25" customHeight="1">
      <c r="A576" s="273"/>
      <c r="B576" s="273"/>
      <c r="C576" s="273"/>
      <c r="D576" s="273"/>
      <c r="E576" s="274"/>
      <c r="F576" s="273"/>
      <c r="G576" s="273"/>
      <c r="H576" s="273"/>
      <c r="I576" s="273"/>
      <c r="J576" s="273"/>
      <c r="K576" s="273"/>
      <c r="L576" s="273"/>
      <c r="M576" s="273"/>
      <c r="N576" s="273"/>
      <c r="O576" s="273"/>
      <c r="P576" s="273"/>
      <c r="Q576" s="273"/>
      <c r="R576" s="273"/>
      <c r="S576" s="273"/>
      <c r="T576" s="273"/>
      <c r="U576" s="273"/>
      <c r="V576" s="273"/>
      <c r="W576" s="273"/>
      <c r="X576" s="273"/>
      <c r="Y576" s="273"/>
      <c r="Z576" s="467"/>
      <c r="AA576" s="273"/>
      <c r="AB576" s="273"/>
      <c r="AC576" s="273"/>
      <c r="AD576" s="273"/>
    </row>
    <row r="577" spans="1:30" ht="14.25" customHeight="1">
      <c r="A577" s="273"/>
      <c r="B577" s="273"/>
      <c r="C577" s="273"/>
      <c r="D577" s="273"/>
      <c r="E577" s="274"/>
      <c r="F577" s="273"/>
      <c r="G577" s="273"/>
      <c r="H577" s="273"/>
      <c r="I577" s="273"/>
      <c r="J577" s="273"/>
      <c r="K577" s="273"/>
      <c r="L577" s="273"/>
      <c r="M577" s="273"/>
      <c r="N577" s="273"/>
      <c r="O577" s="273"/>
      <c r="P577" s="273"/>
      <c r="Q577" s="273"/>
      <c r="R577" s="273"/>
      <c r="S577" s="273"/>
      <c r="T577" s="273"/>
      <c r="U577" s="273"/>
      <c r="V577" s="273"/>
      <c r="W577" s="273"/>
      <c r="X577" s="273"/>
      <c r="Y577" s="273"/>
      <c r="Z577" s="467"/>
      <c r="AA577" s="273"/>
      <c r="AB577" s="273"/>
      <c r="AC577" s="273"/>
      <c r="AD577" s="273"/>
    </row>
    <row r="578" spans="1:30" ht="14.25" customHeight="1">
      <c r="A578" s="273"/>
      <c r="B578" s="273"/>
      <c r="C578" s="273"/>
      <c r="D578" s="273"/>
      <c r="E578" s="274"/>
      <c r="F578" s="273"/>
      <c r="G578" s="273"/>
      <c r="H578" s="273"/>
      <c r="I578" s="273"/>
      <c r="J578" s="273"/>
      <c r="K578" s="273"/>
      <c r="L578" s="273"/>
      <c r="M578" s="273"/>
      <c r="N578" s="273"/>
      <c r="O578" s="273"/>
      <c r="P578" s="273"/>
      <c r="Q578" s="273"/>
      <c r="R578" s="273"/>
      <c r="S578" s="273"/>
      <c r="T578" s="273"/>
      <c r="U578" s="273"/>
      <c r="V578" s="273"/>
      <c r="W578" s="273"/>
      <c r="X578" s="273"/>
      <c r="Y578" s="273"/>
      <c r="Z578" s="467"/>
      <c r="AA578" s="273"/>
      <c r="AB578" s="273"/>
      <c r="AC578" s="273"/>
      <c r="AD578" s="273"/>
    </row>
    <row r="579" spans="1:30" ht="14.25" customHeight="1">
      <c r="A579" s="273"/>
      <c r="B579" s="273"/>
      <c r="C579" s="273"/>
      <c r="D579" s="273"/>
      <c r="E579" s="274"/>
      <c r="F579" s="273"/>
      <c r="G579" s="273"/>
      <c r="H579" s="273"/>
      <c r="I579" s="273"/>
      <c r="J579" s="273"/>
      <c r="K579" s="273"/>
      <c r="L579" s="273"/>
      <c r="M579" s="273"/>
      <c r="N579" s="273"/>
      <c r="O579" s="273"/>
      <c r="P579" s="273"/>
      <c r="Q579" s="273"/>
      <c r="R579" s="273"/>
      <c r="S579" s="273"/>
      <c r="T579" s="273"/>
      <c r="U579" s="273"/>
      <c r="V579" s="273"/>
      <c r="W579" s="273"/>
      <c r="X579" s="273"/>
      <c r="Y579" s="273"/>
      <c r="Z579" s="467"/>
      <c r="AA579" s="273"/>
      <c r="AB579" s="273"/>
      <c r="AC579" s="273"/>
      <c r="AD579" s="273"/>
    </row>
    <row r="580" spans="1:30" ht="14.25" customHeight="1">
      <c r="A580" s="273"/>
      <c r="B580" s="273"/>
      <c r="C580" s="273"/>
      <c r="D580" s="273"/>
      <c r="E580" s="274"/>
      <c r="F580" s="273"/>
      <c r="G580" s="273"/>
      <c r="H580" s="273"/>
      <c r="I580" s="273"/>
      <c r="J580" s="273"/>
      <c r="K580" s="273"/>
      <c r="L580" s="273"/>
      <c r="M580" s="273"/>
      <c r="N580" s="273"/>
      <c r="O580" s="273"/>
      <c r="P580" s="273"/>
      <c r="Q580" s="273"/>
      <c r="R580" s="273"/>
      <c r="S580" s="273"/>
      <c r="T580" s="273"/>
      <c r="U580" s="273"/>
      <c r="V580" s="273"/>
      <c r="W580" s="273"/>
      <c r="X580" s="273"/>
      <c r="Y580" s="273"/>
      <c r="Z580" s="467"/>
      <c r="AA580" s="273"/>
      <c r="AB580" s="273"/>
      <c r="AC580" s="273"/>
      <c r="AD580" s="273"/>
    </row>
    <row r="581" spans="1:30" ht="14.25" customHeight="1">
      <c r="A581" s="273"/>
      <c r="B581" s="273"/>
      <c r="C581" s="273"/>
      <c r="D581" s="273"/>
      <c r="E581" s="274"/>
      <c r="F581" s="273"/>
      <c r="G581" s="273"/>
      <c r="H581" s="273"/>
      <c r="I581" s="273"/>
      <c r="J581" s="273"/>
      <c r="K581" s="273"/>
      <c r="L581" s="273"/>
      <c r="M581" s="273"/>
      <c r="N581" s="273"/>
      <c r="O581" s="273"/>
      <c r="P581" s="273"/>
      <c r="Q581" s="273"/>
      <c r="R581" s="273"/>
      <c r="S581" s="273"/>
      <c r="T581" s="273"/>
      <c r="U581" s="273"/>
      <c r="V581" s="273"/>
      <c r="W581" s="273"/>
      <c r="X581" s="273"/>
      <c r="Y581" s="273"/>
      <c r="Z581" s="467"/>
      <c r="AA581" s="273"/>
      <c r="AB581" s="273"/>
      <c r="AC581" s="273"/>
      <c r="AD581" s="273"/>
    </row>
    <row r="582" spans="1:30" ht="14.25" customHeight="1">
      <c r="A582" s="273"/>
      <c r="B582" s="273"/>
      <c r="C582" s="273"/>
      <c r="D582" s="273"/>
      <c r="E582" s="274"/>
      <c r="F582" s="273"/>
      <c r="G582" s="273"/>
      <c r="H582" s="273"/>
      <c r="I582" s="273"/>
      <c r="J582" s="273"/>
      <c r="K582" s="273"/>
      <c r="L582" s="273"/>
      <c r="M582" s="273"/>
      <c r="N582" s="273"/>
      <c r="O582" s="273"/>
      <c r="P582" s="273"/>
      <c r="Q582" s="273"/>
      <c r="R582" s="273"/>
      <c r="S582" s="273"/>
      <c r="T582" s="273"/>
      <c r="U582" s="273"/>
      <c r="V582" s="273"/>
      <c r="W582" s="273"/>
      <c r="X582" s="273"/>
      <c r="Y582" s="273"/>
      <c r="Z582" s="467"/>
      <c r="AA582" s="273"/>
      <c r="AB582" s="273"/>
      <c r="AC582" s="273"/>
      <c r="AD582" s="273"/>
    </row>
    <row r="583" spans="1:30" ht="14.25" customHeight="1">
      <c r="A583" s="273"/>
      <c r="B583" s="273"/>
      <c r="C583" s="273"/>
      <c r="D583" s="273"/>
      <c r="E583" s="274"/>
      <c r="F583" s="273"/>
      <c r="G583" s="273"/>
      <c r="H583" s="273"/>
      <c r="I583" s="273"/>
      <c r="J583" s="273"/>
      <c r="K583" s="273"/>
      <c r="L583" s="273"/>
      <c r="M583" s="273"/>
      <c r="N583" s="273"/>
      <c r="O583" s="273"/>
      <c r="P583" s="273"/>
      <c r="Q583" s="273"/>
      <c r="R583" s="273"/>
      <c r="S583" s="273"/>
      <c r="T583" s="273"/>
      <c r="U583" s="273"/>
      <c r="V583" s="273"/>
      <c r="W583" s="273"/>
      <c r="X583" s="273"/>
      <c r="Y583" s="273"/>
      <c r="Z583" s="467"/>
      <c r="AA583" s="273"/>
      <c r="AB583" s="273"/>
      <c r="AC583" s="273"/>
      <c r="AD583" s="273"/>
    </row>
    <row r="584" spans="1:30" ht="14.25" customHeight="1">
      <c r="A584" s="273"/>
      <c r="B584" s="273"/>
      <c r="C584" s="273"/>
      <c r="D584" s="273"/>
      <c r="E584" s="274"/>
      <c r="F584" s="273"/>
      <c r="G584" s="273"/>
      <c r="H584" s="273"/>
      <c r="I584" s="273"/>
      <c r="J584" s="273"/>
      <c r="K584" s="273"/>
      <c r="L584" s="273"/>
      <c r="M584" s="273"/>
      <c r="N584" s="273"/>
      <c r="O584" s="273"/>
      <c r="P584" s="273"/>
      <c r="Q584" s="273"/>
      <c r="R584" s="273"/>
      <c r="S584" s="273"/>
      <c r="T584" s="273"/>
      <c r="U584" s="273"/>
      <c r="V584" s="273"/>
      <c r="W584" s="273"/>
      <c r="X584" s="273"/>
      <c r="Y584" s="273"/>
      <c r="Z584" s="467"/>
      <c r="AA584" s="273"/>
      <c r="AB584" s="273"/>
      <c r="AC584" s="273"/>
      <c r="AD584" s="273"/>
    </row>
    <row r="585" spans="1:30" ht="14.25" customHeight="1">
      <c r="A585" s="273"/>
      <c r="B585" s="273"/>
      <c r="C585" s="273"/>
      <c r="D585" s="273"/>
      <c r="E585" s="274"/>
      <c r="F585" s="273"/>
      <c r="G585" s="273"/>
      <c r="H585" s="273"/>
      <c r="I585" s="273"/>
      <c r="J585" s="273"/>
      <c r="K585" s="273"/>
      <c r="L585" s="273"/>
      <c r="M585" s="273"/>
      <c r="N585" s="273"/>
      <c r="O585" s="273"/>
      <c r="P585" s="273"/>
      <c r="Q585" s="273"/>
      <c r="R585" s="273"/>
      <c r="S585" s="273"/>
      <c r="T585" s="273"/>
      <c r="U585" s="273"/>
      <c r="V585" s="273"/>
      <c r="W585" s="273"/>
      <c r="X585" s="273"/>
      <c r="Y585" s="273"/>
      <c r="Z585" s="467"/>
      <c r="AA585" s="273"/>
      <c r="AB585" s="273"/>
      <c r="AC585" s="273"/>
      <c r="AD585" s="273"/>
    </row>
    <row r="586" spans="1:30" ht="14.25" customHeight="1">
      <c r="A586" s="273"/>
      <c r="B586" s="273"/>
      <c r="C586" s="273"/>
      <c r="D586" s="273"/>
      <c r="E586" s="274"/>
      <c r="F586" s="273"/>
      <c r="G586" s="273"/>
      <c r="H586" s="273"/>
      <c r="I586" s="273"/>
      <c r="J586" s="273"/>
      <c r="K586" s="273"/>
      <c r="L586" s="273"/>
      <c r="M586" s="273"/>
      <c r="N586" s="273"/>
      <c r="O586" s="273"/>
      <c r="P586" s="273"/>
      <c r="Q586" s="273"/>
      <c r="R586" s="273"/>
      <c r="S586" s="273"/>
      <c r="T586" s="273"/>
      <c r="U586" s="273"/>
      <c r="V586" s="273"/>
      <c r="W586" s="273"/>
      <c r="X586" s="273"/>
      <c r="Y586" s="273"/>
      <c r="Z586" s="467"/>
      <c r="AA586" s="273"/>
      <c r="AB586" s="273"/>
      <c r="AC586" s="273"/>
      <c r="AD586" s="273"/>
    </row>
    <row r="587" spans="1:30" ht="14.25" customHeight="1">
      <c r="A587" s="273"/>
      <c r="B587" s="273"/>
      <c r="C587" s="273"/>
      <c r="D587" s="273"/>
      <c r="E587" s="274"/>
      <c r="F587" s="273"/>
      <c r="G587" s="273"/>
      <c r="H587" s="273"/>
      <c r="I587" s="273"/>
      <c r="J587" s="273"/>
      <c r="K587" s="273"/>
      <c r="L587" s="273"/>
      <c r="M587" s="273"/>
      <c r="N587" s="273"/>
      <c r="O587" s="273"/>
      <c r="P587" s="273"/>
      <c r="Q587" s="273"/>
      <c r="R587" s="273"/>
      <c r="S587" s="273"/>
      <c r="T587" s="273"/>
      <c r="U587" s="273"/>
      <c r="V587" s="273"/>
      <c r="W587" s="273"/>
      <c r="X587" s="273"/>
      <c r="Y587" s="273"/>
      <c r="Z587" s="467"/>
      <c r="AA587" s="273"/>
      <c r="AB587" s="273"/>
      <c r="AC587" s="273"/>
      <c r="AD587" s="273"/>
    </row>
    <row r="588" spans="1:30" ht="14.25" customHeight="1">
      <c r="A588" s="273"/>
      <c r="B588" s="273"/>
      <c r="C588" s="273"/>
      <c r="D588" s="273"/>
      <c r="E588" s="274"/>
      <c r="F588" s="273"/>
      <c r="G588" s="273"/>
      <c r="H588" s="273"/>
      <c r="I588" s="273"/>
      <c r="J588" s="273"/>
      <c r="K588" s="273"/>
      <c r="L588" s="273"/>
      <c r="M588" s="273"/>
      <c r="N588" s="273"/>
      <c r="O588" s="273"/>
      <c r="P588" s="273"/>
      <c r="Q588" s="273"/>
      <c r="R588" s="273"/>
      <c r="S588" s="273"/>
      <c r="T588" s="273"/>
      <c r="U588" s="273"/>
      <c r="V588" s="273"/>
      <c r="W588" s="273"/>
      <c r="X588" s="273"/>
      <c r="Y588" s="273"/>
      <c r="Z588" s="467"/>
      <c r="AA588" s="273"/>
      <c r="AB588" s="273"/>
      <c r="AC588" s="273"/>
      <c r="AD588" s="273"/>
    </row>
    <row r="589" spans="1:30" ht="14.25" customHeight="1">
      <c r="A589" s="273"/>
      <c r="B589" s="273"/>
      <c r="C589" s="273"/>
      <c r="D589" s="273"/>
      <c r="E589" s="274"/>
      <c r="F589" s="273"/>
      <c r="G589" s="273"/>
      <c r="H589" s="273"/>
      <c r="I589" s="273"/>
      <c r="J589" s="273"/>
      <c r="K589" s="273"/>
      <c r="L589" s="273"/>
      <c r="M589" s="273"/>
      <c r="N589" s="273"/>
      <c r="O589" s="273"/>
      <c r="P589" s="273"/>
      <c r="Q589" s="273"/>
      <c r="R589" s="273"/>
      <c r="S589" s="273"/>
      <c r="T589" s="273"/>
      <c r="U589" s="273"/>
      <c r="V589" s="273"/>
      <c r="W589" s="273"/>
      <c r="X589" s="273"/>
      <c r="Y589" s="273"/>
      <c r="Z589" s="467"/>
      <c r="AA589" s="273"/>
      <c r="AB589" s="273"/>
      <c r="AC589" s="273"/>
      <c r="AD589" s="273"/>
    </row>
    <row r="590" spans="1:30" ht="14.25" customHeight="1">
      <c r="A590" s="273"/>
      <c r="B590" s="273"/>
      <c r="C590" s="273"/>
      <c r="D590" s="273"/>
      <c r="E590" s="274"/>
      <c r="F590" s="273"/>
      <c r="G590" s="273"/>
      <c r="H590" s="273"/>
      <c r="I590" s="273"/>
      <c r="J590" s="273"/>
      <c r="K590" s="273"/>
      <c r="L590" s="273"/>
      <c r="M590" s="273"/>
      <c r="N590" s="273"/>
      <c r="O590" s="273"/>
      <c r="P590" s="273"/>
      <c r="Q590" s="273"/>
      <c r="R590" s="273"/>
      <c r="S590" s="273"/>
      <c r="T590" s="273"/>
      <c r="U590" s="273"/>
      <c r="V590" s="273"/>
      <c r="W590" s="273"/>
      <c r="X590" s="273"/>
      <c r="Y590" s="273"/>
      <c r="Z590" s="467"/>
      <c r="AA590" s="273"/>
      <c r="AB590" s="273"/>
      <c r="AC590" s="273"/>
      <c r="AD590" s="273"/>
    </row>
    <row r="591" spans="1:30" ht="14.25" customHeight="1">
      <c r="A591" s="273"/>
      <c r="B591" s="273"/>
      <c r="C591" s="273"/>
      <c r="D591" s="273"/>
      <c r="E591" s="274"/>
      <c r="F591" s="273"/>
      <c r="G591" s="273"/>
      <c r="H591" s="273"/>
      <c r="I591" s="273"/>
      <c r="J591" s="273"/>
      <c r="K591" s="273"/>
      <c r="L591" s="273"/>
      <c r="M591" s="273"/>
      <c r="N591" s="273"/>
      <c r="O591" s="273"/>
      <c r="P591" s="273"/>
      <c r="Q591" s="273"/>
      <c r="R591" s="273"/>
      <c r="S591" s="273"/>
      <c r="T591" s="273"/>
      <c r="U591" s="273"/>
      <c r="V591" s="273"/>
      <c r="W591" s="273"/>
      <c r="X591" s="273"/>
      <c r="Y591" s="273"/>
      <c r="Z591" s="467"/>
      <c r="AA591" s="273"/>
      <c r="AB591" s="273"/>
      <c r="AC591" s="273"/>
      <c r="AD591" s="273"/>
    </row>
    <row r="592" spans="1:30" ht="14.25" customHeight="1">
      <c r="A592" s="273"/>
      <c r="B592" s="273"/>
      <c r="C592" s="273"/>
      <c r="D592" s="273"/>
      <c r="E592" s="274"/>
      <c r="F592" s="273"/>
      <c r="G592" s="273"/>
      <c r="H592" s="273"/>
      <c r="I592" s="273"/>
      <c r="J592" s="273"/>
      <c r="K592" s="273"/>
      <c r="L592" s="273"/>
      <c r="M592" s="273"/>
      <c r="N592" s="273"/>
      <c r="O592" s="273"/>
      <c r="P592" s="273"/>
      <c r="Q592" s="273"/>
      <c r="R592" s="273"/>
      <c r="S592" s="273"/>
      <c r="T592" s="273"/>
      <c r="U592" s="273"/>
      <c r="V592" s="273"/>
      <c r="W592" s="273"/>
      <c r="X592" s="273"/>
      <c r="Y592" s="273"/>
      <c r="Z592" s="467"/>
      <c r="AA592" s="273"/>
      <c r="AB592" s="273"/>
      <c r="AC592" s="273"/>
      <c r="AD592" s="273"/>
    </row>
    <row r="593" spans="1:30" ht="14.25" customHeight="1">
      <c r="A593" s="273"/>
      <c r="B593" s="273"/>
      <c r="C593" s="273"/>
      <c r="D593" s="273"/>
      <c r="E593" s="274"/>
      <c r="F593" s="273"/>
      <c r="G593" s="273"/>
      <c r="H593" s="273"/>
      <c r="I593" s="273"/>
      <c r="J593" s="273"/>
      <c r="K593" s="273"/>
      <c r="L593" s="273"/>
      <c r="M593" s="273"/>
      <c r="N593" s="273"/>
      <c r="O593" s="273"/>
      <c r="P593" s="273"/>
      <c r="Q593" s="273"/>
      <c r="R593" s="273"/>
      <c r="S593" s="273"/>
      <c r="T593" s="273"/>
      <c r="U593" s="273"/>
      <c r="V593" s="273"/>
      <c r="W593" s="273"/>
      <c r="X593" s="273"/>
      <c r="Y593" s="273"/>
      <c r="Z593" s="467"/>
      <c r="AA593" s="273"/>
      <c r="AB593" s="273"/>
      <c r="AC593" s="273"/>
      <c r="AD593" s="273"/>
    </row>
    <row r="594" spans="1:30" ht="14.25" customHeight="1">
      <c r="A594" s="273"/>
      <c r="B594" s="273"/>
      <c r="C594" s="273"/>
      <c r="D594" s="273"/>
      <c r="E594" s="274"/>
      <c r="F594" s="273"/>
      <c r="G594" s="273"/>
      <c r="H594" s="273"/>
      <c r="I594" s="273"/>
      <c r="J594" s="273"/>
      <c r="K594" s="273"/>
      <c r="L594" s="273"/>
      <c r="M594" s="273"/>
      <c r="N594" s="273"/>
      <c r="O594" s="273"/>
      <c r="P594" s="273"/>
      <c r="Q594" s="273"/>
      <c r="R594" s="273"/>
      <c r="S594" s="273"/>
      <c r="T594" s="273"/>
      <c r="U594" s="273"/>
      <c r="V594" s="273"/>
      <c r="W594" s="273"/>
      <c r="X594" s="273"/>
      <c r="Y594" s="273"/>
      <c r="Z594" s="467"/>
      <c r="AA594" s="273"/>
      <c r="AB594" s="273"/>
      <c r="AC594" s="273"/>
      <c r="AD594" s="273"/>
    </row>
    <row r="595" spans="1:30" ht="14.25" customHeight="1">
      <c r="A595" s="273"/>
      <c r="B595" s="273"/>
      <c r="C595" s="273"/>
      <c r="D595" s="273"/>
      <c r="E595" s="274"/>
      <c r="F595" s="273"/>
      <c r="G595" s="273"/>
      <c r="H595" s="273"/>
      <c r="I595" s="273"/>
      <c r="J595" s="273"/>
      <c r="K595" s="273"/>
      <c r="L595" s="273"/>
      <c r="M595" s="273"/>
      <c r="N595" s="273"/>
      <c r="O595" s="273"/>
      <c r="P595" s="273"/>
      <c r="Q595" s="273"/>
      <c r="R595" s="273"/>
      <c r="S595" s="273"/>
      <c r="T595" s="273"/>
      <c r="U595" s="273"/>
      <c r="V595" s="273"/>
      <c r="W595" s="273"/>
      <c r="X595" s="273"/>
      <c r="Y595" s="273"/>
      <c r="Z595" s="467"/>
      <c r="AA595" s="273"/>
      <c r="AB595" s="273"/>
      <c r="AC595" s="273"/>
      <c r="AD595" s="273"/>
    </row>
    <row r="596" spans="1:30" ht="14.25" customHeight="1">
      <c r="A596" s="273"/>
      <c r="B596" s="273"/>
      <c r="C596" s="273"/>
      <c r="D596" s="273"/>
      <c r="E596" s="274"/>
      <c r="F596" s="273"/>
      <c r="G596" s="273"/>
      <c r="H596" s="273"/>
      <c r="I596" s="273"/>
      <c r="J596" s="273"/>
      <c r="K596" s="273"/>
      <c r="L596" s="273"/>
      <c r="M596" s="273"/>
      <c r="N596" s="273"/>
      <c r="O596" s="273"/>
      <c r="P596" s="273"/>
      <c r="Q596" s="273"/>
      <c r="R596" s="273"/>
      <c r="S596" s="273"/>
      <c r="T596" s="273"/>
      <c r="U596" s="273"/>
      <c r="V596" s="273"/>
      <c r="W596" s="273"/>
      <c r="X596" s="273"/>
      <c r="Y596" s="273"/>
      <c r="Z596" s="467"/>
      <c r="AA596" s="273"/>
      <c r="AB596" s="273"/>
      <c r="AC596" s="273"/>
      <c r="AD596" s="273"/>
    </row>
    <row r="597" spans="1:30" ht="14.25" customHeight="1">
      <c r="A597" s="273"/>
      <c r="B597" s="273"/>
      <c r="C597" s="273"/>
      <c r="D597" s="273"/>
      <c r="E597" s="274"/>
      <c r="F597" s="273"/>
      <c r="G597" s="273"/>
      <c r="H597" s="273"/>
      <c r="I597" s="273"/>
      <c r="J597" s="273"/>
      <c r="K597" s="273"/>
      <c r="L597" s="273"/>
      <c r="M597" s="273"/>
      <c r="N597" s="273"/>
      <c r="O597" s="273"/>
      <c r="P597" s="273"/>
      <c r="Q597" s="273"/>
      <c r="R597" s="273"/>
      <c r="S597" s="273"/>
      <c r="T597" s="273"/>
      <c r="U597" s="273"/>
      <c r="V597" s="273"/>
      <c r="W597" s="273"/>
      <c r="X597" s="273"/>
      <c r="Y597" s="273"/>
      <c r="Z597" s="467"/>
      <c r="AA597" s="273"/>
      <c r="AB597" s="273"/>
      <c r="AC597" s="273"/>
      <c r="AD597" s="273"/>
    </row>
    <row r="598" spans="1:30" ht="14.25" customHeight="1">
      <c r="A598" s="273"/>
      <c r="B598" s="273"/>
      <c r="C598" s="273"/>
      <c r="D598" s="273"/>
      <c r="E598" s="274"/>
      <c r="F598" s="273"/>
      <c r="G598" s="273"/>
      <c r="H598" s="273"/>
      <c r="I598" s="273"/>
      <c r="J598" s="273"/>
      <c r="K598" s="273"/>
      <c r="L598" s="273"/>
      <c r="M598" s="273"/>
      <c r="N598" s="273"/>
      <c r="O598" s="273"/>
      <c r="P598" s="273"/>
      <c r="Q598" s="273"/>
      <c r="R598" s="273"/>
      <c r="S598" s="273"/>
      <c r="T598" s="273"/>
      <c r="U598" s="273"/>
      <c r="V598" s="273"/>
      <c r="W598" s="273"/>
      <c r="X598" s="273"/>
      <c r="Y598" s="273"/>
      <c r="Z598" s="467"/>
      <c r="AA598" s="273"/>
      <c r="AB598" s="273"/>
      <c r="AC598" s="273"/>
      <c r="AD598" s="273"/>
    </row>
    <row r="599" spans="1:30" ht="14.25" customHeight="1">
      <c r="A599" s="273"/>
      <c r="B599" s="273"/>
      <c r="C599" s="273"/>
      <c r="D599" s="273"/>
      <c r="E599" s="274"/>
      <c r="F599" s="273"/>
      <c r="G599" s="273"/>
      <c r="H599" s="273"/>
      <c r="I599" s="273"/>
      <c r="J599" s="273"/>
      <c r="K599" s="273"/>
      <c r="L599" s="273"/>
      <c r="M599" s="273"/>
      <c r="N599" s="273"/>
      <c r="O599" s="273"/>
      <c r="P599" s="273"/>
      <c r="Q599" s="273"/>
      <c r="R599" s="273"/>
      <c r="S599" s="273"/>
      <c r="T599" s="273"/>
      <c r="U599" s="273"/>
      <c r="V599" s="273"/>
      <c r="W599" s="273"/>
      <c r="X599" s="273"/>
      <c r="Y599" s="273"/>
      <c r="Z599" s="467"/>
      <c r="AA599" s="273"/>
      <c r="AB599" s="273"/>
      <c r="AC599" s="273"/>
      <c r="AD599" s="273"/>
    </row>
    <row r="600" spans="1:30" ht="14.25" customHeight="1">
      <c r="A600" s="273"/>
      <c r="B600" s="273"/>
      <c r="C600" s="273"/>
      <c r="D600" s="273"/>
      <c r="E600" s="274"/>
      <c r="F600" s="273"/>
      <c r="G600" s="273"/>
      <c r="H600" s="273"/>
      <c r="I600" s="273"/>
      <c r="J600" s="273"/>
      <c r="K600" s="273"/>
      <c r="L600" s="273"/>
      <c r="M600" s="273"/>
      <c r="N600" s="273"/>
      <c r="O600" s="273"/>
      <c r="P600" s="273"/>
      <c r="Q600" s="273"/>
      <c r="R600" s="273"/>
      <c r="S600" s="273"/>
      <c r="T600" s="273"/>
      <c r="U600" s="273"/>
      <c r="V600" s="273"/>
      <c r="W600" s="273"/>
      <c r="X600" s="273"/>
      <c r="Y600" s="273"/>
      <c r="Z600" s="467"/>
      <c r="AA600" s="273"/>
      <c r="AB600" s="273"/>
      <c r="AC600" s="273"/>
      <c r="AD600" s="273"/>
    </row>
    <row r="601" spans="1:30" ht="14.25" customHeight="1">
      <c r="A601" s="273"/>
      <c r="B601" s="273"/>
      <c r="C601" s="273"/>
      <c r="D601" s="273"/>
      <c r="E601" s="274"/>
      <c r="F601" s="273"/>
      <c r="G601" s="273"/>
      <c r="H601" s="273"/>
      <c r="I601" s="273"/>
      <c r="J601" s="273"/>
      <c r="K601" s="273"/>
      <c r="L601" s="273"/>
      <c r="M601" s="273"/>
      <c r="N601" s="273"/>
      <c r="O601" s="273"/>
      <c r="P601" s="273"/>
      <c r="Q601" s="273"/>
      <c r="R601" s="273"/>
      <c r="S601" s="273"/>
      <c r="T601" s="273"/>
      <c r="U601" s="273"/>
      <c r="V601" s="273"/>
      <c r="W601" s="273"/>
      <c r="X601" s="273"/>
      <c r="Y601" s="273"/>
      <c r="Z601" s="467"/>
      <c r="AA601" s="273"/>
      <c r="AB601" s="273"/>
      <c r="AC601" s="273"/>
      <c r="AD601" s="273"/>
    </row>
    <row r="602" spans="1:30" ht="14.25" customHeight="1">
      <c r="A602" s="273"/>
      <c r="B602" s="273"/>
      <c r="C602" s="273"/>
      <c r="D602" s="273"/>
      <c r="E602" s="274"/>
      <c r="F602" s="273"/>
      <c r="G602" s="273"/>
      <c r="H602" s="273"/>
      <c r="I602" s="273"/>
      <c r="J602" s="273"/>
      <c r="K602" s="273"/>
      <c r="L602" s="273"/>
      <c r="M602" s="273"/>
      <c r="N602" s="273"/>
      <c r="O602" s="273"/>
      <c r="P602" s="273"/>
      <c r="Q602" s="273"/>
      <c r="R602" s="273"/>
      <c r="S602" s="273"/>
      <c r="T602" s="273"/>
      <c r="U602" s="273"/>
      <c r="V602" s="273"/>
      <c r="W602" s="273"/>
      <c r="X602" s="273"/>
      <c r="Y602" s="273"/>
      <c r="Z602" s="467"/>
      <c r="AA602" s="273"/>
      <c r="AB602" s="273"/>
      <c r="AC602" s="273"/>
      <c r="AD602" s="273"/>
    </row>
    <row r="603" spans="1:30" ht="14.25" customHeight="1">
      <c r="A603" s="273"/>
      <c r="B603" s="273"/>
      <c r="C603" s="273"/>
      <c r="D603" s="273"/>
      <c r="E603" s="274"/>
      <c r="F603" s="273"/>
      <c r="G603" s="273"/>
      <c r="H603" s="273"/>
      <c r="I603" s="273"/>
      <c r="J603" s="273"/>
      <c r="K603" s="273"/>
      <c r="L603" s="273"/>
      <c r="M603" s="273"/>
      <c r="N603" s="273"/>
      <c r="O603" s="273"/>
      <c r="P603" s="273"/>
      <c r="Q603" s="273"/>
      <c r="R603" s="273"/>
      <c r="S603" s="273"/>
      <c r="T603" s="273"/>
      <c r="U603" s="273"/>
      <c r="V603" s="273"/>
      <c r="W603" s="273"/>
      <c r="X603" s="273"/>
      <c r="Y603" s="273"/>
      <c r="Z603" s="467"/>
      <c r="AA603" s="273"/>
      <c r="AB603" s="273"/>
      <c r="AC603" s="273"/>
      <c r="AD603" s="273"/>
    </row>
    <row r="604" spans="1:30" ht="14.25" customHeight="1">
      <c r="A604" s="273"/>
      <c r="B604" s="273"/>
      <c r="C604" s="273"/>
      <c r="D604" s="273"/>
      <c r="E604" s="274"/>
      <c r="F604" s="273"/>
      <c r="G604" s="273"/>
      <c r="H604" s="273"/>
      <c r="I604" s="273"/>
      <c r="J604" s="273"/>
      <c r="K604" s="273"/>
      <c r="L604" s="273"/>
      <c r="M604" s="273"/>
      <c r="N604" s="273"/>
      <c r="O604" s="273"/>
      <c r="P604" s="273"/>
      <c r="Q604" s="273"/>
      <c r="R604" s="273"/>
      <c r="S604" s="273"/>
      <c r="T604" s="273"/>
      <c r="U604" s="273"/>
      <c r="V604" s="273"/>
      <c r="W604" s="273"/>
      <c r="X604" s="273"/>
      <c r="Y604" s="273"/>
      <c r="Z604" s="467"/>
      <c r="AA604" s="273"/>
      <c r="AB604" s="273"/>
      <c r="AC604" s="273"/>
      <c r="AD604" s="273"/>
    </row>
    <row r="605" spans="1:30" ht="14.25" customHeight="1">
      <c r="A605" s="273"/>
      <c r="B605" s="273"/>
      <c r="C605" s="273"/>
      <c r="D605" s="273"/>
      <c r="E605" s="274"/>
      <c r="F605" s="273"/>
      <c r="G605" s="273"/>
      <c r="H605" s="273"/>
      <c r="I605" s="273"/>
      <c r="J605" s="273"/>
      <c r="K605" s="273"/>
      <c r="L605" s="273"/>
      <c r="M605" s="273"/>
      <c r="N605" s="273"/>
      <c r="O605" s="273"/>
      <c r="P605" s="273"/>
      <c r="Q605" s="273"/>
      <c r="R605" s="273"/>
      <c r="S605" s="273"/>
      <c r="T605" s="273"/>
      <c r="U605" s="273"/>
      <c r="V605" s="273"/>
      <c r="W605" s="273"/>
      <c r="X605" s="273"/>
      <c r="Y605" s="273"/>
      <c r="Z605" s="467"/>
      <c r="AA605" s="273"/>
      <c r="AB605" s="273"/>
      <c r="AC605" s="273"/>
      <c r="AD605" s="273"/>
    </row>
    <row r="606" spans="1:30" ht="14.25" customHeight="1">
      <c r="A606" s="273"/>
      <c r="B606" s="273"/>
      <c r="C606" s="273"/>
      <c r="D606" s="273"/>
      <c r="E606" s="274"/>
      <c r="F606" s="273"/>
      <c r="G606" s="273"/>
      <c r="H606" s="273"/>
      <c r="I606" s="273"/>
      <c r="J606" s="273"/>
      <c r="K606" s="273"/>
      <c r="L606" s="273"/>
      <c r="M606" s="273"/>
      <c r="N606" s="273"/>
      <c r="O606" s="273"/>
      <c r="P606" s="273"/>
      <c r="Q606" s="273"/>
      <c r="R606" s="273"/>
      <c r="S606" s="273"/>
      <c r="T606" s="273"/>
      <c r="U606" s="273"/>
      <c r="V606" s="273"/>
      <c r="W606" s="273"/>
      <c r="X606" s="273"/>
      <c r="Y606" s="273"/>
      <c r="Z606" s="467"/>
      <c r="AA606" s="273"/>
      <c r="AB606" s="273"/>
      <c r="AC606" s="273"/>
      <c r="AD606" s="273"/>
    </row>
    <row r="607" spans="1:30" ht="14.25" customHeight="1">
      <c r="A607" s="273"/>
      <c r="B607" s="273"/>
      <c r="C607" s="273"/>
      <c r="D607" s="273"/>
      <c r="E607" s="274"/>
      <c r="F607" s="273"/>
      <c r="G607" s="273"/>
      <c r="H607" s="273"/>
      <c r="I607" s="273"/>
      <c r="J607" s="273"/>
      <c r="K607" s="273"/>
      <c r="L607" s="273"/>
      <c r="M607" s="273"/>
      <c r="N607" s="273"/>
      <c r="O607" s="273"/>
      <c r="P607" s="273"/>
      <c r="Q607" s="273"/>
      <c r="R607" s="273"/>
      <c r="S607" s="273"/>
      <c r="T607" s="273"/>
      <c r="U607" s="273"/>
      <c r="V607" s="273"/>
      <c r="W607" s="273"/>
      <c r="X607" s="273"/>
      <c r="Y607" s="273"/>
      <c r="Z607" s="467"/>
      <c r="AA607" s="273"/>
      <c r="AB607" s="273"/>
      <c r="AC607" s="273"/>
      <c r="AD607" s="273"/>
    </row>
    <row r="608" spans="1:30" ht="14.25" customHeight="1">
      <c r="A608" s="273"/>
      <c r="B608" s="273"/>
      <c r="C608" s="273"/>
      <c r="D608" s="273"/>
      <c r="E608" s="274"/>
      <c r="F608" s="273"/>
      <c r="G608" s="273"/>
      <c r="H608" s="273"/>
      <c r="I608" s="273"/>
      <c r="J608" s="273"/>
      <c r="K608" s="273"/>
      <c r="L608" s="273"/>
      <c r="M608" s="273"/>
      <c r="N608" s="273"/>
      <c r="O608" s="273"/>
      <c r="P608" s="273"/>
      <c r="Q608" s="273"/>
      <c r="R608" s="273"/>
      <c r="S608" s="273"/>
      <c r="T608" s="273"/>
      <c r="U608" s="273"/>
      <c r="V608" s="273"/>
      <c r="W608" s="273"/>
      <c r="X608" s="273"/>
      <c r="Y608" s="273"/>
      <c r="Z608" s="467"/>
      <c r="AA608" s="273"/>
      <c r="AB608" s="273"/>
      <c r="AC608" s="273"/>
      <c r="AD608" s="273"/>
    </row>
    <row r="609" spans="1:30" ht="14.25" customHeight="1">
      <c r="A609" s="273"/>
      <c r="B609" s="273"/>
      <c r="C609" s="273"/>
      <c r="D609" s="273"/>
      <c r="E609" s="274"/>
      <c r="F609" s="273"/>
      <c r="G609" s="273"/>
      <c r="H609" s="273"/>
      <c r="I609" s="273"/>
      <c r="J609" s="273"/>
      <c r="K609" s="273"/>
      <c r="L609" s="273"/>
      <c r="M609" s="273"/>
      <c r="N609" s="273"/>
      <c r="O609" s="273"/>
      <c r="P609" s="273"/>
      <c r="Q609" s="273"/>
      <c r="R609" s="273"/>
      <c r="S609" s="273"/>
      <c r="T609" s="273"/>
      <c r="U609" s="273"/>
      <c r="V609" s="273"/>
      <c r="W609" s="273"/>
      <c r="X609" s="273"/>
      <c r="Y609" s="273"/>
      <c r="Z609" s="467"/>
      <c r="AA609" s="273"/>
      <c r="AB609" s="273"/>
      <c r="AC609" s="273"/>
      <c r="AD609" s="273"/>
    </row>
    <row r="610" spans="1:30" ht="14.25" customHeight="1">
      <c r="A610" s="273"/>
      <c r="B610" s="273"/>
      <c r="C610" s="273"/>
      <c r="D610" s="273"/>
      <c r="E610" s="274"/>
      <c r="F610" s="273"/>
      <c r="G610" s="273"/>
      <c r="H610" s="273"/>
      <c r="I610" s="273"/>
      <c r="J610" s="273"/>
      <c r="K610" s="273"/>
      <c r="L610" s="273"/>
      <c r="M610" s="273"/>
      <c r="N610" s="273"/>
      <c r="O610" s="273"/>
      <c r="P610" s="273"/>
      <c r="Q610" s="273"/>
      <c r="R610" s="273"/>
      <c r="S610" s="273"/>
      <c r="T610" s="273"/>
      <c r="U610" s="273"/>
      <c r="V610" s="273"/>
      <c r="W610" s="273"/>
      <c r="X610" s="273"/>
      <c r="Y610" s="273"/>
      <c r="Z610" s="467"/>
      <c r="AA610" s="273"/>
      <c r="AB610" s="273"/>
      <c r="AC610" s="273"/>
      <c r="AD610" s="273"/>
    </row>
    <row r="611" spans="1:30" ht="14.25" customHeight="1">
      <c r="A611" s="273"/>
      <c r="B611" s="273"/>
      <c r="C611" s="273"/>
      <c r="D611" s="273"/>
      <c r="E611" s="274"/>
      <c r="F611" s="273"/>
      <c r="G611" s="273"/>
      <c r="H611" s="273"/>
      <c r="I611" s="273"/>
      <c r="J611" s="273"/>
      <c r="K611" s="273"/>
      <c r="L611" s="273"/>
      <c r="M611" s="273"/>
      <c r="N611" s="273"/>
      <c r="O611" s="273"/>
      <c r="P611" s="273"/>
      <c r="Q611" s="273"/>
      <c r="R611" s="273"/>
      <c r="S611" s="273"/>
      <c r="T611" s="273"/>
      <c r="U611" s="273"/>
      <c r="V611" s="273"/>
      <c r="W611" s="273"/>
      <c r="X611" s="273"/>
      <c r="Y611" s="273"/>
      <c r="Z611" s="467"/>
      <c r="AA611" s="273"/>
      <c r="AB611" s="273"/>
      <c r="AC611" s="273"/>
      <c r="AD611" s="273"/>
    </row>
    <row r="612" spans="1:30" ht="14.25" customHeight="1">
      <c r="A612" s="273"/>
      <c r="B612" s="273"/>
      <c r="C612" s="273"/>
      <c r="D612" s="273"/>
      <c r="E612" s="274"/>
      <c r="F612" s="273"/>
      <c r="G612" s="273"/>
      <c r="H612" s="273"/>
      <c r="I612" s="273"/>
      <c r="J612" s="273"/>
      <c r="K612" s="273"/>
      <c r="L612" s="273"/>
      <c r="M612" s="273"/>
      <c r="N612" s="273"/>
      <c r="O612" s="273"/>
      <c r="P612" s="273"/>
      <c r="Q612" s="273"/>
      <c r="R612" s="273"/>
      <c r="S612" s="273"/>
      <c r="T612" s="273"/>
      <c r="U612" s="273"/>
      <c r="V612" s="273"/>
      <c r="W612" s="273"/>
      <c r="X612" s="273"/>
      <c r="Y612" s="273"/>
      <c r="Z612" s="467"/>
      <c r="AA612" s="273"/>
      <c r="AB612" s="273"/>
      <c r="AC612" s="273"/>
      <c r="AD612" s="273"/>
    </row>
    <row r="613" spans="1:30" ht="14.25" customHeight="1">
      <c r="A613" s="273"/>
      <c r="B613" s="273"/>
      <c r="C613" s="273"/>
      <c r="D613" s="273"/>
      <c r="E613" s="274"/>
      <c r="F613" s="273"/>
      <c r="G613" s="273"/>
      <c r="H613" s="273"/>
      <c r="I613" s="273"/>
      <c r="J613" s="273"/>
      <c r="K613" s="273"/>
      <c r="L613" s="273"/>
      <c r="M613" s="273"/>
      <c r="N613" s="273"/>
      <c r="O613" s="273"/>
      <c r="P613" s="273"/>
      <c r="Q613" s="273"/>
      <c r="R613" s="273"/>
      <c r="S613" s="273"/>
      <c r="T613" s="273"/>
      <c r="U613" s="273"/>
      <c r="V613" s="273"/>
      <c r="W613" s="273"/>
      <c r="X613" s="273"/>
      <c r="Y613" s="273"/>
      <c r="Z613" s="467"/>
      <c r="AA613" s="273"/>
      <c r="AB613" s="273"/>
      <c r="AC613" s="273"/>
      <c r="AD613" s="273"/>
    </row>
    <row r="614" spans="1:30" ht="14.25" customHeight="1">
      <c r="A614" s="273"/>
      <c r="B614" s="273"/>
      <c r="C614" s="273"/>
      <c r="D614" s="273"/>
      <c r="E614" s="274"/>
      <c r="F614" s="273"/>
      <c r="G614" s="273"/>
      <c r="H614" s="273"/>
      <c r="I614" s="273"/>
      <c r="J614" s="273"/>
      <c r="K614" s="273"/>
      <c r="L614" s="273"/>
      <c r="M614" s="273"/>
      <c r="N614" s="273"/>
      <c r="O614" s="273"/>
      <c r="P614" s="273"/>
      <c r="Q614" s="273"/>
      <c r="R614" s="273"/>
      <c r="S614" s="273"/>
      <c r="T614" s="273"/>
      <c r="U614" s="273"/>
      <c r="V614" s="273"/>
      <c r="W614" s="273"/>
      <c r="X614" s="273"/>
      <c r="Y614" s="273"/>
      <c r="Z614" s="467"/>
      <c r="AA614" s="273"/>
      <c r="AB614" s="273"/>
      <c r="AC614" s="273"/>
      <c r="AD614" s="273"/>
    </row>
    <row r="615" spans="1:30" ht="14.25" customHeight="1">
      <c r="A615" s="273"/>
      <c r="B615" s="273"/>
      <c r="C615" s="273"/>
      <c r="D615" s="273"/>
      <c r="E615" s="274"/>
      <c r="F615" s="273"/>
      <c r="G615" s="273"/>
      <c r="H615" s="273"/>
      <c r="I615" s="273"/>
      <c r="J615" s="273"/>
      <c r="K615" s="273"/>
      <c r="L615" s="273"/>
      <c r="M615" s="273"/>
      <c r="N615" s="273"/>
      <c r="O615" s="273"/>
      <c r="P615" s="273"/>
      <c r="Q615" s="273"/>
      <c r="R615" s="273"/>
      <c r="S615" s="273"/>
      <c r="T615" s="273"/>
      <c r="U615" s="273"/>
      <c r="V615" s="273"/>
      <c r="W615" s="273"/>
      <c r="X615" s="273"/>
      <c r="Y615" s="273"/>
      <c r="Z615" s="467"/>
      <c r="AA615" s="273"/>
      <c r="AB615" s="273"/>
      <c r="AC615" s="273"/>
      <c r="AD615" s="273"/>
    </row>
    <row r="616" spans="1:30" ht="14.25" customHeight="1">
      <c r="A616" s="273"/>
      <c r="B616" s="273"/>
      <c r="C616" s="273"/>
      <c r="D616" s="273"/>
      <c r="E616" s="274"/>
      <c r="F616" s="273"/>
      <c r="G616" s="273"/>
      <c r="H616" s="273"/>
      <c r="I616" s="273"/>
      <c r="J616" s="273"/>
      <c r="K616" s="273"/>
      <c r="L616" s="273"/>
      <c r="M616" s="273"/>
      <c r="N616" s="273"/>
      <c r="O616" s="273"/>
      <c r="P616" s="273"/>
      <c r="Q616" s="273"/>
      <c r="R616" s="273"/>
      <c r="S616" s="273"/>
      <c r="T616" s="273"/>
      <c r="U616" s="273"/>
      <c r="V616" s="273"/>
      <c r="W616" s="273"/>
      <c r="X616" s="273"/>
      <c r="Y616" s="273"/>
      <c r="Z616" s="467"/>
      <c r="AA616" s="273"/>
      <c r="AB616" s="273"/>
      <c r="AC616" s="273"/>
      <c r="AD616" s="273"/>
    </row>
    <row r="617" spans="1:30" ht="14.25" customHeight="1">
      <c r="A617" s="273"/>
      <c r="B617" s="273"/>
      <c r="C617" s="273"/>
      <c r="D617" s="273"/>
      <c r="E617" s="274"/>
      <c r="F617" s="273"/>
      <c r="G617" s="273"/>
      <c r="H617" s="273"/>
      <c r="I617" s="273"/>
      <c r="J617" s="273"/>
      <c r="K617" s="273"/>
      <c r="L617" s="273"/>
      <c r="M617" s="273"/>
      <c r="N617" s="273"/>
      <c r="O617" s="273"/>
      <c r="P617" s="273"/>
      <c r="Q617" s="273"/>
      <c r="R617" s="273"/>
      <c r="S617" s="273"/>
      <c r="T617" s="273"/>
      <c r="U617" s="273"/>
      <c r="V617" s="273"/>
      <c r="W617" s="273"/>
      <c r="X617" s="273"/>
      <c r="Y617" s="273"/>
      <c r="Z617" s="467"/>
      <c r="AA617" s="273"/>
      <c r="AB617" s="273"/>
      <c r="AC617" s="273"/>
      <c r="AD617" s="273"/>
    </row>
    <row r="618" spans="1:30" ht="14.25" customHeight="1">
      <c r="A618" s="273"/>
      <c r="B618" s="273"/>
      <c r="C618" s="273"/>
      <c r="D618" s="273"/>
      <c r="E618" s="274"/>
      <c r="F618" s="273"/>
      <c r="G618" s="273"/>
      <c r="H618" s="273"/>
      <c r="I618" s="273"/>
      <c r="J618" s="273"/>
      <c r="K618" s="273"/>
      <c r="L618" s="273"/>
      <c r="M618" s="273"/>
      <c r="N618" s="273"/>
      <c r="O618" s="273"/>
      <c r="P618" s="273"/>
      <c r="Q618" s="273"/>
      <c r="R618" s="273"/>
      <c r="S618" s="273"/>
      <c r="T618" s="273"/>
      <c r="U618" s="273"/>
      <c r="V618" s="273"/>
      <c r="W618" s="273"/>
      <c r="X618" s="273"/>
      <c r="Y618" s="273"/>
      <c r="Z618" s="467"/>
      <c r="AA618" s="273"/>
      <c r="AB618" s="273"/>
      <c r="AC618" s="273"/>
      <c r="AD618" s="273"/>
    </row>
    <row r="619" spans="1:30" ht="14.25" customHeight="1">
      <c r="A619" s="273"/>
      <c r="B619" s="273"/>
      <c r="C619" s="273"/>
      <c r="D619" s="273"/>
      <c r="E619" s="274"/>
      <c r="F619" s="273"/>
      <c r="G619" s="273"/>
      <c r="H619" s="273"/>
      <c r="I619" s="273"/>
      <c r="J619" s="273"/>
      <c r="K619" s="273"/>
      <c r="L619" s="273"/>
      <c r="M619" s="273"/>
      <c r="N619" s="273"/>
      <c r="O619" s="273"/>
      <c r="P619" s="273"/>
      <c r="Q619" s="273"/>
      <c r="R619" s="273"/>
      <c r="S619" s="273"/>
      <c r="T619" s="273"/>
      <c r="U619" s="273"/>
      <c r="V619" s="273"/>
      <c r="W619" s="273"/>
      <c r="X619" s="273"/>
      <c r="Y619" s="273"/>
      <c r="Z619" s="467"/>
      <c r="AA619" s="273"/>
      <c r="AB619" s="273"/>
      <c r="AC619" s="273"/>
      <c r="AD619" s="273"/>
    </row>
    <row r="620" spans="1:30" ht="14.25" customHeight="1">
      <c r="A620" s="273"/>
      <c r="B620" s="273"/>
      <c r="C620" s="273"/>
      <c r="D620" s="273"/>
      <c r="E620" s="274"/>
      <c r="F620" s="273"/>
      <c r="G620" s="273"/>
      <c r="H620" s="273"/>
      <c r="I620" s="273"/>
      <c r="J620" s="273"/>
      <c r="K620" s="273"/>
      <c r="L620" s="273"/>
      <c r="M620" s="273"/>
      <c r="N620" s="273"/>
      <c r="O620" s="273"/>
      <c r="P620" s="273"/>
      <c r="Q620" s="273"/>
      <c r="R620" s="273"/>
      <c r="S620" s="273"/>
      <c r="T620" s="273"/>
      <c r="U620" s="273"/>
      <c r="V620" s="273"/>
      <c r="W620" s="273"/>
      <c r="X620" s="273"/>
      <c r="Y620" s="273"/>
      <c r="Z620" s="467"/>
      <c r="AA620" s="273"/>
      <c r="AB620" s="273"/>
      <c r="AC620" s="273"/>
      <c r="AD620" s="273"/>
    </row>
    <row r="621" spans="1:30" ht="14.25" customHeight="1">
      <c r="A621" s="273"/>
      <c r="B621" s="273"/>
      <c r="C621" s="273"/>
      <c r="D621" s="273"/>
      <c r="E621" s="274"/>
      <c r="F621" s="273"/>
      <c r="G621" s="273"/>
      <c r="H621" s="273"/>
      <c r="I621" s="273"/>
      <c r="J621" s="273"/>
      <c r="K621" s="273"/>
      <c r="L621" s="273"/>
      <c r="M621" s="273"/>
      <c r="N621" s="273"/>
      <c r="O621" s="273"/>
      <c r="P621" s="273"/>
      <c r="Q621" s="273"/>
      <c r="R621" s="273"/>
      <c r="S621" s="273"/>
      <c r="T621" s="273"/>
      <c r="U621" s="273"/>
      <c r="V621" s="273"/>
      <c r="W621" s="273"/>
      <c r="X621" s="273"/>
      <c r="Y621" s="273"/>
      <c r="Z621" s="467"/>
      <c r="AA621" s="273"/>
      <c r="AB621" s="273"/>
      <c r="AC621" s="273"/>
      <c r="AD621" s="273"/>
    </row>
    <row r="622" spans="1:30" ht="14.25" customHeight="1">
      <c r="A622" s="273"/>
      <c r="B622" s="273"/>
      <c r="C622" s="273"/>
      <c r="D622" s="273"/>
      <c r="E622" s="274"/>
      <c r="F622" s="273"/>
      <c r="G622" s="273"/>
      <c r="H622" s="273"/>
      <c r="I622" s="273"/>
      <c r="J622" s="273"/>
      <c r="K622" s="273"/>
      <c r="L622" s="273"/>
      <c r="M622" s="273"/>
      <c r="N622" s="273"/>
      <c r="O622" s="273"/>
      <c r="P622" s="273"/>
      <c r="Q622" s="273"/>
      <c r="R622" s="273"/>
      <c r="S622" s="273"/>
      <c r="T622" s="273"/>
      <c r="U622" s="273"/>
      <c r="V622" s="273"/>
      <c r="W622" s="273"/>
      <c r="X622" s="273"/>
      <c r="Y622" s="273"/>
      <c r="Z622" s="467"/>
      <c r="AA622" s="273"/>
      <c r="AB622" s="273"/>
      <c r="AC622" s="273"/>
      <c r="AD622" s="273"/>
    </row>
    <row r="623" spans="1:30" ht="14.25" customHeight="1">
      <c r="A623" s="273"/>
      <c r="B623" s="273"/>
      <c r="C623" s="273"/>
      <c r="D623" s="273"/>
      <c r="E623" s="274"/>
      <c r="F623" s="273"/>
      <c r="G623" s="273"/>
      <c r="H623" s="273"/>
      <c r="I623" s="273"/>
      <c r="J623" s="273"/>
      <c r="K623" s="273"/>
      <c r="L623" s="273"/>
      <c r="M623" s="273"/>
      <c r="N623" s="273"/>
      <c r="O623" s="273"/>
      <c r="P623" s="273"/>
      <c r="Q623" s="273"/>
      <c r="R623" s="273"/>
      <c r="S623" s="273"/>
      <c r="T623" s="273"/>
      <c r="U623" s="273"/>
      <c r="V623" s="273"/>
      <c r="W623" s="273"/>
      <c r="X623" s="273"/>
      <c r="Y623" s="273"/>
      <c r="Z623" s="467"/>
      <c r="AA623" s="273"/>
      <c r="AB623" s="273"/>
      <c r="AC623" s="273"/>
      <c r="AD623" s="273"/>
    </row>
    <row r="624" spans="1:30" ht="14.25" customHeight="1">
      <c r="A624" s="273"/>
      <c r="B624" s="273"/>
      <c r="C624" s="273"/>
      <c r="D624" s="273"/>
      <c r="E624" s="274"/>
      <c r="F624" s="273"/>
      <c r="G624" s="273"/>
      <c r="H624" s="273"/>
      <c r="I624" s="273"/>
      <c r="J624" s="273"/>
      <c r="K624" s="273"/>
      <c r="L624" s="273"/>
      <c r="M624" s="273"/>
      <c r="N624" s="273"/>
      <c r="O624" s="273"/>
      <c r="P624" s="273"/>
      <c r="Q624" s="273"/>
      <c r="R624" s="273"/>
      <c r="S624" s="273"/>
      <c r="T624" s="273"/>
      <c r="U624" s="273"/>
      <c r="V624" s="273"/>
      <c r="W624" s="273"/>
      <c r="X624" s="273"/>
      <c r="Y624" s="273"/>
      <c r="Z624" s="467"/>
      <c r="AA624" s="273"/>
      <c r="AB624" s="273"/>
      <c r="AC624" s="273"/>
      <c r="AD624" s="273"/>
    </row>
    <row r="625" spans="1:30" ht="14.25" customHeight="1">
      <c r="A625" s="273"/>
      <c r="B625" s="273"/>
      <c r="C625" s="273"/>
      <c r="D625" s="273"/>
      <c r="E625" s="274"/>
      <c r="F625" s="273"/>
      <c r="G625" s="273"/>
      <c r="H625" s="273"/>
      <c r="I625" s="273"/>
      <c r="J625" s="273"/>
      <c r="K625" s="273"/>
      <c r="L625" s="273"/>
      <c r="M625" s="273"/>
      <c r="N625" s="273"/>
      <c r="O625" s="273"/>
      <c r="P625" s="273"/>
      <c r="Q625" s="273"/>
      <c r="R625" s="273"/>
      <c r="S625" s="273"/>
      <c r="T625" s="273"/>
      <c r="U625" s="273"/>
      <c r="V625" s="273"/>
      <c r="W625" s="273"/>
      <c r="X625" s="273"/>
      <c r="Y625" s="273"/>
      <c r="Z625" s="467"/>
      <c r="AA625" s="273"/>
      <c r="AB625" s="273"/>
      <c r="AC625" s="273"/>
      <c r="AD625" s="273"/>
    </row>
    <row r="626" spans="1:30" ht="14.25" customHeight="1">
      <c r="A626" s="273"/>
      <c r="B626" s="273"/>
      <c r="C626" s="273"/>
      <c r="D626" s="273"/>
      <c r="E626" s="274"/>
      <c r="F626" s="273"/>
      <c r="G626" s="273"/>
      <c r="H626" s="273"/>
      <c r="I626" s="273"/>
      <c r="J626" s="273"/>
      <c r="K626" s="273"/>
      <c r="L626" s="273"/>
      <c r="M626" s="273"/>
      <c r="N626" s="273"/>
      <c r="O626" s="273"/>
      <c r="P626" s="273"/>
      <c r="Q626" s="273"/>
      <c r="R626" s="273"/>
      <c r="S626" s="273"/>
      <c r="T626" s="273"/>
      <c r="U626" s="273"/>
      <c r="V626" s="273"/>
      <c r="W626" s="273"/>
      <c r="X626" s="273"/>
      <c r="Y626" s="273"/>
      <c r="Z626" s="467"/>
      <c r="AA626" s="273"/>
      <c r="AB626" s="273"/>
      <c r="AC626" s="273"/>
      <c r="AD626" s="273"/>
    </row>
    <row r="627" spans="1:30" ht="14.25" customHeight="1">
      <c r="A627" s="273"/>
      <c r="B627" s="273"/>
      <c r="C627" s="273"/>
      <c r="D627" s="273"/>
      <c r="E627" s="274"/>
      <c r="F627" s="273"/>
      <c r="G627" s="273"/>
      <c r="H627" s="273"/>
      <c r="I627" s="273"/>
      <c r="J627" s="273"/>
      <c r="K627" s="273"/>
      <c r="L627" s="273"/>
      <c r="M627" s="273"/>
      <c r="N627" s="273"/>
      <c r="O627" s="273"/>
      <c r="P627" s="273"/>
      <c r="Q627" s="273"/>
      <c r="R627" s="273"/>
      <c r="S627" s="273"/>
      <c r="T627" s="273"/>
      <c r="U627" s="273"/>
      <c r="V627" s="273"/>
      <c r="W627" s="273"/>
      <c r="X627" s="273"/>
      <c r="Y627" s="273"/>
      <c r="Z627" s="467"/>
      <c r="AA627" s="273"/>
      <c r="AB627" s="273"/>
      <c r="AC627" s="273"/>
      <c r="AD627" s="273"/>
    </row>
    <row r="628" spans="1:30" ht="14.25" customHeight="1">
      <c r="A628" s="273"/>
      <c r="B628" s="273"/>
      <c r="C628" s="273"/>
      <c r="D628" s="273"/>
      <c r="E628" s="274"/>
      <c r="F628" s="273"/>
      <c r="G628" s="273"/>
      <c r="H628" s="273"/>
      <c r="I628" s="273"/>
      <c r="J628" s="273"/>
      <c r="K628" s="273"/>
      <c r="L628" s="273"/>
      <c r="M628" s="273"/>
      <c r="N628" s="273"/>
      <c r="O628" s="273"/>
      <c r="P628" s="273"/>
      <c r="Q628" s="273"/>
      <c r="R628" s="273"/>
      <c r="S628" s="273"/>
      <c r="T628" s="273"/>
      <c r="U628" s="273"/>
      <c r="V628" s="273"/>
      <c r="W628" s="273"/>
      <c r="X628" s="273"/>
      <c r="Y628" s="273"/>
      <c r="Z628" s="467"/>
      <c r="AA628" s="273"/>
      <c r="AB628" s="273"/>
      <c r="AC628" s="273"/>
      <c r="AD628" s="273"/>
    </row>
    <row r="629" spans="1:30" ht="14.25" customHeight="1">
      <c r="A629" s="273"/>
      <c r="B629" s="273"/>
      <c r="C629" s="273"/>
      <c r="D629" s="273"/>
      <c r="E629" s="274"/>
      <c r="F629" s="273"/>
      <c r="G629" s="273"/>
      <c r="H629" s="273"/>
      <c r="I629" s="273"/>
      <c r="J629" s="273"/>
      <c r="K629" s="273"/>
      <c r="L629" s="273"/>
      <c r="M629" s="273"/>
      <c r="N629" s="273"/>
      <c r="O629" s="273"/>
      <c r="P629" s="273"/>
      <c r="Q629" s="273"/>
      <c r="R629" s="273"/>
      <c r="S629" s="273"/>
      <c r="T629" s="273"/>
      <c r="U629" s="273"/>
      <c r="V629" s="273"/>
      <c r="W629" s="273"/>
      <c r="X629" s="273"/>
      <c r="Y629" s="273"/>
      <c r="Z629" s="467"/>
      <c r="AA629" s="273"/>
      <c r="AB629" s="273"/>
      <c r="AC629" s="273"/>
      <c r="AD629" s="273"/>
    </row>
    <row r="630" spans="1:30" ht="14.25" customHeight="1">
      <c r="A630" s="273"/>
      <c r="B630" s="273"/>
      <c r="C630" s="273"/>
      <c r="D630" s="273"/>
      <c r="E630" s="274"/>
      <c r="F630" s="273"/>
      <c r="G630" s="273"/>
      <c r="H630" s="273"/>
      <c r="I630" s="273"/>
      <c r="J630" s="273"/>
      <c r="K630" s="273"/>
      <c r="L630" s="273"/>
      <c r="M630" s="273"/>
      <c r="N630" s="273"/>
      <c r="O630" s="273"/>
      <c r="P630" s="273"/>
      <c r="Q630" s="273"/>
      <c r="R630" s="273"/>
      <c r="S630" s="273"/>
      <c r="T630" s="273"/>
      <c r="U630" s="273"/>
      <c r="V630" s="273"/>
      <c r="W630" s="273"/>
      <c r="X630" s="273"/>
      <c r="Y630" s="273"/>
      <c r="Z630" s="467"/>
      <c r="AA630" s="273"/>
      <c r="AB630" s="273"/>
      <c r="AC630" s="273"/>
      <c r="AD630" s="273"/>
    </row>
    <row r="631" spans="1:30" ht="14.25" customHeight="1">
      <c r="A631" s="273"/>
      <c r="B631" s="273"/>
      <c r="C631" s="273"/>
      <c r="D631" s="273"/>
      <c r="E631" s="274"/>
      <c r="F631" s="273"/>
      <c r="G631" s="273"/>
      <c r="H631" s="273"/>
      <c r="I631" s="273"/>
      <c r="J631" s="273"/>
      <c r="K631" s="273"/>
      <c r="L631" s="273"/>
      <c r="M631" s="273"/>
      <c r="N631" s="273"/>
      <c r="O631" s="273"/>
      <c r="P631" s="273"/>
      <c r="Q631" s="273"/>
      <c r="R631" s="273"/>
      <c r="S631" s="273"/>
      <c r="T631" s="273"/>
      <c r="U631" s="273"/>
      <c r="V631" s="273"/>
      <c r="W631" s="273"/>
      <c r="X631" s="273"/>
      <c r="Y631" s="273"/>
      <c r="Z631" s="467"/>
      <c r="AA631" s="273"/>
      <c r="AB631" s="273"/>
      <c r="AC631" s="273"/>
      <c r="AD631" s="273"/>
    </row>
    <row r="632" spans="1:30" ht="14.25" customHeight="1">
      <c r="A632" s="273"/>
      <c r="B632" s="273"/>
      <c r="C632" s="273"/>
      <c r="D632" s="273"/>
      <c r="E632" s="274"/>
      <c r="F632" s="273"/>
      <c r="G632" s="273"/>
      <c r="H632" s="273"/>
      <c r="I632" s="273"/>
      <c r="J632" s="273"/>
      <c r="K632" s="273"/>
      <c r="L632" s="273"/>
      <c r="M632" s="273"/>
      <c r="N632" s="273"/>
      <c r="O632" s="273"/>
      <c r="P632" s="273"/>
      <c r="Q632" s="273"/>
      <c r="R632" s="273"/>
      <c r="S632" s="273"/>
      <c r="T632" s="273"/>
      <c r="U632" s="273"/>
      <c r="V632" s="273"/>
      <c r="W632" s="273"/>
      <c r="X632" s="273"/>
      <c r="Y632" s="273"/>
      <c r="Z632" s="467"/>
      <c r="AA632" s="273"/>
      <c r="AB632" s="273"/>
      <c r="AC632" s="273"/>
      <c r="AD632" s="273"/>
    </row>
    <row r="633" spans="1:30" ht="14.25" customHeight="1">
      <c r="A633" s="273"/>
      <c r="B633" s="273"/>
      <c r="C633" s="273"/>
      <c r="D633" s="273"/>
      <c r="E633" s="274"/>
      <c r="F633" s="273"/>
      <c r="G633" s="273"/>
      <c r="H633" s="273"/>
      <c r="I633" s="273"/>
      <c r="J633" s="273"/>
      <c r="K633" s="273"/>
      <c r="L633" s="273"/>
      <c r="M633" s="273"/>
      <c r="N633" s="273"/>
      <c r="O633" s="273"/>
      <c r="P633" s="273"/>
      <c r="Q633" s="273"/>
      <c r="R633" s="273"/>
      <c r="S633" s="273"/>
      <c r="T633" s="273"/>
      <c r="U633" s="273"/>
      <c r="V633" s="273"/>
      <c r="W633" s="273"/>
      <c r="X633" s="273"/>
      <c r="Y633" s="273"/>
      <c r="Z633" s="467"/>
      <c r="AA633" s="273"/>
      <c r="AB633" s="273"/>
      <c r="AC633" s="273"/>
      <c r="AD633" s="273"/>
    </row>
    <row r="634" spans="1:30" ht="14.25" customHeight="1">
      <c r="A634" s="273"/>
      <c r="B634" s="273"/>
      <c r="C634" s="273"/>
      <c r="D634" s="273"/>
      <c r="E634" s="274"/>
      <c r="F634" s="273"/>
      <c r="G634" s="273"/>
      <c r="H634" s="273"/>
      <c r="I634" s="273"/>
      <c r="J634" s="273"/>
      <c r="K634" s="273"/>
      <c r="L634" s="273"/>
      <c r="M634" s="273"/>
      <c r="N634" s="273"/>
      <c r="O634" s="273"/>
      <c r="P634" s="273"/>
      <c r="Q634" s="273"/>
      <c r="R634" s="273"/>
      <c r="S634" s="273"/>
      <c r="T634" s="273"/>
      <c r="U634" s="273"/>
      <c r="V634" s="273"/>
      <c r="W634" s="273"/>
      <c r="X634" s="273"/>
      <c r="Y634" s="273"/>
      <c r="Z634" s="467"/>
      <c r="AA634" s="273"/>
      <c r="AB634" s="273"/>
      <c r="AC634" s="273"/>
      <c r="AD634" s="273"/>
    </row>
    <row r="635" spans="1:30" ht="14.25" customHeight="1">
      <c r="A635" s="273"/>
      <c r="B635" s="273"/>
      <c r="C635" s="273"/>
      <c r="D635" s="273"/>
      <c r="E635" s="274"/>
      <c r="F635" s="273"/>
      <c r="G635" s="273"/>
      <c r="H635" s="273"/>
      <c r="I635" s="273"/>
      <c r="J635" s="273"/>
      <c r="K635" s="273"/>
      <c r="L635" s="273"/>
      <c r="M635" s="273"/>
      <c r="N635" s="273"/>
      <c r="O635" s="273"/>
      <c r="P635" s="273"/>
      <c r="Q635" s="273"/>
      <c r="R635" s="273"/>
      <c r="S635" s="273"/>
      <c r="T635" s="273"/>
      <c r="U635" s="273"/>
      <c r="V635" s="273"/>
      <c r="W635" s="273"/>
      <c r="X635" s="273"/>
      <c r="Y635" s="273"/>
      <c r="Z635" s="467"/>
      <c r="AA635" s="273"/>
      <c r="AB635" s="273"/>
      <c r="AC635" s="273"/>
      <c r="AD635" s="273"/>
    </row>
    <row r="636" spans="1:30" ht="14.25" customHeight="1">
      <c r="A636" s="273"/>
      <c r="B636" s="273"/>
      <c r="C636" s="273"/>
      <c r="D636" s="273"/>
      <c r="E636" s="274"/>
      <c r="F636" s="273"/>
      <c r="G636" s="273"/>
      <c r="H636" s="273"/>
      <c r="I636" s="273"/>
      <c r="J636" s="273"/>
      <c r="K636" s="273"/>
      <c r="L636" s="273"/>
      <c r="M636" s="273"/>
      <c r="N636" s="273"/>
      <c r="O636" s="273"/>
      <c r="P636" s="273"/>
      <c r="Q636" s="273"/>
      <c r="R636" s="273"/>
      <c r="S636" s="273"/>
      <c r="T636" s="273"/>
      <c r="U636" s="273"/>
      <c r="V636" s="273"/>
      <c r="W636" s="273"/>
      <c r="X636" s="273"/>
      <c r="Y636" s="273"/>
      <c r="Z636" s="467"/>
      <c r="AA636" s="273"/>
      <c r="AB636" s="273"/>
      <c r="AC636" s="273"/>
      <c r="AD636" s="273"/>
    </row>
    <row r="637" spans="1:30" ht="14.25" customHeight="1">
      <c r="A637" s="273"/>
      <c r="B637" s="273"/>
      <c r="C637" s="273"/>
      <c r="D637" s="273"/>
      <c r="E637" s="274"/>
      <c r="F637" s="273"/>
      <c r="G637" s="273"/>
      <c r="H637" s="273"/>
      <c r="I637" s="273"/>
      <c r="J637" s="273"/>
      <c r="K637" s="273"/>
      <c r="L637" s="273"/>
      <c r="M637" s="273"/>
      <c r="N637" s="273"/>
      <c r="O637" s="273"/>
      <c r="P637" s="273"/>
      <c r="Q637" s="273"/>
      <c r="R637" s="273"/>
      <c r="S637" s="273"/>
      <c r="T637" s="273"/>
      <c r="U637" s="273"/>
      <c r="V637" s="273"/>
      <c r="W637" s="273"/>
      <c r="X637" s="273"/>
      <c r="Y637" s="273"/>
      <c r="Z637" s="467"/>
      <c r="AA637" s="273"/>
      <c r="AB637" s="273"/>
      <c r="AC637" s="273"/>
      <c r="AD637" s="273"/>
    </row>
    <row r="638" spans="1:30" ht="14.25" customHeight="1">
      <c r="A638" s="273"/>
      <c r="B638" s="273"/>
      <c r="C638" s="273"/>
      <c r="D638" s="273"/>
      <c r="E638" s="274"/>
      <c r="F638" s="273"/>
      <c r="G638" s="273"/>
      <c r="H638" s="273"/>
      <c r="I638" s="273"/>
      <c r="J638" s="273"/>
      <c r="K638" s="273"/>
      <c r="L638" s="273"/>
      <c r="M638" s="273"/>
      <c r="N638" s="273"/>
      <c r="O638" s="273"/>
      <c r="P638" s="273"/>
      <c r="Q638" s="273"/>
      <c r="R638" s="273"/>
      <c r="S638" s="273"/>
      <c r="T638" s="273"/>
      <c r="U638" s="273"/>
      <c r="V638" s="273"/>
      <c r="W638" s="273"/>
      <c r="X638" s="273"/>
      <c r="Y638" s="273"/>
      <c r="Z638" s="467"/>
      <c r="AA638" s="273"/>
      <c r="AB638" s="273"/>
      <c r="AC638" s="273"/>
      <c r="AD638" s="273"/>
    </row>
    <row r="639" spans="1:30" ht="14.25" customHeight="1">
      <c r="A639" s="273"/>
      <c r="B639" s="273"/>
      <c r="C639" s="273"/>
      <c r="D639" s="273"/>
      <c r="E639" s="274"/>
      <c r="F639" s="273"/>
      <c r="G639" s="273"/>
      <c r="H639" s="273"/>
      <c r="I639" s="273"/>
      <c r="J639" s="273"/>
      <c r="K639" s="273"/>
      <c r="L639" s="273"/>
      <c r="M639" s="273"/>
      <c r="N639" s="273"/>
      <c r="O639" s="273"/>
      <c r="P639" s="273"/>
      <c r="Q639" s="273"/>
      <c r="R639" s="273"/>
      <c r="S639" s="273"/>
      <c r="T639" s="273"/>
      <c r="U639" s="273"/>
      <c r="V639" s="273"/>
      <c r="W639" s="273"/>
      <c r="X639" s="273"/>
      <c r="Y639" s="273"/>
      <c r="Z639" s="467"/>
      <c r="AA639" s="273"/>
      <c r="AB639" s="273"/>
      <c r="AC639" s="273"/>
      <c r="AD639" s="273"/>
    </row>
    <row r="640" spans="1:30" ht="14.25" customHeight="1">
      <c r="A640" s="273"/>
      <c r="B640" s="273"/>
      <c r="C640" s="273"/>
      <c r="D640" s="273"/>
      <c r="E640" s="274"/>
      <c r="F640" s="273"/>
      <c r="G640" s="273"/>
      <c r="H640" s="273"/>
      <c r="I640" s="273"/>
      <c r="J640" s="273"/>
      <c r="K640" s="273"/>
      <c r="L640" s="273"/>
      <c r="M640" s="273"/>
      <c r="N640" s="273"/>
      <c r="O640" s="273"/>
      <c r="P640" s="273"/>
      <c r="Q640" s="273"/>
      <c r="R640" s="273"/>
      <c r="S640" s="273"/>
      <c r="T640" s="273"/>
      <c r="U640" s="273"/>
      <c r="V640" s="273"/>
      <c r="W640" s="273"/>
      <c r="X640" s="273"/>
      <c r="Y640" s="273"/>
      <c r="Z640" s="467"/>
      <c r="AA640" s="273"/>
      <c r="AB640" s="273"/>
      <c r="AC640" s="273"/>
      <c r="AD640" s="273"/>
    </row>
    <row r="641" spans="1:30" ht="14.25" customHeight="1">
      <c r="A641" s="273"/>
      <c r="B641" s="273"/>
      <c r="C641" s="273"/>
      <c r="D641" s="273"/>
      <c r="E641" s="274"/>
      <c r="F641" s="273"/>
      <c r="G641" s="273"/>
      <c r="H641" s="273"/>
      <c r="I641" s="273"/>
      <c r="J641" s="273"/>
      <c r="K641" s="273"/>
      <c r="L641" s="273"/>
      <c r="M641" s="273"/>
      <c r="N641" s="273"/>
      <c r="O641" s="273"/>
      <c r="P641" s="273"/>
      <c r="Q641" s="273"/>
      <c r="R641" s="273"/>
      <c r="S641" s="273"/>
      <c r="T641" s="273"/>
      <c r="U641" s="273"/>
      <c r="V641" s="273"/>
      <c r="W641" s="273"/>
      <c r="X641" s="273"/>
      <c r="Y641" s="273"/>
      <c r="Z641" s="467"/>
      <c r="AA641" s="273"/>
      <c r="AB641" s="273"/>
      <c r="AC641" s="273"/>
      <c r="AD641" s="273"/>
    </row>
    <row r="642" spans="1:30" ht="14.25" customHeight="1">
      <c r="A642" s="273"/>
      <c r="B642" s="273"/>
      <c r="C642" s="273"/>
      <c r="D642" s="273"/>
      <c r="E642" s="274"/>
      <c r="F642" s="273"/>
      <c r="G642" s="273"/>
      <c r="H642" s="273"/>
      <c r="I642" s="273"/>
      <c r="J642" s="273"/>
      <c r="K642" s="273"/>
      <c r="L642" s="273"/>
      <c r="M642" s="273"/>
      <c r="N642" s="273"/>
      <c r="O642" s="273"/>
      <c r="P642" s="273"/>
      <c r="Q642" s="273"/>
      <c r="R642" s="273"/>
      <c r="S642" s="273"/>
      <c r="T642" s="273"/>
      <c r="U642" s="273"/>
      <c r="V642" s="273"/>
      <c r="W642" s="273"/>
      <c r="X642" s="273"/>
      <c r="Y642" s="273"/>
      <c r="Z642" s="467"/>
      <c r="AA642" s="273"/>
      <c r="AB642" s="273"/>
      <c r="AC642" s="273"/>
      <c r="AD642" s="273"/>
    </row>
    <row r="643" spans="1:30" ht="14.25" customHeight="1">
      <c r="A643" s="273"/>
      <c r="B643" s="273"/>
      <c r="C643" s="273"/>
      <c r="D643" s="273"/>
      <c r="E643" s="274"/>
      <c r="F643" s="273"/>
      <c r="G643" s="273"/>
      <c r="H643" s="273"/>
      <c r="I643" s="273"/>
      <c r="J643" s="273"/>
      <c r="K643" s="273"/>
      <c r="L643" s="273"/>
      <c r="M643" s="273"/>
      <c r="N643" s="273"/>
      <c r="O643" s="273"/>
      <c r="P643" s="273"/>
      <c r="Q643" s="273"/>
      <c r="R643" s="273"/>
      <c r="S643" s="273"/>
      <c r="T643" s="273"/>
      <c r="U643" s="273"/>
      <c r="V643" s="273"/>
      <c r="W643" s="273"/>
      <c r="X643" s="273"/>
      <c r="Y643" s="273"/>
      <c r="Z643" s="467"/>
      <c r="AA643" s="273"/>
      <c r="AB643" s="273"/>
      <c r="AC643" s="273"/>
      <c r="AD643" s="273"/>
    </row>
    <row r="644" spans="1:30" ht="14.25" customHeight="1">
      <c r="A644" s="273"/>
      <c r="B644" s="273"/>
      <c r="C644" s="273"/>
      <c r="D644" s="273"/>
      <c r="E644" s="274"/>
      <c r="F644" s="273"/>
      <c r="G644" s="273"/>
      <c r="H644" s="273"/>
      <c r="I644" s="273"/>
      <c r="J644" s="273"/>
      <c r="K644" s="273"/>
      <c r="L644" s="273"/>
      <c r="M644" s="273"/>
      <c r="N644" s="273"/>
      <c r="O644" s="273"/>
      <c r="P644" s="273"/>
      <c r="Q644" s="273"/>
      <c r="R644" s="273"/>
      <c r="S644" s="273"/>
      <c r="T644" s="273"/>
      <c r="U644" s="273"/>
      <c r="V644" s="273"/>
      <c r="W644" s="273"/>
      <c r="X644" s="273"/>
      <c r="Y644" s="273"/>
      <c r="Z644" s="467"/>
      <c r="AA644" s="273"/>
      <c r="AB644" s="273"/>
      <c r="AC644" s="273"/>
      <c r="AD644" s="273"/>
    </row>
    <row r="645" spans="1:30" ht="14.25" customHeight="1">
      <c r="A645" s="273"/>
      <c r="B645" s="273"/>
      <c r="C645" s="273"/>
      <c r="D645" s="273"/>
      <c r="E645" s="274"/>
      <c r="F645" s="273"/>
      <c r="G645" s="273"/>
      <c r="H645" s="273"/>
      <c r="I645" s="273"/>
      <c r="J645" s="273"/>
      <c r="K645" s="273"/>
      <c r="L645" s="273"/>
      <c r="M645" s="273"/>
      <c r="N645" s="273"/>
      <c r="O645" s="273"/>
      <c r="P645" s="273"/>
      <c r="Q645" s="273"/>
      <c r="R645" s="273"/>
      <c r="S645" s="273"/>
      <c r="T645" s="273"/>
      <c r="U645" s="273"/>
      <c r="V645" s="273"/>
      <c r="W645" s="273"/>
      <c r="X645" s="273"/>
      <c r="Y645" s="273"/>
      <c r="Z645" s="467"/>
      <c r="AA645" s="273"/>
      <c r="AB645" s="273"/>
      <c r="AC645" s="273"/>
      <c r="AD645" s="273"/>
    </row>
    <row r="646" spans="1:30" ht="14.25" customHeight="1">
      <c r="A646" s="273"/>
      <c r="B646" s="273"/>
      <c r="C646" s="273"/>
      <c r="D646" s="273"/>
      <c r="E646" s="274"/>
      <c r="F646" s="273"/>
      <c r="G646" s="273"/>
      <c r="H646" s="273"/>
      <c r="I646" s="273"/>
      <c r="J646" s="273"/>
      <c r="K646" s="273"/>
      <c r="L646" s="273"/>
      <c r="M646" s="273"/>
      <c r="N646" s="273"/>
      <c r="O646" s="273"/>
      <c r="P646" s="273"/>
      <c r="Q646" s="273"/>
      <c r="R646" s="273"/>
      <c r="S646" s="273"/>
      <c r="T646" s="273"/>
      <c r="U646" s="273"/>
      <c r="V646" s="273"/>
      <c r="W646" s="273"/>
      <c r="X646" s="273"/>
      <c r="Y646" s="273"/>
      <c r="Z646" s="467"/>
      <c r="AA646" s="273"/>
      <c r="AB646" s="273"/>
      <c r="AC646" s="273"/>
      <c r="AD646" s="273"/>
    </row>
    <row r="647" spans="1:30" ht="14.25" customHeight="1">
      <c r="A647" s="273"/>
      <c r="B647" s="273"/>
      <c r="C647" s="273"/>
      <c r="D647" s="273"/>
      <c r="E647" s="274"/>
      <c r="F647" s="273"/>
      <c r="G647" s="273"/>
      <c r="H647" s="273"/>
      <c r="I647" s="273"/>
      <c r="J647" s="273"/>
      <c r="K647" s="273"/>
      <c r="L647" s="273"/>
      <c r="M647" s="273"/>
      <c r="N647" s="273"/>
      <c r="O647" s="273"/>
      <c r="P647" s="273"/>
      <c r="Q647" s="273"/>
      <c r="R647" s="273"/>
      <c r="S647" s="273"/>
      <c r="T647" s="273"/>
      <c r="U647" s="273"/>
      <c r="V647" s="273"/>
      <c r="W647" s="273"/>
      <c r="X647" s="273"/>
      <c r="Y647" s="273"/>
      <c r="Z647" s="467"/>
      <c r="AA647" s="273"/>
      <c r="AB647" s="273"/>
      <c r="AC647" s="273"/>
      <c r="AD647" s="273"/>
    </row>
    <row r="648" spans="1:30" ht="14.25" customHeight="1">
      <c r="A648" s="273"/>
      <c r="B648" s="273"/>
      <c r="C648" s="273"/>
      <c r="D648" s="273"/>
      <c r="E648" s="274"/>
      <c r="F648" s="273"/>
      <c r="G648" s="273"/>
      <c r="H648" s="273"/>
      <c r="I648" s="273"/>
      <c r="J648" s="273"/>
      <c r="K648" s="273"/>
      <c r="L648" s="273"/>
      <c r="M648" s="273"/>
      <c r="N648" s="273"/>
      <c r="O648" s="273"/>
      <c r="P648" s="273"/>
      <c r="Q648" s="273"/>
      <c r="R648" s="273"/>
      <c r="S648" s="273"/>
      <c r="T648" s="273"/>
      <c r="U648" s="273"/>
      <c r="V648" s="273"/>
      <c r="W648" s="273"/>
      <c r="X648" s="273"/>
      <c r="Y648" s="273"/>
      <c r="Z648" s="467"/>
      <c r="AA648" s="273"/>
      <c r="AB648" s="273"/>
      <c r="AC648" s="273"/>
      <c r="AD648" s="273"/>
    </row>
    <row r="649" spans="1:30" ht="14.25" customHeight="1">
      <c r="A649" s="273"/>
      <c r="B649" s="273"/>
      <c r="C649" s="273"/>
      <c r="D649" s="273"/>
      <c r="E649" s="274"/>
      <c r="F649" s="273"/>
      <c r="G649" s="273"/>
      <c r="H649" s="273"/>
      <c r="I649" s="273"/>
      <c r="J649" s="273"/>
      <c r="K649" s="273"/>
      <c r="L649" s="273"/>
      <c r="M649" s="273"/>
      <c r="N649" s="273"/>
      <c r="O649" s="273"/>
      <c r="P649" s="273"/>
      <c r="Q649" s="273"/>
      <c r="R649" s="273"/>
      <c r="S649" s="273"/>
      <c r="T649" s="273"/>
      <c r="U649" s="273"/>
      <c r="V649" s="273"/>
      <c r="W649" s="273"/>
      <c r="X649" s="273"/>
      <c r="Y649" s="273"/>
      <c r="Z649" s="467"/>
      <c r="AA649" s="273"/>
      <c r="AB649" s="273"/>
      <c r="AC649" s="273"/>
      <c r="AD649" s="273"/>
    </row>
    <row r="650" spans="1:30" ht="14.25" customHeight="1">
      <c r="A650" s="273"/>
      <c r="B650" s="273"/>
      <c r="C650" s="273"/>
      <c r="D650" s="273"/>
      <c r="E650" s="274"/>
      <c r="F650" s="273"/>
      <c r="G650" s="273"/>
      <c r="H650" s="273"/>
      <c r="I650" s="273"/>
      <c r="J650" s="273"/>
      <c r="K650" s="273"/>
      <c r="L650" s="273"/>
      <c r="M650" s="273"/>
      <c r="N650" s="273"/>
      <c r="O650" s="273"/>
      <c r="P650" s="273"/>
      <c r="Q650" s="273"/>
      <c r="R650" s="273"/>
      <c r="S650" s="273"/>
      <c r="T650" s="273"/>
      <c r="U650" s="273"/>
      <c r="V650" s="273"/>
      <c r="W650" s="273"/>
      <c r="X650" s="273"/>
      <c r="Y650" s="273"/>
      <c r="Z650" s="467"/>
      <c r="AA650" s="273"/>
      <c r="AB650" s="273"/>
      <c r="AC650" s="273"/>
      <c r="AD650" s="273"/>
    </row>
    <row r="651" spans="1:30" ht="14.25" customHeight="1">
      <c r="A651" s="273"/>
      <c r="B651" s="273"/>
      <c r="C651" s="273"/>
      <c r="D651" s="273"/>
      <c r="E651" s="274"/>
      <c r="F651" s="273"/>
      <c r="G651" s="273"/>
      <c r="H651" s="273"/>
      <c r="I651" s="273"/>
      <c r="J651" s="273"/>
      <c r="K651" s="273"/>
      <c r="L651" s="273"/>
      <c r="M651" s="273"/>
      <c r="N651" s="273"/>
      <c r="O651" s="273"/>
      <c r="P651" s="273"/>
      <c r="Q651" s="273"/>
      <c r="R651" s="273"/>
      <c r="S651" s="273"/>
      <c r="T651" s="273"/>
      <c r="U651" s="273"/>
      <c r="V651" s="273"/>
      <c r="W651" s="273"/>
      <c r="X651" s="273"/>
      <c r="Y651" s="273"/>
      <c r="Z651" s="467"/>
      <c r="AA651" s="273"/>
      <c r="AB651" s="273"/>
      <c r="AC651" s="273"/>
      <c r="AD651" s="273"/>
    </row>
    <row r="652" spans="1:30" ht="14.25" customHeight="1">
      <c r="A652" s="273"/>
      <c r="B652" s="273"/>
      <c r="C652" s="273"/>
      <c r="D652" s="273"/>
      <c r="E652" s="274"/>
      <c r="F652" s="273"/>
      <c r="G652" s="273"/>
      <c r="H652" s="273"/>
      <c r="I652" s="273"/>
      <c r="J652" s="273"/>
      <c r="K652" s="273"/>
      <c r="L652" s="273"/>
      <c r="M652" s="273"/>
      <c r="N652" s="273"/>
      <c r="O652" s="273"/>
      <c r="P652" s="273"/>
      <c r="Q652" s="273"/>
      <c r="R652" s="273"/>
      <c r="S652" s="273"/>
      <c r="T652" s="273"/>
      <c r="U652" s="273"/>
      <c r="V652" s="273"/>
      <c r="W652" s="273"/>
      <c r="X652" s="273"/>
      <c r="Y652" s="273"/>
      <c r="Z652" s="467"/>
      <c r="AA652" s="273"/>
      <c r="AB652" s="273"/>
      <c r="AC652" s="273"/>
      <c r="AD652" s="273"/>
    </row>
    <row r="653" spans="1:30" ht="14.25" customHeight="1">
      <c r="A653" s="273"/>
      <c r="B653" s="273"/>
      <c r="C653" s="273"/>
      <c r="D653" s="273"/>
      <c r="E653" s="274"/>
      <c r="F653" s="273"/>
      <c r="G653" s="273"/>
      <c r="H653" s="273"/>
      <c r="I653" s="273"/>
      <c r="J653" s="273"/>
      <c r="K653" s="273"/>
      <c r="L653" s="273"/>
      <c r="M653" s="273"/>
      <c r="N653" s="273"/>
      <c r="O653" s="273"/>
      <c r="P653" s="273"/>
      <c r="Q653" s="273"/>
      <c r="R653" s="273"/>
      <c r="S653" s="273"/>
      <c r="T653" s="273"/>
      <c r="U653" s="273"/>
      <c r="V653" s="273"/>
      <c r="W653" s="273"/>
      <c r="X653" s="273"/>
      <c r="Y653" s="273"/>
      <c r="Z653" s="467"/>
      <c r="AA653" s="273"/>
      <c r="AB653" s="273"/>
      <c r="AC653" s="273"/>
      <c r="AD653" s="273"/>
    </row>
    <row r="654" spans="1:30" ht="14.25" customHeight="1">
      <c r="A654" s="273"/>
      <c r="B654" s="273"/>
      <c r="C654" s="273"/>
      <c r="D654" s="273"/>
      <c r="E654" s="274"/>
      <c r="F654" s="273"/>
      <c r="G654" s="273"/>
      <c r="H654" s="273"/>
      <c r="I654" s="273"/>
      <c r="J654" s="273"/>
      <c r="K654" s="273"/>
      <c r="L654" s="273"/>
      <c r="M654" s="273"/>
      <c r="N654" s="273"/>
      <c r="O654" s="273"/>
      <c r="P654" s="273"/>
      <c r="Q654" s="273"/>
      <c r="R654" s="273"/>
      <c r="S654" s="273"/>
      <c r="T654" s="273"/>
      <c r="U654" s="273"/>
      <c r="V654" s="273"/>
      <c r="W654" s="273"/>
      <c r="X654" s="273"/>
      <c r="Y654" s="273"/>
      <c r="Z654" s="467"/>
      <c r="AA654" s="273"/>
      <c r="AB654" s="273"/>
      <c r="AC654" s="273"/>
      <c r="AD654" s="273"/>
    </row>
    <row r="655" spans="1:30" ht="14.25" customHeight="1">
      <c r="A655" s="273"/>
      <c r="B655" s="273"/>
      <c r="C655" s="273"/>
      <c r="D655" s="273"/>
      <c r="E655" s="274"/>
      <c r="F655" s="273"/>
      <c r="G655" s="273"/>
      <c r="H655" s="273"/>
      <c r="I655" s="273"/>
      <c r="J655" s="273"/>
      <c r="K655" s="273"/>
      <c r="L655" s="273"/>
      <c r="M655" s="273"/>
      <c r="N655" s="273"/>
      <c r="O655" s="273"/>
      <c r="P655" s="273"/>
      <c r="Q655" s="273"/>
      <c r="R655" s="273"/>
      <c r="S655" s="273"/>
      <c r="T655" s="273"/>
      <c r="U655" s="273"/>
      <c r="V655" s="273"/>
      <c r="W655" s="273"/>
      <c r="X655" s="273"/>
      <c r="Y655" s="273"/>
      <c r="Z655" s="467"/>
      <c r="AA655" s="273"/>
      <c r="AB655" s="273"/>
      <c r="AC655" s="273"/>
      <c r="AD655" s="273"/>
    </row>
    <row r="656" spans="1:30" ht="14.25" customHeight="1">
      <c r="A656" s="273"/>
      <c r="B656" s="273"/>
      <c r="C656" s="273"/>
      <c r="D656" s="273"/>
      <c r="E656" s="274"/>
      <c r="F656" s="273"/>
      <c r="G656" s="273"/>
      <c r="H656" s="273"/>
      <c r="I656" s="273"/>
      <c r="J656" s="273"/>
      <c r="K656" s="273"/>
      <c r="L656" s="273"/>
      <c r="M656" s="273"/>
      <c r="N656" s="273"/>
      <c r="O656" s="273"/>
      <c r="P656" s="273"/>
      <c r="Q656" s="273"/>
      <c r="R656" s="273"/>
      <c r="S656" s="273"/>
      <c r="T656" s="273"/>
      <c r="U656" s="273"/>
      <c r="V656" s="273"/>
      <c r="W656" s="273"/>
      <c r="X656" s="273"/>
      <c r="Y656" s="273"/>
      <c r="Z656" s="467"/>
      <c r="AA656" s="273"/>
      <c r="AB656" s="273"/>
      <c r="AC656" s="273"/>
      <c r="AD656" s="273"/>
    </row>
    <row r="657" spans="1:30" ht="14.25" customHeight="1">
      <c r="A657" s="273"/>
      <c r="B657" s="273"/>
      <c r="C657" s="273"/>
      <c r="D657" s="273"/>
      <c r="E657" s="274"/>
      <c r="F657" s="273"/>
      <c r="G657" s="273"/>
      <c r="H657" s="273"/>
      <c r="I657" s="273"/>
      <c r="J657" s="273"/>
      <c r="K657" s="273"/>
      <c r="L657" s="273"/>
      <c r="M657" s="273"/>
      <c r="N657" s="273"/>
      <c r="O657" s="273"/>
      <c r="P657" s="273"/>
      <c r="Q657" s="273"/>
      <c r="R657" s="273"/>
      <c r="S657" s="273"/>
      <c r="T657" s="273"/>
      <c r="U657" s="273"/>
      <c r="V657" s="273"/>
      <c r="W657" s="273"/>
      <c r="X657" s="273"/>
      <c r="Y657" s="273"/>
      <c r="Z657" s="467"/>
      <c r="AA657" s="273"/>
      <c r="AB657" s="273"/>
      <c r="AC657" s="273"/>
      <c r="AD657" s="273"/>
    </row>
    <row r="658" spans="1:30" ht="14.25" customHeight="1">
      <c r="A658" s="273"/>
      <c r="B658" s="273"/>
      <c r="C658" s="273"/>
      <c r="D658" s="273"/>
      <c r="E658" s="274"/>
      <c r="F658" s="273"/>
      <c r="G658" s="273"/>
      <c r="H658" s="273"/>
      <c r="I658" s="273"/>
      <c r="J658" s="273"/>
      <c r="K658" s="273"/>
      <c r="L658" s="273"/>
      <c r="M658" s="273"/>
      <c r="N658" s="273"/>
      <c r="O658" s="273"/>
      <c r="P658" s="273"/>
      <c r="Q658" s="273"/>
      <c r="R658" s="273"/>
      <c r="S658" s="273"/>
      <c r="T658" s="273"/>
      <c r="U658" s="273"/>
      <c r="V658" s="273"/>
      <c r="W658" s="273"/>
      <c r="X658" s="273"/>
      <c r="Y658" s="273"/>
      <c r="Z658" s="467"/>
      <c r="AA658" s="273"/>
      <c r="AB658" s="273"/>
      <c r="AC658" s="273"/>
      <c r="AD658" s="273"/>
    </row>
    <row r="659" spans="1:30" ht="14.25" customHeight="1">
      <c r="A659" s="273"/>
      <c r="B659" s="273"/>
      <c r="C659" s="273"/>
      <c r="D659" s="273"/>
      <c r="E659" s="274"/>
      <c r="F659" s="273"/>
      <c r="G659" s="273"/>
      <c r="H659" s="273"/>
      <c r="I659" s="273"/>
      <c r="J659" s="273"/>
      <c r="K659" s="273"/>
      <c r="L659" s="273"/>
      <c r="M659" s="273"/>
      <c r="N659" s="273"/>
      <c r="O659" s="273"/>
      <c r="P659" s="273"/>
      <c r="Q659" s="273"/>
      <c r="R659" s="273"/>
      <c r="S659" s="273"/>
      <c r="T659" s="273"/>
      <c r="U659" s="273"/>
      <c r="V659" s="273"/>
      <c r="W659" s="273"/>
      <c r="X659" s="273"/>
      <c r="Y659" s="273"/>
      <c r="Z659" s="467"/>
      <c r="AA659" s="273"/>
      <c r="AB659" s="273"/>
      <c r="AC659" s="273"/>
      <c r="AD659" s="273"/>
    </row>
    <row r="660" spans="1:30" ht="14.25" customHeight="1">
      <c r="A660" s="273"/>
      <c r="B660" s="273"/>
      <c r="C660" s="273"/>
      <c r="D660" s="273"/>
      <c r="E660" s="274"/>
      <c r="F660" s="273"/>
      <c r="G660" s="273"/>
      <c r="H660" s="273"/>
      <c r="I660" s="273"/>
      <c r="J660" s="273"/>
      <c r="K660" s="273"/>
      <c r="L660" s="273"/>
      <c r="M660" s="273"/>
      <c r="N660" s="273"/>
      <c r="O660" s="273"/>
      <c r="P660" s="273"/>
      <c r="Q660" s="273"/>
      <c r="R660" s="273"/>
      <c r="S660" s="273"/>
      <c r="T660" s="273"/>
      <c r="U660" s="273"/>
      <c r="V660" s="273"/>
      <c r="W660" s="273"/>
      <c r="X660" s="273"/>
      <c r="Y660" s="273"/>
      <c r="Z660" s="467"/>
      <c r="AA660" s="273"/>
      <c r="AB660" s="273"/>
      <c r="AC660" s="273"/>
      <c r="AD660" s="273"/>
    </row>
    <row r="661" spans="1:30" ht="14.25" customHeight="1">
      <c r="A661" s="273"/>
      <c r="B661" s="273"/>
      <c r="C661" s="273"/>
      <c r="D661" s="273"/>
      <c r="E661" s="274"/>
      <c r="F661" s="273"/>
      <c r="G661" s="273"/>
      <c r="H661" s="273"/>
      <c r="I661" s="273"/>
      <c r="J661" s="273"/>
      <c r="K661" s="273"/>
      <c r="L661" s="273"/>
      <c r="M661" s="273"/>
      <c r="N661" s="273"/>
      <c r="O661" s="273"/>
      <c r="P661" s="273"/>
      <c r="Q661" s="273"/>
      <c r="R661" s="273"/>
      <c r="S661" s="273"/>
      <c r="T661" s="273"/>
      <c r="U661" s="273"/>
      <c r="V661" s="273"/>
      <c r="W661" s="273"/>
      <c r="X661" s="273"/>
      <c r="Y661" s="273"/>
      <c r="Z661" s="467"/>
      <c r="AA661" s="273"/>
      <c r="AB661" s="273"/>
      <c r="AC661" s="273"/>
      <c r="AD661" s="273"/>
    </row>
    <row r="662" spans="1:30" ht="14.25" customHeight="1">
      <c r="A662" s="273"/>
      <c r="B662" s="273"/>
      <c r="C662" s="273"/>
      <c r="D662" s="273"/>
      <c r="E662" s="274"/>
      <c r="F662" s="273"/>
      <c r="G662" s="273"/>
      <c r="H662" s="273"/>
      <c r="I662" s="273"/>
      <c r="J662" s="273"/>
      <c r="K662" s="273"/>
      <c r="L662" s="273"/>
      <c r="M662" s="273"/>
      <c r="N662" s="273"/>
      <c r="O662" s="273"/>
      <c r="P662" s="273"/>
      <c r="Q662" s="273"/>
      <c r="R662" s="273"/>
      <c r="S662" s="273"/>
      <c r="T662" s="273"/>
      <c r="U662" s="273"/>
      <c r="V662" s="273"/>
      <c r="W662" s="273"/>
      <c r="X662" s="273"/>
      <c r="Y662" s="273"/>
      <c r="Z662" s="467"/>
      <c r="AA662" s="273"/>
      <c r="AB662" s="273"/>
      <c r="AC662" s="273"/>
      <c r="AD662" s="273"/>
    </row>
    <row r="663" spans="1:30" ht="14.25" customHeight="1">
      <c r="A663" s="273"/>
      <c r="B663" s="273"/>
      <c r="C663" s="273"/>
      <c r="D663" s="273"/>
      <c r="E663" s="274"/>
      <c r="F663" s="273"/>
      <c r="G663" s="273"/>
      <c r="H663" s="273"/>
      <c r="I663" s="273"/>
      <c r="J663" s="273"/>
      <c r="K663" s="273"/>
      <c r="L663" s="273"/>
      <c r="M663" s="273"/>
      <c r="N663" s="273"/>
      <c r="O663" s="273"/>
      <c r="P663" s="273"/>
      <c r="Q663" s="273"/>
      <c r="R663" s="273"/>
      <c r="S663" s="273"/>
      <c r="T663" s="273"/>
      <c r="U663" s="273"/>
      <c r="V663" s="273"/>
      <c r="W663" s="273"/>
      <c r="X663" s="273"/>
      <c r="Y663" s="273"/>
      <c r="Z663" s="467"/>
      <c r="AA663" s="273"/>
      <c r="AB663" s="273"/>
      <c r="AC663" s="273"/>
      <c r="AD663" s="273"/>
    </row>
    <row r="664" spans="1:30" ht="14.25" customHeight="1">
      <c r="A664" s="273"/>
      <c r="B664" s="273"/>
      <c r="C664" s="273"/>
      <c r="D664" s="273"/>
      <c r="E664" s="274"/>
      <c r="F664" s="273"/>
      <c r="G664" s="273"/>
      <c r="H664" s="273"/>
      <c r="I664" s="273"/>
      <c r="J664" s="273"/>
      <c r="K664" s="273"/>
      <c r="L664" s="273"/>
      <c r="M664" s="273"/>
      <c r="N664" s="273"/>
      <c r="O664" s="273"/>
      <c r="P664" s="273"/>
      <c r="Q664" s="273"/>
      <c r="R664" s="273"/>
      <c r="S664" s="273"/>
      <c r="T664" s="273"/>
      <c r="U664" s="273"/>
      <c r="V664" s="273"/>
      <c r="W664" s="273"/>
      <c r="X664" s="273"/>
      <c r="Y664" s="273"/>
      <c r="Z664" s="467"/>
      <c r="AA664" s="273"/>
      <c r="AB664" s="273"/>
      <c r="AC664" s="273"/>
      <c r="AD664" s="273"/>
    </row>
    <row r="665" spans="1:30" ht="14.25" customHeight="1">
      <c r="A665" s="273"/>
      <c r="B665" s="273"/>
      <c r="C665" s="273"/>
      <c r="D665" s="273"/>
      <c r="E665" s="274"/>
      <c r="F665" s="273"/>
      <c r="G665" s="273"/>
      <c r="H665" s="273"/>
      <c r="I665" s="273"/>
      <c r="J665" s="273"/>
      <c r="K665" s="273"/>
      <c r="L665" s="273"/>
      <c r="M665" s="273"/>
      <c r="N665" s="273"/>
      <c r="O665" s="273"/>
      <c r="P665" s="273"/>
      <c r="Q665" s="273"/>
      <c r="R665" s="273"/>
      <c r="S665" s="273"/>
      <c r="T665" s="273"/>
      <c r="U665" s="273"/>
      <c r="V665" s="273"/>
      <c r="W665" s="273"/>
      <c r="X665" s="273"/>
      <c r="Y665" s="273"/>
      <c r="Z665" s="467"/>
      <c r="AA665" s="273"/>
      <c r="AB665" s="273"/>
      <c r="AC665" s="273"/>
      <c r="AD665" s="273"/>
    </row>
    <row r="666" spans="1:30" ht="14.25" customHeight="1">
      <c r="A666" s="273"/>
      <c r="B666" s="273"/>
      <c r="C666" s="273"/>
      <c r="D666" s="273"/>
      <c r="E666" s="274"/>
      <c r="F666" s="273"/>
      <c r="G666" s="273"/>
      <c r="H666" s="273"/>
      <c r="I666" s="273"/>
      <c r="J666" s="273"/>
      <c r="K666" s="273"/>
      <c r="L666" s="273"/>
      <c r="M666" s="273"/>
      <c r="N666" s="273"/>
      <c r="O666" s="273"/>
      <c r="P666" s="273"/>
      <c r="Q666" s="273"/>
      <c r="R666" s="273"/>
      <c r="S666" s="273"/>
      <c r="T666" s="273"/>
      <c r="U666" s="273"/>
      <c r="V666" s="273"/>
      <c r="W666" s="273"/>
      <c r="X666" s="273"/>
      <c r="Y666" s="273"/>
      <c r="Z666" s="467"/>
      <c r="AA666" s="273"/>
      <c r="AB666" s="273"/>
      <c r="AC666" s="273"/>
      <c r="AD666" s="273"/>
    </row>
    <row r="667" spans="1:30" ht="14.25" customHeight="1">
      <c r="A667" s="273"/>
      <c r="B667" s="273"/>
      <c r="C667" s="273"/>
      <c r="D667" s="273"/>
      <c r="E667" s="274"/>
      <c r="F667" s="273"/>
      <c r="G667" s="273"/>
      <c r="H667" s="273"/>
      <c r="I667" s="273"/>
      <c r="J667" s="273"/>
      <c r="K667" s="273"/>
      <c r="L667" s="273"/>
      <c r="M667" s="273"/>
      <c r="N667" s="273"/>
      <c r="O667" s="273"/>
      <c r="P667" s="273"/>
      <c r="Q667" s="273"/>
      <c r="R667" s="273"/>
      <c r="S667" s="273"/>
      <c r="T667" s="273"/>
      <c r="U667" s="273"/>
      <c r="V667" s="273"/>
      <c r="W667" s="273"/>
      <c r="X667" s="273"/>
      <c r="Y667" s="273"/>
      <c r="Z667" s="467"/>
      <c r="AA667" s="273"/>
      <c r="AB667" s="273"/>
      <c r="AC667" s="273"/>
      <c r="AD667" s="273"/>
    </row>
    <row r="668" spans="1:30" ht="14.25" customHeight="1">
      <c r="A668" s="273"/>
      <c r="B668" s="273"/>
      <c r="C668" s="273"/>
      <c r="D668" s="273"/>
      <c r="E668" s="274"/>
      <c r="F668" s="273"/>
      <c r="G668" s="273"/>
      <c r="H668" s="273"/>
      <c r="I668" s="273"/>
      <c r="J668" s="273"/>
      <c r="K668" s="273"/>
      <c r="L668" s="273"/>
      <c r="M668" s="273"/>
      <c r="N668" s="273"/>
      <c r="O668" s="273"/>
      <c r="P668" s="273"/>
      <c r="Q668" s="273"/>
      <c r="R668" s="273"/>
      <c r="S668" s="273"/>
      <c r="T668" s="273"/>
      <c r="U668" s="273"/>
      <c r="V668" s="273"/>
      <c r="W668" s="273"/>
      <c r="X668" s="273"/>
      <c r="Y668" s="273"/>
      <c r="Z668" s="467"/>
      <c r="AA668" s="273"/>
      <c r="AB668" s="273"/>
      <c r="AC668" s="273"/>
      <c r="AD668" s="273"/>
    </row>
    <row r="669" spans="1:30" ht="14.25" customHeight="1">
      <c r="A669" s="273"/>
      <c r="B669" s="273"/>
      <c r="C669" s="273"/>
      <c r="D669" s="273"/>
      <c r="E669" s="274"/>
      <c r="F669" s="273"/>
      <c r="G669" s="273"/>
      <c r="H669" s="273"/>
      <c r="I669" s="273"/>
      <c r="J669" s="273"/>
      <c r="K669" s="273"/>
      <c r="L669" s="273"/>
      <c r="M669" s="273"/>
      <c r="N669" s="273"/>
      <c r="O669" s="273"/>
      <c r="P669" s="273"/>
      <c r="Q669" s="273"/>
      <c r="R669" s="273"/>
      <c r="S669" s="273"/>
      <c r="T669" s="273"/>
      <c r="U669" s="273"/>
      <c r="V669" s="273"/>
      <c r="W669" s="273"/>
      <c r="X669" s="273"/>
      <c r="Y669" s="273"/>
      <c r="Z669" s="467"/>
      <c r="AA669" s="273"/>
      <c r="AB669" s="273"/>
      <c r="AC669" s="273"/>
      <c r="AD669" s="273"/>
    </row>
    <row r="670" spans="1:30" ht="14.25" customHeight="1">
      <c r="A670" s="273"/>
      <c r="B670" s="273"/>
      <c r="C670" s="273"/>
      <c r="D670" s="273"/>
      <c r="E670" s="274"/>
      <c r="F670" s="273"/>
      <c r="G670" s="273"/>
      <c r="H670" s="273"/>
      <c r="I670" s="273"/>
      <c r="J670" s="273"/>
      <c r="K670" s="273"/>
      <c r="L670" s="273"/>
      <c r="M670" s="273"/>
      <c r="N670" s="273"/>
      <c r="O670" s="273"/>
      <c r="P670" s="273"/>
      <c r="Q670" s="273"/>
      <c r="R670" s="273"/>
      <c r="S670" s="273"/>
      <c r="T670" s="273"/>
      <c r="U670" s="273"/>
      <c r="V670" s="273"/>
      <c r="W670" s="273"/>
      <c r="X670" s="273"/>
      <c r="Y670" s="273"/>
      <c r="Z670" s="467"/>
      <c r="AA670" s="273"/>
      <c r="AB670" s="273"/>
      <c r="AC670" s="273"/>
      <c r="AD670" s="273"/>
    </row>
    <row r="671" spans="1:30" ht="14.25" customHeight="1">
      <c r="A671" s="273"/>
      <c r="B671" s="273"/>
      <c r="C671" s="273"/>
      <c r="D671" s="273"/>
      <c r="E671" s="274"/>
      <c r="F671" s="273"/>
      <c r="G671" s="273"/>
      <c r="H671" s="273"/>
      <c r="I671" s="273"/>
      <c r="J671" s="273"/>
      <c r="K671" s="273"/>
      <c r="L671" s="273"/>
      <c r="M671" s="273"/>
      <c r="N671" s="273"/>
      <c r="O671" s="273"/>
      <c r="P671" s="273"/>
      <c r="Q671" s="273"/>
      <c r="R671" s="273"/>
      <c r="S671" s="273"/>
      <c r="T671" s="273"/>
      <c r="U671" s="273"/>
      <c r="V671" s="273"/>
      <c r="W671" s="273"/>
      <c r="X671" s="273"/>
      <c r="Y671" s="273"/>
      <c r="Z671" s="467"/>
      <c r="AA671" s="273"/>
      <c r="AB671" s="273"/>
      <c r="AC671" s="273"/>
      <c r="AD671" s="273"/>
    </row>
    <row r="672" spans="1:30" ht="14.25" customHeight="1">
      <c r="A672" s="273"/>
      <c r="B672" s="273"/>
      <c r="C672" s="273"/>
      <c r="D672" s="273"/>
      <c r="E672" s="274"/>
      <c r="F672" s="273"/>
      <c r="G672" s="273"/>
      <c r="H672" s="273"/>
      <c r="I672" s="273"/>
      <c r="J672" s="273"/>
      <c r="K672" s="273"/>
      <c r="L672" s="273"/>
      <c r="M672" s="273"/>
      <c r="N672" s="273"/>
      <c r="O672" s="273"/>
      <c r="P672" s="273"/>
      <c r="Q672" s="273"/>
      <c r="R672" s="273"/>
      <c r="S672" s="273"/>
      <c r="T672" s="273"/>
      <c r="U672" s="273"/>
      <c r="V672" s="273"/>
      <c r="W672" s="273"/>
      <c r="X672" s="273"/>
      <c r="Y672" s="273"/>
      <c r="Z672" s="467"/>
      <c r="AA672" s="273"/>
      <c r="AB672" s="273"/>
      <c r="AC672" s="273"/>
      <c r="AD672" s="273"/>
    </row>
    <row r="673" spans="1:30" ht="14.25" customHeight="1">
      <c r="A673" s="273"/>
      <c r="B673" s="273"/>
      <c r="C673" s="273"/>
      <c r="D673" s="273"/>
      <c r="E673" s="274"/>
      <c r="F673" s="273"/>
      <c r="G673" s="273"/>
      <c r="H673" s="273"/>
      <c r="I673" s="273"/>
      <c r="J673" s="273"/>
      <c r="K673" s="273"/>
      <c r="L673" s="273"/>
      <c r="M673" s="273"/>
      <c r="N673" s="273"/>
      <c r="O673" s="273"/>
      <c r="P673" s="273"/>
      <c r="Q673" s="273"/>
      <c r="R673" s="273"/>
      <c r="S673" s="273"/>
      <c r="T673" s="273"/>
      <c r="U673" s="273"/>
      <c r="V673" s="273"/>
      <c r="W673" s="273"/>
      <c r="X673" s="273"/>
      <c r="Y673" s="273"/>
      <c r="Z673" s="467"/>
      <c r="AA673" s="273"/>
      <c r="AB673" s="273"/>
      <c r="AC673" s="273"/>
      <c r="AD673" s="273"/>
    </row>
    <row r="674" spans="1:30" ht="14.25" customHeight="1">
      <c r="A674" s="273"/>
      <c r="B674" s="273"/>
      <c r="C674" s="273"/>
      <c r="D674" s="273"/>
      <c r="E674" s="274"/>
      <c r="F674" s="273"/>
      <c r="G674" s="273"/>
      <c r="H674" s="273"/>
      <c r="I674" s="273"/>
      <c r="J674" s="273"/>
      <c r="K674" s="273"/>
      <c r="L674" s="273"/>
      <c r="M674" s="273"/>
      <c r="N674" s="273"/>
      <c r="O674" s="273"/>
      <c r="P674" s="273"/>
      <c r="Q674" s="273"/>
      <c r="R674" s="273"/>
      <c r="S674" s="273"/>
      <c r="T674" s="273"/>
      <c r="U674" s="273"/>
      <c r="V674" s="273"/>
      <c r="W674" s="273"/>
      <c r="X674" s="273"/>
      <c r="Y674" s="273"/>
      <c r="Z674" s="467"/>
      <c r="AA674" s="273"/>
      <c r="AB674" s="273"/>
      <c r="AC674" s="273"/>
      <c r="AD674" s="273"/>
    </row>
    <row r="675" spans="1:30" ht="14.25" customHeight="1">
      <c r="A675" s="273"/>
      <c r="B675" s="273"/>
      <c r="C675" s="273"/>
      <c r="D675" s="273"/>
      <c r="E675" s="274"/>
      <c r="F675" s="273"/>
      <c r="G675" s="273"/>
      <c r="H675" s="273"/>
      <c r="I675" s="273"/>
      <c r="J675" s="273"/>
      <c r="K675" s="273"/>
      <c r="L675" s="273"/>
      <c r="M675" s="273"/>
      <c r="N675" s="273"/>
      <c r="O675" s="273"/>
      <c r="P675" s="273"/>
      <c r="Q675" s="273"/>
      <c r="R675" s="273"/>
      <c r="S675" s="273"/>
      <c r="T675" s="273"/>
      <c r="U675" s="273"/>
      <c r="V675" s="273"/>
      <c r="W675" s="273"/>
      <c r="X675" s="273"/>
      <c r="Y675" s="273"/>
      <c r="Z675" s="467"/>
      <c r="AA675" s="273"/>
      <c r="AB675" s="273"/>
      <c r="AC675" s="273"/>
      <c r="AD675" s="273"/>
    </row>
    <row r="676" spans="1:30" ht="14.25" customHeight="1">
      <c r="A676" s="273"/>
      <c r="B676" s="273"/>
      <c r="C676" s="273"/>
      <c r="D676" s="273"/>
      <c r="E676" s="274"/>
      <c r="F676" s="273"/>
      <c r="G676" s="273"/>
      <c r="H676" s="273"/>
      <c r="I676" s="273"/>
      <c r="J676" s="273"/>
      <c r="K676" s="273"/>
      <c r="L676" s="273"/>
      <c r="M676" s="273"/>
      <c r="N676" s="273"/>
      <c r="O676" s="273"/>
      <c r="P676" s="273"/>
      <c r="Q676" s="273"/>
      <c r="R676" s="273"/>
      <c r="S676" s="273"/>
      <c r="T676" s="273"/>
      <c r="U676" s="273"/>
      <c r="V676" s="273"/>
      <c r="W676" s="273"/>
      <c r="X676" s="273"/>
      <c r="Y676" s="273"/>
      <c r="Z676" s="467"/>
      <c r="AA676" s="273"/>
      <c r="AB676" s="273"/>
      <c r="AC676" s="273"/>
      <c r="AD676" s="273"/>
    </row>
    <row r="677" spans="1:30" ht="14.25" customHeight="1">
      <c r="A677" s="273"/>
      <c r="B677" s="273"/>
      <c r="C677" s="273"/>
      <c r="D677" s="273"/>
      <c r="E677" s="274"/>
      <c r="F677" s="273"/>
      <c r="G677" s="273"/>
      <c r="H677" s="273"/>
      <c r="I677" s="273"/>
      <c r="J677" s="273"/>
      <c r="K677" s="273"/>
      <c r="L677" s="273"/>
      <c r="M677" s="273"/>
      <c r="N677" s="273"/>
      <c r="O677" s="273"/>
      <c r="P677" s="273"/>
      <c r="Q677" s="273"/>
      <c r="R677" s="273"/>
      <c r="S677" s="273"/>
      <c r="T677" s="273"/>
      <c r="U677" s="273"/>
      <c r="V677" s="273"/>
      <c r="W677" s="273"/>
      <c r="X677" s="273"/>
      <c r="Y677" s="273"/>
      <c r="Z677" s="467"/>
      <c r="AA677" s="273"/>
      <c r="AB677" s="273"/>
      <c r="AC677" s="273"/>
      <c r="AD677" s="273"/>
    </row>
    <row r="678" spans="1:30" ht="14.25" customHeight="1">
      <c r="A678" s="273"/>
      <c r="B678" s="273"/>
      <c r="C678" s="273"/>
      <c r="D678" s="273"/>
      <c r="E678" s="274"/>
      <c r="F678" s="273"/>
      <c r="G678" s="273"/>
      <c r="H678" s="273"/>
      <c r="I678" s="273"/>
      <c r="J678" s="273"/>
      <c r="K678" s="273"/>
      <c r="L678" s="273"/>
      <c r="M678" s="273"/>
      <c r="N678" s="273"/>
      <c r="O678" s="273"/>
      <c r="P678" s="273"/>
      <c r="Q678" s="273"/>
      <c r="R678" s="273"/>
      <c r="S678" s="273"/>
      <c r="T678" s="273"/>
      <c r="U678" s="273"/>
      <c r="V678" s="273"/>
      <c r="W678" s="273"/>
      <c r="X678" s="273"/>
      <c r="Y678" s="273"/>
      <c r="Z678" s="467"/>
      <c r="AA678" s="273"/>
      <c r="AB678" s="273"/>
      <c r="AC678" s="273"/>
      <c r="AD678" s="273"/>
    </row>
    <row r="679" spans="1:30" ht="14.25" customHeight="1">
      <c r="A679" s="273"/>
      <c r="B679" s="273"/>
      <c r="C679" s="273"/>
      <c r="D679" s="273"/>
      <c r="E679" s="274"/>
      <c r="F679" s="273"/>
      <c r="G679" s="273"/>
      <c r="H679" s="273"/>
      <c r="I679" s="273"/>
      <c r="J679" s="273"/>
      <c r="K679" s="273"/>
      <c r="L679" s="273"/>
      <c r="M679" s="273"/>
      <c r="N679" s="273"/>
      <c r="O679" s="273"/>
      <c r="P679" s="273"/>
      <c r="Q679" s="273"/>
      <c r="R679" s="273"/>
      <c r="S679" s="273"/>
      <c r="T679" s="273"/>
      <c r="U679" s="273"/>
      <c r="V679" s="273"/>
      <c r="W679" s="273"/>
      <c r="X679" s="273"/>
      <c r="Y679" s="273"/>
      <c r="Z679" s="467"/>
      <c r="AA679" s="273"/>
      <c r="AB679" s="273"/>
      <c r="AC679" s="273"/>
      <c r="AD679" s="273"/>
    </row>
    <row r="680" spans="1:30" ht="14.25" customHeight="1">
      <c r="A680" s="273"/>
      <c r="B680" s="273"/>
      <c r="C680" s="273"/>
      <c r="D680" s="273"/>
      <c r="E680" s="274"/>
      <c r="F680" s="273"/>
      <c r="G680" s="273"/>
      <c r="H680" s="273"/>
      <c r="I680" s="273"/>
      <c r="J680" s="273"/>
      <c r="K680" s="273"/>
      <c r="L680" s="273"/>
      <c r="M680" s="273"/>
      <c r="N680" s="273"/>
      <c r="O680" s="273"/>
      <c r="P680" s="273"/>
      <c r="Q680" s="273"/>
      <c r="R680" s="273"/>
      <c r="S680" s="273"/>
      <c r="T680" s="273"/>
      <c r="U680" s="273"/>
      <c r="V680" s="273"/>
      <c r="W680" s="273"/>
      <c r="X680" s="273"/>
      <c r="Y680" s="273"/>
      <c r="Z680" s="467"/>
      <c r="AA680" s="273"/>
      <c r="AB680" s="273"/>
      <c r="AC680" s="273"/>
      <c r="AD680" s="273"/>
    </row>
    <row r="681" spans="1:30" ht="14.25" customHeight="1">
      <c r="A681" s="273"/>
      <c r="B681" s="273"/>
      <c r="C681" s="273"/>
      <c r="D681" s="273"/>
      <c r="E681" s="274"/>
      <c r="F681" s="273"/>
      <c r="G681" s="273"/>
      <c r="H681" s="273"/>
      <c r="I681" s="273"/>
      <c r="J681" s="273"/>
      <c r="K681" s="273"/>
      <c r="L681" s="273"/>
      <c r="M681" s="273"/>
      <c r="N681" s="273"/>
      <c r="O681" s="273"/>
      <c r="P681" s="273"/>
      <c r="Q681" s="273"/>
      <c r="R681" s="273"/>
      <c r="S681" s="273"/>
      <c r="T681" s="273"/>
      <c r="U681" s="273"/>
      <c r="V681" s="273"/>
      <c r="W681" s="273"/>
      <c r="X681" s="273"/>
      <c r="Y681" s="273"/>
      <c r="Z681" s="467"/>
      <c r="AA681" s="273"/>
      <c r="AB681" s="273"/>
      <c r="AC681" s="273"/>
      <c r="AD681" s="273"/>
    </row>
    <row r="682" spans="1:30" ht="14.25" customHeight="1">
      <c r="A682" s="273"/>
      <c r="B682" s="273"/>
      <c r="C682" s="273"/>
      <c r="D682" s="273"/>
      <c r="E682" s="274"/>
      <c r="F682" s="273"/>
      <c r="G682" s="273"/>
      <c r="H682" s="273"/>
      <c r="I682" s="273"/>
      <c r="J682" s="273"/>
      <c r="K682" s="273"/>
      <c r="L682" s="273"/>
      <c r="M682" s="273"/>
      <c r="N682" s="273"/>
      <c r="O682" s="273"/>
      <c r="P682" s="273"/>
      <c r="Q682" s="273"/>
      <c r="R682" s="273"/>
      <c r="S682" s="273"/>
      <c r="T682" s="273"/>
      <c r="U682" s="273"/>
      <c r="V682" s="273"/>
      <c r="W682" s="273"/>
      <c r="X682" s="273"/>
      <c r="Y682" s="273"/>
      <c r="Z682" s="467"/>
      <c r="AA682" s="273"/>
      <c r="AB682" s="273"/>
      <c r="AC682" s="273"/>
      <c r="AD682" s="273"/>
    </row>
    <row r="683" spans="1:30" ht="14.25" customHeight="1">
      <c r="A683" s="273"/>
      <c r="B683" s="273"/>
      <c r="C683" s="273"/>
      <c r="D683" s="273"/>
      <c r="E683" s="274"/>
      <c r="F683" s="273"/>
      <c r="G683" s="273"/>
      <c r="H683" s="273"/>
      <c r="I683" s="273"/>
      <c r="J683" s="273"/>
      <c r="K683" s="273"/>
      <c r="L683" s="273"/>
      <c r="M683" s="273"/>
      <c r="N683" s="273"/>
      <c r="O683" s="273"/>
      <c r="P683" s="273"/>
      <c r="Q683" s="273"/>
      <c r="R683" s="273"/>
      <c r="S683" s="273"/>
      <c r="T683" s="273"/>
      <c r="U683" s="273"/>
      <c r="V683" s="273"/>
      <c r="W683" s="273"/>
      <c r="X683" s="273"/>
      <c r="Y683" s="273"/>
      <c r="Z683" s="467"/>
      <c r="AA683" s="273"/>
      <c r="AB683" s="273"/>
      <c r="AC683" s="273"/>
      <c r="AD683" s="273"/>
    </row>
    <row r="684" spans="1:30" ht="14.25" customHeight="1">
      <c r="A684" s="273"/>
      <c r="B684" s="273"/>
      <c r="C684" s="273"/>
      <c r="D684" s="273"/>
      <c r="E684" s="274"/>
      <c r="F684" s="273"/>
      <c r="G684" s="273"/>
      <c r="H684" s="273"/>
      <c r="I684" s="273"/>
      <c r="J684" s="273"/>
      <c r="K684" s="273"/>
      <c r="L684" s="273"/>
      <c r="M684" s="273"/>
      <c r="N684" s="273"/>
      <c r="O684" s="273"/>
      <c r="P684" s="273"/>
      <c r="Q684" s="273"/>
      <c r="R684" s="273"/>
      <c r="S684" s="273"/>
      <c r="T684" s="273"/>
      <c r="U684" s="273"/>
      <c r="V684" s="273"/>
      <c r="W684" s="273"/>
      <c r="X684" s="273"/>
      <c r="Y684" s="273"/>
      <c r="Z684" s="467"/>
      <c r="AA684" s="273"/>
      <c r="AB684" s="273"/>
      <c r="AC684" s="273"/>
      <c r="AD684" s="273"/>
    </row>
    <row r="685" spans="1:30" ht="14.25" customHeight="1">
      <c r="A685" s="273"/>
      <c r="B685" s="273"/>
      <c r="C685" s="273"/>
      <c r="D685" s="273"/>
      <c r="E685" s="274"/>
      <c r="F685" s="273"/>
      <c r="G685" s="273"/>
      <c r="H685" s="273"/>
      <c r="I685" s="273"/>
      <c r="J685" s="273"/>
      <c r="K685" s="273"/>
      <c r="L685" s="273"/>
      <c r="M685" s="273"/>
      <c r="N685" s="273"/>
      <c r="O685" s="273"/>
      <c r="P685" s="273"/>
      <c r="Q685" s="273"/>
      <c r="R685" s="273"/>
      <c r="S685" s="273"/>
      <c r="T685" s="273"/>
      <c r="U685" s="273"/>
      <c r="V685" s="273"/>
      <c r="W685" s="273"/>
      <c r="X685" s="273"/>
      <c r="Y685" s="273"/>
      <c r="Z685" s="467"/>
      <c r="AA685" s="273"/>
      <c r="AB685" s="273"/>
      <c r="AC685" s="273"/>
      <c r="AD685" s="273"/>
    </row>
    <row r="686" spans="1:30" ht="14.25" customHeight="1">
      <c r="A686" s="273"/>
      <c r="B686" s="273"/>
      <c r="C686" s="273"/>
      <c r="D686" s="273"/>
      <c r="E686" s="274"/>
      <c r="F686" s="273"/>
      <c r="G686" s="273"/>
      <c r="H686" s="273"/>
      <c r="I686" s="273"/>
      <c r="J686" s="273"/>
      <c r="K686" s="273"/>
      <c r="L686" s="273"/>
      <c r="M686" s="273"/>
      <c r="N686" s="273"/>
      <c r="O686" s="273"/>
      <c r="P686" s="273"/>
      <c r="Q686" s="273"/>
      <c r="R686" s="273"/>
      <c r="S686" s="273"/>
      <c r="T686" s="273"/>
      <c r="U686" s="273"/>
      <c r="V686" s="273"/>
      <c r="W686" s="273"/>
      <c r="X686" s="273"/>
      <c r="Y686" s="273"/>
      <c r="Z686" s="467"/>
      <c r="AA686" s="273"/>
      <c r="AB686" s="273"/>
      <c r="AC686" s="273"/>
      <c r="AD686" s="273"/>
    </row>
    <row r="687" spans="1:30" ht="14.25" customHeight="1">
      <c r="A687" s="273"/>
      <c r="B687" s="273"/>
      <c r="C687" s="273"/>
      <c r="D687" s="273"/>
      <c r="E687" s="274"/>
      <c r="F687" s="273"/>
      <c r="G687" s="273"/>
      <c r="H687" s="273"/>
      <c r="I687" s="273"/>
      <c r="J687" s="273"/>
      <c r="K687" s="273"/>
      <c r="L687" s="273"/>
      <c r="M687" s="273"/>
      <c r="N687" s="273"/>
      <c r="O687" s="273"/>
      <c r="P687" s="273"/>
      <c r="Q687" s="273"/>
      <c r="R687" s="273"/>
      <c r="S687" s="273"/>
      <c r="T687" s="273"/>
      <c r="U687" s="273"/>
      <c r="V687" s="273"/>
      <c r="W687" s="273"/>
      <c r="X687" s="273"/>
      <c r="Y687" s="273"/>
      <c r="Z687" s="467"/>
      <c r="AA687" s="273"/>
      <c r="AB687" s="273"/>
      <c r="AC687" s="273"/>
      <c r="AD687" s="273"/>
    </row>
    <row r="688" spans="1:30" ht="14.25" customHeight="1">
      <c r="A688" s="273"/>
      <c r="B688" s="273"/>
      <c r="C688" s="273"/>
      <c r="D688" s="273"/>
      <c r="E688" s="274"/>
      <c r="F688" s="273"/>
      <c r="G688" s="273"/>
      <c r="H688" s="273"/>
      <c r="I688" s="273"/>
      <c r="J688" s="273"/>
      <c r="K688" s="273"/>
      <c r="L688" s="273"/>
      <c r="M688" s="273"/>
      <c r="N688" s="273"/>
      <c r="O688" s="273"/>
      <c r="P688" s="273"/>
      <c r="Q688" s="273"/>
      <c r="R688" s="273"/>
      <c r="S688" s="273"/>
      <c r="T688" s="273"/>
      <c r="U688" s="273"/>
      <c r="V688" s="273"/>
      <c r="W688" s="273"/>
      <c r="X688" s="273"/>
      <c r="Y688" s="273"/>
      <c r="Z688" s="467"/>
      <c r="AA688" s="273"/>
      <c r="AB688" s="273"/>
      <c r="AC688" s="273"/>
      <c r="AD688" s="273"/>
    </row>
    <row r="689" spans="1:30" ht="14.25" customHeight="1">
      <c r="A689" s="273"/>
      <c r="B689" s="273"/>
      <c r="C689" s="273"/>
      <c r="D689" s="273"/>
      <c r="E689" s="274"/>
      <c r="F689" s="273"/>
      <c r="G689" s="273"/>
      <c r="H689" s="273"/>
      <c r="I689" s="273"/>
      <c r="J689" s="273"/>
      <c r="K689" s="273"/>
      <c r="L689" s="273"/>
      <c r="M689" s="273"/>
      <c r="N689" s="273"/>
      <c r="O689" s="273"/>
      <c r="P689" s="273"/>
      <c r="Q689" s="273"/>
      <c r="R689" s="273"/>
      <c r="S689" s="273"/>
      <c r="T689" s="273"/>
      <c r="U689" s="273"/>
      <c r="V689" s="273"/>
      <c r="W689" s="273"/>
      <c r="X689" s="273"/>
      <c r="Y689" s="273"/>
      <c r="Z689" s="467"/>
      <c r="AA689" s="273"/>
      <c r="AB689" s="273"/>
      <c r="AC689" s="273"/>
      <c r="AD689" s="273"/>
    </row>
    <row r="690" spans="1:30" ht="14.25" customHeight="1">
      <c r="A690" s="273"/>
      <c r="B690" s="273"/>
      <c r="C690" s="273"/>
      <c r="D690" s="273"/>
      <c r="E690" s="274"/>
      <c r="F690" s="273"/>
      <c r="G690" s="273"/>
      <c r="H690" s="273"/>
      <c r="I690" s="273"/>
      <c r="J690" s="273"/>
      <c r="K690" s="273"/>
      <c r="L690" s="273"/>
      <c r="M690" s="273"/>
      <c r="N690" s="273"/>
      <c r="O690" s="273"/>
      <c r="P690" s="273"/>
      <c r="Q690" s="273"/>
      <c r="R690" s="273"/>
      <c r="S690" s="273"/>
      <c r="T690" s="273"/>
      <c r="U690" s="273"/>
      <c r="V690" s="273"/>
      <c r="W690" s="273"/>
      <c r="X690" s="273"/>
      <c r="Y690" s="273"/>
      <c r="Z690" s="467"/>
      <c r="AA690" s="273"/>
      <c r="AB690" s="273"/>
      <c r="AC690" s="273"/>
      <c r="AD690" s="273"/>
    </row>
    <row r="691" spans="1:30" ht="14.25" customHeight="1">
      <c r="A691" s="273"/>
      <c r="B691" s="273"/>
      <c r="C691" s="273"/>
      <c r="D691" s="273"/>
      <c r="E691" s="274"/>
      <c r="F691" s="273"/>
      <c r="G691" s="273"/>
      <c r="H691" s="273"/>
      <c r="I691" s="273"/>
      <c r="J691" s="273"/>
      <c r="K691" s="273"/>
      <c r="L691" s="273"/>
      <c r="M691" s="273"/>
      <c r="N691" s="273"/>
      <c r="O691" s="273"/>
      <c r="P691" s="273"/>
      <c r="Q691" s="273"/>
      <c r="R691" s="273"/>
      <c r="S691" s="273"/>
      <c r="T691" s="273"/>
      <c r="U691" s="273"/>
      <c r="V691" s="273"/>
      <c r="W691" s="273"/>
      <c r="X691" s="273"/>
      <c r="Y691" s="273"/>
      <c r="Z691" s="467"/>
      <c r="AA691" s="273"/>
      <c r="AB691" s="273"/>
      <c r="AC691" s="273"/>
      <c r="AD691" s="273"/>
    </row>
    <row r="692" spans="1:30" ht="14.25" customHeight="1">
      <c r="A692" s="273"/>
      <c r="B692" s="273"/>
      <c r="C692" s="273"/>
      <c r="D692" s="273"/>
      <c r="E692" s="274"/>
      <c r="F692" s="273"/>
      <c r="G692" s="273"/>
      <c r="H692" s="273"/>
      <c r="I692" s="273"/>
      <c r="J692" s="273"/>
      <c r="K692" s="273"/>
      <c r="L692" s="273"/>
      <c r="M692" s="273"/>
      <c r="N692" s="273"/>
      <c r="O692" s="273"/>
      <c r="P692" s="273"/>
      <c r="Q692" s="273"/>
      <c r="R692" s="273"/>
      <c r="S692" s="273"/>
      <c r="T692" s="273"/>
      <c r="U692" s="273"/>
      <c r="V692" s="273"/>
      <c r="W692" s="273"/>
      <c r="X692" s="273"/>
      <c r="Y692" s="273"/>
      <c r="Z692" s="467"/>
      <c r="AA692" s="273"/>
      <c r="AB692" s="273"/>
      <c r="AC692" s="273"/>
      <c r="AD692" s="273"/>
    </row>
    <row r="693" spans="1:30" ht="14.25" customHeight="1">
      <c r="A693" s="273"/>
      <c r="B693" s="273"/>
      <c r="C693" s="273"/>
      <c r="D693" s="273"/>
      <c r="E693" s="274"/>
      <c r="F693" s="273"/>
      <c r="G693" s="273"/>
      <c r="H693" s="273"/>
      <c r="I693" s="273"/>
      <c r="J693" s="273"/>
      <c r="K693" s="273"/>
      <c r="L693" s="273"/>
      <c r="M693" s="273"/>
      <c r="N693" s="273"/>
      <c r="O693" s="273"/>
      <c r="P693" s="273"/>
      <c r="Q693" s="273"/>
      <c r="R693" s="273"/>
      <c r="S693" s="273"/>
      <c r="T693" s="273"/>
      <c r="U693" s="273"/>
      <c r="V693" s="273"/>
      <c r="W693" s="273"/>
      <c r="X693" s="273"/>
      <c r="Y693" s="273"/>
      <c r="Z693" s="467"/>
      <c r="AA693" s="273"/>
      <c r="AB693" s="273"/>
      <c r="AC693" s="273"/>
      <c r="AD693" s="273"/>
    </row>
    <row r="694" spans="1:30" ht="14.25" customHeight="1">
      <c r="A694" s="273"/>
      <c r="B694" s="273"/>
      <c r="C694" s="273"/>
      <c r="D694" s="273"/>
      <c r="E694" s="274"/>
      <c r="F694" s="273"/>
      <c r="G694" s="273"/>
      <c r="H694" s="273"/>
      <c r="I694" s="273"/>
      <c r="J694" s="273"/>
      <c r="K694" s="273"/>
      <c r="L694" s="273"/>
      <c r="M694" s="273"/>
      <c r="N694" s="273"/>
      <c r="O694" s="273"/>
      <c r="P694" s="273"/>
      <c r="Q694" s="273"/>
      <c r="R694" s="273"/>
      <c r="S694" s="273"/>
      <c r="T694" s="273"/>
      <c r="U694" s="273"/>
      <c r="V694" s="273"/>
      <c r="W694" s="273"/>
      <c r="X694" s="273"/>
      <c r="Y694" s="273"/>
      <c r="Z694" s="467"/>
      <c r="AA694" s="273"/>
      <c r="AB694" s="273"/>
      <c r="AC694" s="273"/>
      <c r="AD694" s="273"/>
    </row>
    <row r="695" spans="1:30" ht="14.25" customHeight="1">
      <c r="A695" s="273"/>
      <c r="B695" s="273"/>
      <c r="C695" s="273"/>
      <c r="D695" s="273"/>
      <c r="E695" s="274"/>
      <c r="F695" s="273"/>
      <c r="G695" s="273"/>
      <c r="H695" s="273"/>
      <c r="I695" s="273"/>
      <c r="J695" s="273"/>
      <c r="K695" s="273"/>
      <c r="L695" s="273"/>
      <c r="M695" s="273"/>
      <c r="N695" s="273"/>
      <c r="O695" s="273"/>
      <c r="P695" s="273"/>
      <c r="Q695" s="273"/>
      <c r="R695" s="273"/>
      <c r="S695" s="273"/>
      <c r="T695" s="273"/>
      <c r="U695" s="273"/>
      <c r="V695" s="273"/>
      <c r="W695" s="273"/>
      <c r="X695" s="273"/>
      <c r="Y695" s="273"/>
      <c r="Z695" s="467"/>
      <c r="AA695" s="273"/>
      <c r="AB695" s="273"/>
      <c r="AC695" s="273"/>
      <c r="AD695" s="273"/>
    </row>
    <row r="696" spans="1:30" ht="14.25" customHeight="1">
      <c r="A696" s="273"/>
      <c r="B696" s="273"/>
      <c r="C696" s="273"/>
      <c r="D696" s="273"/>
      <c r="E696" s="274"/>
      <c r="F696" s="273"/>
      <c r="G696" s="273"/>
      <c r="H696" s="273"/>
      <c r="I696" s="273"/>
      <c r="J696" s="273"/>
      <c r="K696" s="273"/>
      <c r="L696" s="273"/>
      <c r="M696" s="273"/>
      <c r="N696" s="273"/>
      <c r="O696" s="273"/>
      <c r="P696" s="273"/>
      <c r="Q696" s="273"/>
      <c r="R696" s="273"/>
      <c r="S696" s="273"/>
      <c r="T696" s="273"/>
      <c r="U696" s="273"/>
      <c r="V696" s="273"/>
      <c r="W696" s="273"/>
      <c r="X696" s="273"/>
      <c r="Y696" s="273"/>
      <c r="Z696" s="467"/>
      <c r="AA696" s="273"/>
      <c r="AB696" s="273"/>
      <c r="AC696" s="273"/>
      <c r="AD696" s="273"/>
    </row>
    <row r="697" spans="1:30" ht="14.25" customHeight="1">
      <c r="A697" s="273"/>
      <c r="B697" s="273"/>
      <c r="C697" s="273"/>
      <c r="D697" s="273"/>
      <c r="E697" s="274"/>
      <c r="F697" s="273"/>
      <c r="G697" s="273"/>
      <c r="H697" s="273"/>
      <c r="I697" s="273"/>
      <c r="J697" s="273"/>
      <c r="K697" s="273"/>
      <c r="L697" s="273"/>
      <c r="M697" s="273"/>
      <c r="N697" s="273"/>
      <c r="O697" s="273"/>
      <c r="P697" s="273"/>
      <c r="Q697" s="273"/>
      <c r="R697" s="273"/>
      <c r="S697" s="273"/>
      <c r="T697" s="273"/>
      <c r="U697" s="273"/>
      <c r="V697" s="273"/>
      <c r="W697" s="273"/>
      <c r="X697" s="273"/>
      <c r="Y697" s="273"/>
      <c r="Z697" s="467"/>
      <c r="AA697" s="273"/>
      <c r="AB697" s="273"/>
      <c r="AC697" s="273"/>
      <c r="AD697" s="273"/>
    </row>
    <row r="698" spans="1:30" ht="14.25" customHeight="1">
      <c r="A698" s="273"/>
      <c r="B698" s="273"/>
      <c r="C698" s="273"/>
      <c r="D698" s="273"/>
      <c r="E698" s="274"/>
      <c r="F698" s="273"/>
      <c r="G698" s="273"/>
      <c r="H698" s="273"/>
      <c r="I698" s="273"/>
      <c r="J698" s="273"/>
      <c r="K698" s="273"/>
      <c r="L698" s="273"/>
      <c r="M698" s="273"/>
      <c r="N698" s="273"/>
      <c r="O698" s="273"/>
      <c r="P698" s="273"/>
      <c r="Q698" s="273"/>
      <c r="R698" s="273"/>
      <c r="S698" s="273"/>
      <c r="T698" s="273"/>
      <c r="U698" s="273"/>
      <c r="V698" s="273"/>
      <c r="W698" s="273"/>
      <c r="X698" s="273"/>
      <c r="Y698" s="273"/>
      <c r="Z698" s="467"/>
      <c r="AA698" s="273"/>
      <c r="AB698" s="273"/>
      <c r="AC698" s="273"/>
      <c r="AD698" s="273"/>
    </row>
    <row r="699" spans="1:30" ht="14.25" customHeight="1">
      <c r="A699" s="273"/>
      <c r="B699" s="273"/>
      <c r="C699" s="273"/>
      <c r="D699" s="273"/>
      <c r="E699" s="274"/>
      <c r="F699" s="273"/>
      <c r="G699" s="273"/>
      <c r="H699" s="273"/>
      <c r="I699" s="273"/>
      <c r="J699" s="273"/>
      <c r="K699" s="273"/>
      <c r="L699" s="273"/>
      <c r="M699" s="273"/>
      <c r="N699" s="273"/>
      <c r="O699" s="273"/>
      <c r="P699" s="273"/>
      <c r="Q699" s="273"/>
      <c r="R699" s="273"/>
      <c r="S699" s="273"/>
      <c r="T699" s="273"/>
      <c r="U699" s="273"/>
      <c r="V699" s="273"/>
      <c r="W699" s="273"/>
      <c r="X699" s="273"/>
      <c r="Y699" s="273"/>
      <c r="Z699" s="467"/>
      <c r="AA699" s="273"/>
      <c r="AB699" s="273"/>
      <c r="AC699" s="273"/>
      <c r="AD699" s="273"/>
    </row>
    <row r="700" spans="1:30" ht="14.25" customHeight="1">
      <c r="A700" s="273"/>
      <c r="B700" s="273"/>
      <c r="C700" s="273"/>
      <c r="D700" s="273"/>
      <c r="E700" s="274"/>
      <c r="F700" s="273"/>
      <c r="G700" s="273"/>
      <c r="H700" s="273"/>
      <c r="I700" s="273"/>
      <c r="J700" s="273"/>
      <c r="K700" s="273"/>
      <c r="L700" s="273"/>
      <c r="M700" s="273"/>
      <c r="N700" s="273"/>
      <c r="O700" s="273"/>
      <c r="P700" s="273"/>
      <c r="Q700" s="273"/>
      <c r="R700" s="273"/>
      <c r="S700" s="273"/>
      <c r="T700" s="273"/>
      <c r="U700" s="273"/>
      <c r="V700" s="273"/>
      <c r="W700" s="273"/>
      <c r="X700" s="273"/>
      <c r="Y700" s="273"/>
      <c r="Z700" s="467"/>
      <c r="AA700" s="273"/>
      <c r="AB700" s="273"/>
      <c r="AC700" s="273"/>
      <c r="AD700" s="273"/>
    </row>
    <row r="701" spans="1:30" ht="14.25" customHeight="1">
      <c r="A701" s="273"/>
      <c r="B701" s="273"/>
      <c r="C701" s="273"/>
      <c r="D701" s="273"/>
      <c r="E701" s="274"/>
      <c r="F701" s="273"/>
      <c r="G701" s="273"/>
      <c r="H701" s="273"/>
      <c r="I701" s="273"/>
      <c r="J701" s="273"/>
      <c r="K701" s="273"/>
      <c r="L701" s="273"/>
      <c r="M701" s="273"/>
      <c r="N701" s="273"/>
      <c r="O701" s="273"/>
      <c r="P701" s="273"/>
      <c r="Q701" s="273"/>
      <c r="R701" s="273"/>
      <c r="S701" s="273"/>
      <c r="T701" s="273"/>
      <c r="U701" s="273"/>
      <c r="V701" s="273"/>
      <c r="W701" s="273"/>
      <c r="X701" s="273"/>
      <c r="Y701" s="273"/>
      <c r="Z701" s="467"/>
      <c r="AA701" s="273"/>
      <c r="AB701" s="273"/>
      <c r="AC701" s="273"/>
      <c r="AD701" s="273"/>
    </row>
    <row r="702" spans="1:30" ht="14.25" customHeight="1">
      <c r="A702" s="273"/>
      <c r="B702" s="273"/>
      <c r="C702" s="273"/>
      <c r="D702" s="273"/>
      <c r="E702" s="274"/>
      <c r="F702" s="273"/>
      <c r="G702" s="273"/>
      <c r="H702" s="273"/>
      <c r="I702" s="273"/>
      <c r="J702" s="273"/>
      <c r="K702" s="273"/>
      <c r="L702" s="273"/>
      <c r="M702" s="273"/>
      <c r="N702" s="273"/>
      <c r="O702" s="273"/>
      <c r="P702" s="273"/>
      <c r="Q702" s="273"/>
      <c r="R702" s="273"/>
      <c r="S702" s="273"/>
      <c r="T702" s="273"/>
      <c r="U702" s="273"/>
      <c r="V702" s="273"/>
      <c r="W702" s="273"/>
      <c r="X702" s="273"/>
      <c r="Y702" s="273"/>
      <c r="Z702" s="467"/>
      <c r="AA702" s="273"/>
      <c r="AB702" s="273"/>
      <c r="AC702" s="273"/>
      <c r="AD702" s="273"/>
    </row>
    <row r="703" spans="1:30" ht="14.25" customHeight="1">
      <c r="A703" s="273"/>
      <c r="B703" s="273"/>
      <c r="C703" s="273"/>
      <c r="D703" s="273"/>
      <c r="E703" s="274"/>
      <c r="F703" s="273"/>
      <c r="G703" s="273"/>
      <c r="H703" s="273"/>
      <c r="I703" s="273"/>
      <c r="J703" s="273"/>
      <c r="K703" s="273"/>
      <c r="L703" s="273"/>
      <c r="M703" s="273"/>
      <c r="N703" s="273"/>
      <c r="O703" s="273"/>
      <c r="P703" s="273"/>
      <c r="Q703" s="273"/>
      <c r="R703" s="273"/>
      <c r="S703" s="273"/>
      <c r="T703" s="273"/>
      <c r="U703" s="273"/>
      <c r="V703" s="273"/>
      <c r="W703" s="273"/>
      <c r="X703" s="273"/>
      <c r="Y703" s="273"/>
      <c r="Z703" s="467"/>
      <c r="AA703" s="273"/>
      <c r="AB703" s="273"/>
      <c r="AC703" s="273"/>
      <c r="AD703" s="273"/>
    </row>
    <row r="704" spans="1:30" ht="14.25" customHeight="1">
      <c r="A704" s="273"/>
      <c r="B704" s="273"/>
      <c r="C704" s="273"/>
      <c r="D704" s="273"/>
      <c r="E704" s="274"/>
      <c r="F704" s="273"/>
      <c r="G704" s="273"/>
      <c r="H704" s="273"/>
      <c r="I704" s="273"/>
      <c r="J704" s="273"/>
      <c r="K704" s="273"/>
      <c r="L704" s="273"/>
      <c r="M704" s="273"/>
      <c r="N704" s="273"/>
      <c r="O704" s="273"/>
      <c r="P704" s="273"/>
      <c r="Q704" s="273"/>
      <c r="R704" s="273"/>
      <c r="S704" s="273"/>
      <c r="T704" s="273"/>
      <c r="U704" s="273"/>
      <c r="V704" s="273"/>
      <c r="W704" s="273"/>
      <c r="X704" s="273"/>
      <c r="Y704" s="273"/>
      <c r="Z704" s="467"/>
      <c r="AA704" s="273"/>
      <c r="AB704" s="273"/>
      <c r="AC704" s="273"/>
      <c r="AD704" s="273"/>
    </row>
    <row r="705" spans="1:30" ht="14.25" customHeight="1">
      <c r="A705" s="273"/>
      <c r="B705" s="273"/>
      <c r="C705" s="273"/>
      <c r="D705" s="273"/>
      <c r="E705" s="274"/>
      <c r="F705" s="273"/>
      <c r="G705" s="273"/>
      <c r="H705" s="273"/>
      <c r="I705" s="273"/>
      <c r="J705" s="273"/>
      <c r="K705" s="273"/>
      <c r="L705" s="273"/>
      <c r="M705" s="273"/>
      <c r="N705" s="273"/>
      <c r="O705" s="273"/>
      <c r="P705" s="273"/>
      <c r="Q705" s="273"/>
      <c r="R705" s="273"/>
      <c r="S705" s="273"/>
      <c r="T705" s="273"/>
      <c r="U705" s="273"/>
      <c r="V705" s="273"/>
      <c r="W705" s="273"/>
      <c r="X705" s="273"/>
      <c r="Y705" s="273"/>
      <c r="Z705" s="467"/>
      <c r="AA705" s="273"/>
      <c r="AB705" s="273"/>
      <c r="AC705" s="273"/>
      <c r="AD705" s="273"/>
    </row>
    <row r="706" spans="1:30" ht="14.25" customHeight="1">
      <c r="A706" s="273"/>
      <c r="B706" s="273"/>
      <c r="C706" s="273"/>
      <c r="D706" s="273"/>
      <c r="E706" s="274"/>
      <c r="F706" s="273"/>
      <c r="G706" s="273"/>
      <c r="H706" s="273"/>
      <c r="I706" s="273"/>
      <c r="J706" s="273"/>
      <c r="K706" s="273"/>
      <c r="L706" s="273"/>
      <c r="M706" s="273"/>
      <c r="N706" s="273"/>
      <c r="O706" s="273"/>
      <c r="P706" s="273"/>
      <c r="Q706" s="273"/>
      <c r="R706" s="273"/>
      <c r="S706" s="273"/>
      <c r="T706" s="273"/>
      <c r="U706" s="273"/>
      <c r="V706" s="273"/>
      <c r="W706" s="273"/>
      <c r="X706" s="273"/>
      <c r="Y706" s="273"/>
      <c r="Z706" s="467"/>
      <c r="AA706" s="273"/>
      <c r="AB706" s="273"/>
      <c r="AC706" s="273"/>
      <c r="AD706" s="273"/>
    </row>
    <row r="707" spans="1:30" ht="14.25" customHeight="1">
      <c r="A707" s="273"/>
      <c r="B707" s="273"/>
      <c r="C707" s="273"/>
      <c r="D707" s="273"/>
      <c r="E707" s="274"/>
      <c r="F707" s="273"/>
      <c r="G707" s="273"/>
      <c r="H707" s="273"/>
      <c r="I707" s="273"/>
      <c r="J707" s="273"/>
      <c r="K707" s="273"/>
      <c r="L707" s="273"/>
      <c r="M707" s="273"/>
      <c r="N707" s="273"/>
      <c r="O707" s="273"/>
      <c r="P707" s="273"/>
      <c r="Q707" s="273"/>
      <c r="R707" s="273"/>
      <c r="S707" s="273"/>
      <c r="T707" s="273"/>
      <c r="U707" s="273"/>
      <c r="V707" s="273"/>
      <c r="W707" s="273"/>
      <c r="X707" s="273"/>
      <c r="Y707" s="273"/>
      <c r="Z707" s="467"/>
      <c r="AA707" s="273"/>
      <c r="AB707" s="273"/>
      <c r="AC707" s="273"/>
      <c r="AD707" s="273"/>
    </row>
    <row r="708" spans="1:30" ht="14.25" customHeight="1">
      <c r="A708" s="273"/>
      <c r="B708" s="273"/>
      <c r="C708" s="273"/>
      <c r="D708" s="273"/>
      <c r="E708" s="274"/>
      <c r="F708" s="273"/>
      <c r="G708" s="273"/>
      <c r="H708" s="273"/>
      <c r="I708" s="273"/>
      <c r="J708" s="273"/>
      <c r="K708" s="273"/>
      <c r="L708" s="273"/>
      <c r="M708" s="273"/>
      <c r="N708" s="273"/>
      <c r="O708" s="273"/>
      <c r="P708" s="273"/>
      <c r="Q708" s="273"/>
      <c r="R708" s="273"/>
      <c r="S708" s="273"/>
      <c r="T708" s="273"/>
      <c r="U708" s="273"/>
      <c r="V708" s="273"/>
      <c r="W708" s="273"/>
      <c r="X708" s="273"/>
      <c r="Y708" s="273"/>
      <c r="Z708" s="467"/>
      <c r="AA708" s="273"/>
      <c r="AB708" s="273"/>
      <c r="AC708" s="273"/>
      <c r="AD708" s="273"/>
    </row>
    <row r="709" spans="1:30" ht="14.25" customHeight="1">
      <c r="A709" s="273"/>
      <c r="B709" s="273"/>
      <c r="C709" s="273"/>
      <c r="D709" s="273"/>
      <c r="E709" s="274"/>
      <c r="F709" s="273"/>
      <c r="G709" s="273"/>
      <c r="H709" s="273"/>
      <c r="I709" s="273"/>
      <c r="J709" s="273"/>
      <c r="K709" s="273"/>
      <c r="L709" s="273"/>
      <c r="M709" s="273"/>
      <c r="N709" s="273"/>
      <c r="O709" s="273"/>
      <c r="P709" s="273"/>
      <c r="Q709" s="273"/>
      <c r="R709" s="273"/>
      <c r="S709" s="273"/>
      <c r="T709" s="273"/>
      <c r="U709" s="273"/>
      <c r="V709" s="273"/>
      <c r="W709" s="273"/>
      <c r="X709" s="273"/>
      <c r="Y709" s="273"/>
      <c r="Z709" s="467"/>
      <c r="AA709" s="273"/>
      <c r="AB709" s="273"/>
      <c r="AC709" s="273"/>
      <c r="AD709" s="273"/>
    </row>
    <row r="710" spans="1:30" ht="14.25" customHeight="1">
      <c r="A710" s="273"/>
      <c r="B710" s="273"/>
      <c r="C710" s="273"/>
      <c r="D710" s="273"/>
      <c r="E710" s="274"/>
      <c r="F710" s="273"/>
      <c r="G710" s="273"/>
      <c r="H710" s="273"/>
      <c r="I710" s="273"/>
      <c r="J710" s="273"/>
      <c r="K710" s="273"/>
      <c r="L710" s="273"/>
      <c r="M710" s="273"/>
      <c r="N710" s="273"/>
      <c r="O710" s="273"/>
      <c r="P710" s="273"/>
      <c r="Q710" s="273"/>
      <c r="R710" s="273"/>
      <c r="S710" s="273"/>
      <c r="T710" s="273"/>
      <c r="U710" s="273"/>
      <c r="V710" s="273"/>
      <c r="W710" s="273"/>
      <c r="X710" s="273"/>
      <c r="Y710" s="273"/>
      <c r="Z710" s="467"/>
      <c r="AA710" s="273"/>
      <c r="AB710" s="273"/>
      <c r="AC710" s="273"/>
      <c r="AD710" s="273"/>
    </row>
    <row r="711" spans="1:30" ht="14.25" customHeight="1">
      <c r="A711" s="273"/>
      <c r="B711" s="273"/>
      <c r="C711" s="273"/>
      <c r="D711" s="273"/>
      <c r="E711" s="274"/>
      <c r="F711" s="273"/>
      <c r="G711" s="273"/>
      <c r="H711" s="273"/>
      <c r="I711" s="273"/>
      <c r="J711" s="273"/>
      <c r="K711" s="273"/>
      <c r="L711" s="273"/>
      <c r="M711" s="273"/>
      <c r="N711" s="273"/>
      <c r="O711" s="273"/>
      <c r="P711" s="273"/>
      <c r="Q711" s="273"/>
      <c r="R711" s="273"/>
      <c r="S711" s="273"/>
      <c r="T711" s="273"/>
      <c r="U711" s="273"/>
      <c r="V711" s="273"/>
      <c r="W711" s="273"/>
      <c r="X711" s="273"/>
      <c r="Y711" s="273"/>
      <c r="Z711" s="467"/>
      <c r="AA711" s="273"/>
      <c r="AB711" s="273"/>
      <c r="AC711" s="273"/>
      <c r="AD711" s="273"/>
    </row>
    <row r="712" spans="1:30" ht="14.25" customHeight="1">
      <c r="A712" s="273"/>
      <c r="B712" s="273"/>
      <c r="C712" s="273"/>
      <c r="D712" s="273"/>
      <c r="E712" s="274"/>
      <c r="F712" s="273"/>
      <c r="G712" s="273"/>
      <c r="H712" s="273"/>
      <c r="I712" s="273"/>
      <c r="J712" s="273"/>
      <c r="K712" s="273"/>
      <c r="L712" s="273"/>
      <c r="M712" s="273"/>
      <c r="N712" s="273"/>
      <c r="O712" s="273"/>
      <c r="P712" s="273"/>
      <c r="Q712" s="273"/>
      <c r="R712" s="273"/>
      <c r="S712" s="273"/>
      <c r="T712" s="273"/>
      <c r="U712" s="273"/>
      <c r="V712" s="273"/>
      <c r="W712" s="273"/>
      <c r="X712" s="273"/>
      <c r="Y712" s="273"/>
      <c r="Z712" s="467"/>
      <c r="AA712" s="273"/>
      <c r="AB712" s="273"/>
      <c r="AC712" s="273"/>
      <c r="AD712" s="273"/>
    </row>
    <row r="713" spans="1:30" ht="14.25" customHeight="1">
      <c r="A713" s="273"/>
      <c r="B713" s="273"/>
      <c r="C713" s="273"/>
      <c r="D713" s="273"/>
      <c r="E713" s="274"/>
      <c r="F713" s="273"/>
      <c r="G713" s="273"/>
      <c r="H713" s="273"/>
      <c r="I713" s="273"/>
      <c r="J713" s="273"/>
      <c r="K713" s="273"/>
      <c r="L713" s="273"/>
      <c r="M713" s="273"/>
      <c r="N713" s="273"/>
      <c r="O713" s="273"/>
      <c r="P713" s="273"/>
      <c r="Q713" s="273"/>
      <c r="R713" s="273"/>
      <c r="S713" s="273"/>
      <c r="T713" s="273"/>
      <c r="U713" s="273"/>
      <c r="V713" s="273"/>
      <c r="W713" s="273"/>
      <c r="X713" s="273"/>
      <c r="Y713" s="273"/>
      <c r="Z713" s="467"/>
      <c r="AA713" s="273"/>
      <c r="AB713" s="273"/>
      <c r="AC713" s="273"/>
      <c r="AD713" s="273"/>
    </row>
    <row r="714" spans="1:30" ht="14.25" customHeight="1">
      <c r="A714" s="273"/>
      <c r="B714" s="273"/>
      <c r="C714" s="273"/>
      <c r="D714" s="273"/>
      <c r="E714" s="274"/>
      <c r="F714" s="273"/>
      <c r="G714" s="273"/>
      <c r="H714" s="273"/>
      <c r="I714" s="273"/>
      <c r="J714" s="273"/>
      <c r="K714" s="273"/>
      <c r="L714" s="273"/>
      <c r="M714" s="273"/>
      <c r="N714" s="273"/>
      <c r="O714" s="273"/>
      <c r="P714" s="273"/>
      <c r="Q714" s="273"/>
      <c r="R714" s="273"/>
      <c r="S714" s="273"/>
      <c r="T714" s="273"/>
      <c r="U714" s="273"/>
      <c r="V714" s="273"/>
      <c r="W714" s="273"/>
      <c r="X714" s="273"/>
      <c r="Y714" s="273"/>
      <c r="Z714" s="467"/>
      <c r="AA714" s="273"/>
      <c r="AB714" s="273"/>
      <c r="AC714" s="273"/>
      <c r="AD714" s="273"/>
    </row>
    <row r="715" spans="1:30" ht="14.25" customHeight="1">
      <c r="A715" s="273"/>
      <c r="B715" s="273"/>
      <c r="C715" s="273"/>
      <c r="D715" s="273"/>
      <c r="E715" s="274"/>
      <c r="F715" s="273"/>
      <c r="G715" s="273"/>
      <c r="H715" s="273"/>
      <c r="I715" s="273"/>
      <c r="J715" s="273"/>
      <c r="K715" s="273"/>
      <c r="L715" s="273"/>
      <c r="M715" s="273"/>
      <c r="N715" s="273"/>
      <c r="O715" s="273"/>
      <c r="P715" s="273"/>
      <c r="Q715" s="273"/>
      <c r="R715" s="273"/>
      <c r="S715" s="273"/>
      <c r="T715" s="273"/>
      <c r="U715" s="273"/>
      <c r="V715" s="273"/>
      <c r="W715" s="273"/>
      <c r="X715" s="273"/>
      <c r="Y715" s="273"/>
      <c r="Z715" s="467"/>
      <c r="AA715" s="273"/>
      <c r="AB715" s="273"/>
      <c r="AC715" s="273"/>
      <c r="AD715" s="273"/>
    </row>
    <row r="716" spans="1:30" ht="14.25" customHeight="1">
      <c r="A716" s="273"/>
      <c r="B716" s="273"/>
      <c r="C716" s="273"/>
      <c r="D716" s="273"/>
      <c r="E716" s="274"/>
      <c r="F716" s="273"/>
      <c r="G716" s="273"/>
      <c r="H716" s="273"/>
      <c r="I716" s="273"/>
      <c r="J716" s="273"/>
      <c r="K716" s="273"/>
      <c r="L716" s="273"/>
      <c r="M716" s="273"/>
      <c r="N716" s="273"/>
      <c r="O716" s="273"/>
      <c r="P716" s="273"/>
      <c r="Q716" s="273"/>
      <c r="R716" s="273"/>
      <c r="S716" s="273"/>
      <c r="T716" s="273"/>
      <c r="U716" s="273"/>
      <c r="V716" s="273"/>
      <c r="W716" s="273"/>
      <c r="X716" s="273"/>
      <c r="Y716" s="273"/>
      <c r="Z716" s="467"/>
      <c r="AA716" s="273"/>
      <c r="AB716" s="273"/>
      <c r="AC716" s="273"/>
      <c r="AD716" s="273"/>
    </row>
    <row r="717" spans="1:30" ht="14.25" customHeight="1">
      <c r="A717" s="273"/>
      <c r="B717" s="273"/>
      <c r="C717" s="273"/>
      <c r="D717" s="273"/>
      <c r="E717" s="274"/>
      <c r="F717" s="273"/>
      <c r="G717" s="273"/>
      <c r="H717" s="273"/>
      <c r="I717" s="273"/>
      <c r="J717" s="273"/>
      <c r="K717" s="273"/>
      <c r="L717" s="273"/>
      <c r="M717" s="273"/>
      <c r="N717" s="273"/>
      <c r="O717" s="273"/>
      <c r="P717" s="273"/>
      <c r="Q717" s="273"/>
      <c r="R717" s="273"/>
      <c r="S717" s="273"/>
      <c r="T717" s="273"/>
      <c r="U717" s="273"/>
      <c r="V717" s="273"/>
      <c r="W717" s="273"/>
      <c r="X717" s="273"/>
      <c r="Y717" s="273"/>
      <c r="Z717" s="467"/>
      <c r="AA717" s="273"/>
      <c r="AB717" s="273"/>
      <c r="AC717" s="273"/>
      <c r="AD717" s="273"/>
    </row>
    <row r="718" spans="1:30" ht="14.25" customHeight="1">
      <c r="A718" s="273"/>
      <c r="B718" s="273"/>
      <c r="C718" s="273"/>
      <c r="D718" s="273"/>
      <c r="E718" s="274"/>
      <c r="F718" s="273"/>
      <c r="G718" s="273"/>
      <c r="H718" s="273"/>
      <c r="I718" s="273"/>
      <c r="J718" s="273"/>
      <c r="K718" s="273"/>
      <c r="L718" s="273"/>
      <c r="M718" s="273"/>
      <c r="N718" s="273"/>
      <c r="O718" s="273"/>
      <c r="P718" s="273"/>
      <c r="Q718" s="273"/>
      <c r="R718" s="273"/>
      <c r="S718" s="273"/>
      <c r="T718" s="273"/>
      <c r="U718" s="273"/>
      <c r="V718" s="273"/>
      <c r="W718" s="273"/>
      <c r="X718" s="273"/>
      <c r="Y718" s="273"/>
      <c r="Z718" s="467"/>
      <c r="AA718" s="273"/>
      <c r="AB718" s="273"/>
      <c r="AC718" s="273"/>
      <c r="AD718" s="273"/>
    </row>
    <row r="719" spans="1:30" ht="14.25" customHeight="1">
      <c r="A719" s="273"/>
      <c r="B719" s="273"/>
      <c r="C719" s="273"/>
      <c r="D719" s="273"/>
      <c r="E719" s="274"/>
      <c r="F719" s="273"/>
      <c r="G719" s="273"/>
      <c r="H719" s="273"/>
      <c r="I719" s="273"/>
      <c r="J719" s="273"/>
      <c r="K719" s="273"/>
      <c r="L719" s="273"/>
      <c r="M719" s="273"/>
      <c r="N719" s="273"/>
      <c r="O719" s="273"/>
      <c r="P719" s="273"/>
      <c r="Q719" s="273"/>
      <c r="R719" s="273"/>
      <c r="S719" s="273"/>
      <c r="T719" s="273"/>
      <c r="U719" s="273"/>
      <c r="V719" s="273"/>
      <c r="W719" s="273"/>
      <c r="X719" s="273"/>
      <c r="Y719" s="273"/>
      <c r="Z719" s="467"/>
      <c r="AA719" s="273"/>
      <c r="AB719" s="273"/>
      <c r="AC719" s="273"/>
      <c r="AD719" s="273"/>
    </row>
    <row r="720" spans="1:30" ht="14.25" customHeight="1">
      <c r="A720" s="273"/>
      <c r="B720" s="273"/>
      <c r="C720" s="273"/>
      <c r="D720" s="273"/>
      <c r="E720" s="274"/>
      <c r="F720" s="273"/>
      <c r="G720" s="273"/>
      <c r="H720" s="273"/>
      <c r="I720" s="273"/>
      <c r="J720" s="273"/>
      <c r="K720" s="273"/>
      <c r="L720" s="273"/>
      <c r="M720" s="273"/>
      <c r="N720" s="273"/>
      <c r="O720" s="273"/>
      <c r="P720" s="273"/>
      <c r="Q720" s="273"/>
      <c r="R720" s="273"/>
      <c r="S720" s="273"/>
      <c r="T720" s="273"/>
      <c r="U720" s="273"/>
      <c r="V720" s="273"/>
      <c r="W720" s="273"/>
      <c r="X720" s="273"/>
      <c r="Y720" s="273"/>
      <c r="Z720" s="467"/>
      <c r="AA720" s="273"/>
      <c r="AB720" s="273"/>
      <c r="AC720" s="273"/>
      <c r="AD720" s="273"/>
    </row>
    <row r="721" spans="1:30" ht="14.25" customHeight="1">
      <c r="A721" s="273"/>
      <c r="B721" s="273"/>
      <c r="C721" s="273"/>
      <c r="D721" s="273"/>
      <c r="E721" s="274"/>
      <c r="F721" s="273"/>
      <c r="G721" s="273"/>
      <c r="H721" s="273"/>
      <c r="I721" s="273"/>
      <c r="J721" s="273"/>
      <c r="K721" s="273"/>
      <c r="L721" s="273"/>
      <c r="M721" s="273"/>
      <c r="N721" s="273"/>
      <c r="O721" s="273"/>
      <c r="P721" s="273"/>
      <c r="Q721" s="273"/>
      <c r="R721" s="273"/>
      <c r="S721" s="273"/>
      <c r="T721" s="273"/>
      <c r="U721" s="273"/>
      <c r="V721" s="273"/>
      <c r="W721" s="273"/>
      <c r="X721" s="273"/>
      <c r="Y721" s="273"/>
      <c r="Z721" s="467"/>
      <c r="AA721" s="273"/>
      <c r="AB721" s="273"/>
      <c r="AC721" s="273"/>
      <c r="AD721" s="273"/>
    </row>
    <row r="722" spans="1:30" ht="14.25" customHeight="1">
      <c r="A722" s="273"/>
      <c r="B722" s="273"/>
      <c r="C722" s="273"/>
      <c r="D722" s="273"/>
      <c r="E722" s="274"/>
      <c r="F722" s="273"/>
      <c r="G722" s="273"/>
      <c r="H722" s="273"/>
      <c r="I722" s="273"/>
      <c r="J722" s="273"/>
      <c r="K722" s="273"/>
      <c r="L722" s="273"/>
      <c r="M722" s="273"/>
      <c r="N722" s="273"/>
      <c r="O722" s="273"/>
      <c r="P722" s="273"/>
      <c r="Q722" s="273"/>
      <c r="R722" s="273"/>
      <c r="S722" s="273"/>
      <c r="T722" s="273"/>
      <c r="U722" s="273"/>
      <c r="V722" s="273"/>
      <c r="W722" s="273"/>
      <c r="X722" s="273"/>
      <c r="Y722" s="273"/>
      <c r="Z722" s="467"/>
      <c r="AA722" s="273"/>
      <c r="AB722" s="273"/>
      <c r="AC722" s="273"/>
      <c r="AD722" s="273"/>
    </row>
    <row r="723" spans="1:30" ht="14.25" customHeight="1">
      <c r="A723" s="273"/>
      <c r="B723" s="273"/>
      <c r="C723" s="273"/>
      <c r="D723" s="273"/>
      <c r="E723" s="274"/>
      <c r="F723" s="273"/>
      <c r="G723" s="273"/>
      <c r="H723" s="273"/>
      <c r="I723" s="273"/>
      <c r="J723" s="273"/>
      <c r="K723" s="273"/>
      <c r="L723" s="273"/>
      <c r="M723" s="273"/>
      <c r="N723" s="273"/>
      <c r="O723" s="273"/>
      <c r="P723" s="273"/>
      <c r="Q723" s="273"/>
      <c r="R723" s="273"/>
      <c r="S723" s="273"/>
      <c r="T723" s="273"/>
      <c r="U723" s="273"/>
      <c r="V723" s="273"/>
      <c r="W723" s="273"/>
      <c r="X723" s="273"/>
      <c r="Y723" s="273"/>
      <c r="Z723" s="467"/>
      <c r="AA723" s="273"/>
      <c r="AB723" s="273"/>
      <c r="AC723" s="273"/>
      <c r="AD723" s="273"/>
    </row>
    <row r="724" spans="1:30" ht="14.25" customHeight="1">
      <c r="A724" s="273"/>
      <c r="B724" s="273"/>
      <c r="C724" s="273"/>
      <c r="D724" s="273"/>
      <c r="E724" s="274"/>
      <c r="F724" s="273"/>
      <c r="G724" s="273"/>
      <c r="H724" s="273"/>
      <c r="I724" s="273"/>
      <c r="J724" s="273"/>
      <c r="K724" s="273"/>
      <c r="L724" s="273"/>
      <c r="M724" s="273"/>
      <c r="N724" s="273"/>
      <c r="O724" s="273"/>
      <c r="P724" s="273"/>
      <c r="Q724" s="273"/>
      <c r="R724" s="273"/>
      <c r="S724" s="273"/>
      <c r="T724" s="273"/>
      <c r="U724" s="273"/>
      <c r="V724" s="273"/>
      <c r="W724" s="273"/>
      <c r="X724" s="273"/>
      <c r="Y724" s="273"/>
      <c r="Z724" s="467"/>
      <c r="AA724" s="273"/>
      <c r="AB724" s="273"/>
      <c r="AC724" s="273"/>
      <c r="AD724" s="273"/>
    </row>
    <row r="725" spans="1:30" ht="14.25" customHeight="1">
      <c r="A725" s="273"/>
      <c r="B725" s="273"/>
      <c r="C725" s="273"/>
      <c r="D725" s="273"/>
      <c r="E725" s="274"/>
      <c r="F725" s="273"/>
      <c r="G725" s="273"/>
      <c r="H725" s="273"/>
      <c r="I725" s="273"/>
      <c r="J725" s="273"/>
      <c r="K725" s="273"/>
      <c r="L725" s="273"/>
      <c r="M725" s="273"/>
      <c r="N725" s="273"/>
      <c r="O725" s="273"/>
      <c r="P725" s="273"/>
      <c r="Q725" s="273"/>
      <c r="R725" s="273"/>
      <c r="S725" s="273"/>
      <c r="T725" s="273"/>
      <c r="U725" s="273"/>
      <c r="V725" s="273"/>
      <c r="W725" s="273"/>
      <c r="X725" s="273"/>
      <c r="Y725" s="273"/>
      <c r="Z725" s="467"/>
      <c r="AA725" s="273"/>
      <c r="AB725" s="273"/>
      <c r="AC725" s="273"/>
      <c r="AD725" s="273"/>
    </row>
    <row r="726" spans="1:30" ht="14.25" customHeight="1">
      <c r="A726" s="273"/>
      <c r="B726" s="273"/>
      <c r="C726" s="273"/>
      <c r="D726" s="273"/>
      <c r="E726" s="274"/>
      <c r="F726" s="273"/>
      <c r="G726" s="273"/>
      <c r="H726" s="273"/>
      <c r="I726" s="273"/>
      <c r="J726" s="273"/>
      <c r="K726" s="273"/>
      <c r="L726" s="273"/>
      <c r="M726" s="273"/>
      <c r="N726" s="273"/>
      <c r="O726" s="273"/>
      <c r="P726" s="273"/>
      <c r="Q726" s="273"/>
      <c r="R726" s="273"/>
      <c r="S726" s="273"/>
      <c r="T726" s="273"/>
      <c r="U726" s="273"/>
      <c r="V726" s="273"/>
      <c r="W726" s="273"/>
      <c r="X726" s="273"/>
      <c r="Y726" s="273"/>
      <c r="Z726" s="467"/>
      <c r="AA726" s="273"/>
      <c r="AB726" s="273"/>
      <c r="AC726" s="273"/>
      <c r="AD726" s="273"/>
    </row>
    <row r="727" spans="1:30" ht="14.25" customHeight="1">
      <c r="A727" s="273"/>
      <c r="B727" s="273"/>
      <c r="C727" s="273"/>
      <c r="D727" s="273"/>
      <c r="E727" s="274"/>
      <c r="F727" s="273"/>
      <c r="G727" s="273"/>
      <c r="H727" s="273"/>
      <c r="I727" s="273"/>
      <c r="J727" s="273"/>
      <c r="K727" s="273"/>
      <c r="L727" s="273"/>
      <c r="M727" s="273"/>
      <c r="N727" s="273"/>
      <c r="O727" s="273"/>
      <c r="P727" s="273"/>
      <c r="Q727" s="273"/>
      <c r="R727" s="273"/>
      <c r="S727" s="273"/>
      <c r="T727" s="273"/>
      <c r="U727" s="273"/>
      <c r="V727" s="273"/>
      <c r="W727" s="273"/>
      <c r="X727" s="273"/>
      <c r="Y727" s="273"/>
      <c r="Z727" s="467"/>
      <c r="AA727" s="273"/>
      <c r="AB727" s="273"/>
      <c r="AC727" s="273"/>
      <c r="AD727" s="273"/>
    </row>
    <row r="728" spans="1:30" ht="14.25" customHeight="1">
      <c r="A728" s="273"/>
      <c r="B728" s="273"/>
      <c r="C728" s="273"/>
      <c r="D728" s="273"/>
      <c r="E728" s="274"/>
      <c r="F728" s="273"/>
      <c r="G728" s="273"/>
      <c r="H728" s="273"/>
      <c r="I728" s="273"/>
      <c r="J728" s="273"/>
      <c r="K728" s="273"/>
      <c r="L728" s="273"/>
      <c r="M728" s="273"/>
      <c r="N728" s="273"/>
      <c r="O728" s="273"/>
      <c r="P728" s="273"/>
      <c r="Q728" s="273"/>
      <c r="R728" s="273"/>
      <c r="S728" s="273"/>
      <c r="T728" s="273"/>
      <c r="U728" s="273"/>
      <c r="V728" s="273"/>
      <c r="W728" s="273"/>
      <c r="X728" s="273"/>
      <c r="Y728" s="273"/>
      <c r="Z728" s="467"/>
      <c r="AA728" s="273"/>
      <c r="AB728" s="273"/>
      <c r="AC728" s="273"/>
      <c r="AD728" s="273"/>
    </row>
    <row r="729" spans="1:30" ht="14.25" customHeight="1">
      <c r="A729" s="273"/>
      <c r="B729" s="273"/>
      <c r="C729" s="273"/>
      <c r="D729" s="273"/>
      <c r="E729" s="274"/>
      <c r="F729" s="273"/>
      <c r="G729" s="273"/>
      <c r="H729" s="273"/>
      <c r="I729" s="273"/>
      <c r="J729" s="273"/>
      <c r="K729" s="273"/>
      <c r="L729" s="273"/>
      <c r="M729" s="273"/>
      <c r="N729" s="273"/>
      <c r="O729" s="273"/>
      <c r="P729" s="273"/>
      <c r="Q729" s="273"/>
      <c r="R729" s="273"/>
      <c r="S729" s="273"/>
      <c r="T729" s="273"/>
      <c r="U729" s="273"/>
      <c r="V729" s="273"/>
      <c r="W729" s="273"/>
      <c r="X729" s="273"/>
      <c r="Y729" s="273"/>
      <c r="Z729" s="467"/>
      <c r="AA729" s="273"/>
      <c r="AB729" s="273"/>
      <c r="AC729" s="273"/>
      <c r="AD729" s="273"/>
    </row>
    <row r="730" spans="1:30" ht="14.25" customHeight="1">
      <c r="A730" s="273"/>
      <c r="B730" s="273"/>
      <c r="C730" s="273"/>
      <c r="D730" s="273"/>
      <c r="E730" s="274"/>
      <c r="F730" s="273"/>
      <c r="G730" s="273"/>
      <c r="H730" s="273"/>
      <c r="I730" s="273"/>
      <c r="J730" s="273"/>
      <c r="K730" s="273"/>
      <c r="L730" s="273"/>
      <c r="M730" s="273"/>
      <c r="N730" s="273"/>
      <c r="O730" s="273"/>
      <c r="P730" s="273"/>
      <c r="Q730" s="273"/>
      <c r="R730" s="273"/>
      <c r="S730" s="273"/>
      <c r="T730" s="273"/>
      <c r="U730" s="273"/>
      <c r="V730" s="273"/>
      <c r="W730" s="273"/>
      <c r="X730" s="273"/>
      <c r="Y730" s="273"/>
      <c r="Z730" s="467"/>
      <c r="AA730" s="273"/>
      <c r="AB730" s="273"/>
      <c r="AC730" s="273"/>
      <c r="AD730" s="273"/>
    </row>
    <row r="731" spans="1:30" ht="14.25" customHeight="1">
      <c r="A731" s="273"/>
      <c r="B731" s="273"/>
      <c r="C731" s="273"/>
      <c r="D731" s="273"/>
      <c r="E731" s="274"/>
      <c r="F731" s="273"/>
      <c r="G731" s="273"/>
      <c r="H731" s="273"/>
      <c r="I731" s="273"/>
      <c r="J731" s="273"/>
      <c r="K731" s="273"/>
      <c r="L731" s="273"/>
      <c r="M731" s="273"/>
      <c r="N731" s="273"/>
      <c r="O731" s="273"/>
      <c r="P731" s="273"/>
      <c r="Q731" s="273"/>
      <c r="R731" s="273"/>
      <c r="S731" s="273"/>
      <c r="T731" s="273"/>
      <c r="U731" s="273"/>
      <c r="V731" s="273"/>
      <c r="W731" s="273"/>
      <c r="X731" s="273"/>
      <c r="Y731" s="273"/>
      <c r="Z731" s="467"/>
      <c r="AA731" s="273"/>
      <c r="AB731" s="273"/>
      <c r="AC731" s="273"/>
      <c r="AD731" s="273"/>
    </row>
    <row r="732" spans="1:30" ht="14.25" customHeight="1">
      <c r="A732" s="273"/>
      <c r="B732" s="273"/>
      <c r="C732" s="273"/>
      <c r="D732" s="273"/>
      <c r="E732" s="274"/>
      <c r="F732" s="273"/>
      <c r="G732" s="273"/>
      <c r="H732" s="273"/>
      <c r="I732" s="273"/>
      <c r="J732" s="273"/>
      <c r="K732" s="273"/>
      <c r="L732" s="273"/>
      <c r="M732" s="273"/>
      <c r="N732" s="273"/>
      <c r="O732" s="273"/>
      <c r="P732" s="273"/>
      <c r="Q732" s="273"/>
      <c r="R732" s="273"/>
      <c r="S732" s="273"/>
      <c r="T732" s="273"/>
      <c r="U732" s="273"/>
      <c r="V732" s="273"/>
      <c r="W732" s="273"/>
      <c r="X732" s="273"/>
      <c r="Y732" s="273"/>
      <c r="Z732" s="467"/>
      <c r="AA732" s="273"/>
      <c r="AB732" s="273"/>
      <c r="AC732" s="273"/>
      <c r="AD732" s="273"/>
    </row>
    <row r="733" spans="1:30" ht="14.25" customHeight="1">
      <c r="A733" s="273"/>
      <c r="B733" s="273"/>
      <c r="C733" s="273"/>
      <c r="D733" s="273"/>
      <c r="E733" s="274"/>
      <c r="F733" s="273"/>
      <c r="G733" s="273"/>
      <c r="H733" s="273"/>
      <c r="I733" s="273"/>
      <c r="J733" s="273"/>
      <c r="K733" s="273"/>
      <c r="L733" s="273"/>
      <c r="M733" s="273"/>
      <c r="N733" s="273"/>
      <c r="O733" s="273"/>
      <c r="P733" s="273"/>
      <c r="Q733" s="273"/>
      <c r="R733" s="273"/>
      <c r="S733" s="273"/>
      <c r="T733" s="273"/>
      <c r="U733" s="273"/>
      <c r="V733" s="273"/>
      <c r="W733" s="273"/>
      <c r="X733" s="273"/>
      <c r="Y733" s="273"/>
      <c r="Z733" s="467"/>
      <c r="AA733" s="273"/>
      <c r="AB733" s="273"/>
      <c r="AC733" s="273"/>
      <c r="AD733" s="273"/>
    </row>
    <row r="734" spans="1:30" ht="14.25" customHeight="1">
      <c r="A734" s="273"/>
      <c r="B734" s="273"/>
      <c r="C734" s="273"/>
      <c r="D734" s="273"/>
      <c r="E734" s="274"/>
      <c r="F734" s="273"/>
      <c r="G734" s="273"/>
      <c r="H734" s="273"/>
      <c r="I734" s="273"/>
      <c r="J734" s="273"/>
      <c r="K734" s="273"/>
      <c r="L734" s="273"/>
      <c r="M734" s="273"/>
      <c r="N734" s="273"/>
      <c r="O734" s="273"/>
      <c r="P734" s="273"/>
      <c r="Q734" s="273"/>
      <c r="R734" s="273"/>
      <c r="S734" s="273"/>
      <c r="T734" s="273"/>
      <c r="U734" s="273"/>
      <c r="V734" s="273"/>
      <c r="W734" s="273"/>
      <c r="X734" s="273"/>
      <c r="Y734" s="273"/>
      <c r="Z734" s="467"/>
      <c r="AA734" s="273"/>
      <c r="AB734" s="273"/>
      <c r="AC734" s="273"/>
      <c r="AD734" s="273"/>
    </row>
    <row r="735" spans="1:30" ht="14.25" customHeight="1">
      <c r="A735" s="273"/>
      <c r="B735" s="273"/>
      <c r="C735" s="273"/>
      <c r="D735" s="273"/>
      <c r="E735" s="274"/>
      <c r="F735" s="273"/>
      <c r="G735" s="273"/>
      <c r="H735" s="273"/>
      <c r="I735" s="273"/>
      <c r="J735" s="273"/>
      <c r="K735" s="273"/>
      <c r="L735" s="273"/>
      <c r="M735" s="273"/>
      <c r="N735" s="273"/>
      <c r="O735" s="273"/>
      <c r="P735" s="273"/>
      <c r="Q735" s="273"/>
      <c r="R735" s="273"/>
      <c r="S735" s="273"/>
      <c r="T735" s="273"/>
      <c r="U735" s="273"/>
      <c r="V735" s="273"/>
      <c r="W735" s="273"/>
      <c r="X735" s="273"/>
      <c r="Y735" s="273"/>
      <c r="Z735" s="467"/>
      <c r="AA735" s="273"/>
      <c r="AB735" s="273"/>
      <c r="AC735" s="273"/>
      <c r="AD735" s="273"/>
    </row>
    <row r="736" spans="1:30" ht="14.25" customHeight="1">
      <c r="A736" s="273"/>
      <c r="B736" s="273"/>
      <c r="C736" s="273"/>
      <c r="D736" s="273"/>
      <c r="E736" s="274"/>
      <c r="F736" s="273"/>
      <c r="G736" s="273"/>
      <c r="H736" s="273"/>
      <c r="I736" s="273"/>
      <c r="J736" s="273"/>
      <c r="K736" s="273"/>
      <c r="L736" s="273"/>
      <c r="M736" s="273"/>
      <c r="N736" s="273"/>
      <c r="O736" s="273"/>
      <c r="P736" s="273"/>
      <c r="Q736" s="273"/>
      <c r="R736" s="273"/>
      <c r="S736" s="273"/>
      <c r="T736" s="273"/>
      <c r="U736" s="273"/>
      <c r="V736" s="273"/>
      <c r="W736" s="273"/>
      <c r="X736" s="273"/>
      <c r="Y736" s="273"/>
      <c r="Z736" s="467"/>
      <c r="AA736" s="273"/>
      <c r="AB736" s="273"/>
      <c r="AC736" s="273"/>
      <c r="AD736" s="273"/>
    </row>
    <row r="737" spans="1:30" ht="14.25" customHeight="1">
      <c r="A737" s="273"/>
      <c r="B737" s="273"/>
      <c r="C737" s="273"/>
      <c r="D737" s="273"/>
      <c r="E737" s="274"/>
      <c r="F737" s="273"/>
      <c r="G737" s="273"/>
      <c r="H737" s="273"/>
      <c r="I737" s="273"/>
      <c r="J737" s="273"/>
      <c r="K737" s="273"/>
      <c r="L737" s="273"/>
      <c r="M737" s="273"/>
      <c r="N737" s="273"/>
      <c r="O737" s="273"/>
      <c r="P737" s="273"/>
      <c r="Q737" s="273"/>
      <c r="R737" s="273"/>
      <c r="S737" s="273"/>
      <c r="T737" s="273"/>
      <c r="U737" s="273"/>
      <c r="V737" s="273"/>
      <c r="W737" s="273"/>
      <c r="X737" s="273"/>
      <c r="Y737" s="273"/>
      <c r="Z737" s="467"/>
      <c r="AA737" s="273"/>
      <c r="AB737" s="273"/>
      <c r="AC737" s="273"/>
      <c r="AD737" s="273"/>
    </row>
    <row r="738" spans="1:30" ht="14.25" customHeight="1">
      <c r="A738" s="273"/>
      <c r="B738" s="273"/>
      <c r="C738" s="273"/>
      <c r="D738" s="273"/>
      <c r="E738" s="274"/>
      <c r="F738" s="273"/>
      <c r="G738" s="273"/>
      <c r="H738" s="273"/>
      <c r="I738" s="273"/>
      <c r="J738" s="273"/>
      <c r="K738" s="273"/>
      <c r="L738" s="273"/>
      <c r="M738" s="273"/>
      <c r="N738" s="273"/>
      <c r="O738" s="273"/>
      <c r="P738" s="273"/>
      <c r="Q738" s="273"/>
      <c r="R738" s="273"/>
      <c r="S738" s="273"/>
      <c r="T738" s="273"/>
      <c r="U738" s="273"/>
      <c r="V738" s="273"/>
      <c r="W738" s="273"/>
      <c r="X738" s="273"/>
      <c r="Y738" s="273"/>
      <c r="Z738" s="467"/>
      <c r="AA738" s="273"/>
      <c r="AB738" s="273"/>
      <c r="AC738" s="273"/>
      <c r="AD738" s="273"/>
    </row>
    <row r="739" spans="1:30" ht="14.25" customHeight="1">
      <c r="A739" s="273"/>
      <c r="B739" s="273"/>
      <c r="C739" s="273"/>
      <c r="D739" s="273"/>
      <c r="E739" s="274"/>
      <c r="F739" s="273"/>
      <c r="G739" s="273"/>
      <c r="H739" s="273"/>
      <c r="I739" s="273"/>
      <c r="J739" s="273"/>
      <c r="K739" s="273"/>
      <c r="L739" s="273"/>
      <c r="M739" s="273"/>
      <c r="N739" s="273"/>
      <c r="O739" s="273"/>
      <c r="P739" s="273"/>
      <c r="Q739" s="273"/>
      <c r="R739" s="273"/>
      <c r="S739" s="273"/>
      <c r="T739" s="273"/>
      <c r="U739" s="273"/>
      <c r="V739" s="273"/>
      <c r="W739" s="273"/>
      <c r="X739" s="273"/>
      <c r="Y739" s="273"/>
      <c r="Z739" s="467"/>
      <c r="AA739" s="273"/>
      <c r="AB739" s="273"/>
      <c r="AC739" s="273"/>
      <c r="AD739" s="273"/>
    </row>
    <row r="740" spans="1:30" ht="14.25" customHeight="1">
      <c r="A740" s="273"/>
      <c r="B740" s="273"/>
      <c r="C740" s="273"/>
      <c r="D740" s="273"/>
      <c r="E740" s="274"/>
      <c r="F740" s="273"/>
      <c r="G740" s="273"/>
      <c r="H740" s="273"/>
      <c r="I740" s="273"/>
      <c r="J740" s="273"/>
      <c r="K740" s="273"/>
      <c r="L740" s="273"/>
      <c r="M740" s="273"/>
      <c r="N740" s="273"/>
      <c r="O740" s="273"/>
      <c r="P740" s="273"/>
      <c r="Q740" s="273"/>
      <c r="R740" s="273"/>
      <c r="S740" s="273"/>
      <c r="T740" s="273"/>
      <c r="U740" s="273"/>
      <c r="V740" s="273"/>
      <c r="W740" s="273"/>
      <c r="X740" s="273"/>
      <c r="Y740" s="273"/>
      <c r="Z740" s="467"/>
      <c r="AA740" s="273"/>
      <c r="AB740" s="273"/>
      <c r="AC740" s="273"/>
      <c r="AD740" s="273"/>
    </row>
    <row r="741" spans="1:30" ht="14.25" customHeight="1">
      <c r="A741" s="273"/>
      <c r="B741" s="273"/>
      <c r="C741" s="273"/>
      <c r="D741" s="273"/>
      <c r="E741" s="274"/>
      <c r="F741" s="273"/>
      <c r="G741" s="273"/>
      <c r="H741" s="273"/>
      <c r="I741" s="273"/>
      <c r="J741" s="273"/>
      <c r="K741" s="273"/>
      <c r="L741" s="273"/>
      <c r="M741" s="273"/>
      <c r="N741" s="273"/>
      <c r="O741" s="273"/>
      <c r="P741" s="273"/>
      <c r="Q741" s="273"/>
      <c r="R741" s="273"/>
      <c r="S741" s="273"/>
      <c r="T741" s="273"/>
      <c r="U741" s="273"/>
      <c r="V741" s="273"/>
      <c r="W741" s="273"/>
      <c r="X741" s="273"/>
      <c r="Y741" s="273"/>
      <c r="Z741" s="467"/>
      <c r="AA741" s="273"/>
      <c r="AB741" s="273"/>
      <c r="AC741" s="273"/>
      <c r="AD741" s="273"/>
    </row>
    <row r="742" spans="1:30" ht="14.25" customHeight="1">
      <c r="A742" s="273"/>
      <c r="B742" s="273"/>
      <c r="C742" s="273"/>
      <c r="D742" s="273"/>
      <c r="E742" s="274"/>
      <c r="F742" s="273"/>
      <c r="G742" s="273"/>
      <c r="H742" s="273"/>
      <c r="I742" s="273"/>
      <c r="J742" s="273"/>
      <c r="K742" s="273"/>
      <c r="L742" s="273"/>
      <c r="M742" s="273"/>
      <c r="N742" s="273"/>
      <c r="O742" s="273"/>
      <c r="P742" s="273"/>
      <c r="Q742" s="273"/>
      <c r="R742" s="273"/>
      <c r="S742" s="273"/>
      <c r="T742" s="273"/>
      <c r="U742" s="273"/>
      <c r="V742" s="273"/>
      <c r="W742" s="273"/>
      <c r="X742" s="273"/>
      <c r="Y742" s="273"/>
      <c r="Z742" s="467"/>
      <c r="AA742" s="273"/>
      <c r="AB742" s="273"/>
      <c r="AC742" s="273"/>
      <c r="AD742" s="273"/>
    </row>
    <row r="743" spans="1:30" ht="14.25" customHeight="1">
      <c r="A743" s="273"/>
      <c r="B743" s="273"/>
      <c r="C743" s="273"/>
      <c r="D743" s="273"/>
      <c r="E743" s="274"/>
      <c r="F743" s="273"/>
      <c r="G743" s="273"/>
      <c r="H743" s="273"/>
      <c r="I743" s="273"/>
      <c r="J743" s="273"/>
      <c r="K743" s="273"/>
      <c r="L743" s="273"/>
      <c r="M743" s="273"/>
      <c r="N743" s="273"/>
      <c r="O743" s="273"/>
      <c r="P743" s="273"/>
      <c r="Q743" s="273"/>
      <c r="R743" s="273"/>
      <c r="S743" s="273"/>
      <c r="T743" s="273"/>
      <c r="U743" s="273"/>
      <c r="V743" s="273"/>
      <c r="W743" s="273"/>
      <c r="X743" s="273"/>
      <c r="Y743" s="273"/>
      <c r="Z743" s="467"/>
      <c r="AA743" s="273"/>
      <c r="AB743" s="273"/>
      <c r="AC743" s="273"/>
      <c r="AD743" s="273"/>
    </row>
    <row r="744" spans="1:30" ht="14.25" customHeight="1">
      <c r="A744" s="273"/>
      <c r="B744" s="273"/>
      <c r="C744" s="273"/>
      <c r="D744" s="273"/>
      <c r="E744" s="274"/>
      <c r="F744" s="273"/>
      <c r="G744" s="273"/>
      <c r="H744" s="273"/>
      <c r="I744" s="273"/>
      <c r="J744" s="273"/>
      <c r="K744" s="273"/>
      <c r="L744" s="273"/>
      <c r="M744" s="273"/>
      <c r="N744" s="273"/>
      <c r="O744" s="273"/>
      <c r="P744" s="273"/>
      <c r="Q744" s="273"/>
      <c r="R744" s="273"/>
      <c r="S744" s="273"/>
      <c r="T744" s="273"/>
      <c r="U744" s="273"/>
      <c r="V744" s="273"/>
      <c r="W744" s="273"/>
      <c r="X744" s="273"/>
      <c r="Y744" s="273"/>
      <c r="Z744" s="467"/>
      <c r="AA744" s="273"/>
      <c r="AB744" s="273"/>
      <c r="AC744" s="273"/>
      <c r="AD744" s="273"/>
    </row>
    <row r="745" spans="1:30" ht="14.25" customHeight="1">
      <c r="A745" s="273"/>
      <c r="B745" s="273"/>
      <c r="C745" s="273"/>
      <c r="D745" s="273"/>
      <c r="E745" s="274"/>
      <c r="F745" s="273"/>
      <c r="G745" s="273"/>
      <c r="H745" s="273"/>
      <c r="I745" s="273"/>
      <c r="J745" s="273"/>
      <c r="K745" s="273"/>
      <c r="L745" s="273"/>
      <c r="M745" s="273"/>
      <c r="N745" s="273"/>
      <c r="O745" s="273"/>
      <c r="P745" s="273"/>
      <c r="Q745" s="273"/>
      <c r="R745" s="273"/>
      <c r="S745" s="273"/>
      <c r="T745" s="273"/>
      <c r="U745" s="273"/>
      <c r="V745" s="273"/>
      <c r="W745" s="273"/>
      <c r="X745" s="273"/>
      <c r="Y745" s="273"/>
      <c r="Z745" s="467"/>
      <c r="AA745" s="273"/>
      <c r="AB745" s="273"/>
      <c r="AC745" s="273"/>
      <c r="AD745" s="273"/>
    </row>
    <row r="746" spans="1:30" ht="14.25" customHeight="1">
      <c r="A746" s="273"/>
      <c r="B746" s="273"/>
      <c r="C746" s="273"/>
      <c r="D746" s="273"/>
      <c r="E746" s="274"/>
      <c r="F746" s="273"/>
      <c r="G746" s="273"/>
      <c r="H746" s="273"/>
      <c r="I746" s="273"/>
      <c r="J746" s="273"/>
      <c r="K746" s="273"/>
      <c r="L746" s="273"/>
      <c r="M746" s="273"/>
      <c r="N746" s="273"/>
      <c r="O746" s="273"/>
      <c r="P746" s="273"/>
      <c r="Q746" s="273"/>
      <c r="R746" s="273"/>
      <c r="S746" s="273"/>
      <c r="T746" s="273"/>
      <c r="U746" s="273"/>
      <c r="V746" s="273"/>
      <c r="W746" s="273"/>
      <c r="X746" s="273"/>
      <c r="Y746" s="273"/>
      <c r="Z746" s="467"/>
      <c r="AA746" s="273"/>
      <c r="AB746" s="273"/>
      <c r="AC746" s="273"/>
      <c r="AD746" s="273"/>
    </row>
    <row r="747" spans="1:30" ht="14.25" customHeight="1">
      <c r="A747" s="273"/>
      <c r="B747" s="273"/>
      <c r="C747" s="273"/>
      <c r="D747" s="273"/>
      <c r="E747" s="274"/>
      <c r="F747" s="273"/>
      <c r="G747" s="273"/>
      <c r="H747" s="273"/>
      <c r="I747" s="273"/>
      <c r="J747" s="273"/>
      <c r="K747" s="273"/>
      <c r="L747" s="273"/>
      <c r="M747" s="273"/>
      <c r="N747" s="273"/>
      <c r="O747" s="273"/>
      <c r="P747" s="273"/>
      <c r="Q747" s="273"/>
      <c r="R747" s="273"/>
      <c r="S747" s="273"/>
      <c r="T747" s="273"/>
      <c r="U747" s="273"/>
      <c r="V747" s="273"/>
      <c r="W747" s="273"/>
      <c r="X747" s="273"/>
      <c r="Y747" s="273"/>
      <c r="Z747" s="467"/>
      <c r="AA747" s="273"/>
      <c r="AB747" s="273"/>
      <c r="AC747" s="273"/>
      <c r="AD747" s="273"/>
    </row>
    <row r="748" spans="1:30" ht="14.25" customHeight="1">
      <c r="A748" s="273"/>
      <c r="B748" s="273"/>
      <c r="C748" s="273"/>
      <c r="D748" s="273"/>
      <c r="E748" s="274"/>
      <c r="F748" s="273"/>
      <c r="G748" s="273"/>
      <c r="H748" s="273"/>
      <c r="I748" s="273"/>
      <c r="J748" s="273"/>
      <c r="K748" s="273"/>
      <c r="L748" s="273"/>
      <c r="M748" s="273"/>
      <c r="N748" s="273"/>
      <c r="O748" s="273"/>
      <c r="P748" s="273"/>
      <c r="Q748" s="273"/>
      <c r="R748" s="273"/>
      <c r="S748" s="273"/>
      <c r="T748" s="273"/>
      <c r="U748" s="273"/>
      <c r="V748" s="273"/>
      <c r="W748" s="273"/>
      <c r="X748" s="273"/>
      <c r="Y748" s="273"/>
      <c r="Z748" s="467"/>
      <c r="AA748" s="273"/>
      <c r="AB748" s="273"/>
      <c r="AC748" s="273"/>
      <c r="AD748" s="273"/>
    </row>
    <row r="749" spans="1:30" ht="14.25" customHeight="1">
      <c r="A749" s="273"/>
      <c r="B749" s="273"/>
      <c r="C749" s="273"/>
      <c r="D749" s="273"/>
      <c r="E749" s="274"/>
      <c r="F749" s="273"/>
      <c r="G749" s="273"/>
      <c r="H749" s="273"/>
      <c r="I749" s="273"/>
      <c r="J749" s="273"/>
      <c r="K749" s="273"/>
      <c r="L749" s="273"/>
      <c r="M749" s="273"/>
      <c r="N749" s="273"/>
      <c r="O749" s="273"/>
      <c r="P749" s="273"/>
      <c r="Q749" s="273"/>
      <c r="R749" s="273"/>
      <c r="S749" s="273"/>
      <c r="T749" s="273"/>
      <c r="U749" s="273"/>
      <c r="V749" s="273"/>
      <c r="W749" s="273"/>
      <c r="X749" s="273"/>
      <c r="Y749" s="273"/>
      <c r="Z749" s="467"/>
      <c r="AA749" s="273"/>
      <c r="AB749" s="273"/>
      <c r="AC749" s="273"/>
      <c r="AD749" s="273"/>
    </row>
    <row r="750" spans="1:30" ht="14.25" customHeight="1">
      <c r="A750" s="273"/>
      <c r="B750" s="273"/>
      <c r="C750" s="273"/>
      <c r="D750" s="273"/>
      <c r="E750" s="274"/>
      <c r="F750" s="273"/>
      <c r="G750" s="273"/>
      <c r="H750" s="273"/>
      <c r="I750" s="273"/>
      <c r="J750" s="273"/>
      <c r="K750" s="273"/>
      <c r="L750" s="273"/>
      <c r="M750" s="273"/>
      <c r="N750" s="273"/>
      <c r="O750" s="273"/>
      <c r="P750" s="273"/>
      <c r="Q750" s="273"/>
      <c r="R750" s="273"/>
      <c r="S750" s="273"/>
      <c r="T750" s="273"/>
      <c r="U750" s="273"/>
      <c r="V750" s="273"/>
      <c r="W750" s="273"/>
      <c r="X750" s="273"/>
      <c r="Y750" s="273"/>
      <c r="Z750" s="467"/>
      <c r="AA750" s="273"/>
      <c r="AB750" s="273"/>
      <c r="AC750" s="273"/>
      <c r="AD750" s="273"/>
    </row>
    <row r="751" spans="1:30" ht="14.25" customHeight="1">
      <c r="A751" s="273"/>
      <c r="B751" s="273"/>
      <c r="C751" s="273"/>
      <c r="D751" s="273"/>
      <c r="E751" s="274"/>
      <c r="F751" s="273"/>
      <c r="G751" s="273"/>
      <c r="H751" s="273"/>
      <c r="I751" s="273"/>
      <c r="J751" s="273"/>
      <c r="K751" s="273"/>
      <c r="L751" s="273"/>
      <c r="M751" s="273"/>
      <c r="N751" s="273"/>
      <c r="O751" s="273"/>
      <c r="P751" s="273"/>
      <c r="Q751" s="273"/>
      <c r="R751" s="273"/>
      <c r="S751" s="273"/>
      <c r="T751" s="273"/>
      <c r="U751" s="273"/>
      <c r="V751" s="273"/>
      <c r="W751" s="273"/>
      <c r="X751" s="273"/>
      <c r="Y751" s="273"/>
      <c r="Z751" s="467"/>
      <c r="AA751" s="273"/>
      <c r="AB751" s="273"/>
      <c r="AC751" s="273"/>
      <c r="AD751" s="273"/>
    </row>
    <row r="752" spans="1:30" ht="14.25" customHeight="1">
      <c r="A752" s="273"/>
      <c r="B752" s="273"/>
      <c r="C752" s="273"/>
      <c r="D752" s="273"/>
      <c r="E752" s="274"/>
      <c r="F752" s="273"/>
      <c r="G752" s="273"/>
      <c r="H752" s="273"/>
      <c r="I752" s="273"/>
      <c r="J752" s="273"/>
      <c r="K752" s="273"/>
      <c r="L752" s="273"/>
      <c r="M752" s="273"/>
      <c r="N752" s="273"/>
      <c r="O752" s="273"/>
      <c r="P752" s="273"/>
      <c r="Q752" s="273"/>
      <c r="R752" s="273"/>
      <c r="S752" s="273"/>
      <c r="T752" s="273"/>
      <c r="U752" s="273"/>
      <c r="V752" s="273"/>
      <c r="W752" s="273"/>
      <c r="X752" s="273"/>
      <c r="Y752" s="273"/>
      <c r="Z752" s="467"/>
      <c r="AA752" s="273"/>
      <c r="AB752" s="273"/>
      <c r="AC752" s="273"/>
      <c r="AD752" s="273"/>
    </row>
    <row r="753" spans="1:30" ht="14.25" customHeight="1">
      <c r="A753" s="273"/>
      <c r="B753" s="273"/>
      <c r="C753" s="273"/>
      <c r="D753" s="273"/>
      <c r="E753" s="274"/>
      <c r="F753" s="273"/>
      <c r="G753" s="273"/>
      <c r="H753" s="273"/>
      <c r="I753" s="273"/>
      <c r="J753" s="273"/>
      <c r="K753" s="273"/>
      <c r="L753" s="273"/>
      <c r="M753" s="273"/>
      <c r="N753" s="273"/>
      <c r="O753" s="273"/>
      <c r="P753" s="273"/>
      <c r="Q753" s="273"/>
      <c r="R753" s="273"/>
      <c r="S753" s="273"/>
      <c r="T753" s="273"/>
      <c r="U753" s="273"/>
      <c r="V753" s="273"/>
      <c r="W753" s="273"/>
      <c r="X753" s="273"/>
      <c r="Y753" s="273"/>
      <c r="Z753" s="467"/>
      <c r="AA753" s="273"/>
      <c r="AB753" s="273"/>
      <c r="AC753" s="273"/>
      <c r="AD753" s="273"/>
    </row>
    <row r="754" spans="1:30" ht="14.25" customHeight="1">
      <c r="A754" s="273"/>
      <c r="B754" s="273"/>
      <c r="C754" s="273"/>
      <c r="D754" s="273"/>
      <c r="E754" s="274"/>
      <c r="F754" s="273"/>
      <c r="G754" s="273"/>
      <c r="H754" s="273"/>
      <c r="I754" s="273"/>
      <c r="J754" s="273"/>
      <c r="K754" s="273"/>
      <c r="L754" s="273"/>
      <c r="M754" s="273"/>
      <c r="N754" s="273"/>
      <c r="O754" s="273"/>
      <c r="P754" s="273"/>
      <c r="Q754" s="273"/>
      <c r="R754" s="273"/>
      <c r="S754" s="273"/>
      <c r="T754" s="273"/>
      <c r="U754" s="273"/>
      <c r="V754" s="273"/>
      <c r="W754" s="273"/>
      <c r="X754" s="273"/>
      <c r="Y754" s="273"/>
      <c r="Z754" s="467"/>
      <c r="AA754" s="273"/>
      <c r="AB754" s="273"/>
      <c r="AC754" s="273"/>
      <c r="AD754" s="273"/>
    </row>
    <row r="755" spans="1:30" ht="14.25" customHeight="1">
      <c r="A755" s="273"/>
      <c r="B755" s="273"/>
      <c r="C755" s="273"/>
      <c r="D755" s="273"/>
      <c r="E755" s="274"/>
      <c r="F755" s="273"/>
      <c r="G755" s="273"/>
      <c r="H755" s="273"/>
      <c r="I755" s="273"/>
      <c r="J755" s="273"/>
      <c r="K755" s="273"/>
      <c r="L755" s="273"/>
      <c r="M755" s="273"/>
      <c r="N755" s="273"/>
      <c r="O755" s="273"/>
      <c r="P755" s="273"/>
      <c r="Q755" s="273"/>
      <c r="R755" s="273"/>
      <c r="S755" s="273"/>
      <c r="T755" s="273"/>
      <c r="U755" s="273"/>
      <c r="V755" s="273"/>
      <c r="W755" s="273"/>
      <c r="X755" s="273"/>
      <c r="Y755" s="273"/>
      <c r="Z755" s="467"/>
      <c r="AA755" s="273"/>
      <c r="AB755" s="273"/>
      <c r="AC755" s="273"/>
      <c r="AD755" s="273"/>
    </row>
    <row r="756" spans="1:30" ht="14.25" customHeight="1">
      <c r="A756" s="273"/>
      <c r="B756" s="273"/>
      <c r="C756" s="273"/>
      <c r="D756" s="273"/>
      <c r="E756" s="274"/>
      <c r="F756" s="273"/>
      <c r="G756" s="273"/>
      <c r="H756" s="273"/>
      <c r="I756" s="273"/>
      <c r="J756" s="273"/>
      <c r="K756" s="273"/>
      <c r="L756" s="273"/>
      <c r="M756" s="273"/>
      <c r="N756" s="273"/>
      <c r="O756" s="273"/>
      <c r="P756" s="273"/>
      <c r="Q756" s="273"/>
      <c r="R756" s="273"/>
      <c r="S756" s="273"/>
      <c r="T756" s="273"/>
      <c r="U756" s="273"/>
      <c r="V756" s="273"/>
      <c r="W756" s="273"/>
      <c r="X756" s="273"/>
      <c r="Y756" s="273"/>
      <c r="Z756" s="467"/>
      <c r="AA756" s="273"/>
      <c r="AB756" s="273"/>
      <c r="AC756" s="273"/>
      <c r="AD756" s="273"/>
    </row>
    <row r="757" spans="1:30" ht="14.25" customHeight="1">
      <c r="A757" s="273"/>
      <c r="B757" s="273"/>
      <c r="C757" s="273"/>
      <c r="D757" s="273"/>
      <c r="E757" s="274"/>
      <c r="F757" s="273"/>
      <c r="G757" s="273"/>
      <c r="H757" s="273"/>
      <c r="I757" s="273"/>
      <c r="J757" s="273"/>
      <c r="K757" s="273"/>
      <c r="L757" s="273"/>
      <c r="M757" s="273"/>
      <c r="N757" s="273"/>
      <c r="O757" s="273"/>
      <c r="P757" s="273"/>
      <c r="Q757" s="273"/>
      <c r="R757" s="273"/>
      <c r="S757" s="273"/>
      <c r="T757" s="273"/>
      <c r="U757" s="273"/>
      <c r="V757" s="273"/>
      <c r="W757" s="273"/>
      <c r="X757" s="273"/>
      <c r="Y757" s="273"/>
      <c r="Z757" s="467"/>
      <c r="AA757" s="273"/>
      <c r="AB757" s="273"/>
      <c r="AC757" s="273"/>
      <c r="AD757" s="273"/>
    </row>
    <row r="758" spans="1:30" ht="14.25" customHeight="1">
      <c r="A758" s="273"/>
      <c r="B758" s="273"/>
      <c r="C758" s="273"/>
      <c r="D758" s="273"/>
      <c r="E758" s="274"/>
      <c r="F758" s="273"/>
      <c r="G758" s="273"/>
      <c r="H758" s="273"/>
      <c r="I758" s="273"/>
      <c r="J758" s="273"/>
      <c r="K758" s="273"/>
      <c r="L758" s="273"/>
      <c r="M758" s="273"/>
      <c r="N758" s="273"/>
      <c r="O758" s="273"/>
      <c r="P758" s="273"/>
      <c r="Q758" s="273"/>
      <c r="R758" s="273"/>
      <c r="S758" s="273"/>
      <c r="T758" s="273"/>
      <c r="U758" s="273"/>
      <c r="V758" s="273"/>
      <c r="W758" s="273"/>
      <c r="X758" s="273"/>
      <c r="Y758" s="273"/>
      <c r="Z758" s="467"/>
      <c r="AA758" s="273"/>
      <c r="AB758" s="273"/>
      <c r="AC758" s="273"/>
      <c r="AD758" s="273"/>
    </row>
    <row r="759" spans="1:30" ht="14.25" customHeight="1">
      <c r="A759" s="273"/>
      <c r="B759" s="273"/>
      <c r="C759" s="273"/>
      <c r="D759" s="273"/>
      <c r="E759" s="274"/>
      <c r="F759" s="273"/>
      <c r="G759" s="273"/>
      <c r="H759" s="273"/>
      <c r="I759" s="273"/>
      <c r="J759" s="273"/>
      <c r="K759" s="273"/>
      <c r="L759" s="273"/>
      <c r="M759" s="273"/>
      <c r="N759" s="273"/>
      <c r="O759" s="273"/>
      <c r="P759" s="273"/>
      <c r="Q759" s="273"/>
      <c r="R759" s="273"/>
      <c r="S759" s="273"/>
      <c r="T759" s="273"/>
      <c r="U759" s="273"/>
      <c r="V759" s="273"/>
      <c r="W759" s="273"/>
      <c r="X759" s="273"/>
      <c r="Y759" s="273"/>
      <c r="Z759" s="467"/>
      <c r="AA759" s="273"/>
      <c r="AB759" s="273"/>
      <c r="AC759" s="273"/>
      <c r="AD759" s="273"/>
    </row>
    <row r="760" spans="1:30" ht="14.25" customHeight="1">
      <c r="A760" s="273"/>
      <c r="B760" s="273"/>
      <c r="C760" s="273"/>
      <c r="D760" s="273"/>
      <c r="E760" s="274"/>
      <c r="F760" s="273"/>
      <c r="G760" s="273"/>
      <c r="H760" s="273"/>
      <c r="I760" s="273"/>
      <c r="J760" s="273"/>
      <c r="K760" s="273"/>
      <c r="L760" s="273"/>
      <c r="M760" s="273"/>
      <c r="N760" s="273"/>
      <c r="O760" s="273"/>
      <c r="P760" s="273"/>
      <c r="Q760" s="273"/>
      <c r="R760" s="273"/>
      <c r="S760" s="273"/>
      <c r="T760" s="273"/>
      <c r="U760" s="273"/>
      <c r="V760" s="273"/>
      <c r="W760" s="273"/>
      <c r="X760" s="273"/>
      <c r="Y760" s="273"/>
      <c r="Z760" s="467"/>
      <c r="AA760" s="273"/>
      <c r="AB760" s="273"/>
      <c r="AC760" s="273"/>
      <c r="AD760" s="273"/>
    </row>
    <row r="761" spans="1:30" ht="14.25" customHeight="1">
      <c r="A761" s="273"/>
      <c r="B761" s="273"/>
      <c r="C761" s="273"/>
      <c r="D761" s="273"/>
      <c r="E761" s="274"/>
      <c r="F761" s="273"/>
      <c r="G761" s="273"/>
      <c r="H761" s="273"/>
      <c r="I761" s="273"/>
      <c r="J761" s="273"/>
      <c r="K761" s="273"/>
      <c r="L761" s="273"/>
      <c r="M761" s="273"/>
      <c r="N761" s="273"/>
      <c r="O761" s="273"/>
      <c r="P761" s="273"/>
      <c r="Q761" s="273"/>
      <c r="R761" s="273"/>
      <c r="S761" s="273"/>
      <c r="T761" s="273"/>
      <c r="U761" s="273"/>
      <c r="V761" s="273"/>
      <c r="W761" s="273"/>
      <c r="X761" s="273"/>
      <c r="Y761" s="273"/>
      <c r="Z761" s="467"/>
      <c r="AA761" s="273"/>
      <c r="AB761" s="273"/>
      <c r="AC761" s="273"/>
      <c r="AD761" s="273"/>
    </row>
    <row r="762" spans="1:30" ht="14.25" customHeight="1">
      <c r="A762" s="273"/>
      <c r="B762" s="273"/>
      <c r="C762" s="273"/>
      <c r="D762" s="273"/>
      <c r="E762" s="274"/>
      <c r="F762" s="273"/>
      <c r="G762" s="273"/>
      <c r="H762" s="273"/>
      <c r="I762" s="273"/>
      <c r="J762" s="273"/>
      <c r="K762" s="273"/>
      <c r="L762" s="273"/>
      <c r="M762" s="273"/>
      <c r="N762" s="273"/>
      <c r="O762" s="273"/>
      <c r="P762" s="273"/>
      <c r="Q762" s="273"/>
      <c r="R762" s="273"/>
      <c r="S762" s="273"/>
      <c r="T762" s="273"/>
      <c r="U762" s="273"/>
      <c r="V762" s="273"/>
      <c r="W762" s="273"/>
      <c r="X762" s="273"/>
      <c r="Y762" s="273"/>
      <c r="Z762" s="467"/>
      <c r="AA762" s="273"/>
      <c r="AB762" s="273"/>
      <c r="AC762" s="273"/>
      <c r="AD762" s="273"/>
    </row>
    <row r="763" spans="1:30" ht="14.25" customHeight="1">
      <c r="A763" s="273"/>
      <c r="B763" s="273"/>
      <c r="C763" s="273"/>
      <c r="D763" s="273"/>
      <c r="E763" s="274"/>
      <c r="F763" s="273"/>
      <c r="G763" s="273"/>
      <c r="H763" s="273"/>
      <c r="I763" s="273"/>
      <c r="J763" s="273"/>
      <c r="K763" s="273"/>
      <c r="L763" s="273"/>
      <c r="M763" s="273"/>
      <c r="N763" s="273"/>
      <c r="O763" s="273"/>
      <c r="P763" s="273"/>
      <c r="Q763" s="273"/>
      <c r="R763" s="273"/>
      <c r="S763" s="273"/>
      <c r="T763" s="273"/>
      <c r="U763" s="273"/>
      <c r="V763" s="273"/>
      <c r="W763" s="273"/>
      <c r="X763" s="273"/>
      <c r="Y763" s="273"/>
      <c r="Z763" s="467"/>
      <c r="AA763" s="273"/>
      <c r="AB763" s="273"/>
      <c r="AC763" s="273"/>
      <c r="AD763" s="273"/>
    </row>
    <row r="764" spans="1:30" ht="14.25" customHeight="1">
      <c r="A764" s="273"/>
      <c r="B764" s="273"/>
      <c r="C764" s="273"/>
      <c r="D764" s="273"/>
      <c r="E764" s="274"/>
      <c r="F764" s="273"/>
      <c r="G764" s="273"/>
      <c r="H764" s="273"/>
      <c r="I764" s="273"/>
      <c r="J764" s="273"/>
      <c r="K764" s="273"/>
      <c r="L764" s="273"/>
      <c r="M764" s="273"/>
      <c r="N764" s="273"/>
      <c r="O764" s="273"/>
      <c r="P764" s="273"/>
      <c r="Q764" s="273"/>
      <c r="R764" s="273"/>
      <c r="S764" s="273"/>
      <c r="T764" s="273"/>
      <c r="U764" s="273"/>
      <c r="V764" s="273"/>
      <c r="W764" s="273"/>
      <c r="X764" s="273"/>
      <c r="Y764" s="273"/>
      <c r="Z764" s="467"/>
      <c r="AA764" s="273"/>
      <c r="AB764" s="273"/>
      <c r="AC764" s="273"/>
      <c r="AD764" s="273"/>
    </row>
    <row r="765" spans="1:30" ht="14.25" customHeight="1">
      <c r="A765" s="273"/>
      <c r="B765" s="273"/>
      <c r="C765" s="273"/>
      <c r="D765" s="273"/>
      <c r="E765" s="274"/>
      <c r="F765" s="273"/>
      <c r="G765" s="273"/>
      <c r="H765" s="273"/>
      <c r="I765" s="273"/>
      <c r="J765" s="273"/>
      <c r="K765" s="273"/>
      <c r="L765" s="273"/>
      <c r="M765" s="273"/>
      <c r="N765" s="273"/>
      <c r="O765" s="273"/>
      <c r="P765" s="273"/>
      <c r="Q765" s="273"/>
      <c r="R765" s="273"/>
      <c r="S765" s="273"/>
      <c r="T765" s="273"/>
      <c r="U765" s="273"/>
      <c r="V765" s="273"/>
      <c r="W765" s="273"/>
      <c r="X765" s="273"/>
      <c r="Y765" s="273"/>
      <c r="Z765" s="467"/>
      <c r="AA765" s="273"/>
      <c r="AB765" s="273"/>
      <c r="AC765" s="273"/>
      <c r="AD765" s="273"/>
    </row>
    <row r="766" spans="1:30" ht="14.25" customHeight="1">
      <c r="A766" s="273"/>
      <c r="B766" s="273"/>
      <c r="C766" s="273"/>
      <c r="D766" s="273"/>
      <c r="E766" s="274"/>
      <c r="F766" s="273"/>
      <c r="G766" s="273"/>
      <c r="H766" s="273"/>
      <c r="I766" s="273"/>
      <c r="J766" s="273"/>
      <c r="K766" s="273"/>
      <c r="L766" s="273"/>
      <c r="M766" s="273"/>
      <c r="N766" s="273"/>
      <c r="O766" s="273"/>
      <c r="P766" s="273"/>
      <c r="Q766" s="273"/>
      <c r="R766" s="273"/>
      <c r="S766" s="273"/>
      <c r="T766" s="273"/>
      <c r="U766" s="273"/>
      <c r="V766" s="273"/>
      <c r="W766" s="273"/>
      <c r="X766" s="273"/>
      <c r="Y766" s="273"/>
      <c r="Z766" s="467"/>
      <c r="AA766" s="273"/>
      <c r="AB766" s="273"/>
      <c r="AC766" s="273"/>
      <c r="AD766" s="273"/>
    </row>
    <row r="767" spans="1:30" ht="14.25" customHeight="1">
      <c r="A767" s="273"/>
      <c r="B767" s="273"/>
      <c r="C767" s="273"/>
      <c r="D767" s="273"/>
      <c r="E767" s="274"/>
      <c r="F767" s="273"/>
      <c r="G767" s="273"/>
      <c r="H767" s="273"/>
      <c r="I767" s="273"/>
      <c r="J767" s="273"/>
      <c r="K767" s="273"/>
      <c r="L767" s="273"/>
      <c r="M767" s="273"/>
      <c r="N767" s="273"/>
      <c r="O767" s="273"/>
      <c r="P767" s="273"/>
      <c r="Q767" s="273"/>
      <c r="R767" s="273"/>
      <c r="S767" s="273"/>
      <c r="T767" s="273"/>
      <c r="U767" s="273"/>
      <c r="V767" s="273"/>
      <c r="W767" s="273"/>
      <c r="X767" s="273"/>
      <c r="Y767" s="273"/>
      <c r="Z767" s="467"/>
      <c r="AA767" s="273"/>
      <c r="AB767" s="273"/>
      <c r="AC767" s="273"/>
      <c r="AD767" s="273"/>
    </row>
    <row r="768" spans="1:30" ht="14.25" customHeight="1">
      <c r="A768" s="273"/>
      <c r="B768" s="273"/>
      <c r="C768" s="273"/>
      <c r="D768" s="273"/>
      <c r="E768" s="274"/>
      <c r="F768" s="273"/>
      <c r="G768" s="273"/>
      <c r="H768" s="273"/>
      <c r="I768" s="273"/>
      <c r="J768" s="273"/>
      <c r="K768" s="273"/>
      <c r="L768" s="273"/>
      <c r="M768" s="273"/>
      <c r="N768" s="273"/>
      <c r="O768" s="273"/>
      <c r="P768" s="273"/>
      <c r="Q768" s="273"/>
      <c r="R768" s="273"/>
      <c r="S768" s="273"/>
      <c r="T768" s="273"/>
      <c r="U768" s="273"/>
      <c r="V768" s="273"/>
      <c r="W768" s="273"/>
      <c r="X768" s="273"/>
      <c r="Y768" s="273"/>
      <c r="Z768" s="467"/>
      <c r="AA768" s="273"/>
      <c r="AB768" s="273"/>
      <c r="AC768" s="273"/>
      <c r="AD768" s="273"/>
    </row>
    <row r="769" spans="1:30" ht="14.25" customHeight="1">
      <c r="A769" s="273"/>
      <c r="B769" s="273"/>
      <c r="C769" s="273"/>
      <c r="D769" s="273"/>
      <c r="E769" s="274"/>
      <c r="F769" s="273"/>
      <c r="G769" s="273"/>
      <c r="H769" s="273"/>
      <c r="I769" s="273"/>
      <c r="J769" s="273"/>
      <c r="K769" s="273"/>
      <c r="L769" s="273"/>
      <c r="M769" s="273"/>
      <c r="N769" s="273"/>
      <c r="O769" s="273"/>
      <c r="P769" s="273"/>
      <c r="Q769" s="273"/>
      <c r="R769" s="273"/>
      <c r="S769" s="273"/>
      <c r="T769" s="273"/>
      <c r="U769" s="273"/>
      <c r="V769" s="273"/>
      <c r="W769" s="273"/>
      <c r="X769" s="273"/>
      <c r="Y769" s="273"/>
      <c r="Z769" s="467"/>
      <c r="AA769" s="273"/>
      <c r="AB769" s="273"/>
      <c r="AC769" s="273"/>
      <c r="AD769" s="273"/>
    </row>
    <row r="770" spans="1:30" ht="14.25" customHeight="1">
      <c r="A770" s="273"/>
      <c r="B770" s="273"/>
      <c r="C770" s="273"/>
      <c r="D770" s="273"/>
      <c r="E770" s="274"/>
      <c r="F770" s="273"/>
      <c r="G770" s="273"/>
      <c r="H770" s="273"/>
      <c r="I770" s="273"/>
      <c r="J770" s="273"/>
      <c r="K770" s="273"/>
      <c r="L770" s="273"/>
      <c r="M770" s="273"/>
      <c r="N770" s="273"/>
      <c r="O770" s="273"/>
      <c r="P770" s="273"/>
      <c r="Q770" s="273"/>
      <c r="R770" s="273"/>
      <c r="S770" s="273"/>
      <c r="T770" s="273"/>
      <c r="U770" s="273"/>
      <c r="V770" s="273"/>
      <c r="W770" s="273"/>
      <c r="X770" s="273"/>
      <c r="Y770" s="273"/>
      <c r="Z770" s="467"/>
      <c r="AA770" s="273"/>
      <c r="AB770" s="273"/>
      <c r="AC770" s="273"/>
      <c r="AD770" s="273"/>
    </row>
    <row r="771" spans="1:30" ht="14.25" customHeight="1">
      <c r="A771" s="273"/>
      <c r="B771" s="273"/>
      <c r="C771" s="273"/>
      <c r="D771" s="273"/>
      <c r="E771" s="274"/>
      <c r="F771" s="273"/>
      <c r="G771" s="273"/>
      <c r="H771" s="273"/>
      <c r="I771" s="273"/>
      <c r="J771" s="273"/>
      <c r="K771" s="273"/>
      <c r="L771" s="273"/>
      <c r="M771" s="273"/>
      <c r="N771" s="273"/>
      <c r="O771" s="273"/>
      <c r="P771" s="273"/>
      <c r="Q771" s="273"/>
      <c r="R771" s="273"/>
      <c r="S771" s="273"/>
      <c r="T771" s="273"/>
      <c r="U771" s="273"/>
      <c r="V771" s="273"/>
      <c r="W771" s="273"/>
      <c r="X771" s="273"/>
      <c r="Y771" s="273"/>
      <c r="Z771" s="467"/>
      <c r="AA771" s="273"/>
      <c r="AB771" s="273"/>
      <c r="AC771" s="273"/>
      <c r="AD771" s="273"/>
    </row>
    <row r="772" spans="1:30" ht="14.25" customHeight="1">
      <c r="A772" s="273"/>
      <c r="B772" s="273"/>
      <c r="C772" s="273"/>
      <c r="D772" s="273"/>
      <c r="E772" s="274"/>
      <c r="F772" s="273"/>
      <c r="G772" s="273"/>
      <c r="H772" s="273"/>
      <c r="I772" s="273"/>
      <c r="J772" s="273"/>
      <c r="K772" s="273"/>
      <c r="L772" s="273"/>
      <c r="M772" s="273"/>
      <c r="N772" s="273"/>
      <c r="O772" s="273"/>
      <c r="P772" s="273"/>
      <c r="Q772" s="273"/>
      <c r="R772" s="273"/>
      <c r="S772" s="273"/>
      <c r="T772" s="273"/>
      <c r="U772" s="273"/>
      <c r="V772" s="273"/>
      <c r="W772" s="273"/>
      <c r="X772" s="273"/>
      <c r="Y772" s="273"/>
      <c r="Z772" s="467"/>
      <c r="AA772" s="273"/>
      <c r="AB772" s="273"/>
      <c r="AC772" s="273"/>
      <c r="AD772" s="273"/>
    </row>
    <row r="773" spans="1:30" ht="14.25" customHeight="1">
      <c r="A773" s="273"/>
      <c r="B773" s="273"/>
      <c r="C773" s="273"/>
      <c r="D773" s="273"/>
      <c r="E773" s="274"/>
      <c r="F773" s="273"/>
      <c r="G773" s="273"/>
      <c r="H773" s="273"/>
      <c r="I773" s="273"/>
      <c r="J773" s="273"/>
      <c r="K773" s="273"/>
      <c r="L773" s="273"/>
      <c r="M773" s="273"/>
      <c r="N773" s="273"/>
      <c r="O773" s="273"/>
      <c r="P773" s="273"/>
      <c r="Q773" s="273"/>
      <c r="R773" s="273"/>
      <c r="S773" s="273"/>
      <c r="T773" s="273"/>
      <c r="U773" s="273"/>
      <c r="V773" s="273"/>
      <c r="W773" s="273"/>
      <c r="X773" s="273"/>
      <c r="Y773" s="273"/>
      <c r="Z773" s="467"/>
      <c r="AA773" s="273"/>
      <c r="AB773" s="273"/>
      <c r="AC773" s="273"/>
      <c r="AD773" s="273"/>
    </row>
    <row r="774" spans="1:30" ht="14.25" customHeight="1">
      <c r="A774" s="273"/>
      <c r="B774" s="273"/>
      <c r="C774" s="273"/>
      <c r="D774" s="273"/>
      <c r="E774" s="274"/>
      <c r="F774" s="273"/>
      <c r="G774" s="273"/>
      <c r="H774" s="273"/>
      <c r="I774" s="273"/>
      <c r="J774" s="273"/>
      <c r="K774" s="273"/>
      <c r="L774" s="273"/>
      <c r="M774" s="273"/>
      <c r="N774" s="273"/>
      <c r="O774" s="273"/>
      <c r="P774" s="273"/>
      <c r="Q774" s="273"/>
      <c r="R774" s="273"/>
      <c r="S774" s="273"/>
      <c r="T774" s="273"/>
      <c r="U774" s="273"/>
      <c r="V774" s="273"/>
      <c r="W774" s="273"/>
      <c r="X774" s="273"/>
      <c r="Y774" s="273"/>
      <c r="Z774" s="467"/>
      <c r="AA774" s="273"/>
      <c r="AB774" s="273"/>
      <c r="AC774" s="273"/>
      <c r="AD774" s="273"/>
    </row>
    <row r="775" spans="1:30" ht="14.25" customHeight="1">
      <c r="A775" s="273"/>
      <c r="B775" s="273"/>
      <c r="C775" s="273"/>
      <c r="D775" s="273"/>
      <c r="E775" s="274"/>
      <c r="F775" s="273"/>
      <c r="G775" s="273"/>
      <c r="H775" s="273"/>
      <c r="I775" s="273"/>
      <c r="J775" s="273"/>
      <c r="K775" s="273"/>
      <c r="L775" s="273"/>
      <c r="M775" s="273"/>
      <c r="N775" s="273"/>
      <c r="O775" s="273"/>
      <c r="P775" s="273"/>
      <c r="Q775" s="273"/>
      <c r="R775" s="273"/>
      <c r="S775" s="273"/>
      <c r="T775" s="273"/>
      <c r="U775" s="273"/>
      <c r="V775" s="273"/>
      <c r="W775" s="273"/>
      <c r="X775" s="273"/>
      <c r="Y775" s="273"/>
      <c r="Z775" s="467"/>
      <c r="AA775" s="273"/>
      <c r="AB775" s="273"/>
      <c r="AC775" s="273"/>
      <c r="AD775" s="273"/>
    </row>
    <row r="776" spans="1:30" ht="14.25" customHeight="1">
      <c r="A776" s="273"/>
      <c r="B776" s="273"/>
      <c r="C776" s="273"/>
      <c r="D776" s="273"/>
      <c r="E776" s="274"/>
      <c r="F776" s="273"/>
      <c r="G776" s="273"/>
      <c r="H776" s="273"/>
      <c r="I776" s="273"/>
      <c r="J776" s="273"/>
      <c r="K776" s="273"/>
      <c r="L776" s="273"/>
      <c r="M776" s="273"/>
      <c r="N776" s="273"/>
      <c r="O776" s="273"/>
      <c r="P776" s="273"/>
      <c r="Q776" s="273"/>
      <c r="R776" s="273"/>
      <c r="S776" s="273"/>
      <c r="T776" s="273"/>
      <c r="U776" s="273"/>
      <c r="V776" s="273"/>
      <c r="W776" s="273"/>
      <c r="X776" s="273"/>
      <c r="Y776" s="273"/>
      <c r="Z776" s="467"/>
      <c r="AA776" s="273"/>
      <c r="AB776" s="273"/>
      <c r="AC776" s="273"/>
      <c r="AD776" s="273"/>
    </row>
    <row r="777" spans="1:30" ht="14.25" customHeight="1">
      <c r="A777" s="273"/>
      <c r="B777" s="273"/>
      <c r="C777" s="273"/>
      <c r="D777" s="273"/>
      <c r="E777" s="274"/>
      <c r="F777" s="273"/>
      <c r="G777" s="273"/>
      <c r="H777" s="273"/>
      <c r="I777" s="273"/>
      <c r="J777" s="273"/>
      <c r="K777" s="273"/>
      <c r="L777" s="273"/>
      <c r="M777" s="273"/>
      <c r="N777" s="273"/>
      <c r="O777" s="273"/>
      <c r="P777" s="273"/>
      <c r="Q777" s="273"/>
      <c r="R777" s="273"/>
      <c r="S777" s="273"/>
      <c r="T777" s="273"/>
      <c r="U777" s="273"/>
      <c r="V777" s="273"/>
      <c r="W777" s="273"/>
      <c r="X777" s="273"/>
      <c r="Y777" s="273"/>
      <c r="Z777" s="467"/>
      <c r="AA777" s="273"/>
      <c r="AB777" s="273"/>
      <c r="AC777" s="273"/>
      <c r="AD777" s="273"/>
    </row>
    <row r="778" spans="1:30" ht="14.25" customHeight="1">
      <c r="A778" s="273"/>
      <c r="B778" s="273"/>
      <c r="C778" s="273"/>
      <c r="D778" s="273"/>
      <c r="E778" s="274"/>
      <c r="F778" s="273"/>
      <c r="G778" s="273"/>
      <c r="H778" s="273"/>
      <c r="I778" s="273"/>
      <c r="J778" s="273"/>
      <c r="K778" s="273"/>
      <c r="L778" s="273"/>
      <c r="M778" s="273"/>
      <c r="N778" s="273"/>
      <c r="O778" s="273"/>
      <c r="P778" s="273"/>
      <c r="Q778" s="273"/>
      <c r="R778" s="273"/>
      <c r="S778" s="273"/>
      <c r="T778" s="273"/>
      <c r="U778" s="273"/>
      <c r="V778" s="273"/>
      <c r="W778" s="273"/>
      <c r="X778" s="273"/>
      <c r="Y778" s="273"/>
      <c r="Z778" s="467"/>
      <c r="AA778" s="273"/>
      <c r="AB778" s="273"/>
      <c r="AC778" s="273"/>
      <c r="AD778" s="273"/>
    </row>
    <row r="779" spans="1:30" ht="14.25" customHeight="1">
      <c r="A779" s="273"/>
      <c r="B779" s="273"/>
      <c r="C779" s="273"/>
      <c r="D779" s="273"/>
      <c r="E779" s="274"/>
      <c r="F779" s="273"/>
      <c r="G779" s="273"/>
      <c r="H779" s="273"/>
      <c r="I779" s="273"/>
      <c r="J779" s="273"/>
      <c r="K779" s="273"/>
      <c r="L779" s="273"/>
      <c r="M779" s="273"/>
      <c r="N779" s="273"/>
      <c r="O779" s="273"/>
      <c r="P779" s="273"/>
      <c r="Q779" s="273"/>
      <c r="R779" s="273"/>
      <c r="S779" s="273"/>
      <c r="T779" s="273"/>
      <c r="U779" s="273"/>
      <c r="V779" s="273"/>
      <c r="W779" s="273"/>
      <c r="X779" s="273"/>
      <c r="Y779" s="273"/>
      <c r="Z779" s="467"/>
      <c r="AA779" s="273"/>
      <c r="AB779" s="273"/>
      <c r="AC779" s="273"/>
      <c r="AD779" s="273"/>
    </row>
    <row r="780" spans="1:30" ht="14.25" customHeight="1">
      <c r="A780" s="273"/>
      <c r="B780" s="273"/>
      <c r="C780" s="273"/>
      <c r="D780" s="273"/>
      <c r="E780" s="274"/>
      <c r="F780" s="273"/>
      <c r="G780" s="273"/>
      <c r="H780" s="273"/>
      <c r="I780" s="273"/>
      <c r="J780" s="273"/>
      <c r="K780" s="273"/>
      <c r="L780" s="273"/>
      <c r="M780" s="273"/>
      <c r="N780" s="273"/>
      <c r="O780" s="273"/>
      <c r="P780" s="273"/>
      <c r="Q780" s="273"/>
      <c r="R780" s="273"/>
      <c r="S780" s="273"/>
      <c r="T780" s="273"/>
      <c r="U780" s="273"/>
      <c r="V780" s="273"/>
      <c r="W780" s="273"/>
      <c r="X780" s="273"/>
      <c r="Y780" s="273"/>
      <c r="Z780" s="467"/>
      <c r="AA780" s="273"/>
      <c r="AB780" s="273"/>
      <c r="AC780" s="273"/>
      <c r="AD780" s="273"/>
    </row>
    <row r="781" spans="1:30" ht="14.25" customHeight="1">
      <c r="A781" s="273"/>
      <c r="B781" s="273"/>
      <c r="C781" s="273"/>
      <c r="D781" s="273"/>
      <c r="E781" s="274"/>
      <c r="F781" s="273"/>
      <c r="G781" s="273"/>
      <c r="H781" s="273"/>
      <c r="I781" s="273"/>
      <c r="J781" s="273"/>
      <c r="K781" s="273"/>
      <c r="L781" s="273"/>
      <c r="M781" s="273"/>
      <c r="N781" s="273"/>
      <c r="O781" s="273"/>
      <c r="P781" s="273"/>
      <c r="Q781" s="273"/>
      <c r="R781" s="273"/>
      <c r="S781" s="273"/>
      <c r="T781" s="273"/>
      <c r="U781" s="273"/>
      <c r="V781" s="273"/>
      <c r="W781" s="273"/>
      <c r="X781" s="273"/>
      <c r="Y781" s="273"/>
      <c r="Z781" s="467"/>
      <c r="AA781" s="273"/>
      <c r="AB781" s="273"/>
      <c r="AC781" s="273"/>
      <c r="AD781" s="273"/>
    </row>
    <row r="782" spans="1:30" ht="14.25" customHeight="1">
      <c r="A782" s="273"/>
      <c r="B782" s="273"/>
      <c r="C782" s="273"/>
      <c r="D782" s="273"/>
      <c r="E782" s="274"/>
      <c r="F782" s="273"/>
      <c r="G782" s="273"/>
      <c r="H782" s="273"/>
      <c r="I782" s="273"/>
      <c r="J782" s="273"/>
      <c r="K782" s="273"/>
      <c r="L782" s="273"/>
      <c r="M782" s="273"/>
      <c r="N782" s="273"/>
      <c r="O782" s="273"/>
      <c r="P782" s="273"/>
      <c r="Q782" s="273"/>
      <c r="R782" s="273"/>
      <c r="S782" s="273"/>
      <c r="T782" s="273"/>
      <c r="U782" s="273"/>
      <c r="V782" s="273"/>
      <c r="W782" s="273"/>
      <c r="X782" s="273"/>
      <c r="Y782" s="273"/>
      <c r="Z782" s="467"/>
      <c r="AA782" s="273"/>
      <c r="AB782" s="273"/>
      <c r="AC782" s="273"/>
      <c r="AD782" s="273"/>
    </row>
    <row r="783" spans="1:30" ht="14.25" customHeight="1">
      <c r="A783" s="273"/>
      <c r="B783" s="273"/>
      <c r="C783" s="273"/>
      <c r="D783" s="273"/>
      <c r="E783" s="274"/>
      <c r="F783" s="273"/>
      <c r="G783" s="273"/>
      <c r="H783" s="273"/>
      <c r="I783" s="273"/>
      <c r="J783" s="273"/>
      <c r="K783" s="273"/>
      <c r="L783" s="273"/>
      <c r="M783" s="273"/>
      <c r="N783" s="273"/>
      <c r="O783" s="273"/>
      <c r="P783" s="273"/>
      <c r="Q783" s="273"/>
      <c r="R783" s="273"/>
      <c r="S783" s="273"/>
      <c r="T783" s="273"/>
      <c r="U783" s="273"/>
      <c r="V783" s="273"/>
      <c r="W783" s="273"/>
      <c r="X783" s="273"/>
      <c r="Y783" s="273"/>
      <c r="Z783" s="467"/>
      <c r="AA783" s="273"/>
      <c r="AB783" s="273"/>
      <c r="AC783" s="273"/>
      <c r="AD783" s="273"/>
    </row>
    <row r="784" spans="1:30" ht="14.25" customHeight="1">
      <c r="A784" s="273"/>
      <c r="B784" s="273"/>
      <c r="C784" s="273"/>
      <c r="D784" s="273"/>
      <c r="E784" s="274"/>
      <c r="F784" s="273"/>
      <c r="G784" s="273"/>
      <c r="H784" s="273"/>
      <c r="I784" s="273"/>
      <c r="J784" s="273"/>
      <c r="K784" s="273"/>
      <c r="L784" s="273"/>
      <c r="M784" s="273"/>
      <c r="N784" s="273"/>
      <c r="O784" s="273"/>
      <c r="P784" s="273"/>
      <c r="Q784" s="273"/>
      <c r="R784" s="273"/>
      <c r="S784" s="273"/>
      <c r="T784" s="273"/>
      <c r="U784" s="273"/>
      <c r="V784" s="273"/>
      <c r="W784" s="273"/>
      <c r="X784" s="273"/>
      <c r="Y784" s="273"/>
      <c r="Z784" s="467"/>
      <c r="AA784" s="273"/>
      <c r="AB784" s="273"/>
      <c r="AC784" s="273"/>
      <c r="AD784" s="273"/>
    </row>
    <row r="785" spans="1:30" ht="14.25" customHeight="1">
      <c r="A785" s="273"/>
      <c r="B785" s="273"/>
      <c r="C785" s="273"/>
      <c r="D785" s="273"/>
      <c r="E785" s="274"/>
      <c r="F785" s="273"/>
      <c r="G785" s="273"/>
      <c r="H785" s="273"/>
      <c r="I785" s="273"/>
      <c r="J785" s="273"/>
      <c r="K785" s="273"/>
      <c r="L785" s="273"/>
      <c r="M785" s="273"/>
      <c r="N785" s="273"/>
      <c r="O785" s="273"/>
      <c r="P785" s="273"/>
      <c r="Q785" s="273"/>
      <c r="R785" s="273"/>
      <c r="S785" s="273"/>
      <c r="T785" s="273"/>
      <c r="U785" s="273"/>
      <c r="V785" s="273"/>
      <c r="W785" s="273"/>
      <c r="X785" s="273"/>
      <c r="Y785" s="273"/>
      <c r="Z785" s="467"/>
      <c r="AA785" s="273"/>
      <c r="AB785" s="273"/>
      <c r="AC785" s="273"/>
      <c r="AD785" s="273"/>
    </row>
    <row r="786" spans="1:30" ht="14.25" customHeight="1">
      <c r="A786" s="273"/>
      <c r="B786" s="273"/>
      <c r="C786" s="273"/>
      <c r="D786" s="273"/>
      <c r="E786" s="274"/>
      <c r="F786" s="273"/>
      <c r="G786" s="273"/>
      <c r="H786" s="273"/>
      <c r="I786" s="273"/>
      <c r="J786" s="273"/>
      <c r="K786" s="273"/>
      <c r="L786" s="273"/>
      <c r="M786" s="273"/>
      <c r="N786" s="273"/>
      <c r="O786" s="273"/>
      <c r="P786" s="273"/>
      <c r="Q786" s="273"/>
      <c r="R786" s="273"/>
      <c r="S786" s="273"/>
      <c r="T786" s="273"/>
      <c r="U786" s="273"/>
      <c r="V786" s="273"/>
      <c r="W786" s="273"/>
      <c r="X786" s="273"/>
      <c r="Y786" s="273"/>
      <c r="Z786" s="467"/>
      <c r="AA786" s="273"/>
      <c r="AB786" s="273"/>
      <c r="AC786" s="273"/>
      <c r="AD786" s="273"/>
    </row>
    <row r="787" spans="1:30" ht="14.25" customHeight="1">
      <c r="A787" s="273"/>
      <c r="B787" s="273"/>
      <c r="C787" s="273"/>
      <c r="D787" s="273"/>
      <c r="E787" s="274"/>
      <c r="F787" s="273"/>
      <c r="G787" s="273"/>
      <c r="H787" s="273"/>
      <c r="I787" s="273"/>
      <c r="J787" s="273"/>
      <c r="K787" s="273"/>
      <c r="L787" s="273"/>
      <c r="M787" s="273"/>
      <c r="N787" s="273"/>
      <c r="O787" s="273"/>
      <c r="P787" s="273"/>
      <c r="Q787" s="273"/>
      <c r="R787" s="273"/>
      <c r="S787" s="273"/>
      <c r="T787" s="273"/>
      <c r="U787" s="273"/>
      <c r="V787" s="273"/>
      <c r="W787" s="273"/>
      <c r="X787" s="273"/>
      <c r="Y787" s="273"/>
      <c r="Z787" s="467"/>
      <c r="AA787" s="273"/>
      <c r="AB787" s="273"/>
      <c r="AC787" s="273"/>
      <c r="AD787" s="273"/>
    </row>
    <row r="788" spans="1:30" ht="14.25" customHeight="1">
      <c r="A788" s="273"/>
      <c r="B788" s="273"/>
      <c r="C788" s="273"/>
      <c r="D788" s="273"/>
      <c r="E788" s="274"/>
      <c r="F788" s="273"/>
      <c r="G788" s="273"/>
      <c r="H788" s="273"/>
      <c r="I788" s="273"/>
      <c r="J788" s="273"/>
      <c r="K788" s="273"/>
      <c r="L788" s="273"/>
      <c r="M788" s="273"/>
      <c r="N788" s="273"/>
      <c r="O788" s="273"/>
      <c r="P788" s="273"/>
      <c r="Q788" s="273"/>
      <c r="R788" s="273"/>
      <c r="S788" s="273"/>
      <c r="T788" s="273"/>
      <c r="U788" s="273"/>
      <c r="V788" s="273"/>
      <c r="W788" s="273"/>
      <c r="X788" s="273"/>
      <c r="Y788" s="273"/>
      <c r="Z788" s="467"/>
      <c r="AA788" s="273"/>
      <c r="AB788" s="273"/>
      <c r="AC788" s="273"/>
      <c r="AD788" s="273"/>
    </row>
    <row r="789" spans="1:30" ht="14.25" customHeight="1">
      <c r="A789" s="273"/>
      <c r="B789" s="273"/>
      <c r="C789" s="273"/>
      <c r="D789" s="273"/>
      <c r="E789" s="274"/>
      <c r="F789" s="273"/>
      <c r="G789" s="273"/>
      <c r="H789" s="273"/>
      <c r="I789" s="273"/>
      <c r="J789" s="273"/>
      <c r="K789" s="273"/>
      <c r="L789" s="273"/>
      <c r="M789" s="273"/>
      <c r="N789" s="273"/>
      <c r="O789" s="273"/>
      <c r="P789" s="273"/>
      <c r="Q789" s="273"/>
      <c r="R789" s="273"/>
      <c r="S789" s="273"/>
      <c r="T789" s="273"/>
      <c r="U789" s="273"/>
      <c r="V789" s="273"/>
      <c r="W789" s="273"/>
      <c r="X789" s="273"/>
      <c r="Y789" s="273"/>
      <c r="Z789" s="467"/>
      <c r="AA789" s="273"/>
      <c r="AB789" s="273"/>
      <c r="AC789" s="273"/>
      <c r="AD789" s="273"/>
    </row>
    <row r="790" spans="1:30" ht="14.25" customHeight="1">
      <c r="A790" s="273"/>
      <c r="B790" s="273"/>
      <c r="C790" s="273"/>
      <c r="D790" s="273"/>
      <c r="E790" s="274"/>
      <c r="F790" s="273"/>
      <c r="G790" s="273"/>
      <c r="H790" s="273"/>
      <c r="I790" s="273"/>
      <c r="J790" s="273"/>
      <c r="K790" s="273"/>
      <c r="L790" s="273"/>
      <c r="M790" s="273"/>
      <c r="N790" s="273"/>
      <c r="O790" s="273"/>
      <c r="P790" s="273"/>
      <c r="Q790" s="273"/>
      <c r="R790" s="273"/>
      <c r="S790" s="273"/>
      <c r="T790" s="273"/>
      <c r="U790" s="273"/>
      <c r="V790" s="273"/>
      <c r="W790" s="273"/>
      <c r="X790" s="273"/>
      <c r="Y790" s="273"/>
      <c r="Z790" s="467"/>
      <c r="AA790" s="273"/>
      <c r="AB790" s="273"/>
      <c r="AC790" s="273"/>
      <c r="AD790" s="273"/>
    </row>
    <row r="791" spans="1:30" ht="14.25" customHeight="1">
      <c r="A791" s="273"/>
      <c r="B791" s="273"/>
      <c r="C791" s="273"/>
      <c r="D791" s="273"/>
      <c r="E791" s="274"/>
      <c r="F791" s="273"/>
      <c r="G791" s="273"/>
      <c r="H791" s="273"/>
      <c r="I791" s="273"/>
      <c r="J791" s="273"/>
      <c r="K791" s="273"/>
      <c r="L791" s="273"/>
      <c r="M791" s="273"/>
      <c r="N791" s="273"/>
      <c r="O791" s="273"/>
      <c r="P791" s="273"/>
      <c r="Q791" s="273"/>
      <c r="R791" s="273"/>
      <c r="S791" s="273"/>
      <c r="T791" s="273"/>
      <c r="U791" s="273"/>
      <c r="V791" s="273"/>
      <c r="W791" s="273"/>
      <c r="X791" s="273"/>
      <c r="Y791" s="273"/>
      <c r="Z791" s="467"/>
      <c r="AA791" s="273"/>
      <c r="AB791" s="273"/>
      <c r="AC791" s="273"/>
      <c r="AD791" s="273"/>
    </row>
    <row r="792" spans="1:30" ht="14.25" customHeight="1">
      <c r="A792" s="273"/>
      <c r="B792" s="273"/>
      <c r="C792" s="273"/>
      <c r="D792" s="273"/>
      <c r="E792" s="274"/>
      <c r="F792" s="273"/>
      <c r="G792" s="273"/>
      <c r="H792" s="273"/>
      <c r="I792" s="273"/>
      <c r="J792" s="273"/>
      <c r="K792" s="273"/>
      <c r="L792" s="273"/>
      <c r="M792" s="273"/>
      <c r="N792" s="273"/>
      <c r="O792" s="273"/>
      <c r="P792" s="273"/>
      <c r="Q792" s="273"/>
      <c r="R792" s="273"/>
      <c r="S792" s="273"/>
      <c r="T792" s="273"/>
      <c r="U792" s="273"/>
      <c r="V792" s="273"/>
      <c r="W792" s="273"/>
      <c r="X792" s="273"/>
      <c r="Y792" s="273"/>
      <c r="Z792" s="467"/>
      <c r="AA792" s="273"/>
      <c r="AB792" s="273"/>
      <c r="AC792" s="273"/>
      <c r="AD792" s="273"/>
    </row>
    <row r="793" spans="1:30" ht="14.25" customHeight="1">
      <c r="A793" s="273"/>
      <c r="B793" s="273"/>
      <c r="C793" s="273"/>
      <c r="D793" s="273"/>
      <c r="E793" s="274"/>
      <c r="F793" s="273"/>
      <c r="G793" s="273"/>
      <c r="H793" s="273"/>
      <c r="I793" s="273"/>
      <c r="J793" s="273"/>
      <c r="K793" s="273"/>
      <c r="L793" s="273"/>
      <c r="M793" s="273"/>
      <c r="N793" s="273"/>
      <c r="O793" s="273"/>
      <c r="P793" s="273"/>
      <c r="Q793" s="273"/>
      <c r="R793" s="273"/>
      <c r="S793" s="273"/>
      <c r="T793" s="273"/>
      <c r="U793" s="273"/>
      <c r="V793" s="273"/>
      <c r="W793" s="273"/>
      <c r="X793" s="273"/>
      <c r="Y793" s="273"/>
      <c r="Z793" s="467"/>
      <c r="AA793" s="273"/>
      <c r="AB793" s="273"/>
      <c r="AC793" s="273"/>
      <c r="AD793" s="273"/>
    </row>
    <row r="794" spans="1:30" ht="14.25" customHeight="1">
      <c r="A794" s="273"/>
      <c r="B794" s="273"/>
      <c r="C794" s="273"/>
      <c r="D794" s="273"/>
      <c r="E794" s="274"/>
      <c r="F794" s="273"/>
      <c r="G794" s="273"/>
      <c r="H794" s="273"/>
      <c r="I794" s="273"/>
      <c r="J794" s="273"/>
      <c r="K794" s="273"/>
      <c r="L794" s="273"/>
      <c r="M794" s="273"/>
      <c r="N794" s="273"/>
      <c r="O794" s="273"/>
      <c r="P794" s="273"/>
      <c r="Q794" s="273"/>
      <c r="R794" s="273"/>
      <c r="S794" s="273"/>
      <c r="T794" s="273"/>
      <c r="U794" s="273"/>
      <c r="V794" s="273"/>
      <c r="W794" s="273"/>
      <c r="X794" s="273"/>
      <c r="Y794" s="273"/>
      <c r="Z794" s="467"/>
      <c r="AA794" s="273"/>
      <c r="AB794" s="273"/>
      <c r="AC794" s="273"/>
      <c r="AD794" s="273"/>
    </row>
    <row r="795" spans="1:30" ht="14.25" customHeight="1">
      <c r="A795" s="273"/>
      <c r="B795" s="273"/>
      <c r="C795" s="273"/>
      <c r="D795" s="273"/>
      <c r="E795" s="274"/>
      <c r="F795" s="273"/>
      <c r="G795" s="273"/>
      <c r="H795" s="273"/>
      <c r="I795" s="273"/>
      <c r="J795" s="273"/>
      <c r="K795" s="273"/>
      <c r="L795" s="273"/>
      <c r="M795" s="273"/>
      <c r="N795" s="273"/>
      <c r="O795" s="273"/>
      <c r="P795" s="273"/>
      <c r="Q795" s="273"/>
      <c r="R795" s="273"/>
      <c r="S795" s="273"/>
      <c r="T795" s="273"/>
      <c r="U795" s="273"/>
      <c r="V795" s="273"/>
      <c r="W795" s="273"/>
      <c r="X795" s="273"/>
      <c r="Y795" s="273"/>
      <c r="Z795" s="467"/>
      <c r="AA795" s="273"/>
      <c r="AB795" s="273"/>
      <c r="AC795" s="273"/>
      <c r="AD795" s="273"/>
    </row>
    <row r="796" spans="1:30" ht="14.25" customHeight="1">
      <c r="A796" s="273"/>
      <c r="B796" s="273"/>
      <c r="C796" s="273"/>
      <c r="D796" s="273"/>
      <c r="E796" s="274"/>
      <c r="F796" s="273"/>
      <c r="G796" s="273"/>
      <c r="H796" s="273"/>
      <c r="I796" s="273"/>
      <c r="J796" s="273"/>
      <c r="K796" s="273"/>
      <c r="L796" s="273"/>
      <c r="M796" s="273"/>
      <c r="N796" s="273"/>
      <c r="O796" s="273"/>
      <c r="P796" s="273"/>
      <c r="Q796" s="273"/>
      <c r="R796" s="273"/>
      <c r="S796" s="273"/>
      <c r="T796" s="273"/>
      <c r="U796" s="273"/>
      <c r="V796" s="273"/>
      <c r="W796" s="273"/>
      <c r="X796" s="273"/>
      <c r="Y796" s="273"/>
      <c r="Z796" s="467"/>
      <c r="AA796" s="273"/>
      <c r="AB796" s="273"/>
      <c r="AC796" s="273"/>
      <c r="AD796" s="273"/>
    </row>
    <row r="797" spans="1:30" ht="14.25" customHeight="1">
      <c r="A797" s="273"/>
      <c r="B797" s="273"/>
      <c r="C797" s="273"/>
      <c r="D797" s="273"/>
      <c r="E797" s="274"/>
      <c r="F797" s="273"/>
      <c r="G797" s="273"/>
      <c r="H797" s="273"/>
      <c r="I797" s="273"/>
      <c r="J797" s="273"/>
      <c r="K797" s="273"/>
      <c r="L797" s="273"/>
      <c r="M797" s="273"/>
      <c r="N797" s="273"/>
      <c r="O797" s="273"/>
      <c r="P797" s="273"/>
      <c r="Q797" s="273"/>
      <c r="R797" s="273"/>
      <c r="S797" s="273"/>
      <c r="T797" s="273"/>
      <c r="U797" s="273"/>
      <c r="V797" s="273"/>
      <c r="W797" s="273"/>
      <c r="X797" s="273"/>
      <c r="Y797" s="273"/>
      <c r="Z797" s="467"/>
      <c r="AA797" s="273"/>
      <c r="AB797" s="273"/>
      <c r="AC797" s="273"/>
      <c r="AD797" s="273"/>
    </row>
    <row r="798" spans="1:30" ht="14.25" customHeight="1">
      <c r="A798" s="273"/>
      <c r="B798" s="273"/>
      <c r="C798" s="273"/>
      <c r="D798" s="273"/>
      <c r="E798" s="274"/>
      <c r="F798" s="273"/>
      <c r="G798" s="273"/>
      <c r="H798" s="273"/>
      <c r="I798" s="273"/>
      <c r="J798" s="273"/>
      <c r="K798" s="273"/>
      <c r="L798" s="273"/>
      <c r="M798" s="273"/>
      <c r="N798" s="273"/>
      <c r="O798" s="273"/>
      <c r="P798" s="273"/>
      <c r="Q798" s="273"/>
      <c r="R798" s="273"/>
      <c r="S798" s="273"/>
      <c r="T798" s="273"/>
      <c r="U798" s="273"/>
      <c r="V798" s="273"/>
      <c r="W798" s="273"/>
      <c r="X798" s="273"/>
      <c r="Y798" s="273"/>
      <c r="Z798" s="467"/>
      <c r="AA798" s="273"/>
      <c r="AB798" s="273"/>
      <c r="AC798" s="273"/>
      <c r="AD798" s="273"/>
    </row>
    <row r="799" spans="1:30" ht="14.25" customHeight="1">
      <c r="A799" s="273"/>
      <c r="B799" s="273"/>
      <c r="C799" s="273"/>
      <c r="D799" s="273"/>
      <c r="E799" s="274"/>
      <c r="F799" s="273"/>
      <c r="G799" s="273"/>
      <c r="H799" s="273"/>
      <c r="I799" s="273"/>
      <c r="J799" s="273"/>
      <c r="K799" s="273"/>
      <c r="L799" s="273"/>
      <c r="M799" s="273"/>
      <c r="N799" s="273"/>
      <c r="O799" s="273"/>
      <c r="P799" s="273"/>
      <c r="Q799" s="273"/>
      <c r="R799" s="273"/>
      <c r="S799" s="273"/>
      <c r="T799" s="273"/>
      <c r="U799" s="273"/>
      <c r="V799" s="273"/>
      <c r="W799" s="273"/>
      <c r="X799" s="273"/>
      <c r="Y799" s="273"/>
      <c r="Z799" s="467"/>
      <c r="AA799" s="273"/>
      <c r="AB799" s="273"/>
      <c r="AC799" s="273"/>
      <c r="AD799" s="273"/>
    </row>
    <row r="800" spans="1:30" ht="14.25" customHeight="1">
      <c r="A800" s="273"/>
      <c r="B800" s="273"/>
      <c r="C800" s="273"/>
      <c r="D800" s="273"/>
      <c r="E800" s="274"/>
      <c r="F800" s="273"/>
      <c r="G800" s="273"/>
      <c r="H800" s="273"/>
      <c r="I800" s="273"/>
      <c r="J800" s="273"/>
      <c r="K800" s="273"/>
      <c r="L800" s="273"/>
      <c r="M800" s="273"/>
      <c r="N800" s="273"/>
      <c r="O800" s="273"/>
      <c r="P800" s="273"/>
      <c r="Q800" s="273"/>
      <c r="R800" s="273"/>
      <c r="S800" s="273"/>
      <c r="T800" s="273"/>
      <c r="U800" s="273"/>
      <c r="V800" s="273"/>
      <c r="W800" s="273"/>
      <c r="X800" s="273"/>
      <c r="Y800" s="273"/>
      <c r="Z800" s="467"/>
      <c r="AA800" s="273"/>
      <c r="AB800" s="273"/>
      <c r="AC800" s="273"/>
      <c r="AD800" s="273"/>
    </row>
    <row r="801" spans="1:30" ht="14.25" customHeight="1">
      <c r="A801" s="273"/>
      <c r="B801" s="273"/>
      <c r="C801" s="273"/>
      <c r="D801" s="273"/>
      <c r="E801" s="274"/>
      <c r="F801" s="273"/>
      <c r="G801" s="273"/>
      <c r="H801" s="273"/>
      <c r="I801" s="273"/>
      <c r="J801" s="273"/>
      <c r="K801" s="273"/>
      <c r="L801" s="273"/>
      <c r="M801" s="273"/>
      <c r="N801" s="273"/>
      <c r="O801" s="273"/>
      <c r="P801" s="273"/>
      <c r="Q801" s="273"/>
      <c r="R801" s="273"/>
      <c r="S801" s="273"/>
      <c r="T801" s="273"/>
      <c r="U801" s="273"/>
      <c r="V801" s="273"/>
      <c r="W801" s="273"/>
      <c r="X801" s="273"/>
      <c r="Y801" s="273"/>
      <c r="Z801" s="467"/>
      <c r="AA801" s="273"/>
      <c r="AB801" s="273"/>
      <c r="AC801" s="273"/>
      <c r="AD801" s="273"/>
    </row>
    <row r="802" spans="1:30" ht="14.25" customHeight="1">
      <c r="A802" s="273"/>
      <c r="B802" s="273"/>
      <c r="C802" s="273"/>
      <c r="D802" s="273"/>
      <c r="E802" s="274"/>
      <c r="F802" s="273"/>
      <c r="G802" s="273"/>
      <c r="H802" s="273"/>
      <c r="I802" s="273"/>
      <c r="J802" s="273"/>
      <c r="K802" s="273"/>
      <c r="L802" s="273"/>
      <c r="M802" s="273"/>
      <c r="N802" s="273"/>
      <c r="O802" s="273"/>
      <c r="P802" s="273"/>
      <c r="Q802" s="273"/>
      <c r="R802" s="273"/>
      <c r="S802" s="273"/>
      <c r="T802" s="273"/>
      <c r="U802" s="273"/>
      <c r="V802" s="273"/>
      <c r="W802" s="273"/>
      <c r="X802" s="273"/>
      <c r="Y802" s="273"/>
      <c r="Z802" s="467"/>
      <c r="AA802" s="273"/>
      <c r="AB802" s="273"/>
      <c r="AC802" s="273"/>
      <c r="AD802" s="273"/>
    </row>
    <row r="803" spans="1:30" ht="14.25" customHeight="1">
      <c r="A803" s="273"/>
      <c r="B803" s="273"/>
      <c r="C803" s="273"/>
      <c r="D803" s="273"/>
      <c r="E803" s="274"/>
      <c r="F803" s="273"/>
      <c r="G803" s="273"/>
      <c r="H803" s="273"/>
      <c r="I803" s="273"/>
      <c r="J803" s="273"/>
      <c r="K803" s="273"/>
      <c r="L803" s="273"/>
      <c r="M803" s="273"/>
      <c r="N803" s="273"/>
      <c r="O803" s="273"/>
      <c r="P803" s="273"/>
      <c r="Q803" s="273"/>
      <c r="R803" s="273"/>
      <c r="S803" s="273"/>
      <c r="T803" s="273"/>
      <c r="U803" s="273"/>
      <c r="V803" s="273"/>
      <c r="W803" s="273"/>
      <c r="X803" s="273"/>
      <c r="Y803" s="273"/>
      <c r="Z803" s="467"/>
      <c r="AA803" s="273"/>
      <c r="AB803" s="273"/>
      <c r="AC803" s="273"/>
      <c r="AD803" s="273"/>
    </row>
    <row r="804" spans="1:30" ht="14.25" customHeight="1">
      <c r="A804" s="273"/>
      <c r="B804" s="273"/>
      <c r="C804" s="273"/>
      <c r="D804" s="273"/>
      <c r="E804" s="274"/>
      <c r="F804" s="273"/>
      <c r="G804" s="273"/>
      <c r="H804" s="273"/>
      <c r="I804" s="273"/>
      <c r="J804" s="273"/>
      <c r="K804" s="273"/>
      <c r="L804" s="273"/>
      <c r="M804" s="273"/>
      <c r="N804" s="273"/>
      <c r="O804" s="273"/>
      <c r="P804" s="273"/>
      <c r="Q804" s="273"/>
      <c r="R804" s="273"/>
      <c r="S804" s="273"/>
      <c r="T804" s="273"/>
      <c r="U804" s="273"/>
      <c r="V804" s="273"/>
      <c r="W804" s="273"/>
      <c r="X804" s="273"/>
      <c r="Y804" s="273"/>
      <c r="Z804" s="467"/>
      <c r="AA804" s="273"/>
      <c r="AB804" s="273"/>
      <c r="AC804" s="273"/>
      <c r="AD804" s="273"/>
    </row>
    <row r="805" spans="1:30" ht="14.25" customHeight="1">
      <c r="A805" s="273"/>
      <c r="B805" s="273"/>
      <c r="C805" s="273"/>
      <c r="D805" s="273"/>
      <c r="E805" s="274"/>
      <c r="F805" s="273"/>
      <c r="G805" s="273"/>
      <c r="H805" s="273"/>
      <c r="I805" s="273"/>
      <c r="J805" s="273"/>
      <c r="K805" s="273"/>
      <c r="L805" s="273"/>
      <c r="M805" s="273"/>
      <c r="N805" s="273"/>
      <c r="O805" s="273"/>
      <c r="P805" s="273"/>
      <c r="Q805" s="273"/>
      <c r="R805" s="273"/>
      <c r="S805" s="273"/>
      <c r="T805" s="273"/>
      <c r="U805" s="273"/>
      <c r="V805" s="273"/>
      <c r="W805" s="273"/>
      <c r="X805" s="273"/>
      <c r="Y805" s="273"/>
      <c r="Z805" s="467"/>
      <c r="AA805" s="273"/>
      <c r="AB805" s="273"/>
      <c r="AC805" s="273"/>
      <c r="AD805" s="273"/>
    </row>
    <row r="806" spans="1:30" ht="14.25" customHeight="1">
      <c r="A806" s="273"/>
      <c r="B806" s="273"/>
      <c r="C806" s="273"/>
      <c r="D806" s="273"/>
      <c r="E806" s="274"/>
      <c r="F806" s="273"/>
      <c r="G806" s="273"/>
      <c r="H806" s="273"/>
      <c r="I806" s="273"/>
      <c r="J806" s="273"/>
      <c r="K806" s="273"/>
      <c r="L806" s="273"/>
      <c r="M806" s="273"/>
      <c r="N806" s="273"/>
      <c r="O806" s="273"/>
      <c r="P806" s="273"/>
      <c r="Q806" s="273"/>
      <c r="R806" s="273"/>
      <c r="S806" s="273"/>
      <c r="T806" s="273"/>
      <c r="U806" s="273"/>
      <c r="V806" s="273"/>
      <c r="W806" s="273"/>
      <c r="X806" s="273"/>
      <c r="Y806" s="273"/>
      <c r="Z806" s="467"/>
      <c r="AA806" s="273"/>
      <c r="AB806" s="273"/>
      <c r="AC806" s="273"/>
      <c r="AD806" s="273"/>
    </row>
    <row r="807" spans="1:30" ht="14.25" customHeight="1">
      <c r="A807" s="273"/>
      <c r="B807" s="273"/>
      <c r="C807" s="273"/>
      <c r="D807" s="273"/>
      <c r="E807" s="274"/>
      <c r="F807" s="273"/>
      <c r="G807" s="273"/>
      <c r="H807" s="273"/>
      <c r="I807" s="273"/>
      <c r="J807" s="273"/>
      <c r="K807" s="273"/>
      <c r="L807" s="273"/>
      <c r="M807" s="273"/>
      <c r="N807" s="273"/>
      <c r="O807" s="273"/>
      <c r="P807" s="273"/>
      <c r="Q807" s="273"/>
      <c r="R807" s="273"/>
      <c r="S807" s="273"/>
      <c r="T807" s="273"/>
      <c r="U807" s="273"/>
      <c r="V807" s="273"/>
      <c r="W807" s="273"/>
      <c r="X807" s="273"/>
      <c r="Y807" s="273"/>
      <c r="Z807" s="467"/>
      <c r="AA807" s="273"/>
      <c r="AB807" s="273"/>
      <c r="AC807" s="273"/>
      <c r="AD807" s="273"/>
    </row>
    <row r="808" spans="1:30" ht="14.25" customHeight="1">
      <c r="A808" s="273"/>
      <c r="B808" s="273"/>
      <c r="C808" s="273"/>
      <c r="D808" s="273"/>
      <c r="E808" s="274"/>
      <c r="F808" s="273"/>
      <c r="G808" s="273"/>
      <c r="H808" s="273"/>
      <c r="I808" s="273"/>
      <c r="J808" s="273"/>
      <c r="K808" s="273"/>
      <c r="L808" s="273"/>
      <c r="M808" s="273"/>
      <c r="N808" s="273"/>
      <c r="O808" s="273"/>
      <c r="P808" s="273"/>
      <c r="Q808" s="273"/>
      <c r="R808" s="273"/>
      <c r="S808" s="273"/>
      <c r="T808" s="273"/>
      <c r="U808" s="273"/>
      <c r="V808" s="273"/>
      <c r="W808" s="273"/>
      <c r="X808" s="273"/>
      <c r="Y808" s="273"/>
      <c r="Z808" s="467"/>
      <c r="AA808" s="273"/>
      <c r="AB808" s="273"/>
      <c r="AC808" s="273"/>
      <c r="AD808" s="273"/>
    </row>
    <row r="809" spans="1:30" ht="14.25" customHeight="1">
      <c r="A809" s="273"/>
      <c r="B809" s="273"/>
      <c r="C809" s="273"/>
      <c r="D809" s="273"/>
      <c r="E809" s="274"/>
      <c r="F809" s="273"/>
      <c r="G809" s="273"/>
      <c r="H809" s="273"/>
      <c r="I809" s="273"/>
      <c r="J809" s="273"/>
      <c r="K809" s="273"/>
      <c r="L809" s="273"/>
      <c r="M809" s="273"/>
      <c r="N809" s="273"/>
      <c r="O809" s="273"/>
      <c r="P809" s="273"/>
      <c r="Q809" s="273"/>
      <c r="R809" s="273"/>
      <c r="S809" s="273"/>
      <c r="T809" s="273"/>
      <c r="U809" s="273"/>
      <c r="V809" s="273"/>
      <c r="W809" s="273"/>
      <c r="X809" s="273"/>
      <c r="Y809" s="273"/>
      <c r="Z809" s="467"/>
      <c r="AA809" s="273"/>
      <c r="AB809" s="273"/>
      <c r="AC809" s="273"/>
      <c r="AD809" s="273"/>
    </row>
    <row r="810" spans="1:30" ht="14.25" customHeight="1">
      <c r="A810" s="273"/>
      <c r="B810" s="273"/>
      <c r="C810" s="273"/>
      <c r="D810" s="273"/>
      <c r="E810" s="274"/>
      <c r="F810" s="273"/>
      <c r="G810" s="273"/>
      <c r="H810" s="273"/>
      <c r="I810" s="273"/>
      <c r="J810" s="273"/>
      <c r="K810" s="273"/>
      <c r="L810" s="273"/>
      <c r="M810" s="273"/>
      <c r="N810" s="273"/>
      <c r="O810" s="273"/>
      <c r="P810" s="273"/>
      <c r="Q810" s="273"/>
      <c r="R810" s="273"/>
      <c r="S810" s="273"/>
      <c r="T810" s="273"/>
      <c r="U810" s="273"/>
      <c r="V810" s="273"/>
      <c r="W810" s="273"/>
      <c r="X810" s="273"/>
      <c r="Y810" s="273"/>
      <c r="Z810" s="467"/>
      <c r="AA810" s="273"/>
      <c r="AB810" s="273"/>
      <c r="AC810" s="273"/>
      <c r="AD810" s="273"/>
    </row>
    <row r="811" spans="1:30" ht="14.25" customHeight="1">
      <c r="A811" s="273"/>
      <c r="B811" s="273"/>
      <c r="C811" s="273"/>
      <c r="D811" s="273"/>
      <c r="E811" s="274"/>
      <c r="F811" s="273"/>
      <c r="G811" s="273"/>
      <c r="H811" s="273"/>
      <c r="I811" s="273"/>
      <c r="J811" s="273"/>
      <c r="K811" s="273"/>
      <c r="L811" s="273"/>
      <c r="M811" s="273"/>
      <c r="N811" s="273"/>
      <c r="O811" s="273"/>
      <c r="P811" s="273"/>
      <c r="Q811" s="273"/>
      <c r="R811" s="273"/>
      <c r="S811" s="273"/>
      <c r="T811" s="273"/>
      <c r="U811" s="273"/>
      <c r="V811" s="273"/>
      <c r="W811" s="273"/>
      <c r="X811" s="273"/>
      <c r="Y811" s="273"/>
      <c r="Z811" s="467"/>
      <c r="AA811" s="273"/>
      <c r="AB811" s="273"/>
      <c r="AC811" s="273"/>
      <c r="AD811" s="273"/>
    </row>
    <row r="812" spans="1:30" ht="14.25" customHeight="1">
      <c r="A812" s="273"/>
      <c r="B812" s="273"/>
      <c r="C812" s="273"/>
      <c r="D812" s="273"/>
      <c r="E812" s="274"/>
      <c r="F812" s="273"/>
      <c r="G812" s="273"/>
      <c r="H812" s="273"/>
      <c r="I812" s="273"/>
      <c r="J812" s="273"/>
      <c r="K812" s="273"/>
      <c r="L812" s="273"/>
      <c r="M812" s="273"/>
      <c r="N812" s="273"/>
      <c r="O812" s="273"/>
      <c r="P812" s="273"/>
      <c r="Q812" s="273"/>
      <c r="R812" s="273"/>
      <c r="S812" s="273"/>
      <c r="T812" s="273"/>
      <c r="U812" s="273"/>
      <c r="V812" s="273"/>
      <c r="W812" s="273"/>
      <c r="X812" s="273"/>
      <c r="Y812" s="273"/>
      <c r="Z812" s="467"/>
      <c r="AA812" s="273"/>
      <c r="AB812" s="273"/>
      <c r="AC812" s="273"/>
      <c r="AD812" s="273"/>
    </row>
    <row r="813" spans="1:30" ht="14.25" customHeight="1">
      <c r="A813" s="273"/>
      <c r="B813" s="273"/>
      <c r="C813" s="273"/>
      <c r="D813" s="273"/>
      <c r="E813" s="274"/>
      <c r="F813" s="273"/>
      <c r="G813" s="273"/>
      <c r="H813" s="273"/>
      <c r="I813" s="273"/>
      <c r="J813" s="273"/>
      <c r="K813" s="273"/>
      <c r="L813" s="273"/>
      <c r="M813" s="273"/>
      <c r="N813" s="273"/>
      <c r="O813" s="273"/>
      <c r="P813" s="273"/>
      <c r="Q813" s="273"/>
      <c r="R813" s="273"/>
      <c r="S813" s="273"/>
      <c r="T813" s="273"/>
      <c r="U813" s="273"/>
      <c r="V813" s="273"/>
      <c r="W813" s="273"/>
      <c r="X813" s="273"/>
      <c r="Y813" s="273"/>
      <c r="Z813" s="467"/>
      <c r="AA813" s="273"/>
      <c r="AB813" s="273"/>
      <c r="AC813" s="273"/>
      <c r="AD813" s="273"/>
    </row>
    <row r="814" spans="1:30" ht="14.25" customHeight="1">
      <c r="A814" s="273"/>
      <c r="B814" s="273"/>
      <c r="C814" s="273"/>
      <c r="D814" s="273"/>
      <c r="E814" s="274"/>
      <c r="F814" s="273"/>
      <c r="G814" s="273"/>
      <c r="H814" s="273"/>
      <c r="I814" s="273"/>
      <c r="J814" s="273"/>
      <c r="K814" s="273"/>
      <c r="L814" s="273"/>
      <c r="M814" s="273"/>
      <c r="N814" s="273"/>
      <c r="O814" s="273"/>
      <c r="P814" s="273"/>
      <c r="Q814" s="273"/>
      <c r="R814" s="273"/>
      <c r="S814" s="273"/>
      <c r="T814" s="273"/>
      <c r="U814" s="273"/>
      <c r="V814" s="273"/>
      <c r="W814" s="273"/>
      <c r="X814" s="273"/>
      <c r="Y814" s="273"/>
      <c r="Z814" s="467"/>
      <c r="AA814" s="273"/>
      <c r="AB814" s="273"/>
      <c r="AC814" s="273"/>
      <c r="AD814" s="273"/>
    </row>
    <row r="815" spans="1:30" ht="14.25" customHeight="1">
      <c r="A815" s="273"/>
      <c r="B815" s="273"/>
      <c r="C815" s="273"/>
      <c r="D815" s="273"/>
      <c r="E815" s="274"/>
      <c r="F815" s="273"/>
      <c r="G815" s="273"/>
      <c r="H815" s="273"/>
      <c r="I815" s="273"/>
      <c r="J815" s="273"/>
      <c r="K815" s="273"/>
      <c r="L815" s="273"/>
      <c r="M815" s="273"/>
      <c r="N815" s="273"/>
      <c r="O815" s="273"/>
      <c r="P815" s="273"/>
      <c r="Q815" s="273"/>
      <c r="R815" s="273"/>
      <c r="S815" s="273"/>
      <c r="T815" s="273"/>
      <c r="U815" s="273"/>
      <c r="V815" s="273"/>
      <c r="W815" s="273"/>
      <c r="X815" s="273"/>
      <c r="Y815" s="273"/>
      <c r="Z815" s="467"/>
      <c r="AA815" s="273"/>
      <c r="AB815" s="273"/>
      <c r="AC815" s="273"/>
      <c r="AD815" s="273"/>
    </row>
    <row r="816" spans="1:30" ht="14.25" customHeight="1">
      <c r="A816" s="273"/>
      <c r="B816" s="273"/>
      <c r="C816" s="273"/>
      <c r="D816" s="273"/>
      <c r="E816" s="274"/>
      <c r="F816" s="273"/>
      <c r="G816" s="273"/>
      <c r="H816" s="273"/>
      <c r="I816" s="273"/>
      <c r="J816" s="273"/>
      <c r="K816" s="273"/>
      <c r="L816" s="273"/>
      <c r="M816" s="273"/>
      <c r="N816" s="273"/>
      <c r="O816" s="273"/>
      <c r="P816" s="273"/>
      <c r="Q816" s="273"/>
      <c r="R816" s="273"/>
      <c r="S816" s="273"/>
      <c r="T816" s="273"/>
      <c r="U816" s="273"/>
      <c r="V816" s="273"/>
      <c r="W816" s="273"/>
      <c r="X816" s="273"/>
      <c r="Y816" s="273"/>
      <c r="Z816" s="467"/>
      <c r="AA816" s="273"/>
      <c r="AB816" s="273"/>
      <c r="AC816" s="273"/>
      <c r="AD816" s="273"/>
    </row>
    <row r="817" spans="1:30" ht="14.25" customHeight="1">
      <c r="A817" s="273"/>
      <c r="B817" s="273"/>
      <c r="C817" s="273"/>
      <c r="D817" s="273"/>
      <c r="E817" s="274"/>
      <c r="F817" s="273"/>
      <c r="G817" s="273"/>
      <c r="H817" s="273"/>
      <c r="I817" s="273"/>
      <c r="J817" s="273"/>
      <c r="K817" s="273"/>
      <c r="L817" s="273"/>
      <c r="M817" s="273"/>
      <c r="N817" s="273"/>
      <c r="O817" s="273"/>
      <c r="P817" s="273"/>
      <c r="Q817" s="273"/>
      <c r="R817" s="273"/>
      <c r="S817" s="273"/>
      <c r="T817" s="273"/>
      <c r="U817" s="273"/>
      <c r="V817" s="273"/>
      <c r="W817" s="273"/>
      <c r="X817" s="273"/>
      <c r="Y817" s="273"/>
      <c r="Z817" s="467"/>
      <c r="AA817" s="273"/>
      <c r="AB817" s="273"/>
      <c r="AC817" s="273"/>
      <c r="AD817" s="273"/>
    </row>
    <row r="818" spans="1:30" ht="14.25" customHeight="1">
      <c r="A818" s="273"/>
      <c r="B818" s="273"/>
      <c r="C818" s="273"/>
      <c r="D818" s="273"/>
      <c r="E818" s="274"/>
      <c r="F818" s="273"/>
      <c r="G818" s="273"/>
      <c r="H818" s="273"/>
      <c r="I818" s="273"/>
      <c r="J818" s="273"/>
      <c r="K818" s="273"/>
      <c r="L818" s="273"/>
      <c r="M818" s="273"/>
      <c r="N818" s="273"/>
      <c r="O818" s="273"/>
      <c r="P818" s="273"/>
      <c r="Q818" s="273"/>
      <c r="R818" s="273"/>
      <c r="S818" s="273"/>
      <c r="T818" s="273"/>
      <c r="U818" s="273"/>
      <c r="V818" s="273"/>
      <c r="W818" s="273"/>
      <c r="X818" s="273"/>
      <c r="Y818" s="273"/>
      <c r="Z818" s="467"/>
      <c r="AA818" s="273"/>
      <c r="AB818" s="273"/>
      <c r="AC818" s="273"/>
      <c r="AD818" s="273"/>
    </row>
    <row r="819" spans="1:30" ht="14.25" customHeight="1">
      <c r="A819" s="273"/>
      <c r="B819" s="273"/>
      <c r="C819" s="273"/>
      <c r="D819" s="273"/>
      <c r="E819" s="274"/>
      <c r="F819" s="273"/>
      <c r="G819" s="273"/>
      <c r="H819" s="273"/>
      <c r="I819" s="273"/>
      <c r="J819" s="273"/>
      <c r="K819" s="273"/>
      <c r="L819" s="273"/>
      <c r="M819" s="273"/>
      <c r="N819" s="273"/>
      <c r="O819" s="273"/>
      <c r="P819" s="273"/>
      <c r="Q819" s="273"/>
      <c r="R819" s="273"/>
      <c r="S819" s="273"/>
      <c r="T819" s="273"/>
      <c r="U819" s="273"/>
      <c r="V819" s="273"/>
      <c r="W819" s="273"/>
      <c r="X819" s="273"/>
      <c r="Y819" s="273"/>
      <c r="Z819" s="467"/>
      <c r="AA819" s="273"/>
      <c r="AB819" s="273"/>
      <c r="AC819" s="273"/>
      <c r="AD819" s="273"/>
    </row>
    <row r="820" spans="1:30" ht="14.25" customHeight="1">
      <c r="A820" s="273"/>
      <c r="B820" s="273"/>
      <c r="C820" s="273"/>
      <c r="D820" s="273"/>
      <c r="E820" s="274"/>
      <c r="F820" s="273"/>
      <c r="G820" s="273"/>
      <c r="H820" s="273"/>
      <c r="I820" s="273"/>
      <c r="J820" s="273"/>
      <c r="K820" s="273"/>
      <c r="L820" s="273"/>
      <c r="M820" s="273"/>
      <c r="N820" s="273"/>
      <c r="O820" s="273"/>
      <c r="P820" s="273"/>
      <c r="Q820" s="273"/>
      <c r="R820" s="273"/>
      <c r="S820" s="273"/>
      <c r="T820" s="273"/>
      <c r="U820" s="273"/>
      <c r="V820" s="273"/>
      <c r="W820" s="273"/>
      <c r="X820" s="273"/>
      <c r="Y820" s="273"/>
      <c r="Z820" s="467"/>
      <c r="AA820" s="273"/>
      <c r="AB820" s="273"/>
      <c r="AC820" s="273"/>
      <c r="AD820" s="273"/>
    </row>
    <row r="821" spans="1:30" ht="14.25" customHeight="1">
      <c r="A821" s="273"/>
      <c r="B821" s="273"/>
      <c r="C821" s="273"/>
      <c r="D821" s="273"/>
      <c r="E821" s="274"/>
      <c r="F821" s="273"/>
      <c r="G821" s="273"/>
      <c r="H821" s="273"/>
      <c r="I821" s="273"/>
      <c r="J821" s="273"/>
      <c r="K821" s="273"/>
      <c r="L821" s="273"/>
      <c r="M821" s="273"/>
      <c r="N821" s="273"/>
      <c r="O821" s="273"/>
      <c r="P821" s="273"/>
      <c r="Q821" s="273"/>
      <c r="R821" s="273"/>
      <c r="S821" s="273"/>
      <c r="T821" s="273"/>
      <c r="U821" s="273"/>
      <c r="V821" s="273"/>
      <c r="W821" s="273"/>
      <c r="X821" s="273"/>
      <c r="Y821" s="273"/>
      <c r="Z821" s="467"/>
      <c r="AA821" s="273"/>
      <c r="AB821" s="273"/>
      <c r="AC821" s="273"/>
      <c r="AD821" s="273"/>
    </row>
    <row r="822" spans="1:30" ht="14.25" customHeight="1">
      <c r="A822" s="273"/>
      <c r="B822" s="273"/>
      <c r="C822" s="273"/>
      <c r="D822" s="273"/>
      <c r="E822" s="274"/>
      <c r="F822" s="273"/>
      <c r="G822" s="273"/>
      <c r="H822" s="273"/>
      <c r="I822" s="273"/>
      <c r="J822" s="273"/>
      <c r="K822" s="273"/>
      <c r="L822" s="273"/>
      <c r="M822" s="273"/>
      <c r="N822" s="273"/>
      <c r="O822" s="273"/>
      <c r="P822" s="273"/>
      <c r="Q822" s="273"/>
      <c r="R822" s="273"/>
      <c r="S822" s="273"/>
      <c r="T822" s="273"/>
      <c r="U822" s="273"/>
      <c r="V822" s="273"/>
      <c r="W822" s="273"/>
      <c r="X822" s="273"/>
      <c r="Y822" s="273"/>
      <c r="Z822" s="467"/>
      <c r="AA822" s="273"/>
      <c r="AB822" s="273"/>
      <c r="AC822" s="273"/>
      <c r="AD822" s="273"/>
    </row>
    <row r="823" spans="1:30" ht="14.25" customHeight="1">
      <c r="A823" s="273"/>
      <c r="B823" s="273"/>
      <c r="C823" s="273"/>
      <c r="D823" s="273"/>
      <c r="E823" s="274"/>
      <c r="F823" s="273"/>
      <c r="G823" s="273"/>
      <c r="H823" s="273"/>
      <c r="I823" s="273"/>
      <c r="J823" s="273"/>
      <c r="K823" s="273"/>
      <c r="L823" s="273"/>
      <c r="M823" s="273"/>
      <c r="N823" s="273"/>
      <c r="O823" s="273"/>
      <c r="P823" s="273"/>
      <c r="Q823" s="273"/>
      <c r="R823" s="273"/>
      <c r="S823" s="273"/>
      <c r="T823" s="273"/>
      <c r="U823" s="273"/>
      <c r="V823" s="273"/>
      <c r="W823" s="273"/>
      <c r="X823" s="273"/>
      <c r="Y823" s="273"/>
      <c r="Z823" s="467"/>
      <c r="AA823" s="273"/>
      <c r="AB823" s="273"/>
      <c r="AC823" s="273"/>
      <c r="AD823" s="273"/>
    </row>
    <row r="824" spans="1:30" ht="14.25" customHeight="1">
      <c r="A824" s="273"/>
      <c r="B824" s="273"/>
      <c r="C824" s="273"/>
      <c r="D824" s="273"/>
      <c r="E824" s="274"/>
      <c r="F824" s="273"/>
      <c r="G824" s="273"/>
      <c r="H824" s="273"/>
      <c r="I824" s="273"/>
      <c r="J824" s="273"/>
      <c r="K824" s="273"/>
      <c r="L824" s="273"/>
      <c r="M824" s="273"/>
      <c r="N824" s="273"/>
      <c r="O824" s="273"/>
      <c r="P824" s="273"/>
      <c r="Q824" s="273"/>
      <c r="R824" s="273"/>
      <c r="S824" s="273"/>
      <c r="T824" s="273"/>
      <c r="U824" s="273"/>
      <c r="V824" s="273"/>
      <c r="W824" s="273"/>
      <c r="X824" s="273"/>
      <c r="Y824" s="273"/>
      <c r="Z824" s="467"/>
      <c r="AA824" s="273"/>
      <c r="AB824" s="273"/>
      <c r="AC824" s="273"/>
      <c r="AD824" s="273"/>
    </row>
    <row r="825" spans="1:30" ht="14.25" customHeight="1">
      <c r="A825" s="273"/>
      <c r="B825" s="273"/>
      <c r="C825" s="273"/>
      <c r="D825" s="273"/>
      <c r="E825" s="274"/>
      <c r="F825" s="273"/>
      <c r="G825" s="273"/>
      <c r="H825" s="273"/>
      <c r="I825" s="273"/>
      <c r="J825" s="273"/>
      <c r="K825" s="273"/>
      <c r="L825" s="273"/>
      <c r="M825" s="273"/>
      <c r="N825" s="273"/>
      <c r="O825" s="273"/>
      <c r="P825" s="273"/>
      <c r="Q825" s="273"/>
      <c r="R825" s="273"/>
      <c r="S825" s="273"/>
      <c r="T825" s="273"/>
      <c r="U825" s="273"/>
      <c r="V825" s="273"/>
      <c r="W825" s="273"/>
      <c r="X825" s="273"/>
      <c r="Y825" s="273"/>
      <c r="Z825" s="467"/>
      <c r="AA825" s="273"/>
      <c r="AB825" s="273"/>
      <c r="AC825" s="273"/>
      <c r="AD825" s="273"/>
    </row>
    <row r="826" spans="1:30" ht="14.25" customHeight="1">
      <c r="A826" s="273"/>
      <c r="B826" s="273"/>
      <c r="C826" s="273"/>
      <c r="D826" s="273"/>
      <c r="E826" s="274"/>
      <c r="F826" s="273"/>
      <c r="G826" s="273"/>
      <c r="H826" s="273"/>
      <c r="I826" s="273"/>
      <c r="J826" s="273"/>
      <c r="K826" s="273"/>
      <c r="L826" s="273"/>
      <c r="M826" s="273"/>
      <c r="N826" s="273"/>
      <c r="O826" s="273"/>
      <c r="P826" s="273"/>
      <c r="Q826" s="273"/>
      <c r="R826" s="273"/>
      <c r="S826" s="273"/>
      <c r="T826" s="273"/>
      <c r="U826" s="273"/>
      <c r="V826" s="273"/>
      <c r="W826" s="273"/>
      <c r="X826" s="273"/>
      <c r="Y826" s="273"/>
      <c r="Z826" s="467"/>
      <c r="AA826" s="273"/>
      <c r="AB826" s="273"/>
      <c r="AC826" s="273"/>
      <c r="AD826" s="273"/>
    </row>
    <row r="827" spans="1:30" ht="14.25" customHeight="1">
      <c r="A827" s="273"/>
      <c r="B827" s="273"/>
      <c r="C827" s="273"/>
      <c r="D827" s="273"/>
      <c r="E827" s="274"/>
      <c r="F827" s="273"/>
      <c r="G827" s="273"/>
      <c r="H827" s="273"/>
      <c r="I827" s="273"/>
      <c r="J827" s="273"/>
      <c r="K827" s="273"/>
      <c r="L827" s="273"/>
      <c r="M827" s="273"/>
      <c r="N827" s="273"/>
      <c r="O827" s="273"/>
      <c r="P827" s="273"/>
      <c r="Q827" s="273"/>
      <c r="R827" s="273"/>
      <c r="S827" s="273"/>
      <c r="T827" s="273"/>
      <c r="U827" s="273"/>
      <c r="V827" s="273"/>
      <c r="W827" s="273"/>
      <c r="X827" s="273"/>
      <c r="Y827" s="273"/>
      <c r="Z827" s="467"/>
      <c r="AA827" s="273"/>
      <c r="AB827" s="273"/>
      <c r="AC827" s="273"/>
      <c r="AD827" s="273"/>
    </row>
    <row r="828" spans="1:30" ht="14.25" customHeight="1">
      <c r="A828" s="273"/>
      <c r="B828" s="273"/>
      <c r="C828" s="273"/>
      <c r="D828" s="273"/>
      <c r="E828" s="274"/>
      <c r="F828" s="273"/>
      <c r="G828" s="273"/>
      <c r="H828" s="273"/>
      <c r="I828" s="273"/>
      <c r="J828" s="273"/>
      <c r="K828" s="273"/>
      <c r="L828" s="273"/>
      <c r="M828" s="273"/>
      <c r="N828" s="273"/>
      <c r="O828" s="273"/>
      <c r="P828" s="273"/>
      <c r="Q828" s="273"/>
      <c r="R828" s="273"/>
      <c r="S828" s="273"/>
      <c r="T828" s="273"/>
      <c r="U828" s="273"/>
      <c r="V828" s="273"/>
      <c r="W828" s="273"/>
      <c r="X828" s="273"/>
      <c r="Y828" s="273"/>
      <c r="Z828" s="467"/>
      <c r="AA828" s="273"/>
      <c r="AB828" s="273"/>
      <c r="AC828" s="273"/>
      <c r="AD828" s="273"/>
    </row>
    <row r="829" spans="1:30" ht="14.25" customHeight="1">
      <c r="A829" s="273"/>
      <c r="B829" s="273"/>
      <c r="C829" s="273"/>
      <c r="D829" s="273"/>
      <c r="E829" s="274"/>
      <c r="F829" s="273"/>
      <c r="G829" s="273"/>
      <c r="H829" s="273"/>
      <c r="I829" s="273"/>
      <c r="J829" s="273"/>
      <c r="K829" s="273"/>
      <c r="L829" s="273"/>
      <c r="M829" s="273"/>
      <c r="N829" s="273"/>
      <c r="O829" s="273"/>
      <c r="P829" s="273"/>
      <c r="Q829" s="273"/>
      <c r="R829" s="273"/>
      <c r="S829" s="273"/>
      <c r="T829" s="273"/>
      <c r="U829" s="273"/>
      <c r="V829" s="273"/>
      <c r="W829" s="273"/>
      <c r="X829" s="273"/>
      <c r="Y829" s="273"/>
      <c r="Z829" s="467"/>
      <c r="AA829" s="273"/>
      <c r="AB829" s="273"/>
      <c r="AC829" s="273"/>
      <c r="AD829" s="273"/>
    </row>
    <row r="830" spans="1:30" ht="14.25" customHeight="1">
      <c r="A830" s="273"/>
      <c r="B830" s="273"/>
      <c r="C830" s="273"/>
      <c r="D830" s="273"/>
      <c r="E830" s="274"/>
      <c r="F830" s="273"/>
      <c r="G830" s="273"/>
      <c r="H830" s="273"/>
      <c r="I830" s="273"/>
      <c r="J830" s="273"/>
      <c r="K830" s="273"/>
      <c r="L830" s="273"/>
      <c r="M830" s="273"/>
      <c r="N830" s="273"/>
      <c r="O830" s="273"/>
      <c r="P830" s="273"/>
      <c r="Q830" s="273"/>
      <c r="R830" s="273"/>
      <c r="S830" s="273"/>
      <c r="T830" s="273"/>
      <c r="U830" s="273"/>
      <c r="V830" s="273"/>
      <c r="W830" s="273"/>
      <c r="X830" s="273"/>
      <c r="Y830" s="273"/>
      <c r="Z830" s="467"/>
      <c r="AA830" s="273"/>
      <c r="AB830" s="273"/>
      <c r="AC830" s="273"/>
      <c r="AD830" s="273"/>
    </row>
    <row r="831" spans="1:30" ht="14.25" customHeight="1">
      <c r="A831" s="273"/>
      <c r="B831" s="273"/>
      <c r="C831" s="273"/>
      <c r="D831" s="273"/>
      <c r="E831" s="274"/>
      <c r="F831" s="273"/>
      <c r="G831" s="273"/>
      <c r="H831" s="273"/>
      <c r="I831" s="273"/>
      <c r="J831" s="273"/>
      <c r="K831" s="273"/>
      <c r="L831" s="273"/>
      <c r="M831" s="273"/>
      <c r="N831" s="273"/>
      <c r="O831" s="273"/>
      <c r="P831" s="273"/>
      <c r="Q831" s="273"/>
      <c r="R831" s="273"/>
      <c r="S831" s="273"/>
      <c r="T831" s="273"/>
      <c r="U831" s="273"/>
      <c r="V831" s="273"/>
      <c r="W831" s="273"/>
      <c r="X831" s="273"/>
      <c r="Y831" s="273"/>
      <c r="Z831" s="467"/>
      <c r="AA831" s="273"/>
      <c r="AB831" s="273"/>
      <c r="AC831" s="273"/>
      <c r="AD831" s="273"/>
    </row>
    <row r="832" spans="1:30" ht="14.25" customHeight="1">
      <c r="A832" s="273"/>
      <c r="B832" s="273"/>
      <c r="C832" s="273"/>
      <c r="D832" s="273"/>
      <c r="E832" s="274"/>
      <c r="F832" s="273"/>
      <c r="G832" s="273"/>
      <c r="H832" s="273"/>
      <c r="I832" s="273"/>
      <c r="J832" s="273"/>
      <c r="K832" s="273"/>
      <c r="L832" s="273"/>
      <c r="M832" s="273"/>
      <c r="N832" s="273"/>
      <c r="O832" s="273"/>
      <c r="P832" s="273"/>
      <c r="Q832" s="273"/>
      <c r="R832" s="273"/>
      <c r="S832" s="273"/>
      <c r="T832" s="273"/>
      <c r="U832" s="273"/>
      <c r="V832" s="273"/>
      <c r="W832" s="273"/>
      <c r="X832" s="273"/>
      <c r="Y832" s="273"/>
      <c r="Z832" s="467"/>
      <c r="AA832" s="273"/>
      <c r="AB832" s="273"/>
      <c r="AC832" s="273"/>
      <c r="AD832" s="273"/>
    </row>
    <row r="833" spans="1:30" ht="14.25" customHeight="1">
      <c r="A833" s="273"/>
      <c r="B833" s="273"/>
      <c r="C833" s="273"/>
      <c r="D833" s="273"/>
      <c r="E833" s="274"/>
      <c r="F833" s="273"/>
      <c r="G833" s="273"/>
      <c r="H833" s="273"/>
      <c r="I833" s="273"/>
      <c r="J833" s="273"/>
      <c r="K833" s="273"/>
      <c r="L833" s="273"/>
      <c r="M833" s="273"/>
      <c r="N833" s="273"/>
      <c r="O833" s="273"/>
      <c r="P833" s="273"/>
      <c r="Q833" s="273"/>
      <c r="R833" s="273"/>
      <c r="S833" s="273"/>
      <c r="T833" s="273"/>
      <c r="U833" s="273"/>
      <c r="V833" s="273"/>
      <c r="W833" s="273"/>
      <c r="X833" s="273"/>
      <c r="Y833" s="273"/>
      <c r="Z833" s="467"/>
      <c r="AA833" s="273"/>
      <c r="AB833" s="273"/>
      <c r="AC833" s="273"/>
      <c r="AD833" s="273"/>
    </row>
    <row r="834" spans="1:30" ht="14.25" customHeight="1">
      <c r="A834" s="273"/>
      <c r="B834" s="273"/>
      <c r="C834" s="273"/>
      <c r="D834" s="273"/>
      <c r="E834" s="274"/>
      <c r="F834" s="273"/>
      <c r="G834" s="273"/>
      <c r="H834" s="273"/>
      <c r="I834" s="273"/>
      <c r="J834" s="273"/>
      <c r="K834" s="273"/>
      <c r="L834" s="273"/>
      <c r="M834" s="273"/>
      <c r="N834" s="273"/>
      <c r="O834" s="273"/>
      <c r="P834" s="273"/>
      <c r="Q834" s="273"/>
      <c r="R834" s="273"/>
      <c r="S834" s="273"/>
      <c r="T834" s="273"/>
      <c r="U834" s="273"/>
      <c r="V834" s="273"/>
      <c r="W834" s="273"/>
      <c r="X834" s="273"/>
      <c r="Y834" s="273"/>
      <c r="Z834" s="467"/>
      <c r="AA834" s="273"/>
      <c r="AB834" s="273"/>
      <c r="AC834" s="273"/>
      <c r="AD834" s="273"/>
    </row>
    <row r="835" spans="1:30" ht="14.25" customHeight="1">
      <c r="A835" s="273"/>
      <c r="B835" s="273"/>
      <c r="C835" s="273"/>
      <c r="D835" s="273"/>
      <c r="E835" s="274"/>
      <c r="F835" s="273"/>
      <c r="G835" s="273"/>
      <c r="H835" s="273"/>
      <c r="I835" s="273"/>
      <c r="J835" s="273"/>
      <c r="K835" s="273"/>
      <c r="L835" s="273"/>
      <c r="M835" s="273"/>
      <c r="N835" s="273"/>
      <c r="O835" s="273"/>
      <c r="P835" s="273"/>
      <c r="Q835" s="273"/>
      <c r="R835" s="273"/>
      <c r="S835" s="273"/>
      <c r="T835" s="273"/>
      <c r="U835" s="273"/>
      <c r="V835" s="273"/>
      <c r="W835" s="273"/>
      <c r="X835" s="273"/>
      <c r="Y835" s="273"/>
      <c r="Z835" s="467"/>
      <c r="AA835" s="273"/>
      <c r="AB835" s="273"/>
      <c r="AC835" s="273"/>
      <c r="AD835" s="273"/>
    </row>
    <row r="836" spans="1:30" ht="14.25" customHeight="1">
      <c r="A836" s="273"/>
      <c r="B836" s="273"/>
      <c r="C836" s="273"/>
      <c r="D836" s="273"/>
      <c r="E836" s="274"/>
      <c r="F836" s="273"/>
      <c r="G836" s="273"/>
      <c r="H836" s="273"/>
      <c r="I836" s="273"/>
      <c r="J836" s="273"/>
      <c r="K836" s="273"/>
      <c r="L836" s="273"/>
      <c r="M836" s="273"/>
      <c r="N836" s="273"/>
      <c r="O836" s="273"/>
      <c r="P836" s="273"/>
      <c r="Q836" s="273"/>
      <c r="R836" s="273"/>
      <c r="S836" s="273"/>
      <c r="T836" s="273"/>
      <c r="U836" s="273"/>
      <c r="V836" s="273"/>
      <c r="W836" s="273"/>
      <c r="X836" s="273"/>
      <c r="Y836" s="273"/>
      <c r="Z836" s="467"/>
      <c r="AA836" s="273"/>
      <c r="AB836" s="273"/>
      <c r="AC836" s="273"/>
      <c r="AD836" s="273"/>
    </row>
    <row r="837" spans="1:30" ht="14.25" customHeight="1">
      <c r="A837" s="273"/>
      <c r="B837" s="273"/>
      <c r="C837" s="273"/>
      <c r="D837" s="273"/>
      <c r="E837" s="274"/>
      <c r="F837" s="273"/>
      <c r="G837" s="273"/>
      <c r="H837" s="273"/>
      <c r="I837" s="273"/>
      <c r="J837" s="273"/>
      <c r="K837" s="273"/>
      <c r="L837" s="273"/>
      <c r="M837" s="273"/>
      <c r="N837" s="273"/>
      <c r="O837" s="273"/>
      <c r="P837" s="273"/>
      <c r="Q837" s="273"/>
      <c r="R837" s="273"/>
      <c r="S837" s="273"/>
      <c r="T837" s="273"/>
      <c r="U837" s="273"/>
      <c r="V837" s="273"/>
      <c r="W837" s="273"/>
      <c r="X837" s="273"/>
      <c r="Y837" s="273"/>
      <c r="Z837" s="467"/>
      <c r="AA837" s="273"/>
      <c r="AB837" s="273"/>
      <c r="AC837" s="273"/>
      <c r="AD837" s="273"/>
    </row>
    <row r="838" spans="1:30" ht="14.25" customHeight="1">
      <c r="A838" s="273"/>
      <c r="B838" s="273"/>
      <c r="C838" s="273"/>
      <c r="D838" s="273"/>
      <c r="E838" s="274"/>
      <c r="F838" s="273"/>
      <c r="G838" s="273"/>
      <c r="H838" s="273"/>
      <c r="I838" s="273"/>
      <c r="J838" s="273"/>
      <c r="K838" s="273"/>
      <c r="L838" s="273"/>
      <c r="M838" s="273"/>
      <c r="N838" s="273"/>
      <c r="O838" s="273"/>
      <c r="P838" s="273"/>
      <c r="Q838" s="273"/>
      <c r="R838" s="273"/>
      <c r="S838" s="273"/>
      <c r="T838" s="273"/>
      <c r="U838" s="273"/>
      <c r="V838" s="273"/>
      <c r="W838" s="273"/>
      <c r="X838" s="273"/>
      <c r="Y838" s="273"/>
      <c r="Z838" s="467"/>
      <c r="AA838" s="273"/>
      <c r="AB838" s="273"/>
      <c r="AC838" s="273"/>
      <c r="AD838" s="273"/>
    </row>
    <row r="839" spans="1:30" ht="14.25" customHeight="1">
      <c r="A839" s="273"/>
      <c r="B839" s="273"/>
      <c r="C839" s="273"/>
      <c r="D839" s="273"/>
      <c r="E839" s="274"/>
      <c r="F839" s="273"/>
      <c r="G839" s="273"/>
      <c r="H839" s="273"/>
      <c r="I839" s="273"/>
      <c r="J839" s="273"/>
      <c r="K839" s="273"/>
      <c r="L839" s="273"/>
      <c r="M839" s="273"/>
      <c r="N839" s="273"/>
      <c r="O839" s="273"/>
      <c r="P839" s="273"/>
      <c r="Q839" s="273"/>
      <c r="R839" s="273"/>
      <c r="S839" s="273"/>
      <c r="T839" s="273"/>
      <c r="U839" s="273"/>
      <c r="V839" s="273"/>
      <c r="W839" s="273"/>
      <c r="X839" s="273"/>
      <c r="Y839" s="273"/>
      <c r="Z839" s="467"/>
      <c r="AA839" s="273"/>
      <c r="AB839" s="273"/>
      <c r="AC839" s="273"/>
      <c r="AD839" s="273"/>
    </row>
    <row r="840" spans="1:30" ht="14.25" customHeight="1">
      <c r="A840" s="273"/>
      <c r="B840" s="273"/>
      <c r="C840" s="273"/>
      <c r="D840" s="273"/>
      <c r="E840" s="274"/>
      <c r="F840" s="273"/>
      <c r="G840" s="273"/>
      <c r="H840" s="273"/>
      <c r="I840" s="273"/>
      <c r="J840" s="273"/>
      <c r="K840" s="273"/>
      <c r="L840" s="273"/>
      <c r="M840" s="273"/>
      <c r="N840" s="273"/>
      <c r="O840" s="273"/>
      <c r="P840" s="273"/>
      <c r="Q840" s="273"/>
      <c r="R840" s="273"/>
      <c r="S840" s="273"/>
      <c r="T840" s="273"/>
      <c r="U840" s="273"/>
      <c r="V840" s="273"/>
      <c r="W840" s="273"/>
      <c r="X840" s="273"/>
      <c r="Y840" s="273"/>
      <c r="Z840" s="467"/>
      <c r="AA840" s="273"/>
      <c r="AB840" s="273"/>
      <c r="AC840" s="273"/>
      <c r="AD840" s="273"/>
    </row>
    <row r="841" spans="1:30" ht="14.25" customHeight="1">
      <c r="A841" s="273"/>
      <c r="B841" s="273"/>
      <c r="C841" s="273"/>
      <c r="D841" s="273"/>
      <c r="E841" s="274"/>
      <c r="F841" s="273"/>
      <c r="G841" s="273"/>
      <c r="H841" s="273"/>
      <c r="I841" s="273"/>
      <c r="J841" s="273"/>
      <c r="K841" s="273"/>
      <c r="L841" s="273"/>
      <c r="M841" s="273"/>
      <c r="N841" s="273"/>
      <c r="O841" s="273"/>
      <c r="P841" s="273"/>
      <c r="Q841" s="273"/>
      <c r="R841" s="273"/>
      <c r="S841" s="273"/>
      <c r="T841" s="273"/>
      <c r="U841" s="273"/>
      <c r="V841" s="273"/>
      <c r="W841" s="273"/>
      <c r="X841" s="273"/>
      <c r="Y841" s="273"/>
      <c r="Z841" s="467"/>
      <c r="AA841" s="273"/>
      <c r="AB841" s="273"/>
      <c r="AC841" s="273"/>
      <c r="AD841" s="273"/>
    </row>
    <row r="842" spans="1:30" ht="14.25" customHeight="1">
      <c r="A842" s="273"/>
      <c r="B842" s="273"/>
      <c r="C842" s="273"/>
      <c r="D842" s="273"/>
      <c r="E842" s="274"/>
      <c r="F842" s="273"/>
      <c r="G842" s="273"/>
      <c r="H842" s="273"/>
      <c r="I842" s="273"/>
      <c r="J842" s="273"/>
      <c r="K842" s="273"/>
      <c r="L842" s="273"/>
      <c r="M842" s="273"/>
      <c r="N842" s="273"/>
      <c r="O842" s="273"/>
      <c r="P842" s="273"/>
      <c r="Q842" s="273"/>
      <c r="R842" s="273"/>
      <c r="S842" s="273"/>
      <c r="T842" s="273"/>
      <c r="U842" s="273"/>
      <c r="V842" s="273"/>
      <c r="W842" s="273"/>
      <c r="X842" s="273"/>
      <c r="Y842" s="273"/>
      <c r="Z842" s="467"/>
      <c r="AA842" s="273"/>
      <c r="AB842" s="273"/>
      <c r="AC842" s="273"/>
      <c r="AD842" s="273"/>
    </row>
    <row r="843" spans="1:30" ht="14.25" customHeight="1">
      <c r="A843" s="273"/>
      <c r="B843" s="273"/>
      <c r="C843" s="273"/>
      <c r="D843" s="273"/>
      <c r="E843" s="274"/>
      <c r="F843" s="273"/>
      <c r="G843" s="273"/>
      <c r="H843" s="273"/>
      <c r="I843" s="273"/>
      <c r="J843" s="273"/>
      <c r="K843" s="273"/>
      <c r="L843" s="273"/>
      <c r="M843" s="273"/>
      <c r="N843" s="273"/>
      <c r="O843" s="273"/>
      <c r="P843" s="273"/>
      <c r="Q843" s="273"/>
      <c r="R843" s="273"/>
      <c r="S843" s="273"/>
      <c r="T843" s="273"/>
      <c r="U843" s="273"/>
      <c r="V843" s="273"/>
      <c r="W843" s="273"/>
      <c r="X843" s="273"/>
      <c r="Y843" s="273"/>
      <c r="Z843" s="467"/>
      <c r="AA843" s="273"/>
      <c r="AB843" s="273"/>
      <c r="AC843" s="273"/>
      <c r="AD843" s="273"/>
    </row>
    <row r="844" spans="1:30" ht="14.25" customHeight="1">
      <c r="A844" s="273"/>
      <c r="B844" s="273"/>
      <c r="C844" s="273"/>
      <c r="D844" s="273"/>
      <c r="E844" s="274"/>
      <c r="F844" s="273"/>
      <c r="G844" s="273"/>
      <c r="H844" s="273"/>
      <c r="I844" s="273"/>
      <c r="J844" s="273"/>
      <c r="K844" s="273"/>
      <c r="L844" s="273"/>
      <c r="M844" s="273"/>
      <c r="N844" s="273"/>
      <c r="O844" s="273"/>
      <c r="P844" s="273"/>
      <c r="Q844" s="273"/>
      <c r="R844" s="273"/>
      <c r="S844" s="273"/>
      <c r="T844" s="273"/>
      <c r="U844" s="273"/>
      <c r="V844" s="273"/>
      <c r="W844" s="273"/>
      <c r="X844" s="273"/>
      <c r="Y844" s="273"/>
      <c r="Z844" s="467"/>
      <c r="AA844" s="273"/>
      <c r="AB844" s="273"/>
      <c r="AC844" s="273"/>
      <c r="AD844" s="273"/>
    </row>
    <row r="845" spans="1:30" ht="14.25" customHeight="1">
      <c r="A845" s="273"/>
      <c r="B845" s="273"/>
      <c r="C845" s="273"/>
      <c r="D845" s="273"/>
      <c r="E845" s="274"/>
      <c r="F845" s="273"/>
      <c r="G845" s="273"/>
      <c r="H845" s="273"/>
      <c r="I845" s="273"/>
      <c r="J845" s="273"/>
      <c r="K845" s="273"/>
      <c r="L845" s="273"/>
      <c r="M845" s="273"/>
      <c r="N845" s="273"/>
      <c r="O845" s="273"/>
      <c r="P845" s="273"/>
      <c r="Q845" s="273"/>
      <c r="R845" s="273"/>
      <c r="S845" s="273"/>
      <c r="T845" s="273"/>
      <c r="U845" s="273"/>
      <c r="V845" s="273"/>
      <c r="W845" s="273"/>
      <c r="X845" s="273"/>
      <c r="Y845" s="273"/>
      <c r="Z845" s="467"/>
      <c r="AA845" s="273"/>
      <c r="AB845" s="273"/>
      <c r="AC845" s="273"/>
      <c r="AD845" s="273"/>
    </row>
    <row r="846" spans="1:30" ht="14.25" customHeight="1">
      <c r="A846" s="273"/>
      <c r="B846" s="273"/>
      <c r="C846" s="273"/>
      <c r="D846" s="273"/>
      <c r="E846" s="274"/>
      <c r="F846" s="273"/>
      <c r="G846" s="273"/>
      <c r="H846" s="273"/>
      <c r="I846" s="273"/>
      <c r="J846" s="273"/>
      <c r="K846" s="273"/>
      <c r="L846" s="273"/>
      <c r="M846" s="273"/>
      <c r="N846" s="273"/>
      <c r="O846" s="273"/>
      <c r="P846" s="273"/>
      <c r="Q846" s="273"/>
      <c r="R846" s="273"/>
      <c r="S846" s="273"/>
      <c r="T846" s="273"/>
      <c r="U846" s="273"/>
      <c r="V846" s="273"/>
      <c r="W846" s="273"/>
      <c r="X846" s="273"/>
      <c r="Y846" s="273"/>
      <c r="Z846" s="467"/>
      <c r="AA846" s="273"/>
      <c r="AB846" s="273"/>
      <c r="AC846" s="273"/>
      <c r="AD846" s="273"/>
    </row>
    <row r="847" spans="1:30" ht="14.25" customHeight="1">
      <c r="A847" s="273"/>
      <c r="B847" s="273"/>
      <c r="C847" s="273"/>
      <c r="D847" s="273"/>
      <c r="E847" s="274"/>
      <c r="F847" s="273"/>
      <c r="G847" s="273"/>
      <c r="H847" s="273"/>
      <c r="I847" s="273"/>
      <c r="J847" s="273"/>
      <c r="K847" s="273"/>
      <c r="L847" s="273"/>
      <c r="M847" s="273"/>
      <c r="N847" s="273"/>
      <c r="O847" s="273"/>
      <c r="P847" s="273"/>
      <c r="Q847" s="273"/>
      <c r="R847" s="273"/>
      <c r="S847" s="273"/>
      <c r="T847" s="273"/>
      <c r="U847" s="273"/>
      <c r="V847" s="273"/>
      <c r="W847" s="273"/>
      <c r="X847" s="273"/>
      <c r="Y847" s="273"/>
      <c r="Z847" s="467"/>
      <c r="AA847" s="273"/>
      <c r="AB847" s="273"/>
      <c r="AC847" s="273"/>
      <c r="AD847" s="273"/>
    </row>
    <row r="848" spans="1:30" ht="14.25" customHeight="1">
      <c r="A848" s="273"/>
      <c r="B848" s="273"/>
      <c r="C848" s="273"/>
      <c r="D848" s="273"/>
      <c r="E848" s="274"/>
      <c r="F848" s="273"/>
      <c r="G848" s="273"/>
      <c r="H848" s="273"/>
      <c r="I848" s="273"/>
      <c r="J848" s="273"/>
      <c r="K848" s="273"/>
      <c r="L848" s="273"/>
      <c r="M848" s="273"/>
      <c r="N848" s="273"/>
      <c r="O848" s="273"/>
      <c r="P848" s="273"/>
      <c r="Q848" s="273"/>
      <c r="R848" s="273"/>
      <c r="S848" s="273"/>
      <c r="T848" s="273"/>
      <c r="U848" s="273"/>
      <c r="V848" s="273"/>
      <c r="W848" s="273"/>
      <c r="X848" s="273"/>
      <c r="Y848" s="273"/>
      <c r="Z848" s="467"/>
      <c r="AA848" s="273"/>
      <c r="AB848" s="273"/>
      <c r="AC848" s="273"/>
      <c r="AD848" s="273"/>
    </row>
    <row r="849" spans="1:30" ht="14.25" customHeight="1">
      <c r="A849" s="273"/>
      <c r="B849" s="273"/>
      <c r="C849" s="273"/>
      <c r="D849" s="273"/>
      <c r="E849" s="274"/>
      <c r="F849" s="273"/>
      <c r="G849" s="273"/>
      <c r="H849" s="273"/>
      <c r="I849" s="273"/>
      <c r="J849" s="273"/>
      <c r="K849" s="273"/>
      <c r="L849" s="273"/>
      <c r="M849" s="273"/>
      <c r="N849" s="273"/>
      <c r="O849" s="273"/>
      <c r="P849" s="273"/>
      <c r="Q849" s="273"/>
      <c r="R849" s="273"/>
      <c r="S849" s="273"/>
      <c r="T849" s="273"/>
      <c r="U849" s="273"/>
      <c r="V849" s="273"/>
      <c r="W849" s="273"/>
      <c r="X849" s="273"/>
      <c r="Y849" s="273"/>
      <c r="Z849" s="467"/>
      <c r="AA849" s="273"/>
      <c r="AB849" s="273"/>
      <c r="AC849" s="273"/>
      <c r="AD849" s="273"/>
    </row>
    <row r="850" spans="1:30" ht="14.25" customHeight="1">
      <c r="A850" s="273"/>
      <c r="B850" s="273"/>
      <c r="C850" s="273"/>
      <c r="D850" s="273"/>
      <c r="E850" s="274"/>
      <c r="F850" s="273"/>
      <c r="G850" s="273"/>
      <c r="H850" s="273"/>
      <c r="I850" s="273"/>
      <c r="J850" s="273"/>
      <c r="K850" s="273"/>
      <c r="L850" s="273"/>
      <c r="M850" s="273"/>
      <c r="N850" s="273"/>
      <c r="O850" s="273"/>
      <c r="P850" s="273"/>
      <c r="Q850" s="273"/>
      <c r="R850" s="273"/>
      <c r="S850" s="273"/>
      <c r="T850" s="273"/>
      <c r="U850" s="273"/>
      <c r="V850" s="273"/>
      <c r="W850" s="273"/>
      <c r="X850" s="273"/>
      <c r="Y850" s="273"/>
      <c r="Z850" s="467"/>
      <c r="AA850" s="273"/>
      <c r="AB850" s="273"/>
      <c r="AC850" s="273"/>
      <c r="AD850" s="273"/>
    </row>
    <row r="851" spans="1:30" ht="14.25" customHeight="1">
      <c r="A851" s="273"/>
      <c r="B851" s="273"/>
      <c r="C851" s="273"/>
      <c r="D851" s="273"/>
      <c r="E851" s="274"/>
      <c r="F851" s="273"/>
      <c r="G851" s="273"/>
      <c r="H851" s="273"/>
      <c r="I851" s="273"/>
      <c r="J851" s="273"/>
      <c r="K851" s="273"/>
      <c r="L851" s="273"/>
      <c r="M851" s="273"/>
      <c r="N851" s="273"/>
      <c r="O851" s="273"/>
      <c r="P851" s="273"/>
      <c r="Q851" s="273"/>
      <c r="R851" s="273"/>
      <c r="S851" s="273"/>
      <c r="T851" s="273"/>
      <c r="U851" s="273"/>
      <c r="V851" s="273"/>
      <c r="W851" s="273"/>
      <c r="X851" s="273"/>
      <c r="Y851" s="273"/>
      <c r="Z851" s="467"/>
      <c r="AA851" s="273"/>
      <c r="AB851" s="273"/>
      <c r="AC851" s="273"/>
      <c r="AD851" s="273"/>
    </row>
    <row r="852" spans="1:30" ht="14.25" customHeight="1">
      <c r="A852" s="273"/>
      <c r="B852" s="273"/>
      <c r="C852" s="273"/>
      <c r="D852" s="273"/>
      <c r="E852" s="274"/>
      <c r="F852" s="273"/>
      <c r="G852" s="273"/>
      <c r="H852" s="273"/>
      <c r="I852" s="273"/>
      <c r="J852" s="273"/>
      <c r="K852" s="273"/>
      <c r="L852" s="273"/>
      <c r="M852" s="273"/>
      <c r="N852" s="273"/>
      <c r="O852" s="273"/>
      <c r="P852" s="273"/>
      <c r="Q852" s="273"/>
      <c r="R852" s="273"/>
      <c r="S852" s="273"/>
      <c r="T852" s="273"/>
      <c r="U852" s="273"/>
      <c r="V852" s="273"/>
      <c r="W852" s="273"/>
      <c r="X852" s="273"/>
      <c r="Y852" s="273"/>
      <c r="Z852" s="467"/>
      <c r="AA852" s="273"/>
      <c r="AB852" s="273"/>
      <c r="AC852" s="273"/>
      <c r="AD852" s="273"/>
    </row>
    <row r="853" spans="1:30" ht="14.25" customHeight="1">
      <c r="A853" s="273"/>
      <c r="B853" s="273"/>
      <c r="C853" s="273"/>
      <c r="D853" s="273"/>
      <c r="E853" s="274"/>
      <c r="F853" s="273"/>
      <c r="G853" s="273"/>
      <c r="H853" s="273"/>
      <c r="I853" s="273"/>
      <c r="J853" s="273"/>
      <c r="K853" s="273"/>
      <c r="L853" s="273"/>
      <c r="M853" s="273"/>
      <c r="N853" s="273"/>
      <c r="O853" s="273"/>
      <c r="P853" s="273"/>
      <c r="Q853" s="273"/>
      <c r="R853" s="273"/>
      <c r="S853" s="273"/>
      <c r="T853" s="273"/>
      <c r="U853" s="273"/>
      <c r="V853" s="273"/>
      <c r="W853" s="273"/>
      <c r="X853" s="273"/>
      <c r="Y853" s="273"/>
      <c r="Z853" s="467"/>
      <c r="AA853" s="273"/>
      <c r="AB853" s="273"/>
      <c r="AC853" s="273"/>
      <c r="AD853" s="273"/>
    </row>
    <row r="854" spans="1:30" ht="14.25" customHeight="1">
      <c r="A854" s="273"/>
      <c r="B854" s="273"/>
      <c r="C854" s="273"/>
      <c r="D854" s="273"/>
      <c r="E854" s="274"/>
      <c r="F854" s="273"/>
      <c r="G854" s="273"/>
      <c r="H854" s="273"/>
      <c r="I854" s="273"/>
      <c r="J854" s="273"/>
      <c r="K854" s="273"/>
      <c r="L854" s="273"/>
      <c r="M854" s="273"/>
      <c r="N854" s="273"/>
      <c r="O854" s="273"/>
      <c r="P854" s="273"/>
      <c r="Q854" s="273"/>
      <c r="R854" s="273"/>
      <c r="S854" s="273"/>
      <c r="T854" s="273"/>
      <c r="U854" s="273"/>
      <c r="V854" s="273"/>
      <c r="W854" s="273"/>
      <c r="X854" s="273"/>
      <c r="Y854" s="273"/>
      <c r="Z854" s="467"/>
      <c r="AA854" s="273"/>
      <c r="AB854" s="273"/>
      <c r="AC854" s="273"/>
      <c r="AD854" s="273"/>
    </row>
    <row r="855" spans="1:30" ht="14.25" customHeight="1">
      <c r="A855" s="273"/>
      <c r="B855" s="273"/>
      <c r="C855" s="273"/>
      <c r="D855" s="273"/>
      <c r="E855" s="274"/>
      <c r="F855" s="273"/>
      <c r="G855" s="273"/>
      <c r="H855" s="273"/>
      <c r="I855" s="273"/>
      <c r="J855" s="273"/>
      <c r="K855" s="273"/>
      <c r="L855" s="273"/>
      <c r="M855" s="273"/>
      <c r="N855" s="273"/>
      <c r="O855" s="273"/>
      <c r="P855" s="273"/>
      <c r="Q855" s="273"/>
      <c r="R855" s="273"/>
      <c r="S855" s="273"/>
      <c r="T855" s="273"/>
      <c r="U855" s="273"/>
      <c r="V855" s="273"/>
      <c r="W855" s="273"/>
      <c r="X855" s="273"/>
      <c r="Y855" s="273"/>
      <c r="Z855" s="467"/>
      <c r="AA855" s="273"/>
      <c r="AB855" s="273"/>
      <c r="AC855" s="273"/>
      <c r="AD855" s="273"/>
    </row>
    <row r="856" spans="1:30" ht="14.25" customHeight="1">
      <c r="A856" s="273"/>
      <c r="B856" s="273"/>
      <c r="C856" s="273"/>
      <c r="D856" s="273"/>
      <c r="E856" s="274"/>
      <c r="F856" s="273"/>
      <c r="G856" s="273"/>
      <c r="H856" s="273"/>
      <c r="I856" s="273"/>
      <c r="J856" s="273"/>
      <c r="K856" s="273"/>
      <c r="L856" s="273"/>
      <c r="M856" s="273"/>
      <c r="N856" s="273"/>
      <c r="O856" s="273"/>
      <c r="P856" s="273"/>
      <c r="Q856" s="273"/>
      <c r="R856" s="273"/>
      <c r="S856" s="273"/>
      <c r="T856" s="273"/>
      <c r="U856" s="273"/>
      <c r="V856" s="273"/>
      <c r="W856" s="273"/>
      <c r="X856" s="273"/>
      <c r="Y856" s="273"/>
      <c r="Z856" s="467"/>
      <c r="AA856" s="273"/>
      <c r="AB856" s="273"/>
      <c r="AC856" s="273"/>
      <c r="AD856" s="273"/>
    </row>
    <row r="857" spans="1:30" ht="14.25" customHeight="1">
      <c r="A857" s="273"/>
      <c r="B857" s="273"/>
      <c r="C857" s="273"/>
      <c r="D857" s="273"/>
      <c r="E857" s="274"/>
      <c r="F857" s="273"/>
      <c r="G857" s="273"/>
      <c r="H857" s="273"/>
      <c r="I857" s="273"/>
      <c r="J857" s="273"/>
      <c r="K857" s="273"/>
      <c r="L857" s="273"/>
      <c r="M857" s="273"/>
      <c r="N857" s="273"/>
      <c r="O857" s="273"/>
      <c r="P857" s="273"/>
      <c r="Q857" s="273"/>
      <c r="R857" s="273"/>
      <c r="S857" s="273"/>
      <c r="T857" s="273"/>
      <c r="U857" s="273"/>
      <c r="V857" s="273"/>
      <c r="W857" s="273"/>
      <c r="X857" s="273"/>
      <c r="Y857" s="273"/>
      <c r="Z857" s="467"/>
      <c r="AA857" s="273"/>
      <c r="AB857" s="273"/>
      <c r="AC857" s="273"/>
      <c r="AD857" s="273"/>
    </row>
    <row r="858" spans="1:30" ht="14.25" customHeight="1">
      <c r="A858" s="273"/>
      <c r="B858" s="273"/>
      <c r="C858" s="273"/>
      <c r="D858" s="273"/>
      <c r="E858" s="274"/>
      <c r="F858" s="273"/>
      <c r="G858" s="273"/>
      <c r="H858" s="273"/>
      <c r="I858" s="273"/>
      <c r="J858" s="273"/>
      <c r="K858" s="273"/>
      <c r="L858" s="273"/>
      <c r="M858" s="273"/>
      <c r="N858" s="273"/>
      <c r="O858" s="273"/>
      <c r="P858" s="273"/>
      <c r="Q858" s="273"/>
      <c r="R858" s="273"/>
      <c r="S858" s="273"/>
      <c r="T858" s="273"/>
      <c r="U858" s="273"/>
      <c r="V858" s="273"/>
      <c r="W858" s="273"/>
      <c r="X858" s="273"/>
      <c r="Y858" s="273"/>
      <c r="Z858" s="467"/>
      <c r="AA858" s="273"/>
      <c r="AB858" s="273"/>
      <c r="AC858" s="273"/>
      <c r="AD858" s="273"/>
    </row>
    <row r="859" spans="1:30" ht="14.25" customHeight="1">
      <c r="A859" s="273"/>
      <c r="B859" s="273"/>
      <c r="C859" s="273"/>
      <c r="D859" s="273"/>
      <c r="E859" s="274"/>
      <c r="F859" s="273"/>
      <c r="G859" s="273"/>
      <c r="H859" s="273"/>
      <c r="I859" s="273"/>
      <c r="J859" s="273"/>
      <c r="K859" s="273"/>
      <c r="L859" s="273"/>
      <c r="M859" s="273"/>
      <c r="N859" s="273"/>
      <c r="O859" s="273"/>
      <c r="P859" s="273"/>
      <c r="Q859" s="273"/>
      <c r="R859" s="273"/>
      <c r="S859" s="273"/>
      <c r="T859" s="273"/>
      <c r="U859" s="273"/>
      <c r="V859" s="273"/>
      <c r="W859" s="273"/>
      <c r="X859" s="273"/>
      <c r="Y859" s="273"/>
      <c r="Z859" s="467"/>
      <c r="AA859" s="273"/>
      <c r="AB859" s="273"/>
      <c r="AC859" s="273"/>
      <c r="AD859" s="273"/>
    </row>
    <row r="860" spans="1:30" ht="14.25" customHeight="1">
      <c r="A860" s="273"/>
      <c r="B860" s="273"/>
      <c r="C860" s="273"/>
      <c r="D860" s="273"/>
      <c r="E860" s="274"/>
      <c r="F860" s="273"/>
      <c r="G860" s="273"/>
      <c r="H860" s="273"/>
      <c r="I860" s="273"/>
      <c r="J860" s="273"/>
      <c r="K860" s="273"/>
      <c r="L860" s="273"/>
      <c r="M860" s="273"/>
      <c r="N860" s="273"/>
      <c r="O860" s="273"/>
      <c r="P860" s="273"/>
      <c r="Q860" s="273"/>
      <c r="R860" s="273"/>
      <c r="S860" s="273"/>
      <c r="T860" s="273"/>
      <c r="U860" s="273"/>
      <c r="V860" s="273"/>
      <c r="W860" s="273"/>
      <c r="X860" s="273"/>
      <c r="Y860" s="273"/>
      <c r="Z860" s="467"/>
      <c r="AA860" s="273"/>
      <c r="AB860" s="273"/>
      <c r="AC860" s="273"/>
      <c r="AD860" s="273"/>
    </row>
    <row r="861" spans="1:30" ht="14.25" customHeight="1">
      <c r="A861" s="273"/>
      <c r="B861" s="273"/>
      <c r="C861" s="273"/>
      <c r="D861" s="273"/>
      <c r="E861" s="274"/>
      <c r="F861" s="273"/>
      <c r="G861" s="273"/>
      <c r="H861" s="273"/>
      <c r="I861" s="273"/>
      <c r="J861" s="273"/>
      <c r="K861" s="273"/>
      <c r="L861" s="273"/>
      <c r="M861" s="273"/>
      <c r="N861" s="273"/>
      <c r="O861" s="273"/>
      <c r="P861" s="273"/>
      <c r="Q861" s="273"/>
      <c r="R861" s="273"/>
      <c r="S861" s="273"/>
      <c r="T861" s="273"/>
      <c r="U861" s="273"/>
      <c r="V861" s="273"/>
      <c r="W861" s="273"/>
      <c r="X861" s="273"/>
      <c r="Y861" s="273"/>
      <c r="Z861" s="467"/>
      <c r="AA861" s="273"/>
      <c r="AB861" s="273"/>
      <c r="AC861" s="273"/>
      <c r="AD861" s="273"/>
    </row>
    <row r="862" spans="1:30" ht="14.25" customHeight="1">
      <c r="A862" s="273"/>
      <c r="B862" s="273"/>
      <c r="C862" s="273"/>
      <c r="D862" s="273"/>
      <c r="E862" s="274"/>
      <c r="F862" s="273"/>
      <c r="G862" s="273"/>
      <c r="H862" s="273"/>
      <c r="I862" s="273"/>
      <c r="J862" s="273"/>
      <c r="K862" s="273"/>
      <c r="L862" s="273"/>
      <c r="M862" s="273"/>
      <c r="N862" s="273"/>
      <c r="O862" s="273"/>
      <c r="P862" s="273"/>
      <c r="Q862" s="273"/>
      <c r="R862" s="273"/>
      <c r="S862" s="273"/>
      <c r="T862" s="273"/>
      <c r="U862" s="273"/>
      <c r="V862" s="273"/>
      <c r="W862" s="273"/>
      <c r="X862" s="273"/>
      <c r="Y862" s="273"/>
      <c r="Z862" s="467"/>
      <c r="AA862" s="273"/>
      <c r="AB862" s="273"/>
      <c r="AC862" s="273"/>
      <c r="AD862" s="273"/>
    </row>
    <row r="863" spans="1:30" ht="14.25" customHeight="1">
      <c r="A863" s="273"/>
      <c r="B863" s="273"/>
      <c r="C863" s="273"/>
      <c r="D863" s="273"/>
      <c r="E863" s="274"/>
      <c r="F863" s="273"/>
      <c r="G863" s="273"/>
      <c r="H863" s="273"/>
      <c r="I863" s="273"/>
      <c r="J863" s="273"/>
      <c r="K863" s="273"/>
      <c r="L863" s="273"/>
      <c r="M863" s="273"/>
      <c r="N863" s="273"/>
      <c r="O863" s="273"/>
      <c r="P863" s="273"/>
      <c r="Q863" s="273"/>
      <c r="R863" s="273"/>
      <c r="S863" s="273"/>
      <c r="T863" s="273"/>
      <c r="U863" s="273"/>
      <c r="V863" s="273"/>
      <c r="W863" s="273"/>
      <c r="X863" s="273"/>
      <c r="Y863" s="273"/>
      <c r="Z863" s="467"/>
      <c r="AA863" s="273"/>
      <c r="AB863" s="273"/>
      <c r="AC863" s="273"/>
      <c r="AD863" s="273"/>
    </row>
    <row r="864" spans="1:30" ht="14.25" customHeight="1">
      <c r="A864" s="273"/>
      <c r="B864" s="273"/>
      <c r="C864" s="273"/>
      <c r="D864" s="273"/>
      <c r="E864" s="274"/>
      <c r="F864" s="273"/>
      <c r="G864" s="273"/>
      <c r="H864" s="273"/>
      <c r="I864" s="273"/>
      <c r="J864" s="273"/>
      <c r="K864" s="273"/>
      <c r="L864" s="273"/>
      <c r="M864" s="273"/>
      <c r="N864" s="273"/>
      <c r="O864" s="273"/>
      <c r="P864" s="273"/>
      <c r="Q864" s="273"/>
      <c r="R864" s="273"/>
      <c r="S864" s="273"/>
      <c r="T864" s="273"/>
      <c r="U864" s="273"/>
      <c r="V864" s="273"/>
      <c r="W864" s="273"/>
      <c r="X864" s="273"/>
      <c r="Y864" s="273"/>
      <c r="Z864" s="467"/>
      <c r="AA864" s="273"/>
      <c r="AB864" s="273"/>
      <c r="AC864" s="273"/>
      <c r="AD864" s="273"/>
    </row>
    <row r="865" spans="1:30" ht="14.25" customHeight="1">
      <c r="A865" s="273"/>
      <c r="B865" s="273"/>
      <c r="C865" s="273"/>
      <c r="D865" s="273"/>
      <c r="E865" s="274"/>
      <c r="F865" s="273"/>
      <c r="G865" s="273"/>
      <c r="H865" s="273"/>
      <c r="I865" s="273"/>
      <c r="J865" s="273"/>
      <c r="K865" s="273"/>
      <c r="L865" s="273"/>
      <c r="M865" s="273"/>
      <c r="N865" s="273"/>
      <c r="O865" s="273"/>
      <c r="P865" s="273"/>
      <c r="Q865" s="273"/>
      <c r="R865" s="273"/>
      <c r="S865" s="273"/>
      <c r="T865" s="273"/>
      <c r="U865" s="273"/>
      <c r="V865" s="273"/>
      <c r="W865" s="273"/>
      <c r="X865" s="273"/>
      <c r="Y865" s="273"/>
      <c r="Z865" s="467"/>
      <c r="AA865" s="273"/>
      <c r="AB865" s="273"/>
      <c r="AC865" s="273"/>
      <c r="AD865" s="273"/>
    </row>
    <row r="866" spans="1:30" ht="14.25" customHeight="1">
      <c r="A866" s="273"/>
      <c r="B866" s="273"/>
      <c r="C866" s="273"/>
      <c r="D866" s="273"/>
      <c r="E866" s="274"/>
      <c r="F866" s="273"/>
      <c r="G866" s="273"/>
      <c r="H866" s="273"/>
      <c r="I866" s="273"/>
      <c r="J866" s="273"/>
      <c r="K866" s="273"/>
      <c r="L866" s="273"/>
      <c r="M866" s="273"/>
      <c r="N866" s="273"/>
      <c r="O866" s="273"/>
      <c r="P866" s="273"/>
      <c r="Q866" s="273"/>
      <c r="R866" s="273"/>
      <c r="S866" s="273"/>
      <c r="T866" s="273"/>
      <c r="U866" s="273"/>
      <c r="V866" s="273"/>
      <c r="W866" s="273"/>
      <c r="X866" s="273"/>
      <c r="Y866" s="273"/>
      <c r="Z866" s="467"/>
      <c r="AA866" s="273"/>
      <c r="AB866" s="273"/>
      <c r="AC866" s="273"/>
      <c r="AD866" s="273"/>
    </row>
    <row r="867" spans="1:30" ht="14.25" customHeight="1">
      <c r="A867" s="273"/>
      <c r="B867" s="273"/>
      <c r="C867" s="273"/>
      <c r="D867" s="273"/>
      <c r="E867" s="274"/>
      <c r="F867" s="273"/>
      <c r="G867" s="273"/>
      <c r="H867" s="273"/>
      <c r="I867" s="273"/>
      <c r="J867" s="273"/>
      <c r="K867" s="273"/>
      <c r="L867" s="273"/>
      <c r="M867" s="273"/>
      <c r="N867" s="273"/>
      <c r="O867" s="273"/>
      <c r="P867" s="273"/>
      <c r="Q867" s="273"/>
      <c r="R867" s="273"/>
      <c r="S867" s="273"/>
      <c r="T867" s="273"/>
      <c r="U867" s="273"/>
      <c r="V867" s="273"/>
      <c r="W867" s="273"/>
      <c r="X867" s="273"/>
      <c r="Y867" s="273"/>
      <c r="Z867" s="467"/>
      <c r="AA867" s="273"/>
      <c r="AB867" s="273"/>
      <c r="AC867" s="273"/>
      <c r="AD867" s="273"/>
    </row>
    <row r="868" spans="1:30" ht="14.25" customHeight="1">
      <c r="A868" s="273"/>
      <c r="B868" s="273"/>
      <c r="C868" s="273"/>
      <c r="D868" s="273"/>
      <c r="E868" s="274"/>
      <c r="F868" s="273"/>
      <c r="G868" s="273"/>
      <c r="H868" s="273"/>
      <c r="I868" s="273"/>
      <c r="J868" s="273"/>
      <c r="K868" s="273"/>
      <c r="L868" s="273"/>
      <c r="M868" s="273"/>
      <c r="N868" s="273"/>
      <c r="O868" s="273"/>
      <c r="P868" s="273"/>
      <c r="Q868" s="273"/>
      <c r="R868" s="273"/>
      <c r="S868" s="273"/>
      <c r="T868" s="273"/>
      <c r="U868" s="273"/>
      <c r="V868" s="273"/>
      <c r="W868" s="273"/>
      <c r="X868" s="273"/>
      <c r="Y868" s="273"/>
      <c r="Z868" s="467"/>
      <c r="AA868" s="273"/>
      <c r="AB868" s="273"/>
      <c r="AC868" s="273"/>
      <c r="AD868" s="273"/>
    </row>
    <row r="869" spans="1:30" ht="14.25" customHeight="1">
      <c r="A869" s="273"/>
      <c r="B869" s="273"/>
      <c r="C869" s="273"/>
      <c r="D869" s="273"/>
      <c r="E869" s="274"/>
      <c r="F869" s="273"/>
      <c r="G869" s="273"/>
      <c r="H869" s="273"/>
      <c r="I869" s="273"/>
      <c r="J869" s="273"/>
      <c r="K869" s="273"/>
      <c r="L869" s="273"/>
      <c r="M869" s="273"/>
      <c r="N869" s="273"/>
      <c r="O869" s="273"/>
      <c r="P869" s="273"/>
      <c r="Q869" s="273"/>
      <c r="R869" s="273"/>
      <c r="S869" s="273"/>
      <c r="T869" s="273"/>
      <c r="U869" s="273"/>
      <c r="V869" s="273"/>
      <c r="W869" s="273"/>
      <c r="X869" s="273"/>
      <c r="Y869" s="273"/>
      <c r="Z869" s="467"/>
      <c r="AA869" s="273"/>
      <c r="AB869" s="273"/>
      <c r="AC869" s="273"/>
      <c r="AD869" s="273"/>
    </row>
    <row r="870" spans="1:30" ht="14.25" customHeight="1">
      <c r="A870" s="273"/>
      <c r="B870" s="273"/>
      <c r="C870" s="273"/>
      <c r="D870" s="273"/>
      <c r="E870" s="274"/>
      <c r="F870" s="273"/>
      <c r="G870" s="273"/>
      <c r="H870" s="273"/>
      <c r="I870" s="273"/>
      <c r="J870" s="273"/>
      <c r="K870" s="273"/>
      <c r="L870" s="273"/>
      <c r="M870" s="273"/>
      <c r="N870" s="273"/>
      <c r="O870" s="273"/>
      <c r="P870" s="273"/>
      <c r="Q870" s="273"/>
      <c r="R870" s="273"/>
      <c r="S870" s="273"/>
      <c r="T870" s="273"/>
      <c r="U870" s="273"/>
      <c r="V870" s="273"/>
      <c r="W870" s="273"/>
      <c r="X870" s="273"/>
      <c r="Y870" s="273"/>
      <c r="Z870" s="467"/>
      <c r="AA870" s="273"/>
      <c r="AB870" s="273"/>
      <c r="AC870" s="273"/>
      <c r="AD870" s="273"/>
    </row>
    <row r="871" spans="1:30" ht="14.25" customHeight="1">
      <c r="A871" s="273"/>
      <c r="B871" s="273"/>
      <c r="C871" s="273"/>
      <c r="D871" s="273"/>
      <c r="E871" s="274"/>
      <c r="F871" s="273"/>
      <c r="G871" s="273"/>
      <c r="H871" s="273"/>
      <c r="I871" s="273"/>
      <c r="J871" s="273"/>
      <c r="K871" s="273"/>
      <c r="L871" s="273"/>
      <c r="M871" s="273"/>
      <c r="N871" s="273"/>
      <c r="O871" s="273"/>
      <c r="P871" s="273"/>
      <c r="Q871" s="273"/>
      <c r="R871" s="273"/>
      <c r="S871" s="273"/>
      <c r="T871" s="273"/>
      <c r="U871" s="273"/>
      <c r="V871" s="273"/>
      <c r="W871" s="273"/>
      <c r="X871" s="273"/>
      <c r="Y871" s="273"/>
      <c r="Z871" s="467"/>
      <c r="AA871" s="273"/>
      <c r="AB871" s="273"/>
      <c r="AC871" s="273"/>
      <c r="AD871" s="273"/>
    </row>
    <row r="872" spans="1:30" ht="14.25" customHeight="1">
      <c r="A872" s="273"/>
      <c r="B872" s="273"/>
      <c r="C872" s="273"/>
      <c r="D872" s="273"/>
      <c r="E872" s="274"/>
      <c r="F872" s="273"/>
      <c r="G872" s="273"/>
      <c r="H872" s="273"/>
      <c r="I872" s="273"/>
      <c r="J872" s="273"/>
      <c r="K872" s="273"/>
      <c r="L872" s="273"/>
      <c r="M872" s="273"/>
      <c r="N872" s="273"/>
      <c r="O872" s="273"/>
      <c r="P872" s="273"/>
      <c r="Q872" s="273"/>
      <c r="R872" s="273"/>
      <c r="S872" s="273"/>
      <c r="T872" s="273"/>
      <c r="U872" s="273"/>
      <c r="V872" s="273"/>
      <c r="W872" s="273"/>
      <c r="X872" s="273"/>
      <c r="Y872" s="273"/>
      <c r="Z872" s="467"/>
      <c r="AA872" s="273"/>
      <c r="AB872" s="273"/>
      <c r="AC872" s="273"/>
      <c r="AD872" s="273"/>
    </row>
    <row r="873" spans="1:30" ht="14.25" customHeight="1">
      <c r="A873" s="273"/>
      <c r="B873" s="273"/>
      <c r="C873" s="273"/>
      <c r="D873" s="273"/>
      <c r="E873" s="274"/>
      <c r="F873" s="273"/>
      <c r="G873" s="273"/>
      <c r="H873" s="273"/>
      <c r="I873" s="273"/>
      <c r="J873" s="273"/>
      <c r="K873" s="273"/>
      <c r="L873" s="273"/>
      <c r="M873" s="273"/>
      <c r="N873" s="273"/>
      <c r="O873" s="273"/>
      <c r="P873" s="273"/>
      <c r="Q873" s="273"/>
      <c r="R873" s="273"/>
      <c r="S873" s="273"/>
      <c r="T873" s="273"/>
      <c r="U873" s="273"/>
      <c r="V873" s="273"/>
      <c r="W873" s="273"/>
      <c r="X873" s="273"/>
      <c r="Y873" s="273"/>
      <c r="Z873" s="467"/>
      <c r="AA873" s="273"/>
      <c r="AB873" s="273"/>
      <c r="AC873" s="273"/>
      <c r="AD873" s="273"/>
    </row>
    <row r="874" spans="1:30" ht="14.25" customHeight="1">
      <c r="A874" s="273"/>
      <c r="B874" s="273"/>
      <c r="C874" s="273"/>
      <c r="D874" s="273"/>
      <c r="E874" s="274"/>
      <c r="F874" s="273"/>
      <c r="G874" s="273"/>
      <c r="H874" s="273"/>
      <c r="I874" s="273"/>
      <c r="J874" s="273"/>
      <c r="K874" s="273"/>
      <c r="L874" s="273"/>
      <c r="M874" s="273"/>
      <c r="N874" s="273"/>
      <c r="O874" s="273"/>
      <c r="P874" s="273"/>
      <c r="Q874" s="273"/>
      <c r="R874" s="273"/>
      <c r="S874" s="273"/>
      <c r="T874" s="273"/>
      <c r="U874" s="273"/>
      <c r="V874" s="273"/>
      <c r="W874" s="273"/>
      <c r="X874" s="273"/>
      <c r="Y874" s="273"/>
      <c r="Z874" s="467"/>
      <c r="AA874" s="273"/>
      <c r="AB874" s="273"/>
      <c r="AC874" s="273"/>
      <c r="AD874" s="273"/>
    </row>
    <row r="875" spans="1:30" ht="14.25" customHeight="1">
      <c r="A875" s="273"/>
      <c r="B875" s="273"/>
      <c r="C875" s="273"/>
      <c r="D875" s="273"/>
      <c r="E875" s="274"/>
      <c r="F875" s="273"/>
      <c r="G875" s="273"/>
      <c r="H875" s="273"/>
      <c r="I875" s="273"/>
      <c r="J875" s="273"/>
      <c r="K875" s="273"/>
      <c r="L875" s="273"/>
      <c r="M875" s="273"/>
      <c r="N875" s="273"/>
      <c r="O875" s="273"/>
      <c r="P875" s="273"/>
      <c r="Q875" s="273"/>
      <c r="R875" s="273"/>
      <c r="S875" s="273"/>
      <c r="T875" s="273"/>
      <c r="U875" s="273"/>
      <c r="V875" s="273"/>
      <c r="W875" s="273"/>
      <c r="X875" s="273"/>
      <c r="Y875" s="273"/>
      <c r="Z875" s="467"/>
      <c r="AA875" s="273"/>
      <c r="AB875" s="273"/>
      <c r="AC875" s="273"/>
      <c r="AD875" s="273"/>
    </row>
    <row r="876" spans="1:30" ht="14.25" customHeight="1">
      <c r="A876" s="273"/>
      <c r="B876" s="273"/>
      <c r="C876" s="273"/>
      <c r="D876" s="273"/>
      <c r="E876" s="274"/>
      <c r="F876" s="273"/>
      <c r="G876" s="273"/>
      <c r="H876" s="273"/>
      <c r="I876" s="273"/>
      <c r="J876" s="273"/>
      <c r="K876" s="273"/>
      <c r="L876" s="273"/>
      <c r="M876" s="273"/>
      <c r="N876" s="273"/>
      <c r="O876" s="273"/>
      <c r="P876" s="273"/>
      <c r="Q876" s="273"/>
      <c r="R876" s="273"/>
      <c r="S876" s="273"/>
      <c r="T876" s="273"/>
      <c r="U876" s="273"/>
      <c r="V876" s="273"/>
      <c r="W876" s="273"/>
      <c r="X876" s="273"/>
      <c r="Y876" s="273"/>
      <c r="Z876" s="467"/>
      <c r="AA876" s="273"/>
      <c r="AB876" s="273"/>
      <c r="AC876" s="273"/>
      <c r="AD876" s="273"/>
    </row>
    <row r="877" spans="1:30" ht="14.25" customHeight="1">
      <c r="A877" s="273"/>
      <c r="B877" s="273"/>
      <c r="C877" s="273"/>
      <c r="D877" s="273"/>
      <c r="E877" s="274"/>
      <c r="F877" s="273"/>
      <c r="G877" s="273"/>
      <c r="H877" s="273"/>
      <c r="I877" s="273"/>
      <c r="J877" s="273"/>
      <c r="K877" s="273"/>
      <c r="L877" s="273"/>
      <c r="M877" s="273"/>
      <c r="N877" s="273"/>
      <c r="O877" s="273"/>
      <c r="P877" s="273"/>
      <c r="Q877" s="273"/>
      <c r="R877" s="273"/>
      <c r="S877" s="273"/>
      <c r="T877" s="273"/>
      <c r="U877" s="273"/>
      <c r="V877" s="273"/>
      <c r="W877" s="273"/>
      <c r="X877" s="273"/>
      <c r="Y877" s="273"/>
      <c r="Z877" s="467"/>
      <c r="AA877" s="273"/>
      <c r="AB877" s="273"/>
      <c r="AC877" s="273"/>
      <c r="AD877" s="273"/>
    </row>
    <row r="878" spans="1:30" ht="14.25" customHeight="1">
      <c r="A878" s="273"/>
      <c r="B878" s="273"/>
      <c r="C878" s="273"/>
      <c r="D878" s="273"/>
      <c r="E878" s="274"/>
      <c r="F878" s="273"/>
      <c r="G878" s="273"/>
      <c r="H878" s="273"/>
      <c r="I878" s="273"/>
      <c r="J878" s="273"/>
      <c r="K878" s="273"/>
      <c r="L878" s="273"/>
      <c r="M878" s="273"/>
      <c r="N878" s="273"/>
      <c r="O878" s="273"/>
      <c r="P878" s="273"/>
      <c r="Q878" s="273"/>
      <c r="R878" s="273"/>
      <c r="S878" s="273"/>
      <c r="T878" s="273"/>
      <c r="U878" s="273"/>
      <c r="V878" s="273"/>
      <c r="W878" s="273"/>
      <c r="X878" s="273"/>
      <c r="Y878" s="273"/>
      <c r="Z878" s="467"/>
      <c r="AA878" s="273"/>
      <c r="AB878" s="273"/>
      <c r="AC878" s="273"/>
      <c r="AD878" s="273"/>
    </row>
    <row r="879" spans="1:30" ht="14.25" customHeight="1">
      <c r="A879" s="273"/>
      <c r="B879" s="273"/>
      <c r="C879" s="273"/>
      <c r="D879" s="273"/>
      <c r="E879" s="274"/>
      <c r="F879" s="273"/>
      <c r="G879" s="273"/>
      <c r="H879" s="273"/>
      <c r="I879" s="273"/>
      <c r="J879" s="273"/>
      <c r="K879" s="273"/>
      <c r="L879" s="273"/>
      <c r="M879" s="273"/>
      <c r="N879" s="273"/>
      <c r="O879" s="273"/>
      <c r="P879" s="273"/>
      <c r="Q879" s="273"/>
      <c r="R879" s="273"/>
      <c r="S879" s="273"/>
      <c r="T879" s="273"/>
      <c r="U879" s="273"/>
      <c r="V879" s="273"/>
      <c r="W879" s="273"/>
      <c r="X879" s="273"/>
      <c r="Y879" s="273"/>
      <c r="Z879" s="467"/>
      <c r="AA879" s="273"/>
      <c r="AB879" s="273"/>
      <c r="AC879" s="273"/>
      <c r="AD879" s="273"/>
    </row>
    <row r="880" spans="1:30" ht="14.25" customHeight="1">
      <c r="A880" s="273"/>
      <c r="B880" s="273"/>
      <c r="C880" s="273"/>
      <c r="D880" s="273"/>
      <c r="E880" s="274"/>
      <c r="F880" s="273"/>
      <c r="G880" s="273"/>
      <c r="H880" s="273"/>
      <c r="I880" s="273"/>
      <c r="J880" s="273"/>
      <c r="K880" s="273"/>
      <c r="L880" s="273"/>
      <c r="M880" s="273"/>
      <c r="N880" s="273"/>
      <c r="O880" s="273"/>
      <c r="P880" s="273"/>
      <c r="Q880" s="273"/>
      <c r="R880" s="273"/>
      <c r="S880" s="273"/>
      <c r="T880" s="273"/>
      <c r="U880" s="273"/>
      <c r="V880" s="273"/>
      <c r="W880" s="273"/>
      <c r="X880" s="273"/>
      <c r="Y880" s="273"/>
      <c r="Z880" s="467"/>
      <c r="AA880" s="273"/>
      <c r="AB880" s="273"/>
      <c r="AC880" s="273"/>
      <c r="AD880" s="273"/>
    </row>
    <row r="881" spans="1:30" ht="14.25" customHeight="1">
      <c r="A881" s="273"/>
      <c r="B881" s="273"/>
      <c r="C881" s="273"/>
      <c r="D881" s="273"/>
      <c r="E881" s="274"/>
      <c r="F881" s="273"/>
      <c r="G881" s="273"/>
      <c r="H881" s="273"/>
      <c r="I881" s="273"/>
      <c r="J881" s="273"/>
      <c r="K881" s="273"/>
      <c r="L881" s="273"/>
      <c r="M881" s="273"/>
      <c r="N881" s="273"/>
      <c r="O881" s="273"/>
      <c r="P881" s="273"/>
      <c r="Q881" s="273"/>
      <c r="R881" s="273"/>
      <c r="S881" s="273"/>
      <c r="T881" s="273"/>
      <c r="U881" s="273"/>
      <c r="V881" s="273"/>
      <c r="W881" s="273"/>
      <c r="X881" s="273"/>
      <c r="Y881" s="273"/>
      <c r="Z881" s="467"/>
      <c r="AA881" s="273"/>
      <c r="AB881" s="273"/>
      <c r="AC881" s="273"/>
      <c r="AD881" s="273"/>
    </row>
    <row r="882" spans="1:30" ht="14.25" customHeight="1">
      <c r="A882" s="273"/>
      <c r="B882" s="273"/>
      <c r="C882" s="273"/>
      <c r="D882" s="273"/>
      <c r="E882" s="274"/>
      <c r="F882" s="273"/>
      <c r="G882" s="273"/>
      <c r="H882" s="273"/>
      <c r="I882" s="273"/>
      <c r="J882" s="273"/>
      <c r="K882" s="273"/>
      <c r="L882" s="273"/>
      <c r="M882" s="273"/>
      <c r="N882" s="273"/>
      <c r="O882" s="273"/>
      <c r="P882" s="273"/>
      <c r="Q882" s="273"/>
      <c r="R882" s="273"/>
      <c r="S882" s="273"/>
      <c r="T882" s="273"/>
      <c r="U882" s="273"/>
      <c r="V882" s="273"/>
      <c r="W882" s="273"/>
      <c r="X882" s="273"/>
      <c r="Y882" s="273"/>
      <c r="Z882" s="467"/>
      <c r="AA882" s="273"/>
      <c r="AB882" s="273"/>
      <c r="AC882" s="273"/>
      <c r="AD882" s="273"/>
    </row>
    <row r="883" spans="1:30" ht="14.25" customHeight="1">
      <c r="A883" s="273"/>
      <c r="B883" s="273"/>
      <c r="C883" s="273"/>
      <c r="D883" s="273"/>
      <c r="E883" s="274"/>
      <c r="F883" s="273"/>
      <c r="G883" s="273"/>
      <c r="H883" s="273"/>
      <c r="I883" s="273"/>
      <c r="J883" s="273"/>
      <c r="K883" s="273"/>
      <c r="L883" s="273"/>
      <c r="M883" s="273"/>
      <c r="N883" s="273"/>
      <c r="O883" s="273"/>
      <c r="P883" s="273"/>
      <c r="Q883" s="273"/>
      <c r="R883" s="273"/>
      <c r="S883" s="273"/>
      <c r="T883" s="273"/>
      <c r="U883" s="273"/>
      <c r="V883" s="273"/>
      <c r="W883" s="273"/>
      <c r="X883" s="273"/>
      <c r="Y883" s="273"/>
      <c r="Z883" s="467"/>
      <c r="AA883" s="273"/>
      <c r="AB883" s="273"/>
      <c r="AC883" s="273"/>
      <c r="AD883" s="273"/>
    </row>
    <row r="884" spans="1:30" ht="14.25" customHeight="1">
      <c r="A884" s="273"/>
      <c r="B884" s="273"/>
      <c r="C884" s="273"/>
      <c r="D884" s="273"/>
      <c r="E884" s="274"/>
      <c r="F884" s="273"/>
      <c r="G884" s="273"/>
      <c r="H884" s="273"/>
      <c r="I884" s="273"/>
      <c r="J884" s="273"/>
      <c r="K884" s="273"/>
      <c r="L884" s="273"/>
      <c r="M884" s="273"/>
      <c r="N884" s="273"/>
      <c r="O884" s="273"/>
      <c r="P884" s="273"/>
      <c r="Q884" s="273"/>
      <c r="R884" s="273"/>
      <c r="S884" s="273"/>
      <c r="T884" s="273"/>
      <c r="U884" s="273"/>
      <c r="V884" s="273"/>
      <c r="W884" s="273"/>
      <c r="X884" s="273"/>
      <c r="Y884" s="273"/>
      <c r="Z884" s="467"/>
      <c r="AA884" s="273"/>
      <c r="AB884" s="273"/>
      <c r="AC884" s="273"/>
      <c r="AD884" s="273"/>
    </row>
    <row r="885" spans="1:30" ht="14.25" customHeight="1">
      <c r="A885" s="273"/>
      <c r="B885" s="273"/>
      <c r="C885" s="273"/>
      <c r="D885" s="273"/>
      <c r="E885" s="274"/>
      <c r="F885" s="273"/>
      <c r="G885" s="273"/>
      <c r="H885" s="273"/>
      <c r="I885" s="273"/>
      <c r="J885" s="273"/>
      <c r="K885" s="273"/>
      <c r="L885" s="273"/>
      <c r="M885" s="273"/>
      <c r="N885" s="273"/>
      <c r="O885" s="273"/>
      <c r="P885" s="273"/>
      <c r="Q885" s="273"/>
      <c r="R885" s="273"/>
      <c r="S885" s="273"/>
      <c r="T885" s="273"/>
      <c r="U885" s="273"/>
      <c r="V885" s="273"/>
      <c r="W885" s="273"/>
      <c r="X885" s="273"/>
      <c r="Y885" s="273"/>
      <c r="Z885" s="467"/>
      <c r="AA885" s="273"/>
      <c r="AB885" s="273"/>
      <c r="AC885" s="273"/>
      <c r="AD885" s="273"/>
    </row>
    <row r="886" spans="1:30" ht="14.25" customHeight="1">
      <c r="A886" s="273"/>
      <c r="B886" s="273"/>
      <c r="C886" s="273"/>
      <c r="D886" s="273"/>
      <c r="E886" s="274"/>
      <c r="F886" s="273"/>
      <c r="G886" s="273"/>
      <c r="H886" s="273"/>
      <c r="I886" s="273"/>
      <c r="J886" s="273"/>
      <c r="K886" s="273"/>
      <c r="L886" s="273"/>
      <c r="M886" s="273"/>
      <c r="N886" s="273"/>
      <c r="O886" s="273"/>
      <c r="P886" s="273"/>
      <c r="Q886" s="273"/>
      <c r="R886" s="273"/>
      <c r="S886" s="273"/>
      <c r="T886" s="273"/>
      <c r="U886" s="273"/>
      <c r="V886" s="273"/>
      <c r="W886" s="273"/>
      <c r="X886" s="273"/>
      <c r="Y886" s="273"/>
      <c r="Z886" s="467"/>
      <c r="AA886" s="273"/>
      <c r="AB886" s="273"/>
      <c r="AC886" s="273"/>
      <c r="AD886" s="273"/>
    </row>
    <row r="887" spans="1:30" ht="14.25" customHeight="1">
      <c r="A887" s="273"/>
      <c r="B887" s="273"/>
      <c r="C887" s="273"/>
      <c r="D887" s="273"/>
      <c r="E887" s="274"/>
      <c r="F887" s="273"/>
      <c r="G887" s="273"/>
      <c r="H887" s="273"/>
      <c r="I887" s="273"/>
      <c r="J887" s="273"/>
      <c r="K887" s="273"/>
      <c r="L887" s="273"/>
      <c r="M887" s="273"/>
      <c r="N887" s="273"/>
      <c r="O887" s="273"/>
      <c r="P887" s="273"/>
      <c r="Q887" s="273"/>
      <c r="R887" s="273"/>
      <c r="S887" s="273"/>
      <c r="T887" s="273"/>
      <c r="U887" s="273"/>
      <c r="V887" s="273"/>
      <c r="W887" s="273"/>
      <c r="X887" s="273"/>
      <c r="Y887" s="273"/>
      <c r="Z887" s="467"/>
      <c r="AA887" s="273"/>
      <c r="AB887" s="273"/>
      <c r="AC887" s="273"/>
      <c r="AD887" s="273"/>
    </row>
    <row r="888" spans="1:30" ht="14.25" customHeight="1">
      <c r="A888" s="273"/>
      <c r="B888" s="273"/>
      <c r="C888" s="273"/>
      <c r="D888" s="273"/>
      <c r="E888" s="274"/>
      <c r="F888" s="273"/>
      <c r="G888" s="273"/>
      <c r="H888" s="273"/>
      <c r="I888" s="273"/>
      <c r="J888" s="273"/>
      <c r="K888" s="273"/>
      <c r="L888" s="273"/>
      <c r="M888" s="273"/>
      <c r="N888" s="273"/>
      <c r="O888" s="273"/>
      <c r="P888" s="273"/>
      <c r="Q888" s="273"/>
      <c r="R888" s="273"/>
      <c r="S888" s="273"/>
      <c r="T888" s="273"/>
      <c r="U888" s="273"/>
      <c r="V888" s="273"/>
      <c r="W888" s="273"/>
      <c r="X888" s="273"/>
      <c r="Y888" s="273"/>
      <c r="Z888" s="467"/>
      <c r="AA888" s="273"/>
      <c r="AB888" s="273"/>
      <c r="AC888" s="273"/>
      <c r="AD888" s="273"/>
    </row>
    <row r="889" spans="1:30" ht="14.25" customHeight="1">
      <c r="A889" s="273"/>
      <c r="B889" s="273"/>
      <c r="C889" s="273"/>
      <c r="D889" s="273"/>
      <c r="E889" s="274"/>
      <c r="F889" s="273"/>
      <c r="G889" s="273"/>
      <c r="H889" s="273"/>
      <c r="I889" s="273"/>
      <c r="J889" s="273"/>
      <c r="K889" s="273"/>
      <c r="L889" s="273"/>
      <c r="M889" s="273"/>
      <c r="N889" s="273"/>
      <c r="O889" s="273"/>
      <c r="P889" s="273"/>
      <c r="Q889" s="273"/>
      <c r="R889" s="273"/>
      <c r="S889" s="273"/>
      <c r="T889" s="273"/>
      <c r="U889" s="273"/>
      <c r="V889" s="273"/>
      <c r="W889" s="273"/>
      <c r="X889" s="273"/>
      <c r="Y889" s="273"/>
      <c r="Z889" s="467"/>
      <c r="AA889" s="273"/>
      <c r="AB889" s="273"/>
      <c r="AC889" s="273"/>
      <c r="AD889" s="273"/>
    </row>
    <row r="890" spans="1:30" ht="14.25" customHeight="1">
      <c r="A890" s="273"/>
      <c r="B890" s="273"/>
      <c r="C890" s="273"/>
      <c r="D890" s="273"/>
      <c r="E890" s="274"/>
      <c r="F890" s="273"/>
      <c r="G890" s="273"/>
      <c r="H890" s="273"/>
      <c r="I890" s="273"/>
      <c r="J890" s="273"/>
      <c r="K890" s="273"/>
      <c r="L890" s="273"/>
      <c r="M890" s="273"/>
      <c r="N890" s="273"/>
      <c r="O890" s="273"/>
      <c r="P890" s="273"/>
      <c r="Q890" s="273"/>
      <c r="R890" s="273"/>
      <c r="S890" s="273"/>
      <c r="T890" s="273"/>
      <c r="U890" s="273"/>
      <c r="V890" s="273"/>
      <c r="W890" s="273"/>
      <c r="X890" s="273"/>
      <c r="Y890" s="273"/>
      <c r="Z890" s="467"/>
      <c r="AA890" s="273"/>
      <c r="AB890" s="273"/>
      <c r="AC890" s="273"/>
      <c r="AD890" s="273"/>
    </row>
    <row r="891" spans="1:30" ht="14.25" customHeight="1">
      <c r="A891" s="273"/>
      <c r="B891" s="273"/>
      <c r="C891" s="273"/>
      <c r="D891" s="273"/>
      <c r="E891" s="274"/>
      <c r="F891" s="273"/>
      <c r="G891" s="273"/>
      <c r="H891" s="273"/>
      <c r="I891" s="273"/>
      <c r="J891" s="273"/>
      <c r="K891" s="273"/>
      <c r="L891" s="273"/>
      <c r="M891" s="273"/>
      <c r="N891" s="273"/>
      <c r="O891" s="273"/>
      <c r="P891" s="273"/>
      <c r="Q891" s="273"/>
      <c r="R891" s="273"/>
      <c r="S891" s="273"/>
      <c r="T891" s="273"/>
      <c r="U891" s="273"/>
      <c r="V891" s="273"/>
      <c r="W891" s="273"/>
      <c r="X891" s="273"/>
      <c r="Y891" s="273"/>
      <c r="Z891" s="467"/>
      <c r="AA891" s="273"/>
      <c r="AB891" s="273"/>
      <c r="AC891" s="273"/>
      <c r="AD891" s="273"/>
    </row>
    <row r="892" spans="1:30" ht="14.25" customHeight="1">
      <c r="A892" s="273"/>
      <c r="B892" s="273"/>
      <c r="C892" s="273"/>
      <c r="D892" s="273"/>
      <c r="E892" s="274"/>
      <c r="F892" s="273"/>
      <c r="G892" s="273"/>
      <c r="H892" s="273"/>
      <c r="I892" s="273"/>
      <c r="J892" s="273"/>
      <c r="K892" s="273"/>
      <c r="L892" s="273"/>
      <c r="M892" s="273"/>
      <c r="N892" s="273"/>
      <c r="O892" s="273"/>
      <c r="P892" s="273"/>
      <c r="Q892" s="273"/>
      <c r="R892" s="273"/>
      <c r="S892" s="273"/>
      <c r="T892" s="273"/>
      <c r="U892" s="273"/>
      <c r="V892" s="273"/>
      <c r="W892" s="273"/>
      <c r="X892" s="273"/>
      <c r="Y892" s="273"/>
      <c r="Z892" s="467"/>
      <c r="AA892" s="273"/>
      <c r="AB892" s="273"/>
      <c r="AC892" s="273"/>
      <c r="AD892" s="273"/>
    </row>
    <row r="893" spans="1:30" ht="14.25" customHeight="1">
      <c r="A893" s="273"/>
      <c r="B893" s="273"/>
      <c r="C893" s="273"/>
      <c r="D893" s="273"/>
      <c r="E893" s="274"/>
      <c r="F893" s="273"/>
      <c r="G893" s="273"/>
      <c r="H893" s="273"/>
      <c r="I893" s="273"/>
      <c r="J893" s="273"/>
      <c r="K893" s="273"/>
      <c r="L893" s="273"/>
      <c r="M893" s="273"/>
      <c r="N893" s="273"/>
      <c r="O893" s="273"/>
      <c r="P893" s="273"/>
      <c r="Q893" s="273"/>
      <c r="R893" s="273"/>
      <c r="S893" s="273"/>
      <c r="T893" s="273"/>
      <c r="U893" s="273"/>
      <c r="V893" s="273"/>
      <c r="W893" s="273"/>
      <c r="X893" s="273"/>
      <c r="Y893" s="273"/>
      <c r="Z893" s="467"/>
      <c r="AA893" s="273"/>
      <c r="AB893" s="273"/>
      <c r="AC893" s="273"/>
      <c r="AD893" s="273"/>
    </row>
    <row r="894" spans="1:30" ht="14.25" customHeight="1">
      <c r="A894" s="273"/>
      <c r="B894" s="273"/>
      <c r="C894" s="273"/>
      <c r="D894" s="273"/>
      <c r="E894" s="274"/>
      <c r="F894" s="273"/>
      <c r="G894" s="273"/>
      <c r="H894" s="273"/>
      <c r="I894" s="273"/>
      <c r="J894" s="273"/>
      <c r="K894" s="273"/>
      <c r="L894" s="273"/>
      <c r="M894" s="273"/>
      <c r="N894" s="273"/>
      <c r="O894" s="273"/>
      <c r="P894" s="273"/>
      <c r="Q894" s="273"/>
      <c r="R894" s="273"/>
      <c r="S894" s="273"/>
      <c r="T894" s="273"/>
      <c r="U894" s="273"/>
      <c r="V894" s="273"/>
      <c r="W894" s="273"/>
      <c r="X894" s="273"/>
      <c r="Y894" s="273"/>
      <c r="Z894" s="467"/>
      <c r="AA894" s="273"/>
      <c r="AB894" s="273"/>
      <c r="AC894" s="273"/>
      <c r="AD894" s="273"/>
    </row>
    <row r="895" spans="1:30" ht="14.25" customHeight="1">
      <c r="A895" s="273"/>
      <c r="B895" s="273"/>
      <c r="C895" s="273"/>
      <c r="D895" s="273"/>
      <c r="E895" s="274"/>
      <c r="F895" s="273"/>
      <c r="G895" s="273"/>
      <c r="H895" s="273"/>
      <c r="I895" s="273"/>
      <c r="J895" s="273"/>
      <c r="K895" s="273"/>
      <c r="L895" s="273"/>
      <c r="M895" s="273"/>
      <c r="N895" s="273"/>
      <c r="O895" s="273"/>
      <c r="P895" s="273"/>
      <c r="Q895" s="273"/>
      <c r="R895" s="273"/>
      <c r="S895" s="273"/>
      <c r="T895" s="273"/>
      <c r="U895" s="273"/>
      <c r="V895" s="273"/>
      <c r="W895" s="273"/>
      <c r="X895" s="273"/>
      <c r="Y895" s="273"/>
      <c r="Z895" s="467"/>
      <c r="AA895" s="273"/>
      <c r="AB895" s="273"/>
      <c r="AC895" s="273"/>
      <c r="AD895" s="273"/>
    </row>
    <row r="896" spans="1:30" ht="14.25" customHeight="1">
      <c r="A896" s="273"/>
      <c r="B896" s="273"/>
      <c r="C896" s="273"/>
      <c r="D896" s="273"/>
      <c r="E896" s="274"/>
      <c r="F896" s="273"/>
      <c r="G896" s="273"/>
      <c r="H896" s="273"/>
      <c r="I896" s="273"/>
      <c r="J896" s="273"/>
      <c r="K896" s="273"/>
      <c r="L896" s="273"/>
      <c r="M896" s="273"/>
      <c r="N896" s="273"/>
      <c r="O896" s="273"/>
      <c r="P896" s="273"/>
      <c r="Q896" s="273"/>
      <c r="R896" s="273"/>
      <c r="S896" s="273"/>
      <c r="T896" s="273"/>
      <c r="U896" s="273"/>
      <c r="V896" s="273"/>
      <c r="W896" s="273"/>
      <c r="X896" s="273"/>
      <c r="Y896" s="273"/>
      <c r="Z896" s="467"/>
      <c r="AA896" s="273"/>
      <c r="AB896" s="273"/>
      <c r="AC896" s="273"/>
      <c r="AD896" s="273"/>
    </row>
    <row r="897" spans="1:30" ht="14.25" customHeight="1">
      <c r="A897" s="273"/>
      <c r="B897" s="273"/>
      <c r="C897" s="273"/>
      <c r="D897" s="273"/>
      <c r="E897" s="274"/>
      <c r="F897" s="273"/>
      <c r="G897" s="273"/>
      <c r="H897" s="273"/>
      <c r="I897" s="273"/>
      <c r="J897" s="273"/>
      <c r="K897" s="273"/>
      <c r="L897" s="273"/>
      <c r="M897" s="273"/>
      <c r="N897" s="273"/>
      <c r="O897" s="273"/>
      <c r="P897" s="273"/>
      <c r="Q897" s="273"/>
      <c r="R897" s="273"/>
      <c r="S897" s="273"/>
      <c r="T897" s="273"/>
      <c r="U897" s="273"/>
      <c r="V897" s="273"/>
      <c r="W897" s="273"/>
      <c r="X897" s="273"/>
      <c r="Y897" s="273"/>
      <c r="Z897" s="467"/>
      <c r="AA897" s="273"/>
      <c r="AB897" s="273"/>
      <c r="AC897" s="273"/>
      <c r="AD897" s="273"/>
    </row>
    <row r="898" spans="1:30" ht="14.25" customHeight="1">
      <c r="A898" s="273"/>
      <c r="B898" s="273"/>
      <c r="C898" s="273"/>
      <c r="D898" s="273"/>
      <c r="E898" s="274"/>
      <c r="F898" s="273"/>
      <c r="G898" s="273"/>
      <c r="H898" s="273"/>
      <c r="I898" s="273"/>
      <c r="J898" s="273"/>
      <c r="K898" s="273"/>
      <c r="L898" s="273"/>
      <c r="M898" s="273"/>
      <c r="N898" s="273"/>
      <c r="O898" s="273"/>
      <c r="P898" s="273"/>
      <c r="Q898" s="273"/>
      <c r="R898" s="273"/>
      <c r="S898" s="273"/>
      <c r="T898" s="273"/>
      <c r="U898" s="273"/>
      <c r="V898" s="273"/>
      <c r="W898" s="273"/>
      <c r="X898" s="273"/>
      <c r="Y898" s="273"/>
      <c r="Z898" s="467"/>
      <c r="AA898" s="273"/>
      <c r="AB898" s="273"/>
      <c r="AC898" s="273"/>
      <c r="AD898" s="273"/>
    </row>
    <row r="899" spans="1:30" ht="14.25" customHeight="1">
      <c r="A899" s="273"/>
      <c r="B899" s="273"/>
      <c r="C899" s="273"/>
      <c r="D899" s="273"/>
      <c r="E899" s="274"/>
      <c r="F899" s="273"/>
      <c r="G899" s="273"/>
      <c r="H899" s="273"/>
      <c r="I899" s="273"/>
      <c r="J899" s="273"/>
      <c r="K899" s="273"/>
      <c r="L899" s="273"/>
      <c r="M899" s="273"/>
      <c r="N899" s="273"/>
      <c r="O899" s="273"/>
      <c r="P899" s="273"/>
      <c r="Q899" s="273"/>
      <c r="R899" s="273"/>
      <c r="S899" s="273"/>
      <c r="T899" s="273"/>
      <c r="U899" s="273"/>
      <c r="V899" s="273"/>
      <c r="W899" s="273"/>
      <c r="X899" s="273"/>
      <c r="Y899" s="273"/>
      <c r="Z899" s="467"/>
      <c r="AA899" s="273"/>
      <c r="AB899" s="273"/>
      <c r="AC899" s="273"/>
      <c r="AD899" s="273"/>
    </row>
    <row r="900" spans="1:30" ht="14.25" customHeight="1">
      <c r="A900" s="273"/>
      <c r="B900" s="273"/>
      <c r="C900" s="273"/>
      <c r="D900" s="273"/>
      <c r="E900" s="274"/>
      <c r="F900" s="273"/>
      <c r="G900" s="273"/>
      <c r="H900" s="273"/>
      <c r="I900" s="273"/>
      <c r="J900" s="273"/>
      <c r="K900" s="273"/>
      <c r="L900" s="273"/>
      <c r="M900" s="273"/>
      <c r="N900" s="273"/>
      <c r="O900" s="273"/>
      <c r="P900" s="273"/>
      <c r="Q900" s="273"/>
      <c r="R900" s="273"/>
      <c r="S900" s="273"/>
      <c r="T900" s="273"/>
      <c r="U900" s="273"/>
      <c r="V900" s="273"/>
      <c r="W900" s="273"/>
      <c r="X900" s="273"/>
      <c r="Y900" s="273"/>
      <c r="Z900" s="467"/>
      <c r="AA900" s="273"/>
      <c r="AB900" s="273"/>
      <c r="AC900" s="273"/>
      <c r="AD900" s="273"/>
    </row>
    <row r="901" spans="1:30" ht="14.25" customHeight="1">
      <c r="A901" s="273"/>
      <c r="B901" s="273"/>
      <c r="C901" s="273"/>
      <c r="D901" s="273"/>
      <c r="E901" s="274"/>
      <c r="F901" s="273"/>
      <c r="G901" s="273"/>
      <c r="H901" s="273"/>
      <c r="I901" s="273"/>
      <c r="J901" s="273"/>
      <c r="K901" s="273"/>
      <c r="L901" s="273"/>
      <c r="M901" s="273"/>
      <c r="N901" s="273"/>
      <c r="O901" s="273"/>
      <c r="P901" s="273"/>
      <c r="Q901" s="273"/>
      <c r="R901" s="273"/>
      <c r="S901" s="273"/>
      <c r="T901" s="273"/>
      <c r="U901" s="273"/>
      <c r="V901" s="273"/>
      <c r="W901" s="273"/>
      <c r="X901" s="273"/>
      <c r="Y901" s="273"/>
      <c r="Z901" s="467"/>
      <c r="AA901" s="273"/>
      <c r="AB901" s="273"/>
      <c r="AC901" s="273"/>
      <c r="AD901" s="273"/>
    </row>
    <row r="902" spans="1:30" ht="14.25" customHeight="1">
      <c r="A902" s="273"/>
      <c r="B902" s="273"/>
      <c r="C902" s="273"/>
      <c r="D902" s="273"/>
      <c r="E902" s="274"/>
      <c r="F902" s="273"/>
      <c r="G902" s="273"/>
      <c r="H902" s="273"/>
      <c r="I902" s="273"/>
      <c r="J902" s="273"/>
      <c r="K902" s="273"/>
      <c r="L902" s="273"/>
      <c r="M902" s="273"/>
      <c r="N902" s="273"/>
      <c r="O902" s="273"/>
      <c r="P902" s="273"/>
      <c r="Q902" s="273"/>
      <c r="R902" s="273"/>
      <c r="S902" s="273"/>
      <c r="T902" s="273"/>
      <c r="U902" s="273"/>
      <c r="V902" s="273"/>
      <c r="W902" s="273"/>
      <c r="X902" s="273"/>
      <c r="Y902" s="273"/>
      <c r="Z902" s="467"/>
      <c r="AA902" s="273"/>
      <c r="AB902" s="273"/>
      <c r="AC902" s="273"/>
      <c r="AD902" s="273"/>
    </row>
    <row r="903" spans="1:30" ht="14.25" customHeight="1">
      <c r="A903" s="273"/>
      <c r="B903" s="273"/>
      <c r="C903" s="273"/>
      <c r="D903" s="273"/>
      <c r="E903" s="274"/>
      <c r="F903" s="273"/>
      <c r="G903" s="273"/>
      <c r="H903" s="273"/>
      <c r="I903" s="273"/>
      <c r="J903" s="273"/>
      <c r="K903" s="273"/>
      <c r="L903" s="273"/>
      <c r="M903" s="273"/>
      <c r="N903" s="273"/>
      <c r="O903" s="273"/>
      <c r="P903" s="273"/>
      <c r="Q903" s="273"/>
      <c r="R903" s="273"/>
      <c r="S903" s="273"/>
      <c r="T903" s="273"/>
      <c r="U903" s="273"/>
      <c r="V903" s="273"/>
      <c r="W903" s="273"/>
      <c r="X903" s="273"/>
      <c r="Y903" s="273"/>
      <c r="Z903" s="467"/>
      <c r="AA903" s="273"/>
      <c r="AB903" s="273"/>
      <c r="AC903" s="273"/>
      <c r="AD903" s="273"/>
    </row>
    <row r="904" spans="1:30" ht="14.25" customHeight="1">
      <c r="A904" s="273"/>
      <c r="B904" s="273"/>
      <c r="C904" s="273"/>
      <c r="D904" s="273"/>
      <c r="E904" s="274"/>
      <c r="F904" s="273"/>
      <c r="G904" s="273"/>
      <c r="H904" s="273"/>
      <c r="I904" s="273"/>
      <c r="J904" s="273"/>
      <c r="K904" s="273"/>
      <c r="L904" s="273"/>
      <c r="M904" s="273"/>
      <c r="N904" s="273"/>
      <c r="O904" s="273"/>
      <c r="P904" s="273"/>
      <c r="Q904" s="273"/>
      <c r="R904" s="273"/>
      <c r="S904" s="273"/>
      <c r="T904" s="273"/>
      <c r="U904" s="273"/>
      <c r="V904" s="273"/>
      <c r="W904" s="273"/>
      <c r="X904" s="273"/>
      <c r="Y904" s="273"/>
      <c r="Z904" s="467"/>
      <c r="AA904" s="273"/>
      <c r="AB904" s="273"/>
      <c r="AC904" s="273"/>
      <c r="AD904" s="273"/>
    </row>
    <row r="905" spans="1:30" ht="14.25" customHeight="1">
      <c r="A905" s="273"/>
      <c r="B905" s="273"/>
      <c r="C905" s="273"/>
      <c r="D905" s="273"/>
      <c r="E905" s="274"/>
      <c r="F905" s="273"/>
      <c r="G905" s="273"/>
      <c r="H905" s="273"/>
      <c r="I905" s="273"/>
      <c r="J905" s="273"/>
      <c r="K905" s="273"/>
      <c r="L905" s="273"/>
      <c r="M905" s="273"/>
      <c r="N905" s="273"/>
      <c r="O905" s="273"/>
      <c r="P905" s="273"/>
      <c r="Q905" s="273"/>
      <c r="R905" s="273"/>
      <c r="S905" s="273"/>
      <c r="T905" s="273"/>
      <c r="U905" s="273"/>
      <c r="V905" s="273"/>
      <c r="W905" s="273"/>
      <c r="X905" s="273"/>
      <c r="Y905" s="273"/>
      <c r="Z905" s="467"/>
      <c r="AA905" s="273"/>
      <c r="AB905" s="273"/>
      <c r="AC905" s="273"/>
      <c r="AD905" s="273"/>
    </row>
    <row r="906" spans="1:30" ht="14.25" customHeight="1">
      <c r="A906" s="273"/>
      <c r="B906" s="273"/>
      <c r="C906" s="273"/>
      <c r="D906" s="273"/>
      <c r="E906" s="274"/>
      <c r="F906" s="273"/>
      <c r="G906" s="273"/>
      <c r="H906" s="273"/>
      <c r="I906" s="273"/>
      <c r="J906" s="273"/>
      <c r="K906" s="273"/>
      <c r="L906" s="273"/>
      <c r="M906" s="273"/>
      <c r="N906" s="273"/>
      <c r="O906" s="273"/>
      <c r="P906" s="273"/>
      <c r="Q906" s="273"/>
      <c r="R906" s="273"/>
      <c r="S906" s="273"/>
      <c r="T906" s="273"/>
      <c r="U906" s="273"/>
      <c r="V906" s="273"/>
      <c r="W906" s="273"/>
      <c r="X906" s="273"/>
      <c r="Y906" s="273"/>
      <c r="Z906" s="467"/>
      <c r="AA906" s="273"/>
      <c r="AB906" s="273"/>
      <c r="AC906" s="273"/>
      <c r="AD906" s="273"/>
    </row>
    <row r="907" spans="1:30" ht="14.25" customHeight="1">
      <c r="A907" s="273"/>
      <c r="B907" s="273"/>
      <c r="C907" s="273"/>
      <c r="D907" s="273"/>
      <c r="E907" s="274"/>
      <c r="F907" s="273"/>
      <c r="G907" s="273"/>
      <c r="H907" s="273"/>
      <c r="I907" s="273"/>
      <c r="J907" s="273"/>
      <c r="K907" s="273"/>
      <c r="L907" s="273"/>
      <c r="M907" s="273"/>
      <c r="N907" s="273"/>
      <c r="O907" s="273"/>
      <c r="P907" s="273"/>
      <c r="Q907" s="273"/>
      <c r="R907" s="273"/>
      <c r="S907" s="273"/>
      <c r="T907" s="273"/>
      <c r="U907" s="273"/>
      <c r="V907" s="273"/>
      <c r="W907" s="273"/>
      <c r="X907" s="273"/>
      <c r="Y907" s="273"/>
      <c r="Z907" s="467"/>
      <c r="AA907" s="273"/>
      <c r="AB907" s="273"/>
      <c r="AC907" s="273"/>
      <c r="AD907" s="273"/>
    </row>
    <row r="908" spans="1:30" ht="14.25" customHeight="1">
      <c r="A908" s="273"/>
      <c r="B908" s="273"/>
      <c r="C908" s="273"/>
      <c r="D908" s="273"/>
      <c r="E908" s="274"/>
      <c r="F908" s="273"/>
      <c r="G908" s="273"/>
      <c r="H908" s="273"/>
      <c r="I908" s="273"/>
      <c r="J908" s="273"/>
      <c r="K908" s="273"/>
      <c r="L908" s="273"/>
      <c r="M908" s="273"/>
      <c r="N908" s="273"/>
      <c r="O908" s="273"/>
      <c r="P908" s="273"/>
      <c r="Q908" s="273"/>
      <c r="R908" s="273"/>
      <c r="S908" s="273"/>
      <c r="T908" s="273"/>
      <c r="U908" s="273"/>
      <c r="V908" s="273"/>
      <c r="W908" s="273"/>
      <c r="X908" s="273"/>
      <c r="Y908" s="273"/>
      <c r="Z908" s="467"/>
      <c r="AA908" s="273"/>
      <c r="AB908" s="273"/>
      <c r="AC908" s="273"/>
      <c r="AD908" s="273"/>
    </row>
    <row r="909" spans="1:30" ht="14.25" customHeight="1">
      <c r="A909" s="273"/>
      <c r="B909" s="273"/>
      <c r="C909" s="273"/>
      <c r="D909" s="273"/>
      <c r="E909" s="274"/>
      <c r="F909" s="273"/>
      <c r="G909" s="273"/>
      <c r="H909" s="273"/>
      <c r="I909" s="273"/>
      <c r="J909" s="273"/>
      <c r="K909" s="273"/>
      <c r="L909" s="273"/>
      <c r="M909" s="273"/>
      <c r="N909" s="273"/>
      <c r="O909" s="273"/>
      <c r="P909" s="273"/>
      <c r="Q909" s="273"/>
      <c r="R909" s="273"/>
      <c r="S909" s="273"/>
      <c r="T909" s="273"/>
      <c r="U909" s="273"/>
      <c r="V909" s="273"/>
      <c r="W909" s="273"/>
      <c r="X909" s="273"/>
      <c r="Y909" s="273"/>
      <c r="Z909" s="467"/>
      <c r="AA909" s="273"/>
      <c r="AB909" s="273"/>
      <c r="AC909" s="273"/>
      <c r="AD909" s="273"/>
    </row>
    <row r="910" spans="1:30" ht="14.25" customHeight="1">
      <c r="A910" s="273"/>
      <c r="B910" s="273"/>
      <c r="C910" s="273"/>
      <c r="D910" s="273"/>
      <c r="E910" s="274"/>
      <c r="F910" s="273"/>
      <c r="G910" s="273"/>
      <c r="H910" s="273"/>
      <c r="I910" s="273"/>
      <c r="J910" s="273"/>
      <c r="K910" s="273"/>
      <c r="L910" s="273"/>
      <c r="M910" s="273"/>
      <c r="N910" s="273"/>
      <c r="O910" s="273"/>
      <c r="P910" s="273"/>
      <c r="Q910" s="273"/>
      <c r="R910" s="273"/>
      <c r="S910" s="273"/>
      <c r="T910" s="273"/>
      <c r="U910" s="273"/>
      <c r="V910" s="273"/>
      <c r="W910" s="273"/>
      <c r="X910" s="273"/>
      <c r="Y910" s="273"/>
      <c r="Z910" s="467"/>
      <c r="AA910" s="273"/>
      <c r="AB910" s="273"/>
      <c r="AC910" s="273"/>
      <c r="AD910" s="273"/>
    </row>
    <row r="911" spans="1:30" ht="14.25" customHeight="1">
      <c r="A911" s="273"/>
      <c r="B911" s="273"/>
      <c r="C911" s="273"/>
      <c r="D911" s="273"/>
      <c r="E911" s="274"/>
      <c r="F911" s="273"/>
      <c r="G911" s="273"/>
      <c r="H911" s="273"/>
      <c r="I911" s="273"/>
      <c r="J911" s="273"/>
      <c r="K911" s="273"/>
      <c r="L911" s="273"/>
      <c r="M911" s="273"/>
      <c r="N911" s="273"/>
      <c r="O911" s="273"/>
      <c r="P911" s="273"/>
      <c r="Q911" s="273"/>
      <c r="R911" s="273"/>
      <c r="S911" s="273"/>
      <c r="T911" s="273"/>
      <c r="U911" s="273"/>
      <c r="V911" s="273"/>
      <c r="W911" s="273"/>
      <c r="X911" s="273"/>
      <c r="Y911" s="273"/>
      <c r="Z911" s="467"/>
      <c r="AA911" s="273"/>
      <c r="AB911" s="273"/>
      <c r="AC911" s="273"/>
      <c r="AD911" s="273"/>
    </row>
    <row r="912" spans="1:30" ht="14.25" customHeight="1">
      <c r="A912" s="273"/>
      <c r="B912" s="273"/>
      <c r="C912" s="273"/>
      <c r="D912" s="273"/>
      <c r="E912" s="274"/>
      <c r="F912" s="273"/>
      <c r="G912" s="273"/>
      <c r="H912" s="273"/>
      <c r="I912" s="273"/>
      <c r="J912" s="273"/>
      <c r="K912" s="273"/>
      <c r="L912" s="273"/>
      <c r="M912" s="273"/>
      <c r="N912" s="273"/>
      <c r="O912" s="273"/>
      <c r="P912" s="273"/>
      <c r="Q912" s="273"/>
      <c r="R912" s="273"/>
      <c r="S912" s="273"/>
      <c r="T912" s="273"/>
      <c r="U912" s="273"/>
      <c r="V912" s="273"/>
      <c r="W912" s="273"/>
      <c r="X912" s="273"/>
      <c r="Y912" s="273"/>
      <c r="Z912" s="467"/>
      <c r="AA912" s="273"/>
      <c r="AB912" s="273"/>
      <c r="AC912" s="273"/>
      <c r="AD912" s="273"/>
    </row>
    <row r="913" spans="1:30" ht="14.25" customHeight="1">
      <c r="A913" s="273"/>
      <c r="B913" s="273"/>
      <c r="C913" s="273"/>
      <c r="D913" s="273"/>
      <c r="E913" s="274"/>
      <c r="F913" s="273"/>
      <c r="G913" s="273"/>
      <c r="H913" s="273"/>
      <c r="I913" s="273"/>
      <c r="J913" s="273"/>
      <c r="K913" s="273"/>
      <c r="L913" s="273"/>
      <c r="M913" s="273"/>
      <c r="N913" s="273"/>
      <c r="O913" s="273"/>
      <c r="P913" s="273"/>
      <c r="Q913" s="273"/>
      <c r="R913" s="273"/>
      <c r="S913" s="273"/>
      <c r="T913" s="273"/>
      <c r="U913" s="273"/>
      <c r="V913" s="273"/>
      <c r="W913" s="273"/>
      <c r="X913" s="273"/>
      <c r="Y913" s="273"/>
      <c r="Z913" s="467"/>
      <c r="AA913" s="273"/>
      <c r="AB913" s="273"/>
      <c r="AC913" s="273"/>
      <c r="AD913" s="273"/>
    </row>
    <row r="914" spans="1:30" ht="14.25" customHeight="1">
      <c r="A914" s="273"/>
      <c r="B914" s="273"/>
      <c r="C914" s="273"/>
      <c r="D914" s="273"/>
      <c r="E914" s="274"/>
      <c r="F914" s="273"/>
      <c r="G914" s="273"/>
      <c r="H914" s="273"/>
      <c r="I914" s="273"/>
      <c r="J914" s="273"/>
      <c r="K914" s="273"/>
      <c r="L914" s="273"/>
      <c r="M914" s="273"/>
      <c r="N914" s="273"/>
      <c r="O914" s="273"/>
      <c r="P914" s="273"/>
      <c r="Q914" s="273"/>
      <c r="R914" s="273"/>
      <c r="S914" s="273"/>
      <c r="T914" s="273"/>
      <c r="U914" s="273"/>
      <c r="V914" s="273"/>
      <c r="W914" s="273"/>
      <c r="X914" s="273"/>
      <c r="Y914" s="273"/>
      <c r="Z914" s="467"/>
      <c r="AA914" s="273"/>
      <c r="AB914" s="273"/>
      <c r="AC914" s="273"/>
      <c r="AD914" s="273"/>
    </row>
    <row r="915" spans="1:30" ht="14.25" customHeight="1">
      <c r="A915" s="273"/>
      <c r="B915" s="273"/>
      <c r="C915" s="273"/>
      <c r="D915" s="273"/>
      <c r="E915" s="274"/>
      <c r="F915" s="273"/>
      <c r="G915" s="273"/>
      <c r="H915" s="273"/>
      <c r="I915" s="273"/>
      <c r="J915" s="273"/>
      <c r="K915" s="273"/>
      <c r="L915" s="273"/>
      <c r="M915" s="273"/>
      <c r="N915" s="273"/>
      <c r="O915" s="273"/>
      <c r="P915" s="273"/>
      <c r="Q915" s="273"/>
      <c r="R915" s="273"/>
      <c r="S915" s="273"/>
      <c r="T915" s="273"/>
      <c r="U915" s="273"/>
      <c r="V915" s="273"/>
      <c r="W915" s="273"/>
      <c r="X915" s="273"/>
      <c r="Y915" s="273"/>
      <c r="Z915" s="467"/>
      <c r="AA915" s="273"/>
      <c r="AB915" s="273"/>
      <c r="AC915" s="273"/>
      <c r="AD915" s="273"/>
    </row>
    <row r="916" spans="1:30" ht="14.25" customHeight="1">
      <c r="A916" s="273"/>
      <c r="B916" s="273"/>
      <c r="C916" s="273"/>
      <c r="D916" s="273"/>
      <c r="E916" s="274"/>
      <c r="F916" s="273"/>
      <c r="G916" s="273"/>
      <c r="H916" s="273"/>
      <c r="I916" s="273"/>
      <c r="J916" s="273"/>
      <c r="K916" s="273"/>
      <c r="L916" s="273"/>
      <c r="M916" s="273"/>
      <c r="N916" s="273"/>
      <c r="O916" s="273"/>
      <c r="P916" s="273"/>
      <c r="Q916" s="273"/>
      <c r="R916" s="273"/>
      <c r="S916" s="273"/>
      <c r="T916" s="273"/>
      <c r="U916" s="273"/>
      <c r="V916" s="273"/>
      <c r="W916" s="273"/>
      <c r="X916" s="273"/>
      <c r="Y916" s="273"/>
      <c r="Z916" s="467"/>
      <c r="AA916" s="273"/>
      <c r="AB916" s="273"/>
      <c r="AC916" s="273"/>
      <c r="AD916" s="273"/>
    </row>
    <row r="917" spans="1:30" ht="14.25" customHeight="1">
      <c r="A917" s="273"/>
      <c r="B917" s="273"/>
      <c r="C917" s="273"/>
      <c r="D917" s="273"/>
      <c r="E917" s="274"/>
      <c r="F917" s="273"/>
      <c r="G917" s="273"/>
      <c r="H917" s="273"/>
      <c r="I917" s="273"/>
      <c r="J917" s="273"/>
      <c r="K917" s="273"/>
      <c r="L917" s="273"/>
      <c r="M917" s="273"/>
      <c r="N917" s="273"/>
      <c r="O917" s="273"/>
      <c r="P917" s="273"/>
      <c r="Q917" s="273"/>
      <c r="R917" s="273"/>
      <c r="S917" s="273"/>
      <c r="T917" s="273"/>
      <c r="U917" s="273"/>
      <c r="V917" s="273"/>
      <c r="W917" s="273"/>
      <c r="X917" s="273"/>
      <c r="Y917" s="273"/>
      <c r="Z917" s="467"/>
      <c r="AA917" s="273"/>
      <c r="AB917" s="273"/>
      <c r="AC917" s="273"/>
      <c r="AD917" s="273"/>
    </row>
    <row r="918" spans="1:30" ht="14.25" customHeight="1">
      <c r="A918" s="273"/>
      <c r="B918" s="273"/>
      <c r="C918" s="273"/>
      <c r="D918" s="273"/>
      <c r="E918" s="274"/>
      <c r="F918" s="273"/>
      <c r="G918" s="273"/>
      <c r="H918" s="273"/>
      <c r="I918" s="273"/>
      <c r="J918" s="273"/>
      <c r="K918" s="273"/>
      <c r="L918" s="273"/>
      <c r="M918" s="273"/>
      <c r="N918" s="273"/>
      <c r="O918" s="273"/>
      <c r="P918" s="273"/>
      <c r="Q918" s="273"/>
      <c r="R918" s="273"/>
      <c r="S918" s="273"/>
      <c r="T918" s="273"/>
      <c r="U918" s="273"/>
      <c r="V918" s="273"/>
      <c r="W918" s="273"/>
      <c r="X918" s="273"/>
      <c r="Y918" s="273"/>
      <c r="Z918" s="467"/>
      <c r="AA918" s="273"/>
      <c r="AB918" s="273"/>
      <c r="AC918" s="273"/>
      <c r="AD918" s="273"/>
    </row>
    <row r="919" spans="1:30" ht="14.25" customHeight="1">
      <c r="A919" s="273"/>
      <c r="B919" s="273"/>
      <c r="C919" s="273"/>
      <c r="D919" s="273"/>
      <c r="E919" s="274"/>
      <c r="F919" s="273"/>
      <c r="G919" s="273"/>
      <c r="H919" s="273"/>
      <c r="I919" s="273"/>
      <c r="J919" s="273"/>
      <c r="K919" s="273"/>
      <c r="L919" s="273"/>
      <c r="M919" s="273"/>
      <c r="N919" s="273"/>
      <c r="O919" s="273"/>
      <c r="P919" s="273"/>
      <c r="Q919" s="273"/>
      <c r="R919" s="273"/>
      <c r="S919" s="273"/>
      <c r="T919" s="273"/>
      <c r="U919" s="273"/>
      <c r="V919" s="273"/>
      <c r="W919" s="273"/>
      <c r="X919" s="273"/>
      <c r="Y919" s="273"/>
      <c r="Z919" s="467"/>
      <c r="AA919" s="273"/>
      <c r="AB919" s="273"/>
      <c r="AC919" s="273"/>
      <c r="AD919" s="273"/>
    </row>
    <row r="920" spans="1:30" ht="14.25" customHeight="1">
      <c r="A920" s="273"/>
      <c r="B920" s="273"/>
      <c r="C920" s="273"/>
      <c r="D920" s="273"/>
      <c r="E920" s="274"/>
      <c r="F920" s="273"/>
      <c r="G920" s="273"/>
      <c r="H920" s="273"/>
      <c r="I920" s="273"/>
      <c r="J920" s="273"/>
      <c r="K920" s="273"/>
      <c r="L920" s="273"/>
      <c r="M920" s="273"/>
      <c r="N920" s="273"/>
      <c r="O920" s="273"/>
      <c r="P920" s="273"/>
      <c r="Q920" s="273"/>
      <c r="R920" s="273"/>
      <c r="S920" s="273"/>
      <c r="T920" s="273"/>
      <c r="U920" s="273"/>
      <c r="V920" s="273"/>
      <c r="W920" s="273"/>
      <c r="X920" s="273"/>
      <c r="Y920" s="273"/>
      <c r="Z920" s="467"/>
      <c r="AA920" s="273"/>
      <c r="AB920" s="273"/>
      <c r="AC920" s="273"/>
      <c r="AD920" s="273"/>
    </row>
    <row r="921" spans="1:30" ht="14.25" customHeight="1">
      <c r="A921" s="273"/>
      <c r="B921" s="273"/>
      <c r="C921" s="273"/>
      <c r="D921" s="273"/>
      <c r="E921" s="274"/>
      <c r="F921" s="273"/>
      <c r="G921" s="273"/>
      <c r="H921" s="273"/>
      <c r="I921" s="273"/>
      <c r="J921" s="273"/>
      <c r="K921" s="273"/>
      <c r="L921" s="273"/>
      <c r="M921" s="273"/>
      <c r="N921" s="273"/>
      <c r="O921" s="273"/>
      <c r="P921" s="273"/>
      <c r="Q921" s="273"/>
      <c r="R921" s="273"/>
      <c r="S921" s="273"/>
      <c r="T921" s="273"/>
      <c r="U921" s="273"/>
      <c r="V921" s="273"/>
      <c r="W921" s="273"/>
      <c r="X921" s="273"/>
      <c r="Y921" s="273"/>
      <c r="Z921" s="467"/>
      <c r="AA921" s="273"/>
      <c r="AB921" s="273"/>
      <c r="AC921" s="273"/>
      <c r="AD921" s="273"/>
    </row>
    <row r="922" spans="1:30" ht="14.25" customHeight="1">
      <c r="A922" s="273"/>
      <c r="B922" s="273"/>
      <c r="C922" s="273"/>
      <c r="D922" s="273"/>
      <c r="E922" s="274"/>
      <c r="F922" s="273"/>
      <c r="G922" s="273"/>
      <c r="H922" s="273"/>
      <c r="I922" s="273"/>
      <c r="J922" s="273"/>
      <c r="K922" s="273"/>
      <c r="L922" s="273"/>
      <c r="M922" s="273"/>
      <c r="N922" s="273"/>
      <c r="O922" s="273"/>
      <c r="P922" s="273"/>
      <c r="Q922" s="273"/>
      <c r="R922" s="273"/>
      <c r="S922" s="273"/>
      <c r="T922" s="273"/>
      <c r="U922" s="273"/>
      <c r="V922" s="273"/>
      <c r="W922" s="273"/>
      <c r="X922" s="273"/>
      <c r="Y922" s="273"/>
      <c r="Z922" s="467"/>
      <c r="AA922" s="273"/>
      <c r="AB922" s="273"/>
      <c r="AC922" s="273"/>
      <c r="AD922" s="273"/>
    </row>
    <row r="923" spans="1:30" ht="14.25" customHeight="1">
      <c r="A923" s="273"/>
      <c r="B923" s="273"/>
      <c r="C923" s="273"/>
      <c r="D923" s="273"/>
      <c r="E923" s="274"/>
      <c r="F923" s="273"/>
      <c r="G923" s="273"/>
      <c r="H923" s="273"/>
      <c r="I923" s="273"/>
      <c r="J923" s="273"/>
      <c r="K923" s="273"/>
      <c r="L923" s="273"/>
      <c r="M923" s="273"/>
      <c r="N923" s="273"/>
      <c r="O923" s="273"/>
      <c r="P923" s="273"/>
      <c r="Q923" s="273"/>
      <c r="R923" s="273"/>
      <c r="S923" s="273"/>
      <c r="T923" s="273"/>
      <c r="U923" s="273"/>
      <c r="V923" s="273"/>
      <c r="W923" s="273"/>
      <c r="X923" s="273"/>
      <c r="Y923" s="273"/>
      <c r="Z923" s="467"/>
      <c r="AA923" s="273"/>
      <c r="AB923" s="273"/>
      <c r="AC923" s="273"/>
      <c r="AD923" s="273"/>
    </row>
    <row r="924" spans="1:30" ht="14.25" customHeight="1">
      <c r="A924" s="273"/>
      <c r="B924" s="273"/>
      <c r="C924" s="273"/>
      <c r="D924" s="273"/>
      <c r="E924" s="274"/>
      <c r="F924" s="273"/>
      <c r="G924" s="273"/>
      <c r="H924" s="273"/>
      <c r="I924" s="273"/>
      <c r="J924" s="273"/>
      <c r="K924" s="273"/>
      <c r="L924" s="273"/>
      <c r="M924" s="273"/>
      <c r="N924" s="273"/>
      <c r="O924" s="273"/>
      <c r="P924" s="273"/>
      <c r="Q924" s="273"/>
      <c r="R924" s="273"/>
      <c r="S924" s="273"/>
      <c r="T924" s="273"/>
      <c r="U924" s="273"/>
      <c r="V924" s="273"/>
      <c r="W924" s="273"/>
      <c r="X924" s="273"/>
      <c r="Y924" s="273"/>
      <c r="Z924" s="467"/>
      <c r="AA924" s="273"/>
      <c r="AB924" s="273"/>
      <c r="AC924" s="273"/>
      <c r="AD924" s="273"/>
    </row>
    <row r="925" spans="1:30" ht="14.25" customHeight="1">
      <c r="A925" s="273"/>
      <c r="B925" s="273"/>
      <c r="C925" s="273"/>
      <c r="D925" s="273"/>
      <c r="E925" s="274"/>
      <c r="F925" s="273"/>
      <c r="G925" s="273"/>
      <c r="H925" s="273"/>
      <c r="I925" s="273"/>
      <c r="J925" s="273"/>
      <c r="K925" s="273"/>
      <c r="L925" s="273"/>
      <c r="M925" s="273"/>
      <c r="N925" s="273"/>
      <c r="O925" s="273"/>
      <c r="P925" s="273"/>
      <c r="Q925" s="273"/>
      <c r="R925" s="273"/>
      <c r="S925" s="273"/>
      <c r="T925" s="273"/>
      <c r="U925" s="273"/>
      <c r="V925" s="273"/>
      <c r="W925" s="273"/>
      <c r="X925" s="273"/>
      <c r="Y925" s="273"/>
      <c r="Z925" s="467"/>
      <c r="AA925" s="273"/>
      <c r="AB925" s="273"/>
      <c r="AC925" s="273"/>
      <c r="AD925" s="273"/>
    </row>
    <row r="926" spans="1:30" ht="14.25" customHeight="1">
      <c r="A926" s="273"/>
      <c r="B926" s="273"/>
      <c r="C926" s="273"/>
      <c r="D926" s="273"/>
      <c r="E926" s="274"/>
      <c r="F926" s="273"/>
      <c r="G926" s="273"/>
      <c r="H926" s="273"/>
      <c r="I926" s="273"/>
      <c r="J926" s="273"/>
      <c r="K926" s="273"/>
      <c r="L926" s="273"/>
      <c r="M926" s="273"/>
      <c r="N926" s="273"/>
      <c r="O926" s="273"/>
      <c r="P926" s="273"/>
      <c r="Q926" s="273"/>
      <c r="R926" s="273"/>
      <c r="S926" s="273"/>
      <c r="T926" s="273"/>
      <c r="U926" s="273"/>
      <c r="V926" s="273"/>
      <c r="W926" s="273"/>
      <c r="X926" s="273"/>
      <c r="Y926" s="273"/>
      <c r="Z926" s="467"/>
      <c r="AA926" s="273"/>
      <c r="AB926" s="273"/>
      <c r="AC926" s="273"/>
      <c r="AD926" s="273"/>
    </row>
    <row r="927" spans="1:30" ht="14.25" customHeight="1">
      <c r="A927" s="273"/>
      <c r="B927" s="273"/>
      <c r="C927" s="273"/>
      <c r="D927" s="273"/>
      <c r="E927" s="274"/>
      <c r="F927" s="273"/>
      <c r="G927" s="273"/>
      <c r="H927" s="273"/>
      <c r="I927" s="273"/>
      <c r="J927" s="273"/>
      <c r="K927" s="273"/>
      <c r="L927" s="273"/>
      <c r="M927" s="273"/>
      <c r="N927" s="273"/>
      <c r="O927" s="273"/>
      <c r="P927" s="273"/>
      <c r="Q927" s="273"/>
      <c r="R927" s="273"/>
      <c r="S927" s="273"/>
      <c r="T927" s="273"/>
      <c r="U927" s="273"/>
      <c r="V927" s="273"/>
      <c r="W927" s="273"/>
      <c r="X927" s="273"/>
      <c r="Y927" s="273"/>
      <c r="Z927" s="467"/>
      <c r="AA927" s="273"/>
      <c r="AB927" s="273"/>
      <c r="AC927" s="273"/>
      <c r="AD927" s="273"/>
    </row>
    <row r="928" spans="1:30" ht="14.25" customHeight="1">
      <c r="A928" s="273"/>
      <c r="B928" s="273"/>
      <c r="C928" s="273"/>
      <c r="D928" s="273"/>
      <c r="E928" s="274"/>
      <c r="F928" s="273"/>
      <c r="G928" s="273"/>
      <c r="H928" s="273"/>
      <c r="I928" s="273"/>
      <c r="J928" s="273"/>
      <c r="K928" s="273"/>
      <c r="L928" s="273"/>
      <c r="M928" s="273"/>
      <c r="N928" s="273"/>
      <c r="O928" s="273"/>
      <c r="P928" s="273"/>
      <c r="Q928" s="273"/>
      <c r="R928" s="273"/>
      <c r="S928" s="273"/>
      <c r="T928" s="273"/>
      <c r="U928" s="273"/>
      <c r="V928" s="273"/>
      <c r="W928" s="273"/>
      <c r="X928" s="273"/>
      <c r="Y928" s="273"/>
      <c r="Z928" s="467"/>
      <c r="AA928" s="273"/>
      <c r="AB928" s="273"/>
      <c r="AC928" s="273"/>
      <c r="AD928" s="273"/>
    </row>
    <row r="929" spans="1:30" ht="14.25" customHeight="1">
      <c r="A929" s="273"/>
      <c r="B929" s="273"/>
      <c r="C929" s="273"/>
      <c r="D929" s="273"/>
      <c r="E929" s="274"/>
      <c r="F929" s="273"/>
      <c r="G929" s="273"/>
      <c r="H929" s="273"/>
      <c r="I929" s="273"/>
      <c r="J929" s="273"/>
      <c r="K929" s="273"/>
      <c r="L929" s="273"/>
      <c r="M929" s="273"/>
      <c r="N929" s="273"/>
      <c r="O929" s="273"/>
      <c r="P929" s="273"/>
      <c r="Q929" s="273"/>
      <c r="R929" s="273"/>
      <c r="S929" s="273"/>
      <c r="T929" s="273"/>
      <c r="U929" s="273"/>
      <c r="V929" s="273"/>
      <c r="W929" s="273"/>
      <c r="X929" s="273"/>
      <c r="Y929" s="273"/>
      <c r="Z929" s="467"/>
      <c r="AA929" s="273"/>
      <c r="AB929" s="273"/>
      <c r="AC929" s="273"/>
      <c r="AD929" s="273"/>
    </row>
    <row r="930" spans="1:30" ht="14.25" customHeight="1">
      <c r="A930" s="273"/>
      <c r="B930" s="273"/>
      <c r="C930" s="273"/>
      <c r="D930" s="273"/>
      <c r="E930" s="274"/>
      <c r="F930" s="273"/>
      <c r="G930" s="273"/>
      <c r="H930" s="273"/>
      <c r="I930" s="273"/>
      <c r="J930" s="273"/>
      <c r="K930" s="273"/>
      <c r="L930" s="273"/>
      <c r="M930" s="273"/>
      <c r="N930" s="273"/>
      <c r="O930" s="273"/>
      <c r="P930" s="273"/>
      <c r="Q930" s="273"/>
      <c r="R930" s="273"/>
      <c r="S930" s="273"/>
      <c r="T930" s="273"/>
      <c r="U930" s="273"/>
      <c r="V930" s="273"/>
      <c r="W930" s="273"/>
      <c r="X930" s="273"/>
      <c r="Y930" s="273"/>
      <c r="Z930" s="467"/>
      <c r="AA930" s="273"/>
      <c r="AB930" s="273"/>
      <c r="AC930" s="273"/>
      <c r="AD930" s="273"/>
    </row>
    <row r="931" spans="1:30" ht="14.25" customHeight="1">
      <c r="A931" s="273"/>
      <c r="B931" s="273"/>
      <c r="C931" s="273"/>
      <c r="D931" s="273"/>
      <c r="E931" s="274"/>
      <c r="F931" s="273"/>
      <c r="G931" s="273"/>
      <c r="H931" s="273"/>
      <c r="I931" s="273"/>
      <c r="J931" s="273"/>
      <c r="K931" s="273"/>
      <c r="L931" s="273"/>
      <c r="M931" s="273"/>
      <c r="N931" s="273"/>
      <c r="O931" s="273"/>
      <c r="P931" s="273"/>
      <c r="Q931" s="273"/>
      <c r="R931" s="273"/>
      <c r="S931" s="273"/>
      <c r="T931" s="273"/>
      <c r="U931" s="273"/>
      <c r="V931" s="273"/>
      <c r="W931" s="273"/>
      <c r="X931" s="273"/>
      <c r="Y931" s="273"/>
      <c r="Z931" s="467"/>
      <c r="AA931" s="273"/>
      <c r="AB931" s="273"/>
      <c r="AC931" s="273"/>
      <c r="AD931" s="273"/>
    </row>
    <row r="932" spans="1:30" ht="14.25" customHeight="1">
      <c r="A932" s="273"/>
      <c r="B932" s="273"/>
      <c r="C932" s="273"/>
      <c r="D932" s="273"/>
      <c r="E932" s="274"/>
      <c r="F932" s="273"/>
      <c r="G932" s="273"/>
      <c r="H932" s="273"/>
      <c r="I932" s="273"/>
      <c r="J932" s="273"/>
      <c r="K932" s="273"/>
      <c r="L932" s="273"/>
      <c r="M932" s="273"/>
      <c r="N932" s="273"/>
      <c r="O932" s="273"/>
      <c r="P932" s="273"/>
      <c r="Q932" s="273"/>
      <c r="R932" s="273"/>
      <c r="S932" s="273"/>
      <c r="T932" s="273"/>
      <c r="U932" s="273"/>
      <c r="V932" s="273"/>
      <c r="W932" s="273"/>
      <c r="X932" s="273"/>
      <c r="Y932" s="273"/>
      <c r="Z932" s="467"/>
      <c r="AA932" s="273"/>
      <c r="AB932" s="273"/>
      <c r="AC932" s="273"/>
      <c r="AD932" s="273"/>
    </row>
    <row r="933" spans="1:30" ht="14.25" customHeight="1">
      <c r="A933" s="273"/>
      <c r="B933" s="273"/>
      <c r="C933" s="273"/>
      <c r="D933" s="273"/>
      <c r="E933" s="274"/>
      <c r="F933" s="273"/>
      <c r="G933" s="273"/>
      <c r="H933" s="273"/>
      <c r="I933" s="273"/>
      <c r="J933" s="273"/>
      <c r="K933" s="273"/>
      <c r="L933" s="273"/>
      <c r="M933" s="273"/>
      <c r="N933" s="273"/>
      <c r="O933" s="273"/>
      <c r="P933" s="273"/>
      <c r="Q933" s="273"/>
      <c r="R933" s="273"/>
      <c r="S933" s="273"/>
      <c r="T933" s="273"/>
      <c r="U933" s="273"/>
      <c r="V933" s="273"/>
      <c r="W933" s="273"/>
      <c r="X933" s="273"/>
      <c r="Y933" s="273"/>
      <c r="Z933" s="467"/>
      <c r="AA933" s="273"/>
      <c r="AB933" s="273"/>
      <c r="AC933" s="273"/>
      <c r="AD933" s="273"/>
    </row>
    <row r="934" spans="1:30" ht="14.25" customHeight="1">
      <c r="A934" s="273"/>
      <c r="B934" s="273"/>
      <c r="C934" s="273"/>
      <c r="D934" s="273"/>
      <c r="E934" s="274"/>
      <c r="F934" s="273"/>
      <c r="G934" s="273"/>
      <c r="H934" s="273"/>
      <c r="I934" s="273"/>
      <c r="J934" s="273"/>
      <c r="K934" s="273"/>
      <c r="L934" s="273"/>
      <c r="M934" s="273"/>
      <c r="N934" s="273"/>
      <c r="O934" s="273"/>
      <c r="P934" s="273"/>
      <c r="Q934" s="273"/>
      <c r="R934" s="273"/>
      <c r="S934" s="273"/>
      <c r="T934" s="273"/>
      <c r="U934" s="273"/>
      <c r="V934" s="273"/>
      <c r="W934" s="273"/>
      <c r="X934" s="273"/>
      <c r="Y934" s="273"/>
      <c r="Z934" s="467"/>
      <c r="AA934" s="273"/>
      <c r="AB934" s="273"/>
      <c r="AC934" s="273"/>
      <c r="AD934" s="273"/>
    </row>
    <row r="935" spans="1:30" ht="14.25" customHeight="1">
      <c r="A935" s="273"/>
      <c r="B935" s="273"/>
      <c r="C935" s="273"/>
      <c r="D935" s="273"/>
      <c r="E935" s="274"/>
      <c r="F935" s="273"/>
      <c r="G935" s="273"/>
      <c r="H935" s="273"/>
      <c r="I935" s="273"/>
      <c r="J935" s="273"/>
      <c r="K935" s="273"/>
      <c r="L935" s="273"/>
      <c r="M935" s="273"/>
      <c r="N935" s="273"/>
      <c r="O935" s="273"/>
      <c r="P935" s="273"/>
      <c r="Q935" s="273"/>
      <c r="R935" s="273"/>
      <c r="S935" s="273"/>
      <c r="T935" s="273"/>
      <c r="U935" s="273"/>
      <c r="V935" s="273"/>
      <c r="W935" s="273"/>
      <c r="X935" s="273"/>
      <c r="Y935" s="273"/>
      <c r="Z935" s="467"/>
      <c r="AA935" s="273"/>
      <c r="AB935" s="273"/>
      <c r="AC935" s="273"/>
      <c r="AD935" s="273"/>
    </row>
    <row r="936" spans="1:30" ht="14.25" customHeight="1">
      <c r="A936" s="273"/>
      <c r="B936" s="273"/>
      <c r="C936" s="273"/>
      <c r="D936" s="273"/>
      <c r="E936" s="274"/>
      <c r="F936" s="273"/>
      <c r="G936" s="273"/>
      <c r="H936" s="273"/>
      <c r="I936" s="273"/>
      <c r="J936" s="273"/>
      <c r="K936" s="273"/>
      <c r="L936" s="273"/>
      <c r="M936" s="273"/>
      <c r="N936" s="273"/>
      <c r="O936" s="273"/>
      <c r="P936" s="273"/>
      <c r="Q936" s="273"/>
      <c r="R936" s="273"/>
      <c r="S936" s="273"/>
      <c r="T936" s="273"/>
      <c r="U936" s="273"/>
      <c r="V936" s="273"/>
      <c r="W936" s="273"/>
      <c r="X936" s="273"/>
      <c r="Y936" s="273"/>
      <c r="Z936" s="467"/>
      <c r="AA936" s="273"/>
      <c r="AB936" s="273"/>
      <c r="AC936" s="273"/>
      <c r="AD936" s="273"/>
    </row>
    <row r="937" spans="1:30" ht="14.25" customHeight="1">
      <c r="A937" s="273"/>
      <c r="B937" s="273"/>
      <c r="C937" s="273"/>
      <c r="D937" s="273"/>
      <c r="E937" s="274"/>
      <c r="F937" s="273"/>
      <c r="G937" s="273"/>
      <c r="H937" s="273"/>
      <c r="I937" s="273"/>
      <c r="J937" s="273"/>
      <c r="K937" s="273"/>
      <c r="L937" s="273"/>
      <c r="M937" s="273"/>
      <c r="N937" s="273"/>
      <c r="O937" s="273"/>
      <c r="P937" s="273"/>
      <c r="Q937" s="273"/>
      <c r="R937" s="273"/>
      <c r="S937" s="273"/>
      <c r="T937" s="273"/>
      <c r="U937" s="273"/>
      <c r="V937" s="273"/>
      <c r="W937" s="273"/>
      <c r="X937" s="273"/>
      <c r="Y937" s="273"/>
      <c r="Z937" s="467"/>
      <c r="AA937" s="273"/>
      <c r="AB937" s="273"/>
      <c r="AC937" s="273"/>
      <c r="AD937" s="273"/>
    </row>
    <row r="938" spans="1:30" ht="14.25" customHeight="1">
      <c r="A938" s="273"/>
      <c r="B938" s="273"/>
      <c r="C938" s="273"/>
      <c r="D938" s="273"/>
      <c r="E938" s="274"/>
      <c r="F938" s="273"/>
      <c r="G938" s="273"/>
      <c r="H938" s="273"/>
      <c r="I938" s="273"/>
      <c r="J938" s="273"/>
      <c r="K938" s="273"/>
      <c r="L938" s="273"/>
      <c r="M938" s="273"/>
      <c r="N938" s="273"/>
      <c r="O938" s="273"/>
      <c r="P938" s="273"/>
      <c r="Q938" s="273"/>
      <c r="R938" s="273"/>
      <c r="S938" s="273"/>
      <c r="T938" s="273"/>
      <c r="U938" s="273"/>
      <c r="V938" s="273"/>
      <c r="W938" s="273"/>
      <c r="X938" s="273"/>
      <c r="Y938" s="273"/>
      <c r="Z938" s="467"/>
      <c r="AA938" s="273"/>
      <c r="AB938" s="273"/>
      <c r="AC938" s="273"/>
      <c r="AD938" s="273"/>
    </row>
    <row r="939" spans="1:30" ht="14.25" customHeight="1">
      <c r="A939" s="273"/>
      <c r="B939" s="273"/>
      <c r="C939" s="273"/>
      <c r="D939" s="273"/>
      <c r="E939" s="274"/>
      <c r="F939" s="273"/>
      <c r="G939" s="273"/>
      <c r="H939" s="273"/>
      <c r="I939" s="273"/>
      <c r="J939" s="273"/>
      <c r="K939" s="273"/>
      <c r="L939" s="273"/>
      <c r="M939" s="273"/>
      <c r="N939" s="273"/>
      <c r="O939" s="273"/>
      <c r="P939" s="273"/>
      <c r="Q939" s="273"/>
      <c r="R939" s="273"/>
      <c r="S939" s="273"/>
      <c r="T939" s="273"/>
      <c r="U939" s="273"/>
      <c r="V939" s="273"/>
      <c r="W939" s="273"/>
      <c r="X939" s="273"/>
      <c r="Y939" s="273"/>
      <c r="Z939" s="467"/>
      <c r="AA939" s="273"/>
      <c r="AB939" s="273"/>
      <c r="AC939" s="273"/>
      <c r="AD939" s="273"/>
    </row>
    <row r="940" spans="1:30" ht="14.25" customHeight="1">
      <c r="A940" s="273"/>
      <c r="B940" s="273"/>
      <c r="C940" s="273"/>
      <c r="D940" s="273"/>
      <c r="E940" s="274"/>
      <c r="F940" s="273"/>
      <c r="G940" s="273"/>
      <c r="H940" s="273"/>
      <c r="I940" s="273"/>
      <c r="J940" s="273"/>
      <c r="K940" s="273"/>
      <c r="L940" s="273"/>
      <c r="M940" s="273"/>
      <c r="N940" s="273"/>
      <c r="O940" s="273"/>
      <c r="P940" s="273"/>
      <c r="Q940" s="273"/>
      <c r="R940" s="273"/>
      <c r="S940" s="273"/>
      <c r="T940" s="273"/>
      <c r="U940" s="273"/>
      <c r="V940" s="273"/>
      <c r="W940" s="273"/>
      <c r="X940" s="273"/>
      <c r="Y940" s="273"/>
      <c r="Z940" s="467"/>
      <c r="AA940" s="273"/>
      <c r="AB940" s="273"/>
      <c r="AC940" s="273"/>
      <c r="AD940" s="273"/>
    </row>
    <row r="941" spans="1:30" ht="14.25" customHeight="1">
      <c r="A941" s="273"/>
      <c r="B941" s="273"/>
      <c r="C941" s="273"/>
      <c r="D941" s="273"/>
      <c r="E941" s="274"/>
      <c r="F941" s="273"/>
      <c r="G941" s="273"/>
      <c r="H941" s="273"/>
      <c r="I941" s="273"/>
      <c r="J941" s="273"/>
      <c r="K941" s="273"/>
      <c r="L941" s="273"/>
      <c r="M941" s="273"/>
      <c r="N941" s="273"/>
      <c r="O941" s="273"/>
      <c r="P941" s="273"/>
      <c r="Q941" s="273"/>
      <c r="R941" s="273"/>
      <c r="S941" s="273"/>
      <c r="T941" s="273"/>
      <c r="U941" s="273"/>
      <c r="V941" s="273"/>
      <c r="W941" s="273"/>
      <c r="X941" s="273"/>
      <c r="Y941" s="273"/>
      <c r="Z941" s="467"/>
      <c r="AA941" s="273"/>
      <c r="AB941" s="273"/>
      <c r="AC941" s="273"/>
      <c r="AD941" s="273"/>
    </row>
    <row r="942" spans="1:30" ht="14.25" customHeight="1">
      <c r="A942" s="273"/>
      <c r="B942" s="273"/>
      <c r="C942" s="273"/>
      <c r="D942" s="273"/>
      <c r="E942" s="274"/>
      <c r="F942" s="273"/>
      <c r="G942" s="273"/>
      <c r="H942" s="273"/>
      <c r="I942" s="273"/>
      <c r="J942" s="273"/>
      <c r="K942" s="273"/>
      <c r="L942" s="273"/>
      <c r="M942" s="273"/>
      <c r="N942" s="273"/>
      <c r="O942" s="273"/>
      <c r="P942" s="273"/>
      <c r="Q942" s="273"/>
      <c r="R942" s="273"/>
      <c r="S942" s="273"/>
      <c r="T942" s="273"/>
      <c r="U942" s="273"/>
      <c r="V942" s="273"/>
      <c r="W942" s="273"/>
      <c r="X942" s="273"/>
      <c r="Y942" s="273"/>
      <c r="Z942" s="467"/>
      <c r="AA942" s="273"/>
      <c r="AB942" s="273"/>
      <c r="AC942" s="273"/>
      <c r="AD942" s="273"/>
    </row>
    <row r="943" spans="1:30" ht="14.25" customHeight="1">
      <c r="A943" s="273"/>
      <c r="B943" s="273"/>
      <c r="C943" s="273"/>
      <c r="D943" s="273"/>
      <c r="E943" s="274"/>
      <c r="F943" s="273"/>
      <c r="G943" s="273"/>
      <c r="H943" s="273"/>
      <c r="I943" s="273"/>
      <c r="J943" s="273"/>
      <c r="K943" s="273"/>
      <c r="L943" s="273"/>
      <c r="M943" s="273"/>
      <c r="N943" s="273"/>
      <c r="O943" s="273"/>
      <c r="P943" s="273"/>
      <c r="Q943" s="273"/>
      <c r="R943" s="273"/>
      <c r="S943" s="273"/>
      <c r="T943" s="273"/>
      <c r="U943" s="273"/>
      <c r="V943" s="273"/>
      <c r="W943" s="273"/>
      <c r="X943" s="273"/>
      <c r="Y943" s="273"/>
      <c r="Z943" s="467"/>
      <c r="AA943" s="273"/>
      <c r="AB943" s="273"/>
      <c r="AC943" s="273"/>
      <c r="AD943" s="27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A25"/>
  <sheetViews>
    <sheetView workbookViewId="0"/>
  </sheetViews>
  <sheetFormatPr defaultColWidth="14.44140625" defaultRowHeight="15" customHeight="1"/>
  <cols>
    <col min="5" max="5" width="19.109375" customWidth="1"/>
    <col min="9" max="10" width="15.88671875" customWidth="1"/>
    <col min="11" max="11" width="14.88671875" customWidth="1"/>
  </cols>
  <sheetData>
    <row r="1" spans="1:27">
      <c r="A1" s="337" t="s">
        <v>1315</v>
      </c>
      <c r="B1" s="337" t="s">
        <v>1</v>
      </c>
      <c r="C1" s="337" t="s">
        <v>4</v>
      </c>
      <c r="D1" s="337" t="s">
        <v>1316</v>
      </c>
      <c r="E1" s="337" t="s">
        <v>1317</v>
      </c>
      <c r="F1" s="468" t="s">
        <v>1318</v>
      </c>
      <c r="G1" s="469" t="s">
        <v>1319</v>
      </c>
      <c r="H1" s="337" t="s">
        <v>962</v>
      </c>
      <c r="I1" s="337" t="s">
        <v>9</v>
      </c>
      <c r="J1" s="337" t="s">
        <v>1320</v>
      </c>
      <c r="K1" s="337"/>
      <c r="L1" s="470"/>
      <c r="M1" s="470"/>
      <c r="N1" s="470"/>
      <c r="O1" s="470"/>
      <c r="P1" s="470"/>
      <c r="Q1" s="470"/>
      <c r="R1" s="470"/>
      <c r="S1" s="470"/>
      <c r="T1" s="470"/>
      <c r="U1" s="470"/>
      <c r="V1" s="470"/>
      <c r="W1" s="470"/>
      <c r="X1" s="470"/>
      <c r="Y1" s="470"/>
      <c r="Z1" s="470"/>
      <c r="AA1" s="470"/>
    </row>
    <row r="2" spans="1:27">
      <c r="A2" s="2">
        <v>1</v>
      </c>
      <c r="B2" s="2" t="s">
        <v>1321</v>
      </c>
      <c r="C2" s="252" t="s">
        <v>1322</v>
      </c>
      <c r="D2" s="2" t="s">
        <v>248</v>
      </c>
      <c r="E2" s="252" t="s">
        <v>1323</v>
      </c>
      <c r="F2" s="471"/>
      <c r="G2" s="472">
        <f t="shared" ref="G2:G25" si="0">F2*89</f>
        <v>0</v>
      </c>
      <c r="H2" s="473">
        <v>399</v>
      </c>
      <c r="I2" s="2">
        <v>599</v>
      </c>
    </row>
    <row r="3" spans="1:27">
      <c r="A3" s="2">
        <f t="shared" ref="A3:A25" si="1">A2+1</f>
        <v>2</v>
      </c>
      <c r="B3" s="2" t="s">
        <v>1324</v>
      </c>
      <c r="C3" s="252" t="s">
        <v>1325</v>
      </c>
      <c r="D3" s="252" t="s">
        <v>420</v>
      </c>
      <c r="E3" s="252" t="s">
        <v>1323</v>
      </c>
      <c r="F3" s="471"/>
      <c r="G3" s="472">
        <f t="shared" si="0"/>
        <v>0</v>
      </c>
      <c r="H3" s="473">
        <v>399</v>
      </c>
      <c r="I3" s="2">
        <v>599</v>
      </c>
    </row>
    <row r="4" spans="1:27">
      <c r="A4" s="2">
        <f t="shared" si="1"/>
        <v>3</v>
      </c>
      <c r="B4" s="2" t="s">
        <v>429</v>
      </c>
      <c r="C4" s="252" t="s">
        <v>430</v>
      </c>
      <c r="D4" s="252" t="s">
        <v>426</v>
      </c>
      <c r="E4" s="252" t="s">
        <v>1326</v>
      </c>
      <c r="F4" s="471"/>
      <c r="G4" s="472">
        <f t="shared" si="0"/>
        <v>0</v>
      </c>
      <c r="H4" s="473">
        <v>399</v>
      </c>
      <c r="I4" s="2">
        <f t="shared" ref="I4:I8" si="2">H4*2</f>
        <v>798</v>
      </c>
    </row>
    <row r="5" spans="1:27">
      <c r="A5" s="2">
        <f t="shared" si="1"/>
        <v>4</v>
      </c>
      <c r="B5" s="2" t="s">
        <v>1327</v>
      </c>
      <c r="C5" s="252" t="s">
        <v>1328</v>
      </c>
      <c r="D5" s="252" t="s">
        <v>493</v>
      </c>
      <c r="E5" s="252" t="s">
        <v>1329</v>
      </c>
      <c r="F5" s="471"/>
      <c r="G5" s="472">
        <f t="shared" si="0"/>
        <v>0</v>
      </c>
      <c r="H5" s="473">
        <v>299</v>
      </c>
      <c r="I5" s="2">
        <f t="shared" si="2"/>
        <v>598</v>
      </c>
    </row>
    <row r="6" spans="1:27">
      <c r="A6" s="2">
        <f t="shared" si="1"/>
        <v>5</v>
      </c>
      <c r="B6" s="2" t="s">
        <v>1133</v>
      </c>
      <c r="C6" s="252" t="s">
        <v>1330</v>
      </c>
      <c r="D6" s="252" t="s">
        <v>459</v>
      </c>
      <c r="E6" s="252" t="s">
        <v>1331</v>
      </c>
      <c r="F6" s="471"/>
      <c r="G6" s="472">
        <f t="shared" si="0"/>
        <v>0</v>
      </c>
      <c r="H6" s="473">
        <v>299</v>
      </c>
      <c r="I6" s="2">
        <f t="shared" si="2"/>
        <v>598</v>
      </c>
    </row>
    <row r="7" spans="1:27">
      <c r="A7" s="2">
        <f t="shared" si="1"/>
        <v>6</v>
      </c>
      <c r="B7" s="2" t="s">
        <v>1135</v>
      </c>
      <c r="C7" s="252" t="s">
        <v>1332</v>
      </c>
      <c r="D7" s="252" t="s">
        <v>506</v>
      </c>
      <c r="E7" s="252" t="s">
        <v>1331</v>
      </c>
      <c r="F7" s="471"/>
      <c r="G7" s="472">
        <f t="shared" si="0"/>
        <v>0</v>
      </c>
      <c r="H7" s="473">
        <v>399</v>
      </c>
      <c r="I7" s="2">
        <f t="shared" si="2"/>
        <v>798</v>
      </c>
    </row>
    <row r="8" spans="1:27">
      <c r="A8" s="2">
        <f t="shared" si="1"/>
        <v>7</v>
      </c>
      <c r="B8" s="2" t="s">
        <v>1333</v>
      </c>
      <c r="C8" s="252" t="s">
        <v>1334</v>
      </c>
      <c r="D8" s="252" t="s">
        <v>586</v>
      </c>
      <c r="E8" s="252" t="s">
        <v>1326</v>
      </c>
      <c r="F8" s="471"/>
      <c r="G8" s="472">
        <f t="shared" si="0"/>
        <v>0</v>
      </c>
      <c r="H8" s="2">
        <v>199</v>
      </c>
      <c r="I8" s="2">
        <f t="shared" si="2"/>
        <v>398</v>
      </c>
    </row>
    <row r="9" spans="1:27">
      <c r="A9" s="2">
        <f t="shared" si="1"/>
        <v>8</v>
      </c>
      <c r="B9" s="2" t="s">
        <v>1335</v>
      </c>
      <c r="C9" s="252" t="s">
        <v>1336</v>
      </c>
      <c r="D9" s="252" t="s">
        <v>601</v>
      </c>
      <c r="E9" s="252" t="s">
        <v>1326</v>
      </c>
      <c r="F9" s="471"/>
      <c r="G9" s="472">
        <f t="shared" si="0"/>
        <v>0</v>
      </c>
      <c r="H9" s="2">
        <v>249</v>
      </c>
      <c r="I9" s="2">
        <v>449</v>
      </c>
    </row>
    <row r="10" spans="1:27">
      <c r="A10" s="2">
        <f t="shared" si="1"/>
        <v>9</v>
      </c>
      <c r="C10" s="252"/>
      <c r="D10" s="252" t="s">
        <v>605</v>
      </c>
      <c r="E10" s="252" t="s">
        <v>1337</v>
      </c>
      <c r="F10" s="471"/>
      <c r="G10" s="472">
        <f t="shared" si="0"/>
        <v>0</v>
      </c>
    </row>
    <row r="11" spans="1:27">
      <c r="A11" s="2">
        <f t="shared" si="1"/>
        <v>10</v>
      </c>
      <c r="B11" s="2" t="s">
        <v>1338</v>
      </c>
      <c r="C11" s="252" t="s">
        <v>1339</v>
      </c>
      <c r="D11" s="252" t="s">
        <v>610</v>
      </c>
      <c r="E11" s="252" t="s">
        <v>1326</v>
      </c>
      <c r="F11" s="471">
        <v>0.56999999999999995</v>
      </c>
      <c r="G11" s="472">
        <f t="shared" si="0"/>
        <v>50.73</v>
      </c>
      <c r="H11" s="2">
        <v>249</v>
      </c>
      <c r="I11" s="2">
        <v>449</v>
      </c>
    </row>
    <row r="12" spans="1:27">
      <c r="A12" s="2">
        <f t="shared" si="1"/>
        <v>11</v>
      </c>
      <c r="B12" s="2" t="s">
        <v>1340</v>
      </c>
      <c r="C12" s="252" t="s">
        <v>1341</v>
      </c>
      <c r="D12" s="252" t="s">
        <v>639</v>
      </c>
      <c r="E12" s="252" t="s">
        <v>1329</v>
      </c>
      <c r="F12" s="471"/>
      <c r="G12" s="472">
        <f t="shared" si="0"/>
        <v>0</v>
      </c>
      <c r="H12" s="2">
        <v>299</v>
      </c>
      <c r="I12" s="2">
        <f>H12*2</f>
        <v>598</v>
      </c>
    </row>
    <row r="13" spans="1:27">
      <c r="A13" s="2">
        <f t="shared" si="1"/>
        <v>12</v>
      </c>
      <c r="B13" s="2" t="s">
        <v>1342</v>
      </c>
      <c r="C13" s="252" t="s">
        <v>1343</v>
      </c>
      <c r="D13" s="252" t="s">
        <v>661</v>
      </c>
      <c r="E13" s="252" t="s">
        <v>1326</v>
      </c>
      <c r="F13" s="471"/>
      <c r="G13" s="472">
        <f t="shared" si="0"/>
        <v>0</v>
      </c>
      <c r="H13" s="2">
        <v>249</v>
      </c>
      <c r="I13" s="2">
        <v>449</v>
      </c>
    </row>
    <row r="14" spans="1:27">
      <c r="A14" s="2">
        <f t="shared" si="1"/>
        <v>13</v>
      </c>
      <c r="B14" s="2" t="s">
        <v>1344</v>
      </c>
      <c r="C14" s="252" t="s">
        <v>1345</v>
      </c>
      <c r="D14" s="252" t="s">
        <v>706</v>
      </c>
      <c r="E14" s="252" t="s">
        <v>1329</v>
      </c>
      <c r="F14" s="471"/>
      <c r="G14" s="472">
        <f t="shared" si="0"/>
        <v>0</v>
      </c>
      <c r="H14" s="2">
        <v>199</v>
      </c>
      <c r="I14" s="2">
        <f t="shared" ref="I14:I15" si="3">H14*2</f>
        <v>398</v>
      </c>
    </row>
    <row r="15" spans="1:27">
      <c r="A15" s="2">
        <f t="shared" si="1"/>
        <v>14</v>
      </c>
      <c r="B15" s="2" t="s">
        <v>1346</v>
      </c>
      <c r="C15" s="252" t="s">
        <v>1347</v>
      </c>
      <c r="D15" s="252" t="s">
        <v>706</v>
      </c>
      <c r="E15" s="2" t="s">
        <v>1337</v>
      </c>
      <c r="F15" s="471"/>
      <c r="G15" s="472">
        <f t="shared" si="0"/>
        <v>0</v>
      </c>
      <c r="H15" s="2">
        <v>299</v>
      </c>
      <c r="I15" s="2">
        <f t="shared" si="3"/>
        <v>598</v>
      </c>
    </row>
    <row r="16" spans="1:27">
      <c r="A16" s="2">
        <f t="shared" si="1"/>
        <v>15</v>
      </c>
      <c r="B16" s="2" t="s">
        <v>1348</v>
      </c>
      <c r="C16" s="252" t="s">
        <v>1349</v>
      </c>
      <c r="D16" s="252" t="s">
        <v>719</v>
      </c>
      <c r="E16" s="252" t="s">
        <v>1326</v>
      </c>
      <c r="F16" s="471"/>
      <c r="G16" s="472">
        <f t="shared" si="0"/>
        <v>0</v>
      </c>
      <c r="H16" s="2">
        <v>249</v>
      </c>
      <c r="I16" s="2">
        <v>449</v>
      </c>
    </row>
    <row r="17" spans="1:9">
      <c r="A17" s="2">
        <f t="shared" si="1"/>
        <v>16</v>
      </c>
      <c r="B17" s="2" t="s">
        <v>1143</v>
      </c>
      <c r="C17" s="252" t="s">
        <v>1350</v>
      </c>
      <c r="D17" s="252" t="s">
        <v>742</v>
      </c>
      <c r="E17" s="252" t="s">
        <v>1351</v>
      </c>
      <c r="F17" s="471"/>
      <c r="G17" s="472">
        <f t="shared" si="0"/>
        <v>0</v>
      </c>
      <c r="H17" s="2">
        <v>799</v>
      </c>
      <c r="I17" s="2">
        <f>H17*2</f>
        <v>1598</v>
      </c>
    </row>
    <row r="18" spans="1:9">
      <c r="A18" s="2">
        <f t="shared" si="1"/>
        <v>17</v>
      </c>
      <c r="B18" s="2" t="s">
        <v>1352</v>
      </c>
      <c r="C18" s="252" t="s">
        <v>1353</v>
      </c>
      <c r="D18" s="252" t="s">
        <v>821</v>
      </c>
      <c r="E18" s="252" t="s">
        <v>1326</v>
      </c>
      <c r="F18" s="471">
        <v>21.3</v>
      </c>
      <c r="G18" s="472">
        <f t="shared" si="0"/>
        <v>1895.7</v>
      </c>
      <c r="H18" s="2">
        <v>3599</v>
      </c>
      <c r="I18" s="2">
        <v>4999</v>
      </c>
    </row>
    <row r="19" spans="1:9">
      <c r="A19" s="2">
        <f t="shared" si="1"/>
        <v>18</v>
      </c>
      <c r="B19" s="2" t="s">
        <v>1354</v>
      </c>
      <c r="C19" s="252" t="s">
        <v>1355</v>
      </c>
      <c r="D19" s="252" t="s">
        <v>861</v>
      </c>
      <c r="E19" s="252" t="s">
        <v>1326</v>
      </c>
      <c r="F19" s="471"/>
      <c r="G19" s="472">
        <f t="shared" si="0"/>
        <v>0</v>
      </c>
      <c r="H19" s="2">
        <v>1099</v>
      </c>
      <c r="I19" s="2">
        <v>1299</v>
      </c>
    </row>
    <row r="20" spans="1:9">
      <c r="A20" s="2">
        <f t="shared" si="1"/>
        <v>19</v>
      </c>
      <c r="D20" s="2" t="s">
        <v>790</v>
      </c>
      <c r="E20" s="2" t="s">
        <v>1356</v>
      </c>
      <c r="F20" s="471"/>
      <c r="G20" s="472">
        <f t="shared" si="0"/>
        <v>0</v>
      </c>
    </row>
    <row r="21" spans="1:9">
      <c r="A21" s="2">
        <f t="shared" si="1"/>
        <v>20</v>
      </c>
      <c r="D21" s="2" t="s">
        <v>610</v>
      </c>
      <c r="E21" s="2" t="s">
        <v>1357</v>
      </c>
      <c r="F21" s="471">
        <v>1</v>
      </c>
      <c r="G21" s="472">
        <f t="shared" si="0"/>
        <v>89</v>
      </c>
    </row>
    <row r="22" spans="1:9">
      <c r="A22" s="2">
        <f t="shared" si="1"/>
        <v>21</v>
      </c>
      <c r="D22" s="2" t="s">
        <v>610</v>
      </c>
      <c r="E22" s="2" t="s">
        <v>1358</v>
      </c>
      <c r="F22" s="471">
        <v>0.2</v>
      </c>
      <c r="G22" s="472">
        <f t="shared" si="0"/>
        <v>17.8</v>
      </c>
    </row>
    <row r="23" spans="1:9">
      <c r="A23" s="2">
        <f t="shared" si="1"/>
        <v>22</v>
      </c>
      <c r="D23" s="2" t="s">
        <v>790</v>
      </c>
      <c r="E23" s="2" t="s">
        <v>1359</v>
      </c>
      <c r="F23" s="471">
        <v>6.8</v>
      </c>
      <c r="G23" s="472">
        <f t="shared" si="0"/>
        <v>605.19999999999993</v>
      </c>
    </row>
    <row r="24" spans="1:9">
      <c r="A24" s="2">
        <f t="shared" si="1"/>
        <v>23</v>
      </c>
      <c r="B24" s="474" t="s">
        <v>1137</v>
      </c>
      <c r="C24" s="75"/>
      <c r="D24" s="2" t="s">
        <v>559</v>
      </c>
      <c r="E24" s="475" t="s">
        <v>1138</v>
      </c>
      <c r="F24" s="471">
        <v>0.48</v>
      </c>
      <c r="G24" s="472">
        <f t="shared" si="0"/>
        <v>42.72</v>
      </c>
    </row>
    <row r="25" spans="1:9">
      <c r="A25" s="2">
        <f t="shared" si="1"/>
        <v>24</v>
      </c>
      <c r="B25" s="474" t="s">
        <v>1139</v>
      </c>
      <c r="C25" s="75"/>
      <c r="D25" s="2" t="s">
        <v>559</v>
      </c>
      <c r="E25" s="475" t="s">
        <v>1140</v>
      </c>
      <c r="F25" s="471">
        <v>2.4500000000000002</v>
      </c>
      <c r="G25" s="472">
        <f t="shared" si="0"/>
        <v>218.05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X999"/>
  <sheetViews>
    <sheetView workbookViewId="0"/>
  </sheetViews>
  <sheetFormatPr defaultColWidth="14.44140625" defaultRowHeight="15" customHeight="1"/>
  <cols>
    <col min="1" max="1" width="9.6640625" customWidth="1"/>
    <col min="2" max="3" width="14" customWidth="1"/>
    <col min="4" max="4" width="23.88671875" customWidth="1"/>
    <col min="5" max="5" width="24.6640625" customWidth="1"/>
    <col min="6" max="6" width="50.109375" customWidth="1"/>
    <col min="7" max="7" width="12.5546875" customWidth="1"/>
    <col min="8" max="8" width="8.5546875" customWidth="1"/>
    <col min="9" max="9" width="12" customWidth="1"/>
    <col min="10" max="10" width="15.44140625" customWidth="1"/>
    <col min="11" max="11" width="13.33203125" customWidth="1"/>
    <col min="12" max="12" width="8" customWidth="1"/>
    <col min="13" max="13" width="10.6640625" customWidth="1"/>
    <col min="14" max="14" width="12.33203125" customWidth="1"/>
    <col min="15" max="15" width="17.44140625" customWidth="1"/>
    <col min="16" max="16" width="13.33203125" customWidth="1"/>
    <col min="17" max="18" width="9.109375" customWidth="1"/>
    <col min="19" max="19" width="12.33203125" customWidth="1"/>
    <col min="20" max="21" width="22" customWidth="1"/>
  </cols>
  <sheetData>
    <row r="1" spans="1:24">
      <c r="A1" s="476"/>
      <c r="B1" s="476"/>
      <c r="C1" s="476"/>
      <c r="D1" s="476"/>
      <c r="E1" s="476"/>
      <c r="F1" s="476"/>
      <c r="G1" s="476"/>
      <c r="H1" s="477"/>
      <c r="I1" s="478"/>
      <c r="J1" s="577" t="s">
        <v>1360</v>
      </c>
      <c r="K1" s="576"/>
      <c r="L1" s="576"/>
      <c r="M1" s="576"/>
      <c r="N1" s="576"/>
      <c r="O1" s="578" t="s">
        <v>1361</v>
      </c>
      <c r="P1" s="576"/>
      <c r="Q1" s="576"/>
      <c r="R1" s="576"/>
      <c r="S1" s="576"/>
      <c r="T1" s="182"/>
      <c r="U1" s="182"/>
      <c r="V1" s="479"/>
      <c r="W1" s="479"/>
      <c r="X1" s="479"/>
    </row>
    <row r="2" spans="1:24">
      <c r="A2" s="476" t="s">
        <v>1</v>
      </c>
      <c r="B2" s="476" t="s">
        <v>4</v>
      </c>
      <c r="C2" s="476" t="s">
        <v>161</v>
      </c>
      <c r="D2" s="476" t="s">
        <v>162</v>
      </c>
      <c r="E2" s="476" t="s">
        <v>163</v>
      </c>
      <c r="F2" s="476" t="s">
        <v>6</v>
      </c>
      <c r="G2" s="476" t="s">
        <v>166</v>
      </c>
      <c r="H2" s="477" t="s">
        <v>15</v>
      </c>
      <c r="I2" s="478" t="s">
        <v>1362</v>
      </c>
      <c r="J2" s="480" t="s">
        <v>1363</v>
      </c>
      <c r="K2" s="481" t="s">
        <v>1364</v>
      </c>
      <c r="L2" s="480" t="s">
        <v>962</v>
      </c>
      <c r="M2" s="481" t="s">
        <v>1365</v>
      </c>
      <c r="N2" s="481" t="s">
        <v>961</v>
      </c>
      <c r="O2" s="482" t="s">
        <v>1366</v>
      </c>
      <c r="P2" s="482" t="s">
        <v>1364</v>
      </c>
      <c r="Q2" s="482" t="s">
        <v>962</v>
      </c>
      <c r="R2" s="482" t="s">
        <v>186</v>
      </c>
      <c r="S2" s="483" t="s">
        <v>961</v>
      </c>
      <c r="T2" s="182"/>
      <c r="U2" s="182"/>
      <c r="V2" s="479"/>
      <c r="W2" s="479"/>
      <c r="X2" s="479"/>
    </row>
    <row r="3" spans="1:24">
      <c r="A3" s="140" t="s">
        <v>231</v>
      </c>
      <c r="B3" s="140" t="s">
        <v>232</v>
      </c>
      <c r="C3" s="140" t="s">
        <v>233</v>
      </c>
      <c r="D3" s="140" t="s">
        <v>234</v>
      </c>
      <c r="E3" s="140" t="s">
        <v>235</v>
      </c>
      <c r="F3" s="140" t="s">
        <v>238</v>
      </c>
      <c r="G3" s="140">
        <v>85167990</v>
      </c>
      <c r="H3" s="182" t="e">
        <f>VLOOKUP(A3,'Amazon Live Products'!E:P,12,0)</f>
        <v>#N/A</v>
      </c>
      <c r="I3" s="180" t="e">
        <f t="shared" ref="I3:I91" si="0">H3*15%</f>
        <v>#N/A</v>
      </c>
      <c r="J3" s="484" t="e">
        <f t="shared" ref="J3:J91" si="1">H3*30%</f>
        <v>#N/A</v>
      </c>
      <c r="K3" s="485" t="e">
        <f t="shared" ref="K3:K91" si="2">H3+I3+J3</f>
        <v>#N/A</v>
      </c>
      <c r="L3" s="484" t="e">
        <f t="shared" ref="L3:L91" si="3">K3*1.18</f>
        <v>#N/A</v>
      </c>
      <c r="M3" s="485" t="e">
        <f t="shared" ref="M3:M91" si="4">(L3/1.18)-H3-I3</f>
        <v>#N/A</v>
      </c>
      <c r="N3" s="486" t="e">
        <f t="shared" ref="N3:N91" si="5">M3/(L3/1.18)</f>
        <v>#N/A</v>
      </c>
      <c r="O3" s="487" t="e">
        <f t="shared" ref="O3:O91" si="6">H3*25%</f>
        <v>#N/A</v>
      </c>
      <c r="P3" s="488" t="e">
        <f t="shared" ref="P3:P91" si="7">H3+I3+O3</f>
        <v>#N/A</v>
      </c>
      <c r="Q3" s="488" t="e">
        <f t="shared" ref="Q3:Q91" si="8">P3*1.18</f>
        <v>#N/A</v>
      </c>
      <c r="R3" s="488" t="e">
        <f t="shared" ref="R3:R91" si="9">(Q3/1.18)-H3-I3</f>
        <v>#N/A</v>
      </c>
      <c r="S3" s="489" t="e">
        <f t="shared" ref="S3:S91" si="10">R3/(Q3/1.18)</f>
        <v>#N/A</v>
      </c>
      <c r="T3" s="182"/>
      <c r="U3" s="182"/>
      <c r="V3" s="182"/>
      <c r="W3" s="182"/>
      <c r="X3" s="182"/>
    </row>
    <row r="4" spans="1:24">
      <c r="A4" s="140" t="s">
        <v>240</v>
      </c>
      <c r="B4" s="140" t="s">
        <v>241</v>
      </c>
      <c r="C4" s="140" t="s">
        <v>242</v>
      </c>
      <c r="D4" s="140" t="s">
        <v>234</v>
      </c>
      <c r="E4" s="140" t="s">
        <v>235</v>
      </c>
      <c r="F4" s="140" t="s">
        <v>244</v>
      </c>
      <c r="G4" s="140">
        <v>85167990</v>
      </c>
      <c r="H4" s="179">
        <f>VLOOKUP(A4,'Amazon Live Products'!E:P,12,0)</f>
        <v>1046.0171955200001</v>
      </c>
      <c r="I4" s="180">
        <f t="shared" si="0"/>
        <v>156.902579328</v>
      </c>
      <c r="J4" s="484">
        <f t="shared" si="1"/>
        <v>313.805158656</v>
      </c>
      <c r="K4" s="490">
        <f t="shared" si="2"/>
        <v>1516.7249335040001</v>
      </c>
      <c r="L4" s="484">
        <f t="shared" si="3"/>
        <v>1789.73542153472</v>
      </c>
      <c r="M4" s="490">
        <f t="shared" si="4"/>
        <v>313.805158656</v>
      </c>
      <c r="N4" s="486">
        <f t="shared" si="5"/>
        <v>0.20689655172413793</v>
      </c>
      <c r="O4" s="487">
        <f t="shared" si="6"/>
        <v>261.50429888000002</v>
      </c>
      <c r="P4" s="488">
        <f t="shared" si="7"/>
        <v>1464.4240737280002</v>
      </c>
      <c r="Q4" s="488">
        <f t="shared" si="8"/>
        <v>1728.02040699904</v>
      </c>
      <c r="R4" s="488">
        <f t="shared" si="9"/>
        <v>261.50429888000008</v>
      </c>
      <c r="S4" s="489">
        <f t="shared" si="10"/>
        <v>0.1785714285714286</v>
      </c>
      <c r="T4" s="182"/>
      <c r="U4" s="182"/>
      <c r="V4" s="182"/>
      <c r="W4" s="182"/>
      <c r="X4" s="182"/>
    </row>
    <row r="5" spans="1:24">
      <c r="A5" s="140" t="s">
        <v>246</v>
      </c>
      <c r="B5" s="140" t="s">
        <v>247</v>
      </c>
      <c r="C5" s="140" t="s">
        <v>248</v>
      </c>
      <c r="D5" s="140" t="s">
        <v>234</v>
      </c>
      <c r="E5" s="140" t="s">
        <v>249</v>
      </c>
      <c r="F5" s="140" t="s">
        <v>251</v>
      </c>
      <c r="G5" s="140">
        <v>85098000</v>
      </c>
      <c r="H5" s="179">
        <f>VLOOKUP(A5,'Amazon Live Products'!E:P,12,0)</f>
        <v>1491.5552235294117</v>
      </c>
      <c r="I5" s="180">
        <f t="shared" si="0"/>
        <v>223.73328352941175</v>
      </c>
      <c r="J5" s="484">
        <f t="shared" si="1"/>
        <v>447.4665670588235</v>
      </c>
      <c r="K5" s="490">
        <f t="shared" si="2"/>
        <v>2162.7550741176469</v>
      </c>
      <c r="L5" s="484">
        <f t="shared" si="3"/>
        <v>2552.0509874588233</v>
      </c>
      <c r="M5" s="490">
        <f t="shared" si="4"/>
        <v>447.46656705882344</v>
      </c>
      <c r="N5" s="486">
        <f t="shared" si="5"/>
        <v>0.2068965517241379</v>
      </c>
      <c r="O5" s="487">
        <f t="shared" si="6"/>
        <v>372.88880588235293</v>
      </c>
      <c r="P5" s="488">
        <f t="shared" si="7"/>
        <v>2088.1773129411763</v>
      </c>
      <c r="Q5" s="488">
        <f t="shared" si="8"/>
        <v>2464.0492292705881</v>
      </c>
      <c r="R5" s="488">
        <f t="shared" si="9"/>
        <v>372.88880588235281</v>
      </c>
      <c r="S5" s="489">
        <f t="shared" si="10"/>
        <v>0.17857142857142852</v>
      </c>
      <c r="T5" s="182"/>
      <c r="U5" s="182"/>
      <c r="V5" s="182"/>
      <c r="W5" s="182"/>
      <c r="X5" s="182"/>
    </row>
    <row r="6" spans="1:24">
      <c r="A6" s="140" t="s">
        <v>253</v>
      </c>
      <c r="B6" s="140" t="s">
        <v>254</v>
      </c>
      <c r="C6" s="140" t="s">
        <v>255</v>
      </c>
      <c r="D6" s="140" t="s">
        <v>256</v>
      </c>
      <c r="E6" s="140" t="s">
        <v>257</v>
      </c>
      <c r="F6" s="140" t="s">
        <v>259</v>
      </c>
      <c r="G6" s="140">
        <v>94043090</v>
      </c>
      <c r="H6" s="179">
        <f>VLOOKUP(A6,'Amazon Live Products'!E:P,12,0)</f>
        <v>343.33742390588236</v>
      </c>
      <c r="I6" s="180">
        <f t="shared" si="0"/>
        <v>51.500613585882355</v>
      </c>
      <c r="J6" s="484">
        <f t="shared" si="1"/>
        <v>103.00122717176471</v>
      </c>
      <c r="K6" s="490">
        <f t="shared" si="2"/>
        <v>497.83926466352943</v>
      </c>
      <c r="L6" s="484">
        <f t="shared" si="3"/>
        <v>587.45033230296474</v>
      </c>
      <c r="M6" s="490">
        <f t="shared" si="4"/>
        <v>103.00122717176478</v>
      </c>
      <c r="N6" s="486">
        <f t="shared" si="5"/>
        <v>0.20689655172413804</v>
      </c>
      <c r="O6" s="487">
        <f t="shared" si="6"/>
        <v>85.83435597647059</v>
      </c>
      <c r="P6" s="488">
        <f t="shared" si="7"/>
        <v>480.67239346823533</v>
      </c>
      <c r="Q6" s="488">
        <f t="shared" si="8"/>
        <v>567.19342429251765</v>
      </c>
      <c r="R6" s="488">
        <f t="shared" si="9"/>
        <v>85.834355976470619</v>
      </c>
      <c r="S6" s="489">
        <f t="shared" si="10"/>
        <v>0.17857142857142863</v>
      </c>
      <c r="T6" s="182"/>
      <c r="U6" s="182"/>
      <c r="V6" s="182"/>
      <c r="W6" s="182"/>
      <c r="X6" s="182"/>
    </row>
    <row r="7" spans="1:24">
      <c r="A7" s="140" t="s">
        <v>262</v>
      </c>
      <c r="B7" s="140" t="s">
        <v>263</v>
      </c>
      <c r="C7" s="140" t="s">
        <v>264</v>
      </c>
      <c r="D7" s="140" t="s">
        <v>256</v>
      </c>
      <c r="E7" s="140" t="s">
        <v>257</v>
      </c>
      <c r="F7" s="140" t="s">
        <v>265</v>
      </c>
      <c r="G7" s="140">
        <v>94043090</v>
      </c>
      <c r="H7" s="179">
        <f>VLOOKUP(A7,'Amazon Live Products'!E:P,12,0)</f>
        <v>343.33742390588236</v>
      </c>
      <c r="I7" s="180">
        <f t="shared" si="0"/>
        <v>51.500613585882355</v>
      </c>
      <c r="J7" s="484">
        <f t="shared" si="1"/>
        <v>103.00122717176471</v>
      </c>
      <c r="K7" s="490">
        <f t="shared" si="2"/>
        <v>497.83926466352943</v>
      </c>
      <c r="L7" s="484">
        <f t="shared" si="3"/>
        <v>587.45033230296474</v>
      </c>
      <c r="M7" s="490">
        <f t="shared" si="4"/>
        <v>103.00122717176478</v>
      </c>
      <c r="N7" s="486">
        <f t="shared" si="5"/>
        <v>0.20689655172413804</v>
      </c>
      <c r="O7" s="487">
        <f t="shared" si="6"/>
        <v>85.83435597647059</v>
      </c>
      <c r="P7" s="488">
        <f t="shared" si="7"/>
        <v>480.67239346823533</v>
      </c>
      <c r="Q7" s="488">
        <f t="shared" si="8"/>
        <v>567.19342429251765</v>
      </c>
      <c r="R7" s="488">
        <f t="shared" si="9"/>
        <v>85.834355976470619</v>
      </c>
      <c r="S7" s="489">
        <f t="shared" si="10"/>
        <v>0.17857142857142863</v>
      </c>
      <c r="T7" s="182"/>
      <c r="U7" s="182"/>
      <c r="V7" s="182"/>
      <c r="W7" s="182"/>
      <c r="X7" s="182"/>
    </row>
    <row r="8" spans="1:24">
      <c r="A8" s="140" t="s">
        <v>267</v>
      </c>
      <c r="B8" s="187" t="s">
        <v>268</v>
      </c>
      <c r="C8" s="187" t="s">
        <v>269</v>
      </c>
      <c r="D8" s="140" t="s">
        <v>256</v>
      </c>
      <c r="E8" s="140" t="s">
        <v>257</v>
      </c>
      <c r="F8" s="140" t="s">
        <v>936</v>
      </c>
      <c r="G8" s="140">
        <v>94043090</v>
      </c>
      <c r="H8" s="179">
        <f>VLOOKUP(A8,'Amazon Live Products'!E:P,12,0)</f>
        <v>343.33742390588236</v>
      </c>
      <c r="I8" s="180">
        <f t="shared" si="0"/>
        <v>51.500613585882355</v>
      </c>
      <c r="J8" s="484">
        <f t="shared" si="1"/>
        <v>103.00122717176471</v>
      </c>
      <c r="K8" s="490">
        <f t="shared" si="2"/>
        <v>497.83926466352943</v>
      </c>
      <c r="L8" s="484">
        <f t="shared" si="3"/>
        <v>587.45033230296474</v>
      </c>
      <c r="M8" s="490">
        <f t="shared" si="4"/>
        <v>103.00122717176478</v>
      </c>
      <c r="N8" s="486">
        <f t="shared" si="5"/>
        <v>0.20689655172413804</v>
      </c>
      <c r="O8" s="487">
        <f t="shared" si="6"/>
        <v>85.83435597647059</v>
      </c>
      <c r="P8" s="488">
        <f t="shared" si="7"/>
        <v>480.67239346823533</v>
      </c>
      <c r="Q8" s="488">
        <f t="shared" si="8"/>
        <v>567.19342429251765</v>
      </c>
      <c r="R8" s="488">
        <f t="shared" si="9"/>
        <v>85.834355976470619</v>
      </c>
      <c r="S8" s="489">
        <f t="shared" si="10"/>
        <v>0.17857142857142863</v>
      </c>
      <c r="T8" s="182"/>
      <c r="U8" s="182"/>
      <c r="V8" s="182"/>
      <c r="W8" s="182"/>
      <c r="X8" s="182"/>
    </row>
    <row r="9" spans="1:24">
      <c r="A9" s="140" t="s">
        <v>311</v>
      </c>
      <c r="B9" s="140" t="s">
        <v>312</v>
      </c>
      <c r="C9" s="140" t="s">
        <v>313</v>
      </c>
      <c r="D9" s="140" t="s">
        <v>314</v>
      </c>
      <c r="E9" s="140" t="s">
        <v>315</v>
      </c>
      <c r="F9" s="140" t="s">
        <v>318</v>
      </c>
      <c r="G9" s="140">
        <v>84244900</v>
      </c>
      <c r="H9" s="179">
        <f>VLOOKUP(A9,'Amazon Live Products'!E:P,12,0)</f>
        <v>891.00488400000006</v>
      </c>
      <c r="I9" s="180">
        <f t="shared" si="0"/>
        <v>133.6507326</v>
      </c>
      <c r="J9" s="484">
        <f t="shared" si="1"/>
        <v>267.3014652</v>
      </c>
      <c r="K9" s="490">
        <f t="shared" si="2"/>
        <v>1291.9570818</v>
      </c>
      <c r="L9" s="484">
        <f t="shared" si="3"/>
        <v>1524.5093565239999</v>
      </c>
      <c r="M9" s="490">
        <f t="shared" si="4"/>
        <v>267.30146519999994</v>
      </c>
      <c r="N9" s="486">
        <f t="shared" si="5"/>
        <v>0.2068965517241379</v>
      </c>
      <c r="O9" s="487">
        <f t="shared" si="6"/>
        <v>222.75122100000002</v>
      </c>
      <c r="P9" s="488">
        <f t="shared" si="7"/>
        <v>1247.4068376</v>
      </c>
      <c r="Q9" s="488">
        <f t="shared" si="8"/>
        <v>1471.9400683679999</v>
      </c>
      <c r="R9" s="488">
        <f t="shared" si="9"/>
        <v>222.75122099999996</v>
      </c>
      <c r="S9" s="489">
        <f t="shared" si="10"/>
        <v>0.17857142857142855</v>
      </c>
      <c r="T9" s="182"/>
      <c r="U9" s="182"/>
      <c r="V9" s="182"/>
      <c r="W9" s="182"/>
      <c r="X9" s="182"/>
    </row>
    <row r="10" spans="1:24">
      <c r="A10" s="140" t="s">
        <v>324</v>
      </c>
      <c r="B10" s="140" t="s">
        <v>325</v>
      </c>
      <c r="C10" s="140" t="s">
        <v>326</v>
      </c>
      <c r="D10" s="140" t="s">
        <v>234</v>
      </c>
      <c r="E10" s="140" t="s">
        <v>235</v>
      </c>
      <c r="F10" s="140" t="s">
        <v>327</v>
      </c>
      <c r="G10" s="140">
        <v>85167990</v>
      </c>
      <c r="H10" s="179">
        <f>VLOOKUP(A10,'Amazon Live Products'!E:P,12,0)</f>
        <v>1246.85079552</v>
      </c>
      <c r="I10" s="180">
        <f t="shared" si="0"/>
        <v>187.02761932799999</v>
      </c>
      <c r="J10" s="484">
        <f t="shared" si="1"/>
        <v>374.05523865599997</v>
      </c>
      <c r="K10" s="490">
        <f t="shared" si="2"/>
        <v>1807.9336535039999</v>
      </c>
      <c r="L10" s="484">
        <f t="shared" si="3"/>
        <v>2133.3617111347198</v>
      </c>
      <c r="M10" s="490">
        <f t="shared" si="4"/>
        <v>374.05523865599991</v>
      </c>
      <c r="N10" s="486">
        <f t="shared" si="5"/>
        <v>0.2068965517241379</v>
      </c>
      <c r="O10" s="487">
        <f t="shared" si="6"/>
        <v>311.71269888</v>
      </c>
      <c r="P10" s="488">
        <f t="shared" si="7"/>
        <v>1745.591113728</v>
      </c>
      <c r="Q10" s="488">
        <f t="shared" si="8"/>
        <v>2059.7975141990401</v>
      </c>
      <c r="R10" s="488">
        <f t="shared" si="9"/>
        <v>311.71269888000018</v>
      </c>
      <c r="S10" s="489">
        <f t="shared" si="10"/>
        <v>0.17857142857142866</v>
      </c>
      <c r="T10" s="182"/>
      <c r="U10" s="182"/>
      <c r="V10" s="182"/>
      <c r="W10" s="182"/>
      <c r="X10" s="182"/>
    </row>
    <row r="11" spans="1:24">
      <c r="A11" s="140" t="s">
        <v>329</v>
      </c>
      <c r="B11" s="140" t="s">
        <v>330</v>
      </c>
      <c r="C11" s="140" t="s">
        <v>331</v>
      </c>
      <c r="D11" s="140" t="s">
        <v>314</v>
      </c>
      <c r="E11" s="140" t="s">
        <v>315</v>
      </c>
      <c r="F11" s="140" t="s">
        <v>333</v>
      </c>
      <c r="G11" s="140">
        <v>85098000</v>
      </c>
      <c r="H11" s="179">
        <f>VLOOKUP(A11,'Amazon Live Products'!E:P,12,0)</f>
        <v>235.44048000000001</v>
      </c>
      <c r="I11" s="180">
        <f t="shared" si="0"/>
        <v>35.316071999999998</v>
      </c>
      <c r="J11" s="484">
        <f t="shared" si="1"/>
        <v>70.632143999999997</v>
      </c>
      <c r="K11" s="490">
        <f t="shared" si="2"/>
        <v>341.38869599999998</v>
      </c>
      <c r="L11" s="484">
        <f t="shared" si="3"/>
        <v>402.83866127999994</v>
      </c>
      <c r="M11" s="490">
        <f t="shared" si="4"/>
        <v>70.632143999999982</v>
      </c>
      <c r="N11" s="486">
        <f t="shared" si="5"/>
        <v>0.2068965517241379</v>
      </c>
      <c r="O11" s="487">
        <f t="shared" si="6"/>
        <v>58.860120000000002</v>
      </c>
      <c r="P11" s="488">
        <f t="shared" si="7"/>
        <v>329.61667199999999</v>
      </c>
      <c r="Q11" s="488">
        <f t="shared" si="8"/>
        <v>388.94767295999998</v>
      </c>
      <c r="R11" s="488">
        <f t="shared" si="9"/>
        <v>58.860119999999988</v>
      </c>
      <c r="S11" s="489">
        <f t="shared" si="10"/>
        <v>0.17857142857142855</v>
      </c>
      <c r="T11" s="182"/>
      <c r="U11" s="182"/>
      <c r="V11" s="182"/>
      <c r="W11" s="182"/>
      <c r="X11" s="182"/>
    </row>
    <row r="12" spans="1:24">
      <c r="A12" s="140" t="s">
        <v>335</v>
      </c>
      <c r="B12" s="140" t="s">
        <v>336</v>
      </c>
      <c r="C12" s="140" t="s">
        <v>337</v>
      </c>
      <c r="D12" s="140" t="s">
        <v>314</v>
      </c>
      <c r="E12" s="140" t="s">
        <v>315</v>
      </c>
      <c r="F12" s="140" t="s">
        <v>338</v>
      </c>
      <c r="G12" s="140">
        <v>85098000</v>
      </c>
      <c r="H12" s="179">
        <f>VLOOKUP(A12,'Amazon Live Products'!E:P,12,0)</f>
        <v>235.44048000000001</v>
      </c>
      <c r="I12" s="180">
        <f t="shared" si="0"/>
        <v>35.316071999999998</v>
      </c>
      <c r="J12" s="484">
        <f t="shared" si="1"/>
        <v>70.632143999999997</v>
      </c>
      <c r="K12" s="490">
        <f t="shared" si="2"/>
        <v>341.38869599999998</v>
      </c>
      <c r="L12" s="484">
        <f t="shared" si="3"/>
        <v>402.83866127999994</v>
      </c>
      <c r="M12" s="490">
        <f t="shared" si="4"/>
        <v>70.632143999999982</v>
      </c>
      <c r="N12" s="486">
        <f t="shared" si="5"/>
        <v>0.2068965517241379</v>
      </c>
      <c r="O12" s="487">
        <f t="shared" si="6"/>
        <v>58.860120000000002</v>
      </c>
      <c r="P12" s="488">
        <f t="shared" si="7"/>
        <v>329.61667199999999</v>
      </c>
      <c r="Q12" s="488">
        <f t="shared" si="8"/>
        <v>388.94767295999998</v>
      </c>
      <c r="R12" s="488">
        <f t="shared" si="9"/>
        <v>58.860119999999988</v>
      </c>
      <c r="S12" s="489">
        <f t="shared" si="10"/>
        <v>0.17857142857142855</v>
      </c>
      <c r="T12" s="182"/>
      <c r="U12" s="182"/>
      <c r="V12" s="182"/>
      <c r="W12" s="182"/>
      <c r="X12" s="182"/>
    </row>
    <row r="13" spans="1:24">
      <c r="A13" s="140" t="s">
        <v>340</v>
      </c>
      <c r="B13" s="140" t="s">
        <v>341</v>
      </c>
      <c r="C13" s="140" t="s">
        <v>342</v>
      </c>
      <c r="D13" s="140" t="s">
        <v>314</v>
      </c>
      <c r="E13" s="140" t="s">
        <v>315</v>
      </c>
      <c r="F13" s="140" t="s">
        <v>343</v>
      </c>
      <c r="G13" s="140">
        <v>85098000</v>
      </c>
      <c r="H13" s="182" t="e">
        <f>VLOOKUP(A13,'Amazon Live Products'!E:P,12,0)</f>
        <v>#N/A</v>
      </c>
      <c r="I13" s="180" t="e">
        <f t="shared" si="0"/>
        <v>#N/A</v>
      </c>
      <c r="J13" s="484" t="e">
        <f t="shared" si="1"/>
        <v>#N/A</v>
      </c>
      <c r="K13" s="485" t="e">
        <f t="shared" si="2"/>
        <v>#N/A</v>
      </c>
      <c r="L13" s="484" t="e">
        <f t="shared" si="3"/>
        <v>#N/A</v>
      </c>
      <c r="M13" s="485" t="e">
        <f t="shared" si="4"/>
        <v>#N/A</v>
      </c>
      <c r="N13" s="486" t="e">
        <f t="shared" si="5"/>
        <v>#N/A</v>
      </c>
      <c r="O13" s="487" t="e">
        <f t="shared" si="6"/>
        <v>#N/A</v>
      </c>
      <c r="P13" s="488" t="e">
        <f t="shared" si="7"/>
        <v>#N/A</v>
      </c>
      <c r="Q13" s="488" t="e">
        <f t="shared" si="8"/>
        <v>#N/A</v>
      </c>
      <c r="R13" s="488" t="e">
        <f t="shared" si="9"/>
        <v>#N/A</v>
      </c>
      <c r="S13" s="489" t="e">
        <f t="shared" si="10"/>
        <v>#N/A</v>
      </c>
      <c r="T13" s="182"/>
      <c r="U13" s="182"/>
      <c r="V13" s="182"/>
      <c r="W13" s="182"/>
      <c r="X13" s="182"/>
    </row>
    <row r="14" spans="1:24">
      <c r="A14" s="140" t="s">
        <v>418</v>
      </c>
      <c r="B14" s="140" t="s">
        <v>419</v>
      </c>
      <c r="C14" s="140" t="s">
        <v>420</v>
      </c>
      <c r="D14" s="140" t="s">
        <v>234</v>
      </c>
      <c r="E14" s="140" t="s">
        <v>249</v>
      </c>
      <c r="F14" s="140" t="s">
        <v>422</v>
      </c>
      <c r="G14" s="140">
        <v>85098000</v>
      </c>
      <c r="H14" s="179">
        <f>VLOOKUP(A14,'Amazon Live Products'!E:P,12,0)</f>
        <v>1133.3995199999999</v>
      </c>
      <c r="I14" s="180">
        <f t="shared" si="0"/>
        <v>170.00992799999997</v>
      </c>
      <c r="J14" s="484">
        <f t="shared" si="1"/>
        <v>340.01985599999995</v>
      </c>
      <c r="K14" s="490">
        <f t="shared" si="2"/>
        <v>1643.4293039999998</v>
      </c>
      <c r="L14" s="484">
        <f t="shared" si="3"/>
        <v>1939.2465787199997</v>
      </c>
      <c r="M14" s="490">
        <f t="shared" si="4"/>
        <v>340.01985599999989</v>
      </c>
      <c r="N14" s="486">
        <f t="shared" si="5"/>
        <v>0.2068965517241379</v>
      </c>
      <c r="O14" s="487">
        <f t="shared" si="6"/>
        <v>283.34987999999998</v>
      </c>
      <c r="P14" s="488">
        <f t="shared" si="7"/>
        <v>1586.7593279999999</v>
      </c>
      <c r="Q14" s="488">
        <f t="shared" si="8"/>
        <v>1872.3760070399996</v>
      </c>
      <c r="R14" s="488">
        <f t="shared" si="9"/>
        <v>283.34987999999998</v>
      </c>
      <c r="S14" s="489">
        <f t="shared" si="10"/>
        <v>0.17857142857142858</v>
      </c>
      <c r="T14" s="182"/>
      <c r="U14" s="182"/>
      <c r="V14" s="182"/>
      <c r="W14" s="182"/>
      <c r="X14" s="182"/>
    </row>
    <row r="15" spans="1:24">
      <c r="A15" s="140" t="s">
        <v>424</v>
      </c>
      <c r="B15" s="140" t="s">
        <v>425</v>
      </c>
      <c r="C15" s="140" t="s">
        <v>426</v>
      </c>
      <c r="D15" s="140" t="s">
        <v>234</v>
      </c>
      <c r="E15" s="140" t="s">
        <v>249</v>
      </c>
      <c r="F15" s="140" t="s">
        <v>427</v>
      </c>
      <c r="G15" s="140">
        <v>85086000</v>
      </c>
      <c r="H15" s="179">
        <f>VLOOKUP(A15,'Amazon Live Products'!E:P,12,0)</f>
        <v>936.55584000000022</v>
      </c>
      <c r="I15" s="180">
        <f t="shared" si="0"/>
        <v>140.48337600000002</v>
      </c>
      <c r="J15" s="484">
        <f t="shared" si="1"/>
        <v>280.96675200000004</v>
      </c>
      <c r="K15" s="490">
        <f t="shared" si="2"/>
        <v>1358.0059680000002</v>
      </c>
      <c r="L15" s="484">
        <f t="shared" si="3"/>
        <v>1602.4470422400002</v>
      </c>
      <c r="M15" s="490">
        <f t="shared" si="4"/>
        <v>280.96675199999993</v>
      </c>
      <c r="N15" s="486">
        <f t="shared" si="5"/>
        <v>0.20689655172413784</v>
      </c>
      <c r="O15" s="487">
        <f t="shared" si="6"/>
        <v>234.13896000000005</v>
      </c>
      <c r="P15" s="488">
        <f t="shared" si="7"/>
        <v>1311.1781760000001</v>
      </c>
      <c r="Q15" s="488">
        <f t="shared" si="8"/>
        <v>1547.1902476800001</v>
      </c>
      <c r="R15" s="488">
        <f t="shared" si="9"/>
        <v>234.13895999999988</v>
      </c>
      <c r="S15" s="489">
        <f t="shared" si="10"/>
        <v>0.17857142857142846</v>
      </c>
      <c r="T15" s="182"/>
      <c r="U15" s="182"/>
      <c r="V15" s="182"/>
      <c r="W15" s="182"/>
      <c r="X15" s="182"/>
    </row>
    <row r="16" spans="1:24">
      <c r="A16" s="140" t="s">
        <v>434</v>
      </c>
      <c r="B16" s="140" t="s">
        <v>435</v>
      </c>
      <c r="C16" s="140" t="s">
        <v>436</v>
      </c>
      <c r="D16" s="140" t="s">
        <v>314</v>
      </c>
      <c r="E16" s="140" t="s">
        <v>437</v>
      </c>
      <c r="F16" s="140" t="s">
        <v>439</v>
      </c>
      <c r="G16" s="140">
        <v>82142090</v>
      </c>
      <c r="H16" s="179">
        <f>VLOOKUP(A16,'Amazon Live Products'!E:P,12,0)</f>
        <v>446.35852800000004</v>
      </c>
      <c r="I16" s="180">
        <f t="shared" si="0"/>
        <v>66.9537792</v>
      </c>
      <c r="J16" s="484">
        <f t="shared" si="1"/>
        <v>133.9075584</v>
      </c>
      <c r="K16" s="490">
        <f t="shared" si="2"/>
        <v>647.21986560000005</v>
      </c>
      <c r="L16" s="484">
        <f t="shared" si="3"/>
        <v>763.71944140799997</v>
      </c>
      <c r="M16" s="490">
        <f t="shared" si="4"/>
        <v>133.90755840000003</v>
      </c>
      <c r="N16" s="486">
        <f t="shared" si="5"/>
        <v>0.20689655172413796</v>
      </c>
      <c r="O16" s="487">
        <f t="shared" si="6"/>
        <v>111.58963200000001</v>
      </c>
      <c r="P16" s="488">
        <f t="shared" si="7"/>
        <v>624.90193920000013</v>
      </c>
      <c r="Q16" s="488">
        <f t="shared" si="8"/>
        <v>737.3842882560001</v>
      </c>
      <c r="R16" s="488">
        <f t="shared" si="9"/>
        <v>111.58963200000009</v>
      </c>
      <c r="S16" s="489">
        <f t="shared" si="10"/>
        <v>0.17857142857142869</v>
      </c>
      <c r="T16" s="182"/>
      <c r="U16" s="182"/>
      <c r="V16" s="182"/>
      <c r="W16" s="182"/>
      <c r="X16" s="182"/>
    </row>
    <row r="17" spans="1:24">
      <c r="A17" s="140" t="s">
        <v>441</v>
      </c>
      <c r="B17" s="140" t="s">
        <v>442</v>
      </c>
      <c r="C17" s="140" t="s">
        <v>443</v>
      </c>
      <c r="D17" s="140" t="s">
        <v>314</v>
      </c>
      <c r="E17" s="140" t="s">
        <v>444</v>
      </c>
      <c r="F17" s="140" t="s">
        <v>445</v>
      </c>
      <c r="G17" s="140">
        <v>85101000</v>
      </c>
      <c r="H17" s="179">
        <f>VLOOKUP(A17,'Amazon Live Products'!E:P,12,0)</f>
        <v>433.64851200000004</v>
      </c>
      <c r="I17" s="180">
        <f t="shared" si="0"/>
        <v>65.047276800000006</v>
      </c>
      <c r="J17" s="484">
        <f t="shared" si="1"/>
        <v>130.09455360000001</v>
      </c>
      <c r="K17" s="490">
        <f t="shared" si="2"/>
        <v>628.7903424000001</v>
      </c>
      <c r="L17" s="484">
        <f t="shared" si="3"/>
        <v>741.97260403200005</v>
      </c>
      <c r="M17" s="490">
        <f t="shared" si="4"/>
        <v>130.09455360000004</v>
      </c>
      <c r="N17" s="486">
        <f t="shared" si="5"/>
        <v>0.20689655172413796</v>
      </c>
      <c r="O17" s="487">
        <f t="shared" si="6"/>
        <v>108.41212800000001</v>
      </c>
      <c r="P17" s="488">
        <f t="shared" si="7"/>
        <v>607.10791680000011</v>
      </c>
      <c r="Q17" s="488">
        <f t="shared" si="8"/>
        <v>716.38734182400015</v>
      </c>
      <c r="R17" s="488">
        <f t="shared" si="9"/>
        <v>108.41212800000007</v>
      </c>
      <c r="S17" s="489">
        <f t="shared" si="10"/>
        <v>0.17857142857142866</v>
      </c>
      <c r="T17" s="182"/>
      <c r="U17" s="182"/>
      <c r="V17" s="182"/>
      <c r="W17" s="182"/>
      <c r="X17" s="182"/>
    </row>
    <row r="18" spans="1:24">
      <c r="A18" s="140" t="s">
        <v>448</v>
      </c>
      <c r="B18" s="140" t="s">
        <v>449</v>
      </c>
      <c r="C18" s="140" t="s">
        <v>450</v>
      </c>
      <c r="D18" s="140" t="s">
        <v>314</v>
      </c>
      <c r="E18" s="140" t="s">
        <v>444</v>
      </c>
      <c r="F18" s="140" t="s">
        <v>451</v>
      </c>
      <c r="G18" s="140">
        <v>85101000</v>
      </c>
      <c r="H18" s="179">
        <f>VLOOKUP(A18,'Amazon Live Products'!E:P,12,0)</f>
        <v>509.20848000000007</v>
      </c>
      <c r="I18" s="180">
        <f t="shared" si="0"/>
        <v>76.38127200000001</v>
      </c>
      <c r="J18" s="484">
        <f t="shared" si="1"/>
        <v>152.76254400000002</v>
      </c>
      <c r="K18" s="490">
        <f t="shared" si="2"/>
        <v>738.35229600000014</v>
      </c>
      <c r="L18" s="484">
        <f t="shared" si="3"/>
        <v>871.25570928000013</v>
      </c>
      <c r="M18" s="490">
        <f t="shared" si="4"/>
        <v>152.76254400000005</v>
      </c>
      <c r="N18" s="486">
        <f t="shared" si="5"/>
        <v>0.20689655172413796</v>
      </c>
      <c r="O18" s="487">
        <f t="shared" si="6"/>
        <v>127.30212000000002</v>
      </c>
      <c r="P18" s="488">
        <f t="shared" si="7"/>
        <v>712.89187200000015</v>
      </c>
      <c r="Q18" s="488">
        <f t="shared" si="8"/>
        <v>841.21240896000018</v>
      </c>
      <c r="R18" s="488">
        <f t="shared" si="9"/>
        <v>127.30212000000007</v>
      </c>
      <c r="S18" s="489">
        <f t="shared" si="10"/>
        <v>0.17857142857142863</v>
      </c>
      <c r="T18" s="182"/>
      <c r="U18" s="182"/>
      <c r="V18" s="182"/>
      <c r="W18" s="182"/>
      <c r="X18" s="182"/>
    </row>
    <row r="19" spans="1:24">
      <c r="A19" s="140" t="s">
        <v>454</v>
      </c>
      <c r="B19" s="140" t="s">
        <v>455</v>
      </c>
      <c r="C19" s="140" t="s">
        <v>456</v>
      </c>
      <c r="D19" s="140" t="s">
        <v>234</v>
      </c>
      <c r="E19" s="140" t="s">
        <v>235</v>
      </c>
      <c r="F19" s="140" t="s">
        <v>457</v>
      </c>
      <c r="G19" s="140">
        <v>85167990</v>
      </c>
      <c r="H19" s="179">
        <f>VLOOKUP(A19,'Amazon Live Products'!E:P,12,0)</f>
        <v>821.30399999999997</v>
      </c>
      <c r="I19" s="180">
        <f t="shared" si="0"/>
        <v>123.19559999999998</v>
      </c>
      <c r="J19" s="484">
        <f t="shared" si="1"/>
        <v>246.39119999999997</v>
      </c>
      <c r="K19" s="490">
        <f t="shared" si="2"/>
        <v>1190.8907999999999</v>
      </c>
      <c r="L19" s="484">
        <f t="shared" si="3"/>
        <v>1405.2511439999998</v>
      </c>
      <c r="M19" s="490">
        <f t="shared" si="4"/>
        <v>246.39119999999994</v>
      </c>
      <c r="N19" s="486">
        <f t="shared" si="5"/>
        <v>0.2068965517241379</v>
      </c>
      <c r="O19" s="487">
        <f t="shared" si="6"/>
        <v>205.32599999999999</v>
      </c>
      <c r="P19" s="488">
        <f t="shared" si="7"/>
        <v>1149.8255999999999</v>
      </c>
      <c r="Q19" s="488">
        <f t="shared" si="8"/>
        <v>1356.7942079999998</v>
      </c>
      <c r="R19" s="488">
        <f t="shared" si="9"/>
        <v>205.32599999999994</v>
      </c>
      <c r="S19" s="489">
        <f t="shared" si="10"/>
        <v>0.17857142857142852</v>
      </c>
      <c r="T19" s="182"/>
      <c r="U19" s="182"/>
      <c r="V19" s="182"/>
      <c r="W19" s="182"/>
      <c r="X19" s="182"/>
    </row>
    <row r="20" spans="1:24">
      <c r="A20" s="140" t="s">
        <v>462</v>
      </c>
      <c r="B20" s="140" t="s">
        <v>463</v>
      </c>
      <c r="C20" s="140" t="s">
        <v>464</v>
      </c>
      <c r="D20" s="140" t="s">
        <v>314</v>
      </c>
      <c r="E20" s="140" t="s">
        <v>465</v>
      </c>
      <c r="F20" s="140" t="s">
        <v>466</v>
      </c>
      <c r="G20" s="140">
        <v>85163100</v>
      </c>
      <c r="H20" s="179">
        <f>VLOOKUP(A20,'Amazon Live Products'!E:P,12,0)</f>
        <v>602.28960000000006</v>
      </c>
      <c r="I20" s="180">
        <f t="shared" si="0"/>
        <v>90.343440000000001</v>
      </c>
      <c r="J20" s="484">
        <f t="shared" si="1"/>
        <v>180.68688</v>
      </c>
      <c r="K20" s="490">
        <f t="shared" si="2"/>
        <v>873.31992000000002</v>
      </c>
      <c r="L20" s="484">
        <f t="shared" si="3"/>
        <v>1030.5175056</v>
      </c>
      <c r="M20" s="490">
        <f t="shared" si="4"/>
        <v>180.68688000000009</v>
      </c>
      <c r="N20" s="486">
        <f t="shared" si="5"/>
        <v>0.20689655172413801</v>
      </c>
      <c r="O20" s="487">
        <f t="shared" si="6"/>
        <v>150.57240000000002</v>
      </c>
      <c r="P20" s="488">
        <f t="shared" si="7"/>
        <v>843.20544000000007</v>
      </c>
      <c r="Q20" s="488">
        <f t="shared" si="8"/>
        <v>994.98241919999998</v>
      </c>
      <c r="R20" s="488">
        <f t="shared" si="9"/>
        <v>150.57240000000002</v>
      </c>
      <c r="S20" s="489">
        <f t="shared" si="10"/>
        <v>0.17857142857142858</v>
      </c>
      <c r="T20" s="182"/>
      <c r="U20" s="182"/>
      <c r="V20" s="182"/>
      <c r="W20" s="182"/>
      <c r="X20" s="182"/>
    </row>
    <row r="21" spans="1:24">
      <c r="A21" s="140" t="s">
        <v>468</v>
      </c>
      <c r="B21" s="140" t="s">
        <v>469</v>
      </c>
      <c r="C21" s="140" t="s">
        <v>470</v>
      </c>
      <c r="D21" s="140" t="s">
        <v>314</v>
      </c>
      <c r="E21" s="140" t="s">
        <v>465</v>
      </c>
      <c r="F21" s="140" t="s">
        <v>466</v>
      </c>
      <c r="G21" s="140">
        <v>85163100</v>
      </c>
      <c r="H21" s="179">
        <f>VLOOKUP(A21,'Amazon Live Products'!E:P,12,0)</f>
        <v>547.53599999999994</v>
      </c>
      <c r="I21" s="180">
        <f t="shared" si="0"/>
        <v>82.130399999999995</v>
      </c>
      <c r="J21" s="484">
        <f t="shared" si="1"/>
        <v>164.26079999999999</v>
      </c>
      <c r="K21" s="490">
        <f t="shared" si="2"/>
        <v>793.92719999999997</v>
      </c>
      <c r="L21" s="484">
        <f t="shared" si="3"/>
        <v>936.83409599999993</v>
      </c>
      <c r="M21" s="490">
        <f t="shared" si="4"/>
        <v>164.26080000000002</v>
      </c>
      <c r="N21" s="486">
        <f t="shared" si="5"/>
        <v>0.20689655172413796</v>
      </c>
      <c r="O21" s="487">
        <f t="shared" si="6"/>
        <v>136.88399999999999</v>
      </c>
      <c r="P21" s="488">
        <f t="shared" si="7"/>
        <v>766.55039999999997</v>
      </c>
      <c r="Q21" s="488">
        <f t="shared" si="8"/>
        <v>904.52947199999994</v>
      </c>
      <c r="R21" s="488">
        <f t="shared" si="9"/>
        <v>136.88400000000001</v>
      </c>
      <c r="S21" s="489">
        <f t="shared" si="10"/>
        <v>0.1785714285714286</v>
      </c>
      <c r="T21" s="182"/>
      <c r="U21" s="182"/>
      <c r="V21" s="182"/>
      <c r="W21" s="182"/>
      <c r="X21" s="182"/>
    </row>
    <row r="22" spans="1:24">
      <c r="A22" s="44" t="s">
        <v>485</v>
      </c>
      <c r="B22" s="140" t="s">
        <v>472</v>
      </c>
      <c r="C22" s="140" t="s">
        <v>473</v>
      </c>
      <c r="D22" s="140" t="s">
        <v>314</v>
      </c>
      <c r="E22" s="140" t="s">
        <v>465</v>
      </c>
      <c r="F22" s="140" t="s">
        <v>474</v>
      </c>
      <c r="G22" s="140">
        <v>85163200</v>
      </c>
      <c r="H22" s="179">
        <f>VLOOKUP(A22,'Amazon Live Products'!E:P,12,0)</f>
        <v>314.285664</v>
      </c>
      <c r="I22" s="180">
        <f t="shared" si="0"/>
        <v>47.142849599999998</v>
      </c>
      <c r="J22" s="484">
        <f t="shared" si="1"/>
        <v>94.285699199999996</v>
      </c>
      <c r="K22" s="490">
        <f t="shared" si="2"/>
        <v>455.71421279999998</v>
      </c>
      <c r="L22" s="484">
        <f t="shared" si="3"/>
        <v>537.74277110399998</v>
      </c>
      <c r="M22" s="490">
        <f t="shared" si="4"/>
        <v>94.285699199999982</v>
      </c>
      <c r="N22" s="486">
        <f t="shared" si="5"/>
        <v>0.2068965517241379</v>
      </c>
      <c r="O22" s="487">
        <f t="shared" si="6"/>
        <v>78.571415999999999</v>
      </c>
      <c r="P22" s="488">
        <f t="shared" si="7"/>
        <v>439.99992959999997</v>
      </c>
      <c r="Q22" s="488">
        <f t="shared" si="8"/>
        <v>519.19991692799999</v>
      </c>
      <c r="R22" s="488">
        <f t="shared" si="9"/>
        <v>78.571416000000028</v>
      </c>
      <c r="S22" s="489">
        <f t="shared" si="10"/>
        <v>0.17857142857142863</v>
      </c>
      <c r="T22" s="182"/>
      <c r="U22" s="182"/>
      <c r="V22" s="182"/>
      <c r="W22" s="182"/>
      <c r="X22" s="182"/>
    </row>
    <row r="23" spans="1:24">
      <c r="A23" s="44" t="s">
        <v>488</v>
      </c>
      <c r="B23" s="140" t="s">
        <v>476</v>
      </c>
      <c r="C23" s="140" t="s">
        <v>477</v>
      </c>
      <c r="D23" s="140" t="s">
        <v>234</v>
      </c>
      <c r="E23" s="140" t="s">
        <v>235</v>
      </c>
      <c r="F23" s="140" t="s">
        <v>478</v>
      </c>
      <c r="G23" s="140">
        <v>85163200</v>
      </c>
      <c r="H23" s="179">
        <f>VLOOKUP(A23,'Amazon Live Products'!E:P,12,0)</f>
        <v>324.14131200000003</v>
      </c>
      <c r="I23" s="180">
        <f t="shared" si="0"/>
        <v>48.6211968</v>
      </c>
      <c r="J23" s="484">
        <f t="shared" si="1"/>
        <v>97.2423936</v>
      </c>
      <c r="K23" s="490">
        <f t="shared" si="2"/>
        <v>470.00490240000005</v>
      </c>
      <c r="L23" s="484">
        <f t="shared" si="3"/>
        <v>554.60578483200004</v>
      </c>
      <c r="M23" s="490">
        <f t="shared" si="4"/>
        <v>97.242393600000014</v>
      </c>
      <c r="N23" s="486">
        <f t="shared" si="5"/>
        <v>0.20689655172413793</v>
      </c>
      <c r="O23" s="487">
        <f t="shared" si="6"/>
        <v>81.035328000000007</v>
      </c>
      <c r="P23" s="488">
        <f t="shared" si="7"/>
        <v>453.79783680000003</v>
      </c>
      <c r="Q23" s="488">
        <f t="shared" si="8"/>
        <v>535.48144742399995</v>
      </c>
      <c r="R23" s="488">
        <f t="shared" si="9"/>
        <v>81.035327999999936</v>
      </c>
      <c r="S23" s="489">
        <f t="shared" si="10"/>
        <v>0.17857142857142844</v>
      </c>
      <c r="T23" s="182"/>
      <c r="U23" s="182"/>
      <c r="V23" s="182"/>
      <c r="W23" s="182"/>
      <c r="X23" s="182"/>
    </row>
    <row r="24" spans="1:24">
      <c r="A24" s="44" t="s">
        <v>508</v>
      </c>
      <c r="B24" s="140" t="s">
        <v>509</v>
      </c>
      <c r="C24" s="140" t="s">
        <v>481</v>
      </c>
      <c r="D24" s="140" t="s">
        <v>465</v>
      </c>
      <c r="E24" s="140"/>
      <c r="F24" s="140" t="s">
        <v>482</v>
      </c>
      <c r="G24" s="140">
        <v>85163100</v>
      </c>
      <c r="H24" s="179">
        <f>VLOOKUP(A24,'Amazon Live Products'!E:P,12,0)</f>
        <v>640.61712</v>
      </c>
      <c r="I24" s="180">
        <f t="shared" si="0"/>
        <v>96.092568</v>
      </c>
      <c r="J24" s="484">
        <f t="shared" si="1"/>
        <v>192.185136</v>
      </c>
      <c r="K24" s="490">
        <f t="shared" si="2"/>
        <v>928.89482399999997</v>
      </c>
      <c r="L24" s="484">
        <f t="shared" si="3"/>
        <v>1096.0958923199998</v>
      </c>
      <c r="M24" s="490">
        <f t="shared" si="4"/>
        <v>192.18513599999997</v>
      </c>
      <c r="N24" s="486">
        <f t="shared" si="5"/>
        <v>0.2068965517241379</v>
      </c>
      <c r="O24" s="487">
        <f t="shared" si="6"/>
        <v>160.15428</v>
      </c>
      <c r="P24" s="488">
        <f t="shared" si="7"/>
        <v>896.863968</v>
      </c>
      <c r="Q24" s="488">
        <f t="shared" si="8"/>
        <v>1058.2994822399999</v>
      </c>
      <c r="R24" s="488">
        <f t="shared" si="9"/>
        <v>160.15427999999989</v>
      </c>
      <c r="S24" s="489">
        <f t="shared" si="10"/>
        <v>0.17857142857142846</v>
      </c>
      <c r="T24" s="182"/>
      <c r="U24" s="182"/>
      <c r="V24" s="182"/>
      <c r="W24" s="182"/>
      <c r="X24" s="182"/>
    </row>
    <row r="25" spans="1:24">
      <c r="A25" s="44" t="s">
        <v>538</v>
      </c>
      <c r="B25" s="140" t="s">
        <v>539</v>
      </c>
      <c r="C25" s="140" t="s">
        <v>483</v>
      </c>
      <c r="D25" s="140" t="s">
        <v>465</v>
      </c>
      <c r="E25" s="140"/>
      <c r="F25" s="140" t="s">
        <v>484</v>
      </c>
      <c r="G25" s="140">
        <v>85163100</v>
      </c>
      <c r="H25" s="179">
        <f>VLOOKUP(A25,'Amazon Live Products'!E:P,12,0)</f>
        <v>371.22940800000003</v>
      </c>
      <c r="I25" s="180">
        <f t="shared" si="0"/>
        <v>55.684411200000007</v>
      </c>
      <c r="J25" s="484">
        <f t="shared" si="1"/>
        <v>111.36882240000001</v>
      </c>
      <c r="K25" s="490">
        <f t="shared" si="2"/>
        <v>538.28264160000003</v>
      </c>
      <c r="L25" s="484">
        <f t="shared" si="3"/>
        <v>635.17351708800004</v>
      </c>
      <c r="M25" s="490">
        <f t="shared" si="4"/>
        <v>111.3688224</v>
      </c>
      <c r="N25" s="486">
        <f t="shared" si="5"/>
        <v>0.20689655172413793</v>
      </c>
      <c r="O25" s="487">
        <f t="shared" si="6"/>
        <v>92.807352000000009</v>
      </c>
      <c r="P25" s="488">
        <f t="shared" si="7"/>
        <v>519.72117120000007</v>
      </c>
      <c r="Q25" s="488">
        <f t="shared" si="8"/>
        <v>613.27098201600006</v>
      </c>
      <c r="R25" s="488">
        <f t="shared" si="9"/>
        <v>92.807352000000037</v>
      </c>
      <c r="S25" s="489">
        <f t="shared" si="10"/>
        <v>0.17857142857142863</v>
      </c>
      <c r="T25" s="182"/>
      <c r="U25" s="182"/>
      <c r="V25" s="182"/>
      <c r="W25" s="182"/>
      <c r="X25" s="182"/>
    </row>
    <row r="26" spans="1:24">
      <c r="A26" s="140" t="s">
        <v>491</v>
      </c>
      <c r="B26" s="140" t="s">
        <v>492</v>
      </c>
      <c r="C26" s="140" t="s">
        <v>493</v>
      </c>
      <c r="D26" s="140" t="s">
        <v>234</v>
      </c>
      <c r="E26" s="140" t="s">
        <v>249</v>
      </c>
      <c r="F26" s="140" t="s">
        <v>494</v>
      </c>
      <c r="G26" s="140">
        <v>85098000</v>
      </c>
      <c r="H26" s="179">
        <f>VLOOKUP(A26,'Amazon Live Products'!E:P,12,0)</f>
        <v>1916.3760000000002</v>
      </c>
      <c r="I26" s="180">
        <f t="shared" si="0"/>
        <v>287.45640000000003</v>
      </c>
      <c r="J26" s="484">
        <f t="shared" si="1"/>
        <v>574.91280000000006</v>
      </c>
      <c r="K26" s="490">
        <f t="shared" si="2"/>
        <v>2778.7452000000003</v>
      </c>
      <c r="L26" s="484">
        <f t="shared" si="3"/>
        <v>3278.9193360000004</v>
      </c>
      <c r="M26" s="490">
        <f t="shared" si="4"/>
        <v>574.91280000000006</v>
      </c>
      <c r="N26" s="486">
        <f t="shared" si="5"/>
        <v>0.20689655172413793</v>
      </c>
      <c r="O26" s="487">
        <f t="shared" si="6"/>
        <v>479.09400000000005</v>
      </c>
      <c r="P26" s="488">
        <f t="shared" si="7"/>
        <v>2682.9264000000003</v>
      </c>
      <c r="Q26" s="488">
        <f t="shared" si="8"/>
        <v>3165.8531520000001</v>
      </c>
      <c r="R26" s="488">
        <f t="shared" si="9"/>
        <v>479.09400000000005</v>
      </c>
      <c r="S26" s="489">
        <f t="shared" si="10"/>
        <v>0.17857142857142858</v>
      </c>
      <c r="T26" s="182"/>
      <c r="U26" s="182"/>
      <c r="V26" s="182"/>
      <c r="W26" s="182"/>
      <c r="X26" s="182"/>
    </row>
    <row r="27" spans="1:24">
      <c r="A27" s="140" t="s">
        <v>496</v>
      </c>
      <c r="B27" s="140" t="s">
        <v>497</v>
      </c>
      <c r="C27" s="140" t="s">
        <v>498</v>
      </c>
      <c r="D27" s="140" t="s">
        <v>234</v>
      </c>
      <c r="E27" s="140" t="s">
        <v>249</v>
      </c>
      <c r="F27" s="140" t="s">
        <v>499</v>
      </c>
      <c r="G27" s="140">
        <v>85167990</v>
      </c>
      <c r="H27" s="179">
        <f>VLOOKUP(A27,'Amazon Live Products'!E:P,12,0)</f>
        <v>3230.4624000000003</v>
      </c>
      <c r="I27" s="180">
        <f t="shared" si="0"/>
        <v>484.56936000000002</v>
      </c>
      <c r="J27" s="484">
        <f t="shared" si="1"/>
        <v>969.13872000000003</v>
      </c>
      <c r="K27" s="490">
        <f t="shared" si="2"/>
        <v>4684.1704800000007</v>
      </c>
      <c r="L27" s="484">
        <f t="shared" si="3"/>
        <v>5527.3211664000009</v>
      </c>
      <c r="M27" s="490">
        <f t="shared" si="4"/>
        <v>969.13872000000038</v>
      </c>
      <c r="N27" s="486">
        <f t="shared" si="5"/>
        <v>0.20689655172413798</v>
      </c>
      <c r="O27" s="487">
        <f t="shared" si="6"/>
        <v>807.61560000000009</v>
      </c>
      <c r="P27" s="488">
        <f t="shared" si="7"/>
        <v>4522.6473600000008</v>
      </c>
      <c r="Q27" s="488">
        <f t="shared" si="8"/>
        <v>5336.7238848000006</v>
      </c>
      <c r="R27" s="488">
        <f t="shared" si="9"/>
        <v>807.61560000000054</v>
      </c>
      <c r="S27" s="489">
        <f t="shared" si="10"/>
        <v>0.17857142857142866</v>
      </c>
      <c r="T27" s="182"/>
      <c r="U27" s="182"/>
      <c r="V27" s="182"/>
      <c r="W27" s="182"/>
      <c r="X27" s="182"/>
    </row>
    <row r="28" spans="1:24">
      <c r="A28" s="140" t="s">
        <v>500</v>
      </c>
      <c r="B28" s="140" t="s">
        <v>501</v>
      </c>
      <c r="C28" s="140" t="s">
        <v>459</v>
      </c>
      <c r="D28" s="140" t="s">
        <v>234</v>
      </c>
      <c r="E28" s="140" t="s">
        <v>235</v>
      </c>
      <c r="F28" s="140" t="s">
        <v>503</v>
      </c>
      <c r="G28" s="140">
        <v>85167990</v>
      </c>
      <c r="H28" s="179">
        <f>VLOOKUP(A28,'Amazon Live Products'!E:P,12,0)</f>
        <v>372.32447999999999</v>
      </c>
      <c r="I28" s="180">
        <f t="shared" si="0"/>
        <v>55.848672000000001</v>
      </c>
      <c r="J28" s="484">
        <f t="shared" si="1"/>
        <v>111.697344</v>
      </c>
      <c r="K28" s="490">
        <f t="shared" si="2"/>
        <v>539.870496</v>
      </c>
      <c r="L28" s="484">
        <f t="shared" si="3"/>
        <v>637.04718528000001</v>
      </c>
      <c r="M28" s="490">
        <f t="shared" si="4"/>
        <v>111.69734400000002</v>
      </c>
      <c r="N28" s="486">
        <f t="shared" si="5"/>
        <v>0.20689655172413796</v>
      </c>
      <c r="O28" s="487">
        <f t="shared" si="6"/>
        <v>93.081119999999999</v>
      </c>
      <c r="P28" s="488">
        <f t="shared" si="7"/>
        <v>521.25427200000001</v>
      </c>
      <c r="Q28" s="488">
        <f t="shared" si="8"/>
        <v>615.08004096000002</v>
      </c>
      <c r="R28" s="488">
        <f t="shared" si="9"/>
        <v>93.081120000000027</v>
      </c>
      <c r="S28" s="489">
        <f t="shared" si="10"/>
        <v>0.17857142857142863</v>
      </c>
      <c r="T28" s="182"/>
      <c r="U28" s="182"/>
      <c r="V28" s="182"/>
      <c r="W28" s="182"/>
      <c r="X28" s="182"/>
    </row>
    <row r="29" spans="1:24">
      <c r="A29" s="140" t="s">
        <v>504</v>
      </c>
      <c r="B29" s="140" t="s">
        <v>505</v>
      </c>
      <c r="C29" s="140" t="s">
        <v>506</v>
      </c>
      <c r="D29" s="140" t="s">
        <v>234</v>
      </c>
      <c r="E29" s="140" t="s">
        <v>235</v>
      </c>
      <c r="F29" s="140" t="s">
        <v>939</v>
      </c>
      <c r="G29" s="140">
        <v>85167990</v>
      </c>
      <c r="H29" s="179">
        <f>VLOOKUP(A29,'Amazon Live Products'!E:P,12,0)</f>
        <v>744.64895999999999</v>
      </c>
      <c r="I29" s="180">
        <f t="shared" si="0"/>
        <v>111.697344</v>
      </c>
      <c r="J29" s="484">
        <f t="shared" si="1"/>
        <v>223.394688</v>
      </c>
      <c r="K29" s="490">
        <f t="shared" si="2"/>
        <v>1079.740992</v>
      </c>
      <c r="L29" s="484">
        <f t="shared" si="3"/>
        <v>1274.09437056</v>
      </c>
      <c r="M29" s="490">
        <f t="shared" si="4"/>
        <v>223.39468800000003</v>
      </c>
      <c r="N29" s="486">
        <f t="shared" si="5"/>
        <v>0.20689655172413796</v>
      </c>
      <c r="O29" s="487">
        <f t="shared" si="6"/>
        <v>186.16224</v>
      </c>
      <c r="P29" s="488">
        <f t="shared" si="7"/>
        <v>1042.508544</v>
      </c>
      <c r="Q29" s="488">
        <f t="shared" si="8"/>
        <v>1230.16008192</v>
      </c>
      <c r="R29" s="488">
        <f t="shared" si="9"/>
        <v>186.16224000000005</v>
      </c>
      <c r="S29" s="489">
        <f t="shared" si="10"/>
        <v>0.17857142857142863</v>
      </c>
      <c r="T29" s="182"/>
      <c r="U29" s="182"/>
      <c r="V29" s="182"/>
      <c r="W29" s="182"/>
      <c r="X29" s="182"/>
    </row>
    <row r="30" spans="1:24">
      <c r="A30" s="140" t="s">
        <v>512</v>
      </c>
      <c r="B30" s="140" t="s">
        <v>940</v>
      </c>
      <c r="C30" s="140" t="s">
        <v>514</v>
      </c>
      <c r="D30" s="140" t="s">
        <v>314</v>
      </c>
      <c r="E30" s="140" t="s">
        <v>465</v>
      </c>
      <c r="F30" s="140" t="s">
        <v>516</v>
      </c>
      <c r="G30" s="140">
        <v>90191020</v>
      </c>
      <c r="H30" s="179">
        <f>VLOOKUP(A30,'Amazon Live Products'!E:P,12,0)</f>
        <v>448.35120000000001</v>
      </c>
      <c r="I30" s="180">
        <f t="shared" si="0"/>
        <v>67.252679999999998</v>
      </c>
      <c r="J30" s="484">
        <f t="shared" si="1"/>
        <v>134.50536</v>
      </c>
      <c r="K30" s="490">
        <f t="shared" si="2"/>
        <v>650.10924</v>
      </c>
      <c r="L30" s="484">
        <f t="shared" si="3"/>
        <v>767.12890319999997</v>
      </c>
      <c r="M30" s="490">
        <f t="shared" si="4"/>
        <v>134.50536</v>
      </c>
      <c r="N30" s="486">
        <f t="shared" si="5"/>
        <v>0.20689655172413793</v>
      </c>
      <c r="O30" s="487">
        <f t="shared" si="6"/>
        <v>112.0878</v>
      </c>
      <c r="P30" s="488">
        <f t="shared" si="7"/>
        <v>627.69168000000002</v>
      </c>
      <c r="Q30" s="488">
        <f t="shared" si="8"/>
        <v>740.67618240000002</v>
      </c>
      <c r="R30" s="488">
        <f t="shared" si="9"/>
        <v>112.08780000000002</v>
      </c>
      <c r="S30" s="489">
        <f t="shared" si="10"/>
        <v>0.1785714285714286</v>
      </c>
      <c r="T30" s="182"/>
      <c r="U30" s="182"/>
      <c r="V30" s="182"/>
      <c r="W30" s="182"/>
      <c r="X30" s="182"/>
    </row>
    <row r="31" spans="1:24">
      <c r="A31" s="140" t="s">
        <v>520</v>
      </c>
      <c r="B31" s="140" t="s">
        <v>521</v>
      </c>
      <c r="C31" s="140" t="s">
        <v>522</v>
      </c>
      <c r="D31" s="140" t="s">
        <v>314</v>
      </c>
      <c r="E31" s="140" t="s">
        <v>465</v>
      </c>
      <c r="F31" s="140" t="s">
        <v>524</v>
      </c>
      <c r="G31" s="140">
        <v>90191020</v>
      </c>
      <c r="H31" s="179">
        <f>VLOOKUP(A31,'Amazon Live Products'!E:P,12,0)</f>
        <v>597.80160000000001</v>
      </c>
      <c r="I31" s="180">
        <f t="shared" si="0"/>
        <v>89.670239999999993</v>
      </c>
      <c r="J31" s="484">
        <f t="shared" si="1"/>
        <v>179.34047999999999</v>
      </c>
      <c r="K31" s="490">
        <f t="shared" si="2"/>
        <v>866.81232</v>
      </c>
      <c r="L31" s="484">
        <f t="shared" si="3"/>
        <v>1022.8385376</v>
      </c>
      <c r="M31" s="490">
        <f t="shared" si="4"/>
        <v>179.34048000000001</v>
      </c>
      <c r="N31" s="486">
        <f t="shared" si="5"/>
        <v>0.20689655172413796</v>
      </c>
      <c r="O31" s="487">
        <f t="shared" si="6"/>
        <v>149.4504</v>
      </c>
      <c r="P31" s="488">
        <f t="shared" si="7"/>
        <v>836.9222400000001</v>
      </c>
      <c r="Q31" s="488">
        <f t="shared" si="8"/>
        <v>987.5682432000001</v>
      </c>
      <c r="R31" s="488">
        <f t="shared" si="9"/>
        <v>149.45040000000012</v>
      </c>
      <c r="S31" s="489">
        <f t="shared" si="10"/>
        <v>0.17857142857142869</v>
      </c>
      <c r="T31" s="182"/>
      <c r="U31" s="182"/>
      <c r="V31" s="182"/>
      <c r="W31" s="182"/>
      <c r="X31" s="182"/>
    </row>
    <row r="32" spans="1:24">
      <c r="A32" s="140" t="s">
        <v>525</v>
      </c>
      <c r="B32" s="140" t="s">
        <v>526</v>
      </c>
      <c r="C32" s="140" t="s">
        <v>527</v>
      </c>
      <c r="D32" s="140" t="s">
        <v>314</v>
      </c>
      <c r="E32" s="140" t="s">
        <v>315</v>
      </c>
      <c r="F32" s="140" t="s">
        <v>528</v>
      </c>
      <c r="G32" s="140">
        <v>85098000</v>
      </c>
      <c r="H32" s="179">
        <f>VLOOKUP(A32,'Amazon Live Products'!E:P,12,0)</f>
        <v>338.37724799999995</v>
      </c>
      <c r="I32" s="180">
        <f t="shared" si="0"/>
        <v>50.756587199999991</v>
      </c>
      <c r="J32" s="484">
        <f t="shared" si="1"/>
        <v>101.51317439999998</v>
      </c>
      <c r="K32" s="490">
        <f t="shared" si="2"/>
        <v>490.64700959999993</v>
      </c>
      <c r="L32" s="484">
        <f t="shared" si="3"/>
        <v>578.96347132799986</v>
      </c>
      <c r="M32" s="490">
        <f t="shared" si="4"/>
        <v>101.51317439999994</v>
      </c>
      <c r="N32" s="486">
        <f t="shared" si="5"/>
        <v>0.20689655172413787</v>
      </c>
      <c r="O32" s="487">
        <f t="shared" si="6"/>
        <v>84.594311999999988</v>
      </c>
      <c r="P32" s="488">
        <f t="shared" si="7"/>
        <v>473.72814719999997</v>
      </c>
      <c r="Q32" s="488">
        <f t="shared" si="8"/>
        <v>558.99921369599997</v>
      </c>
      <c r="R32" s="488">
        <f t="shared" si="9"/>
        <v>84.594312000000087</v>
      </c>
      <c r="S32" s="489">
        <f t="shared" si="10"/>
        <v>0.17857142857142874</v>
      </c>
      <c r="T32" s="182"/>
      <c r="U32" s="182"/>
      <c r="V32" s="182"/>
      <c r="W32" s="182"/>
      <c r="X32" s="182"/>
    </row>
    <row r="33" spans="1:24">
      <c r="A33" s="140" t="s">
        <v>529</v>
      </c>
      <c r="B33" s="140" t="s">
        <v>530</v>
      </c>
      <c r="C33" s="140" t="s">
        <v>531</v>
      </c>
      <c r="D33" s="140" t="s">
        <v>314</v>
      </c>
      <c r="E33" s="140" t="s">
        <v>315</v>
      </c>
      <c r="F33" s="140" t="s">
        <v>532</v>
      </c>
      <c r="G33" s="140">
        <v>85098000</v>
      </c>
      <c r="H33" s="179">
        <f>VLOOKUP(A33,'Amazon Live Products'!E:P,12,0)</f>
        <v>344.94768000000005</v>
      </c>
      <c r="I33" s="180">
        <f t="shared" si="0"/>
        <v>51.742152000000004</v>
      </c>
      <c r="J33" s="484">
        <f t="shared" si="1"/>
        <v>103.48430400000001</v>
      </c>
      <c r="K33" s="490">
        <f t="shared" si="2"/>
        <v>500.17413600000003</v>
      </c>
      <c r="L33" s="484">
        <f t="shared" si="3"/>
        <v>590.20548048000001</v>
      </c>
      <c r="M33" s="490">
        <f t="shared" si="4"/>
        <v>103.48430399999998</v>
      </c>
      <c r="N33" s="486">
        <f t="shared" si="5"/>
        <v>0.20689655172413787</v>
      </c>
      <c r="O33" s="487">
        <f t="shared" si="6"/>
        <v>86.236920000000012</v>
      </c>
      <c r="P33" s="488">
        <f t="shared" si="7"/>
        <v>482.92675200000002</v>
      </c>
      <c r="Q33" s="488">
        <f t="shared" si="8"/>
        <v>569.85356735999994</v>
      </c>
      <c r="R33" s="488">
        <f t="shared" si="9"/>
        <v>86.236919999999913</v>
      </c>
      <c r="S33" s="489">
        <f t="shared" si="10"/>
        <v>0.17857142857142841</v>
      </c>
      <c r="T33" s="182"/>
      <c r="U33" s="182"/>
      <c r="V33" s="182"/>
      <c r="W33" s="182"/>
      <c r="X33" s="182"/>
    </row>
    <row r="34" spans="1:24">
      <c r="A34" s="140" t="s">
        <v>533</v>
      </c>
      <c r="B34" s="140" t="s">
        <v>534</v>
      </c>
      <c r="C34" s="140" t="s">
        <v>535</v>
      </c>
      <c r="D34" s="140" t="s">
        <v>234</v>
      </c>
      <c r="E34" s="140" t="s">
        <v>235</v>
      </c>
      <c r="F34" s="140" t="s">
        <v>537</v>
      </c>
      <c r="G34" s="140">
        <v>84521021</v>
      </c>
      <c r="H34" s="179">
        <f>VLOOKUP(A34,'Amazon Live Products'!E:P,12,0)</f>
        <v>344.73225600000001</v>
      </c>
      <c r="I34" s="180">
        <f t="shared" si="0"/>
        <v>51.709838400000002</v>
      </c>
      <c r="J34" s="484">
        <f t="shared" si="1"/>
        <v>103.4196768</v>
      </c>
      <c r="K34" s="490">
        <f t="shared" si="2"/>
        <v>499.86177120000002</v>
      </c>
      <c r="L34" s="484">
        <f t="shared" si="3"/>
        <v>589.83689001599998</v>
      </c>
      <c r="M34" s="490">
        <f t="shared" si="4"/>
        <v>103.41967680000002</v>
      </c>
      <c r="N34" s="486">
        <f t="shared" si="5"/>
        <v>0.20689655172413796</v>
      </c>
      <c r="O34" s="487">
        <f t="shared" si="6"/>
        <v>86.183064000000002</v>
      </c>
      <c r="P34" s="488">
        <f t="shared" si="7"/>
        <v>482.62515840000003</v>
      </c>
      <c r="Q34" s="488">
        <f t="shared" si="8"/>
        <v>569.49768691200006</v>
      </c>
      <c r="R34" s="488">
        <f t="shared" si="9"/>
        <v>86.183064000000087</v>
      </c>
      <c r="S34" s="489">
        <f t="shared" si="10"/>
        <v>0.17857142857142871</v>
      </c>
      <c r="T34" s="182"/>
      <c r="U34" s="182"/>
      <c r="V34" s="182"/>
      <c r="W34" s="182"/>
      <c r="X34" s="182"/>
    </row>
    <row r="35" spans="1:24">
      <c r="A35" s="140" t="s">
        <v>543</v>
      </c>
      <c r="B35" s="140" t="s">
        <v>544</v>
      </c>
      <c r="C35" s="140" t="s">
        <v>545</v>
      </c>
      <c r="D35" s="140" t="s">
        <v>314</v>
      </c>
      <c r="E35" s="140" t="s">
        <v>465</v>
      </c>
      <c r="F35" s="140" t="s">
        <v>547</v>
      </c>
      <c r="G35" s="140">
        <v>90191020</v>
      </c>
      <c r="H35" s="179">
        <f>VLOOKUP(A35,'Amazon Live Products'!E:P,12,0)</f>
        <v>597.80160000000001</v>
      </c>
      <c r="I35" s="180">
        <f t="shared" si="0"/>
        <v>89.670239999999993</v>
      </c>
      <c r="J35" s="484">
        <f t="shared" si="1"/>
        <v>179.34047999999999</v>
      </c>
      <c r="K35" s="490">
        <f t="shared" si="2"/>
        <v>866.81232</v>
      </c>
      <c r="L35" s="484">
        <f t="shared" si="3"/>
        <v>1022.8385376</v>
      </c>
      <c r="M35" s="490">
        <f t="shared" si="4"/>
        <v>179.34048000000001</v>
      </c>
      <c r="N35" s="486">
        <f t="shared" si="5"/>
        <v>0.20689655172413796</v>
      </c>
      <c r="O35" s="487">
        <f t="shared" si="6"/>
        <v>149.4504</v>
      </c>
      <c r="P35" s="488">
        <f t="shared" si="7"/>
        <v>836.9222400000001</v>
      </c>
      <c r="Q35" s="488">
        <f t="shared" si="8"/>
        <v>987.5682432000001</v>
      </c>
      <c r="R35" s="488">
        <f t="shared" si="9"/>
        <v>149.45040000000012</v>
      </c>
      <c r="S35" s="489">
        <f t="shared" si="10"/>
        <v>0.17857142857142869</v>
      </c>
      <c r="T35" s="182"/>
      <c r="U35" s="182"/>
      <c r="V35" s="182"/>
      <c r="W35" s="182"/>
      <c r="X35" s="182"/>
    </row>
    <row r="36" spans="1:24">
      <c r="A36" s="140" t="s">
        <v>557</v>
      </c>
      <c r="B36" s="140" t="s">
        <v>558</v>
      </c>
      <c r="C36" s="140" t="s">
        <v>559</v>
      </c>
      <c r="D36" s="140" t="s">
        <v>304</v>
      </c>
      <c r="E36" s="140" t="s">
        <v>304</v>
      </c>
      <c r="F36" s="140" t="s">
        <v>561</v>
      </c>
      <c r="G36" s="140">
        <v>84212190</v>
      </c>
      <c r="H36" s="179">
        <f>VLOOKUP(A36,'Amazon Live Products'!E:P,12,0)</f>
        <v>437.24340000000001</v>
      </c>
      <c r="I36" s="180">
        <f t="shared" si="0"/>
        <v>65.586510000000004</v>
      </c>
      <c r="J36" s="484">
        <f t="shared" si="1"/>
        <v>131.17302000000001</v>
      </c>
      <c r="K36" s="490">
        <f t="shared" si="2"/>
        <v>634.00293000000011</v>
      </c>
      <c r="L36" s="484">
        <f t="shared" si="3"/>
        <v>748.12345740000012</v>
      </c>
      <c r="M36" s="490">
        <f t="shared" si="4"/>
        <v>131.17302000000009</v>
      </c>
      <c r="N36" s="486">
        <f t="shared" si="5"/>
        <v>0.20689655172413804</v>
      </c>
      <c r="O36" s="487">
        <f t="shared" si="6"/>
        <v>109.31085</v>
      </c>
      <c r="P36" s="488">
        <f t="shared" si="7"/>
        <v>612.14076</v>
      </c>
      <c r="Q36" s="488">
        <f t="shared" si="8"/>
        <v>722.32609679999996</v>
      </c>
      <c r="R36" s="488">
        <f t="shared" si="9"/>
        <v>109.31084999999999</v>
      </c>
      <c r="S36" s="489">
        <f t="shared" si="10"/>
        <v>0.17857142857142855</v>
      </c>
      <c r="T36" s="182"/>
      <c r="U36" s="182"/>
      <c r="V36" s="182"/>
      <c r="W36" s="182"/>
      <c r="X36" s="182"/>
    </row>
    <row r="37" spans="1:24">
      <c r="A37" s="140" t="s">
        <v>562</v>
      </c>
      <c r="B37" s="140" t="s">
        <v>563</v>
      </c>
      <c r="C37" s="140" t="s">
        <v>564</v>
      </c>
      <c r="D37" s="140" t="s">
        <v>314</v>
      </c>
      <c r="E37" s="140" t="s">
        <v>315</v>
      </c>
      <c r="F37" s="140" t="s">
        <v>565</v>
      </c>
      <c r="G37" s="140">
        <v>85098000</v>
      </c>
      <c r="H37" s="179">
        <f>VLOOKUP(A37,'Amazon Live Products'!E:P,12,0)</f>
        <v>565.05715200000009</v>
      </c>
      <c r="I37" s="180">
        <f t="shared" si="0"/>
        <v>84.75857280000001</v>
      </c>
      <c r="J37" s="484">
        <f t="shared" si="1"/>
        <v>169.51714560000002</v>
      </c>
      <c r="K37" s="490">
        <f t="shared" si="2"/>
        <v>819.33287040000016</v>
      </c>
      <c r="L37" s="484">
        <f t="shared" si="3"/>
        <v>966.81278707200011</v>
      </c>
      <c r="M37" s="490">
        <f t="shared" si="4"/>
        <v>169.51714560000005</v>
      </c>
      <c r="N37" s="486">
        <f t="shared" si="5"/>
        <v>0.20689655172413796</v>
      </c>
      <c r="O37" s="487">
        <f t="shared" si="6"/>
        <v>141.26428800000002</v>
      </c>
      <c r="P37" s="488">
        <f t="shared" si="7"/>
        <v>791.08001280000008</v>
      </c>
      <c r="Q37" s="488">
        <f t="shared" si="8"/>
        <v>933.47441510400006</v>
      </c>
      <c r="R37" s="488">
        <f t="shared" si="9"/>
        <v>141.26428799999996</v>
      </c>
      <c r="S37" s="489">
        <f t="shared" si="10"/>
        <v>0.17857142857142852</v>
      </c>
      <c r="T37" s="182"/>
      <c r="U37" s="182"/>
      <c r="V37" s="182"/>
      <c r="W37" s="182"/>
      <c r="X37" s="182"/>
    </row>
    <row r="38" spans="1:24">
      <c r="A38" s="140" t="s">
        <v>570</v>
      </c>
      <c r="B38" s="140" t="s">
        <v>571</v>
      </c>
      <c r="C38" s="140" t="s">
        <v>572</v>
      </c>
      <c r="D38" s="140" t="s">
        <v>314</v>
      </c>
      <c r="E38" s="140" t="s">
        <v>437</v>
      </c>
      <c r="F38" s="140" t="s">
        <v>574</v>
      </c>
      <c r="G38" s="140">
        <v>85437093</v>
      </c>
      <c r="H38" s="179">
        <f>VLOOKUP(A38,'Amazon Live Products'!E:P,12,0)</f>
        <v>728.22288000000015</v>
      </c>
      <c r="I38" s="180">
        <f t="shared" si="0"/>
        <v>109.23343200000002</v>
      </c>
      <c r="J38" s="484">
        <f t="shared" si="1"/>
        <v>218.46686400000004</v>
      </c>
      <c r="K38" s="490">
        <f t="shared" si="2"/>
        <v>1055.9231760000002</v>
      </c>
      <c r="L38" s="484">
        <f t="shared" si="3"/>
        <v>1245.9893476800003</v>
      </c>
      <c r="M38" s="490">
        <f t="shared" si="4"/>
        <v>218.46686400000007</v>
      </c>
      <c r="N38" s="486">
        <f t="shared" si="5"/>
        <v>0.20689655172413796</v>
      </c>
      <c r="O38" s="487">
        <f t="shared" si="6"/>
        <v>182.05572000000004</v>
      </c>
      <c r="P38" s="488">
        <f t="shared" si="7"/>
        <v>1019.5120320000002</v>
      </c>
      <c r="Q38" s="488">
        <f t="shared" si="8"/>
        <v>1203.0241977600001</v>
      </c>
      <c r="R38" s="488">
        <f t="shared" si="9"/>
        <v>182.05571999999992</v>
      </c>
      <c r="S38" s="489">
        <f t="shared" si="10"/>
        <v>0.17857142857142849</v>
      </c>
      <c r="T38" s="182"/>
      <c r="U38" s="182"/>
      <c r="V38" s="182"/>
      <c r="W38" s="182"/>
      <c r="X38" s="182"/>
    </row>
    <row r="39" spans="1:24">
      <c r="A39" s="140" t="s">
        <v>575</v>
      </c>
      <c r="B39" s="140" t="s">
        <v>576</v>
      </c>
      <c r="C39" s="140" t="s">
        <v>577</v>
      </c>
      <c r="D39" s="140" t="s">
        <v>314</v>
      </c>
      <c r="E39" s="140" t="s">
        <v>465</v>
      </c>
      <c r="F39" s="140" t="s">
        <v>579</v>
      </c>
      <c r="G39" s="140">
        <v>85163200</v>
      </c>
      <c r="H39" s="179">
        <f>VLOOKUP(A39,'Amazon Live Products'!E:P,12,0)</f>
        <v>694.27564800000005</v>
      </c>
      <c r="I39" s="180">
        <f t="shared" si="0"/>
        <v>104.1413472</v>
      </c>
      <c r="J39" s="484">
        <f t="shared" si="1"/>
        <v>208.2826944</v>
      </c>
      <c r="K39" s="490">
        <f t="shared" si="2"/>
        <v>1006.6996896000001</v>
      </c>
      <c r="L39" s="484">
        <f t="shared" si="3"/>
        <v>1187.9056337280001</v>
      </c>
      <c r="M39" s="490">
        <f t="shared" si="4"/>
        <v>208.28269440000014</v>
      </c>
      <c r="N39" s="486">
        <f t="shared" si="5"/>
        <v>0.20689655172413804</v>
      </c>
      <c r="O39" s="487">
        <f t="shared" si="6"/>
        <v>173.56891200000001</v>
      </c>
      <c r="P39" s="488">
        <f t="shared" si="7"/>
        <v>971.98590720000016</v>
      </c>
      <c r="Q39" s="488">
        <f t="shared" si="8"/>
        <v>1146.9433704960002</v>
      </c>
      <c r="R39" s="488">
        <f t="shared" si="9"/>
        <v>173.56891200000013</v>
      </c>
      <c r="S39" s="489">
        <f t="shared" si="10"/>
        <v>0.17857142857142866</v>
      </c>
      <c r="T39" s="182"/>
      <c r="U39" s="182"/>
      <c r="V39" s="182"/>
      <c r="W39" s="182"/>
      <c r="X39" s="182"/>
    </row>
    <row r="40" spans="1:24">
      <c r="A40" s="140" t="s">
        <v>580</v>
      </c>
      <c r="B40" s="140" t="s">
        <v>581</v>
      </c>
      <c r="C40" s="140" t="s">
        <v>582</v>
      </c>
      <c r="D40" s="140" t="s">
        <v>314</v>
      </c>
      <c r="E40" s="140" t="s">
        <v>465</v>
      </c>
      <c r="F40" s="140" t="s">
        <v>583</v>
      </c>
      <c r="G40" s="140">
        <v>85163200</v>
      </c>
      <c r="H40" s="179">
        <f>VLOOKUP(A40,'Amazon Live Products'!E:P,12,0)</f>
        <v>809.25820799999997</v>
      </c>
      <c r="I40" s="180">
        <f t="shared" si="0"/>
        <v>121.3887312</v>
      </c>
      <c r="J40" s="484">
        <f t="shared" si="1"/>
        <v>242.77746239999999</v>
      </c>
      <c r="K40" s="490">
        <f t="shared" si="2"/>
        <v>1173.4244015999998</v>
      </c>
      <c r="L40" s="484">
        <f t="shared" si="3"/>
        <v>1384.6407938879997</v>
      </c>
      <c r="M40" s="490">
        <f t="shared" si="4"/>
        <v>242.77746239999982</v>
      </c>
      <c r="N40" s="486">
        <f t="shared" si="5"/>
        <v>0.20689655172413782</v>
      </c>
      <c r="O40" s="487">
        <f t="shared" si="6"/>
        <v>202.31455199999999</v>
      </c>
      <c r="P40" s="488">
        <f t="shared" si="7"/>
        <v>1132.9614912</v>
      </c>
      <c r="Q40" s="488">
        <f t="shared" si="8"/>
        <v>1336.8945596159999</v>
      </c>
      <c r="R40" s="488">
        <f t="shared" si="9"/>
        <v>202.31455199999999</v>
      </c>
      <c r="S40" s="489">
        <f t="shared" si="10"/>
        <v>0.17857142857142858</v>
      </c>
      <c r="T40" s="182"/>
      <c r="U40" s="182"/>
      <c r="V40" s="182"/>
      <c r="W40" s="182"/>
      <c r="X40" s="182"/>
    </row>
    <row r="41" spans="1:24">
      <c r="A41" s="140" t="s">
        <v>584</v>
      </c>
      <c r="B41" s="140" t="s">
        <v>585</v>
      </c>
      <c r="C41" s="140" t="s">
        <v>586</v>
      </c>
      <c r="D41" s="140" t="s">
        <v>234</v>
      </c>
      <c r="E41" s="140" t="s">
        <v>249</v>
      </c>
      <c r="F41" s="140" t="s">
        <v>945</v>
      </c>
      <c r="G41" s="140">
        <v>85086000</v>
      </c>
      <c r="H41" s="179">
        <f>VLOOKUP(A41,'Amazon Live Products'!E:P,12,0)</f>
        <v>1125.8596800000003</v>
      </c>
      <c r="I41" s="180">
        <f t="shared" si="0"/>
        <v>168.87895200000003</v>
      </c>
      <c r="J41" s="484">
        <f t="shared" si="1"/>
        <v>337.75790400000005</v>
      </c>
      <c r="K41" s="490">
        <f t="shared" si="2"/>
        <v>1632.4965360000003</v>
      </c>
      <c r="L41" s="484">
        <f t="shared" si="3"/>
        <v>1926.3459124800004</v>
      </c>
      <c r="M41" s="490">
        <f t="shared" si="4"/>
        <v>337.75790400000005</v>
      </c>
      <c r="N41" s="486">
        <f t="shared" si="5"/>
        <v>0.20689655172413793</v>
      </c>
      <c r="O41" s="487">
        <f t="shared" si="6"/>
        <v>281.46492000000006</v>
      </c>
      <c r="P41" s="488">
        <f t="shared" si="7"/>
        <v>1576.2035520000004</v>
      </c>
      <c r="Q41" s="488">
        <f t="shared" si="8"/>
        <v>1859.9201913600004</v>
      </c>
      <c r="R41" s="488">
        <f t="shared" si="9"/>
        <v>281.46492000000012</v>
      </c>
      <c r="S41" s="489">
        <f t="shared" si="10"/>
        <v>0.1785714285714286</v>
      </c>
      <c r="T41" s="182"/>
      <c r="U41" s="182"/>
      <c r="V41" s="182"/>
      <c r="W41" s="182"/>
      <c r="X41" s="182"/>
    </row>
    <row r="42" spans="1:24">
      <c r="A42" s="140" t="s">
        <v>589</v>
      </c>
      <c r="B42" s="140" t="s">
        <v>590</v>
      </c>
      <c r="C42" s="140" t="s">
        <v>591</v>
      </c>
      <c r="D42" s="140" t="s">
        <v>314</v>
      </c>
      <c r="E42" s="140" t="s">
        <v>437</v>
      </c>
      <c r="F42" s="140" t="s">
        <v>593</v>
      </c>
      <c r="G42" s="140">
        <v>85437093</v>
      </c>
      <c r="H42" s="179">
        <f>VLOOKUP(A42,'Amazon Live Products'!E:P,12,0)</f>
        <v>528.05808000000002</v>
      </c>
      <c r="I42" s="180">
        <f t="shared" si="0"/>
        <v>79.208712000000006</v>
      </c>
      <c r="J42" s="484">
        <f t="shared" si="1"/>
        <v>158.41742400000001</v>
      </c>
      <c r="K42" s="490">
        <f t="shared" si="2"/>
        <v>765.68421599999999</v>
      </c>
      <c r="L42" s="484">
        <f t="shared" si="3"/>
        <v>903.50737487999993</v>
      </c>
      <c r="M42" s="490">
        <f t="shared" si="4"/>
        <v>158.41742399999998</v>
      </c>
      <c r="N42" s="486">
        <f t="shared" si="5"/>
        <v>0.2068965517241379</v>
      </c>
      <c r="O42" s="487">
        <f t="shared" si="6"/>
        <v>132.01452</v>
      </c>
      <c r="P42" s="488">
        <f t="shared" si="7"/>
        <v>739.28131200000007</v>
      </c>
      <c r="Q42" s="488">
        <f t="shared" si="8"/>
        <v>872.35194816000001</v>
      </c>
      <c r="R42" s="488">
        <f t="shared" si="9"/>
        <v>132.01452000000006</v>
      </c>
      <c r="S42" s="489">
        <f t="shared" si="10"/>
        <v>0.17857142857142863</v>
      </c>
      <c r="T42" s="182"/>
      <c r="U42" s="182"/>
      <c r="V42" s="182"/>
      <c r="W42" s="182"/>
      <c r="X42" s="182"/>
    </row>
    <row r="43" spans="1:24">
      <c r="A43" s="140" t="s">
        <v>594</v>
      </c>
      <c r="B43" s="140" t="s">
        <v>595</v>
      </c>
      <c r="C43" s="140" t="s">
        <v>596</v>
      </c>
      <c r="D43" s="140" t="s">
        <v>314</v>
      </c>
      <c r="E43" s="140" t="s">
        <v>437</v>
      </c>
      <c r="F43" s="140" t="s">
        <v>598</v>
      </c>
      <c r="G43" s="140">
        <v>85437099</v>
      </c>
      <c r="H43" s="179">
        <f>VLOOKUP(A43,'Amazon Live Products'!E:P,12,0)</f>
        <v>845.33723999999995</v>
      </c>
      <c r="I43" s="180">
        <f t="shared" si="0"/>
        <v>126.80058599999998</v>
      </c>
      <c r="J43" s="484">
        <f t="shared" si="1"/>
        <v>253.60117199999996</v>
      </c>
      <c r="K43" s="490">
        <f t="shared" si="2"/>
        <v>1225.7389979999998</v>
      </c>
      <c r="L43" s="484">
        <f t="shared" si="3"/>
        <v>1446.3720176399997</v>
      </c>
      <c r="M43" s="490">
        <f t="shared" si="4"/>
        <v>253.60117199999988</v>
      </c>
      <c r="N43" s="486">
        <f t="shared" si="5"/>
        <v>0.20689655172413787</v>
      </c>
      <c r="O43" s="487">
        <f t="shared" si="6"/>
        <v>211.33430999999999</v>
      </c>
      <c r="P43" s="488">
        <f t="shared" si="7"/>
        <v>1183.4721359999999</v>
      </c>
      <c r="Q43" s="488">
        <f t="shared" si="8"/>
        <v>1396.4971204799997</v>
      </c>
      <c r="R43" s="488">
        <f t="shared" si="9"/>
        <v>211.33430999999993</v>
      </c>
      <c r="S43" s="489">
        <f t="shared" si="10"/>
        <v>0.17857142857142852</v>
      </c>
      <c r="T43" s="182"/>
      <c r="U43" s="182"/>
      <c r="V43" s="182"/>
      <c r="W43" s="182"/>
      <c r="X43" s="182"/>
    </row>
    <row r="44" spans="1:24">
      <c r="A44" s="140" t="s">
        <v>599</v>
      </c>
      <c r="B44" s="140" t="s">
        <v>600</v>
      </c>
      <c r="C44" s="140" t="s">
        <v>601</v>
      </c>
      <c r="D44" s="140" t="s">
        <v>234</v>
      </c>
      <c r="E44" s="140" t="s">
        <v>249</v>
      </c>
      <c r="F44" s="140" t="s">
        <v>602</v>
      </c>
      <c r="G44" s="140">
        <v>85086000</v>
      </c>
      <c r="H44" s="179">
        <f>VLOOKUP(A44,'Amazon Live Products'!E:P,12,0)</f>
        <v>826.95888000000014</v>
      </c>
      <c r="I44" s="180">
        <f t="shared" si="0"/>
        <v>124.04383200000001</v>
      </c>
      <c r="J44" s="484">
        <f t="shared" si="1"/>
        <v>248.08766400000002</v>
      </c>
      <c r="K44" s="490">
        <f t="shared" si="2"/>
        <v>1199.0903760000001</v>
      </c>
      <c r="L44" s="484">
        <f t="shared" si="3"/>
        <v>1414.9266436800001</v>
      </c>
      <c r="M44" s="490">
        <f t="shared" si="4"/>
        <v>248.08766399999996</v>
      </c>
      <c r="N44" s="486">
        <f t="shared" si="5"/>
        <v>0.20689655172413787</v>
      </c>
      <c r="O44" s="487">
        <f t="shared" si="6"/>
        <v>206.73972000000003</v>
      </c>
      <c r="P44" s="488">
        <f t="shared" si="7"/>
        <v>1157.7424320000002</v>
      </c>
      <c r="Q44" s="488">
        <f t="shared" si="8"/>
        <v>1366.1360697600003</v>
      </c>
      <c r="R44" s="488">
        <f t="shared" si="9"/>
        <v>206.73972000000009</v>
      </c>
      <c r="S44" s="489">
        <f t="shared" si="10"/>
        <v>0.1785714285714286</v>
      </c>
      <c r="T44" s="182"/>
      <c r="U44" s="182"/>
      <c r="V44" s="182"/>
      <c r="W44" s="182"/>
      <c r="X44" s="182"/>
    </row>
    <row r="45" spans="1:24">
      <c r="A45" s="140" t="s">
        <v>603</v>
      </c>
      <c r="B45" s="140" t="s">
        <v>937</v>
      </c>
      <c r="C45" s="140" t="s">
        <v>605</v>
      </c>
      <c r="D45" s="140" t="s">
        <v>234</v>
      </c>
      <c r="E45" s="140" t="s">
        <v>249</v>
      </c>
      <c r="F45" s="140" t="s">
        <v>607</v>
      </c>
      <c r="G45" s="140">
        <v>85098000</v>
      </c>
      <c r="H45" s="179">
        <f>VLOOKUP(A45,'Amazon Live Products'!E:P,12,0)</f>
        <v>1017.3218879999999</v>
      </c>
      <c r="I45" s="180">
        <f t="shared" si="0"/>
        <v>152.5982832</v>
      </c>
      <c r="J45" s="484">
        <f t="shared" si="1"/>
        <v>305.19656639999999</v>
      </c>
      <c r="K45" s="490">
        <f t="shared" si="2"/>
        <v>1475.1167375999999</v>
      </c>
      <c r="L45" s="484">
        <f t="shared" si="3"/>
        <v>1740.6377503679998</v>
      </c>
      <c r="M45" s="490">
        <f t="shared" si="4"/>
        <v>305.19656639999994</v>
      </c>
      <c r="N45" s="486">
        <f t="shared" si="5"/>
        <v>0.2068965517241379</v>
      </c>
      <c r="O45" s="487">
        <f t="shared" si="6"/>
        <v>254.33047199999999</v>
      </c>
      <c r="P45" s="488">
        <f t="shared" si="7"/>
        <v>1424.2506432</v>
      </c>
      <c r="Q45" s="488">
        <f t="shared" si="8"/>
        <v>1680.6157589759998</v>
      </c>
      <c r="R45" s="488">
        <f t="shared" si="9"/>
        <v>254.33047200000007</v>
      </c>
      <c r="S45" s="489">
        <f t="shared" si="10"/>
        <v>0.17857142857142863</v>
      </c>
      <c r="T45" s="182"/>
      <c r="U45" s="182"/>
      <c r="V45" s="182"/>
      <c r="W45" s="182"/>
      <c r="X45" s="182"/>
    </row>
    <row r="46" spans="1:24">
      <c r="A46" s="140" t="s">
        <v>608</v>
      </c>
      <c r="B46" s="140" t="s">
        <v>609</v>
      </c>
      <c r="C46" s="140" t="s">
        <v>610</v>
      </c>
      <c r="D46" s="140" t="s">
        <v>234</v>
      </c>
      <c r="E46" s="140" t="s">
        <v>249</v>
      </c>
      <c r="F46" s="140" t="s">
        <v>612</v>
      </c>
      <c r="G46" s="140">
        <v>85086000</v>
      </c>
      <c r="H46" s="179">
        <f>VLOOKUP(A46,'Amazon Live Products'!E:P,12,0)</f>
        <v>1178.297472</v>
      </c>
      <c r="I46" s="180">
        <f t="shared" si="0"/>
        <v>176.74462079999998</v>
      </c>
      <c r="J46" s="484">
        <f t="shared" si="1"/>
        <v>353.48924159999996</v>
      </c>
      <c r="K46" s="490">
        <f t="shared" si="2"/>
        <v>1708.5313343999999</v>
      </c>
      <c r="L46" s="484">
        <f t="shared" si="3"/>
        <v>2016.0669745919997</v>
      </c>
      <c r="M46" s="490">
        <f t="shared" si="4"/>
        <v>353.4892415999999</v>
      </c>
      <c r="N46" s="486">
        <f t="shared" si="5"/>
        <v>0.2068965517241379</v>
      </c>
      <c r="O46" s="487">
        <f t="shared" si="6"/>
        <v>294.57436799999999</v>
      </c>
      <c r="P46" s="488">
        <f t="shared" si="7"/>
        <v>1649.6164607999999</v>
      </c>
      <c r="Q46" s="488">
        <f t="shared" si="8"/>
        <v>1946.5474237439998</v>
      </c>
      <c r="R46" s="488">
        <f t="shared" si="9"/>
        <v>294.57436799999994</v>
      </c>
      <c r="S46" s="489">
        <f t="shared" si="10"/>
        <v>0.17857142857142855</v>
      </c>
      <c r="T46" s="182"/>
      <c r="U46" s="182"/>
      <c r="V46" s="182"/>
      <c r="W46" s="182"/>
      <c r="X46" s="182"/>
    </row>
    <row r="47" spans="1:24">
      <c r="A47" s="140" t="s">
        <v>615</v>
      </c>
      <c r="B47" s="140" t="s">
        <v>616</v>
      </c>
      <c r="C47" s="140" t="s">
        <v>617</v>
      </c>
      <c r="D47" s="140" t="s">
        <v>314</v>
      </c>
      <c r="E47" s="140" t="s">
        <v>618</v>
      </c>
      <c r="F47" s="140" t="s">
        <v>620</v>
      </c>
      <c r="G47" s="140">
        <v>90191020</v>
      </c>
      <c r="H47" s="179">
        <f>VLOOKUP(A47,'Amazon Live Products'!E:P,12,0)</f>
        <v>468.27792000000011</v>
      </c>
      <c r="I47" s="180">
        <f t="shared" si="0"/>
        <v>70.241688000000011</v>
      </c>
      <c r="J47" s="484">
        <f t="shared" si="1"/>
        <v>140.48337600000002</v>
      </c>
      <c r="K47" s="490">
        <f t="shared" si="2"/>
        <v>679.00298400000008</v>
      </c>
      <c r="L47" s="484">
        <f t="shared" si="3"/>
        <v>801.2235211200001</v>
      </c>
      <c r="M47" s="490">
        <f t="shared" si="4"/>
        <v>140.48337599999996</v>
      </c>
      <c r="N47" s="486">
        <f t="shared" si="5"/>
        <v>0.20689655172413784</v>
      </c>
      <c r="O47" s="487">
        <f t="shared" si="6"/>
        <v>117.06948000000003</v>
      </c>
      <c r="P47" s="488">
        <f t="shared" si="7"/>
        <v>655.58908800000006</v>
      </c>
      <c r="Q47" s="488">
        <f t="shared" si="8"/>
        <v>773.59512384000004</v>
      </c>
      <c r="R47" s="488">
        <f t="shared" si="9"/>
        <v>117.06947999999994</v>
      </c>
      <c r="S47" s="489">
        <f t="shared" si="10"/>
        <v>0.17857142857142846</v>
      </c>
      <c r="T47" s="182"/>
      <c r="U47" s="182"/>
      <c r="V47" s="182"/>
      <c r="W47" s="182"/>
      <c r="X47" s="182"/>
    </row>
    <row r="48" spans="1:24">
      <c r="A48" s="140" t="s">
        <v>621</v>
      </c>
      <c r="B48" s="140" t="s">
        <v>622</v>
      </c>
      <c r="C48" s="140" t="s">
        <v>623</v>
      </c>
      <c r="D48" s="140" t="s">
        <v>314</v>
      </c>
      <c r="E48" s="140" t="s">
        <v>618</v>
      </c>
      <c r="F48" s="140" t="s">
        <v>624</v>
      </c>
      <c r="G48" s="140">
        <v>90191020</v>
      </c>
      <c r="H48" s="179">
        <f>VLOOKUP(A48,'Amazon Live Products'!E:P,12,0)</f>
        <v>468.27792000000011</v>
      </c>
      <c r="I48" s="180">
        <f t="shared" si="0"/>
        <v>70.241688000000011</v>
      </c>
      <c r="J48" s="484">
        <f t="shared" si="1"/>
        <v>140.48337600000002</v>
      </c>
      <c r="K48" s="490">
        <f t="shared" si="2"/>
        <v>679.00298400000008</v>
      </c>
      <c r="L48" s="484">
        <f t="shared" si="3"/>
        <v>801.2235211200001</v>
      </c>
      <c r="M48" s="490">
        <f t="shared" si="4"/>
        <v>140.48337599999996</v>
      </c>
      <c r="N48" s="486">
        <f t="shared" si="5"/>
        <v>0.20689655172413784</v>
      </c>
      <c r="O48" s="487">
        <f t="shared" si="6"/>
        <v>117.06948000000003</v>
      </c>
      <c r="P48" s="488">
        <f t="shared" si="7"/>
        <v>655.58908800000006</v>
      </c>
      <c r="Q48" s="488">
        <f t="shared" si="8"/>
        <v>773.59512384000004</v>
      </c>
      <c r="R48" s="488">
        <f t="shared" si="9"/>
        <v>117.06947999999994</v>
      </c>
      <c r="S48" s="489">
        <f t="shared" si="10"/>
        <v>0.17857142857142846</v>
      </c>
      <c r="T48" s="182"/>
      <c r="U48" s="182"/>
      <c r="V48" s="182"/>
      <c r="W48" s="182"/>
      <c r="X48" s="182"/>
    </row>
    <row r="49" spans="1:24">
      <c r="A49" s="140" t="s">
        <v>625</v>
      </c>
      <c r="B49" s="140" t="s">
        <v>626</v>
      </c>
      <c r="C49" s="140" t="s">
        <v>627</v>
      </c>
      <c r="D49" s="140" t="s">
        <v>628</v>
      </c>
      <c r="E49" s="140" t="s">
        <v>629</v>
      </c>
      <c r="F49" s="140" t="s">
        <v>631</v>
      </c>
      <c r="G49" s="140">
        <v>84148090</v>
      </c>
      <c r="H49" s="179">
        <f>VLOOKUP(A49,'Amazon Live Products'!E:P,12,0)</f>
        <v>1039.6676399999999</v>
      </c>
      <c r="I49" s="180">
        <f t="shared" si="0"/>
        <v>155.95014599999999</v>
      </c>
      <c r="J49" s="484">
        <f t="shared" si="1"/>
        <v>311.90029199999998</v>
      </c>
      <c r="K49" s="490">
        <f t="shared" si="2"/>
        <v>1507.5180779999998</v>
      </c>
      <c r="L49" s="484">
        <f t="shared" si="3"/>
        <v>1778.8713320399997</v>
      </c>
      <c r="M49" s="490">
        <f t="shared" si="4"/>
        <v>311.90029199999992</v>
      </c>
      <c r="N49" s="486">
        <f t="shared" si="5"/>
        <v>0.2068965517241379</v>
      </c>
      <c r="O49" s="487">
        <f t="shared" si="6"/>
        <v>259.91690999999997</v>
      </c>
      <c r="P49" s="488">
        <f t="shared" si="7"/>
        <v>1455.5346959999997</v>
      </c>
      <c r="Q49" s="488">
        <f t="shared" si="8"/>
        <v>1717.5309412799995</v>
      </c>
      <c r="R49" s="488">
        <f t="shared" si="9"/>
        <v>259.9169099999998</v>
      </c>
      <c r="S49" s="489">
        <f t="shared" si="10"/>
        <v>0.17857142857142846</v>
      </c>
      <c r="T49" s="182"/>
      <c r="U49" s="182"/>
      <c r="V49" s="182"/>
      <c r="W49" s="182"/>
      <c r="X49" s="182"/>
    </row>
    <row r="50" spans="1:24">
      <c r="A50" s="140" t="s">
        <v>632</v>
      </c>
      <c r="B50" s="140" t="s">
        <v>633</v>
      </c>
      <c r="C50" s="140" t="s">
        <v>634</v>
      </c>
      <c r="D50" s="140" t="s">
        <v>314</v>
      </c>
      <c r="E50" s="140" t="s">
        <v>444</v>
      </c>
      <c r="F50" s="140" t="s">
        <v>636</v>
      </c>
      <c r="G50" s="140">
        <v>85101000</v>
      </c>
      <c r="H50" s="179">
        <f>VLOOKUP(A50,'Amazon Live Products'!E:P,12,0)</f>
        <v>405.17664000000002</v>
      </c>
      <c r="I50" s="180">
        <f t="shared" si="0"/>
        <v>60.776496000000002</v>
      </c>
      <c r="J50" s="484">
        <f t="shared" si="1"/>
        <v>121.552992</v>
      </c>
      <c r="K50" s="490">
        <f t="shared" si="2"/>
        <v>587.50612799999999</v>
      </c>
      <c r="L50" s="484">
        <f t="shared" si="3"/>
        <v>693.25723103999997</v>
      </c>
      <c r="M50" s="490">
        <f t="shared" si="4"/>
        <v>121.55299199999996</v>
      </c>
      <c r="N50" s="486">
        <f t="shared" si="5"/>
        <v>0.20689655172413787</v>
      </c>
      <c r="O50" s="487">
        <f t="shared" si="6"/>
        <v>101.29416000000001</v>
      </c>
      <c r="P50" s="488">
        <f t="shared" si="7"/>
        <v>567.24729600000001</v>
      </c>
      <c r="Q50" s="488">
        <f t="shared" si="8"/>
        <v>669.35180928</v>
      </c>
      <c r="R50" s="488">
        <f t="shared" si="9"/>
        <v>101.29415999999998</v>
      </c>
      <c r="S50" s="489">
        <f t="shared" si="10"/>
        <v>0.17857142857142852</v>
      </c>
      <c r="T50" s="182"/>
      <c r="U50" s="182"/>
      <c r="V50" s="182"/>
      <c r="W50" s="182"/>
      <c r="X50" s="182"/>
    </row>
    <row r="51" spans="1:24">
      <c r="A51" s="140" t="s">
        <v>947</v>
      </c>
      <c r="B51" s="140" t="s">
        <v>938</v>
      </c>
      <c r="C51" s="140" t="s">
        <v>639</v>
      </c>
      <c r="D51" s="140" t="s">
        <v>249</v>
      </c>
      <c r="E51" s="140"/>
      <c r="F51" s="140" t="s">
        <v>948</v>
      </c>
      <c r="G51" s="140">
        <v>85098000</v>
      </c>
      <c r="H51" s="179" t="e">
        <f>VLOOKUP(A51,'Amazon Live Products'!E:P,12,0)</f>
        <v>#N/A</v>
      </c>
      <c r="I51" s="180" t="e">
        <f t="shared" si="0"/>
        <v>#N/A</v>
      </c>
      <c r="J51" s="484" t="e">
        <f t="shared" si="1"/>
        <v>#N/A</v>
      </c>
      <c r="K51" s="485" t="e">
        <f t="shared" si="2"/>
        <v>#N/A</v>
      </c>
      <c r="L51" s="484" t="e">
        <f t="shared" si="3"/>
        <v>#N/A</v>
      </c>
      <c r="M51" s="485" t="e">
        <f t="shared" si="4"/>
        <v>#N/A</v>
      </c>
      <c r="N51" s="486" t="e">
        <f t="shared" si="5"/>
        <v>#N/A</v>
      </c>
      <c r="O51" s="487" t="e">
        <f t="shared" si="6"/>
        <v>#N/A</v>
      </c>
      <c r="P51" s="488" t="e">
        <f t="shared" si="7"/>
        <v>#N/A</v>
      </c>
      <c r="Q51" s="488" t="e">
        <f t="shared" si="8"/>
        <v>#N/A</v>
      </c>
      <c r="R51" s="488" t="e">
        <f t="shared" si="9"/>
        <v>#N/A</v>
      </c>
      <c r="S51" s="489" t="e">
        <f t="shared" si="10"/>
        <v>#N/A</v>
      </c>
      <c r="T51" s="182"/>
      <c r="U51" s="182"/>
      <c r="V51" s="182"/>
      <c r="W51" s="182"/>
      <c r="X51" s="182"/>
    </row>
    <row r="52" spans="1:24">
      <c r="A52" s="140" t="s">
        <v>642</v>
      </c>
      <c r="B52" s="140" t="s">
        <v>643</v>
      </c>
      <c r="C52" s="140" t="s">
        <v>644</v>
      </c>
      <c r="D52" s="140" t="s">
        <v>314</v>
      </c>
      <c r="E52" s="140" t="s">
        <v>437</v>
      </c>
      <c r="F52" s="140" t="s">
        <v>645</v>
      </c>
      <c r="G52" s="140">
        <v>85437093</v>
      </c>
      <c r="H52" s="179">
        <f>VLOOKUP(A52,'Amazon Live Products'!E:P,12,0)</f>
        <v>498.16799999999995</v>
      </c>
      <c r="I52" s="180">
        <f t="shared" si="0"/>
        <v>74.725199999999987</v>
      </c>
      <c r="J52" s="484">
        <f t="shared" si="1"/>
        <v>149.45039999999997</v>
      </c>
      <c r="K52" s="490">
        <f t="shared" si="2"/>
        <v>722.34359999999992</v>
      </c>
      <c r="L52" s="484">
        <f t="shared" si="3"/>
        <v>852.3654479999999</v>
      </c>
      <c r="M52" s="490">
        <f t="shared" si="4"/>
        <v>149.4504</v>
      </c>
      <c r="N52" s="486">
        <f t="shared" si="5"/>
        <v>0.20689655172413796</v>
      </c>
      <c r="O52" s="487">
        <f t="shared" si="6"/>
        <v>124.54199999999999</v>
      </c>
      <c r="P52" s="488">
        <f t="shared" si="7"/>
        <v>697.43520000000001</v>
      </c>
      <c r="Q52" s="488">
        <f t="shared" si="8"/>
        <v>822.97353599999997</v>
      </c>
      <c r="R52" s="488">
        <f t="shared" si="9"/>
        <v>124.54200000000007</v>
      </c>
      <c r="S52" s="489">
        <f t="shared" si="10"/>
        <v>0.17857142857142869</v>
      </c>
      <c r="T52" s="182"/>
      <c r="U52" s="182"/>
      <c r="V52" s="182"/>
      <c r="W52" s="182"/>
      <c r="X52" s="182"/>
    </row>
    <row r="53" spans="1:24">
      <c r="A53" s="140" t="s">
        <v>646</v>
      </c>
      <c r="B53" s="140" t="s">
        <v>647</v>
      </c>
      <c r="C53" s="140" t="s">
        <v>648</v>
      </c>
      <c r="D53" s="140" t="s">
        <v>628</v>
      </c>
      <c r="E53" s="140" t="s">
        <v>629</v>
      </c>
      <c r="F53" s="140" t="s">
        <v>949</v>
      </c>
      <c r="G53" s="140">
        <v>84148090</v>
      </c>
      <c r="H53" s="179">
        <f>VLOOKUP(A53,'Amazon Live Products'!E:P,12,0)</f>
        <v>680.15639999999996</v>
      </c>
      <c r="I53" s="180">
        <f t="shared" si="0"/>
        <v>102.02345999999999</v>
      </c>
      <c r="J53" s="484">
        <f t="shared" si="1"/>
        <v>204.04691999999997</v>
      </c>
      <c r="K53" s="490">
        <f t="shared" si="2"/>
        <v>986.22677999999996</v>
      </c>
      <c r="L53" s="484">
        <f t="shared" si="3"/>
        <v>1163.7476003999998</v>
      </c>
      <c r="M53" s="490">
        <f t="shared" si="4"/>
        <v>204.04691999999989</v>
      </c>
      <c r="N53" s="486">
        <f t="shared" si="5"/>
        <v>0.20689655172413784</v>
      </c>
      <c r="O53" s="487">
        <f t="shared" si="6"/>
        <v>170.03909999999999</v>
      </c>
      <c r="P53" s="488">
        <f t="shared" si="7"/>
        <v>952.21895999999992</v>
      </c>
      <c r="Q53" s="488">
        <f t="shared" si="8"/>
        <v>1123.6183727999999</v>
      </c>
      <c r="R53" s="488">
        <f t="shared" si="9"/>
        <v>170.03909999999996</v>
      </c>
      <c r="S53" s="489">
        <f t="shared" si="10"/>
        <v>0.17857142857142855</v>
      </c>
      <c r="T53" s="182"/>
      <c r="U53" s="182"/>
      <c r="V53" s="182"/>
      <c r="W53" s="182"/>
      <c r="X53" s="182"/>
    </row>
    <row r="54" spans="1:24">
      <c r="A54" s="140" t="s">
        <v>651</v>
      </c>
      <c r="B54" s="140" t="s">
        <v>652</v>
      </c>
      <c r="C54" s="140" t="s">
        <v>653</v>
      </c>
      <c r="D54" s="140" t="s">
        <v>628</v>
      </c>
      <c r="E54" s="140" t="s">
        <v>629</v>
      </c>
      <c r="F54" s="140" t="s">
        <v>654</v>
      </c>
      <c r="G54" s="140">
        <v>84148090</v>
      </c>
      <c r="H54" s="179">
        <f>VLOOKUP(A54,'Amazon Live Products'!E:P,12,0)</f>
        <v>680.15639999999996</v>
      </c>
      <c r="I54" s="180">
        <f t="shared" si="0"/>
        <v>102.02345999999999</v>
      </c>
      <c r="J54" s="484">
        <f t="shared" si="1"/>
        <v>204.04691999999997</v>
      </c>
      <c r="K54" s="490">
        <f t="shared" si="2"/>
        <v>986.22677999999996</v>
      </c>
      <c r="L54" s="484">
        <f t="shared" si="3"/>
        <v>1163.7476003999998</v>
      </c>
      <c r="M54" s="490">
        <f t="shared" si="4"/>
        <v>204.04691999999989</v>
      </c>
      <c r="N54" s="486">
        <f t="shared" si="5"/>
        <v>0.20689655172413784</v>
      </c>
      <c r="O54" s="487">
        <f t="shared" si="6"/>
        <v>170.03909999999999</v>
      </c>
      <c r="P54" s="488">
        <f t="shared" si="7"/>
        <v>952.21895999999992</v>
      </c>
      <c r="Q54" s="488">
        <f t="shared" si="8"/>
        <v>1123.6183727999999</v>
      </c>
      <c r="R54" s="488">
        <f t="shared" si="9"/>
        <v>170.03909999999996</v>
      </c>
      <c r="S54" s="489">
        <f t="shared" si="10"/>
        <v>0.17857142857142855</v>
      </c>
      <c r="T54" s="182"/>
      <c r="U54" s="182"/>
      <c r="V54" s="182"/>
      <c r="W54" s="182"/>
      <c r="X54" s="182"/>
    </row>
    <row r="55" spans="1:24">
      <c r="A55" s="140" t="s">
        <v>655</v>
      </c>
      <c r="B55" s="140" t="s">
        <v>656</v>
      </c>
      <c r="C55" s="140" t="s">
        <v>657</v>
      </c>
      <c r="D55" s="140" t="s">
        <v>628</v>
      </c>
      <c r="E55" s="140" t="s">
        <v>629</v>
      </c>
      <c r="F55" s="140" t="s">
        <v>658</v>
      </c>
      <c r="G55" s="140">
        <v>84148090</v>
      </c>
      <c r="H55" s="179">
        <f>VLOOKUP(A55,'Amazon Live Products'!E:P,12,0)</f>
        <v>915.29618399999993</v>
      </c>
      <c r="I55" s="180">
        <f t="shared" si="0"/>
        <v>137.29442759999998</v>
      </c>
      <c r="J55" s="484">
        <f t="shared" si="1"/>
        <v>274.58885519999995</v>
      </c>
      <c r="K55" s="490">
        <f t="shared" si="2"/>
        <v>1327.1794667999998</v>
      </c>
      <c r="L55" s="484">
        <f t="shared" si="3"/>
        <v>1566.0717708239997</v>
      </c>
      <c r="M55" s="490">
        <f t="shared" si="4"/>
        <v>274.5888551999999</v>
      </c>
      <c r="N55" s="486">
        <f t="shared" si="5"/>
        <v>0.2068965517241379</v>
      </c>
      <c r="O55" s="487">
        <f t="shared" si="6"/>
        <v>228.82404599999998</v>
      </c>
      <c r="P55" s="488">
        <f t="shared" si="7"/>
        <v>1281.4146575999998</v>
      </c>
      <c r="Q55" s="488">
        <f t="shared" si="8"/>
        <v>1512.0692959679998</v>
      </c>
      <c r="R55" s="488">
        <f t="shared" si="9"/>
        <v>228.82404599999992</v>
      </c>
      <c r="S55" s="489">
        <f t="shared" si="10"/>
        <v>0.17857142857142855</v>
      </c>
      <c r="T55" s="182"/>
      <c r="U55" s="182"/>
      <c r="V55" s="182"/>
      <c r="W55" s="182"/>
      <c r="X55" s="182"/>
    </row>
    <row r="56" spans="1:24">
      <c r="A56" s="140" t="s">
        <v>659</v>
      </c>
      <c r="B56" s="140" t="s">
        <v>660</v>
      </c>
      <c r="C56" s="140" t="s">
        <v>661</v>
      </c>
      <c r="D56" s="140" t="s">
        <v>234</v>
      </c>
      <c r="E56" s="140" t="s">
        <v>249</v>
      </c>
      <c r="F56" s="140" t="s">
        <v>662</v>
      </c>
      <c r="G56" s="140">
        <v>85086000</v>
      </c>
      <c r="H56" s="179">
        <f>VLOOKUP(A56,'Amazon Live Products'!E:P,12,0)</f>
        <v>736.98345600000005</v>
      </c>
      <c r="I56" s="180">
        <f t="shared" si="0"/>
        <v>110.5475184</v>
      </c>
      <c r="J56" s="484">
        <f t="shared" si="1"/>
        <v>221.0950368</v>
      </c>
      <c r="K56" s="490">
        <f t="shared" si="2"/>
        <v>1068.6260112</v>
      </c>
      <c r="L56" s="484">
        <f t="shared" si="3"/>
        <v>1260.978693216</v>
      </c>
      <c r="M56" s="490">
        <f t="shared" si="4"/>
        <v>221.09503679999995</v>
      </c>
      <c r="N56" s="486">
        <f t="shared" si="5"/>
        <v>0.20689655172413787</v>
      </c>
      <c r="O56" s="487">
        <f t="shared" si="6"/>
        <v>184.24586400000001</v>
      </c>
      <c r="P56" s="488">
        <f t="shared" si="7"/>
        <v>1031.7768384000001</v>
      </c>
      <c r="Q56" s="488">
        <f t="shared" si="8"/>
        <v>1217.496669312</v>
      </c>
      <c r="R56" s="488">
        <f t="shared" si="9"/>
        <v>184.24586400000004</v>
      </c>
      <c r="S56" s="489">
        <f t="shared" si="10"/>
        <v>0.1785714285714286</v>
      </c>
      <c r="T56" s="182"/>
      <c r="U56" s="182"/>
      <c r="V56" s="182"/>
      <c r="W56" s="182"/>
      <c r="X56" s="182"/>
    </row>
    <row r="57" spans="1:24">
      <c r="A57" s="140" t="s">
        <v>663</v>
      </c>
      <c r="B57" s="140" t="s">
        <v>664</v>
      </c>
      <c r="C57" s="140" t="s">
        <v>665</v>
      </c>
      <c r="D57" s="140" t="s">
        <v>314</v>
      </c>
      <c r="E57" s="140" t="s">
        <v>444</v>
      </c>
      <c r="F57" s="140" t="s">
        <v>667</v>
      </c>
      <c r="G57" s="140">
        <v>85101000</v>
      </c>
      <c r="H57" s="179">
        <f>VLOOKUP(A57,'Amazon Live Products'!E:P,12,0)</f>
        <v>1095.0719999999999</v>
      </c>
      <c r="I57" s="180">
        <f t="shared" si="0"/>
        <v>164.26079999999999</v>
      </c>
      <c r="J57" s="484">
        <f t="shared" si="1"/>
        <v>328.52159999999998</v>
      </c>
      <c r="K57" s="490">
        <f t="shared" si="2"/>
        <v>1587.8543999999999</v>
      </c>
      <c r="L57" s="484">
        <f t="shared" si="3"/>
        <v>1873.6681919999999</v>
      </c>
      <c r="M57" s="490">
        <f t="shared" si="4"/>
        <v>328.52160000000003</v>
      </c>
      <c r="N57" s="486">
        <f t="shared" si="5"/>
        <v>0.20689655172413796</v>
      </c>
      <c r="O57" s="487">
        <f t="shared" si="6"/>
        <v>273.76799999999997</v>
      </c>
      <c r="P57" s="488">
        <f t="shared" si="7"/>
        <v>1533.1007999999999</v>
      </c>
      <c r="Q57" s="488">
        <f t="shared" si="8"/>
        <v>1809.0589439999999</v>
      </c>
      <c r="R57" s="488">
        <f t="shared" si="9"/>
        <v>273.76800000000003</v>
      </c>
      <c r="S57" s="489">
        <f t="shared" si="10"/>
        <v>0.1785714285714286</v>
      </c>
      <c r="T57" s="182"/>
      <c r="U57" s="182"/>
      <c r="V57" s="182"/>
      <c r="W57" s="182"/>
      <c r="X57" s="182"/>
    </row>
    <row r="58" spans="1:24">
      <c r="A58" s="140" t="s">
        <v>668</v>
      </c>
      <c r="B58" s="140" t="s">
        <v>944</v>
      </c>
      <c r="C58" s="140" t="s">
        <v>670</v>
      </c>
      <c r="D58" s="140" t="s">
        <v>671</v>
      </c>
      <c r="E58" s="140" t="s">
        <v>950</v>
      </c>
      <c r="F58" s="140" t="s">
        <v>673</v>
      </c>
      <c r="G58" s="140">
        <v>85167100</v>
      </c>
      <c r="H58" s="179">
        <f>VLOOKUP(A58,'Amazon Live Products'!E:P,12,0)</f>
        <v>569.43744000000004</v>
      </c>
      <c r="I58" s="180">
        <f t="shared" si="0"/>
        <v>85.415616</v>
      </c>
      <c r="J58" s="484">
        <f t="shared" si="1"/>
        <v>170.831232</v>
      </c>
      <c r="K58" s="490">
        <f t="shared" si="2"/>
        <v>825.68428800000004</v>
      </c>
      <c r="L58" s="484">
        <f t="shared" si="3"/>
        <v>974.30745983999998</v>
      </c>
      <c r="M58" s="490">
        <f t="shared" si="4"/>
        <v>170.831232</v>
      </c>
      <c r="N58" s="486">
        <f t="shared" si="5"/>
        <v>0.20689655172413793</v>
      </c>
      <c r="O58" s="487">
        <f t="shared" si="6"/>
        <v>142.35936000000001</v>
      </c>
      <c r="P58" s="488">
        <f t="shared" si="7"/>
        <v>797.21241600000008</v>
      </c>
      <c r="Q58" s="488">
        <f t="shared" si="8"/>
        <v>940.71065088</v>
      </c>
      <c r="R58" s="488">
        <f t="shared" si="9"/>
        <v>142.35936000000004</v>
      </c>
      <c r="S58" s="489">
        <f t="shared" si="10"/>
        <v>0.1785714285714286</v>
      </c>
      <c r="T58" s="182"/>
      <c r="U58" s="182"/>
      <c r="V58" s="182"/>
      <c r="W58" s="182"/>
      <c r="X58" s="182"/>
    </row>
    <row r="59" spans="1:24">
      <c r="A59" s="140" t="s">
        <v>675</v>
      </c>
      <c r="B59" s="140" t="s">
        <v>676</v>
      </c>
      <c r="C59" s="140" t="s">
        <v>677</v>
      </c>
      <c r="D59" s="140" t="s">
        <v>314</v>
      </c>
      <c r="E59" s="140"/>
      <c r="F59" s="140" t="s">
        <v>678</v>
      </c>
      <c r="G59" s="140">
        <v>85101000</v>
      </c>
      <c r="H59" s="179">
        <f>VLOOKUP(A59,'Amazon Live Products'!E:P,12,0)</f>
        <v>498.25776000000002</v>
      </c>
      <c r="I59" s="180">
        <f t="shared" si="0"/>
        <v>74.738664</v>
      </c>
      <c r="J59" s="484">
        <f t="shared" si="1"/>
        <v>149.477328</v>
      </c>
      <c r="K59" s="490">
        <f t="shared" si="2"/>
        <v>722.4737520000001</v>
      </c>
      <c r="L59" s="484">
        <f t="shared" si="3"/>
        <v>852.51902736000011</v>
      </c>
      <c r="M59" s="490">
        <f t="shared" si="4"/>
        <v>149.47732800000009</v>
      </c>
      <c r="N59" s="486">
        <f t="shared" si="5"/>
        <v>0.20689655172413801</v>
      </c>
      <c r="O59" s="487">
        <f t="shared" si="6"/>
        <v>124.56444</v>
      </c>
      <c r="P59" s="488">
        <f t="shared" si="7"/>
        <v>697.56086400000004</v>
      </c>
      <c r="Q59" s="488">
        <f t="shared" si="8"/>
        <v>823.12181952000003</v>
      </c>
      <c r="R59" s="488">
        <f t="shared" si="9"/>
        <v>124.56444000000002</v>
      </c>
      <c r="S59" s="489">
        <f t="shared" si="10"/>
        <v>0.17857142857142858</v>
      </c>
      <c r="T59" s="182"/>
      <c r="U59" s="182"/>
      <c r="V59" s="182"/>
      <c r="W59" s="182"/>
      <c r="X59" s="182"/>
    </row>
    <row r="60" spans="1:24">
      <c r="A60" s="140" t="s">
        <v>679</v>
      </c>
      <c r="B60" s="140" t="s">
        <v>680</v>
      </c>
      <c r="C60" s="140" t="s">
        <v>681</v>
      </c>
      <c r="D60" s="140" t="s">
        <v>314</v>
      </c>
      <c r="E60" s="140"/>
      <c r="F60" s="140" t="s">
        <v>682</v>
      </c>
      <c r="G60" s="140">
        <v>85101000</v>
      </c>
      <c r="H60" s="179">
        <f>VLOOKUP(A60,'Amazon Live Products'!E:P,12,0)</f>
        <v>385.46534400000002</v>
      </c>
      <c r="I60" s="180">
        <f t="shared" si="0"/>
        <v>57.819801599999998</v>
      </c>
      <c r="J60" s="484">
        <f t="shared" si="1"/>
        <v>115.6396032</v>
      </c>
      <c r="K60" s="490">
        <f t="shared" si="2"/>
        <v>558.92474879999997</v>
      </c>
      <c r="L60" s="484">
        <f t="shared" si="3"/>
        <v>659.53120358399997</v>
      </c>
      <c r="M60" s="490">
        <f t="shared" si="4"/>
        <v>115.63960319999995</v>
      </c>
      <c r="N60" s="486">
        <f t="shared" si="5"/>
        <v>0.20689655172413784</v>
      </c>
      <c r="O60" s="487">
        <f t="shared" si="6"/>
        <v>96.366336000000004</v>
      </c>
      <c r="P60" s="488">
        <f t="shared" si="7"/>
        <v>539.65148160000001</v>
      </c>
      <c r="Q60" s="488">
        <f t="shared" si="8"/>
        <v>636.78874828799997</v>
      </c>
      <c r="R60" s="488">
        <f t="shared" si="9"/>
        <v>96.36633599999999</v>
      </c>
      <c r="S60" s="489">
        <f t="shared" si="10"/>
        <v>0.17857142857142855</v>
      </c>
      <c r="T60" s="182"/>
      <c r="U60" s="182"/>
      <c r="V60" s="182"/>
      <c r="W60" s="182"/>
      <c r="X60" s="182"/>
    </row>
    <row r="61" spans="1:24">
      <c r="A61" s="140" t="s">
        <v>683</v>
      </c>
      <c r="B61" s="140" t="s">
        <v>684</v>
      </c>
      <c r="C61" s="140" t="s">
        <v>685</v>
      </c>
      <c r="D61" s="140" t="s">
        <v>234</v>
      </c>
      <c r="E61" s="140" t="s">
        <v>671</v>
      </c>
      <c r="F61" s="140" t="s">
        <v>687</v>
      </c>
      <c r="G61" s="140">
        <v>85167990</v>
      </c>
      <c r="H61" s="179">
        <f>VLOOKUP(A61,'Amazon Live Products'!E:P,12,0)</f>
        <v>793.92719999999986</v>
      </c>
      <c r="I61" s="180">
        <f t="shared" si="0"/>
        <v>119.08907999999997</v>
      </c>
      <c r="J61" s="484">
        <f t="shared" si="1"/>
        <v>238.17815999999993</v>
      </c>
      <c r="K61" s="490">
        <f t="shared" si="2"/>
        <v>1151.1944399999998</v>
      </c>
      <c r="L61" s="484">
        <f t="shared" si="3"/>
        <v>1358.4094391999997</v>
      </c>
      <c r="M61" s="490">
        <f t="shared" si="4"/>
        <v>238.17815999999993</v>
      </c>
      <c r="N61" s="486">
        <f t="shared" si="5"/>
        <v>0.20689655172413793</v>
      </c>
      <c r="O61" s="487">
        <f t="shared" si="6"/>
        <v>198.48179999999996</v>
      </c>
      <c r="P61" s="488">
        <f t="shared" si="7"/>
        <v>1111.4980799999998</v>
      </c>
      <c r="Q61" s="488">
        <f t="shared" si="8"/>
        <v>1311.5677343999998</v>
      </c>
      <c r="R61" s="488">
        <f t="shared" si="9"/>
        <v>198.48180000000002</v>
      </c>
      <c r="S61" s="489">
        <f t="shared" si="10"/>
        <v>0.1785714285714286</v>
      </c>
      <c r="T61" s="182"/>
      <c r="U61" s="182"/>
      <c r="V61" s="182"/>
      <c r="W61" s="182"/>
      <c r="X61" s="182"/>
    </row>
    <row r="62" spans="1:24">
      <c r="A62" s="140" t="s">
        <v>688</v>
      </c>
      <c r="B62" s="140" t="s">
        <v>689</v>
      </c>
      <c r="C62" s="140" t="s">
        <v>690</v>
      </c>
      <c r="D62" s="140" t="s">
        <v>234</v>
      </c>
      <c r="E62" s="140" t="s">
        <v>671</v>
      </c>
      <c r="F62" s="140" t="s">
        <v>691</v>
      </c>
      <c r="G62" s="140">
        <v>85167990</v>
      </c>
      <c r="H62" s="179">
        <f>VLOOKUP(A62,'Amazon Live Products'!E:P,12,0)</f>
        <v>793.92719999999986</v>
      </c>
      <c r="I62" s="180">
        <f t="shared" si="0"/>
        <v>119.08907999999997</v>
      </c>
      <c r="J62" s="484">
        <f t="shared" si="1"/>
        <v>238.17815999999993</v>
      </c>
      <c r="K62" s="490">
        <f t="shared" si="2"/>
        <v>1151.1944399999998</v>
      </c>
      <c r="L62" s="484">
        <f t="shared" si="3"/>
        <v>1358.4094391999997</v>
      </c>
      <c r="M62" s="490">
        <f t="shared" si="4"/>
        <v>238.17815999999993</v>
      </c>
      <c r="N62" s="486">
        <f t="shared" si="5"/>
        <v>0.20689655172413793</v>
      </c>
      <c r="O62" s="487">
        <f t="shared" si="6"/>
        <v>198.48179999999996</v>
      </c>
      <c r="P62" s="488">
        <f t="shared" si="7"/>
        <v>1111.4980799999998</v>
      </c>
      <c r="Q62" s="488">
        <f t="shared" si="8"/>
        <v>1311.5677343999998</v>
      </c>
      <c r="R62" s="488">
        <f t="shared" si="9"/>
        <v>198.48180000000002</v>
      </c>
      <c r="S62" s="489">
        <f t="shared" si="10"/>
        <v>0.1785714285714286</v>
      </c>
      <c r="T62" s="182"/>
      <c r="U62" s="182"/>
      <c r="V62" s="182"/>
      <c r="W62" s="182"/>
      <c r="X62" s="182"/>
    </row>
    <row r="63" spans="1:24">
      <c r="A63" s="140" t="s">
        <v>695</v>
      </c>
      <c r="B63" s="140" t="s">
        <v>696</v>
      </c>
      <c r="C63" s="140" t="s">
        <v>697</v>
      </c>
      <c r="D63" s="140" t="s">
        <v>314</v>
      </c>
      <c r="E63" s="140" t="s">
        <v>465</v>
      </c>
      <c r="F63" s="140" t="s">
        <v>699</v>
      </c>
      <c r="G63" s="140">
        <v>85163100</v>
      </c>
      <c r="H63" s="179">
        <f>VLOOKUP(A63,'Amazon Live Products'!E:P,12,0)</f>
        <v>911.09990400000004</v>
      </c>
      <c r="I63" s="180">
        <f t="shared" si="0"/>
        <v>136.66498559999999</v>
      </c>
      <c r="J63" s="484">
        <f t="shared" si="1"/>
        <v>273.32997119999999</v>
      </c>
      <c r="K63" s="490">
        <f t="shared" si="2"/>
        <v>1321.0948608000001</v>
      </c>
      <c r="L63" s="484">
        <f t="shared" si="3"/>
        <v>1558.891935744</v>
      </c>
      <c r="M63" s="490">
        <f t="shared" si="4"/>
        <v>273.32997120000005</v>
      </c>
      <c r="N63" s="486">
        <f t="shared" si="5"/>
        <v>0.20689655172413796</v>
      </c>
      <c r="O63" s="487">
        <f t="shared" si="6"/>
        <v>227.77497600000001</v>
      </c>
      <c r="P63" s="488">
        <f t="shared" si="7"/>
        <v>1275.5398656</v>
      </c>
      <c r="Q63" s="488">
        <f t="shared" si="8"/>
        <v>1505.137041408</v>
      </c>
      <c r="R63" s="488">
        <f t="shared" si="9"/>
        <v>227.77497599999995</v>
      </c>
      <c r="S63" s="489">
        <f t="shared" si="10"/>
        <v>0.17857142857142855</v>
      </c>
      <c r="T63" s="182"/>
      <c r="U63" s="182"/>
      <c r="V63" s="182"/>
      <c r="W63" s="182"/>
      <c r="X63" s="182"/>
    </row>
    <row r="64" spans="1:24">
      <c r="A64" s="140" t="s">
        <v>700</v>
      </c>
      <c r="B64" s="140" t="s">
        <v>701</v>
      </c>
      <c r="C64" s="140" t="s">
        <v>702</v>
      </c>
      <c r="D64" s="140" t="s">
        <v>314</v>
      </c>
      <c r="E64" s="140" t="s">
        <v>465</v>
      </c>
      <c r="F64" s="140" t="s">
        <v>703</v>
      </c>
      <c r="G64" s="140">
        <v>85163100</v>
      </c>
      <c r="H64" s="179">
        <f>VLOOKUP(A64,'Amazon Live Products'!E:P,12,0)</f>
        <v>708.51158400000008</v>
      </c>
      <c r="I64" s="180">
        <f t="shared" si="0"/>
        <v>106.2767376</v>
      </c>
      <c r="J64" s="484">
        <f t="shared" si="1"/>
        <v>212.55347520000001</v>
      </c>
      <c r="K64" s="490">
        <f t="shared" si="2"/>
        <v>1027.3417968000001</v>
      </c>
      <c r="L64" s="484">
        <f t="shared" si="3"/>
        <v>1212.2633202240002</v>
      </c>
      <c r="M64" s="490">
        <f t="shared" si="4"/>
        <v>212.55347520000004</v>
      </c>
      <c r="N64" s="486">
        <f t="shared" si="5"/>
        <v>0.20689655172413796</v>
      </c>
      <c r="O64" s="487">
        <f t="shared" si="6"/>
        <v>177.12789600000002</v>
      </c>
      <c r="P64" s="488">
        <f t="shared" si="7"/>
        <v>991.91621760000021</v>
      </c>
      <c r="Q64" s="488">
        <f t="shared" si="8"/>
        <v>1170.4611367680002</v>
      </c>
      <c r="R64" s="488">
        <f t="shared" si="9"/>
        <v>177.12789600000013</v>
      </c>
      <c r="S64" s="489">
        <f t="shared" si="10"/>
        <v>0.17857142857142866</v>
      </c>
      <c r="T64" s="182"/>
      <c r="U64" s="182"/>
      <c r="V64" s="182"/>
      <c r="W64" s="182"/>
      <c r="X64" s="182"/>
    </row>
    <row r="65" spans="1:24">
      <c r="A65" s="140" t="s">
        <v>704</v>
      </c>
      <c r="B65" s="140" t="s">
        <v>705</v>
      </c>
      <c r="C65" s="140" t="s">
        <v>706</v>
      </c>
      <c r="D65" s="140" t="s">
        <v>234</v>
      </c>
      <c r="E65" s="140" t="s">
        <v>249</v>
      </c>
      <c r="F65" s="140" t="s">
        <v>708</v>
      </c>
      <c r="G65" s="140">
        <v>85098000</v>
      </c>
      <c r="H65" s="179">
        <f>VLOOKUP(A65,'Amazon Live Products'!E:P,12,0)</f>
        <v>2190.1439999999998</v>
      </c>
      <c r="I65" s="180">
        <f t="shared" si="0"/>
        <v>328.52159999999998</v>
      </c>
      <c r="J65" s="484">
        <f t="shared" si="1"/>
        <v>657.04319999999996</v>
      </c>
      <c r="K65" s="490">
        <f t="shared" si="2"/>
        <v>3175.7087999999999</v>
      </c>
      <c r="L65" s="484">
        <f t="shared" si="3"/>
        <v>3747.3363839999997</v>
      </c>
      <c r="M65" s="490">
        <f t="shared" si="4"/>
        <v>657.04320000000007</v>
      </c>
      <c r="N65" s="486">
        <f t="shared" si="5"/>
        <v>0.20689655172413796</v>
      </c>
      <c r="O65" s="487">
        <f t="shared" si="6"/>
        <v>547.53599999999994</v>
      </c>
      <c r="P65" s="488">
        <f t="shared" si="7"/>
        <v>3066.2015999999999</v>
      </c>
      <c r="Q65" s="488">
        <f t="shared" si="8"/>
        <v>3618.1178879999998</v>
      </c>
      <c r="R65" s="488">
        <f t="shared" si="9"/>
        <v>547.53600000000006</v>
      </c>
      <c r="S65" s="489">
        <f t="shared" si="10"/>
        <v>0.1785714285714286</v>
      </c>
      <c r="T65" s="182"/>
      <c r="U65" s="182"/>
      <c r="V65" s="182"/>
      <c r="W65" s="182"/>
      <c r="X65" s="182"/>
    </row>
    <row r="66" spans="1:24">
      <c r="A66" s="140" t="s">
        <v>712</v>
      </c>
      <c r="B66" s="140" t="s">
        <v>713</v>
      </c>
      <c r="C66" s="140" t="s">
        <v>714</v>
      </c>
      <c r="D66" s="140" t="s">
        <v>234</v>
      </c>
      <c r="E66" s="140" t="s">
        <v>249</v>
      </c>
      <c r="F66" s="140" t="s">
        <v>716</v>
      </c>
      <c r="G66" s="140">
        <v>85086000</v>
      </c>
      <c r="H66" s="179">
        <f>VLOOKUP(A66,'Amazon Live Products'!E:P,12,0)</f>
        <v>966.94857600000012</v>
      </c>
      <c r="I66" s="180">
        <f t="shared" si="0"/>
        <v>145.04228640000002</v>
      </c>
      <c r="J66" s="484">
        <f t="shared" si="1"/>
        <v>290.08457280000005</v>
      </c>
      <c r="K66" s="490">
        <f t="shared" si="2"/>
        <v>1402.0754352000004</v>
      </c>
      <c r="L66" s="484">
        <f t="shared" si="3"/>
        <v>1654.4490135360004</v>
      </c>
      <c r="M66" s="490">
        <f t="shared" si="4"/>
        <v>290.08457280000022</v>
      </c>
      <c r="N66" s="486">
        <f t="shared" si="5"/>
        <v>0.20689655172413804</v>
      </c>
      <c r="O66" s="487">
        <f t="shared" si="6"/>
        <v>241.73714400000003</v>
      </c>
      <c r="P66" s="488">
        <f t="shared" si="7"/>
        <v>1353.7280064000001</v>
      </c>
      <c r="Q66" s="488">
        <f t="shared" si="8"/>
        <v>1597.3990475520002</v>
      </c>
      <c r="R66" s="488">
        <f t="shared" si="9"/>
        <v>241.737144</v>
      </c>
      <c r="S66" s="489">
        <f t="shared" si="10"/>
        <v>0.17857142857142855</v>
      </c>
      <c r="T66" s="182"/>
      <c r="U66" s="182"/>
      <c r="V66" s="182"/>
      <c r="W66" s="182"/>
      <c r="X66" s="182"/>
    </row>
    <row r="67" spans="1:24">
      <c r="A67" s="140" t="s">
        <v>717</v>
      </c>
      <c r="B67" s="140" t="s">
        <v>718</v>
      </c>
      <c r="C67" s="140" t="s">
        <v>719</v>
      </c>
      <c r="D67" s="140" t="s">
        <v>234</v>
      </c>
      <c r="E67" s="140" t="s">
        <v>249</v>
      </c>
      <c r="F67" s="140" t="s">
        <v>716</v>
      </c>
      <c r="G67" s="140">
        <v>85086000</v>
      </c>
      <c r="H67" s="179">
        <f>VLOOKUP(A67,'Amazon Live Products'!E:P,12,0)</f>
        <v>1023.8923199999999</v>
      </c>
      <c r="I67" s="180">
        <f t="shared" si="0"/>
        <v>153.58384799999999</v>
      </c>
      <c r="J67" s="484">
        <f t="shared" si="1"/>
        <v>307.16769599999998</v>
      </c>
      <c r="K67" s="490">
        <f t="shared" si="2"/>
        <v>1484.6438639999999</v>
      </c>
      <c r="L67" s="484">
        <f t="shared" si="3"/>
        <v>1751.8797595199999</v>
      </c>
      <c r="M67" s="490">
        <f t="shared" si="4"/>
        <v>307.16769599999998</v>
      </c>
      <c r="N67" s="486">
        <f t="shared" si="5"/>
        <v>0.20689655172413793</v>
      </c>
      <c r="O67" s="487">
        <f t="shared" si="6"/>
        <v>255.97307999999998</v>
      </c>
      <c r="P67" s="488">
        <f t="shared" si="7"/>
        <v>1433.4492479999999</v>
      </c>
      <c r="Q67" s="488">
        <f t="shared" si="8"/>
        <v>1691.4701126399998</v>
      </c>
      <c r="R67" s="488">
        <f t="shared" si="9"/>
        <v>255.97307999999998</v>
      </c>
      <c r="S67" s="489">
        <f t="shared" si="10"/>
        <v>0.17857142857142858</v>
      </c>
      <c r="T67" s="182"/>
      <c r="U67" s="182"/>
      <c r="V67" s="182"/>
      <c r="W67" s="182"/>
      <c r="X67" s="182"/>
    </row>
    <row r="68" spans="1:24">
      <c r="A68" s="140" t="s">
        <v>724</v>
      </c>
      <c r="B68" s="140" t="s">
        <v>725</v>
      </c>
      <c r="C68" s="140" t="s">
        <v>726</v>
      </c>
      <c r="D68" s="140" t="s">
        <v>314</v>
      </c>
      <c r="E68" s="140"/>
      <c r="F68" s="140" t="s">
        <v>727</v>
      </c>
      <c r="G68" s="140">
        <v>85437093</v>
      </c>
      <c r="H68" s="179">
        <f>VLOOKUP(A68,'Amazon Live Products'!E:P,12,0)</f>
        <v>448.35120000000001</v>
      </c>
      <c r="I68" s="180">
        <f t="shared" si="0"/>
        <v>67.252679999999998</v>
      </c>
      <c r="J68" s="484">
        <f t="shared" si="1"/>
        <v>134.50536</v>
      </c>
      <c r="K68" s="490">
        <f t="shared" si="2"/>
        <v>650.10924</v>
      </c>
      <c r="L68" s="484">
        <f t="shared" si="3"/>
        <v>767.12890319999997</v>
      </c>
      <c r="M68" s="490">
        <f t="shared" si="4"/>
        <v>134.50536</v>
      </c>
      <c r="N68" s="486">
        <f t="shared" si="5"/>
        <v>0.20689655172413793</v>
      </c>
      <c r="O68" s="487">
        <f t="shared" si="6"/>
        <v>112.0878</v>
      </c>
      <c r="P68" s="488">
        <f t="shared" si="7"/>
        <v>627.69168000000002</v>
      </c>
      <c r="Q68" s="488">
        <f t="shared" si="8"/>
        <v>740.67618240000002</v>
      </c>
      <c r="R68" s="488">
        <f t="shared" si="9"/>
        <v>112.08780000000002</v>
      </c>
      <c r="S68" s="489">
        <f t="shared" si="10"/>
        <v>0.1785714285714286</v>
      </c>
      <c r="T68" s="182"/>
      <c r="U68" s="182"/>
      <c r="V68" s="182"/>
      <c r="W68" s="182"/>
      <c r="X68" s="182"/>
    </row>
    <row r="69" spans="1:24">
      <c r="A69" s="140" t="s">
        <v>728</v>
      </c>
      <c r="B69" s="140" t="s">
        <v>729</v>
      </c>
      <c r="C69" s="140" t="s">
        <v>730</v>
      </c>
      <c r="D69" s="140" t="s">
        <v>314</v>
      </c>
      <c r="E69" s="140" t="s">
        <v>465</v>
      </c>
      <c r="F69" s="140" t="s">
        <v>731</v>
      </c>
      <c r="G69" s="140">
        <v>85437093</v>
      </c>
      <c r="H69" s="179">
        <f>VLOOKUP(A69,'Amazon Live Products'!E:P,12,0)</f>
        <v>1095.9695999999999</v>
      </c>
      <c r="I69" s="180">
        <f t="shared" si="0"/>
        <v>164.39543999999998</v>
      </c>
      <c r="J69" s="484">
        <f t="shared" si="1"/>
        <v>328.79087999999996</v>
      </c>
      <c r="K69" s="490">
        <f t="shared" si="2"/>
        <v>1589.1559199999999</v>
      </c>
      <c r="L69" s="484">
        <f t="shared" si="3"/>
        <v>1875.2039855999999</v>
      </c>
      <c r="M69" s="490">
        <f t="shared" si="4"/>
        <v>328.79088000000002</v>
      </c>
      <c r="N69" s="486">
        <f t="shared" si="5"/>
        <v>0.20689655172413796</v>
      </c>
      <c r="O69" s="487">
        <f t="shared" si="6"/>
        <v>273.99239999999998</v>
      </c>
      <c r="P69" s="488">
        <f t="shared" si="7"/>
        <v>1534.3574399999998</v>
      </c>
      <c r="Q69" s="488">
        <f t="shared" si="8"/>
        <v>1810.5417791999996</v>
      </c>
      <c r="R69" s="488">
        <f t="shared" si="9"/>
        <v>273.99239999999986</v>
      </c>
      <c r="S69" s="489">
        <f t="shared" si="10"/>
        <v>0.17857142857142852</v>
      </c>
      <c r="T69" s="182"/>
      <c r="U69" s="182"/>
      <c r="V69" s="182"/>
      <c r="W69" s="182"/>
      <c r="X69" s="182"/>
    </row>
    <row r="70" spans="1:24">
      <c r="A70" s="140" t="s">
        <v>736</v>
      </c>
      <c r="B70" s="140" t="s">
        <v>737</v>
      </c>
      <c r="C70" s="140" t="s">
        <v>738</v>
      </c>
      <c r="D70" s="140" t="s">
        <v>314</v>
      </c>
      <c r="E70" s="140" t="s">
        <v>465</v>
      </c>
      <c r="F70" s="140" t="s">
        <v>739</v>
      </c>
      <c r="G70" s="140">
        <v>90191020</v>
      </c>
      <c r="H70" s="179">
        <f>VLOOKUP(A70,'Amazon Live Products'!E:P,12,0)</f>
        <v>1011.2810400000001</v>
      </c>
      <c r="I70" s="180">
        <f t="shared" si="0"/>
        <v>151.69215600000001</v>
      </c>
      <c r="J70" s="484">
        <f t="shared" si="1"/>
        <v>303.38431200000002</v>
      </c>
      <c r="K70" s="490">
        <f t="shared" si="2"/>
        <v>1466.3575080000001</v>
      </c>
      <c r="L70" s="484">
        <f t="shared" si="3"/>
        <v>1730.30185944</v>
      </c>
      <c r="M70" s="490">
        <f t="shared" si="4"/>
        <v>303.38431199999997</v>
      </c>
      <c r="N70" s="486">
        <f t="shared" si="5"/>
        <v>0.2068965517241379</v>
      </c>
      <c r="O70" s="487">
        <f t="shared" si="6"/>
        <v>252.82026000000002</v>
      </c>
      <c r="P70" s="488">
        <f t="shared" si="7"/>
        <v>1415.7934560000001</v>
      </c>
      <c r="Q70" s="488">
        <f t="shared" si="8"/>
        <v>1670.63627808</v>
      </c>
      <c r="R70" s="488">
        <f t="shared" si="9"/>
        <v>252.82026000000002</v>
      </c>
      <c r="S70" s="489">
        <f t="shared" si="10"/>
        <v>0.17857142857142858</v>
      </c>
      <c r="T70" s="182"/>
      <c r="U70" s="182"/>
      <c r="V70" s="182"/>
      <c r="W70" s="182"/>
      <c r="X70" s="182"/>
    </row>
    <row r="71" spans="1:24">
      <c r="A71" s="140" t="s">
        <v>740</v>
      </c>
      <c r="B71" s="140" t="s">
        <v>946</v>
      </c>
      <c r="C71" s="140" t="s">
        <v>742</v>
      </c>
      <c r="D71" s="140" t="s">
        <v>249</v>
      </c>
      <c r="E71" s="140"/>
      <c r="F71" s="140" t="s">
        <v>743</v>
      </c>
      <c r="G71" s="140">
        <v>85098000</v>
      </c>
      <c r="H71" s="179">
        <f>VLOOKUP(A71,'Amazon Live Products'!E:P,12,0)</f>
        <v>896.70240000000001</v>
      </c>
      <c r="I71" s="180">
        <f t="shared" si="0"/>
        <v>134.50536</v>
      </c>
      <c r="J71" s="484">
        <f t="shared" si="1"/>
        <v>269.01071999999999</v>
      </c>
      <c r="K71" s="490">
        <f t="shared" si="2"/>
        <v>1300.21848</v>
      </c>
      <c r="L71" s="484">
        <f t="shared" si="3"/>
        <v>1534.2578063999999</v>
      </c>
      <c r="M71" s="490">
        <f t="shared" si="4"/>
        <v>269.01071999999999</v>
      </c>
      <c r="N71" s="486">
        <f t="shared" si="5"/>
        <v>0.20689655172413793</v>
      </c>
      <c r="O71" s="487">
        <f t="shared" si="6"/>
        <v>224.1756</v>
      </c>
      <c r="P71" s="488">
        <f t="shared" si="7"/>
        <v>1255.38336</v>
      </c>
      <c r="Q71" s="488">
        <f t="shared" si="8"/>
        <v>1481.3523648</v>
      </c>
      <c r="R71" s="488">
        <f t="shared" si="9"/>
        <v>224.17560000000003</v>
      </c>
      <c r="S71" s="489">
        <f t="shared" si="10"/>
        <v>0.1785714285714286</v>
      </c>
      <c r="T71" s="182"/>
      <c r="U71" s="182"/>
      <c r="V71" s="182"/>
      <c r="W71" s="182"/>
      <c r="X71" s="182"/>
    </row>
    <row r="72" spans="1:24">
      <c r="A72" s="140" t="s">
        <v>744</v>
      </c>
      <c r="B72" s="140" t="s">
        <v>745</v>
      </c>
      <c r="C72" s="140" t="s">
        <v>746</v>
      </c>
      <c r="D72" s="140" t="s">
        <v>314</v>
      </c>
      <c r="E72" s="140" t="s">
        <v>618</v>
      </c>
      <c r="F72" s="140" t="s">
        <v>748</v>
      </c>
      <c r="G72" s="140">
        <v>90191020</v>
      </c>
      <c r="H72" s="179">
        <f>VLOOKUP(A72,'Amazon Live Products'!E:P,12,0)</f>
        <v>836.92223999999999</v>
      </c>
      <c r="I72" s="180">
        <f t="shared" si="0"/>
        <v>125.53833599999999</v>
      </c>
      <c r="J72" s="484">
        <f t="shared" si="1"/>
        <v>251.07667199999997</v>
      </c>
      <c r="K72" s="490">
        <f t="shared" si="2"/>
        <v>1213.5372479999999</v>
      </c>
      <c r="L72" s="484">
        <f t="shared" si="3"/>
        <v>1431.9739526399997</v>
      </c>
      <c r="M72" s="490">
        <f t="shared" si="4"/>
        <v>251.07667199999989</v>
      </c>
      <c r="N72" s="486">
        <f t="shared" si="5"/>
        <v>0.20689655172413787</v>
      </c>
      <c r="O72" s="487">
        <f t="shared" si="6"/>
        <v>209.23056</v>
      </c>
      <c r="P72" s="488">
        <f t="shared" si="7"/>
        <v>1171.6911359999999</v>
      </c>
      <c r="Q72" s="488">
        <f t="shared" si="8"/>
        <v>1382.5955404799997</v>
      </c>
      <c r="R72" s="488">
        <f t="shared" si="9"/>
        <v>209.23055999999994</v>
      </c>
      <c r="S72" s="489">
        <f t="shared" si="10"/>
        <v>0.17857142857142852</v>
      </c>
      <c r="T72" s="182"/>
      <c r="U72" s="182"/>
      <c r="V72" s="182"/>
      <c r="W72" s="182"/>
      <c r="X72" s="182"/>
    </row>
    <row r="73" spans="1:24">
      <c r="A73" s="140" t="s">
        <v>749</v>
      </c>
      <c r="B73" s="140" t="s">
        <v>952</v>
      </c>
      <c r="C73" s="140" t="s">
        <v>751</v>
      </c>
      <c r="D73" s="140" t="s">
        <v>314</v>
      </c>
      <c r="E73" s="140" t="s">
        <v>618</v>
      </c>
      <c r="F73" s="140" t="s">
        <v>752</v>
      </c>
      <c r="G73" s="140">
        <v>90191020</v>
      </c>
      <c r="H73" s="179">
        <f>VLOOKUP(A73,'Amazon Live Products'!E:P,12,0)</f>
        <v>861.83064000000002</v>
      </c>
      <c r="I73" s="180">
        <f t="shared" si="0"/>
        <v>129.274596</v>
      </c>
      <c r="J73" s="484">
        <f t="shared" si="1"/>
        <v>258.54919200000001</v>
      </c>
      <c r="K73" s="490">
        <f t="shared" si="2"/>
        <v>1249.6544280000001</v>
      </c>
      <c r="L73" s="484">
        <f t="shared" si="3"/>
        <v>1474.5922250399999</v>
      </c>
      <c r="M73" s="490">
        <f t="shared" si="4"/>
        <v>258.54919200000006</v>
      </c>
      <c r="N73" s="486">
        <f t="shared" si="5"/>
        <v>0.20689655172413798</v>
      </c>
      <c r="O73" s="487">
        <f t="shared" si="6"/>
        <v>215.45766</v>
      </c>
      <c r="P73" s="488">
        <f t="shared" si="7"/>
        <v>1206.5628959999999</v>
      </c>
      <c r="Q73" s="488">
        <f t="shared" si="8"/>
        <v>1423.7442172799999</v>
      </c>
      <c r="R73" s="488">
        <f t="shared" si="9"/>
        <v>215.45765999999989</v>
      </c>
      <c r="S73" s="489">
        <f t="shared" si="10"/>
        <v>0.17857142857142849</v>
      </c>
      <c r="T73" s="182"/>
      <c r="U73" s="182"/>
      <c r="V73" s="182"/>
      <c r="W73" s="182"/>
      <c r="X73" s="182"/>
    </row>
    <row r="74" spans="1:24">
      <c r="A74" s="140" t="s">
        <v>764</v>
      </c>
      <c r="B74" s="140" t="s">
        <v>943</v>
      </c>
      <c r="C74" s="140" t="s">
        <v>766</v>
      </c>
      <c r="D74" s="140" t="s">
        <v>314</v>
      </c>
      <c r="E74" s="140" t="s">
        <v>618</v>
      </c>
      <c r="F74" s="140" t="s">
        <v>767</v>
      </c>
      <c r="G74" s="140">
        <v>90191020</v>
      </c>
      <c r="H74" s="179">
        <f>VLOOKUP(A74,'Amazon Live Products'!E:P,12,0)</f>
        <v>1195.6032</v>
      </c>
      <c r="I74" s="180">
        <f t="shared" si="0"/>
        <v>179.34047999999999</v>
      </c>
      <c r="J74" s="484">
        <f t="shared" si="1"/>
        <v>358.68095999999997</v>
      </c>
      <c r="K74" s="490">
        <f t="shared" si="2"/>
        <v>1733.62464</v>
      </c>
      <c r="L74" s="484">
        <f t="shared" si="3"/>
        <v>2045.6770752</v>
      </c>
      <c r="M74" s="490">
        <f t="shared" si="4"/>
        <v>358.68096000000003</v>
      </c>
      <c r="N74" s="486">
        <f t="shared" si="5"/>
        <v>0.20689655172413796</v>
      </c>
      <c r="O74" s="487">
        <f t="shared" si="6"/>
        <v>298.9008</v>
      </c>
      <c r="P74" s="488">
        <f t="shared" si="7"/>
        <v>1673.8444800000002</v>
      </c>
      <c r="Q74" s="488">
        <f t="shared" si="8"/>
        <v>1975.1364864000002</v>
      </c>
      <c r="R74" s="488">
        <f t="shared" si="9"/>
        <v>298.90080000000023</v>
      </c>
      <c r="S74" s="489">
        <f t="shared" si="10"/>
        <v>0.17857142857142869</v>
      </c>
      <c r="T74" s="182"/>
      <c r="U74" s="182"/>
      <c r="V74" s="182"/>
      <c r="W74" s="182"/>
      <c r="X74" s="182"/>
    </row>
    <row r="75" spans="1:24">
      <c r="A75" s="140" t="s">
        <v>775</v>
      </c>
      <c r="B75" s="140" t="s">
        <v>955</v>
      </c>
      <c r="C75" s="140" t="s">
        <v>777</v>
      </c>
      <c r="D75" s="140" t="s">
        <v>314</v>
      </c>
      <c r="E75" s="140" t="s">
        <v>618</v>
      </c>
      <c r="F75" s="140" t="s">
        <v>778</v>
      </c>
      <c r="G75" s="140">
        <v>90191020</v>
      </c>
      <c r="H75" s="179">
        <f>VLOOKUP(A75,'Amazon Live Products'!E:P,12,0)</f>
        <v>779.13475200000005</v>
      </c>
      <c r="I75" s="180">
        <f t="shared" si="0"/>
        <v>116.8702128</v>
      </c>
      <c r="J75" s="484">
        <f t="shared" si="1"/>
        <v>233.74042560000001</v>
      </c>
      <c r="K75" s="490">
        <f t="shared" si="2"/>
        <v>1129.7453904000001</v>
      </c>
      <c r="L75" s="484">
        <f t="shared" si="3"/>
        <v>1333.0995606720001</v>
      </c>
      <c r="M75" s="490">
        <f t="shared" si="4"/>
        <v>233.74042560000009</v>
      </c>
      <c r="N75" s="486">
        <f t="shared" si="5"/>
        <v>0.20689655172413798</v>
      </c>
      <c r="O75" s="487">
        <f t="shared" si="6"/>
        <v>194.78368800000001</v>
      </c>
      <c r="P75" s="488">
        <f t="shared" si="7"/>
        <v>1090.7886528000001</v>
      </c>
      <c r="Q75" s="488">
        <f t="shared" si="8"/>
        <v>1287.1306103040001</v>
      </c>
      <c r="R75" s="488">
        <f t="shared" si="9"/>
        <v>194.7836880000001</v>
      </c>
      <c r="S75" s="489">
        <f t="shared" si="10"/>
        <v>0.17857142857142863</v>
      </c>
      <c r="T75" s="182"/>
      <c r="U75" s="182"/>
      <c r="V75" s="182"/>
      <c r="W75" s="182"/>
      <c r="X75" s="182"/>
    </row>
    <row r="76" spans="1:24">
      <c r="A76" s="140" t="s">
        <v>779</v>
      </c>
      <c r="B76" s="140" t="s">
        <v>780</v>
      </c>
      <c r="C76" s="140" t="s">
        <v>781</v>
      </c>
      <c r="D76" s="140" t="s">
        <v>234</v>
      </c>
      <c r="E76" s="140" t="s">
        <v>249</v>
      </c>
      <c r="F76" s="140" t="s">
        <v>782</v>
      </c>
      <c r="G76" s="140">
        <v>85086000</v>
      </c>
      <c r="H76" s="179">
        <f>VLOOKUP(A76,'Amazon Live Products'!E:P,12,0)</f>
        <v>737.28863999999999</v>
      </c>
      <c r="I76" s="180">
        <f t="shared" si="0"/>
        <v>110.593296</v>
      </c>
      <c r="J76" s="484">
        <f t="shared" si="1"/>
        <v>221.18659199999999</v>
      </c>
      <c r="K76" s="490">
        <f t="shared" si="2"/>
        <v>1069.068528</v>
      </c>
      <c r="L76" s="484">
        <f t="shared" si="3"/>
        <v>1261.50086304</v>
      </c>
      <c r="M76" s="490">
        <f t="shared" si="4"/>
        <v>221.18659200000002</v>
      </c>
      <c r="N76" s="486">
        <f t="shared" si="5"/>
        <v>0.20689655172413796</v>
      </c>
      <c r="O76" s="487">
        <f t="shared" si="6"/>
        <v>184.32216</v>
      </c>
      <c r="P76" s="488">
        <f t="shared" si="7"/>
        <v>1032.2040959999999</v>
      </c>
      <c r="Q76" s="488">
        <f t="shared" si="8"/>
        <v>1218.0008332799998</v>
      </c>
      <c r="R76" s="488">
        <f t="shared" si="9"/>
        <v>184.32215999999994</v>
      </c>
      <c r="S76" s="489">
        <f t="shared" si="10"/>
        <v>0.17857142857142852</v>
      </c>
      <c r="T76" s="182"/>
      <c r="U76" s="182"/>
      <c r="V76" s="182"/>
      <c r="W76" s="182"/>
      <c r="X76" s="182"/>
    </row>
    <row r="77" spans="1:24">
      <c r="A77" s="140" t="s">
        <v>783</v>
      </c>
      <c r="B77" s="140" t="s">
        <v>784</v>
      </c>
      <c r="C77" s="140" t="s">
        <v>785</v>
      </c>
      <c r="D77" s="140" t="s">
        <v>786</v>
      </c>
      <c r="E77" s="140"/>
      <c r="F77" s="140" t="s">
        <v>787</v>
      </c>
      <c r="G77" s="140">
        <v>85098000</v>
      </c>
      <c r="H77" s="179">
        <f>VLOOKUP(A77,'Amazon Live Products'!E:P,12,0)</f>
        <v>1182.67776</v>
      </c>
      <c r="I77" s="180">
        <f t="shared" si="0"/>
        <v>177.40166400000001</v>
      </c>
      <c r="J77" s="484">
        <f t="shared" si="1"/>
        <v>354.80332800000002</v>
      </c>
      <c r="K77" s="490">
        <f t="shared" si="2"/>
        <v>1714.882752</v>
      </c>
      <c r="L77" s="484">
        <f t="shared" si="3"/>
        <v>2023.5616473599998</v>
      </c>
      <c r="M77" s="490">
        <f t="shared" si="4"/>
        <v>354.80332799999996</v>
      </c>
      <c r="N77" s="486">
        <f t="shared" si="5"/>
        <v>0.2068965517241379</v>
      </c>
      <c r="O77" s="487">
        <f t="shared" si="6"/>
        <v>295.66944000000001</v>
      </c>
      <c r="P77" s="488">
        <f t="shared" si="7"/>
        <v>1655.7488640000001</v>
      </c>
      <c r="Q77" s="488">
        <f t="shared" si="8"/>
        <v>1953.7836595200001</v>
      </c>
      <c r="R77" s="488">
        <f t="shared" si="9"/>
        <v>295.66944000000012</v>
      </c>
      <c r="S77" s="489">
        <f t="shared" si="10"/>
        <v>0.17857142857142863</v>
      </c>
      <c r="T77" s="182"/>
      <c r="U77" s="182"/>
      <c r="V77" s="182"/>
      <c r="W77" s="182"/>
      <c r="X77" s="182"/>
    </row>
    <row r="78" spans="1:24">
      <c r="A78" s="140" t="s">
        <v>788</v>
      </c>
      <c r="B78" s="140" t="s">
        <v>789</v>
      </c>
      <c r="C78" s="140" t="s">
        <v>790</v>
      </c>
      <c r="D78" s="140" t="s">
        <v>671</v>
      </c>
      <c r="E78" s="140"/>
      <c r="F78" s="140" t="s">
        <v>791</v>
      </c>
      <c r="G78" s="140">
        <v>85094090</v>
      </c>
      <c r="H78" s="179">
        <f>VLOOKUP(A78,'Amazon Live Products'!E:P,12,0)</f>
        <v>2792.4336000000003</v>
      </c>
      <c r="I78" s="180">
        <f t="shared" si="0"/>
        <v>418.86504000000002</v>
      </c>
      <c r="J78" s="484">
        <f t="shared" si="1"/>
        <v>837.73008000000004</v>
      </c>
      <c r="K78" s="490">
        <f t="shared" si="2"/>
        <v>4049.0287200000002</v>
      </c>
      <c r="L78" s="484">
        <f t="shared" si="3"/>
        <v>4777.8538896</v>
      </c>
      <c r="M78" s="490">
        <f t="shared" si="4"/>
        <v>837.73007999999993</v>
      </c>
      <c r="N78" s="486">
        <f t="shared" si="5"/>
        <v>0.2068965517241379</v>
      </c>
      <c r="O78" s="487">
        <f t="shared" si="6"/>
        <v>698.10840000000007</v>
      </c>
      <c r="P78" s="488">
        <f t="shared" si="7"/>
        <v>3909.4070400000005</v>
      </c>
      <c r="Q78" s="488">
        <f t="shared" si="8"/>
        <v>4613.1003072000003</v>
      </c>
      <c r="R78" s="488">
        <f t="shared" si="9"/>
        <v>698.10840000000019</v>
      </c>
      <c r="S78" s="489">
        <f t="shared" si="10"/>
        <v>0.1785714285714286</v>
      </c>
      <c r="T78" s="182"/>
      <c r="U78" s="182"/>
      <c r="V78" s="182"/>
      <c r="W78" s="182"/>
      <c r="X78" s="182"/>
    </row>
    <row r="79" spans="1:24">
      <c r="A79" s="140" t="s">
        <v>792</v>
      </c>
      <c r="B79" s="140"/>
      <c r="C79" s="140" t="s">
        <v>794</v>
      </c>
      <c r="D79" s="140" t="s">
        <v>795</v>
      </c>
      <c r="E79" s="140"/>
      <c r="F79" s="140" t="s">
        <v>796</v>
      </c>
      <c r="G79" s="140">
        <v>85098000</v>
      </c>
      <c r="H79" s="179">
        <f>VLOOKUP(A79,'Amazon Live Products'!E:P,12,0)</f>
        <v>311.00044800000001</v>
      </c>
      <c r="I79" s="180">
        <f t="shared" si="0"/>
        <v>46.650067200000002</v>
      </c>
      <c r="J79" s="484">
        <f t="shared" si="1"/>
        <v>93.300134400000005</v>
      </c>
      <c r="K79" s="490">
        <f t="shared" si="2"/>
        <v>450.95064960000002</v>
      </c>
      <c r="L79" s="484">
        <f t="shared" si="3"/>
        <v>532.12176652799997</v>
      </c>
      <c r="M79" s="490">
        <f t="shared" si="4"/>
        <v>93.300134400000019</v>
      </c>
      <c r="N79" s="486">
        <f t="shared" si="5"/>
        <v>0.20689655172413796</v>
      </c>
      <c r="O79" s="487">
        <f t="shared" si="6"/>
        <v>77.750112000000001</v>
      </c>
      <c r="P79" s="488">
        <f t="shared" si="7"/>
        <v>435.40062720000003</v>
      </c>
      <c r="Q79" s="488">
        <f t="shared" si="8"/>
        <v>513.77274009600001</v>
      </c>
      <c r="R79" s="488">
        <f t="shared" si="9"/>
        <v>77.75011200000003</v>
      </c>
      <c r="S79" s="489">
        <f t="shared" si="10"/>
        <v>0.17857142857142863</v>
      </c>
      <c r="T79" s="182"/>
      <c r="U79" s="182"/>
      <c r="V79" s="182"/>
      <c r="W79" s="182"/>
      <c r="X79" s="182"/>
    </row>
    <row r="80" spans="1:24">
      <c r="A80" s="140" t="s">
        <v>797</v>
      </c>
      <c r="B80" s="140" t="s">
        <v>798</v>
      </c>
      <c r="C80" s="140" t="s">
        <v>799</v>
      </c>
      <c r="D80" s="140" t="s">
        <v>800</v>
      </c>
      <c r="E80" s="140"/>
      <c r="F80" s="140" t="s">
        <v>801</v>
      </c>
      <c r="G80" s="140">
        <v>90191020</v>
      </c>
      <c r="H80" s="179">
        <f>VLOOKUP(A80,'Amazon Live Products'!E:P,12,0)</f>
        <v>797.06880000000001</v>
      </c>
      <c r="I80" s="180">
        <f t="shared" si="0"/>
        <v>119.56031999999999</v>
      </c>
      <c r="J80" s="484">
        <f t="shared" si="1"/>
        <v>239.12063999999998</v>
      </c>
      <c r="K80" s="490">
        <f t="shared" si="2"/>
        <v>1155.7497600000002</v>
      </c>
      <c r="L80" s="484">
        <f t="shared" si="3"/>
        <v>1363.7847168000001</v>
      </c>
      <c r="M80" s="490">
        <f t="shared" si="4"/>
        <v>239.12064000000015</v>
      </c>
      <c r="N80" s="486">
        <f t="shared" si="5"/>
        <v>0.20689655172413804</v>
      </c>
      <c r="O80" s="487">
        <f t="shared" si="6"/>
        <v>199.2672</v>
      </c>
      <c r="P80" s="488">
        <f t="shared" si="7"/>
        <v>1115.8963200000001</v>
      </c>
      <c r="Q80" s="488">
        <f t="shared" si="8"/>
        <v>1316.7576575999999</v>
      </c>
      <c r="R80" s="488">
        <f t="shared" si="9"/>
        <v>199.26720000000006</v>
      </c>
      <c r="S80" s="489">
        <f t="shared" si="10"/>
        <v>0.1785714285714286</v>
      </c>
      <c r="T80" s="182"/>
      <c r="U80" s="182"/>
      <c r="V80" s="182"/>
      <c r="W80" s="182"/>
      <c r="X80" s="182"/>
    </row>
    <row r="81" spans="1:24">
      <c r="A81" s="140" t="s">
        <v>802</v>
      </c>
      <c r="B81" s="140" t="s">
        <v>803</v>
      </c>
      <c r="C81" s="140" t="s">
        <v>804</v>
      </c>
      <c r="D81" s="140" t="s">
        <v>800</v>
      </c>
      <c r="E81" s="140"/>
      <c r="F81" s="140" t="s">
        <v>805</v>
      </c>
      <c r="G81" s="140">
        <v>90191020</v>
      </c>
      <c r="H81" s="179">
        <f>VLOOKUP(A81,'Amazon Live Products'!E:P,12,0)</f>
        <v>787.10544000000004</v>
      </c>
      <c r="I81" s="180">
        <f t="shared" si="0"/>
        <v>118.065816</v>
      </c>
      <c r="J81" s="484">
        <f t="shared" si="1"/>
        <v>236.131632</v>
      </c>
      <c r="K81" s="490">
        <f t="shared" si="2"/>
        <v>1141.3028880000002</v>
      </c>
      <c r="L81" s="484">
        <f t="shared" si="3"/>
        <v>1346.7374078400001</v>
      </c>
      <c r="M81" s="490">
        <f t="shared" si="4"/>
        <v>236.13163200000014</v>
      </c>
      <c r="N81" s="486">
        <f t="shared" si="5"/>
        <v>0.20689655172413801</v>
      </c>
      <c r="O81" s="487">
        <f t="shared" si="6"/>
        <v>196.77636000000001</v>
      </c>
      <c r="P81" s="488">
        <f t="shared" si="7"/>
        <v>1101.9476160000002</v>
      </c>
      <c r="Q81" s="488">
        <f t="shared" si="8"/>
        <v>1300.29818688</v>
      </c>
      <c r="R81" s="488">
        <f t="shared" si="9"/>
        <v>196.77636000000012</v>
      </c>
      <c r="S81" s="489">
        <f t="shared" si="10"/>
        <v>0.17857142857142866</v>
      </c>
      <c r="T81" s="182"/>
      <c r="U81" s="182"/>
      <c r="V81" s="182"/>
      <c r="W81" s="182"/>
      <c r="X81" s="182"/>
    </row>
    <row r="82" spans="1:24">
      <c r="A82" s="140" t="s">
        <v>810</v>
      </c>
      <c r="B82" s="140" t="s">
        <v>811</v>
      </c>
      <c r="C82" s="140" t="s">
        <v>812</v>
      </c>
      <c r="D82" s="140" t="s">
        <v>813</v>
      </c>
      <c r="E82" s="140"/>
      <c r="F82" s="140" t="s">
        <v>814</v>
      </c>
      <c r="G82" s="140">
        <v>94043090</v>
      </c>
      <c r="H82" s="179">
        <f>VLOOKUP(A82,'Amazon Live Products'!E:P,12,0)</f>
        <v>413.80342390588237</v>
      </c>
      <c r="I82" s="180">
        <f t="shared" si="0"/>
        <v>62.070513585882352</v>
      </c>
      <c r="J82" s="484">
        <f t="shared" si="1"/>
        <v>124.1410271717647</v>
      </c>
      <c r="K82" s="490">
        <f t="shared" si="2"/>
        <v>600.01496466352944</v>
      </c>
      <c r="L82" s="484">
        <f t="shared" si="3"/>
        <v>708.01765830296472</v>
      </c>
      <c r="M82" s="490">
        <f t="shared" si="4"/>
        <v>124.14102717176472</v>
      </c>
      <c r="N82" s="486">
        <f t="shared" si="5"/>
        <v>0.20689655172413796</v>
      </c>
      <c r="O82" s="487">
        <f t="shared" si="6"/>
        <v>103.45085597647059</v>
      </c>
      <c r="P82" s="488">
        <f t="shared" si="7"/>
        <v>579.32479346823527</v>
      </c>
      <c r="Q82" s="488">
        <f t="shared" si="8"/>
        <v>683.60325629251759</v>
      </c>
      <c r="R82" s="488">
        <f t="shared" si="9"/>
        <v>103.45085597647055</v>
      </c>
      <c r="S82" s="489">
        <f t="shared" si="10"/>
        <v>0.17857142857142852</v>
      </c>
      <c r="T82" s="182"/>
      <c r="U82" s="182"/>
      <c r="V82" s="182"/>
      <c r="W82" s="182"/>
      <c r="X82" s="182"/>
    </row>
    <row r="83" spans="1:24">
      <c r="A83" s="140" t="s">
        <v>815</v>
      </c>
      <c r="B83" s="140" t="s">
        <v>816</v>
      </c>
      <c r="C83" s="140" t="s">
        <v>817</v>
      </c>
      <c r="D83" s="140" t="s">
        <v>813</v>
      </c>
      <c r="E83" s="140"/>
      <c r="F83" s="140" t="s">
        <v>818</v>
      </c>
      <c r="G83" s="140">
        <v>94043090</v>
      </c>
      <c r="H83" s="179">
        <f>VLOOKUP(A83,'Amazon Live Products'!E:P,12,0)</f>
        <v>413.80342390588237</v>
      </c>
      <c r="I83" s="180">
        <f t="shared" si="0"/>
        <v>62.070513585882352</v>
      </c>
      <c r="J83" s="484">
        <f t="shared" si="1"/>
        <v>124.1410271717647</v>
      </c>
      <c r="K83" s="490">
        <f t="shared" si="2"/>
        <v>600.01496466352944</v>
      </c>
      <c r="L83" s="484">
        <f t="shared" si="3"/>
        <v>708.01765830296472</v>
      </c>
      <c r="M83" s="490">
        <f t="shared" si="4"/>
        <v>124.14102717176472</v>
      </c>
      <c r="N83" s="486">
        <f t="shared" si="5"/>
        <v>0.20689655172413796</v>
      </c>
      <c r="O83" s="487">
        <f t="shared" si="6"/>
        <v>103.45085597647059</v>
      </c>
      <c r="P83" s="488">
        <f t="shared" si="7"/>
        <v>579.32479346823527</v>
      </c>
      <c r="Q83" s="488">
        <f t="shared" si="8"/>
        <v>683.60325629251759</v>
      </c>
      <c r="R83" s="488">
        <f t="shared" si="9"/>
        <v>103.45085597647055</v>
      </c>
      <c r="S83" s="489">
        <f t="shared" si="10"/>
        <v>0.17857142857142852</v>
      </c>
      <c r="T83" s="182"/>
      <c r="U83" s="182"/>
      <c r="V83" s="182"/>
      <c r="W83" s="182"/>
      <c r="X83" s="182"/>
    </row>
    <row r="84" spans="1:24">
      <c r="A84" s="140" t="s">
        <v>819</v>
      </c>
      <c r="B84" s="140" t="s">
        <v>820</v>
      </c>
      <c r="C84" s="140" t="s">
        <v>821</v>
      </c>
      <c r="D84" s="140" t="s">
        <v>234</v>
      </c>
      <c r="E84" s="140"/>
      <c r="F84" s="140" t="s">
        <v>822</v>
      </c>
      <c r="G84" s="140">
        <v>84213920</v>
      </c>
      <c r="H84" s="179">
        <f>VLOOKUP(A84,'Amazon Live Products'!E:P,12,0)</f>
        <v>8247.764227171765</v>
      </c>
      <c r="I84" s="180">
        <f t="shared" si="0"/>
        <v>1237.1646340757648</v>
      </c>
      <c r="J84" s="484">
        <f t="shared" si="1"/>
        <v>2474.3292681515295</v>
      </c>
      <c r="K84" s="490">
        <f t="shared" si="2"/>
        <v>11959.258129399059</v>
      </c>
      <c r="L84" s="484">
        <f t="shared" si="3"/>
        <v>14111.924592690888</v>
      </c>
      <c r="M84" s="490">
        <f t="shared" si="4"/>
        <v>2474.329268151529</v>
      </c>
      <c r="N84" s="486">
        <f t="shared" si="5"/>
        <v>0.2068965517241379</v>
      </c>
      <c r="O84" s="487">
        <f t="shared" si="6"/>
        <v>2061.9410567929413</v>
      </c>
      <c r="P84" s="488">
        <f t="shared" si="7"/>
        <v>11546.869918040471</v>
      </c>
      <c r="Q84" s="488">
        <f t="shared" si="8"/>
        <v>13625.306503287755</v>
      </c>
      <c r="R84" s="488">
        <f t="shared" si="9"/>
        <v>2061.9410567929413</v>
      </c>
      <c r="S84" s="489">
        <f t="shared" si="10"/>
        <v>0.17857142857142858</v>
      </c>
      <c r="T84" s="182"/>
      <c r="U84" s="182"/>
      <c r="V84" s="182"/>
      <c r="W84" s="182"/>
      <c r="X84" s="182"/>
    </row>
    <row r="85" spans="1:24">
      <c r="A85" s="140" t="s">
        <v>827</v>
      </c>
      <c r="B85" s="140" t="s">
        <v>828</v>
      </c>
      <c r="C85" s="140" t="s">
        <v>829</v>
      </c>
      <c r="D85" s="140" t="s">
        <v>234</v>
      </c>
      <c r="E85" s="140"/>
      <c r="F85" s="140" t="s">
        <v>830</v>
      </c>
      <c r="G85" s="140">
        <v>85098000</v>
      </c>
      <c r="H85" s="179">
        <f>VLOOKUP(A85,'Amazon Live Products'!E:P,12,0)</f>
        <v>657.55793912470597</v>
      </c>
      <c r="I85" s="180">
        <f t="shared" si="0"/>
        <v>98.633690868705898</v>
      </c>
      <c r="J85" s="484">
        <f t="shared" si="1"/>
        <v>197.2673817374118</v>
      </c>
      <c r="K85" s="490">
        <f t="shared" si="2"/>
        <v>953.4590117308237</v>
      </c>
      <c r="L85" s="484">
        <f t="shared" si="3"/>
        <v>1125.081633842372</v>
      </c>
      <c r="M85" s="490">
        <f t="shared" si="4"/>
        <v>197.26738173741182</v>
      </c>
      <c r="N85" s="486">
        <f t="shared" si="5"/>
        <v>0.20689655172413796</v>
      </c>
      <c r="O85" s="487">
        <f t="shared" si="6"/>
        <v>164.38948478117649</v>
      </c>
      <c r="P85" s="488">
        <f t="shared" si="7"/>
        <v>920.5811147745884</v>
      </c>
      <c r="Q85" s="488">
        <f t="shared" si="8"/>
        <v>1086.2857154340143</v>
      </c>
      <c r="R85" s="488">
        <f t="shared" si="9"/>
        <v>164.38948478117652</v>
      </c>
      <c r="S85" s="489">
        <f t="shared" si="10"/>
        <v>0.1785714285714286</v>
      </c>
      <c r="T85" s="182"/>
      <c r="U85" s="182"/>
      <c r="V85" s="182"/>
      <c r="W85" s="182"/>
      <c r="X85" s="182"/>
    </row>
    <row r="86" spans="1:24">
      <c r="A86" s="140" t="s">
        <v>831</v>
      </c>
      <c r="B86" s="140" t="s">
        <v>832</v>
      </c>
      <c r="C86" s="140" t="s">
        <v>833</v>
      </c>
      <c r="D86" s="140" t="s">
        <v>234</v>
      </c>
      <c r="E86" s="140"/>
      <c r="F86" s="140" t="s">
        <v>834</v>
      </c>
      <c r="G86" s="140">
        <v>85098000</v>
      </c>
      <c r="H86" s="179">
        <f>VLOOKUP(A86,'Amazon Live Products'!E:P,12,0)</f>
        <v>657.55793912470597</v>
      </c>
      <c r="I86" s="180">
        <f t="shared" si="0"/>
        <v>98.633690868705898</v>
      </c>
      <c r="J86" s="484">
        <f t="shared" si="1"/>
        <v>197.2673817374118</v>
      </c>
      <c r="K86" s="490">
        <f t="shared" si="2"/>
        <v>953.4590117308237</v>
      </c>
      <c r="L86" s="484">
        <f t="shared" si="3"/>
        <v>1125.081633842372</v>
      </c>
      <c r="M86" s="490">
        <f t="shared" si="4"/>
        <v>197.26738173741182</v>
      </c>
      <c r="N86" s="486">
        <f t="shared" si="5"/>
        <v>0.20689655172413796</v>
      </c>
      <c r="O86" s="487">
        <f t="shared" si="6"/>
        <v>164.38948478117649</v>
      </c>
      <c r="P86" s="488">
        <f t="shared" si="7"/>
        <v>920.5811147745884</v>
      </c>
      <c r="Q86" s="488">
        <f t="shared" si="8"/>
        <v>1086.2857154340143</v>
      </c>
      <c r="R86" s="488">
        <f t="shared" si="9"/>
        <v>164.38948478117652</v>
      </c>
      <c r="S86" s="489">
        <f t="shared" si="10"/>
        <v>0.1785714285714286</v>
      </c>
      <c r="T86" s="182"/>
      <c r="U86" s="182"/>
      <c r="V86" s="182"/>
      <c r="W86" s="182"/>
      <c r="X86" s="182"/>
    </row>
    <row r="87" spans="1:24">
      <c r="A87" s="140" t="s">
        <v>855</v>
      </c>
      <c r="B87" s="140" t="s">
        <v>856</v>
      </c>
      <c r="C87" s="140" t="s">
        <v>857</v>
      </c>
      <c r="D87" s="140" t="s">
        <v>800</v>
      </c>
      <c r="E87" s="140"/>
      <c r="F87" s="140" t="s">
        <v>858</v>
      </c>
      <c r="G87" s="140">
        <v>90191020</v>
      </c>
      <c r="H87" s="179">
        <f>VLOOKUP(A87,'Amazon Live Products'!E:P,12,0)</f>
        <v>797.06880000000001</v>
      </c>
      <c r="I87" s="180">
        <f t="shared" si="0"/>
        <v>119.56031999999999</v>
      </c>
      <c r="J87" s="484">
        <f t="shared" si="1"/>
        <v>239.12063999999998</v>
      </c>
      <c r="K87" s="490">
        <f t="shared" si="2"/>
        <v>1155.7497600000002</v>
      </c>
      <c r="L87" s="484">
        <f t="shared" si="3"/>
        <v>1363.7847168000001</v>
      </c>
      <c r="M87" s="490">
        <f t="shared" si="4"/>
        <v>239.12064000000015</v>
      </c>
      <c r="N87" s="486">
        <f t="shared" si="5"/>
        <v>0.20689655172413804</v>
      </c>
      <c r="O87" s="487">
        <f t="shared" si="6"/>
        <v>199.2672</v>
      </c>
      <c r="P87" s="488">
        <f t="shared" si="7"/>
        <v>1115.8963200000001</v>
      </c>
      <c r="Q87" s="488">
        <f t="shared" si="8"/>
        <v>1316.7576575999999</v>
      </c>
      <c r="R87" s="488">
        <f t="shared" si="9"/>
        <v>199.26720000000006</v>
      </c>
      <c r="S87" s="489">
        <f t="shared" si="10"/>
        <v>0.1785714285714286</v>
      </c>
      <c r="T87" s="182"/>
      <c r="U87" s="182"/>
      <c r="V87" s="182"/>
      <c r="W87" s="182"/>
      <c r="X87" s="182"/>
    </row>
    <row r="88" spans="1:24">
      <c r="A88" s="140" t="s">
        <v>859</v>
      </c>
      <c r="B88" s="140" t="s">
        <v>860</v>
      </c>
      <c r="C88" s="140" t="s">
        <v>861</v>
      </c>
      <c r="D88" s="140" t="s">
        <v>234</v>
      </c>
      <c r="E88" s="140"/>
      <c r="F88" s="140" t="s">
        <v>862</v>
      </c>
      <c r="G88" s="140">
        <v>84213920</v>
      </c>
      <c r="H88" s="179">
        <f>VLOOKUP(A88,'Amazon Live Products'!E:P,12,0)</f>
        <v>1743.5880000000002</v>
      </c>
      <c r="I88" s="180">
        <f t="shared" si="0"/>
        <v>261.53820000000002</v>
      </c>
      <c r="J88" s="484">
        <f t="shared" si="1"/>
        <v>523.07640000000004</v>
      </c>
      <c r="K88" s="490">
        <f t="shared" si="2"/>
        <v>2528.2026000000001</v>
      </c>
      <c r="L88" s="484">
        <f t="shared" si="3"/>
        <v>2983.2790679999998</v>
      </c>
      <c r="M88" s="490">
        <f t="shared" si="4"/>
        <v>523.07639999999992</v>
      </c>
      <c r="N88" s="486">
        <f t="shared" si="5"/>
        <v>0.2068965517241379</v>
      </c>
      <c r="O88" s="487">
        <f t="shared" si="6"/>
        <v>435.89700000000005</v>
      </c>
      <c r="P88" s="488">
        <f t="shared" si="7"/>
        <v>2441.0232000000001</v>
      </c>
      <c r="Q88" s="488">
        <f t="shared" si="8"/>
        <v>2880.4073760000001</v>
      </c>
      <c r="R88" s="488">
        <f t="shared" si="9"/>
        <v>435.89699999999988</v>
      </c>
      <c r="S88" s="489">
        <f t="shared" si="10"/>
        <v>0.17857142857142852</v>
      </c>
      <c r="T88" s="182"/>
      <c r="U88" s="182"/>
      <c r="V88" s="182"/>
      <c r="W88" s="182"/>
      <c r="X88" s="182"/>
    </row>
    <row r="89" spans="1:24">
      <c r="A89" s="140" t="s">
        <v>863</v>
      </c>
      <c r="B89" s="140" t="s">
        <v>864</v>
      </c>
      <c r="C89" s="140" t="s">
        <v>865</v>
      </c>
      <c r="D89" s="140" t="s">
        <v>314</v>
      </c>
      <c r="E89" s="140"/>
      <c r="F89" s="140" t="s">
        <v>866</v>
      </c>
      <c r="G89" s="140">
        <v>85101000</v>
      </c>
      <c r="H89" s="179">
        <f>VLOOKUP(A89,'Amazon Live Products'!E:P,12,0)</f>
        <v>985.56479999999999</v>
      </c>
      <c r="I89" s="180">
        <f t="shared" si="0"/>
        <v>147.83472</v>
      </c>
      <c r="J89" s="484">
        <f t="shared" si="1"/>
        <v>295.66944000000001</v>
      </c>
      <c r="K89" s="490">
        <f t="shared" si="2"/>
        <v>1429.0689600000001</v>
      </c>
      <c r="L89" s="484">
        <f t="shared" si="3"/>
        <v>1686.3013728000001</v>
      </c>
      <c r="M89" s="490">
        <f t="shared" si="4"/>
        <v>295.66944000000007</v>
      </c>
      <c r="N89" s="486">
        <f t="shared" si="5"/>
        <v>0.20689655172413796</v>
      </c>
      <c r="O89" s="487">
        <f t="shared" si="6"/>
        <v>246.3912</v>
      </c>
      <c r="P89" s="488">
        <f t="shared" si="7"/>
        <v>1379.79072</v>
      </c>
      <c r="Q89" s="488">
        <f t="shared" si="8"/>
        <v>1628.1530495999998</v>
      </c>
      <c r="R89" s="488">
        <f t="shared" si="9"/>
        <v>246.39119999999997</v>
      </c>
      <c r="S89" s="489">
        <f t="shared" si="10"/>
        <v>0.17857142857142855</v>
      </c>
      <c r="T89" s="182"/>
      <c r="U89" s="182"/>
      <c r="V89" s="182"/>
      <c r="W89" s="182"/>
      <c r="X89" s="182"/>
    </row>
    <row r="90" spans="1:24">
      <c r="A90" s="140" t="s">
        <v>870</v>
      </c>
      <c r="B90" s="140"/>
      <c r="C90" s="140" t="s">
        <v>872</v>
      </c>
      <c r="D90" s="140" t="s">
        <v>795</v>
      </c>
      <c r="E90" s="140"/>
      <c r="F90" s="140" t="s">
        <v>873</v>
      </c>
      <c r="G90" s="140">
        <v>85098000</v>
      </c>
      <c r="H90" s="179">
        <f>VLOOKUP(A90,'Amazon Live Products'!E:P,12,0)</f>
        <v>338.37724799999995</v>
      </c>
      <c r="I90" s="180">
        <f t="shared" si="0"/>
        <v>50.756587199999991</v>
      </c>
      <c r="J90" s="484">
        <f t="shared" si="1"/>
        <v>101.51317439999998</v>
      </c>
      <c r="K90" s="490">
        <f t="shared" si="2"/>
        <v>490.64700959999993</v>
      </c>
      <c r="L90" s="484">
        <f t="shared" si="3"/>
        <v>578.96347132799986</v>
      </c>
      <c r="M90" s="490">
        <f t="shared" si="4"/>
        <v>101.51317439999994</v>
      </c>
      <c r="N90" s="486">
        <f t="shared" si="5"/>
        <v>0.20689655172413787</v>
      </c>
      <c r="O90" s="487">
        <f t="shared" si="6"/>
        <v>84.594311999999988</v>
      </c>
      <c r="P90" s="488">
        <f t="shared" si="7"/>
        <v>473.72814719999997</v>
      </c>
      <c r="Q90" s="488">
        <f t="shared" si="8"/>
        <v>558.99921369599997</v>
      </c>
      <c r="R90" s="488">
        <f t="shared" si="9"/>
        <v>84.594312000000087</v>
      </c>
      <c r="S90" s="489">
        <f t="shared" si="10"/>
        <v>0.17857142857142874</v>
      </c>
      <c r="T90" s="182"/>
      <c r="U90" s="182"/>
      <c r="V90" s="182"/>
      <c r="W90" s="182"/>
      <c r="X90" s="182"/>
    </row>
    <row r="91" spans="1:24">
      <c r="A91" s="140" t="s">
        <v>874</v>
      </c>
      <c r="B91" s="140"/>
      <c r="C91" s="140" t="s">
        <v>876</v>
      </c>
      <c r="D91" s="140" t="s">
        <v>234</v>
      </c>
      <c r="E91" s="140" t="s">
        <v>671</v>
      </c>
      <c r="F91" s="140" t="s">
        <v>878</v>
      </c>
      <c r="G91" s="140">
        <v>85167990</v>
      </c>
      <c r="H91" s="179">
        <f>VLOOKUP(A91,'Amazon Live Products'!E:P,12,0)</f>
        <v>275</v>
      </c>
      <c r="I91" s="180">
        <f t="shared" si="0"/>
        <v>41.25</v>
      </c>
      <c r="J91" s="484">
        <f t="shared" si="1"/>
        <v>82.5</v>
      </c>
      <c r="K91" s="490">
        <f t="shared" si="2"/>
        <v>398.75</v>
      </c>
      <c r="L91" s="484">
        <f t="shared" si="3"/>
        <v>470.52499999999998</v>
      </c>
      <c r="M91" s="490">
        <f t="shared" si="4"/>
        <v>82.5</v>
      </c>
      <c r="N91" s="486">
        <f t="shared" si="5"/>
        <v>0.20689655172413793</v>
      </c>
      <c r="O91" s="487">
        <f t="shared" si="6"/>
        <v>68.75</v>
      </c>
      <c r="P91" s="488">
        <f t="shared" si="7"/>
        <v>385</v>
      </c>
      <c r="Q91" s="488">
        <f t="shared" si="8"/>
        <v>454.29999999999995</v>
      </c>
      <c r="R91" s="488">
        <f t="shared" si="9"/>
        <v>68.75</v>
      </c>
      <c r="S91" s="489">
        <f t="shared" si="10"/>
        <v>0.17857142857142858</v>
      </c>
      <c r="T91" s="182"/>
      <c r="U91" s="182"/>
      <c r="V91" s="182"/>
      <c r="W91" s="182"/>
      <c r="X91" s="182"/>
    </row>
    <row r="92" spans="1:24">
      <c r="A92" s="182"/>
      <c r="B92" s="182"/>
      <c r="C92" s="182"/>
      <c r="D92" s="182"/>
      <c r="E92" s="182"/>
      <c r="F92" s="182"/>
      <c r="G92" s="182"/>
      <c r="H92" s="182"/>
      <c r="I92" s="182"/>
      <c r="J92" s="182"/>
      <c r="K92" s="182"/>
      <c r="L92" s="180"/>
      <c r="M92" s="182"/>
      <c r="N92" s="182"/>
      <c r="O92" s="182"/>
      <c r="P92" s="180"/>
      <c r="Q92" s="180"/>
      <c r="R92" s="180"/>
      <c r="S92" s="184"/>
      <c r="T92" s="182"/>
      <c r="U92" s="182"/>
      <c r="V92" s="182"/>
      <c r="W92" s="182"/>
      <c r="X92" s="182"/>
    </row>
    <row r="93" spans="1:24">
      <c r="A93" s="182"/>
      <c r="B93" s="182"/>
      <c r="C93" s="182"/>
      <c r="D93" s="182"/>
      <c r="E93" s="182"/>
      <c r="F93" s="182"/>
      <c r="G93" s="182"/>
      <c r="H93" s="182"/>
      <c r="I93" s="182"/>
      <c r="J93" s="182"/>
      <c r="K93" s="182"/>
      <c r="L93" s="180"/>
      <c r="M93" s="182"/>
      <c r="N93" s="182"/>
      <c r="O93" s="182"/>
      <c r="P93" s="180"/>
      <c r="Q93" s="180"/>
      <c r="R93" s="180"/>
      <c r="S93" s="184"/>
      <c r="T93" s="182"/>
      <c r="U93" s="182"/>
      <c r="V93" s="182"/>
      <c r="W93" s="182"/>
      <c r="X93" s="182"/>
    </row>
    <row r="94" spans="1:24">
      <c r="A94" s="182"/>
      <c r="B94" s="182"/>
      <c r="C94" s="182"/>
      <c r="D94" s="182"/>
      <c r="E94" s="182"/>
      <c r="F94" s="182"/>
      <c r="G94" s="182"/>
      <c r="H94" s="182"/>
      <c r="I94" s="182"/>
      <c r="J94" s="182"/>
      <c r="K94" s="182"/>
      <c r="L94" s="180"/>
      <c r="M94" s="182"/>
      <c r="N94" s="182"/>
      <c r="O94" s="182"/>
      <c r="P94" s="180"/>
      <c r="Q94" s="180"/>
      <c r="R94" s="180"/>
      <c r="S94" s="184"/>
      <c r="T94" s="182"/>
      <c r="U94" s="182"/>
      <c r="V94" s="182"/>
      <c r="W94" s="182"/>
      <c r="X94" s="182"/>
    </row>
    <row r="95" spans="1:24">
      <c r="A95" s="182"/>
      <c r="B95" s="182"/>
      <c r="C95" s="182"/>
      <c r="D95" s="182"/>
      <c r="E95" s="182"/>
      <c r="F95" s="182"/>
      <c r="G95" s="182"/>
      <c r="H95" s="182"/>
      <c r="I95" s="182"/>
      <c r="J95" s="182"/>
      <c r="K95" s="182"/>
      <c r="L95" s="180"/>
      <c r="M95" s="182"/>
      <c r="N95" s="182"/>
      <c r="O95" s="182"/>
      <c r="P95" s="180"/>
      <c r="Q95" s="180"/>
      <c r="R95" s="180"/>
      <c r="S95" s="184"/>
      <c r="T95" s="182"/>
      <c r="U95" s="182"/>
      <c r="V95" s="182"/>
      <c r="W95" s="182"/>
      <c r="X95" s="182"/>
    </row>
    <row r="96" spans="1:24">
      <c r="A96" s="182"/>
      <c r="B96" s="182"/>
      <c r="C96" s="182"/>
      <c r="D96" s="182"/>
      <c r="E96" s="182"/>
      <c r="F96" s="182"/>
      <c r="G96" s="182"/>
      <c r="H96" s="182"/>
      <c r="I96" s="182"/>
      <c r="J96" s="182"/>
      <c r="K96" s="182"/>
      <c r="L96" s="180"/>
      <c r="M96" s="182"/>
      <c r="N96" s="182"/>
      <c r="O96" s="182"/>
      <c r="P96" s="180"/>
      <c r="Q96" s="180"/>
      <c r="R96" s="180"/>
      <c r="S96" s="184"/>
      <c r="T96" s="182"/>
      <c r="U96" s="182"/>
      <c r="V96" s="182"/>
      <c r="W96" s="182"/>
      <c r="X96" s="182"/>
    </row>
    <row r="97" spans="1:24">
      <c r="A97" s="182"/>
      <c r="B97" s="182"/>
      <c r="C97" s="182"/>
      <c r="D97" s="182"/>
      <c r="E97" s="182"/>
      <c r="F97" s="182"/>
      <c r="G97" s="182"/>
      <c r="H97" s="182"/>
      <c r="I97" s="182"/>
      <c r="J97" s="182"/>
      <c r="K97" s="182"/>
      <c r="L97" s="180"/>
      <c r="M97" s="182"/>
      <c r="N97" s="182"/>
      <c r="O97" s="182"/>
      <c r="P97" s="180"/>
      <c r="Q97" s="180"/>
      <c r="R97" s="180"/>
      <c r="S97" s="184"/>
      <c r="T97" s="182"/>
      <c r="U97" s="182"/>
      <c r="V97" s="182"/>
      <c r="W97" s="182"/>
      <c r="X97" s="182"/>
    </row>
    <row r="98" spans="1:24">
      <c r="A98" s="182"/>
      <c r="B98" s="182"/>
      <c r="C98" s="182"/>
      <c r="D98" s="182"/>
      <c r="E98" s="182"/>
      <c r="F98" s="182"/>
      <c r="G98" s="182"/>
      <c r="H98" s="182"/>
      <c r="I98" s="182"/>
      <c r="J98" s="182"/>
      <c r="K98" s="182"/>
      <c r="L98" s="180"/>
      <c r="M98" s="182"/>
      <c r="N98" s="182"/>
      <c r="O98" s="182"/>
      <c r="P98" s="180"/>
      <c r="Q98" s="180"/>
      <c r="R98" s="180"/>
      <c r="S98" s="184"/>
      <c r="T98" s="182"/>
      <c r="U98" s="182"/>
      <c r="V98" s="182"/>
      <c r="W98" s="182"/>
      <c r="X98" s="182"/>
    </row>
    <row r="99" spans="1:24">
      <c r="A99" s="182"/>
      <c r="B99" s="182"/>
      <c r="C99" s="182"/>
      <c r="D99" s="182"/>
      <c r="E99" s="182"/>
      <c r="F99" s="182"/>
      <c r="G99" s="182"/>
      <c r="H99" s="182"/>
      <c r="I99" s="182"/>
      <c r="J99" s="182"/>
      <c r="K99" s="182"/>
      <c r="L99" s="180"/>
      <c r="M99" s="182"/>
      <c r="N99" s="182"/>
      <c r="O99" s="182"/>
      <c r="P99" s="180"/>
      <c r="Q99" s="180"/>
      <c r="R99" s="180"/>
      <c r="S99" s="184"/>
      <c r="T99" s="182"/>
      <c r="U99" s="182"/>
      <c r="V99" s="182"/>
      <c r="W99" s="182"/>
      <c r="X99" s="182"/>
    </row>
    <row r="100" spans="1:24">
      <c r="A100" s="182"/>
      <c r="B100" s="182"/>
      <c r="C100" s="182"/>
      <c r="D100" s="182"/>
      <c r="E100" s="182"/>
      <c r="F100" s="182"/>
      <c r="G100" s="182"/>
      <c r="H100" s="182"/>
      <c r="I100" s="182"/>
      <c r="J100" s="182"/>
      <c r="K100" s="182"/>
      <c r="L100" s="180"/>
      <c r="M100" s="182"/>
      <c r="N100" s="182"/>
      <c r="O100" s="182"/>
      <c r="P100" s="180"/>
      <c r="Q100" s="180"/>
      <c r="R100" s="180"/>
      <c r="S100" s="184"/>
      <c r="T100" s="182"/>
      <c r="U100" s="182"/>
      <c r="V100" s="182"/>
      <c r="W100" s="182"/>
      <c r="X100" s="182"/>
    </row>
    <row r="101" spans="1:24">
      <c r="A101" s="182"/>
      <c r="B101" s="182"/>
      <c r="C101" s="182"/>
      <c r="D101" s="182"/>
      <c r="E101" s="182"/>
      <c r="F101" s="182"/>
      <c r="G101" s="182"/>
      <c r="H101" s="182"/>
      <c r="I101" s="182"/>
      <c r="J101" s="182"/>
      <c r="K101" s="182"/>
      <c r="L101" s="180"/>
      <c r="M101" s="182"/>
      <c r="N101" s="182"/>
      <c r="O101" s="182"/>
      <c r="P101" s="180"/>
      <c r="Q101" s="180"/>
      <c r="R101" s="180"/>
      <c r="S101" s="184"/>
      <c r="T101" s="182"/>
      <c r="U101" s="182"/>
      <c r="V101" s="182"/>
      <c r="W101" s="182"/>
      <c r="X101" s="182"/>
    </row>
    <row r="102" spans="1:24">
      <c r="A102" s="182"/>
      <c r="B102" s="182"/>
      <c r="C102" s="182"/>
      <c r="D102" s="182"/>
      <c r="E102" s="182"/>
      <c r="F102" s="182"/>
      <c r="G102" s="182"/>
      <c r="H102" s="182"/>
      <c r="I102" s="182"/>
      <c r="J102" s="182"/>
      <c r="K102" s="182"/>
      <c r="L102" s="180"/>
      <c r="M102" s="182"/>
      <c r="N102" s="182"/>
      <c r="O102" s="182"/>
      <c r="P102" s="180"/>
      <c r="Q102" s="180"/>
      <c r="R102" s="180"/>
      <c r="S102" s="184"/>
      <c r="T102" s="182"/>
      <c r="U102" s="182"/>
      <c r="V102" s="182"/>
      <c r="W102" s="182"/>
      <c r="X102" s="182"/>
    </row>
    <row r="103" spans="1:24">
      <c r="A103" s="182"/>
      <c r="B103" s="182"/>
      <c r="C103" s="182"/>
      <c r="D103" s="182"/>
      <c r="E103" s="182"/>
      <c r="F103" s="182"/>
      <c r="G103" s="182"/>
      <c r="H103" s="182"/>
      <c r="I103" s="182"/>
      <c r="J103" s="182"/>
      <c r="K103" s="182"/>
      <c r="L103" s="180"/>
      <c r="M103" s="182"/>
      <c r="N103" s="182"/>
      <c r="O103" s="182"/>
      <c r="P103" s="180"/>
      <c r="Q103" s="180"/>
      <c r="R103" s="180"/>
      <c r="S103" s="184"/>
      <c r="T103" s="182"/>
      <c r="U103" s="182"/>
      <c r="V103" s="182"/>
      <c r="W103" s="182"/>
      <c r="X103" s="182"/>
    </row>
    <row r="104" spans="1:24">
      <c r="A104" s="182"/>
      <c r="B104" s="182"/>
      <c r="C104" s="182"/>
      <c r="D104" s="182"/>
      <c r="E104" s="182"/>
      <c r="F104" s="182"/>
      <c r="G104" s="182"/>
      <c r="H104" s="182"/>
      <c r="I104" s="182"/>
      <c r="J104" s="182"/>
      <c r="K104" s="182"/>
      <c r="L104" s="180"/>
      <c r="M104" s="182"/>
      <c r="N104" s="182"/>
      <c r="O104" s="182"/>
      <c r="P104" s="180"/>
      <c r="Q104" s="180"/>
      <c r="R104" s="180"/>
      <c r="S104" s="184"/>
      <c r="T104" s="182"/>
      <c r="U104" s="182"/>
      <c r="V104" s="182"/>
      <c r="W104" s="182"/>
      <c r="X104" s="182"/>
    </row>
    <row r="105" spans="1:24">
      <c r="A105" s="182"/>
      <c r="B105" s="182"/>
      <c r="C105" s="182"/>
      <c r="D105" s="182"/>
      <c r="E105" s="182"/>
      <c r="F105" s="182"/>
      <c r="G105" s="182"/>
      <c r="H105" s="182"/>
      <c r="I105" s="182"/>
      <c r="J105" s="182"/>
      <c r="K105" s="182"/>
      <c r="L105" s="180"/>
      <c r="M105" s="182"/>
      <c r="N105" s="182"/>
      <c r="O105" s="182"/>
      <c r="P105" s="180"/>
      <c r="Q105" s="180"/>
      <c r="R105" s="180"/>
      <c r="S105" s="184"/>
      <c r="T105" s="182"/>
      <c r="U105" s="182"/>
      <c r="V105" s="182"/>
      <c r="W105" s="182"/>
      <c r="X105" s="182"/>
    </row>
    <row r="106" spans="1:24">
      <c r="A106" s="182"/>
      <c r="B106" s="182"/>
      <c r="C106" s="182"/>
      <c r="D106" s="182"/>
      <c r="E106" s="182"/>
      <c r="F106" s="182"/>
      <c r="G106" s="182"/>
      <c r="H106" s="182"/>
      <c r="I106" s="182"/>
      <c r="J106" s="182"/>
      <c r="K106" s="182"/>
      <c r="L106" s="180"/>
      <c r="M106" s="182"/>
      <c r="N106" s="182"/>
      <c r="O106" s="182"/>
      <c r="P106" s="180"/>
      <c r="Q106" s="180"/>
      <c r="R106" s="180"/>
      <c r="S106" s="184"/>
      <c r="T106" s="182"/>
      <c r="U106" s="182"/>
      <c r="V106" s="182"/>
      <c r="W106" s="182"/>
      <c r="X106" s="182"/>
    </row>
    <row r="107" spans="1:24">
      <c r="A107" s="182"/>
      <c r="B107" s="182"/>
      <c r="C107" s="182"/>
      <c r="D107" s="182"/>
      <c r="E107" s="182"/>
      <c r="F107" s="182"/>
      <c r="G107" s="182"/>
      <c r="H107" s="182"/>
      <c r="I107" s="182"/>
      <c r="J107" s="182"/>
      <c r="K107" s="182"/>
      <c r="L107" s="180"/>
      <c r="M107" s="182"/>
      <c r="N107" s="182"/>
      <c r="O107" s="182"/>
      <c r="P107" s="180"/>
      <c r="Q107" s="180"/>
      <c r="R107" s="180"/>
      <c r="S107" s="184"/>
      <c r="T107" s="182"/>
      <c r="U107" s="182"/>
      <c r="V107" s="182"/>
      <c r="W107" s="182"/>
      <c r="X107" s="182"/>
    </row>
    <row r="108" spans="1:24">
      <c r="A108" s="182"/>
      <c r="B108" s="182"/>
      <c r="C108" s="182"/>
      <c r="D108" s="182"/>
      <c r="E108" s="182"/>
      <c r="F108" s="182"/>
      <c r="G108" s="182"/>
      <c r="H108" s="182"/>
      <c r="I108" s="182"/>
      <c r="J108" s="182"/>
      <c r="K108" s="182"/>
      <c r="L108" s="180"/>
      <c r="M108" s="182"/>
      <c r="N108" s="182"/>
      <c r="O108" s="182"/>
      <c r="P108" s="180"/>
      <c r="Q108" s="180"/>
      <c r="R108" s="180"/>
      <c r="S108" s="184"/>
      <c r="T108" s="182"/>
      <c r="U108" s="182"/>
      <c r="V108" s="182"/>
      <c r="W108" s="182"/>
      <c r="X108" s="182"/>
    </row>
    <row r="109" spans="1:24">
      <c r="A109" s="182"/>
      <c r="B109" s="182"/>
      <c r="C109" s="182"/>
      <c r="D109" s="182"/>
      <c r="E109" s="182"/>
      <c r="F109" s="182"/>
      <c r="G109" s="182"/>
      <c r="H109" s="182"/>
      <c r="I109" s="182"/>
      <c r="J109" s="182"/>
      <c r="K109" s="182"/>
      <c r="L109" s="180"/>
      <c r="M109" s="182"/>
      <c r="N109" s="182"/>
      <c r="O109" s="182"/>
      <c r="P109" s="180"/>
      <c r="Q109" s="180"/>
      <c r="R109" s="180"/>
      <c r="S109" s="184"/>
      <c r="T109" s="182"/>
      <c r="U109" s="182"/>
      <c r="V109" s="182"/>
      <c r="W109" s="182"/>
      <c r="X109" s="182"/>
    </row>
    <row r="110" spans="1:24">
      <c r="A110" s="182"/>
      <c r="B110" s="182"/>
      <c r="C110" s="182"/>
      <c r="D110" s="182"/>
      <c r="E110" s="182"/>
      <c r="F110" s="182"/>
      <c r="G110" s="182"/>
      <c r="H110" s="182"/>
      <c r="I110" s="182"/>
      <c r="J110" s="182"/>
      <c r="K110" s="182"/>
      <c r="L110" s="180"/>
      <c r="M110" s="182"/>
      <c r="N110" s="182"/>
      <c r="O110" s="182"/>
      <c r="P110" s="180"/>
      <c r="Q110" s="180"/>
      <c r="R110" s="180"/>
      <c r="S110" s="184"/>
      <c r="T110" s="182"/>
      <c r="U110" s="182"/>
      <c r="V110" s="182"/>
      <c r="W110" s="182"/>
      <c r="X110" s="182"/>
    </row>
    <row r="111" spans="1:24">
      <c r="A111" s="182"/>
      <c r="B111" s="182"/>
      <c r="C111" s="182"/>
      <c r="D111" s="182"/>
      <c r="E111" s="182"/>
      <c r="F111" s="182"/>
      <c r="G111" s="182"/>
      <c r="H111" s="182"/>
      <c r="I111" s="182"/>
      <c r="J111" s="182"/>
      <c r="K111" s="182"/>
      <c r="L111" s="180"/>
      <c r="M111" s="182"/>
      <c r="N111" s="182"/>
      <c r="O111" s="182"/>
      <c r="P111" s="180"/>
      <c r="Q111" s="180"/>
      <c r="R111" s="180"/>
      <c r="S111" s="184"/>
      <c r="T111" s="182"/>
      <c r="U111" s="182"/>
      <c r="V111" s="182"/>
      <c r="W111" s="182"/>
      <c r="X111" s="182"/>
    </row>
    <row r="112" spans="1:24">
      <c r="A112" s="182"/>
      <c r="B112" s="182"/>
      <c r="C112" s="182"/>
      <c r="D112" s="182"/>
      <c r="E112" s="182"/>
      <c r="F112" s="182"/>
      <c r="G112" s="182"/>
      <c r="H112" s="182"/>
      <c r="I112" s="182"/>
      <c r="J112" s="182"/>
      <c r="K112" s="182"/>
      <c r="L112" s="180"/>
      <c r="M112" s="182"/>
      <c r="N112" s="182"/>
      <c r="O112" s="182"/>
      <c r="P112" s="180"/>
      <c r="Q112" s="180"/>
      <c r="R112" s="180"/>
      <c r="S112" s="184"/>
      <c r="T112" s="182"/>
      <c r="U112" s="182"/>
      <c r="V112" s="182"/>
      <c r="W112" s="182"/>
      <c r="X112" s="182"/>
    </row>
    <row r="113" spans="1:24">
      <c r="A113" s="182"/>
      <c r="B113" s="182"/>
      <c r="C113" s="182"/>
      <c r="D113" s="182"/>
      <c r="E113" s="182"/>
      <c r="F113" s="182"/>
      <c r="G113" s="182"/>
      <c r="H113" s="182"/>
      <c r="I113" s="182"/>
      <c r="J113" s="182"/>
      <c r="K113" s="182"/>
      <c r="L113" s="180"/>
      <c r="M113" s="182"/>
      <c r="N113" s="182"/>
      <c r="O113" s="182"/>
      <c r="P113" s="180"/>
      <c r="Q113" s="180"/>
      <c r="R113" s="180"/>
      <c r="S113" s="184"/>
      <c r="T113" s="182"/>
      <c r="U113" s="182"/>
      <c r="V113" s="182"/>
      <c r="W113" s="182"/>
      <c r="X113" s="182"/>
    </row>
    <row r="114" spans="1:24">
      <c r="A114" s="182"/>
      <c r="B114" s="182"/>
      <c r="C114" s="182"/>
      <c r="D114" s="182"/>
      <c r="E114" s="182"/>
      <c r="F114" s="182"/>
      <c r="G114" s="182"/>
      <c r="H114" s="182"/>
      <c r="I114" s="182"/>
      <c r="J114" s="182"/>
      <c r="K114" s="182"/>
      <c r="L114" s="180"/>
      <c r="M114" s="182"/>
      <c r="N114" s="182"/>
      <c r="O114" s="182"/>
      <c r="P114" s="180"/>
      <c r="Q114" s="180"/>
      <c r="R114" s="180"/>
      <c r="S114" s="184"/>
      <c r="T114" s="182"/>
      <c r="U114" s="182"/>
      <c r="V114" s="182"/>
      <c r="W114" s="182"/>
      <c r="X114" s="182"/>
    </row>
    <row r="115" spans="1:24">
      <c r="A115" s="182"/>
      <c r="B115" s="182"/>
      <c r="C115" s="182"/>
      <c r="D115" s="182"/>
      <c r="E115" s="182"/>
      <c r="F115" s="182"/>
      <c r="G115" s="182"/>
      <c r="H115" s="182"/>
      <c r="I115" s="182"/>
      <c r="J115" s="182"/>
      <c r="K115" s="182"/>
      <c r="L115" s="180"/>
      <c r="M115" s="182"/>
      <c r="N115" s="182"/>
      <c r="O115" s="182"/>
      <c r="P115" s="180"/>
      <c r="Q115" s="180"/>
      <c r="R115" s="180"/>
      <c r="S115" s="184"/>
      <c r="T115" s="182"/>
      <c r="U115" s="182"/>
      <c r="V115" s="182"/>
      <c r="W115" s="182"/>
      <c r="X115" s="182"/>
    </row>
    <row r="116" spans="1:24">
      <c r="A116" s="182"/>
      <c r="B116" s="182"/>
      <c r="C116" s="182"/>
      <c r="D116" s="182"/>
      <c r="E116" s="182"/>
      <c r="F116" s="182"/>
      <c r="G116" s="182"/>
      <c r="H116" s="182"/>
      <c r="I116" s="182"/>
      <c r="J116" s="182"/>
      <c r="K116" s="182"/>
      <c r="L116" s="180"/>
      <c r="M116" s="182"/>
      <c r="N116" s="182"/>
      <c r="O116" s="182"/>
      <c r="P116" s="180"/>
      <c r="Q116" s="180"/>
      <c r="R116" s="180"/>
      <c r="S116" s="184"/>
      <c r="T116" s="182"/>
      <c r="U116" s="182"/>
      <c r="V116" s="182"/>
      <c r="W116" s="182"/>
      <c r="X116" s="182"/>
    </row>
    <row r="117" spans="1:24">
      <c r="A117" s="182"/>
      <c r="B117" s="182"/>
      <c r="C117" s="182"/>
      <c r="D117" s="182"/>
      <c r="E117" s="182"/>
      <c r="F117" s="182"/>
      <c r="G117" s="182"/>
      <c r="H117" s="182"/>
      <c r="I117" s="182"/>
      <c r="J117" s="182"/>
      <c r="K117" s="182"/>
      <c r="L117" s="180"/>
      <c r="M117" s="182"/>
      <c r="N117" s="182"/>
      <c r="O117" s="182"/>
      <c r="P117" s="180"/>
      <c r="Q117" s="180"/>
      <c r="R117" s="180"/>
      <c r="S117" s="184"/>
      <c r="T117" s="182"/>
      <c r="U117" s="182"/>
      <c r="V117" s="182"/>
      <c r="W117" s="182"/>
      <c r="X117" s="182"/>
    </row>
    <row r="118" spans="1:24">
      <c r="A118" s="182"/>
      <c r="B118" s="182"/>
      <c r="C118" s="182"/>
      <c r="D118" s="182"/>
      <c r="E118" s="182"/>
      <c r="F118" s="182"/>
      <c r="G118" s="182"/>
      <c r="H118" s="182"/>
      <c r="I118" s="182"/>
      <c r="J118" s="182"/>
      <c r="K118" s="182"/>
      <c r="L118" s="180"/>
      <c r="M118" s="182"/>
      <c r="N118" s="182"/>
      <c r="O118" s="182"/>
      <c r="P118" s="180"/>
      <c r="Q118" s="180"/>
      <c r="R118" s="180"/>
      <c r="S118" s="184"/>
      <c r="T118" s="182"/>
      <c r="U118" s="182"/>
      <c r="V118" s="182"/>
      <c r="W118" s="182"/>
      <c r="X118" s="182"/>
    </row>
    <row r="119" spans="1:24">
      <c r="A119" s="182"/>
      <c r="B119" s="182"/>
      <c r="C119" s="182"/>
      <c r="D119" s="182"/>
      <c r="E119" s="182"/>
      <c r="F119" s="182"/>
      <c r="G119" s="182"/>
      <c r="H119" s="182"/>
      <c r="I119" s="182"/>
      <c r="J119" s="182"/>
      <c r="K119" s="182"/>
      <c r="L119" s="180"/>
      <c r="M119" s="182"/>
      <c r="N119" s="182"/>
      <c r="O119" s="182"/>
      <c r="P119" s="180"/>
      <c r="Q119" s="180"/>
      <c r="R119" s="180"/>
      <c r="S119" s="184"/>
      <c r="T119" s="182"/>
      <c r="U119" s="182"/>
      <c r="V119" s="182"/>
      <c r="W119" s="182"/>
      <c r="X119" s="182"/>
    </row>
    <row r="120" spans="1:24">
      <c r="A120" s="182"/>
      <c r="B120" s="182"/>
      <c r="C120" s="182"/>
      <c r="D120" s="182"/>
      <c r="E120" s="182"/>
      <c r="F120" s="182"/>
      <c r="G120" s="182"/>
      <c r="H120" s="182"/>
      <c r="I120" s="182"/>
      <c r="J120" s="182"/>
      <c r="K120" s="182"/>
      <c r="L120" s="180"/>
      <c r="M120" s="182"/>
      <c r="N120" s="182"/>
      <c r="O120" s="182"/>
      <c r="P120" s="180"/>
      <c r="Q120" s="180"/>
      <c r="R120" s="180"/>
      <c r="S120" s="184"/>
      <c r="T120" s="182"/>
      <c r="U120" s="182"/>
      <c r="V120" s="182"/>
      <c r="W120" s="182"/>
      <c r="X120" s="182"/>
    </row>
    <row r="121" spans="1:24">
      <c r="A121" s="182"/>
      <c r="B121" s="182"/>
      <c r="C121" s="182"/>
      <c r="D121" s="182"/>
      <c r="E121" s="182"/>
      <c r="F121" s="182"/>
      <c r="G121" s="182"/>
      <c r="H121" s="182"/>
      <c r="I121" s="182"/>
      <c r="J121" s="182"/>
      <c r="K121" s="182"/>
      <c r="L121" s="180"/>
      <c r="M121" s="182"/>
      <c r="N121" s="182"/>
      <c r="O121" s="182"/>
      <c r="P121" s="180"/>
      <c r="Q121" s="180"/>
      <c r="R121" s="180"/>
      <c r="S121" s="184"/>
      <c r="T121" s="182"/>
      <c r="U121" s="182"/>
      <c r="V121" s="182"/>
      <c r="W121" s="182"/>
      <c r="X121" s="182"/>
    </row>
    <row r="122" spans="1:24">
      <c r="A122" s="182"/>
      <c r="B122" s="182"/>
      <c r="C122" s="182"/>
      <c r="D122" s="182"/>
      <c r="E122" s="182"/>
      <c r="F122" s="182"/>
      <c r="G122" s="182"/>
      <c r="H122" s="182"/>
      <c r="I122" s="182"/>
      <c r="J122" s="182"/>
      <c r="K122" s="182"/>
      <c r="L122" s="180"/>
      <c r="M122" s="182"/>
      <c r="N122" s="182"/>
      <c r="O122" s="182"/>
      <c r="P122" s="180"/>
      <c r="Q122" s="180"/>
      <c r="R122" s="180"/>
      <c r="S122" s="184"/>
      <c r="T122" s="182"/>
      <c r="U122" s="182"/>
      <c r="V122" s="182"/>
      <c r="W122" s="182"/>
      <c r="X122" s="182"/>
    </row>
    <row r="123" spans="1:24">
      <c r="A123" s="182"/>
      <c r="B123" s="182"/>
      <c r="C123" s="182"/>
      <c r="D123" s="182"/>
      <c r="E123" s="182"/>
      <c r="F123" s="182"/>
      <c r="G123" s="182"/>
      <c r="H123" s="182"/>
      <c r="I123" s="182"/>
      <c r="J123" s="182"/>
      <c r="K123" s="182"/>
      <c r="L123" s="180"/>
      <c r="M123" s="182"/>
      <c r="N123" s="182"/>
      <c r="O123" s="182"/>
      <c r="P123" s="180"/>
      <c r="Q123" s="180"/>
      <c r="R123" s="180"/>
      <c r="S123" s="184"/>
      <c r="T123" s="182"/>
      <c r="U123" s="182"/>
      <c r="V123" s="182"/>
      <c r="W123" s="182"/>
      <c r="X123" s="182"/>
    </row>
    <row r="124" spans="1:24">
      <c r="A124" s="182"/>
      <c r="B124" s="182"/>
      <c r="C124" s="182"/>
      <c r="D124" s="182"/>
      <c r="E124" s="182"/>
      <c r="F124" s="182"/>
      <c r="G124" s="182"/>
      <c r="H124" s="182"/>
      <c r="I124" s="182"/>
      <c r="J124" s="182"/>
      <c r="K124" s="182"/>
      <c r="L124" s="180"/>
      <c r="M124" s="182"/>
      <c r="N124" s="182"/>
      <c r="O124" s="182"/>
      <c r="P124" s="180"/>
      <c r="Q124" s="180"/>
      <c r="R124" s="180"/>
      <c r="S124" s="184"/>
      <c r="T124" s="182"/>
      <c r="U124" s="182"/>
      <c r="V124" s="182"/>
      <c r="W124" s="182"/>
      <c r="X124" s="182"/>
    </row>
    <row r="125" spans="1:24">
      <c r="A125" s="182"/>
      <c r="B125" s="182"/>
      <c r="C125" s="182"/>
      <c r="D125" s="182"/>
      <c r="E125" s="182"/>
      <c r="F125" s="182"/>
      <c r="G125" s="182"/>
      <c r="H125" s="182"/>
      <c r="I125" s="182"/>
      <c r="J125" s="182"/>
      <c r="K125" s="182"/>
      <c r="L125" s="180"/>
      <c r="M125" s="182"/>
      <c r="N125" s="182"/>
      <c r="O125" s="182"/>
      <c r="P125" s="180"/>
      <c r="Q125" s="180"/>
      <c r="R125" s="180"/>
      <c r="S125" s="184"/>
      <c r="T125" s="182"/>
      <c r="U125" s="182"/>
      <c r="V125" s="182"/>
      <c r="W125" s="182"/>
      <c r="X125" s="182"/>
    </row>
    <row r="126" spans="1:24">
      <c r="A126" s="182"/>
      <c r="B126" s="182"/>
      <c r="C126" s="182"/>
      <c r="D126" s="182"/>
      <c r="E126" s="182"/>
      <c r="F126" s="182"/>
      <c r="G126" s="182"/>
      <c r="H126" s="182"/>
      <c r="I126" s="182"/>
      <c r="J126" s="182"/>
      <c r="K126" s="182"/>
      <c r="L126" s="180"/>
      <c r="M126" s="182"/>
      <c r="N126" s="182"/>
      <c r="O126" s="182"/>
      <c r="P126" s="180"/>
      <c r="Q126" s="180"/>
      <c r="R126" s="180"/>
      <c r="S126" s="184"/>
      <c r="T126" s="182"/>
      <c r="U126" s="182"/>
      <c r="V126" s="182"/>
      <c r="W126" s="182"/>
      <c r="X126" s="182"/>
    </row>
    <row r="127" spans="1:24">
      <c r="A127" s="182"/>
      <c r="B127" s="182"/>
      <c r="C127" s="182"/>
      <c r="D127" s="182"/>
      <c r="E127" s="182"/>
      <c r="F127" s="182"/>
      <c r="G127" s="182"/>
      <c r="H127" s="182"/>
      <c r="I127" s="182"/>
      <c r="J127" s="182"/>
      <c r="K127" s="182"/>
      <c r="L127" s="180"/>
      <c r="M127" s="182"/>
      <c r="N127" s="182"/>
      <c r="O127" s="182"/>
      <c r="P127" s="180"/>
      <c r="Q127" s="180"/>
      <c r="R127" s="180"/>
      <c r="S127" s="184"/>
      <c r="T127" s="182"/>
      <c r="U127" s="182"/>
      <c r="V127" s="182"/>
      <c r="W127" s="182"/>
      <c r="X127" s="182"/>
    </row>
    <row r="128" spans="1:24">
      <c r="A128" s="182"/>
      <c r="B128" s="182"/>
      <c r="C128" s="182"/>
      <c r="D128" s="182"/>
      <c r="E128" s="182"/>
      <c r="F128" s="182"/>
      <c r="G128" s="182"/>
      <c r="H128" s="182"/>
      <c r="I128" s="182"/>
      <c r="J128" s="182"/>
      <c r="K128" s="182"/>
      <c r="L128" s="180"/>
      <c r="M128" s="182"/>
      <c r="N128" s="182"/>
      <c r="O128" s="182"/>
      <c r="P128" s="180"/>
      <c r="Q128" s="180"/>
      <c r="R128" s="180"/>
      <c r="S128" s="184"/>
      <c r="T128" s="182"/>
      <c r="U128" s="182"/>
      <c r="V128" s="182"/>
      <c r="W128" s="182"/>
      <c r="X128" s="182"/>
    </row>
    <row r="129" spans="1:24">
      <c r="A129" s="182"/>
      <c r="B129" s="182"/>
      <c r="C129" s="182"/>
      <c r="D129" s="182"/>
      <c r="E129" s="182"/>
      <c r="F129" s="182"/>
      <c r="G129" s="182"/>
      <c r="H129" s="182"/>
      <c r="I129" s="182"/>
      <c r="J129" s="182"/>
      <c r="K129" s="182"/>
      <c r="L129" s="180"/>
      <c r="M129" s="182"/>
      <c r="N129" s="182"/>
      <c r="O129" s="182"/>
      <c r="P129" s="180"/>
      <c r="Q129" s="180"/>
      <c r="R129" s="180"/>
      <c r="S129" s="184"/>
      <c r="T129" s="182"/>
      <c r="U129" s="182"/>
      <c r="V129" s="182"/>
      <c r="W129" s="182"/>
      <c r="X129" s="182"/>
    </row>
    <row r="130" spans="1:24">
      <c r="A130" s="182"/>
      <c r="B130" s="182"/>
      <c r="C130" s="182"/>
      <c r="D130" s="182"/>
      <c r="E130" s="182"/>
      <c r="F130" s="182"/>
      <c r="G130" s="182"/>
      <c r="H130" s="182"/>
      <c r="I130" s="182"/>
      <c r="J130" s="182"/>
      <c r="K130" s="182"/>
      <c r="L130" s="180"/>
      <c r="M130" s="182"/>
      <c r="N130" s="182"/>
      <c r="O130" s="182"/>
      <c r="P130" s="180"/>
      <c r="Q130" s="180"/>
      <c r="R130" s="180"/>
      <c r="S130" s="184"/>
      <c r="T130" s="182"/>
      <c r="U130" s="182"/>
      <c r="V130" s="182"/>
      <c r="W130" s="182"/>
      <c r="X130" s="182"/>
    </row>
    <row r="131" spans="1:24">
      <c r="A131" s="182"/>
      <c r="B131" s="182"/>
      <c r="C131" s="182"/>
      <c r="D131" s="182"/>
      <c r="E131" s="182"/>
      <c r="F131" s="182"/>
      <c r="G131" s="182"/>
      <c r="H131" s="182"/>
      <c r="I131" s="182"/>
      <c r="J131" s="182"/>
      <c r="K131" s="182"/>
      <c r="L131" s="180"/>
      <c r="M131" s="182"/>
      <c r="N131" s="182"/>
      <c r="O131" s="182"/>
      <c r="P131" s="180"/>
      <c r="Q131" s="180"/>
      <c r="R131" s="180"/>
      <c r="S131" s="184"/>
      <c r="T131" s="182"/>
      <c r="U131" s="182"/>
      <c r="V131" s="182"/>
      <c r="W131" s="182"/>
      <c r="X131" s="182"/>
    </row>
    <row r="132" spans="1:24">
      <c r="A132" s="182"/>
      <c r="B132" s="182"/>
      <c r="C132" s="182"/>
      <c r="D132" s="182"/>
      <c r="E132" s="182"/>
      <c r="F132" s="182"/>
      <c r="G132" s="182"/>
      <c r="H132" s="182"/>
      <c r="I132" s="182"/>
      <c r="J132" s="182"/>
      <c r="K132" s="182"/>
      <c r="L132" s="180"/>
      <c r="M132" s="182"/>
      <c r="N132" s="182"/>
      <c r="O132" s="182"/>
      <c r="P132" s="180"/>
      <c r="Q132" s="180"/>
      <c r="R132" s="180"/>
      <c r="S132" s="184"/>
      <c r="T132" s="182"/>
      <c r="U132" s="182"/>
      <c r="V132" s="182"/>
      <c r="W132" s="182"/>
      <c r="X132" s="182"/>
    </row>
    <row r="133" spans="1:24">
      <c r="A133" s="182"/>
      <c r="B133" s="182"/>
      <c r="C133" s="182"/>
      <c r="D133" s="182"/>
      <c r="E133" s="182"/>
      <c r="F133" s="182"/>
      <c r="G133" s="182"/>
      <c r="H133" s="182"/>
      <c r="I133" s="182"/>
      <c r="J133" s="182"/>
      <c r="K133" s="182"/>
      <c r="L133" s="180"/>
      <c r="M133" s="182"/>
      <c r="N133" s="182"/>
      <c r="O133" s="182"/>
      <c r="P133" s="180"/>
      <c r="Q133" s="180"/>
      <c r="R133" s="180"/>
      <c r="S133" s="184"/>
      <c r="T133" s="182"/>
      <c r="U133" s="182"/>
      <c r="V133" s="182"/>
      <c r="W133" s="182"/>
      <c r="X133" s="182"/>
    </row>
    <row r="134" spans="1:24">
      <c r="A134" s="182"/>
      <c r="B134" s="182"/>
      <c r="C134" s="182"/>
      <c r="D134" s="182"/>
      <c r="E134" s="182"/>
      <c r="F134" s="182"/>
      <c r="G134" s="182"/>
      <c r="H134" s="182"/>
      <c r="I134" s="182"/>
      <c r="J134" s="182"/>
      <c r="K134" s="182"/>
      <c r="L134" s="180"/>
      <c r="M134" s="182"/>
      <c r="N134" s="182"/>
      <c r="O134" s="182"/>
      <c r="P134" s="180"/>
      <c r="Q134" s="180"/>
      <c r="R134" s="180"/>
      <c r="S134" s="184"/>
      <c r="T134" s="182"/>
      <c r="U134" s="182"/>
      <c r="V134" s="182"/>
      <c r="W134" s="182"/>
      <c r="X134" s="182"/>
    </row>
    <row r="135" spans="1:24">
      <c r="A135" s="182"/>
      <c r="B135" s="182"/>
      <c r="C135" s="182"/>
      <c r="D135" s="182"/>
      <c r="E135" s="182"/>
      <c r="F135" s="182"/>
      <c r="G135" s="182"/>
      <c r="H135" s="182"/>
      <c r="I135" s="182"/>
      <c r="J135" s="182"/>
      <c r="K135" s="182"/>
      <c r="L135" s="180"/>
      <c r="M135" s="182"/>
      <c r="N135" s="182"/>
      <c r="O135" s="182"/>
      <c r="P135" s="180"/>
      <c r="Q135" s="180"/>
      <c r="R135" s="180"/>
      <c r="S135" s="184"/>
      <c r="T135" s="182"/>
      <c r="U135" s="182"/>
      <c r="V135" s="182"/>
      <c r="W135" s="182"/>
      <c r="X135" s="182"/>
    </row>
    <row r="136" spans="1:24">
      <c r="A136" s="182"/>
      <c r="B136" s="182"/>
      <c r="C136" s="182"/>
      <c r="D136" s="182"/>
      <c r="E136" s="182"/>
      <c r="F136" s="182"/>
      <c r="G136" s="182"/>
      <c r="H136" s="182"/>
      <c r="I136" s="182"/>
      <c r="J136" s="182"/>
      <c r="K136" s="182"/>
      <c r="L136" s="180"/>
      <c r="M136" s="182"/>
      <c r="N136" s="182"/>
      <c r="O136" s="182"/>
      <c r="P136" s="180"/>
      <c r="Q136" s="180"/>
      <c r="R136" s="180"/>
      <c r="S136" s="184"/>
      <c r="T136" s="182"/>
      <c r="U136" s="182"/>
      <c r="V136" s="182"/>
      <c r="W136" s="182"/>
      <c r="X136" s="182"/>
    </row>
    <row r="137" spans="1:24">
      <c r="A137" s="182"/>
      <c r="B137" s="182"/>
      <c r="C137" s="182"/>
      <c r="D137" s="182"/>
      <c r="E137" s="182"/>
      <c r="F137" s="182"/>
      <c r="G137" s="182"/>
      <c r="H137" s="182"/>
      <c r="I137" s="182"/>
      <c r="J137" s="182"/>
      <c r="K137" s="182"/>
      <c r="L137" s="180"/>
      <c r="M137" s="182"/>
      <c r="N137" s="182"/>
      <c r="O137" s="182"/>
      <c r="P137" s="180"/>
      <c r="Q137" s="180"/>
      <c r="R137" s="180"/>
      <c r="S137" s="184"/>
      <c r="T137" s="182"/>
      <c r="U137" s="182"/>
      <c r="V137" s="182"/>
      <c r="W137" s="182"/>
      <c r="X137" s="182"/>
    </row>
    <row r="138" spans="1:24">
      <c r="A138" s="182"/>
      <c r="B138" s="182"/>
      <c r="C138" s="182"/>
      <c r="D138" s="182"/>
      <c r="E138" s="182"/>
      <c r="F138" s="182"/>
      <c r="G138" s="182"/>
      <c r="H138" s="182"/>
      <c r="I138" s="182"/>
      <c r="J138" s="182"/>
      <c r="K138" s="182"/>
      <c r="L138" s="180"/>
      <c r="M138" s="182"/>
      <c r="N138" s="182"/>
      <c r="O138" s="182"/>
      <c r="P138" s="180"/>
      <c r="Q138" s="180"/>
      <c r="R138" s="180"/>
      <c r="S138" s="184"/>
      <c r="T138" s="182"/>
      <c r="U138" s="182"/>
      <c r="V138" s="182"/>
      <c r="W138" s="182"/>
      <c r="X138" s="182"/>
    </row>
    <row r="139" spans="1:24">
      <c r="A139" s="182"/>
      <c r="B139" s="182"/>
      <c r="C139" s="182"/>
      <c r="D139" s="182"/>
      <c r="E139" s="182"/>
      <c r="F139" s="182"/>
      <c r="G139" s="182"/>
      <c r="H139" s="182"/>
      <c r="I139" s="182"/>
      <c r="J139" s="182"/>
      <c r="K139" s="182"/>
      <c r="L139" s="180"/>
      <c r="M139" s="182"/>
      <c r="N139" s="182"/>
      <c r="O139" s="182"/>
      <c r="P139" s="180"/>
      <c r="Q139" s="180"/>
      <c r="R139" s="180"/>
      <c r="S139" s="184"/>
      <c r="T139" s="182"/>
      <c r="U139" s="182"/>
      <c r="V139" s="182"/>
      <c r="W139" s="182"/>
      <c r="X139" s="182"/>
    </row>
    <row r="140" spans="1:24">
      <c r="A140" s="182"/>
      <c r="B140" s="182"/>
      <c r="C140" s="182"/>
      <c r="D140" s="182"/>
      <c r="E140" s="182"/>
      <c r="F140" s="182"/>
      <c r="G140" s="182"/>
      <c r="H140" s="182"/>
      <c r="I140" s="182"/>
      <c r="J140" s="182"/>
      <c r="K140" s="182"/>
      <c r="L140" s="180"/>
      <c r="M140" s="182"/>
      <c r="N140" s="182"/>
      <c r="O140" s="182"/>
      <c r="P140" s="180"/>
      <c r="Q140" s="180"/>
      <c r="R140" s="180"/>
      <c r="S140" s="184"/>
      <c r="T140" s="182"/>
      <c r="U140" s="182"/>
      <c r="V140" s="182"/>
      <c r="W140" s="182"/>
      <c r="X140" s="182"/>
    </row>
    <row r="141" spans="1:24">
      <c r="A141" s="182"/>
      <c r="B141" s="182"/>
      <c r="C141" s="182"/>
      <c r="D141" s="182"/>
      <c r="E141" s="182"/>
      <c r="F141" s="182"/>
      <c r="G141" s="182"/>
      <c r="H141" s="182"/>
      <c r="I141" s="182"/>
      <c r="J141" s="182"/>
      <c r="K141" s="182"/>
      <c r="L141" s="180"/>
      <c r="M141" s="182"/>
      <c r="N141" s="182"/>
      <c r="O141" s="182"/>
      <c r="P141" s="180"/>
      <c r="Q141" s="180"/>
      <c r="R141" s="180"/>
      <c r="S141" s="184"/>
      <c r="T141" s="182"/>
      <c r="U141" s="182"/>
      <c r="V141" s="182"/>
      <c r="W141" s="182"/>
      <c r="X141" s="182"/>
    </row>
    <row r="142" spans="1:24">
      <c r="A142" s="182"/>
      <c r="B142" s="182"/>
      <c r="C142" s="182"/>
      <c r="D142" s="182"/>
      <c r="E142" s="182"/>
      <c r="F142" s="182"/>
      <c r="G142" s="182"/>
      <c r="H142" s="182"/>
      <c r="I142" s="182"/>
      <c r="J142" s="182"/>
      <c r="K142" s="182"/>
      <c r="L142" s="180"/>
      <c r="M142" s="182"/>
      <c r="N142" s="182"/>
      <c r="O142" s="182"/>
      <c r="P142" s="180"/>
      <c r="Q142" s="180"/>
      <c r="R142" s="180"/>
      <c r="S142" s="184"/>
      <c r="T142" s="182"/>
      <c r="U142" s="182"/>
      <c r="V142" s="182"/>
      <c r="W142" s="182"/>
      <c r="X142" s="182"/>
    </row>
    <row r="143" spans="1:24">
      <c r="A143" s="182"/>
      <c r="B143" s="182"/>
      <c r="C143" s="182"/>
      <c r="D143" s="182"/>
      <c r="E143" s="182"/>
      <c r="F143" s="182"/>
      <c r="G143" s="182"/>
      <c r="H143" s="182"/>
      <c r="I143" s="182"/>
      <c r="J143" s="182"/>
      <c r="K143" s="182"/>
      <c r="L143" s="180"/>
      <c r="M143" s="182"/>
      <c r="N143" s="182"/>
      <c r="O143" s="182"/>
      <c r="P143" s="180"/>
      <c r="Q143" s="180"/>
      <c r="R143" s="180"/>
      <c r="S143" s="184"/>
      <c r="T143" s="182"/>
      <c r="U143" s="182"/>
      <c r="V143" s="182"/>
      <c r="W143" s="182"/>
      <c r="X143" s="182"/>
    </row>
    <row r="144" spans="1:24">
      <c r="A144" s="182"/>
      <c r="B144" s="182"/>
      <c r="C144" s="182"/>
      <c r="D144" s="182"/>
      <c r="E144" s="182"/>
      <c r="F144" s="182"/>
      <c r="G144" s="182"/>
      <c r="H144" s="182"/>
      <c r="I144" s="182"/>
      <c r="J144" s="182"/>
      <c r="K144" s="182"/>
      <c r="L144" s="180"/>
      <c r="M144" s="182"/>
      <c r="N144" s="182"/>
      <c r="O144" s="182"/>
      <c r="P144" s="180"/>
      <c r="Q144" s="180"/>
      <c r="R144" s="180"/>
      <c r="S144" s="184"/>
      <c r="T144" s="182"/>
      <c r="U144" s="182"/>
      <c r="V144" s="182"/>
      <c r="W144" s="182"/>
      <c r="X144" s="182"/>
    </row>
    <row r="145" spans="1:24">
      <c r="A145" s="182"/>
      <c r="B145" s="182"/>
      <c r="C145" s="182"/>
      <c r="D145" s="182"/>
      <c r="E145" s="182"/>
      <c r="F145" s="182"/>
      <c r="G145" s="182"/>
      <c r="H145" s="182"/>
      <c r="I145" s="182"/>
      <c r="J145" s="182"/>
      <c r="K145" s="182"/>
      <c r="L145" s="180"/>
      <c r="M145" s="182"/>
      <c r="N145" s="182"/>
      <c r="O145" s="182"/>
      <c r="P145" s="180"/>
      <c r="Q145" s="180"/>
      <c r="R145" s="180"/>
      <c r="S145" s="184"/>
      <c r="T145" s="182"/>
      <c r="U145" s="182"/>
      <c r="V145" s="182"/>
      <c r="W145" s="182"/>
      <c r="X145" s="182"/>
    </row>
    <row r="146" spans="1:24">
      <c r="A146" s="182"/>
      <c r="B146" s="182"/>
      <c r="C146" s="182"/>
      <c r="D146" s="182"/>
      <c r="E146" s="182"/>
      <c r="F146" s="182"/>
      <c r="G146" s="182"/>
      <c r="H146" s="182"/>
      <c r="I146" s="182"/>
      <c r="J146" s="182"/>
      <c r="K146" s="182"/>
      <c r="L146" s="180"/>
      <c r="M146" s="182"/>
      <c r="N146" s="182"/>
      <c r="O146" s="182"/>
      <c r="P146" s="180"/>
      <c r="Q146" s="180"/>
      <c r="R146" s="180"/>
      <c r="S146" s="184"/>
      <c r="T146" s="182"/>
      <c r="U146" s="182"/>
      <c r="V146" s="182"/>
      <c r="W146" s="182"/>
      <c r="X146" s="182"/>
    </row>
    <row r="147" spans="1:24">
      <c r="A147" s="182"/>
      <c r="B147" s="182"/>
      <c r="C147" s="182"/>
      <c r="D147" s="182"/>
      <c r="E147" s="182"/>
      <c r="F147" s="182"/>
      <c r="G147" s="182"/>
      <c r="H147" s="182"/>
      <c r="I147" s="182"/>
      <c r="J147" s="182"/>
      <c r="K147" s="182"/>
      <c r="L147" s="180"/>
      <c r="M147" s="182"/>
      <c r="N147" s="182"/>
      <c r="O147" s="182"/>
      <c r="P147" s="180"/>
      <c r="Q147" s="180"/>
      <c r="R147" s="180"/>
      <c r="S147" s="184"/>
      <c r="T147" s="182"/>
      <c r="U147" s="182"/>
      <c r="V147" s="182"/>
      <c r="W147" s="182"/>
      <c r="X147" s="182"/>
    </row>
    <row r="148" spans="1:24">
      <c r="A148" s="182"/>
      <c r="B148" s="182"/>
      <c r="C148" s="182"/>
      <c r="D148" s="182"/>
      <c r="E148" s="182"/>
      <c r="F148" s="182"/>
      <c r="G148" s="182"/>
      <c r="H148" s="182"/>
      <c r="I148" s="182"/>
      <c r="J148" s="182"/>
      <c r="K148" s="182"/>
      <c r="L148" s="180"/>
      <c r="M148" s="182"/>
      <c r="N148" s="182"/>
      <c r="O148" s="182"/>
      <c r="P148" s="180"/>
      <c r="Q148" s="180"/>
      <c r="R148" s="180"/>
      <c r="S148" s="184"/>
      <c r="T148" s="182"/>
      <c r="U148" s="182"/>
      <c r="V148" s="182"/>
      <c r="W148" s="182"/>
      <c r="X148" s="182"/>
    </row>
    <row r="149" spans="1:24">
      <c r="A149" s="182"/>
      <c r="B149" s="182"/>
      <c r="C149" s="182"/>
      <c r="D149" s="182"/>
      <c r="E149" s="182"/>
      <c r="F149" s="182"/>
      <c r="G149" s="182"/>
      <c r="H149" s="182"/>
      <c r="I149" s="182"/>
      <c r="J149" s="182"/>
      <c r="K149" s="182"/>
      <c r="L149" s="180"/>
      <c r="M149" s="182"/>
      <c r="N149" s="182"/>
      <c r="O149" s="182"/>
      <c r="P149" s="180"/>
      <c r="Q149" s="180"/>
      <c r="R149" s="180"/>
      <c r="S149" s="184"/>
      <c r="T149" s="182"/>
      <c r="U149" s="182"/>
      <c r="V149" s="182"/>
      <c r="W149" s="182"/>
      <c r="X149" s="182"/>
    </row>
    <row r="150" spans="1:24">
      <c r="A150" s="182"/>
      <c r="B150" s="182"/>
      <c r="C150" s="182"/>
      <c r="D150" s="182"/>
      <c r="E150" s="182"/>
      <c r="F150" s="182"/>
      <c r="G150" s="182"/>
      <c r="H150" s="182"/>
      <c r="I150" s="182"/>
      <c r="J150" s="182"/>
      <c r="K150" s="182"/>
      <c r="L150" s="180"/>
      <c r="M150" s="182"/>
      <c r="N150" s="182"/>
      <c r="O150" s="182"/>
      <c r="P150" s="180"/>
      <c r="Q150" s="180"/>
      <c r="R150" s="180"/>
      <c r="S150" s="184"/>
      <c r="T150" s="182"/>
      <c r="U150" s="182"/>
      <c r="V150" s="182"/>
      <c r="W150" s="182"/>
      <c r="X150" s="182"/>
    </row>
    <row r="151" spans="1:24">
      <c r="A151" s="182"/>
      <c r="B151" s="182"/>
      <c r="C151" s="182"/>
      <c r="D151" s="182"/>
      <c r="E151" s="182"/>
      <c r="F151" s="182"/>
      <c r="G151" s="182"/>
      <c r="H151" s="182"/>
      <c r="I151" s="182"/>
      <c r="J151" s="182"/>
      <c r="K151" s="182"/>
      <c r="L151" s="180"/>
      <c r="M151" s="182"/>
      <c r="N151" s="182"/>
      <c r="O151" s="182"/>
      <c r="P151" s="180"/>
      <c r="Q151" s="180"/>
      <c r="R151" s="180"/>
      <c r="S151" s="184"/>
      <c r="T151" s="182"/>
      <c r="U151" s="182"/>
      <c r="V151" s="182"/>
      <c r="W151" s="182"/>
      <c r="X151" s="182"/>
    </row>
    <row r="152" spans="1:24">
      <c r="A152" s="182"/>
      <c r="B152" s="182"/>
      <c r="C152" s="182"/>
      <c r="D152" s="182"/>
      <c r="E152" s="182"/>
      <c r="F152" s="182"/>
      <c r="G152" s="182"/>
      <c r="H152" s="182"/>
      <c r="I152" s="182"/>
      <c r="J152" s="182"/>
      <c r="K152" s="182"/>
      <c r="L152" s="180"/>
      <c r="M152" s="182"/>
      <c r="N152" s="182"/>
      <c r="O152" s="182"/>
      <c r="P152" s="180"/>
      <c r="Q152" s="180"/>
      <c r="R152" s="180"/>
      <c r="S152" s="184"/>
      <c r="T152" s="182"/>
      <c r="U152" s="182"/>
      <c r="V152" s="182"/>
      <c r="W152" s="182"/>
      <c r="X152" s="182"/>
    </row>
    <row r="153" spans="1:24">
      <c r="A153" s="182"/>
      <c r="B153" s="182"/>
      <c r="C153" s="182"/>
      <c r="D153" s="182"/>
      <c r="E153" s="182"/>
      <c r="F153" s="182"/>
      <c r="G153" s="182"/>
      <c r="H153" s="182"/>
      <c r="I153" s="182"/>
      <c r="J153" s="182"/>
      <c r="K153" s="182"/>
      <c r="L153" s="180"/>
      <c r="M153" s="182"/>
      <c r="N153" s="182"/>
      <c r="O153" s="182"/>
      <c r="P153" s="180"/>
      <c r="Q153" s="180"/>
      <c r="R153" s="180"/>
      <c r="S153" s="184"/>
      <c r="T153" s="182"/>
      <c r="U153" s="182"/>
      <c r="V153" s="182"/>
      <c r="W153" s="182"/>
      <c r="X153" s="182"/>
    </row>
    <row r="154" spans="1:24">
      <c r="A154" s="182"/>
      <c r="B154" s="182"/>
      <c r="C154" s="182"/>
      <c r="D154" s="182"/>
      <c r="E154" s="182"/>
      <c r="F154" s="182"/>
      <c r="G154" s="182"/>
      <c r="H154" s="182"/>
      <c r="I154" s="182"/>
      <c r="J154" s="182"/>
      <c r="K154" s="182"/>
      <c r="L154" s="180"/>
      <c r="M154" s="182"/>
      <c r="N154" s="182"/>
      <c r="O154" s="182"/>
      <c r="P154" s="180"/>
      <c r="Q154" s="180"/>
      <c r="R154" s="180"/>
      <c r="S154" s="184"/>
      <c r="T154" s="182"/>
      <c r="U154" s="182"/>
      <c r="V154" s="182"/>
      <c r="W154" s="182"/>
      <c r="X154" s="182"/>
    </row>
    <row r="155" spans="1:24">
      <c r="A155" s="182"/>
      <c r="B155" s="182"/>
      <c r="C155" s="182"/>
      <c r="D155" s="182"/>
      <c r="E155" s="182"/>
      <c r="F155" s="182"/>
      <c r="G155" s="182"/>
      <c r="H155" s="182"/>
      <c r="I155" s="182"/>
      <c r="J155" s="182"/>
      <c r="K155" s="182"/>
      <c r="L155" s="180"/>
      <c r="M155" s="182"/>
      <c r="N155" s="182"/>
      <c r="O155" s="182"/>
      <c r="P155" s="180"/>
      <c r="Q155" s="180"/>
      <c r="R155" s="180"/>
      <c r="S155" s="184"/>
      <c r="T155" s="182"/>
      <c r="U155" s="182"/>
      <c r="V155" s="182"/>
      <c r="W155" s="182"/>
      <c r="X155" s="182"/>
    </row>
    <row r="156" spans="1:24">
      <c r="A156" s="182"/>
      <c r="B156" s="182"/>
      <c r="C156" s="182"/>
      <c r="D156" s="182"/>
      <c r="E156" s="182"/>
      <c r="F156" s="182"/>
      <c r="G156" s="182"/>
      <c r="H156" s="182"/>
      <c r="I156" s="182"/>
      <c r="J156" s="182"/>
      <c r="K156" s="182"/>
      <c r="L156" s="180"/>
      <c r="M156" s="182"/>
      <c r="N156" s="182"/>
      <c r="O156" s="182"/>
      <c r="P156" s="180"/>
      <c r="Q156" s="180"/>
      <c r="R156" s="180"/>
      <c r="S156" s="184"/>
      <c r="T156" s="182"/>
      <c r="U156" s="182"/>
      <c r="V156" s="182"/>
      <c r="W156" s="182"/>
      <c r="X156" s="182"/>
    </row>
    <row r="157" spans="1:24">
      <c r="A157" s="182"/>
      <c r="B157" s="182"/>
      <c r="C157" s="182"/>
      <c r="D157" s="182"/>
      <c r="E157" s="182"/>
      <c r="F157" s="182"/>
      <c r="G157" s="182"/>
      <c r="H157" s="182"/>
      <c r="I157" s="182"/>
      <c r="J157" s="182"/>
      <c r="K157" s="182"/>
      <c r="L157" s="180"/>
      <c r="M157" s="182"/>
      <c r="N157" s="182"/>
      <c r="O157" s="182"/>
      <c r="P157" s="180"/>
      <c r="Q157" s="180"/>
      <c r="R157" s="180"/>
      <c r="S157" s="184"/>
      <c r="T157" s="182"/>
      <c r="U157" s="182"/>
      <c r="V157" s="182"/>
      <c r="W157" s="182"/>
      <c r="X157" s="182"/>
    </row>
    <row r="158" spans="1:24">
      <c r="A158" s="182"/>
      <c r="B158" s="182"/>
      <c r="C158" s="182"/>
      <c r="D158" s="182"/>
      <c r="E158" s="182"/>
      <c r="F158" s="182"/>
      <c r="G158" s="182"/>
      <c r="H158" s="182"/>
      <c r="I158" s="182"/>
      <c r="J158" s="182"/>
      <c r="K158" s="182"/>
      <c r="L158" s="180"/>
      <c r="M158" s="182"/>
      <c r="N158" s="182"/>
      <c r="O158" s="182"/>
      <c r="P158" s="180"/>
      <c r="Q158" s="180"/>
      <c r="R158" s="180"/>
      <c r="S158" s="184"/>
      <c r="T158" s="182"/>
      <c r="U158" s="182"/>
      <c r="V158" s="182"/>
      <c r="W158" s="182"/>
      <c r="X158" s="182"/>
    </row>
    <row r="159" spans="1:24">
      <c r="A159" s="182"/>
      <c r="B159" s="182"/>
      <c r="C159" s="182"/>
      <c r="D159" s="182"/>
      <c r="E159" s="182"/>
      <c r="F159" s="182"/>
      <c r="G159" s="182"/>
      <c r="H159" s="182"/>
      <c r="I159" s="182"/>
      <c r="J159" s="182"/>
      <c r="K159" s="182"/>
      <c r="L159" s="180"/>
      <c r="M159" s="182"/>
      <c r="N159" s="182"/>
      <c r="O159" s="182"/>
      <c r="P159" s="180"/>
      <c r="Q159" s="180"/>
      <c r="R159" s="180"/>
      <c r="S159" s="184"/>
      <c r="T159" s="182"/>
      <c r="U159" s="182"/>
      <c r="V159" s="182"/>
      <c r="W159" s="182"/>
      <c r="X159" s="182"/>
    </row>
    <row r="160" spans="1:24">
      <c r="A160" s="182"/>
      <c r="B160" s="182"/>
      <c r="C160" s="182"/>
      <c r="D160" s="182"/>
      <c r="E160" s="182"/>
      <c r="F160" s="182"/>
      <c r="G160" s="182"/>
      <c r="H160" s="182"/>
      <c r="I160" s="182"/>
      <c r="J160" s="182"/>
      <c r="K160" s="182"/>
      <c r="L160" s="180"/>
      <c r="M160" s="182"/>
      <c r="N160" s="182"/>
      <c r="O160" s="182"/>
      <c r="P160" s="180"/>
      <c r="Q160" s="180"/>
      <c r="R160" s="180"/>
      <c r="S160" s="184"/>
      <c r="T160" s="182"/>
      <c r="U160" s="182"/>
      <c r="V160" s="182"/>
      <c r="W160" s="182"/>
      <c r="X160" s="182"/>
    </row>
    <row r="161" spans="1:24">
      <c r="A161" s="182"/>
      <c r="B161" s="182"/>
      <c r="C161" s="182"/>
      <c r="D161" s="182"/>
      <c r="E161" s="182"/>
      <c r="F161" s="182"/>
      <c r="G161" s="182"/>
      <c r="H161" s="182"/>
      <c r="I161" s="182"/>
      <c r="J161" s="182"/>
      <c r="K161" s="182"/>
      <c r="L161" s="180"/>
      <c r="M161" s="182"/>
      <c r="N161" s="182"/>
      <c r="O161" s="182"/>
      <c r="P161" s="180"/>
      <c r="Q161" s="180"/>
      <c r="R161" s="180"/>
      <c r="S161" s="184"/>
      <c r="T161" s="182"/>
      <c r="U161" s="182"/>
      <c r="V161" s="182"/>
      <c r="W161" s="182"/>
      <c r="X161" s="182"/>
    </row>
    <row r="162" spans="1:24">
      <c r="A162" s="182"/>
      <c r="B162" s="182"/>
      <c r="C162" s="182"/>
      <c r="D162" s="182"/>
      <c r="E162" s="182"/>
      <c r="F162" s="182"/>
      <c r="G162" s="182"/>
      <c r="H162" s="182"/>
      <c r="I162" s="182"/>
      <c r="J162" s="182"/>
      <c r="K162" s="182"/>
      <c r="L162" s="180"/>
      <c r="M162" s="182"/>
      <c r="N162" s="182"/>
      <c r="O162" s="182"/>
      <c r="P162" s="180"/>
      <c r="Q162" s="180"/>
      <c r="R162" s="180"/>
      <c r="S162" s="184"/>
      <c r="T162" s="182"/>
      <c r="U162" s="182"/>
      <c r="V162" s="182"/>
      <c r="W162" s="182"/>
      <c r="X162" s="182"/>
    </row>
    <row r="163" spans="1:24">
      <c r="A163" s="182"/>
      <c r="B163" s="182"/>
      <c r="C163" s="182"/>
      <c r="D163" s="182"/>
      <c r="E163" s="182"/>
      <c r="F163" s="182"/>
      <c r="G163" s="182"/>
      <c r="H163" s="182"/>
      <c r="I163" s="182"/>
      <c r="J163" s="182"/>
      <c r="K163" s="182"/>
      <c r="L163" s="180"/>
      <c r="M163" s="182"/>
      <c r="N163" s="182"/>
      <c r="O163" s="182"/>
      <c r="P163" s="180"/>
      <c r="Q163" s="180"/>
      <c r="R163" s="180"/>
      <c r="S163" s="184"/>
      <c r="T163" s="182"/>
      <c r="U163" s="182"/>
      <c r="V163" s="182"/>
      <c r="W163" s="182"/>
      <c r="X163" s="182"/>
    </row>
    <row r="164" spans="1:24">
      <c r="A164" s="182"/>
      <c r="B164" s="182"/>
      <c r="C164" s="182"/>
      <c r="D164" s="182"/>
      <c r="E164" s="182"/>
      <c r="F164" s="182"/>
      <c r="G164" s="182"/>
      <c r="H164" s="182"/>
      <c r="I164" s="182"/>
      <c r="J164" s="182"/>
      <c r="K164" s="182"/>
      <c r="L164" s="180"/>
      <c r="M164" s="182"/>
      <c r="N164" s="182"/>
      <c r="O164" s="182"/>
      <c r="P164" s="180"/>
      <c r="Q164" s="180"/>
      <c r="R164" s="180"/>
      <c r="S164" s="184"/>
      <c r="T164" s="182"/>
      <c r="U164" s="182"/>
      <c r="V164" s="182"/>
      <c r="W164" s="182"/>
      <c r="X164" s="182"/>
    </row>
    <row r="165" spans="1:24">
      <c r="A165" s="182"/>
      <c r="B165" s="182"/>
      <c r="C165" s="182"/>
      <c r="D165" s="182"/>
      <c r="E165" s="182"/>
      <c r="F165" s="182"/>
      <c r="G165" s="182"/>
      <c r="H165" s="182"/>
      <c r="I165" s="182"/>
      <c r="J165" s="182"/>
      <c r="K165" s="182"/>
      <c r="L165" s="180"/>
      <c r="M165" s="182"/>
      <c r="N165" s="182"/>
      <c r="O165" s="182"/>
      <c r="P165" s="180"/>
      <c r="Q165" s="180"/>
      <c r="R165" s="180"/>
      <c r="S165" s="184"/>
      <c r="T165" s="182"/>
      <c r="U165" s="182"/>
      <c r="V165" s="182"/>
      <c r="W165" s="182"/>
      <c r="X165" s="182"/>
    </row>
    <row r="166" spans="1:24">
      <c r="A166" s="182"/>
      <c r="B166" s="182"/>
      <c r="C166" s="182"/>
      <c r="D166" s="182"/>
      <c r="E166" s="182"/>
      <c r="F166" s="182"/>
      <c r="G166" s="182"/>
      <c r="H166" s="182"/>
      <c r="I166" s="182"/>
      <c r="J166" s="182"/>
      <c r="K166" s="182"/>
      <c r="L166" s="180"/>
      <c r="M166" s="182"/>
      <c r="N166" s="182"/>
      <c r="O166" s="182"/>
      <c r="P166" s="180"/>
      <c r="Q166" s="180"/>
      <c r="R166" s="180"/>
      <c r="S166" s="184"/>
      <c r="T166" s="182"/>
      <c r="U166" s="182"/>
      <c r="V166" s="182"/>
      <c r="W166" s="182"/>
      <c r="X166" s="182"/>
    </row>
    <row r="167" spans="1:24">
      <c r="A167" s="182"/>
      <c r="B167" s="182"/>
      <c r="C167" s="182"/>
      <c r="D167" s="182"/>
      <c r="E167" s="182"/>
      <c r="F167" s="182"/>
      <c r="G167" s="182"/>
      <c r="H167" s="182"/>
      <c r="I167" s="182"/>
      <c r="J167" s="182"/>
      <c r="K167" s="182"/>
      <c r="L167" s="180"/>
      <c r="M167" s="182"/>
      <c r="N167" s="182"/>
      <c r="O167" s="182"/>
      <c r="P167" s="180"/>
      <c r="Q167" s="180"/>
      <c r="R167" s="180"/>
      <c r="S167" s="184"/>
      <c r="T167" s="182"/>
      <c r="U167" s="182"/>
      <c r="V167" s="182"/>
      <c r="W167" s="182"/>
      <c r="X167" s="182"/>
    </row>
    <row r="168" spans="1:24">
      <c r="A168" s="182"/>
      <c r="B168" s="182"/>
      <c r="C168" s="182"/>
      <c r="D168" s="182"/>
      <c r="E168" s="182"/>
      <c r="F168" s="182"/>
      <c r="G168" s="182"/>
      <c r="H168" s="182"/>
      <c r="I168" s="182"/>
      <c r="J168" s="182"/>
      <c r="K168" s="182"/>
      <c r="L168" s="180"/>
      <c r="M168" s="182"/>
      <c r="N168" s="182"/>
      <c r="O168" s="182"/>
      <c r="P168" s="180"/>
      <c r="Q168" s="180"/>
      <c r="R168" s="180"/>
      <c r="S168" s="184"/>
      <c r="T168" s="182"/>
      <c r="U168" s="182"/>
      <c r="V168" s="182"/>
      <c r="W168" s="182"/>
      <c r="X168" s="182"/>
    </row>
    <row r="169" spans="1:24">
      <c r="A169" s="182"/>
      <c r="B169" s="182"/>
      <c r="C169" s="182"/>
      <c r="D169" s="182"/>
      <c r="E169" s="182"/>
      <c r="F169" s="182"/>
      <c r="G169" s="182"/>
      <c r="H169" s="182"/>
      <c r="I169" s="182"/>
      <c r="J169" s="182"/>
      <c r="K169" s="182"/>
      <c r="L169" s="180"/>
      <c r="M169" s="182"/>
      <c r="N169" s="182"/>
      <c r="O169" s="182"/>
      <c r="P169" s="180"/>
      <c r="Q169" s="180"/>
      <c r="R169" s="180"/>
      <c r="S169" s="184"/>
      <c r="T169" s="182"/>
      <c r="U169" s="182"/>
      <c r="V169" s="182"/>
      <c r="W169" s="182"/>
      <c r="X169" s="182"/>
    </row>
    <row r="170" spans="1:24">
      <c r="A170" s="182"/>
      <c r="B170" s="182"/>
      <c r="C170" s="182"/>
      <c r="D170" s="182"/>
      <c r="E170" s="182"/>
      <c r="F170" s="182"/>
      <c r="G170" s="182"/>
      <c r="H170" s="182"/>
      <c r="I170" s="182"/>
      <c r="J170" s="182"/>
      <c r="K170" s="182"/>
      <c r="L170" s="180"/>
      <c r="M170" s="182"/>
      <c r="N170" s="182"/>
      <c r="O170" s="182"/>
      <c r="P170" s="180"/>
      <c r="Q170" s="180"/>
      <c r="R170" s="180"/>
      <c r="S170" s="184"/>
      <c r="T170" s="182"/>
      <c r="U170" s="182"/>
      <c r="V170" s="182"/>
      <c r="W170" s="182"/>
      <c r="X170" s="182"/>
    </row>
    <row r="171" spans="1:24">
      <c r="A171" s="182"/>
      <c r="B171" s="182"/>
      <c r="C171" s="182"/>
      <c r="D171" s="182"/>
      <c r="E171" s="182"/>
      <c r="F171" s="182"/>
      <c r="G171" s="182"/>
      <c r="H171" s="182"/>
      <c r="I171" s="182"/>
      <c r="J171" s="182"/>
      <c r="K171" s="182"/>
      <c r="L171" s="180"/>
      <c r="M171" s="182"/>
      <c r="N171" s="182"/>
      <c r="O171" s="182"/>
      <c r="P171" s="180"/>
      <c r="Q171" s="180"/>
      <c r="R171" s="180"/>
      <c r="S171" s="184"/>
      <c r="T171" s="182"/>
      <c r="U171" s="182"/>
      <c r="V171" s="182"/>
      <c r="W171" s="182"/>
      <c r="X171" s="182"/>
    </row>
    <row r="172" spans="1:24">
      <c r="A172" s="182"/>
      <c r="B172" s="182"/>
      <c r="C172" s="182"/>
      <c r="D172" s="182"/>
      <c r="E172" s="182"/>
      <c r="F172" s="182"/>
      <c r="G172" s="182"/>
      <c r="H172" s="182"/>
      <c r="I172" s="182"/>
      <c r="J172" s="182"/>
      <c r="K172" s="182"/>
      <c r="L172" s="180"/>
      <c r="M172" s="182"/>
      <c r="N172" s="182"/>
      <c r="O172" s="182"/>
      <c r="P172" s="180"/>
      <c r="Q172" s="180"/>
      <c r="R172" s="180"/>
      <c r="S172" s="184"/>
      <c r="T172" s="182"/>
      <c r="U172" s="182"/>
      <c r="V172" s="182"/>
      <c r="W172" s="182"/>
      <c r="X172" s="182"/>
    </row>
    <row r="173" spans="1:24">
      <c r="A173" s="182"/>
      <c r="B173" s="182"/>
      <c r="C173" s="182"/>
      <c r="D173" s="182"/>
      <c r="E173" s="182"/>
      <c r="F173" s="182"/>
      <c r="G173" s="182"/>
      <c r="H173" s="182"/>
      <c r="I173" s="182"/>
      <c r="J173" s="182"/>
      <c r="K173" s="182"/>
      <c r="L173" s="180"/>
      <c r="M173" s="182"/>
      <c r="N173" s="182"/>
      <c r="O173" s="182"/>
      <c r="P173" s="180"/>
      <c r="Q173" s="180"/>
      <c r="R173" s="180"/>
      <c r="S173" s="184"/>
      <c r="T173" s="182"/>
      <c r="U173" s="182"/>
      <c r="V173" s="182"/>
      <c r="W173" s="182"/>
      <c r="X173" s="182"/>
    </row>
    <row r="174" spans="1:24">
      <c r="A174" s="182"/>
      <c r="B174" s="182"/>
      <c r="C174" s="182"/>
      <c r="D174" s="182"/>
      <c r="E174" s="182"/>
      <c r="F174" s="182"/>
      <c r="G174" s="182"/>
      <c r="H174" s="182"/>
      <c r="I174" s="182"/>
      <c r="J174" s="182"/>
      <c r="K174" s="182"/>
      <c r="L174" s="180"/>
      <c r="M174" s="182"/>
      <c r="N174" s="182"/>
      <c r="O174" s="182"/>
      <c r="P174" s="180"/>
      <c r="Q174" s="180"/>
      <c r="R174" s="180"/>
      <c r="S174" s="184"/>
      <c r="T174" s="182"/>
      <c r="U174" s="182"/>
      <c r="V174" s="182"/>
      <c r="W174" s="182"/>
      <c r="X174" s="182"/>
    </row>
    <row r="175" spans="1:24">
      <c r="A175" s="182"/>
      <c r="B175" s="182"/>
      <c r="C175" s="182"/>
      <c r="D175" s="182"/>
      <c r="E175" s="182"/>
      <c r="F175" s="182"/>
      <c r="G175" s="182"/>
      <c r="H175" s="182"/>
      <c r="I175" s="182"/>
      <c r="J175" s="182"/>
      <c r="K175" s="182"/>
      <c r="L175" s="180"/>
      <c r="M175" s="182"/>
      <c r="N175" s="182"/>
      <c r="O175" s="182"/>
      <c r="P175" s="180"/>
      <c r="Q175" s="180"/>
      <c r="R175" s="180"/>
      <c r="S175" s="184"/>
      <c r="T175" s="182"/>
      <c r="U175" s="182"/>
      <c r="V175" s="182"/>
      <c r="W175" s="182"/>
      <c r="X175" s="182"/>
    </row>
    <row r="176" spans="1:24">
      <c r="A176" s="182"/>
      <c r="B176" s="182"/>
      <c r="C176" s="182"/>
      <c r="D176" s="182"/>
      <c r="E176" s="182"/>
      <c r="F176" s="182"/>
      <c r="G176" s="182"/>
      <c r="H176" s="182"/>
      <c r="I176" s="182"/>
      <c r="J176" s="182"/>
      <c r="K176" s="182"/>
      <c r="L176" s="180"/>
      <c r="M176" s="182"/>
      <c r="N176" s="182"/>
      <c r="O176" s="182"/>
      <c r="P176" s="180"/>
      <c r="Q176" s="180"/>
      <c r="R176" s="180"/>
      <c r="S176" s="184"/>
      <c r="T176" s="182"/>
      <c r="U176" s="182"/>
      <c r="V176" s="182"/>
      <c r="W176" s="182"/>
      <c r="X176" s="182"/>
    </row>
    <row r="177" spans="1:24">
      <c r="A177" s="182"/>
      <c r="B177" s="182"/>
      <c r="C177" s="182"/>
      <c r="D177" s="182"/>
      <c r="E177" s="182"/>
      <c r="F177" s="182"/>
      <c r="G177" s="182"/>
      <c r="H177" s="182"/>
      <c r="I177" s="182"/>
      <c r="J177" s="182"/>
      <c r="K177" s="182"/>
      <c r="L177" s="180"/>
      <c r="M177" s="182"/>
      <c r="N177" s="182"/>
      <c r="O177" s="182"/>
      <c r="P177" s="180"/>
      <c r="Q177" s="180"/>
      <c r="R177" s="180"/>
      <c r="S177" s="184"/>
      <c r="T177" s="182"/>
      <c r="U177" s="182"/>
      <c r="V177" s="182"/>
      <c r="W177" s="182"/>
      <c r="X177" s="182"/>
    </row>
    <row r="178" spans="1:24">
      <c r="A178" s="182"/>
      <c r="B178" s="182"/>
      <c r="C178" s="182"/>
      <c r="D178" s="182"/>
      <c r="E178" s="182"/>
      <c r="F178" s="182"/>
      <c r="G178" s="182"/>
      <c r="H178" s="182"/>
      <c r="I178" s="182"/>
      <c r="J178" s="182"/>
      <c r="K178" s="182"/>
      <c r="L178" s="180"/>
      <c r="M178" s="182"/>
      <c r="N178" s="182"/>
      <c r="O178" s="182"/>
      <c r="P178" s="180"/>
      <c r="Q178" s="180"/>
      <c r="R178" s="180"/>
      <c r="S178" s="184"/>
      <c r="T178" s="182"/>
      <c r="U178" s="182"/>
      <c r="V178" s="182"/>
      <c r="W178" s="182"/>
      <c r="X178" s="182"/>
    </row>
    <row r="179" spans="1:24">
      <c r="A179" s="182"/>
      <c r="B179" s="182"/>
      <c r="C179" s="182"/>
      <c r="D179" s="182"/>
      <c r="E179" s="182"/>
      <c r="F179" s="182"/>
      <c r="G179" s="182"/>
      <c r="H179" s="182"/>
      <c r="I179" s="182"/>
      <c r="J179" s="182"/>
      <c r="K179" s="182"/>
      <c r="L179" s="180"/>
      <c r="M179" s="182"/>
      <c r="N179" s="182"/>
      <c r="O179" s="182"/>
      <c r="P179" s="180"/>
      <c r="Q179" s="180"/>
      <c r="R179" s="180"/>
      <c r="S179" s="184"/>
      <c r="T179" s="182"/>
      <c r="U179" s="182"/>
      <c r="V179" s="182"/>
      <c r="W179" s="182"/>
      <c r="X179" s="182"/>
    </row>
    <row r="180" spans="1:24">
      <c r="A180" s="182"/>
      <c r="B180" s="182"/>
      <c r="C180" s="182"/>
      <c r="D180" s="182"/>
      <c r="E180" s="182"/>
      <c r="F180" s="182"/>
      <c r="G180" s="182"/>
      <c r="H180" s="182"/>
      <c r="I180" s="182"/>
      <c r="J180" s="182"/>
      <c r="K180" s="182"/>
      <c r="L180" s="180"/>
      <c r="M180" s="182"/>
      <c r="N180" s="182"/>
      <c r="O180" s="182"/>
      <c r="P180" s="180"/>
      <c r="Q180" s="180"/>
      <c r="R180" s="180"/>
      <c r="S180" s="184"/>
      <c r="T180" s="182"/>
      <c r="U180" s="182"/>
      <c r="V180" s="182"/>
      <c r="W180" s="182"/>
      <c r="X180" s="182"/>
    </row>
    <row r="181" spans="1:24">
      <c r="A181" s="182"/>
      <c r="B181" s="182"/>
      <c r="C181" s="182"/>
      <c r="D181" s="182"/>
      <c r="E181" s="182"/>
      <c r="F181" s="182"/>
      <c r="G181" s="182"/>
      <c r="H181" s="182"/>
      <c r="I181" s="182"/>
      <c r="J181" s="182"/>
      <c r="K181" s="182"/>
      <c r="L181" s="180"/>
      <c r="M181" s="182"/>
      <c r="N181" s="182"/>
      <c r="O181" s="182"/>
      <c r="P181" s="180"/>
      <c r="Q181" s="180"/>
      <c r="R181" s="180"/>
      <c r="S181" s="184"/>
      <c r="T181" s="182"/>
      <c r="U181" s="182"/>
      <c r="V181" s="182"/>
      <c r="W181" s="182"/>
      <c r="X181" s="182"/>
    </row>
    <row r="182" spans="1:24">
      <c r="A182" s="182"/>
      <c r="B182" s="182"/>
      <c r="C182" s="182"/>
      <c r="D182" s="182"/>
      <c r="E182" s="182"/>
      <c r="F182" s="182"/>
      <c r="G182" s="182"/>
      <c r="H182" s="182"/>
      <c r="I182" s="182"/>
      <c r="J182" s="182"/>
      <c r="K182" s="182"/>
      <c r="L182" s="180"/>
      <c r="M182" s="182"/>
      <c r="N182" s="182"/>
      <c r="O182" s="182"/>
      <c r="P182" s="180"/>
      <c r="Q182" s="180"/>
      <c r="R182" s="180"/>
      <c r="S182" s="184"/>
      <c r="T182" s="182"/>
      <c r="U182" s="182"/>
      <c r="V182" s="182"/>
      <c r="W182" s="182"/>
      <c r="X182" s="182"/>
    </row>
    <row r="183" spans="1:24">
      <c r="A183" s="182"/>
      <c r="B183" s="182"/>
      <c r="C183" s="182"/>
      <c r="D183" s="182"/>
      <c r="E183" s="182"/>
      <c r="F183" s="182"/>
      <c r="G183" s="182"/>
      <c r="H183" s="182"/>
      <c r="I183" s="182"/>
      <c r="J183" s="182"/>
      <c r="K183" s="182"/>
      <c r="L183" s="180"/>
      <c r="M183" s="182"/>
      <c r="N183" s="182"/>
      <c r="O183" s="182"/>
      <c r="P183" s="180"/>
      <c r="Q183" s="180"/>
      <c r="R183" s="180"/>
      <c r="S183" s="184"/>
      <c r="T183" s="182"/>
      <c r="U183" s="182"/>
      <c r="V183" s="182"/>
      <c r="W183" s="182"/>
      <c r="X183" s="182"/>
    </row>
    <row r="184" spans="1:24">
      <c r="A184" s="182"/>
      <c r="B184" s="182"/>
      <c r="C184" s="182"/>
      <c r="D184" s="182"/>
      <c r="E184" s="182"/>
      <c r="F184" s="182"/>
      <c r="G184" s="182"/>
      <c r="H184" s="182"/>
      <c r="I184" s="182"/>
      <c r="J184" s="182"/>
      <c r="K184" s="182"/>
      <c r="L184" s="180"/>
      <c r="M184" s="182"/>
      <c r="N184" s="182"/>
      <c r="O184" s="182"/>
      <c r="P184" s="180"/>
      <c r="Q184" s="180"/>
      <c r="R184" s="180"/>
      <c r="S184" s="184"/>
      <c r="T184" s="182"/>
      <c r="U184" s="182"/>
      <c r="V184" s="182"/>
      <c r="W184" s="182"/>
      <c r="X184" s="182"/>
    </row>
    <row r="185" spans="1:24">
      <c r="A185" s="182"/>
      <c r="B185" s="182"/>
      <c r="C185" s="182"/>
      <c r="D185" s="182"/>
      <c r="E185" s="182"/>
      <c r="F185" s="182"/>
      <c r="G185" s="182"/>
      <c r="H185" s="182"/>
      <c r="I185" s="182"/>
      <c r="J185" s="182"/>
      <c r="K185" s="182"/>
      <c r="L185" s="180"/>
      <c r="M185" s="182"/>
      <c r="N185" s="182"/>
      <c r="O185" s="182"/>
      <c r="P185" s="180"/>
      <c r="Q185" s="180"/>
      <c r="R185" s="180"/>
      <c r="S185" s="184"/>
      <c r="T185" s="182"/>
      <c r="U185" s="182"/>
      <c r="V185" s="182"/>
      <c r="W185" s="182"/>
      <c r="X185" s="182"/>
    </row>
    <row r="186" spans="1:24">
      <c r="A186" s="182"/>
      <c r="B186" s="182"/>
      <c r="C186" s="182"/>
      <c r="D186" s="182"/>
      <c r="E186" s="182"/>
      <c r="F186" s="182"/>
      <c r="G186" s="182"/>
      <c r="H186" s="182"/>
      <c r="I186" s="182"/>
      <c r="J186" s="182"/>
      <c r="K186" s="182"/>
      <c r="L186" s="180"/>
      <c r="M186" s="182"/>
      <c r="N186" s="182"/>
      <c r="O186" s="182"/>
      <c r="P186" s="180"/>
      <c r="Q186" s="180"/>
      <c r="R186" s="180"/>
      <c r="S186" s="184"/>
      <c r="T186" s="182"/>
      <c r="U186" s="182"/>
      <c r="V186" s="182"/>
      <c r="W186" s="182"/>
      <c r="X186" s="182"/>
    </row>
    <row r="187" spans="1:24">
      <c r="A187" s="182"/>
      <c r="B187" s="182"/>
      <c r="C187" s="182"/>
      <c r="D187" s="182"/>
      <c r="E187" s="182"/>
      <c r="F187" s="182"/>
      <c r="G187" s="182"/>
      <c r="H187" s="182"/>
      <c r="I187" s="182"/>
      <c r="J187" s="182"/>
      <c r="K187" s="182"/>
      <c r="L187" s="180"/>
      <c r="M187" s="182"/>
      <c r="N187" s="182"/>
      <c r="O187" s="182"/>
      <c r="P187" s="180"/>
      <c r="Q187" s="180"/>
      <c r="R187" s="180"/>
      <c r="S187" s="184"/>
      <c r="T187" s="182"/>
      <c r="U187" s="182"/>
      <c r="V187" s="182"/>
      <c r="W187" s="182"/>
      <c r="X187" s="182"/>
    </row>
    <row r="188" spans="1:24">
      <c r="A188" s="182"/>
      <c r="B188" s="182"/>
      <c r="C188" s="182"/>
      <c r="D188" s="182"/>
      <c r="E188" s="182"/>
      <c r="F188" s="182"/>
      <c r="G188" s="182"/>
      <c r="H188" s="182"/>
      <c r="I188" s="182"/>
      <c r="J188" s="182"/>
      <c r="K188" s="182"/>
      <c r="L188" s="180"/>
      <c r="M188" s="182"/>
      <c r="N188" s="182"/>
      <c r="O188" s="182"/>
      <c r="P188" s="180"/>
      <c r="Q188" s="180"/>
      <c r="R188" s="180"/>
      <c r="S188" s="184"/>
      <c r="T188" s="182"/>
      <c r="U188" s="182"/>
      <c r="V188" s="182"/>
      <c r="W188" s="182"/>
      <c r="X188" s="182"/>
    </row>
    <row r="189" spans="1:24">
      <c r="A189" s="182"/>
      <c r="B189" s="182"/>
      <c r="C189" s="182"/>
      <c r="D189" s="182"/>
      <c r="E189" s="182"/>
      <c r="F189" s="182"/>
      <c r="G189" s="182"/>
      <c r="H189" s="182"/>
      <c r="I189" s="182"/>
      <c r="J189" s="182"/>
      <c r="K189" s="182"/>
      <c r="L189" s="180"/>
      <c r="M189" s="182"/>
      <c r="N189" s="182"/>
      <c r="O189" s="182"/>
      <c r="P189" s="180"/>
      <c r="Q189" s="180"/>
      <c r="R189" s="180"/>
      <c r="S189" s="184"/>
      <c r="T189" s="182"/>
      <c r="U189" s="182"/>
      <c r="V189" s="182"/>
      <c r="W189" s="182"/>
      <c r="X189" s="182"/>
    </row>
    <row r="190" spans="1:24">
      <c r="A190" s="182"/>
      <c r="B190" s="182"/>
      <c r="C190" s="182"/>
      <c r="D190" s="182"/>
      <c r="E190" s="182"/>
      <c r="F190" s="182"/>
      <c r="G190" s="182"/>
      <c r="H190" s="182"/>
      <c r="I190" s="182"/>
      <c r="J190" s="182"/>
      <c r="K190" s="182"/>
      <c r="L190" s="180"/>
      <c r="M190" s="182"/>
      <c r="N190" s="182"/>
      <c r="O190" s="182"/>
      <c r="P190" s="180"/>
      <c r="Q190" s="180"/>
      <c r="R190" s="180"/>
      <c r="S190" s="184"/>
      <c r="T190" s="182"/>
      <c r="U190" s="182"/>
      <c r="V190" s="182"/>
      <c r="W190" s="182"/>
      <c r="X190" s="182"/>
    </row>
    <row r="191" spans="1:24">
      <c r="A191" s="182"/>
      <c r="B191" s="182"/>
      <c r="C191" s="182"/>
      <c r="D191" s="182"/>
      <c r="E191" s="182"/>
      <c r="F191" s="182"/>
      <c r="G191" s="182"/>
      <c r="H191" s="182"/>
      <c r="I191" s="182"/>
      <c r="J191" s="182"/>
      <c r="K191" s="182"/>
      <c r="L191" s="180"/>
      <c r="M191" s="182"/>
      <c r="N191" s="182"/>
      <c r="O191" s="182"/>
      <c r="P191" s="180"/>
      <c r="Q191" s="180"/>
      <c r="R191" s="180"/>
      <c r="S191" s="184"/>
      <c r="T191" s="182"/>
      <c r="U191" s="182"/>
      <c r="V191" s="182"/>
      <c r="W191" s="182"/>
      <c r="X191" s="182"/>
    </row>
    <row r="192" spans="1:24">
      <c r="A192" s="182"/>
      <c r="B192" s="182"/>
      <c r="C192" s="182"/>
      <c r="D192" s="182"/>
      <c r="E192" s="182"/>
      <c r="F192" s="182"/>
      <c r="G192" s="182"/>
      <c r="H192" s="182"/>
      <c r="I192" s="182"/>
      <c r="J192" s="182"/>
      <c r="K192" s="182"/>
      <c r="L192" s="180"/>
      <c r="M192" s="182"/>
      <c r="N192" s="182"/>
      <c r="O192" s="182"/>
      <c r="P192" s="180"/>
      <c r="Q192" s="180"/>
      <c r="R192" s="180"/>
      <c r="S192" s="184"/>
      <c r="T192" s="182"/>
      <c r="U192" s="182"/>
      <c r="V192" s="182"/>
      <c r="W192" s="182"/>
      <c r="X192" s="182"/>
    </row>
    <row r="193" spans="1:24">
      <c r="A193" s="182"/>
      <c r="B193" s="182"/>
      <c r="C193" s="182"/>
      <c r="D193" s="182"/>
      <c r="E193" s="182"/>
      <c r="F193" s="182"/>
      <c r="G193" s="182"/>
      <c r="H193" s="182"/>
      <c r="I193" s="182"/>
      <c r="J193" s="182"/>
      <c r="K193" s="182"/>
      <c r="L193" s="180"/>
      <c r="M193" s="182"/>
      <c r="N193" s="182"/>
      <c r="O193" s="182"/>
      <c r="P193" s="180"/>
      <c r="Q193" s="180"/>
      <c r="R193" s="180"/>
      <c r="S193" s="184"/>
      <c r="T193" s="182"/>
      <c r="U193" s="182"/>
      <c r="V193" s="182"/>
      <c r="W193" s="182"/>
      <c r="X193" s="182"/>
    </row>
    <row r="194" spans="1:24">
      <c r="A194" s="182"/>
      <c r="B194" s="182"/>
      <c r="C194" s="182"/>
      <c r="D194" s="182"/>
      <c r="E194" s="182"/>
      <c r="F194" s="182"/>
      <c r="G194" s="182"/>
      <c r="H194" s="182"/>
      <c r="I194" s="182"/>
      <c r="J194" s="182"/>
      <c r="K194" s="182"/>
      <c r="L194" s="180"/>
      <c r="M194" s="182"/>
      <c r="N194" s="182"/>
      <c r="O194" s="182"/>
      <c r="P194" s="180"/>
      <c r="Q194" s="180"/>
      <c r="R194" s="180"/>
      <c r="S194" s="184"/>
      <c r="T194" s="182"/>
      <c r="U194" s="182"/>
      <c r="V194" s="182"/>
      <c r="W194" s="182"/>
      <c r="X194" s="182"/>
    </row>
    <row r="195" spans="1:24">
      <c r="A195" s="182"/>
      <c r="B195" s="182"/>
      <c r="C195" s="182"/>
      <c r="D195" s="182"/>
      <c r="E195" s="182"/>
      <c r="F195" s="182"/>
      <c r="G195" s="182"/>
      <c r="H195" s="182"/>
      <c r="I195" s="182"/>
      <c r="J195" s="182"/>
      <c r="K195" s="182"/>
      <c r="L195" s="180"/>
      <c r="M195" s="182"/>
      <c r="N195" s="182"/>
      <c r="O195" s="182"/>
      <c r="P195" s="180"/>
      <c r="Q195" s="180"/>
      <c r="R195" s="180"/>
      <c r="S195" s="184"/>
      <c r="T195" s="182"/>
      <c r="U195" s="182"/>
      <c r="V195" s="182"/>
      <c r="W195" s="182"/>
      <c r="X195" s="182"/>
    </row>
    <row r="196" spans="1:24">
      <c r="A196" s="182"/>
      <c r="B196" s="182"/>
      <c r="C196" s="182"/>
      <c r="D196" s="182"/>
      <c r="E196" s="182"/>
      <c r="F196" s="182"/>
      <c r="G196" s="182"/>
      <c r="H196" s="182"/>
      <c r="I196" s="182"/>
      <c r="J196" s="182"/>
      <c r="K196" s="182"/>
      <c r="L196" s="180"/>
      <c r="M196" s="182"/>
      <c r="N196" s="182"/>
      <c r="O196" s="182"/>
      <c r="P196" s="180"/>
      <c r="Q196" s="180"/>
      <c r="R196" s="180"/>
      <c r="S196" s="184"/>
      <c r="T196" s="182"/>
      <c r="U196" s="182"/>
      <c r="V196" s="182"/>
      <c r="W196" s="182"/>
      <c r="X196" s="182"/>
    </row>
    <row r="197" spans="1:24">
      <c r="A197" s="182"/>
      <c r="B197" s="182"/>
      <c r="C197" s="182"/>
      <c r="D197" s="182"/>
      <c r="E197" s="182"/>
      <c r="F197" s="182"/>
      <c r="G197" s="182"/>
      <c r="H197" s="182"/>
      <c r="I197" s="182"/>
      <c r="J197" s="182"/>
      <c r="K197" s="182"/>
      <c r="L197" s="180"/>
      <c r="M197" s="182"/>
      <c r="N197" s="182"/>
      <c r="O197" s="182"/>
      <c r="P197" s="180"/>
      <c r="Q197" s="180"/>
      <c r="R197" s="180"/>
      <c r="S197" s="184"/>
      <c r="T197" s="182"/>
      <c r="U197" s="182"/>
      <c r="V197" s="182"/>
      <c r="W197" s="182"/>
      <c r="X197" s="182"/>
    </row>
    <row r="198" spans="1:24">
      <c r="A198" s="182"/>
      <c r="B198" s="182"/>
      <c r="C198" s="182"/>
      <c r="D198" s="182"/>
      <c r="E198" s="182"/>
      <c r="F198" s="182"/>
      <c r="G198" s="182"/>
      <c r="H198" s="182"/>
      <c r="I198" s="182"/>
      <c r="J198" s="182"/>
      <c r="K198" s="182"/>
      <c r="L198" s="180"/>
      <c r="M198" s="182"/>
      <c r="N198" s="182"/>
      <c r="O198" s="182"/>
      <c r="P198" s="180"/>
      <c r="Q198" s="180"/>
      <c r="R198" s="180"/>
      <c r="S198" s="184"/>
      <c r="T198" s="182"/>
      <c r="U198" s="182"/>
      <c r="V198" s="182"/>
      <c r="W198" s="182"/>
      <c r="X198" s="182"/>
    </row>
    <row r="199" spans="1:24">
      <c r="A199" s="182"/>
      <c r="B199" s="182"/>
      <c r="C199" s="182"/>
      <c r="D199" s="182"/>
      <c r="E199" s="182"/>
      <c r="F199" s="182"/>
      <c r="G199" s="182"/>
      <c r="H199" s="182"/>
      <c r="I199" s="182"/>
      <c r="J199" s="182"/>
      <c r="K199" s="182"/>
      <c r="L199" s="180"/>
      <c r="M199" s="182"/>
      <c r="N199" s="182"/>
      <c r="O199" s="182"/>
      <c r="P199" s="180"/>
      <c r="Q199" s="180"/>
      <c r="R199" s="180"/>
      <c r="S199" s="184"/>
      <c r="T199" s="182"/>
      <c r="U199" s="182"/>
      <c r="V199" s="182"/>
      <c r="W199" s="182"/>
      <c r="X199" s="182"/>
    </row>
    <row r="200" spans="1:24">
      <c r="A200" s="182"/>
      <c r="B200" s="182"/>
      <c r="C200" s="182"/>
      <c r="D200" s="182"/>
      <c r="E200" s="182"/>
      <c r="F200" s="182"/>
      <c r="G200" s="182"/>
      <c r="H200" s="182"/>
      <c r="I200" s="182"/>
      <c r="J200" s="182"/>
      <c r="K200" s="182"/>
      <c r="L200" s="180"/>
      <c r="M200" s="182"/>
      <c r="N200" s="182"/>
      <c r="O200" s="182"/>
      <c r="P200" s="180"/>
      <c r="Q200" s="180"/>
      <c r="R200" s="180"/>
      <c r="S200" s="184"/>
      <c r="T200" s="182"/>
      <c r="U200" s="182"/>
      <c r="V200" s="182"/>
      <c r="W200" s="182"/>
      <c r="X200" s="182"/>
    </row>
    <row r="201" spans="1:24">
      <c r="A201" s="182"/>
      <c r="B201" s="182"/>
      <c r="C201" s="182"/>
      <c r="D201" s="182"/>
      <c r="E201" s="182"/>
      <c r="F201" s="182"/>
      <c r="G201" s="182"/>
      <c r="H201" s="182"/>
      <c r="I201" s="182"/>
      <c r="J201" s="182"/>
      <c r="K201" s="182"/>
      <c r="L201" s="180"/>
      <c r="M201" s="182"/>
      <c r="N201" s="182"/>
      <c r="O201" s="182"/>
      <c r="P201" s="180"/>
      <c r="Q201" s="180"/>
      <c r="R201" s="180"/>
      <c r="S201" s="184"/>
      <c r="T201" s="182"/>
      <c r="U201" s="182"/>
      <c r="V201" s="182"/>
      <c r="W201" s="182"/>
      <c r="X201" s="182"/>
    </row>
    <row r="202" spans="1:24">
      <c r="A202" s="182"/>
      <c r="B202" s="182"/>
      <c r="C202" s="182"/>
      <c r="D202" s="182"/>
      <c r="E202" s="182"/>
      <c r="F202" s="182"/>
      <c r="G202" s="182"/>
      <c r="H202" s="182"/>
      <c r="I202" s="182"/>
      <c r="J202" s="182"/>
      <c r="K202" s="182"/>
      <c r="L202" s="180"/>
      <c r="M202" s="182"/>
      <c r="N202" s="182"/>
      <c r="O202" s="182"/>
      <c r="P202" s="180"/>
      <c r="Q202" s="180"/>
      <c r="R202" s="180"/>
      <c r="S202" s="184"/>
      <c r="T202" s="182"/>
      <c r="U202" s="182"/>
      <c r="V202" s="182"/>
      <c r="W202" s="182"/>
      <c r="X202" s="182"/>
    </row>
    <row r="203" spans="1:24">
      <c r="A203" s="182"/>
      <c r="B203" s="182"/>
      <c r="C203" s="182"/>
      <c r="D203" s="182"/>
      <c r="E203" s="182"/>
      <c r="F203" s="182"/>
      <c r="G203" s="182"/>
      <c r="H203" s="182"/>
      <c r="I203" s="182"/>
      <c r="J203" s="182"/>
      <c r="K203" s="182"/>
      <c r="L203" s="180"/>
      <c r="M203" s="182"/>
      <c r="N203" s="182"/>
      <c r="O203" s="182"/>
      <c r="P203" s="180"/>
      <c r="Q203" s="180"/>
      <c r="R203" s="180"/>
      <c r="S203" s="184"/>
      <c r="T203" s="182"/>
      <c r="U203" s="182"/>
      <c r="V203" s="182"/>
      <c r="W203" s="182"/>
      <c r="X203" s="182"/>
    </row>
    <row r="204" spans="1:24">
      <c r="A204" s="182"/>
      <c r="B204" s="182"/>
      <c r="C204" s="182"/>
      <c r="D204" s="182"/>
      <c r="E204" s="182"/>
      <c r="F204" s="182"/>
      <c r="G204" s="182"/>
      <c r="H204" s="182"/>
      <c r="I204" s="182"/>
      <c r="J204" s="182"/>
      <c r="K204" s="182"/>
      <c r="L204" s="180"/>
      <c r="M204" s="182"/>
      <c r="N204" s="182"/>
      <c r="O204" s="182"/>
      <c r="P204" s="180"/>
      <c r="Q204" s="180"/>
      <c r="R204" s="180"/>
      <c r="S204" s="184"/>
      <c r="T204" s="182"/>
      <c r="U204" s="182"/>
      <c r="V204" s="182"/>
      <c r="W204" s="182"/>
      <c r="X204" s="182"/>
    </row>
    <row r="205" spans="1:24">
      <c r="A205" s="182"/>
      <c r="B205" s="182"/>
      <c r="C205" s="182"/>
      <c r="D205" s="182"/>
      <c r="E205" s="182"/>
      <c r="F205" s="182"/>
      <c r="G205" s="182"/>
      <c r="H205" s="182"/>
      <c r="I205" s="182"/>
      <c r="J205" s="182"/>
      <c r="K205" s="182"/>
      <c r="L205" s="180"/>
      <c r="M205" s="182"/>
      <c r="N205" s="182"/>
      <c r="O205" s="182"/>
      <c r="P205" s="180"/>
      <c r="Q205" s="180"/>
      <c r="R205" s="180"/>
      <c r="S205" s="184"/>
      <c r="T205" s="182"/>
      <c r="U205" s="182"/>
      <c r="V205" s="182"/>
      <c r="W205" s="182"/>
      <c r="X205" s="182"/>
    </row>
    <row r="206" spans="1:24">
      <c r="A206" s="182"/>
      <c r="B206" s="182"/>
      <c r="C206" s="182"/>
      <c r="D206" s="182"/>
      <c r="E206" s="182"/>
      <c r="F206" s="182"/>
      <c r="G206" s="182"/>
      <c r="H206" s="182"/>
      <c r="I206" s="182"/>
      <c r="J206" s="182"/>
      <c r="K206" s="182"/>
      <c r="L206" s="180"/>
      <c r="M206" s="182"/>
      <c r="N206" s="182"/>
      <c r="O206" s="182"/>
      <c r="P206" s="180"/>
      <c r="Q206" s="180"/>
      <c r="R206" s="180"/>
      <c r="S206" s="184"/>
      <c r="T206" s="182"/>
      <c r="U206" s="182"/>
      <c r="V206" s="182"/>
      <c r="W206" s="182"/>
      <c r="X206" s="182"/>
    </row>
    <row r="207" spans="1:24">
      <c r="A207" s="182"/>
      <c r="B207" s="182"/>
      <c r="C207" s="182"/>
      <c r="D207" s="182"/>
      <c r="E207" s="182"/>
      <c r="F207" s="182"/>
      <c r="G207" s="182"/>
      <c r="H207" s="182"/>
      <c r="I207" s="182"/>
      <c r="J207" s="182"/>
      <c r="K207" s="182"/>
      <c r="L207" s="180"/>
      <c r="M207" s="182"/>
      <c r="N207" s="182"/>
      <c r="O207" s="182"/>
      <c r="P207" s="180"/>
      <c r="Q207" s="180"/>
      <c r="R207" s="180"/>
      <c r="S207" s="184"/>
      <c r="T207" s="182"/>
      <c r="U207" s="182"/>
      <c r="V207" s="182"/>
      <c r="W207" s="182"/>
      <c r="X207" s="182"/>
    </row>
    <row r="208" spans="1:24">
      <c r="A208" s="182"/>
      <c r="B208" s="182"/>
      <c r="C208" s="182"/>
      <c r="D208" s="182"/>
      <c r="E208" s="182"/>
      <c r="F208" s="182"/>
      <c r="G208" s="182"/>
      <c r="H208" s="182"/>
      <c r="I208" s="182"/>
      <c r="J208" s="182"/>
      <c r="K208" s="182"/>
      <c r="L208" s="180"/>
      <c r="M208" s="182"/>
      <c r="N208" s="182"/>
      <c r="O208" s="182"/>
      <c r="P208" s="180"/>
      <c r="Q208" s="180"/>
      <c r="R208" s="180"/>
      <c r="S208" s="184"/>
      <c r="T208" s="182"/>
      <c r="U208" s="182"/>
      <c r="V208" s="182"/>
      <c r="W208" s="182"/>
      <c r="X208" s="182"/>
    </row>
    <row r="209" spans="1:24">
      <c r="A209" s="182"/>
      <c r="B209" s="182"/>
      <c r="C209" s="182"/>
      <c r="D209" s="182"/>
      <c r="E209" s="182"/>
      <c r="F209" s="182"/>
      <c r="G209" s="182"/>
      <c r="H209" s="182"/>
      <c r="I209" s="182"/>
      <c r="J209" s="182"/>
      <c r="K209" s="182"/>
      <c r="L209" s="180"/>
      <c r="M209" s="182"/>
      <c r="N209" s="182"/>
      <c r="O209" s="182"/>
      <c r="P209" s="180"/>
      <c r="Q209" s="180"/>
      <c r="R209" s="180"/>
      <c r="S209" s="184"/>
      <c r="T209" s="182"/>
      <c r="U209" s="182"/>
      <c r="V209" s="182"/>
      <c r="W209" s="182"/>
      <c r="X209" s="182"/>
    </row>
    <row r="210" spans="1:24">
      <c r="A210" s="182"/>
      <c r="B210" s="182"/>
      <c r="C210" s="182"/>
      <c r="D210" s="182"/>
      <c r="E210" s="182"/>
      <c r="F210" s="182"/>
      <c r="G210" s="182"/>
      <c r="H210" s="182"/>
      <c r="I210" s="182"/>
      <c r="J210" s="182"/>
      <c r="K210" s="182"/>
      <c r="L210" s="180"/>
      <c r="M210" s="182"/>
      <c r="N210" s="182"/>
      <c r="O210" s="182"/>
      <c r="P210" s="180"/>
      <c r="Q210" s="180"/>
      <c r="R210" s="180"/>
      <c r="S210" s="184"/>
      <c r="T210" s="182"/>
      <c r="U210" s="182"/>
      <c r="V210" s="182"/>
      <c r="W210" s="182"/>
      <c r="X210" s="182"/>
    </row>
    <row r="211" spans="1:24">
      <c r="A211" s="182"/>
      <c r="B211" s="182"/>
      <c r="C211" s="182"/>
      <c r="D211" s="182"/>
      <c r="E211" s="182"/>
      <c r="F211" s="182"/>
      <c r="G211" s="182"/>
      <c r="H211" s="182"/>
      <c r="I211" s="182"/>
      <c r="J211" s="182"/>
      <c r="K211" s="182"/>
      <c r="L211" s="180"/>
      <c r="M211" s="182"/>
      <c r="N211" s="182"/>
      <c r="O211" s="182"/>
      <c r="P211" s="180"/>
      <c r="Q211" s="180"/>
      <c r="R211" s="180"/>
      <c r="S211" s="184"/>
      <c r="T211" s="182"/>
      <c r="U211" s="182"/>
      <c r="V211" s="182"/>
      <c r="W211" s="182"/>
      <c r="X211" s="182"/>
    </row>
    <row r="212" spans="1:24">
      <c r="A212" s="182"/>
      <c r="B212" s="182"/>
      <c r="C212" s="182"/>
      <c r="D212" s="182"/>
      <c r="E212" s="182"/>
      <c r="F212" s="182"/>
      <c r="G212" s="182"/>
      <c r="H212" s="182"/>
      <c r="I212" s="182"/>
      <c r="J212" s="182"/>
      <c r="K212" s="182"/>
      <c r="L212" s="180"/>
      <c r="M212" s="182"/>
      <c r="N212" s="182"/>
      <c r="O212" s="182"/>
      <c r="P212" s="180"/>
      <c r="Q212" s="180"/>
      <c r="R212" s="180"/>
      <c r="S212" s="184"/>
      <c r="T212" s="182"/>
      <c r="U212" s="182"/>
      <c r="V212" s="182"/>
      <c r="W212" s="182"/>
      <c r="X212" s="182"/>
    </row>
    <row r="213" spans="1:24">
      <c r="A213" s="182"/>
      <c r="B213" s="182"/>
      <c r="C213" s="182"/>
      <c r="D213" s="182"/>
      <c r="E213" s="182"/>
      <c r="F213" s="182"/>
      <c r="G213" s="182"/>
      <c r="H213" s="182"/>
      <c r="I213" s="182"/>
      <c r="J213" s="182"/>
      <c r="K213" s="182"/>
      <c r="L213" s="180"/>
      <c r="M213" s="182"/>
      <c r="N213" s="182"/>
      <c r="O213" s="182"/>
      <c r="P213" s="180"/>
      <c r="Q213" s="180"/>
      <c r="R213" s="180"/>
      <c r="S213" s="184"/>
      <c r="T213" s="182"/>
      <c r="U213" s="182"/>
      <c r="V213" s="182"/>
      <c r="W213" s="182"/>
      <c r="X213" s="182"/>
    </row>
    <row r="214" spans="1:24">
      <c r="A214" s="182"/>
      <c r="B214" s="182"/>
      <c r="C214" s="182"/>
      <c r="D214" s="182"/>
      <c r="E214" s="182"/>
      <c r="F214" s="182"/>
      <c r="G214" s="182"/>
      <c r="H214" s="182"/>
      <c r="I214" s="182"/>
      <c r="J214" s="182"/>
      <c r="K214" s="182"/>
      <c r="L214" s="180"/>
      <c r="M214" s="182"/>
      <c r="N214" s="182"/>
      <c r="O214" s="182"/>
      <c r="P214" s="180"/>
      <c r="Q214" s="180"/>
      <c r="R214" s="180"/>
      <c r="S214" s="184"/>
      <c r="T214" s="182"/>
      <c r="U214" s="182"/>
      <c r="V214" s="182"/>
      <c r="W214" s="182"/>
      <c r="X214" s="182"/>
    </row>
    <row r="215" spans="1:24">
      <c r="A215" s="182"/>
      <c r="B215" s="182"/>
      <c r="C215" s="182"/>
      <c r="D215" s="182"/>
      <c r="E215" s="182"/>
      <c r="F215" s="182"/>
      <c r="G215" s="182"/>
      <c r="H215" s="182"/>
      <c r="I215" s="182"/>
      <c r="J215" s="182"/>
      <c r="K215" s="182"/>
      <c r="L215" s="180"/>
      <c r="M215" s="182"/>
      <c r="N215" s="182"/>
      <c r="O215" s="182"/>
      <c r="P215" s="180"/>
      <c r="Q215" s="180"/>
      <c r="R215" s="180"/>
      <c r="S215" s="184"/>
      <c r="T215" s="182"/>
      <c r="U215" s="182"/>
      <c r="V215" s="182"/>
      <c r="W215" s="182"/>
      <c r="X215" s="182"/>
    </row>
    <row r="216" spans="1:24">
      <c r="A216" s="182"/>
      <c r="B216" s="182"/>
      <c r="C216" s="182"/>
      <c r="D216" s="182"/>
      <c r="E216" s="182"/>
      <c r="F216" s="182"/>
      <c r="G216" s="182"/>
      <c r="H216" s="182"/>
      <c r="I216" s="182"/>
      <c r="J216" s="182"/>
      <c r="K216" s="182"/>
      <c r="L216" s="180"/>
      <c r="M216" s="182"/>
      <c r="N216" s="182"/>
      <c r="O216" s="182"/>
      <c r="P216" s="180"/>
      <c r="Q216" s="180"/>
      <c r="R216" s="180"/>
      <c r="S216" s="184"/>
      <c r="T216" s="182"/>
      <c r="U216" s="182"/>
      <c r="V216" s="182"/>
      <c r="W216" s="182"/>
      <c r="X216" s="182"/>
    </row>
    <row r="217" spans="1:24">
      <c r="A217" s="182"/>
      <c r="B217" s="182"/>
      <c r="C217" s="182"/>
      <c r="D217" s="182"/>
      <c r="E217" s="182"/>
      <c r="F217" s="182"/>
      <c r="G217" s="182"/>
      <c r="H217" s="182"/>
      <c r="I217" s="182"/>
      <c r="J217" s="182"/>
      <c r="K217" s="182"/>
      <c r="L217" s="180"/>
      <c r="M217" s="182"/>
      <c r="N217" s="182"/>
      <c r="O217" s="182"/>
      <c r="P217" s="180"/>
      <c r="Q217" s="180"/>
      <c r="R217" s="180"/>
      <c r="S217" s="184"/>
      <c r="T217" s="182"/>
      <c r="U217" s="182"/>
      <c r="V217" s="182"/>
      <c r="W217" s="182"/>
      <c r="X217" s="182"/>
    </row>
    <row r="218" spans="1:24">
      <c r="A218" s="182"/>
      <c r="B218" s="182"/>
      <c r="C218" s="182"/>
      <c r="D218" s="182"/>
      <c r="E218" s="182"/>
      <c r="F218" s="182"/>
      <c r="G218" s="182"/>
      <c r="H218" s="182"/>
      <c r="I218" s="182"/>
      <c r="J218" s="182"/>
      <c r="K218" s="182"/>
      <c r="L218" s="180"/>
      <c r="M218" s="182"/>
      <c r="N218" s="182"/>
      <c r="O218" s="182"/>
      <c r="P218" s="180"/>
      <c r="Q218" s="180"/>
      <c r="R218" s="180"/>
      <c r="S218" s="184"/>
      <c r="T218" s="182"/>
      <c r="U218" s="182"/>
      <c r="V218" s="182"/>
      <c r="W218" s="182"/>
      <c r="X218" s="182"/>
    </row>
    <row r="219" spans="1:24">
      <c r="A219" s="182"/>
      <c r="B219" s="182"/>
      <c r="C219" s="182"/>
      <c r="D219" s="182"/>
      <c r="E219" s="182"/>
      <c r="F219" s="182"/>
      <c r="G219" s="182"/>
      <c r="H219" s="182"/>
      <c r="I219" s="182"/>
      <c r="J219" s="182"/>
      <c r="K219" s="182"/>
      <c r="L219" s="180"/>
      <c r="M219" s="182"/>
      <c r="N219" s="182"/>
      <c r="O219" s="182"/>
      <c r="P219" s="180"/>
      <c r="Q219" s="180"/>
      <c r="R219" s="180"/>
      <c r="S219" s="184"/>
      <c r="T219" s="182"/>
      <c r="U219" s="182"/>
      <c r="V219" s="182"/>
      <c r="W219" s="182"/>
      <c r="X219" s="182"/>
    </row>
    <row r="220" spans="1:24">
      <c r="A220" s="182"/>
      <c r="B220" s="182"/>
      <c r="C220" s="182"/>
      <c r="D220" s="182"/>
      <c r="E220" s="182"/>
      <c r="F220" s="182"/>
      <c r="G220" s="182"/>
      <c r="H220" s="182"/>
      <c r="I220" s="182"/>
      <c r="J220" s="182"/>
      <c r="K220" s="182"/>
      <c r="L220" s="180"/>
      <c r="M220" s="182"/>
      <c r="N220" s="182"/>
      <c r="O220" s="182"/>
      <c r="P220" s="180"/>
      <c r="Q220" s="180"/>
      <c r="R220" s="180"/>
      <c r="S220" s="184"/>
      <c r="T220" s="182"/>
      <c r="U220" s="182"/>
      <c r="V220" s="182"/>
      <c r="W220" s="182"/>
      <c r="X220" s="182"/>
    </row>
    <row r="221" spans="1:24">
      <c r="A221" s="182"/>
      <c r="B221" s="182"/>
      <c r="C221" s="182"/>
      <c r="D221" s="182"/>
      <c r="E221" s="182"/>
      <c r="F221" s="182"/>
      <c r="G221" s="182"/>
      <c r="H221" s="182"/>
      <c r="I221" s="182"/>
      <c r="J221" s="182"/>
      <c r="K221" s="182"/>
      <c r="L221" s="180"/>
      <c r="M221" s="182"/>
      <c r="N221" s="182"/>
      <c r="O221" s="182"/>
      <c r="P221" s="180"/>
      <c r="Q221" s="180"/>
      <c r="R221" s="180"/>
      <c r="S221" s="184"/>
      <c r="T221" s="182"/>
      <c r="U221" s="182"/>
      <c r="V221" s="182"/>
      <c r="W221" s="182"/>
      <c r="X221" s="182"/>
    </row>
    <row r="222" spans="1:24">
      <c r="A222" s="182"/>
      <c r="B222" s="182"/>
      <c r="C222" s="182"/>
      <c r="D222" s="182"/>
      <c r="E222" s="182"/>
      <c r="F222" s="182"/>
      <c r="G222" s="182"/>
      <c r="H222" s="182"/>
      <c r="I222" s="182"/>
      <c r="J222" s="182"/>
      <c r="K222" s="182"/>
      <c r="L222" s="180"/>
      <c r="M222" s="182"/>
      <c r="N222" s="182"/>
      <c r="O222" s="182"/>
      <c r="P222" s="180"/>
      <c r="Q222" s="180"/>
      <c r="R222" s="180"/>
      <c r="S222" s="184"/>
      <c r="T222" s="182"/>
      <c r="U222" s="182"/>
      <c r="V222" s="182"/>
      <c r="W222" s="182"/>
      <c r="X222" s="182"/>
    </row>
    <row r="223" spans="1:24">
      <c r="A223" s="182"/>
      <c r="B223" s="182"/>
      <c r="C223" s="182"/>
      <c r="D223" s="182"/>
      <c r="E223" s="182"/>
      <c r="F223" s="182"/>
      <c r="G223" s="182"/>
      <c r="H223" s="182"/>
      <c r="I223" s="182"/>
      <c r="J223" s="182"/>
      <c r="K223" s="182"/>
      <c r="L223" s="180"/>
      <c r="M223" s="182"/>
      <c r="N223" s="182"/>
      <c r="O223" s="182"/>
      <c r="P223" s="180"/>
      <c r="Q223" s="180"/>
      <c r="R223" s="180"/>
      <c r="S223" s="184"/>
      <c r="T223" s="182"/>
      <c r="U223" s="182"/>
      <c r="V223" s="182"/>
      <c r="W223" s="182"/>
      <c r="X223" s="182"/>
    </row>
    <row r="224" spans="1:24">
      <c r="A224" s="182"/>
      <c r="B224" s="182"/>
      <c r="C224" s="182"/>
      <c r="D224" s="182"/>
      <c r="E224" s="182"/>
      <c r="F224" s="182"/>
      <c r="G224" s="182"/>
      <c r="H224" s="182"/>
      <c r="I224" s="182"/>
      <c r="J224" s="182"/>
      <c r="K224" s="182"/>
      <c r="L224" s="180"/>
      <c r="M224" s="182"/>
      <c r="N224" s="182"/>
      <c r="O224" s="182"/>
      <c r="P224" s="180"/>
      <c r="Q224" s="180"/>
      <c r="R224" s="180"/>
      <c r="S224" s="184"/>
      <c r="T224" s="182"/>
      <c r="U224" s="182"/>
      <c r="V224" s="182"/>
      <c r="W224" s="182"/>
      <c r="X224" s="182"/>
    </row>
    <row r="225" spans="1:24">
      <c r="A225" s="182"/>
      <c r="B225" s="182"/>
      <c r="C225" s="182"/>
      <c r="D225" s="182"/>
      <c r="E225" s="182"/>
      <c r="F225" s="182"/>
      <c r="G225" s="182"/>
      <c r="H225" s="182"/>
      <c r="I225" s="182"/>
      <c r="J225" s="182"/>
      <c r="K225" s="182"/>
      <c r="L225" s="180"/>
      <c r="M225" s="182"/>
      <c r="N225" s="182"/>
      <c r="O225" s="182"/>
      <c r="P225" s="180"/>
      <c r="Q225" s="180"/>
      <c r="R225" s="180"/>
      <c r="S225" s="184"/>
      <c r="T225" s="182"/>
      <c r="U225" s="182"/>
      <c r="V225" s="182"/>
      <c r="W225" s="182"/>
      <c r="X225" s="182"/>
    </row>
    <row r="226" spans="1:24">
      <c r="A226" s="182"/>
      <c r="B226" s="182"/>
      <c r="C226" s="182"/>
      <c r="D226" s="182"/>
      <c r="E226" s="182"/>
      <c r="F226" s="182"/>
      <c r="G226" s="182"/>
      <c r="H226" s="182"/>
      <c r="I226" s="182"/>
      <c r="J226" s="182"/>
      <c r="K226" s="182"/>
      <c r="L226" s="180"/>
      <c r="M226" s="182"/>
      <c r="N226" s="182"/>
      <c r="O226" s="182"/>
      <c r="P226" s="180"/>
      <c r="Q226" s="180"/>
      <c r="R226" s="180"/>
      <c r="S226" s="184"/>
      <c r="T226" s="182"/>
      <c r="U226" s="182"/>
      <c r="V226" s="182"/>
      <c r="W226" s="182"/>
      <c r="X226" s="182"/>
    </row>
    <row r="227" spans="1:24">
      <c r="A227" s="182"/>
      <c r="B227" s="182"/>
      <c r="C227" s="182"/>
      <c r="D227" s="182"/>
      <c r="E227" s="182"/>
      <c r="F227" s="182"/>
      <c r="G227" s="182"/>
      <c r="H227" s="182"/>
      <c r="I227" s="182"/>
      <c r="J227" s="182"/>
      <c r="K227" s="182"/>
      <c r="L227" s="180"/>
      <c r="M227" s="182"/>
      <c r="N227" s="182"/>
      <c r="O227" s="182"/>
      <c r="P227" s="180"/>
      <c r="Q227" s="180"/>
      <c r="R227" s="180"/>
      <c r="S227" s="184"/>
      <c r="T227" s="182"/>
      <c r="U227" s="182"/>
      <c r="V227" s="182"/>
      <c r="W227" s="182"/>
      <c r="X227" s="182"/>
    </row>
    <row r="228" spans="1:24">
      <c r="A228" s="182"/>
      <c r="B228" s="182"/>
      <c r="C228" s="182"/>
      <c r="D228" s="182"/>
      <c r="E228" s="182"/>
      <c r="F228" s="182"/>
      <c r="G228" s="182"/>
      <c r="H228" s="182"/>
      <c r="I228" s="182"/>
      <c r="J228" s="182"/>
      <c r="K228" s="182"/>
      <c r="L228" s="180"/>
      <c r="M228" s="182"/>
      <c r="N228" s="182"/>
      <c r="O228" s="182"/>
      <c r="P228" s="180"/>
      <c r="Q228" s="180"/>
      <c r="R228" s="180"/>
      <c r="S228" s="184"/>
      <c r="T228" s="182"/>
      <c r="U228" s="182"/>
      <c r="V228" s="182"/>
      <c r="W228" s="182"/>
      <c r="X228" s="182"/>
    </row>
    <row r="229" spans="1:24">
      <c r="A229" s="182"/>
      <c r="B229" s="182"/>
      <c r="C229" s="182"/>
      <c r="D229" s="182"/>
      <c r="E229" s="182"/>
      <c r="F229" s="182"/>
      <c r="G229" s="182"/>
      <c r="H229" s="182"/>
      <c r="I229" s="182"/>
      <c r="J229" s="182"/>
      <c r="K229" s="182"/>
      <c r="L229" s="180"/>
      <c r="M229" s="182"/>
      <c r="N229" s="182"/>
      <c r="O229" s="182"/>
      <c r="P229" s="180"/>
      <c r="Q229" s="180"/>
      <c r="R229" s="180"/>
      <c r="S229" s="184"/>
      <c r="T229" s="182"/>
      <c r="U229" s="182"/>
      <c r="V229" s="182"/>
      <c r="W229" s="182"/>
      <c r="X229" s="182"/>
    </row>
    <row r="230" spans="1:24">
      <c r="A230" s="182"/>
      <c r="B230" s="182"/>
      <c r="C230" s="182"/>
      <c r="D230" s="182"/>
      <c r="E230" s="182"/>
      <c r="F230" s="182"/>
      <c r="G230" s="182"/>
      <c r="H230" s="182"/>
      <c r="I230" s="182"/>
      <c r="J230" s="182"/>
      <c r="K230" s="182"/>
      <c r="L230" s="180"/>
      <c r="M230" s="182"/>
      <c r="N230" s="182"/>
      <c r="O230" s="182"/>
      <c r="P230" s="180"/>
      <c r="Q230" s="180"/>
      <c r="R230" s="180"/>
      <c r="S230" s="184"/>
      <c r="T230" s="182"/>
      <c r="U230" s="182"/>
      <c r="V230" s="182"/>
      <c r="W230" s="182"/>
      <c r="X230" s="182"/>
    </row>
    <row r="231" spans="1:24">
      <c r="A231" s="182"/>
      <c r="B231" s="182"/>
      <c r="C231" s="182"/>
      <c r="D231" s="182"/>
      <c r="E231" s="182"/>
      <c r="F231" s="182"/>
      <c r="G231" s="182"/>
      <c r="H231" s="182"/>
      <c r="I231" s="182"/>
      <c r="J231" s="182"/>
      <c r="K231" s="182"/>
      <c r="L231" s="180"/>
      <c r="M231" s="182"/>
      <c r="N231" s="182"/>
      <c r="O231" s="182"/>
      <c r="P231" s="180"/>
      <c r="Q231" s="180"/>
      <c r="R231" s="180"/>
      <c r="S231" s="184"/>
      <c r="T231" s="182"/>
      <c r="U231" s="182"/>
      <c r="V231" s="182"/>
      <c r="W231" s="182"/>
      <c r="X231" s="182"/>
    </row>
    <row r="232" spans="1:24">
      <c r="A232" s="182"/>
      <c r="B232" s="182"/>
      <c r="C232" s="182"/>
      <c r="D232" s="182"/>
      <c r="E232" s="182"/>
      <c r="F232" s="182"/>
      <c r="G232" s="182"/>
      <c r="H232" s="182"/>
      <c r="I232" s="182"/>
      <c r="J232" s="182"/>
      <c r="K232" s="182"/>
      <c r="L232" s="180"/>
      <c r="M232" s="182"/>
      <c r="N232" s="182"/>
      <c r="O232" s="182"/>
      <c r="P232" s="180"/>
      <c r="Q232" s="180"/>
      <c r="R232" s="180"/>
      <c r="S232" s="184"/>
      <c r="T232" s="182"/>
      <c r="U232" s="182"/>
      <c r="V232" s="182"/>
      <c r="W232" s="182"/>
      <c r="X232" s="182"/>
    </row>
    <row r="233" spans="1:24">
      <c r="A233" s="182"/>
      <c r="B233" s="182"/>
      <c r="C233" s="182"/>
      <c r="D233" s="182"/>
      <c r="E233" s="182"/>
      <c r="F233" s="182"/>
      <c r="G233" s="182"/>
      <c r="H233" s="182"/>
      <c r="I233" s="182"/>
      <c r="J233" s="182"/>
      <c r="K233" s="182"/>
      <c r="L233" s="180"/>
      <c r="M233" s="182"/>
      <c r="N233" s="182"/>
      <c r="O233" s="182"/>
      <c r="P233" s="180"/>
      <c r="Q233" s="180"/>
      <c r="R233" s="180"/>
      <c r="S233" s="184"/>
      <c r="T233" s="182"/>
      <c r="U233" s="182"/>
      <c r="V233" s="182"/>
      <c r="W233" s="182"/>
      <c r="X233" s="182"/>
    </row>
    <row r="234" spans="1:24">
      <c r="A234" s="182"/>
      <c r="B234" s="182"/>
      <c r="C234" s="182"/>
      <c r="D234" s="182"/>
      <c r="E234" s="182"/>
      <c r="F234" s="182"/>
      <c r="G234" s="182"/>
      <c r="H234" s="182"/>
      <c r="I234" s="182"/>
      <c r="J234" s="182"/>
      <c r="K234" s="182"/>
      <c r="L234" s="180"/>
      <c r="M234" s="182"/>
      <c r="N234" s="182"/>
      <c r="O234" s="182"/>
      <c r="P234" s="180"/>
      <c r="Q234" s="180"/>
      <c r="R234" s="180"/>
      <c r="S234" s="184"/>
      <c r="T234" s="182"/>
      <c r="U234" s="182"/>
      <c r="V234" s="182"/>
      <c r="W234" s="182"/>
      <c r="X234" s="182"/>
    </row>
    <row r="235" spans="1:24">
      <c r="A235" s="182"/>
      <c r="B235" s="182"/>
      <c r="C235" s="182"/>
      <c r="D235" s="182"/>
      <c r="E235" s="182"/>
      <c r="F235" s="182"/>
      <c r="G235" s="182"/>
      <c r="H235" s="182"/>
      <c r="I235" s="182"/>
      <c r="J235" s="182"/>
      <c r="K235" s="182"/>
      <c r="L235" s="180"/>
      <c r="M235" s="182"/>
      <c r="N235" s="182"/>
      <c r="O235" s="182"/>
      <c r="P235" s="180"/>
      <c r="Q235" s="180"/>
      <c r="R235" s="180"/>
      <c r="S235" s="184"/>
      <c r="T235" s="182"/>
      <c r="U235" s="182"/>
      <c r="V235" s="182"/>
      <c r="W235" s="182"/>
      <c r="X235" s="182"/>
    </row>
    <row r="236" spans="1:24">
      <c r="A236" s="182"/>
      <c r="B236" s="182"/>
      <c r="C236" s="182"/>
      <c r="D236" s="182"/>
      <c r="E236" s="182"/>
      <c r="F236" s="182"/>
      <c r="G236" s="182"/>
      <c r="H236" s="182"/>
      <c r="I236" s="182"/>
      <c r="J236" s="182"/>
      <c r="K236" s="182"/>
      <c r="L236" s="180"/>
      <c r="M236" s="182"/>
      <c r="N236" s="182"/>
      <c r="O236" s="182"/>
      <c r="P236" s="180"/>
      <c r="Q236" s="180"/>
      <c r="R236" s="180"/>
      <c r="S236" s="184"/>
      <c r="T236" s="182"/>
      <c r="U236" s="182"/>
      <c r="V236" s="182"/>
      <c r="W236" s="182"/>
      <c r="X236" s="182"/>
    </row>
    <row r="237" spans="1:24">
      <c r="A237" s="182"/>
      <c r="B237" s="182"/>
      <c r="C237" s="182"/>
      <c r="D237" s="182"/>
      <c r="E237" s="182"/>
      <c r="F237" s="182"/>
      <c r="G237" s="182"/>
      <c r="H237" s="182"/>
      <c r="I237" s="182"/>
      <c r="J237" s="182"/>
      <c r="K237" s="182"/>
      <c r="L237" s="180"/>
      <c r="M237" s="182"/>
      <c r="N237" s="182"/>
      <c r="O237" s="182"/>
      <c r="P237" s="180"/>
      <c r="Q237" s="180"/>
      <c r="R237" s="180"/>
      <c r="S237" s="184"/>
      <c r="T237" s="182"/>
      <c r="U237" s="182"/>
      <c r="V237" s="182"/>
      <c r="W237" s="182"/>
      <c r="X237" s="182"/>
    </row>
    <row r="238" spans="1:24">
      <c r="A238" s="182"/>
      <c r="B238" s="182"/>
      <c r="C238" s="182"/>
      <c r="D238" s="182"/>
      <c r="E238" s="182"/>
      <c r="F238" s="182"/>
      <c r="G238" s="182"/>
      <c r="H238" s="182"/>
      <c r="I238" s="182"/>
      <c r="J238" s="182"/>
      <c r="K238" s="182"/>
      <c r="L238" s="180"/>
      <c r="M238" s="182"/>
      <c r="N238" s="182"/>
      <c r="O238" s="182"/>
      <c r="P238" s="180"/>
      <c r="Q238" s="180"/>
      <c r="R238" s="180"/>
      <c r="S238" s="184"/>
      <c r="T238" s="182"/>
      <c r="U238" s="182"/>
      <c r="V238" s="182"/>
      <c r="W238" s="182"/>
      <c r="X238" s="182"/>
    </row>
    <row r="239" spans="1:24">
      <c r="A239" s="182"/>
      <c r="B239" s="182"/>
      <c r="C239" s="182"/>
      <c r="D239" s="182"/>
      <c r="E239" s="182"/>
      <c r="F239" s="182"/>
      <c r="G239" s="182"/>
      <c r="H239" s="182"/>
      <c r="I239" s="182"/>
      <c r="J239" s="182"/>
      <c r="K239" s="182"/>
      <c r="L239" s="180"/>
      <c r="M239" s="182"/>
      <c r="N239" s="182"/>
      <c r="O239" s="182"/>
      <c r="P239" s="180"/>
      <c r="Q239" s="180"/>
      <c r="R239" s="180"/>
      <c r="S239" s="184"/>
      <c r="T239" s="182"/>
      <c r="U239" s="182"/>
      <c r="V239" s="182"/>
      <c r="W239" s="182"/>
      <c r="X239" s="182"/>
    </row>
    <row r="240" spans="1:24">
      <c r="A240" s="182"/>
      <c r="B240" s="182"/>
      <c r="C240" s="182"/>
      <c r="D240" s="182"/>
      <c r="E240" s="182"/>
      <c r="F240" s="182"/>
      <c r="G240" s="182"/>
      <c r="H240" s="182"/>
      <c r="I240" s="182"/>
      <c r="J240" s="182"/>
      <c r="K240" s="182"/>
      <c r="L240" s="180"/>
      <c r="M240" s="182"/>
      <c r="N240" s="182"/>
      <c r="O240" s="182"/>
      <c r="P240" s="180"/>
      <c r="Q240" s="180"/>
      <c r="R240" s="180"/>
      <c r="S240" s="184"/>
      <c r="T240" s="182"/>
      <c r="U240" s="182"/>
      <c r="V240" s="182"/>
      <c r="W240" s="182"/>
      <c r="X240" s="182"/>
    </row>
    <row r="241" spans="1:24">
      <c r="A241" s="182"/>
      <c r="B241" s="182"/>
      <c r="C241" s="182"/>
      <c r="D241" s="182"/>
      <c r="E241" s="182"/>
      <c r="F241" s="182"/>
      <c r="G241" s="182"/>
      <c r="H241" s="182"/>
      <c r="I241" s="182"/>
      <c r="J241" s="182"/>
      <c r="K241" s="182"/>
      <c r="L241" s="180"/>
      <c r="M241" s="182"/>
      <c r="N241" s="182"/>
      <c r="O241" s="182"/>
      <c r="P241" s="180"/>
      <c r="Q241" s="180"/>
      <c r="R241" s="180"/>
      <c r="S241" s="184"/>
      <c r="T241" s="182"/>
      <c r="U241" s="182"/>
      <c r="V241" s="182"/>
      <c r="W241" s="182"/>
      <c r="X241" s="182"/>
    </row>
    <row r="242" spans="1:24">
      <c r="A242" s="182"/>
      <c r="B242" s="182"/>
      <c r="C242" s="182"/>
      <c r="D242" s="182"/>
      <c r="E242" s="182"/>
      <c r="F242" s="182"/>
      <c r="G242" s="182"/>
      <c r="H242" s="182"/>
      <c r="I242" s="182"/>
      <c r="J242" s="182"/>
      <c r="K242" s="182"/>
      <c r="L242" s="180"/>
      <c r="M242" s="182"/>
      <c r="N242" s="182"/>
      <c r="O242" s="182"/>
      <c r="P242" s="180"/>
      <c r="Q242" s="180"/>
      <c r="R242" s="180"/>
      <c r="S242" s="184"/>
      <c r="T242" s="182"/>
      <c r="U242" s="182"/>
      <c r="V242" s="182"/>
      <c r="W242" s="182"/>
      <c r="X242" s="182"/>
    </row>
    <row r="243" spans="1:24">
      <c r="A243" s="182"/>
      <c r="B243" s="182"/>
      <c r="C243" s="182"/>
      <c r="D243" s="182"/>
      <c r="E243" s="182"/>
      <c r="F243" s="182"/>
      <c r="G243" s="182"/>
      <c r="H243" s="182"/>
      <c r="I243" s="182"/>
      <c r="J243" s="182"/>
      <c r="K243" s="182"/>
      <c r="L243" s="180"/>
      <c r="M243" s="182"/>
      <c r="N243" s="182"/>
      <c r="O243" s="182"/>
      <c r="P243" s="180"/>
      <c r="Q243" s="180"/>
      <c r="R243" s="180"/>
      <c r="S243" s="184"/>
      <c r="T243" s="182"/>
      <c r="U243" s="182"/>
      <c r="V243" s="182"/>
      <c r="W243" s="182"/>
      <c r="X243" s="182"/>
    </row>
    <row r="244" spans="1:24">
      <c r="A244" s="182"/>
      <c r="B244" s="182"/>
      <c r="C244" s="182"/>
      <c r="D244" s="182"/>
      <c r="E244" s="182"/>
      <c r="F244" s="182"/>
      <c r="G244" s="182"/>
      <c r="H244" s="182"/>
      <c r="I244" s="182"/>
      <c r="J244" s="182"/>
      <c r="K244" s="182"/>
      <c r="L244" s="180"/>
      <c r="M244" s="182"/>
      <c r="N244" s="182"/>
      <c r="O244" s="182"/>
      <c r="P244" s="180"/>
      <c r="Q244" s="180"/>
      <c r="R244" s="180"/>
      <c r="S244" s="184"/>
      <c r="T244" s="182"/>
      <c r="U244" s="182"/>
      <c r="V244" s="182"/>
      <c r="W244" s="182"/>
      <c r="X244" s="182"/>
    </row>
    <row r="245" spans="1:24">
      <c r="A245" s="182"/>
      <c r="B245" s="182"/>
      <c r="C245" s="182"/>
      <c r="D245" s="182"/>
      <c r="E245" s="182"/>
      <c r="F245" s="182"/>
      <c r="G245" s="182"/>
      <c r="H245" s="182"/>
      <c r="I245" s="182"/>
      <c r="J245" s="182"/>
      <c r="K245" s="182"/>
      <c r="L245" s="180"/>
      <c r="M245" s="182"/>
      <c r="N245" s="182"/>
      <c r="O245" s="182"/>
      <c r="P245" s="180"/>
      <c r="Q245" s="180"/>
      <c r="R245" s="180"/>
      <c r="S245" s="184"/>
      <c r="T245" s="182"/>
      <c r="U245" s="182"/>
      <c r="V245" s="182"/>
      <c r="W245" s="182"/>
      <c r="X245" s="182"/>
    </row>
    <row r="246" spans="1:24">
      <c r="A246" s="182"/>
      <c r="B246" s="182"/>
      <c r="C246" s="182"/>
      <c r="D246" s="182"/>
      <c r="E246" s="182"/>
      <c r="F246" s="182"/>
      <c r="G246" s="182"/>
      <c r="H246" s="182"/>
      <c r="I246" s="182"/>
      <c r="J246" s="182"/>
      <c r="K246" s="182"/>
      <c r="L246" s="180"/>
      <c r="M246" s="182"/>
      <c r="N246" s="182"/>
      <c r="O246" s="182"/>
      <c r="P246" s="180"/>
      <c r="Q246" s="180"/>
      <c r="R246" s="180"/>
      <c r="S246" s="184"/>
      <c r="T246" s="182"/>
      <c r="U246" s="182"/>
      <c r="V246" s="182"/>
      <c r="W246" s="182"/>
      <c r="X246" s="182"/>
    </row>
    <row r="247" spans="1:24">
      <c r="A247" s="182"/>
      <c r="B247" s="182"/>
      <c r="C247" s="182"/>
      <c r="D247" s="182"/>
      <c r="E247" s="182"/>
      <c r="F247" s="182"/>
      <c r="G247" s="182"/>
      <c r="H247" s="182"/>
      <c r="I247" s="182"/>
      <c r="J247" s="182"/>
      <c r="K247" s="182"/>
      <c r="L247" s="180"/>
      <c r="M247" s="182"/>
      <c r="N247" s="182"/>
      <c r="O247" s="182"/>
      <c r="P247" s="180"/>
      <c r="Q247" s="180"/>
      <c r="R247" s="180"/>
      <c r="S247" s="184"/>
      <c r="T247" s="182"/>
      <c r="U247" s="182"/>
      <c r="V247" s="182"/>
      <c r="W247" s="182"/>
      <c r="X247" s="182"/>
    </row>
    <row r="248" spans="1:24">
      <c r="A248" s="182"/>
      <c r="B248" s="182"/>
      <c r="C248" s="182"/>
      <c r="D248" s="182"/>
      <c r="E248" s="182"/>
      <c r="F248" s="182"/>
      <c r="G248" s="182"/>
      <c r="H248" s="182"/>
      <c r="I248" s="182"/>
      <c r="J248" s="182"/>
      <c r="K248" s="182"/>
      <c r="L248" s="180"/>
      <c r="M248" s="182"/>
      <c r="N248" s="182"/>
      <c r="O248" s="182"/>
      <c r="P248" s="180"/>
      <c r="Q248" s="180"/>
      <c r="R248" s="180"/>
      <c r="S248" s="184"/>
      <c r="T248" s="182"/>
      <c r="U248" s="182"/>
      <c r="V248" s="182"/>
      <c r="W248" s="182"/>
      <c r="X248" s="182"/>
    </row>
    <row r="249" spans="1:24">
      <c r="A249" s="182"/>
      <c r="B249" s="182"/>
      <c r="C249" s="182"/>
      <c r="D249" s="182"/>
      <c r="E249" s="182"/>
      <c r="F249" s="182"/>
      <c r="G249" s="182"/>
      <c r="H249" s="182"/>
      <c r="I249" s="182"/>
      <c r="J249" s="182"/>
      <c r="K249" s="182"/>
      <c r="L249" s="180"/>
      <c r="M249" s="182"/>
      <c r="N249" s="182"/>
      <c r="O249" s="182"/>
      <c r="P249" s="180"/>
      <c r="Q249" s="180"/>
      <c r="R249" s="180"/>
      <c r="S249" s="184"/>
      <c r="T249" s="182"/>
      <c r="U249" s="182"/>
      <c r="V249" s="182"/>
      <c r="W249" s="182"/>
      <c r="X249" s="182"/>
    </row>
    <row r="250" spans="1:24">
      <c r="A250" s="182"/>
      <c r="B250" s="182"/>
      <c r="C250" s="182"/>
      <c r="D250" s="182"/>
      <c r="E250" s="182"/>
      <c r="F250" s="182"/>
      <c r="G250" s="182"/>
      <c r="H250" s="182"/>
      <c r="I250" s="182"/>
      <c r="J250" s="182"/>
      <c r="K250" s="182"/>
      <c r="L250" s="180"/>
      <c r="M250" s="182"/>
      <c r="N250" s="182"/>
      <c r="O250" s="182"/>
      <c r="P250" s="180"/>
      <c r="Q250" s="180"/>
      <c r="R250" s="180"/>
      <c r="S250" s="184"/>
      <c r="T250" s="182"/>
      <c r="U250" s="182"/>
      <c r="V250" s="182"/>
      <c r="W250" s="182"/>
      <c r="X250" s="182"/>
    </row>
    <row r="251" spans="1:24">
      <c r="A251" s="182"/>
      <c r="B251" s="182"/>
      <c r="C251" s="182"/>
      <c r="D251" s="182"/>
      <c r="E251" s="182"/>
      <c r="F251" s="182"/>
      <c r="G251" s="182"/>
      <c r="H251" s="182"/>
      <c r="I251" s="182"/>
      <c r="J251" s="182"/>
      <c r="K251" s="182"/>
      <c r="L251" s="180"/>
      <c r="M251" s="182"/>
      <c r="N251" s="182"/>
      <c r="O251" s="182"/>
      <c r="P251" s="180"/>
      <c r="Q251" s="180"/>
      <c r="R251" s="180"/>
      <c r="S251" s="184"/>
      <c r="T251" s="182"/>
      <c r="U251" s="182"/>
      <c r="V251" s="182"/>
      <c r="W251" s="182"/>
      <c r="X251" s="182"/>
    </row>
    <row r="252" spans="1:24">
      <c r="A252" s="182"/>
      <c r="B252" s="182"/>
      <c r="C252" s="182"/>
      <c r="D252" s="182"/>
      <c r="E252" s="182"/>
      <c r="F252" s="182"/>
      <c r="G252" s="182"/>
      <c r="H252" s="182"/>
      <c r="I252" s="182"/>
      <c r="J252" s="182"/>
      <c r="K252" s="182"/>
      <c r="L252" s="180"/>
      <c r="M252" s="182"/>
      <c r="N252" s="182"/>
      <c r="O252" s="182"/>
      <c r="P252" s="180"/>
      <c r="Q252" s="180"/>
      <c r="R252" s="180"/>
      <c r="S252" s="184"/>
      <c r="T252" s="182"/>
      <c r="U252" s="182"/>
      <c r="V252" s="182"/>
      <c r="W252" s="182"/>
      <c r="X252" s="182"/>
    </row>
    <row r="253" spans="1:24">
      <c r="A253" s="182"/>
      <c r="B253" s="182"/>
      <c r="C253" s="182"/>
      <c r="D253" s="182"/>
      <c r="E253" s="182"/>
      <c r="F253" s="182"/>
      <c r="G253" s="182"/>
      <c r="H253" s="182"/>
      <c r="I253" s="182"/>
      <c r="J253" s="182"/>
      <c r="K253" s="182"/>
      <c r="L253" s="180"/>
      <c r="M253" s="182"/>
      <c r="N253" s="182"/>
      <c r="O253" s="182"/>
      <c r="P253" s="180"/>
      <c r="Q253" s="180"/>
      <c r="R253" s="180"/>
      <c r="S253" s="184"/>
      <c r="T253" s="182"/>
      <c r="U253" s="182"/>
      <c r="V253" s="182"/>
      <c r="W253" s="182"/>
      <c r="X253" s="182"/>
    </row>
    <row r="254" spans="1:24">
      <c r="A254" s="182"/>
      <c r="B254" s="182"/>
      <c r="C254" s="182"/>
      <c r="D254" s="182"/>
      <c r="E254" s="182"/>
      <c r="F254" s="182"/>
      <c r="G254" s="182"/>
      <c r="H254" s="182"/>
      <c r="I254" s="182"/>
      <c r="J254" s="182"/>
      <c r="K254" s="182"/>
      <c r="L254" s="180"/>
      <c r="M254" s="182"/>
      <c r="N254" s="182"/>
      <c r="O254" s="182"/>
      <c r="P254" s="180"/>
      <c r="Q254" s="180"/>
      <c r="R254" s="180"/>
      <c r="S254" s="184"/>
      <c r="T254" s="182"/>
      <c r="U254" s="182"/>
      <c r="V254" s="182"/>
      <c r="W254" s="182"/>
      <c r="X254" s="182"/>
    </row>
    <row r="255" spans="1:24">
      <c r="A255" s="182"/>
      <c r="B255" s="182"/>
      <c r="C255" s="182"/>
      <c r="D255" s="182"/>
      <c r="E255" s="182"/>
      <c r="F255" s="182"/>
      <c r="G255" s="182"/>
      <c r="H255" s="182"/>
      <c r="I255" s="182"/>
      <c r="J255" s="182"/>
      <c r="K255" s="182"/>
      <c r="L255" s="180"/>
      <c r="M255" s="182"/>
      <c r="N255" s="182"/>
      <c r="O255" s="182"/>
      <c r="P255" s="180"/>
      <c r="Q255" s="180"/>
      <c r="R255" s="180"/>
      <c r="S255" s="184"/>
      <c r="T255" s="182"/>
      <c r="U255" s="182"/>
      <c r="V255" s="182"/>
      <c r="W255" s="182"/>
      <c r="X255" s="182"/>
    </row>
    <row r="256" spans="1:24">
      <c r="A256" s="182"/>
      <c r="B256" s="182"/>
      <c r="C256" s="182"/>
      <c r="D256" s="182"/>
      <c r="E256" s="182"/>
      <c r="F256" s="182"/>
      <c r="G256" s="182"/>
      <c r="H256" s="182"/>
      <c r="I256" s="182"/>
      <c r="J256" s="182"/>
      <c r="K256" s="182"/>
      <c r="L256" s="180"/>
      <c r="M256" s="182"/>
      <c r="N256" s="182"/>
      <c r="O256" s="182"/>
      <c r="P256" s="180"/>
      <c r="Q256" s="180"/>
      <c r="R256" s="180"/>
      <c r="S256" s="184"/>
      <c r="T256" s="182"/>
      <c r="U256" s="182"/>
      <c r="V256" s="182"/>
      <c r="W256" s="182"/>
      <c r="X256" s="182"/>
    </row>
    <row r="257" spans="1:24">
      <c r="A257" s="182"/>
      <c r="B257" s="182"/>
      <c r="C257" s="182"/>
      <c r="D257" s="182"/>
      <c r="E257" s="182"/>
      <c r="F257" s="182"/>
      <c r="G257" s="182"/>
      <c r="H257" s="182"/>
      <c r="I257" s="182"/>
      <c r="J257" s="182"/>
      <c r="K257" s="182"/>
      <c r="L257" s="180"/>
      <c r="M257" s="182"/>
      <c r="N257" s="182"/>
      <c r="O257" s="182"/>
      <c r="P257" s="180"/>
      <c r="Q257" s="180"/>
      <c r="R257" s="180"/>
      <c r="S257" s="184"/>
      <c r="T257" s="182"/>
      <c r="U257" s="182"/>
      <c r="V257" s="182"/>
      <c r="W257" s="182"/>
      <c r="X257" s="182"/>
    </row>
    <row r="258" spans="1:24">
      <c r="A258" s="182"/>
      <c r="B258" s="182"/>
      <c r="C258" s="182"/>
      <c r="D258" s="182"/>
      <c r="E258" s="182"/>
      <c r="F258" s="182"/>
      <c r="G258" s="182"/>
      <c r="H258" s="182"/>
      <c r="I258" s="182"/>
      <c r="J258" s="182"/>
      <c r="K258" s="182"/>
      <c r="L258" s="180"/>
      <c r="M258" s="182"/>
      <c r="N258" s="182"/>
      <c r="O258" s="182"/>
      <c r="P258" s="180"/>
      <c r="Q258" s="180"/>
      <c r="R258" s="180"/>
      <c r="S258" s="184"/>
      <c r="T258" s="182"/>
      <c r="U258" s="182"/>
      <c r="V258" s="182"/>
      <c r="W258" s="182"/>
      <c r="X258" s="182"/>
    </row>
    <row r="259" spans="1:24">
      <c r="A259" s="182"/>
      <c r="B259" s="182"/>
      <c r="C259" s="182"/>
      <c r="D259" s="182"/>
      <c r="E259" s="182"/>
      <c r="F259" s="182"/>
      <c r="G259" s="182"/>
      <c r="H259" s="182"/>
      <c r="I259" s="182"/>
      <c r="J259" s="182"/>
      <c r="K259" s="182"/>
      <c r="L259" s="180"/>
      <c r="M259" s="182"/>
      <c r="N259" s="182"/>
      <c r="O259" s="182"/>
      <c r="P259" s="180"/>
      <c r="Q259" s="180"/>
      <c r="R259" s="180"/>
      <c r="S259" s="184"/>
      <c r="T259" s="182"/>
      <c r="U259" s="182"/>
      <c r="V259" s="182"/>
      <c r="W259" s="182"/>
      <c r="X259" s="182"/>
    </row>
    <row r="260" spans="1:24">
      <c r="A260" s="182"/>
      <c r="B260" s="182"/>
      <c r="C260" s="182"/>
      <c r="D260" s="182"/>
      <c r="E260" s="182"/>
      <c r="F260" s="182"/>
      <c r="G260" s="182"/>
      <c r="H260" s="182"/>
      <c r="I260" s="182"/>
      <c r="J260" s="182"/>
      <c r="K260" s="182"/>
      <c r="L260" s="180"/>
      <c r="M260" s="182"/>
      <c r="N260" s="182"/>
      <c r="O260" s="182"/>
      <c r="P260" s="180"/>
      <c r="Q260" s="180"/>
      <c r="R260" s="180"/>
      <c r="S260" s="184"/>
      <c r="T260" s="182"/>
      <c r="U260" s="182"/>
      <c r="V260" s="182"/>
      <c r="W260" s="182"/>
      <c r="X260" s="182"/>
    </row>
    <row r="261" spans="1:24">
      <c r="A261" s="182"/>
      <c r="B261" s="182"/>
      <c r="C261" s="182"/>
      <c r="D261" s="182"/>
      <c r="E261" s="182"/>
      <c r="F261" s="182"/>
      <c r="G261" s="182"/>
      <c r="H261" s="182"/>
      <c r="I261" s="182"/>
      <c r="J261" s="182"/>
      <c r="K261" s="182"/>
      <c r="L261" s="180"/>
      <c r="M261" s="182"/>
      <c r="N261" s="182"/>
      <c r="O261" s="182"/>
      <c r="P261" s="180"/>
      <c r="Q261" s="180"/>
      <c r="R261" s="180"/>
      <c r="S261" s="184"/>
      <c r="T261" s="182"/>
      <c r="U261" s="182"/>
      <c r="V261" s="182"/>
      <c r="W261" s="182"/>
      <c r="X261" s="182"/>
    </row>
    <row r="262" spans="1:24">
      <c r="A262" s="182"/>
      <c r="B262" s="182"/>
      <c r="C262" s="182"/>
      <c r="D262" s="182"/>
      <c r="E262" s="182"/>
      <c r="F262" s="182"/>
      <c r="G262" s="182"/>
      <c r="H262" s="182"/>
      <c r="I262" s="182"/>
      <c r="J262" s="182"/>
      <c r="K262" s="182"/>
      <c r="L262" s="180"/>
      <c r="M262" s="182"/>
      <c r="N262" s="182"/>
      <c r="O262" s="182"/>
      <c r="P262" s="180"/>
      <c r="Q262" s="180"/>
      <c r="R262" s="180"/>
      <c r="S262" s="184"/>
      <c r="T262" s="182"/>
      <c r="U262" s="182"/>
      <c r="V262" s="182"/>
      <c r="W262" s="182"/>
      <c r="X262" s="182"/>
    </row>
    <row r="263" spans="1:24">
      <c r="A263" s="182"/>
      <c r="B263" s="182"/>
      <c r="C263" s="182"/>
      <c r="D263" s="182"/>
      <c r="E263" s="182"/>
      <c r="F263" s="182"/>
      <c r="G263" s="182"/>
      <c r="H263" s="182"/>
      <c r="I263" s="182"/>
      <c r="J263" s="182"/>
      <c r="K263" s="182"/>
      <c r="L263" s="180"/>
      <c r="M263" s="182"/>
      <c r="N263" s="182"/>
      <c r="O263" s="182"/>
      <c r="P263" s="180"/>
      <c r="Q263" s="180"/>
      <c r="R263" s="180"/>
      <c r="S263" s="184"/>
      <c r="T263" s="182"/>
      <c r="U263" s="182"/>
      <c r="V263" s="182"/>
      <c r="W263" s="182"/>
      <c r="X263" s="182"/>
    </row>
    <row r="264" spans="1:24">
      <c r="A264" s="182"/>
      <c r="B264" s="182"/>
      <c r="C264" s="182"/>
      <c r="D264" s="182"/>
      <c r="E264" s="182"/>
      <c r="F264" s="182"/>
      <c r="G264" s="182"/>
      <c r="H264" s="182"/>
      <c r="I264" s="182"/>
      <c r="J264" s="182"/>
      <c r="K264" s="182"/>
      <c r="L264" s="180"/>
      <c r="M264" s="182"/>
      <c r="N264" s="182"/>
      <c r="O264" s="182"/>
      <c r="P264" s="180"/>
      <c r="Q264" s="180"/>
      <c r="R264" s="180"/>
      <c r="S264" s="184"/>
      <c r="T264" s="182"/>
      <c r="U264" s="182"/>
      <c r="V264" s="182"/>
      <c r="W264" s="182"/>
      <c r="X264" s="182"/>
    </row>
    <row r="265" spans="1:24">
      <c r="A265" s="182"/>
      <c r="B265" s="182"/>
      <c r="C265" s="182"/>
      <c r="D265" s="182"/>
      <c r="E265" s="182"/>
      <c r="F265" s="182"/>
      <c r="G265" s="182"/>
      <c r="H265" s="182"/>
      <c r="I265" s="182"/>
      <c r="J265" s="182"/>
      <c r="K265" s="182"/>
      <c r="L265" s="180"/>
      <c r="M265" s="182"/>
      <c r="N265" s="182"/>
      <c r="O265" s="182"/>
      <c r="P265" s="180"/>
      <c r="Q265" s="180"/>
      <c r="R265" s="180"/>
      <c r="S265" s="184"/>
      <c r="T265" s="182"/>
      <c r="U265" s="182"/>
      <c r="V265" s="182"/>
      <c r="W265" s="182"/>
      <c r="X265" s="182"/>
    </row>
    <row r="266" spans="1:24">
      <c r="A266" s="182"/>
      <c r="B266" s="182"/>
      <c r="C266" s="182"/>
      <c r="D266" s="182"/>
      <c r="E266" s="182"/>
      <c r="F266" s="182"/>
      <c r="G266" s="182"/>
      <c r="H266" s="182"/>
      <c r="I266" s="182"/>
      <c r="J266" s="182"/>
      <c r="K266" s="182"/>
      <c r="L266" s="180"/>
      <c r="M266" s="182"/>
      <c r="N266" s="182"/>
      <c r="O266" s="182"/>
      <c r="P266" s="180"/>
      <c r="Q266" s="180"/>
      <c r="R266" s="180"/>
      <c r="S266" s="184"/>
      <c r="T266" s="182"/>
      <c r="U266" s="182"/>
      <c r="V266" s="182"/>
      <c r="W266" s="182"/>
      <c r="X266" s="182"/>
    </row>
    <row r="267" spans="1:24">
      <c r="A267" s="182"/>
      <c r="B267" s="182"/>
      <c r="C267" s="182"/>
      <c r="D267" s="182"/>
      <c r="E267" s="182"/>
      <c r="F267" s="182"/>
      <c r="G267" s="182"/>
      <c r="H267" s="182"/>
      <c r="I267" s="182"/>
      <c r="J267" s="182"/>
      <c r="K267" s="182"/>
      <c r="L267" s="180"/>
      <c r="M267" s="182"/>
      <c r="N267" s="182"/>
      <c r="O267" s="182"/>
      <c r="P267" s="180"/>
      <c r="Q267" s="180"/>
      <c r="R267" s="180"/>
      <c r="S267" s="184"/>
      <c r="T267" s="182"/>
      <c r="U267" s="182"/>
      <c r="V267" s="182"/>
      <c r="W267" s="182"/>
      <c r="X267" s="182"/>
    </row>
    <row r="268" spans="1:24">
      <c r="A268" s="182"/>
      <c r="B268" s="182"/>
      <c r="C268" s="182"/>
      <c r="D268" s="182"/>
      <c r="E268" s="182"/>
      <c r="F268" s="182"/>
      <c r="G268" s="182"/>
      <c r="H268" s="182"/>
      <c r="I268" s="182"/>
      <c r="J268" s="182"/>
      <c r="K268" s="182"/>
      <c r="L268" s="180"/>
      <c r="M268" s="182"/>
      <c r="N268" s="182"/>
      <c r="O268" s="182"/>
      <c r="P268" s="180"/>
      <c r="Q268" s="180"/>
      <c r="R268" s="180"/>
      <c r="S268" s="184"/>
      <c r="T268" s="182"/>
      <c r="U268" s="182"/>
      <c r="V268" s="182"/>
      <c r="W268" s="182"/>
      <c r="X268" s="182"/>
    </row>
    <row r="269" spans="1:24">
      <c r="A269" s="182"/>
      <c r="B269" s="182"/>
      <c r="C269" s="182"/>
      <c r="D269" s="182"/>
      <c r="E269" s="182"/>
      <c r="F269" s="182"/>
      <c r="G269" s="182"/>
      <c r="H269" s="182"/>
      <c r="I269" s="182"/>
      <c r="J269" s="182"/>
      <c r="K269" s="182"/>
      <c r="L269" s="180"/>
      <c r="M269" s="182"/>
      <c r="N269" s="182"/>
      <c r="O269" s="182"/>
      <c r="P269" s="180"/>
      <c r="Q269" s="180"/>
      <c r="R269" s="180"/>
      <c r="S269" s="184"/>
      <c r="T269" s="182"/>
      <c r="U269" s="182"/>
      <c r="V269" s="182"/>
      <c r="W269" s="182"/>
      <c r="X269" s="182"/>
    </row>
    <row r="270" spans="1:24">
      <c r="A270" s="182"/>
      <c r="B270" s="182"/>
      <c r="C270" s="182"/>
      <c r="D270" s="182"/>
      <c r="E270" s="182"/>
      <c r="F270" s="182"/>
      <c r="G270" s="182"/>
      <c r="H270" s="182"/>
      <c r="I270" s="182"/>
      <c r="J270" s="182"/>
      <c r="K270" s="182"/>
      <c r="L270" s="180"/>
      <c r="M270" s="182"/>
      <c r="N270" s="182"/>
      <c r="O270" s="182"/>
      <c r="P270" s="180"/>
      <c r="Q270" s="180"/>
      <c r="R270" s="180"/>
      <c r="S270" s="184"/>
      <c r="T270" s="182"/>
      <c r="U270" s="182"/>
      <c r="V270" s="182"/>
      <c r="W270" s="182"/>
      <c r="X270" s="182"/>
    </row>
    <row r="271" spans="1:24">
      <c r="A271" s="182"/>
      <c r="B271" s="182"/>
      <c r="C271" s="182"/>
      <c r="D271" s="182"/>
      <c r="E271" s="182"/>
      <c r="F271" s="182"/>
      <c r="G271" s="182"/>
      <c r="H271" s="182"/>
      <c r="I271" s="182"/>
      <c r="J271" s="182"/>
      <c r="K271" s="182"/>
      <c r="L271" s="180"/>
      <c r="M271" s="182"/>
      <c r="N271" s="182"/>
      <c r="O271" s="182"/>
      <c r="P271" s="180"/>
      <c r="Q271" s="180"/>
      <c r="R271" s="180"/>
      <c r="S271" s="184"/>
      <c r="T271" s="182"/>
      <c r="U271" s="182"/>
      <c r="V271" s="182"/>
      <c r="W271" s="182"/>
      <c r="X271" s="182"/>
    </row>
    <row r="272" spans="1:24">
      <c r="A272" s="182"/>
      <c r="B272" s="182"/>
      <c r="C272" s="182"/>
      <c r="D272" s="182"/>
      <c r="E272" s="182"/>
      <c r="F272" s="182"/>
      <c r="G272" s="182"/>
      <c r="H272" s="182"/>
      <c r="I272" s="182"/>
      <c r="J272" s="182"/>
      <c r="K272" s="182"/>
      <c r="L272" s="180"/>
      <c r="M272" s="182"/>
      <c r="N272" s="182"/>
      <c r="O272" s="182"/>
      <c r="P272" s="180"/>
      <c r="Q272" s="180"/>
      <c r="R272" s="180"/>
      <c r="S272" s="184"/>
      <c r="T272" s="182"/>
      <c r="U272" s="182"/>
      <c r="V272" s="182"/>
      <c r="W272" s="182"/>
      <c r="X272" s="182"/>
    </row>
    <row r="273" spans="1:24">
      <c r="A273" s="182"/>
      <c r="B273" s="182"/>
      <c r="C273" s="182"/>
      <c r="D273" s="182"/>
      <c r="E273" s="182"/>
      <c r="F273" s="182"/>
      <c r="G273" s="182"/>
      <c r="H273" s="182"/>
      <c r="I273" s="182"/>
      <c r="J273" s="182"/>
      <c r="K273" s="182"/>
      <c r="L273" s="180"/>
      <c r="M273" s="182"/>
      <c r="N273" s="182"/>
      <c r="O273" s="182"/>
      <c r="P273" s="180"/>
      <c r="Q273" s="180"/>
      <c r="R273" s="180"/>
      <c r="S273" s="184"/>
      <c r="T273" s="182"/>
      <c r="U273" s="182"/>
      <c r="V273" s="182"/>
      <c r="W273" s="182"/>
      <c r="X273" s="182"/>
    </row>
    <row r="274" spans="1:24">
      <c r="A274" s="182"/>
      <c r="B274" s="182"/>
      <c r="C274" s="182"/>
      <c r="D274" s="182"/>
      <c r="E274" s="182"/>
      <c r="F274" s="182"/>
      <c r="G274" s="182"/>
      <c r="H274" s="182"/>
      <c r="I274" s="182"/>
      <c r="J274" s="182"/>
      <c r="K274" s="182"/>
      <c r="L274" s="180"/>
      <c r="M274" s="182"/>
      <c r="N274" s="182"/>
      <c r="O274" s="182"/>
      <c r="P274" s="180"/>
      <c r="Q274" s="180"/>
      <c r="R274" s="180"/>
      <c r="S274" s="184"/>
      <c r="T274" s="182"/>
      <c r="U274" s="182"/>
      <c r="V274" s="182"/>
      <c r="W274" s="182"/>
      <c r="X274" s="182"/>
    </row>
    <row r="275" spans="1:24">
      <c r="A275" s="182"/>
      <c r="B275" s="182"/>
      <c r="C275" s="182"/>
      <c r="D275" s="182"/>
      <c r="E275" s="182"/>
      <c r="F275" s="182"/>
      <c r="G275" s="182"/>
      <c r="H275" s="182"/>
      <c r="I275" s="182"/>
      <c r="J275" s="182"/>
      <c r="K275" s="182"/>
      <c r="L275" s="180"/>
      <c r="M275" s="182"/>
      <c r="N275" s="182"/>
      <c r="O275" s="182"/>
      <c r="P275" s="180"/>
      <c r="Q275" s="180"/>
      <c r="R275" s="180"/>
      <c r="S275" s="184"/>
      <c r="T275" s="182"/>
      <c r="U275" s="182"/>
      <c r="V275" s="182"/>
      <c r="W275" s="182"/>
      <c r="X275" s="182"/>
    </row>
    <row r="276" spans="1:24">
      <c r="A276" s="182"/>
      <c r="B276" s="182"/>
      <c r="C276" s="182"/>
      <c r="D276" s="182"/>
      <c r="E276" s="182"/>
      <c r="F276" s="182"/>
      <c r="G276" s="182"/>
      <c r="H276" s="182"/>
      <c r="I276" s="182"/>
      <c r="J276" s="182"/>
      <c r="K276" s="182"/>
      <c r="L276" s="180"/>
      <c r="M276" s="182"/>
      <c r="N276" s="182"/>
      <c r="O276" s="182"/>
      <c r="P276" s="180"/>
      <c r="Q276" s="180"/>
      <c r="R276" s="180"/>
      <c r="S276" s="184"/>
      <c r="T276" s="182"/>
      <c r="U276" s="182"/>
      <c r="V276" s="182"/>
      <c r="W276" s="182"/>
      <c r="X276" s="182"/>
    </row>
    <row r="277" spans="1:24">
      <c r="A277" s="182"/>
      <c r="B277" s="182"/>
      <c r="C277" s="182"/>
      <c r="D277" s="182"/>
      <c r="E277" s="182"/>
      <c r="F277" s="182"/>
      <c r="G277" s="182"/>
      <c r="H277" s="182"/>
      <c r="I277" s="182"/>
      <c r="J277" s="182"/>
      <c r="K277" s="182"/>
      <c r="L277" s="180"/>
      <c r="M277" s="182"/>
      <c r="N277" s="182"/>
      <c r="O277" s="182"/>
      <c r="P277" s="180"/>
      <c r="Q277" s="180"/>
      <c r="R277" s="180"/>
      <c r="S277" s="184"/>
      <c r="T277" s="182"/>
      <c r="U277" s="182"/>
      <c r="V277" s="182"/>
      <c r="W277" s="182"/>
      <c r="X277" s="182"/>
    </row>
    <row r="278" spans="1:24">
      <c r="A278" s="182"/>
      <c r="B278" s="182"/>
      <c r="C278" s="182"/>
      <c r="D278" s="182"/>
      <c r="E278" s="182"/>
      <c r="F278" s="182"/>
      <c r="G278" s="182"/>
      <c r="H278" s="182"/>
      <c r="I278" s="182"/>
      <c r="J278" s="182"/>
      <c r="K278" s="182"/>
      <c r="L278" s="180"/>
      <c r="M278" s="182"/>
      <c r="N278" s="182"/>
      <c r="O278" s="182"/>
      <c r="P278" s="180"/>
      <c r="Q278" s="180"/>
      <c r="R278" s="180"/>
      <c r="S278" s="184"/>
      <c r="T278" s="182"/>
      <c r="U278" s="182"/>
      <c r="V278" s="182"/>
      <c r="W278" s="182"/>
      <c r="X278" s="182"/>
    </row>
    <row r="279" spans="1:24">
      <c r="A279" s="182"/>
      <c r="B279" s="182"/>
      <c r="C279" s="182"/>
      <c r="D279" s="182"/>
      <c r="E279" s="182"/>
      <c r="F279" s="182"/>
      <c r="G279" s="182"/>
      <c r="H279" s="182"/>
      <c r="I279" s="182"/>
      <c r="J279" s="182"/>
      <c r="K279" s="182"/>
      <c r="L279" s="180"/>
      <c r="M279" s="182"/>
      <c r="N279" s="182"/>
      <c r="O279" s="182"/>
      <c r="P279" s="180"/>
      <c r="Q279" s="180"/>
      <c r="R279" s="180"/>
      <c r="S279" s="184"/>
      <c r="T279" s="182"/>
      <c r="U279" s="182"/>
      <c r="V279" s="182"/>
      <c r="W279" s="182"/>
      <c r="X279" s="182"/>
    </row>
    <row r="280" spans="1:24">
      <c r="A280" s="182"/>
      <c r="B280" s="182"/>
      <c r="C280" s="182"/>
      <c r="D280" s="182"/>
      <c r="E280" s="182"/>
      <c r="F280" s="182"/>
      <c r="G280" s="182"/>
      <c r="H280" s="182"/>
      <c r="I280" s="182"/>
      <c r="J280" s="182"/>
      <c r="K280" s="182"/>
      <c r="L280" s="180"/>
      <c r="M280" s="182"/>
      <c r="N280" s="182"/>
      <c r="O280" s="182"/>
      <c r="P280" s="180"/>
      <c r="Q280" s="180"/>
      <c r="R280" s="180"/>
      <c r="S280" s="184"/>
      <c r="T280" s="182"/>
      <c r="U280" s="182"/>
      <c r="V280" s="182"/>
      <c r="W280" s="182"/>
      <c r="X280" s="182"/>
    </row>
    <row r="281" spans="1:24">
      <c r="A281" s="182"/>
      <c r="B281" s="182"/>
      <c r="C281" s="182"/>
      <c r="D281" s="182"/>
      <c r="E281" s="182"/>
      <c r="F281" s="182"/>
      <c r="G281" s="182"/>
      <c r="H281" s="182"/>
      <c r="I281" s="182"/>
      <c r="J281" s="182"/>
      <c r="K281" s="182"/>
      <c r="L281" s="180"/>
      <c r="M281" s="182"/>
      <c r="N281" s="182"/>
      <c r="O281" s="182"/>
      <c r="P281" s="180"/>
      <c r="Q281" s="180"/>
      <c r="R281" s="180"/>
      <c r="S281" s="184"/>
      <c r="T281" s="182"/>
      <c r="U281" s="182"/>
      <c r="V281" s="182"/>
      <c r="W281" s="182"/>
      <c r="X281" s="182"/>
    </row>
    <row r="282" spans="1:24">
      <c r="A282" s="182"/>
      <c r="B282" s="182"/>
      <c r="C282" s="182"/>
      <c r="D282" s="182"/>
      <c r="E282" s="182"/>
      <c r="F282" s="182"/>
      <c r="G282" s="182"/>
      <c r="H282" s="182"/>
      <c r="I282" s="182"/>
      <c r="J282" s="182"/>
      <c r="K282" s="182"/>
      <c r="L282" s="180"/>
      <c r="M282" s="182"/>
      <c r="N282" s="182"/>
      <c r="O282" s="182"/>
      <c r="P282" s="180"/>
      <c r="Q282" s="180"/>
      <c r="R282" s="180"/>
      <c r="S282" s="184"/>
      <c r="T282" s="182"/>
      <c r="U282" s="182"/>
      <c r="V282" s="182"/>
      <c r="W282" s="182"/>
      <c r="X282" s="182"/>
    </row>
    <row r="283" spans="1:24">
      <c r="A283" s="182"/>
      <c r="B283" s="182"/>
      <c r="C283" s="182"/>
      <c r="D283" s="182"/>
      <c r="E283" s="182"/>
      <c r="F283" s="182"/>
      <c r="G283" s="182"/>
      <c r="H283" s="182"/>
      <c r="I283" s="182"/>
      <c r="J283" s="182"/>
      <c r="K283" s="182"/>
      <c r="L283" s="180"/>
      <c r="M283" s="182"/>
      <c r="N283" s="182"/>
      <c r="O283" s="182"/>
      <c r="P283" s="180"/>
      <c r="Q283" s="180"/>
      <c r="R283" s="180"/>
      <c r="S283" s="184"/>
      <c r="T283" s="182"/>
      <c r="U283" s="182"/>
      <c r="V283" s="182"/>
      <c r="W283" s="182"/>
      <c r="X283" s="182"/>
    </row>
    <row r="284" spans="1:24">
      <c r="A284" s="182"/>
      <c r="B284" s="182"/>
      <c r="C284" s="182"/>
      <c r="D284" s="182"/>
      <c r="E284" s="182"/>
      <c r="F284" s="182"/>
      <c r="G284" s="182"/>
      <c r="H284" s="182"/>
      <c r="I284" s="182"/>
      <c r="J284" s="182"/>
      <c r="K284" s="182"/>
      <c r="L284" s="180"/>
      <c r="M284" s="182"/>
      <c r="N284" s="182"/>
      <c r="O284" s="182"/>
      <c r="P284" s="180"/>
      <c r="Q284" s="180"/>
      <c r="R284" s="180"/>
      <c r="S284" s="184"/>
      <c r="T284" s="182"/>
      <c r="U284" s="182"/>
      <c r="V284" s="182"/>
      <c r="W284" s="182"/>
      <c r="X284" s="182"/>
    </row>
    <row r="285" spans="1:24">
      <c r="A285" s="182"/>
      <c r="B285" s="182"/>
      <c r="C285" s="182"/>
      <c r="D285" s="182"/>
      <c r="E285" s="182"/>
      <c r="F285" s="182"/>
      <c r="G285" s="182"/>
      <c r="H285" s="182"/>
      <c r="I285" s="182"/>
      <c r="J285" s="182"/>
      <c r="K285" s="182"/>
      <c r="L285" s="180"/>
      <c r="M285" s="182"/>
      <c r="N285" s="182"/>
      <c r="O285" s="182"/>
      <c r="P285" s="180"/>
      <c r="Q285" s="180"/>
      <c r="R285" s="180"/>
      <c r="S285" s="184"/>
      <c r="T285" s="182"/>
      <c r="U285" s="182"/>
      <c r="V285" s="182"/>
      <c r="W285" s="182"/>
      <c r="X285" s="182"/>
    </row>
    <row r="286" spans="1:24">
      <c r="A286" s="182"/>
      <c r="B286" s="182"/>
      <c r="C286" s="182"/>
      <c r="D286" s="182"/>
      <c r="E286" s="182"/>
      <c r="F286" s="182"/>
      <c r="G286" s="182"/>
      <c r="H286" s="182"/>
      <c r="I286" s="182"/>
      <c r="J286" s="182"/>
      <c r="K286" s="182"/>
      <c r="L286" s="180"/>
      <c r="M286" s="182"/>
      <c r="N286" s="182"/>
      <c r="O286" s="182"/>
      <c r="P286" s="180"/>
      <c r="Q286" s="180"/>
      <c r="R286" s="180"/>
      <c r="S286" s="184"/>
      <c r="T286" s="182"/>
      <c r="U286" s="182"/>
      <c r="V286" s="182"/>
      <c r="W286" s="182"/>
      <c r="X286" s="182"/>
    </row>
    <row r="287" spans="1:24">
      <c r="A287" s="182"/>
      <c r="B287" s="182"/>
      <c r="C287" s="182"/>
      <c r="D287" s="182"/>
      <c r="E287" s="182"/>
      <c r="F287" s="182"/>
      <c r="G287" s="182"/>
      <c r="H287" s="182"/>
      <c r="I287" s="182"/>
      <c r="J287" s="182"/>
      <c r="K287" s="182"/>
      <c r="L287" s="180"/>
      <c r="M287" s="182"/>
      <c r="N287" s="182"/>
      <c r="O287" s="182"/>
      <c r="P287" s="180"/>
      <c r="Q287" s="180"/>
      <c r="R287" s="180"/>
      <c r="S287" s="184"/>
      <c r="T287" s="182"/>
      <c r="U287" s="182"/>
      <c r="V287" s="182"/>
      <c r="W287" s="182"/>
      <c r="X287" s="182"/>
    </row>
    <row r="288" spans="1:24">
      <c r="A288" s="182"/>
      <c r="B288" s="182"/>
      <c r="C288" s="182"/>
      <c r="D288" s="182"/>
      <c r="E288" s="182"/>
      <c r="F288" s="182"/>
      <c r="G288" s="182"/>
      <c r="H288" s="182"/>
      <c r="I288" s="182"/>
      <c r="J288" s="182"/>
      <c r="K288" s="182"/>
      <c r="L288" s="180"/>
      <c r="M288" s="182"/>
      <c r="N288" s="182"/>
      <c r="O288" s="182"/>
      <c r="P288" s="180"/>
      <c r="Q288" s="180"/>
      <c r="R288" s="180"/>
      <c r="S288" s="184"/>
      <c r="T288" s="182"/>
      <c r="U288" s="182"/>
      <c r="V288" s="182"/>
      <c r="W288" s="182"/>
      <c r="X288" s="182"/>
    </row>
    <row r="289" spans="1:24">
      <c r="A289" s="182"/>
      <c r="B289" s="182"/>
      <c r="C289" s="182"/>
      <c r="D289" s="182"/>
      <c r="E289" s="182"/>
      <c r="F289" s="182"/>
      <c r="G289" s="182"/>
      <c r="H289" s="182"/>
      <c r="I289" s="182"/>
      <c r="J289" s="182"/>
      <c r="K289" s="182"/>
      <c r="L289" s="180"/>
      <c r="M289" s="182"/>
      <c r="N289" s="182"/>
      <c r="O289" s="182"/>
      <c r="P289" s="180"/>
      <c r="Q289" s="180"/>
      <c r="R289" s="180"/>
      <c r="S289" s="184"/>
      <c r="T289" s="182"/>
      <c r="U289" s="182"/>
      <c r="V289" s="182"/>
      <c r="W289" s="182"/>
      <c r="X289" s="182"/>
    </row>
    <row r="290" spans="1:24">
      <c r="A290" s="182"/>
      <c r="B290" s="182"/>
      <c r="C290" s="182"/>
      <c r="D290" s="182"/>
      <c r="E290" s="182"/>
      <c r="F290" s="182"/>
      <c r="G290" s="182"/>
      <c r="H290" s="182"/>
      <c r="I290" s="182"/>
      <c r="J290" s="182"/>
      <c r="K290" s="182"/>
      <c r="L290" s="180"/>
      <c r="M290" s="182"/>
      <c r="N290" s="182"/>
      <c r="O290" s="182"/>
      <c r="P290" s="180"/>
      <c r="Q290" s="180"/>
      <c r="R290" s="180"/>
      <c r="S290" s="184"/>
      <c r="T290" s="182"/>
      <c r="U290" s="182"/>
      <c r="V290" s="182"/>
      <c r="W290" s="182"/>
      <c r="X290" s="182"/>
    </row>
    <row r="291" spans="1:24">
      <c r="A291" s="182"/>
      <c r="B291" s="182"/>
      <c r="C291" s="182"/>
      <c r="D291" s="182"/>
      <c r="E291" s="182"/>
      <c r="F291" s="182"/>
      <c r="G291" s="182"/>
      <c r="H291" s="182"/>
      <c r="I291" s="182"/>
      <c r="J291" s="182"/>
      <c r="K291" s="182"/>
      <c r="L291" s="180"/>
      <c r="M291" s="182"/>
      <c r="N291" s="182"/>
      <c r="O291" s="182"/>
      <c r="P291" s="180"/>
      <c r="Q291" s="180"/>
      <c r="R291" s="180"/>
      <c r="S291" s="184"/>
      <c r="T291" s="182"/>
      <c r="U291" s="182"/>
      <c r="V291" s="182"/>
      <c r="W291" s="182"/>
      <c r="X291" s="182"/>
    </row>
    <row r="292" spans="1:24">
      <c r="A292" s="182"/>
      <c r="B292" s="182"/>
      <c r="C292" s="182"/>
      <c r="D292" s="182"/>
      <c r="E292" s="182"/>
      <c r="F292" s="182"/>
      <c r="G292" s="182"/>
      <c r="H292" s="182"/>
      <c r="I292" s="182"/>
      <c r="J292" s="182"/>
      <c r="K292" s="182"/>
      <c r="L292" s="180"/>
      <c r="M292" s="182"/>
      <c r="N292" s="182"/>
      <c r="O292" s="182"/>
      <c r="P292" s="180"/>
      <c r="Q292" s="180"/>
      <c r="R292" s="180"/>
      <c r="S292" s="184"/>
      <c r="T292" s="182"/>
      <c r="U292" s="182"/>
      <c r="V292" s="182"/>
      <c r="W292" s="182"/>
      <c r="X292" s="182"/>
    </row>
    <row r="293" spans="1:24">
      <c r="A293" s="182"/>
      <c r="B293" s="182"/>
      <c r="C293" s="182"/>
      <c r="D293" s="182"/>
      <c r="E293" s="182"/>
      <c r="F293" s="182"/>
      <c r="G293" s="182"/>
      <c r="H293" s="182"/>
      <c r="I293" s="182"/>
      <c r="J293" s="182"/>
      <c r="K293" s="182"/>
      <c r="L293" s="180"/>
      <c r="M293" s="182"/>
      <c r="N293" s="182"/>
      <c r="O293" s="182"/>
      <c r="P293" s="180"/>
      <c r="Q293" s="180"/>
      <c r="R293" s="180"/>
      <c r="S293" s="184"/>
      <c r="T293" s="182"/>
      <c r="U293" s="182"/>
      <c r="V293" s="182"/>
      <c r="W293" s="182"/>
      <c r="X293" s="182"/>
    </row>
    <row r="294" spans="1:24">
      <c r="A294" s="182"/>
      <c r="B294" s="182"/>
      <c r="C294" s="182"/>
      <c r="D294" s="182"/>
      <c r="E294" s="182"/>
      <c r="F294" s="182"/>
      <c r="G294" s="182"/>
      <c r="H294" s="182"/>
      <c r="I294" s="182"/>
      <c r="J294" s="182"/>
      <c r="K294" s="182"/>
      <c r="L294" s="180"/>
      <c r="M294" s="182"/>
      <c r="N294" s="182"/>
      <c r="O294" s="182"/>
      <c r="P294" s="180"/>
      <c r="Q294" s="180"/>
      <c r="R294" s="180"/>
      <c r="S294" s="184"/>
      <c r="T294" s="182"/>
      <c r="U294" s="182"/>
      <c r="V294" s="182"/>
      <c r="W294" s="182"/>
      <c r="X294" s="182"/>
    </row>
    <row r="295" spans="1:24">
      <c r="A295" s="182"/>
      <c r="B295" s="182"/>
      <c r="C295" s="182"/>
      <c r="D295" s="182"/>
      <c r="E295" s="182"/>
      <c r="F295" s="182"/>
      <c r="G295" s="182"/>
      <c r="H295" s="182"/>
      <c r="I295" s="182"/>
      <c r="J295" s="182"/>
      <c r="K295" s="182"/>
      <c r="L295" s="180"/>
      <c r="M295" s="182"/>
      <c r="N295" s="182"/>
      <c r="O295" s="182"/>
      <c r="P295" s="180"/>
      <c r="Q295" s="180"/>
      <c r="R295" s="180"/>
      <c r="S295" s="184"/>
      <c r="T295" s="182"/>
      <c r="U295" s="182"/>
      <c r="V295" s="182"/>
      <c r="W295" s="182"/>
      <c r="X295" s="182"/>
    </row>
    <row r="296" spans="1:24">
      <c r="A296" s="182"/>
      <c r="B296" s="182"/>
      <c r="C296" s="182"/>
      <c r="D296" s="182"/>
      <c r="E296" s="182"/>
      <c r="F296" s="182"/>
      <c r="G296" s="182"/>
      <c r="H296" s="182"/>
      <c r="I296" s="182"/>
      <c r="J296" s="182"/>
      <c r="K296" s="182"/>
      <c r="L296" s="180"/>
      <c r="M296" s="182"/>
      <c r="N296" s="182"/>
      <c r="O296" s="182"/>
      <c r="P296" s="180"/>
      <c r="Q296" s="180"/>
      <c r="R296" s="180"/>
      <c r="S296" s="184"/>
      <c r="T296" s="182"/>
      <c r="U296" s="182"/>
      <c r="V296" s="182"/>
      <c r="W296" s="182"/>
      <c r="X296" s="182"/>
    </row>
    <row r="297" spans="1:24">
      <c r="A297" s="182"/>
      <c r="B297" s="182"/>
      <c r="C297" s="182"/>
      <c r="D297" s="182"/>
      <c r="E297" s="182"/>
      <c r="F297" s="182"/>
      <c r="G297" s="182"/>
      <c r="H297" s="182"/>
      <c r="I297" s="182"/>
      <c r="J297" s="182"/>
      <c r="K297" s="182"/>
      <c r="L297" s="180"/>
      <c r="M297" s="182"/>
      <c r="N297" s="182"/>
      <c r="O297" s="182"/>
      <c r="P297" s="180"/>
      <c r="Q297" s="180"/>
      <c r="R297" s="180"/>
      <c r="S297" s="184"/>
      <c r="T297" s="182"/>
      <c r="U297" s="182"/>
      <c r="V297" s="182"/>
      <c r="W297" s="182"/>
      <c r="X297" s="182"/>
    </row>
    <row r="298" spans="1:24">
      <c r="A298" s="182"/>
      <c r="B298" s="182"/>
      <c r="C298" s="182"/>
      <c r="D298" s="182"/>
      <c r="E298" s="182"/>
      <c r="F298" s="182"/>
      <c r="G298" s="182"/>
      <c r="H298" s="182"/>
      <c r="I298" s="182"/>
      <c r="J298" s="182"/>
      <c r="K298" s="182"/>
      <c r="L298" s="180"/>
      <c r="M298" s="182"/>
      <c r="N298" s="182"/>
      <c r="O298" s="182"/>
      <c r="P298" s="180"/>
      <c r="Q298" s="180"/>
      <c r="R298" s="180"/>
      <c r="S298" s="184"/>
      <c r="T298" s="182"/>
      <c r="U298" s="182"/>
      <c r="V298" s="182"/>
      <c r="W298" s="182"/>
      <c r="X298" s="182"/>
    </row>
    <row r="299" spans="1:24">
      <c r="A299" s="182"/>
      <c r="B299" s="182"/>
      <c r="C299" s="182"/>
      <c r="D299" s="182"/>
      <c r="E299" s="182"/>
      <c r="F299" s="182"/>
      <c r="G299" s="182"/>
      <c r="H299" s="182"/>
      <c r="I299" s="182"/>
      <c r="J299" s="182"/>
      <c r="K299" s="182"/>
      <c r="L299" s="180"/>
      <c r="M299" s="182"/>
      <c r="N299" s="182"/>
      <c r="O299" s="182"/>
      <c r="P299" s="180"/>
      <c r="Q299" s="180"/>
      <c r="R299" s="180"/>
      <c r="S299" s="184"/>
      <c r="T299" s="182"/>
      <c r="U299" s="182"/>
      <c r="V299" s="182"/>
      <c r="W299" s="182"/>
      <c r="X299" s="182"/>
    </row>
    <row r="300" spans="1:24">
      <c r="A300" s="182"/>
      <c r="B300" s="182"/>
      <c r="C300" s="182"/>
      <c r="D300" s="182"/>
      <c r="E300" s="182"/>
      <c r="F300" s="182"/>
      <c r="G300" s="182"/>
      <c r="H300" s="182"/>
      <c r="I300" s="182"/>
      <c r="J300" s="182"/>
      <c r="K300" s="182"/>
      <c r="L300" s="180"/>
      <c r="M300" s="182"/>
      <c r="N300" s="182"/>
      <c r="O300" s="182"/>
      <c r="P300" s="180"/>
      <c r="Q300" s="180"/>
      <c r="R300" s="180"/>
      <c r="S300" s="184"/>
      <c r="T300" s="182"/>
      <c r="U300" s="182"/>
      <c r="V300" s="182"/>
      <c r="W300" s="182"/>
      <c r="X300" s="182"/>
    </row>
    <row r="301" spans="1:24">
      <c r="A301" s="182"/>
      <c r="B301" s="182"/>
      <c r="C301" s="182"/>
      <c r="D301" s="182"/>
      <c r="E301" s="182"/>
      <c r="F301" s="182"/>
      <c r="G301" s="182"/>
      <c r="H301" s="182"/>
      <c r="I301" s="182"/>
      <c r="J301" s="182"/>
      <c r="K301" s="182"/>
      <c r="L301" s="180"/>
      <c r="M301" s="182"/>
      <c r="N301" s="182"/>
      <c r="O301" s="182"/>
      <c r="P301" s="180"/>
      <c r="Q301" s="180"/>
      <c r="R301" s="180"/>
      <c r="S301" s="184"/>
      <c r="T301" s="182"/>
      <c r="U301" s="182"/>
      <c r="V301" s="182"/>
      <c r="W301" s="182"/>
      <c r="X301" s="182"/>
    </row>
    <row r="302" spans="1:24">
      <c r="A302" s="182"/>
      <c r="B302" s="182"/>
      <c r="C302" s="182"/>
      <c r="D302" s="182"/>
      <c r="E302" s="182"/>
      <c r="F302" s="182"/>
      <c r="G302" s="182"/>
      <c r="H302" s="182"/>
      <c r="I302" s="182"/>
      <c r="J302" s="182"/>
      <c r="K302" s="182"/>
      <c r="L302" s="180"/>
      <c r="M302" s="182"/>
      <c r="N302" s="182"/>
      <c r="O302" s="182"/>
      <c r="P302" s="180"/>
      <c r="Q302" s="180"/>
      <c r="R302" s="180"/>
      <c r="S302" s="184"/>
      <c r="T302" s="182"/>
      <c r="U302" s="182"/>
      <c r="V302" s="182"/>
      <c r="W302" s="182"/>
      <c r="X302" s="182"/>
    </row>
    <row r="303" spans="1:24">
      <c r="A303" s="182"/>
      <c r="B303" s="182"/>
      <c r="C303" s="182"/>
      <c r="D303" s="182"/>
      <c r="E303" s="182"/>
      <c r="F303" s="182"/>
      <c r="G303" s="182"/>
      <c r="H303" s="182"/>
      <c r="I303" s="182"/>
      <c r="J303" s="182"/>
      <c r="K303" s="182"/>
      <c r="L303" s="180"/>
      <c r="M303" s="182"/>
      <c r="N303" s="182"/>
      <c r="O303" s="182"/>
      <c r="P303" s="180"/>
      <c r="Q303" s="180"/>
      <c r="R303" s="180"/>
      <c r="S303" s="184"/>
      <c r="T303" s="182"/>
      <c r="U303" s="182"/>
      <c r="V303" s="182"/>
      <c r="W303" s="182"/>
      <c r="X303" s="182"/>
    </row>
    <row r="304" spans="1:24">
      <c r="A304" s="182"/>
      <c r="B304" s="182"/>
      <c r="C304" s="182"/>
      <c r="D304" s="182"/>
      <c r="E304" s="182"/>
      <c r="F304" s="182"/>
      <c r="G304" s="182"/>
      <c r="H304" s="182"/>
      <c r="I304" s="182"/>
      <c r="J304" s="182"/>
      <c r="K304" s="182"/>
      <c r="L304" s="180"/>
      <c r="M304" s="182"/>
      <c r="N304" s="182"/>
      <c r="O304" s="182"/>
      <c r="P304" s="180"/>
      <c r="Q304" s="180"/>
      <c r="R304" s="180"/>
      <c r="S304" s="184"/>
      <c r="T304" s="182"/>
      <c r="U304" s="182"/>
      <c r="V304" s="182"/>
      <c r="W304" s="182"/>
      <c r="X304" s="182"/>
    </row>
    <row r="305" spans="1:24">
      <c r="A305" s="182"/>
      <c r="B305" s="182"/>
      <c r="C305" s="182"/>
      <c r="D305" s="182"/>
      <c r="E305" s="182"/>
      <c r="F305" s="182"/>
      <c r="G305" s="182"/>
      <c r="H305" s="182"/>
      <c r="I305" s="182"/>
      <c r="J305" s="182"/>
      <c r="K305" s="182"/>
      <c r="L305" s="180"/>
      <c r="M305" s="182"/>
      <c r="N305" s="182"/>
      <c r="O305" s="182"/>
      <c r="P305" s="180"/>
      <c r="Q305" s="180"/>
      <c r="R305" s="180"/>
      <c r="S305" s="184"/>
      <c r="T305" s="182"/>
      <c r="U305" s="182"/>
      <c r="V305" s="182"/>
      <c r="W305" s="182"/>
      <c r="X305" s="182"/>
    </row>
    <row r="306" spans="1:24">
      <c r="A306" s="182"/>
      <c r="B306" s="182"/>
      <c r="C306" s="182"/>
      <c r="D306" s="182"/>
      <c r="E306" s="182"/>
      <c r="F306" s="182"/>
      <c r="G306" s="182"/>
      <c r="H306" s="182"/>
      <c r="I306" s="182"/>
      <c r="J306" s="182"/>
      <c r="K306" s="182"/>
      <c r="L306" s="180"/>
      <c r="M306" s="182"/>
      <c r="N306" s="182"/>
      <c r="O306" s="182"/>
      <c r="P306" s="180"/>
      <c r="Q306" s="180"/>
      <c r="R306" s="180"/>
      <c r="S306" s="184"/>
      <c r="T306" s="182"/>
      <c r="U306" s="182"/>
      <c r="V306" s="182"/>
      <c r="W306" s="182"/>
      <c r="X306" s="182"/>
    </row>
    <row r="307" spans="1:24">
      <c r="A307" s="182"/>
      <c r="B307" s="182"/>
      <c r="C307" s="182"/>
      <c r="D307" s="182"/>
      <c r="E307" s="182"/>
      <c r="F307" s="182"/>
      <c r="G307" s="182"/>
      <c r="H307" s="182"/>
      <c r="I307" s="182"/>
      <c r="J307" s="182"/>
      <c r="K307" s="182"/>
      <c r="L307" s="180"/>
      <c r="M307" s="182"/>
      <c r="N307" s="182"/>
      <c r="O307" s="182"/>
      <c r="P307" s="180"/>
      <c r="Q307" s="180"/>
      <c r="R307" s="180"/>
      <c r="S307" s="184"/>
      <c r="T307" s="182"/>
      <c r="U307" s="182"/>
      <c r="V307" s="182"/>
      <c r="W307" s="182"/>
      <c r="X307" s="182"/>
    </row>
    <row r="308" spans="1:24">
      <c r="A308" s="182"/>
      <c r="B308" s="182"/>
      <c r="C308" s="182"/>
      <c r="D308" s="182"/>
      <c r="E308" s="182"/>
      <c r="F308" s="182"/>
      <c r="G308" s="182"/>
      <c r="H308" s="182"/>
      <c r="I308" s="182"/>
      <c r="J308" s="182"/>
      <c r="K308" s="182"/>
      <c r="L308" s="180"/>
      <c r="M308" s="182"/>
      <c r="N308" s="182"/>
      <c r="O308" s="182"/>
      <c r="P308" s="180"/>
      <c r="Q308" s="180"/>
      <c r="R308" s="180"/>
      <c r="S308" s="184"/>
      <c r="T308" s="182"/>
      <c r="U308" s="182"/>
      <c r="V308" s="182"/>
      <c r="W308" s="182"/>
      <c r="X308" s="182"/>
    </row>
    <row r="309" spans="1:24">
      <c r="A309" s="182"/>
      <c r="B309" s="182"/>
      <c r="C309" s="182"/>
      <c r="D309" s="182"/>
      <c r="E309" s="182"/>
      <c r="F309" s="182"/>
      <c r="G309" s="182"/>
      <c r="H309" s="182"/>
      <c r="I309" s="182"/>
      <c r="J309" s="182"/>
      <c r="K309" s="182"/>
      <c r="L309" s="180"/>
      <c r="M309" s="182"/>
      <c r="N309" s="182"/>
      <c r="O309" s="182"/>
      <c r="P309" s="180"/>
      <c r="Q309" s="180"/>
      <c r="R309" s="180"/>
      <c r="S309" s="184"/>
      <c r="T309" s="182"/>
      <c r="U309" s="182"/>
      <c r="V309" s="182"/>
      <c r="W309" s="182"/>
      <c r="X309" s="182"/>
    </row>
    <row r="310" spans="1:24">
      <c r="A310" s="182"/>
      <c r="B310" s="182"/>
      <c r="C310" s="182"/>
      <c r="D310" s="182"/>
      <c r="E310" s="182"/>
      <c r="F310" s="182"/>
      <c r="G310" s="182"/>
      <c r="H310" s="182"/>
      <c r="I310" s="182"/>
      <c r="J310" s="182"/>
      <c r="K310" s="182"/>
      <c r="L310" s="180"/>
      <c r="M310" s="182"/>
      <c r="N310" s="182"/>
      <c r="O310" s="182"/>
      <c r="P310" s="180"/>
      <c r="Q310" s="180"/>
      <c r="R310" s="180"/>
      <c r="S310" s="184"/>
      <c r="T310" s="182"/>
      <c r="U310" s="182"/>
      <c r="V310" s="182"/>
      <c r="W310" s="182"/>
      <c r="X310" s="182"/>
    </row>
    <row r="311" spans="1:24">
      <c r="A311" s="182"/>
      <c r="B311" s="182"/>
      <c r="C311" s="182"/>
      <c r="D311" s="182"/>
      <c r="E311" s="182"/>
      <c r="F311" s="182"/>
      <c r="G311" s="182"/>
      <c r="H311" s="182"/>
      <c r="I311" s="182"/>
      <c r="J311" s="182"/>
      <c r="K311" s="182"/>
      <c r="L311" s="180"/>
      <c r="M311" s="182"/>
      <c r="N311" s="182"/>
      <c r="O311" s="182"/>
      <c r="P311" s="180"/>
      <c r="Q311" s="180"/>
      <c r="R311" s="180"/>
      <c r="S311" s="184"/>
      <c r="T311" s="182"/>
      <c r="U311" s="182"/>
      <c r="V311" s="182"/>
      <c r="W311" s="182"/>
      <c r="X311" s="182"/>
    </row>
    <row r="312" spans="1:24">
      <c r="A312" s="182"/>
      <c r="B312" s="182"/>
      <c r="C312" s="182"/>
      <c r="D312" s="182"/>
      <c r="E312" s="182"/>
      <c r="F312" s="182"/>
      <c r="G312" s="182"/>
      <c r="H312" s="182"/>
      <c r="I312" s="182"/>
      <c r="J312" s="182"/>
      <c r="K312" s="182"/>
      <c r="L312" s="180"/>
      <c r="M312" s="182"/>
      <c r="N312" s="182"/>
      <c r="O312" s="182"/>
      <c r="P312" s="180"/>
      <c r="Q312" s="180"/>
      <c r="R312" s="180"/>
      <c r="S312" s="184"/>
      <c r="T312" s="182"/>
      <c r="U312" s="182"/>
      <c r="V312" s="182"/>
      <c r="W312" s="182"/>
      <c r="X312" s="182"/>
    </row>
    <row r="313" spans="1:24">
      <c r="A313" s="182"/>
      <c r="B313" s="182"/>
      <c r="C313" s="182"/>
      <c r="D313" s="182"/>
      <c r="E313" s="182"/>
      <c r="F313" s="182"/>
      <c r="G313" s="182"/>
      <c r="H313" s="182"/>
      <c r="I313" s="182"/>
      <c r="J313" s="182"/>
      <c r="K313" s="182"/>
      <c r="L313" s="180"/>
      <c r="M313" s="182"/>
      <c r="N313" s="182"/>
      <c r="O313" s="182"/>
      <c r="P313" s="180"/>
      <c r="Q313" s="180"/>
      <c r="R313" s="180"/>
      <c r="S313" s="184"/>
      <c r="T313" s="182"/>
      <c r="U313" s="182"/>
      <c r="V313" s="182"/>
      <c r="W313" s="182"/>
      <c r="X313" s="182"/>
    </row>
    <row r="314" spans="1:24">
      <c r="A314" s="182"/>
      <c r="B314" s="182"/>
      <c r="C314" s="182"/>
      <c r="D314" s="182"/>
      <c r="E314" s="182"/>
      <c r="F314" s="182"/>
      <c r="G314" s="182"/>
      <c r="H314" s="182"/>
      <c r="I314" s="182"/>
      <c r="J314" s="182"/>
      <c r="K314" s="182"/>
      <c r="L314" s="180"/>
      <c r="M314" s="182"/>
      <c r="N314" s="182"/>
      <c r="O314" s="182"/>
      <c r="P314" s="180"/>
      <c r="Q314" s="180"/>
      <c r="R314" s="180"/>
      <c r="S314" s="184"/>
      <c r="T314" s="182"/>
      <c r="U314" s="182"/>
      <c r="V314" s="182"/>
      <c r="W314" s="182"/>
      <c r="X314" s="182"/>
    </row>
    <row r="315" spans="1:24">
      <c r="A315" s="182"/>
      <c r="B315" s="182"/>
      <c r="C315" s="182"/>
      <c r="D315" s="182"/>
      <c r="E315" s="182"/>
      <c r="F315" s="182"/>
      <c r="G315" s="182"/>
      <c r="H315" s="182"/>
      <c r="I315" s="182"/>
      <c r="J315" s="182"/>
      <c r="K315" s="182"/>
      <c r="L315" s="180"/>
      <c r="M315" s="182"/>
      <c r="N315" s="182"/>
      <c r="O315" s="182"/>
      <c r="P315" s="180"/>
      <c r="Q315" s="180"/>
      <c r="R315" s="180"/>
      <c r="S315" s="184"/>
      <c r="T315" s="182"/>
      <c r="U315" s="182"/>
      <c r="V315" s="182"/>
      <c r="W315" s="182"/>
      <c r="X315" s="182"/>
    </row>
    <row r="316" spans="1:24">
      <c r="A316" s="182"/>
      <c r="B316" s="182"/>
      <c r="C316" s="182"/>
      <c r="D316" s="182"/>
      <c r="E316" s="182"/>
      <c r="F316" s="182"/>
      <c r="G316" s="182"/>
      <c r="H316" s="182"/>
      <c r="I316" s="182"/>
      <c r="J316" s="182"/>
      <c r="K316" s="182"/>
      <c r="L316" s="180"/>
      <c r="M316" s="182"/>
      <c r="N316" s="182"/>
      <c r="O316" s="182"/>
      <c r="P316" s="180"/>
      <c r="Q316" s="180"/>
      <c r="R316" s="180"/>
      <c r="S316" s="184"/>
      <c r="T316" s="182"/>
      <c r="U316" s="182"/>
      <c r="V316" s="182"/>
      <c r="W316" s="182"/>
      <c r="X316" s="182"/>
    </row>
    <row r="317" spans="1:24">
      <c r="A317" s="182"/>
      <c r="B317" s="182"/>
      <c r="C317" s="182"/>
      <c r="D317" s="182"/>
      <c r="E317" s="182"/>
      <c r="F317" s="182"/>
      <c r="G317" s="182"/>
      <c r="H317" s="182"/>
      <c r="I317" s="182"/>
      <c r="J317" s="182"/>
      <c r="K317" s="182"/>
      <c r="L317" s="180"/>
      <c r="M317" s="182"/>
      <c r="N317" s="182"/>
      <c r="O317" s="182"/>
      <c r="P317" s="180"/>
      <c r="Q317" s="180"/>
      <c r="R317" s="180"/>
      <c r="S317" s="184"/>
      <c r="T317" s="182"/>
      <c r="U317" s="182"/>
      <c r="V317" s="182"/>
      <c r="W317" s="182"/>
      <c r="X317" s="182"/>
    </row>
    <row r="318" spans="1:24">
      <c r="A318" s="182"/>
      <c r="B318" s="182"/>
      <c r="C318" s="182"/>
      <c r="D318" s="182"/>
      <c r="E318" s="182"/>
      <c r="F318" s="182"/>
      <c r="G318" s="182"/>
      <c r="H318" s="182"/>
      <c r="I318" s="182"/>
      <c r="J318" s="182"/>
      <c r="K318" s="182"/>
      <c r="L318" s="180"/>
      <c r="M318" s="182"/>
      <c r="N318" s="182"/>
      <c r="O318" s="182"/>
      <c r="P318" s="180"/>
      <c r="Q318" s="180"/>
      <c r="R318" s="180"/>
      <c r="S318" s="184"/>
      <c r="T318" s="182"/>
      <c r="U318" s="182"/>
      <c r="V318" s="182"/>
      <c r="W318" s="182"/>
      <c r="X318" s="182"/>
    </row>
    <row r="319" spans="1:24">
      <c r="A319" s="182"/>
      <c r="B319" s="182"/>
      <c r="C319" s="182"/>
      <c r="D319" s="182"/>
      <c r="E319" s="182"/>
      <c r="F319" s="182"/>
      <c r="G319" s="182"/>
      <c r="H319" s="182"/>
      <c r="I319" s="182"/>
      <c r="J319" s="182"/>
      <c r="K319" s="182"/>
      <c r="L319" s="180"/>
      <c r="M319" s="182"/>
      <c r="N319" s="182"/>
      <c r="O319" s="182"/>
      <c r="P319" s="180"/>
      <c r="Q319" s="180"/>
      <c r="R319" s="180"/>
      <c r="S319" s="184"/>
      <c r="T319" s="182"/>
      <c r="U319" s="182"/>
      <c r="V319" s="182"/>
      <c r="W319" s="182"/>
      <c r="X319" s="182"/>
    </row>
    <row r="320" spans="1:24">
      <c r="A320" s="182"/>
      <c r="B320" s="182"/>
      <c r="C320" s="182"/>
      <c r="D320" s="182"/>
      <c r="E320" s="182"/>
      <c r="F320" s="182"/>
      <c r="G320" s="182"/>
      <c r="H320" s="182"/>
      <c r="I320" s="182"/>
      <c r="J320" s="182"/>
      <c r="K320" s="182"/>
      <c r="L320" s="180"/>
      <c r="M320" s="182"/>
      <c r="N320" s="182"/>
      <c r="O320" s="182"/>
      <c r="P320" s="180"/>
      <c r="Q320" s="180"/>
      <c r="R320" s="180"/>
      <c r="S320" s="184"/>
      <c r="T320" s="182"/>
      <c r="U320" s="182"/>
      <c r="V320" s="182"/>
      <c r="W320" s="182"/>
      <c r="X320" s="182"/>
    </row>
    <row r="321" spans="1:24">
      <c r="A321" s="182"/>
      <c r="B321" s="182"/>
      <c r="C321" s="182"/>
      <c r="D321" s="182"/>
      <c r="E321" s="182"/>
      <c r="F321" s="182"/>
      <c r="G321" s="182"/>
      <c r="H321" s="182"/>
      <c r="I321" s="182"/>
      <c r="J321" s="182"/>
      <c r="K321" s="182"/>
      <c r="L321" s="180"/>
      <c r="M321" s="182"/>
      <c r="N321" s="182"/>
      <c r="O321" s="182"/>
      <c r="P321" s="180"/>
      <c r="Q321" s="180"/>
      <c r="R321" s="180"/>
      <c r="S321" s="184"/>
      <c r="T321" s="182"/>
      <c r="U321" s="182"/>
      <c r="V321" s="182"/>
      <c r="W321" s="182"/>
      <c r="X321" s="182"/>
    </row>
    <row r="322" spans="1:24">
      <c r="A322" s="182"/>
      <c r="B322" s="182"/>
      <c r="C322" s="182"/>
      <c r="D322" s="182"/>
      <c r="E322" s="182"/>
      <c r="F322" s="182"/>
      <c r="G322" s="182"/>
      <c r="H322" s="182"/>
      <c r="I322" s="182"/>
      <c r="J322" s="182"/>
      <c r="K322" s="182"/>
      <c r="L322" s="180"/>
      <c r="M322" s="182"/>
      <c r="N322" s="182"/>
      <c r="O322" s="182"/>
      <c r="P322" s="180"/>
      <c r="Q322" s="180"/>
      <c r="R322" s="180"/>
      <c r="S322" s="184"/>
      <c r="T322" s="182"/>
      <c r="U322" s="182"/>
      <c r="V322" s="182"/>
      <c r="W322" s="182"/>
      <c r="X322" s="182"/>
    </row>
    <row r="323" spans="1:24">
      <c r="A323" s="182"/>
      <c r="B323" s="182"/>
      <c r="C323" s="182"/>
      <c r="D323" s="182"/>
      <c r="E323" s="182"/>
      <c r="F323" s="182"/>
      <c r="G323" s="182"/>
      <c r="H323" s="182"/>
      <c r="I323" s="182"/>
      <c r="J323" s="182"/>
      <c r="K323" s="182"/>
      <c r="L323" s="180"/>
      <c r="M323" s="182"/>
      <c r="N323" s="182"/>
      <c r="O323" s="182"/>
      <c r="P323" s="180"/>
      <c r="Q323" s="180"/>
      <c r="R323" s="180"/>
      <c r="S323" s="184"/>
      <c r="T323" s="182"/>
      <c r="U323" s="182"/>
      <c r="V323" s="182"/>
      <c r="W323" s="182"/>
      <c r="X323" s="182"/>
    </row>
    <row r="324" spans="1:24">
      <c r="A324" s="182"/>
      <c r="B324" s="182"/>
      <c r="C324" s="182"/>
      <c r="D324" s="182"/>
      <c r="E324" s="182"/>
      <c r="F324" s="182"/>
      <c r="G324" s="182"/>
      <c r="H324" s="182"/>
      <c r="I324" s="182"/>
      <c r="J324" s="182"/>
      <c r="K324" s="182"/>
      <c r="L324" s="180"/>
      <c r="M324" s="182"/>
      <c r="N324" s="182"/>
      <c r="O324" s="182"/>
      <c r="P324" s="180"/>
      <c r="Q324" s="180"/>
      <c r="R324" s="180"/>
      <c r="S324" s="184"/>
      <c r="T324" s="182"/>
      <c r="U324" s="182"/>
      <c r="V324" s="182"/>
      <c r="W324" s="182"/>
      <c r="X324" s="182"/>
    </row>
    <row r="325" spans="1:24">
      <c r="A325" s="182"/>
      <c r="B325" s="182"/>
      <c r="C325" s="182"/>
      <c r="D325" s="182"/>
      <c r="E325" s="182"/>
      <c r="F325" s="182"/>
      <c r="G325" s="182"/>
      <c r="H325" s="182"/>
      <c r="I325" s="182"/>
      <c r="J325" s="182"/>
      <c r="K325" s="182"/>
      <c r="L325" s="180"/>
      <c r="M325" s="182"/>
      <c r="N325" s="182"/>
      <c r="O325" s="182"/>
      <c r="P325" s="180"/>
      <c r="Q325" s="180"/>
      <c r="R325" s="180"/>
      <c r="S325" s="184"/>
      <c r="T325" s="182"/>
      <c r="U325" s="182"/>
      <c r="V325" s="182"/>
      <c r="W325" s="182"/>
      <c r="X325" s="182"/>
    </row>
    <row r="326" spans="1:24">
      <c r="A326" s="182"/>
      <c r="B326" s="182"/>
      <c r="C326" s="182"/>
      <c r="D326" s="182"/>
      <c r="E326" s="182"/>
      <c r="F326" s="182"/>
      <c r="G326" s="182"/>
      <c r="H326" s="182"/>
      <c r="I326" s="182"/>
      <c r="J326" s="182"/>
      <c r="K326" s="182"/>
      <c r="L326" s="180"/>
      <c r="M326" s="182"/>
      <c r="N326" s="182"/>
      <c r="O326" s="182"/>
      <c r="P326" s="180"/>
      <c r="Q326" s="180"/>
      <c r="R326" s="180"/>
      <c r="S326" s="184"/>
      <c r="T326" s="182"/>
      <c r="U326" s="182"/>
      <c r="V326" s="182"/>
      <c r="W326" s="182"/>
      <c r="X326" s="182"/>
    </row>
    <row r="327" spans="1:24">
      <c r="A327" s="182"/>
      <c r="B327" s="182"/>
      <c r="C327" s="182"/>
      <c r="D327" s="182"/>
      <c r="E327" s="182"/>
      <c r="F327" s="182"/>
      <c r="G327" s="182"/>
      <c r="H327" s="182"/>
      <c r="I327" s="182"/>
      <c r="J327" s="182"/>
      <c r="K327" s="182"/>
      <c r="L327" s="180"/>
      <c r="M327" s="182"/>
      <c r="N327" s="182"/>
      <c r="O327" s="182"/>
      <c r="P327" s="180"/>
      <c r="Q327" s="180"/>
      <c r="R327" s="180"/>
      <c r="S327" s="184"/>
      <c r="T327" s="182"/>
      <c r="U327" s="182"/>
      <c r="V327" s="182"/>
      <c r="W327" s="182"/>
      <c r="X327" s="182"/>
    </row>
    <row r="328" spans="1:24">
      <c r="A328" s="182"/>
      <c r="B328" s="182"/>
      <c r="C328" s="182"/>
      <c r="D328" s="182"/>
      <c r="E328" s="182"/>
      <c r="F328" s="182"/>
      <c r="G328" s="182"/>
      <c r="H328" s="182"/>
      <c r="I328" s="182"/>
      <c r="J328" s="182"/>
      <c r="K328" s="182"/>
      <c r="L328" s="180"/>
      <c r="M328" s="182"/>
      <c r="N328" s="182"/>
      <c r="O328" s="182"/>
      <c r="P328" s="180"/>
      <c r="Q328" s="180"/>
      <c r="R328" s="180"/>
      <c r="S328" s="184"/>
      <c r="T328" s="182"/>
      <c r="U328" s="182"/>
      <c r="V328" s="182"/>
      <c r="W328" s="182"/>
      <c r="X328" s="182"/>
    </row>
    <row r="329" spans="1:24">
      <c r="A329" s="182"/>
      <c r="B329" s="182"/>
      <c r="C329" s="182"/>
      <c r="D329" s="182"/>
      <c r="E329" s="182"/>
      <c r="F329" s="182"/>
      <c r="G329" s="182"/>
      <c r="H329" s="182"/>
      <c r="I329" s="182"/>
      <c r="J329" s="182"/>
      <c r="K329" s="182"/>
      <c r="L329" s="180"/>
      <c r="M329" s="182"/>
      <c r="N329" s="182"/>
      <c r="O329" s="182"/>
      <c r="P329" s="180"/>
      <c r="Q329" s="180"/>
      <c r="R329" s="180"/>
      <c r="S329" s="184"/>
      <c r="T329" s="182"/>
      <c r="U329" s="182"/>
      <c r="V329" s="182"/>
      <c r="W329" s="182"/>
      <c r="X329" s="182"/>
    </row>
    <row r="330" spans="1:24">
      <c r="A330" s="182"/>
      <c r="B330" s="182"/>
      <c r="C330" s="182"/>
      <c r="D330" s="182"/>
      <c r="E330" s="182"/>
      <c r="F330" s="182"/>
      <c r="G330" s="182"/>
      <c r="H330" s="182"/>
      <c r="I330" s="182"/>
      <c r="J330" s="182"/>
      <c r="K330" s="182"/>
      <c r="L330" s="180"/>
      <c r="M330" s="182"/>
      <c r="N330" s="182"/>
      <c r="O330" s="182"/>
      <c r="P330" s="180"/>
      <c r="Q330" s="180"/>
      <c r="R330" s="180"/>
      <c r="S330" s="184"/>
      <c r="T330" s="182"/>
      <c r="U330" s="182"/>
      <c r="V330" s="182"/>
      <c r="W330" s="182"/>
      <c r="X330" s="182"/>
    </row>
    <row r="331" spans="1:24">
      <c r="A331" s="182"/>
      <c r="B331" s="182"/>
      <c r="C331" s="182"/>
      <c r="D331" s="182"/>
      <c r="E331" s="182"/>
      <c r="F331" s="182"/>
      <c r="G331" s="182"/>
      <c r="H331" s="182"/>
      <c r="I331" s="182"/>
      <c r="J331" s="182"/>
      <c r="K331" s="182"/>
      <c r="L331" s="180"/>
      <c r="M331" s="182"/>
      <c r="N331" s="182"/>
      <c r="O331" s="182"/>
      <c r="P331" s="180"/>
      <c r="Q331" s="180"/>
      <c r="R331" s="180"/>
      <c r="S331" s="184"/>
      <c r="T331" s="182"/>
      <c r="U331" s="182"/>
      <c r="V331" s="182"/>
      <c r="W331" s="182"/>
      <c r="X331" s="182"/>
    </row>
    <row r="332" spans="1:24">
      <c r="A332" s="182"/>
      <c r="B332" s="182"/>
      <c r="C332" s="182"/>
      <c r="D332" s="182"/>
      <c r="E332" s="182"/>
      <c r="F332" s="182"/>
      <c r="G332" s="182"/>
      <c r="H332" s="182"/>
      <c r="I332" s="182"/>
      <c r="J332" s="182"/>
      <c r="K332" s="182"/>
      <c r="L332" s="180"/>
      <c r="M332" s="182"/>
      <c r="N332" s="182"/>
      <c r="O332" s="182"/>
      <c r="P332" s="180"/>
      <c r="Q332" s="180"/>
      <c r="R332" s="180"/>
      <c r="S332" s="184"/>
      <c r="T332" s="182"/>
      <c r="U332" s="182"/>
      <c r="V332" s="182"/>
      <c r="W332" s="182"/>
      <c r="X332" s="182"/>
    </row>
    <row r="333" spans="1:24">
      <c r="A333" s="182"/>
      <c r="B333" s="182"/>
      <c r="C333" s="182"/>
      <c r="D333" s="182"/>
      <c r="E333" s="182"/>
      <c r="F333" s="182"/>
      <c r="G333" s="182"/>
      <c r="H333" s="182"/>
      <c r="I333" s="182"/>
      <c r="J333" s="182"/>
      <c r="K333" s="182"/>
      <c r="L333" s="180"/>
      <c r="M333" s="182"/>
      <c r="N333" s="182"/>
      <c r="O333" s="182"/>
      <c r="P333" s="180"/>
      <c r="Q333" s="180"/>
      <c r="R333" s="180"/>
      <c r="S333" s="184"/>
      <c r="T333" s="182"/>
      <c r="U333" s="182"/>
      <c r="V333" s="182"/>
      <c r="W333" s="182"/>
      <c r="X333" s="182"/>
    </row>
    <row r="334" spans="1:24">
      <c r="A334" s="182"/>
      <c r="B334" s="182"/>
      <c r="C334" s="182"/>
      <c r="D334" s="182"/>
      <c r="E334" s="182"/>
      <c r="F334" s="182"/>
      <c r="G334" s="182"/>
      <c r="H334" s="182"/>
      <c r="I334" s="182"/>
      <c r="J334" s="182"/>
      <c r="K334" s="182"/>
      <c r="L334" s="180"/>
      <c r="M334" s="182"/>
      <c r="N334" s="182"/>
      <c r="O334" s="182"/>
      <c r="P334" s="180"/>
      <c r="Q334" s="180"/>
      <c r="R334" s="180"/>
      <c r="S334" s="184"/>
      <c r="T334" s="182"/>
      <c r="U334" s="182"/>
      <c r="V334" s="182"/>
      <c r="W334" s="182"/>
      <c r="X334" s="182"/>
    </row>
    <row r="335" spans="1:24">
      <c r="A335" s="182"/>
      <c r="B335" s="182"/>
      <c r="C335" s="182"/>
      <c r="D335" s="182"/>
      <c r="E335" s="182"/>
      <c r="F335" s="182"/>
      <c r="G335" s="182"/>
      <c r="H335" s="182"/>
      <c r="I335" s="182"/>
      <c r="J335" s="182"/>
      <c r="K335" s="182"/>
      <c r="L335" s="180"/>
      <c r="M335" s="182"/>
      <c r="N335" s="182"/>
      <c r="O335" s="182"/>
      <c r="P335" s="180"/>
      <c r="Q335" s="180"/>
      <c r="R335" s="180"/>
      <c r="S335" s="184"/>
      <c r="T335" s="182"/>
      <c r="U335" s="182"/>
      <c r="V335" s="182"/>
      <c r="W335" s="182"/>
      <c r="X335" s="182"/>
    </row>
    <row r="336" spans="1:24">
      <c r="A336" s="182"/>
      <c r="B336" s="182"/>
      <c r="C336" s="182"/>
      <c r="D336" s="182"/>
      <c r="E336" s="182"/>
      <c r="F336" s="182"/>
      <c r="G336" s="182"/>
      <c r="H336" s="182"/>
      <c r="I336" s="182"/>
      <c r="J336" s="182"/>
      <c r="K336" s="182"/>
      <c r="L336" s="180"/>
      <c r="M336" s="182"/>
      <c r="N336" s="182"/>
      <c r="O336" s="182"/>
      <c r="P336" s="180"/>
      <c r="Q336" s="180"/>
      <c r="R336" s="180"/>
      <c r="S336" s="184"/>
      <c r="T336" s="182"/>
      <c r="U336" s="182"/>
      <c r="V336" s="182"/>
      <c r="W336" s="182"/>
      <c r="X336" s="182"/>
    </row>
    <row r="337" spans="1:24">
      <c r="A337" s="182"/>
      <c r="B337" s="182"/>
      <c r="C337" s="182"/>
      <c r="D337" s="182"/>
      <c r="E337" s="182"/>
      <c r="F337" s="182"/>
      <c r="G337" s="182"/>
      <c r="H337" s="182"/>
      <c r="I337" s="182"/>
      <c r="J337" s="182"/>
      <c r="K337" s="182"/>
      <c r="L337" s="180"/>
      <c r="M337" s="182"/>
      <c r="N337" s="182"/>
      <c r="O337" s="182"/>
      <c r="P337" s="180"/>
      <c r="Q337" s="180"/>
      <c r="R337" s="180"/>
      <c r="S337" s="184"/>
      <c r="T337" s="182"/>
      <c r="U337" s="182"/>
      <c r="V337" s="182"/>
      <c r="W337" s="182"/>
      <c r="X337" s="182"/>
    </row>
    <row r="338" spans="1:24">
      <c r="A338" s="182"/>
      <c r="B338" s="182"/>
      <c r="C338" s="182"/>
      <c r="D338" s="182"/>
      <c r="E338" s="182"/>
      <c r="F338" s="182"/>
      <c r="G338" s="182"/>
      <c r="H338" s="182"/>
      <c r="I338" s="182"/>
      <c r="J338" s="182"/>
      <c r="K338" s="182"/>
      <c r="L338" s="180"/>
      <c r="M338" s="182"/>
      <c r="N338" s="182"/>
      <c r="O338" s="182"/>
      <c r="P338" s="180"/>
      <c r="Q338" s="180"/>
      <c r="R338" s="180"/>
      <c r="S338" s="184"/>
      <c r="T338" s="182"/>
      <c r="U338" s="182"/>
      <c r="V338" s="182"/>
      <c r="W338" s="182"/>
      <c r="X338" s="182"/>
    </row>
    <row r="339" spans="1:24">
      <c r="A339" s="182"/>
      <c r="B339" s="182"/>
      <c r="C339" s="182"/>
      <c r="D339" s="182"/>
      <c r="E339" s="182"/>
      <c r="F339" s="182"/>
      <c r="G339" s="182"/>
      <c r="H339" s="182"/>
      <c r="I339" s="182"/>
      <c r="J339" s="182"/>
      <c r="K339" s="182"/>
      <c r="L339" s="180"/>
      <c r="M339" s="182"/>
      <c r="N339" s="182"/>
      <c r="O339" s="182"/>
      <c r="P339" s="180"/>
      <c r="Q339" s="180"/>
      <c r="R339" s="180"/>
      <c r="S339" s="184"/>
      <c r="T339" s="182"/>
      <c r="U339" s="182"/>
      <c r="V339" s="182"/>
      <c r="W339" s="182"/>
      <c r="X339" s="182"/>
    </row>
    <row r="340" spans="1:24">
      <c r="A340" s="182"/>
      <c r="B340" s="182"/>
      <c r="C340" s="182"/>
      <c r="D340" s="182"/>
      <c r="E340" s="182"/>
      <c r="F340" s="182"/>
      <c r="G340" s="182"/>
      <c r="H340" s="182"/>
      <c r="I340" s="182"/>
      <c r="J340" s="182"/>
      <c r="K340" s="182"/>
      <c r="L340" s="180"/>
      <c r="M340" s="182"/>
      <c r="N340" s="182"/>
      <c r="O340" s="182"/>
      <c r="P340" s="180"/>
      <c r="Q340" s="180"/>
      <c r="R340" s="180"/>
      <c r="S340" s="184"/>
      <c r="T340" s="182"/>
      <c r="U340" s="182"/>
      <c r="V340" s="182"/>
      <c r="W340" s="182"/>
      <c r="X340" s="182"/>
    </row>
    <row r="341" spans="1:24">
      <c r="A341" s="182"/>
      <c r="B341" s="182"/>
      <c r="C341" s="182"/>
      <c r="D341" s="182"/>
      <c r="E341" s="182"/>
      <c r="F341" s="182"/>
      <c r="G341" s="182"/>
      <c r="H341" s="182"/>
      <c r="I341" s="182"/>
      <c r="J341" s="182"/>
      <c r="K341" s="182"/>
      <c r="L341" s="180"/>
      <c r="M341" s="182"/>
      <c r="N341" s="182"/>
      <c r="O341" s="182"/>
      <c r="P341" s="180"/>
      <c r="Q341" s="180"/>
      <c r="R341" s="180"/>
      <c r="S341" s="184"/>
      <c r="T341" s="182"/>
      <c r="U341" s="182"/>
      <c r="V341" s="182"/>
      <c r="W341" s="182"/>
      <c r="X341" s="182"/>
    </row>
    <row r="342" spans="1:24">
      <c r="A342" s="182"/>
      <c r="B342" s="182"/>
      <c r="C342" s="182"/>
      <c r="D342" s="182"/>
      <c r="E342" s="182"/>
      <c r="F342" s="182"/>
      <c r="G342" s="182"/>
      <c r="H342" s="182"/>
      <c r="I342" s="182"/>
      <c r="J342" s="182"/>
      <c r="K342" s="182"/>
      <c r="L342" s="180"/>
      <c r="M342" s="182"/>
      <c r="N342" s="182"/>
      <c r="O342" s="182"/>
      <c r="P342" s="180"/>
      <c r="Q342" s="180"/>
      <c r="R342" s="180"/>
      <c r="S342" s="184"/>
      <c r="T342" s="182"/>
      <c r="U342" s="182"/>
      <c r="V342" s="182"/>
      <c r="W342" s="182"/>
      <c r="X342" s="182"/>
    </row>
    <row r="343" spans="1:24">
      <c r="A343" s="182"/>
      <c r="B343" s="182"/>
      <c r="C343" s="182"/>
      <c r="D343" s="182"/>
      <c r="E343" s="182"/>
      <c r="F343" s="182"/>
      <c r="G343" s="182"/>
      <c r="H343" s="182"/>
      <c r="I343" s="182"/>
      <c r="J343" s="182"/>
      <c r="K343" s="182"/>
      <c r="L343" s="180"/>
      <c r="M343" s="182"/>
      <c r="N343" s="182"/>
      <c r="O343" s="182"/>
      <c r="P343" s="180"/>
      <c r="Q343" s="180"/>
      <c r="R343" s="180"/>
      <c r="S343" s="184"/>
      <c r="T343" s="182"/>
      <c r="U343" s="182"/>
      <c r="V343" s="182"/>
      <c r="W343" s="182"/>
      <c r="X343" s="182"/>
    </row>
    <row r="344" spans="1:24">
      <c r="A344" s="182"/>
      <c r="B344" s="182"/>
      <c r="C344" s="182"/>
      <c r="D344" s="182"/>
      <c r="E344" s="182"/>
      <c r="F344" s="182"/>
      <c r="G344" s="182"/>
      <c r="H344" s="182"/>
      <c r="I344" s="182"/>
      <c r="J344" s="182"/>
      <c r="K344" s="182"/>
      <c r="L344" s="180"/>
      <c r="M344" s="182"/>
      <c r="N344" s="182"/>
      <c r="O344" s="182"/>
      <c r="P344" s="180"/>
      <c r="Q344" s="180"/>
      <c r="R344" s="180"/>
      <c r="S344" s="184"/>
      <c r="T344" s="182"/>
      <c r="U344" s="182"/>
      <c r="V344" s="182"/>
      <c r="W344" s="182"/>
      <c r="X344" s="182"/>
    </row>
    <row r="345" spans="1:24">
      <c r="A345" s="182"/>
      <c r="B345" s="182"/>
      <c r="C345" s="182"/>
      <c r="D345" s="182"/>
      <c r="E345" s="182"/>
      <c r="F345" s="182"/>
      <c r="G345" s="182"/>
      <c r="H345" s="182"/>
      <c r="I345" s="182"/>
      <c r="J345" s="182"/>
      <c r="K345" s="182"/>
      <c r="L345" s="180"/>
      <c r="M345" s="182"/>
      <c r="N345" s="182"/>
      <c r="O345" s="182"/>
      <c r="P345" s="180"/>
      <c r="Q345" s="180"/>
      <c r="R345" s="180"/>
      <c r="S345" s="184"/>
      <c r="T345" s="182"/>
      <c r="U345" s="182"/>
      <c r="V345" s="182"/>
      <c r="W345" s="182"/>
      <c r="X345" s="182"/>
    </row>
    <row r="346" spans="1:24">
      <c r="A346" s="182"/>
      <c r="B346" s="182"/>
      <c r="C346" s="182"/>
      <c r="D346" s="182"/>
      <c r="E346" s="182"/>
      <c r="F346" s="182"/>
      <c r="G346" s="182"/>
      <c r="H346" s="182"/>
      <c r="I346" s="182"/>
      <c r="J346" s="182"/>
      <c r="K346" s="182"/>
      <c r="L346" s="180"/>
      <c r="M346" s="182"/>
      <c r="N346" s="182"/>
      <c r="O346" s="182"/>
      <c r="P346" s="180"/>
      <c r="Q346" s="180"/>
      <c r="R346" s="180"/>
      <c r="S346" s="184"/>
      <c r="T346" s="182"/>
      <c r="U346" s="182"/>
      <c r="V346" s="182"/>
      <c r="W346" s="182"/>
      <c r="X346" s="182"/>
    </row>
    <row r="347" spans="1:24">
      <c r="A347" s="182"/>
      <c r="B347" s="182"/>
      <c r="C347" s="182"/>
      <c r="D347" s="182"/>
      <c r="E347" s="182"/>
      <c r="F347" s="182"/>
      <c r="G347" s="182"/>
      <c r="H347" s="182"/>
      <c r="I347" s="182"/>
      <c r="J347" s="182"/>
      <c r="K347" s="182"/>
      <c r="L347" s="180"/>
      <c r="M347" s="182"/>
      <c r="N347" s="182"/>
      <c r="O347" s="182"/>
      <c r="P347" s="180"/>
      <c r="Q347" s="180"/>
      <c r="R347" s="180"/>
      <c r="S347" s="184"/>
      <c r="T347" s="182"/>
      <c r="U347" s="182"/>
      <c r="V347" s="182"/>
      <c r="W347" s="182"/>
      <c r="X347" s="182"/>
    </row>
    <row r="348" spans="1:24">
      <c r="A348" s="182"/>
      <c r="B348" s="182"/>
      <c r="C348" s="182"/>
      <c r="D348" s="182"/>
      <c r="E348" s="182"/>
      <c r="F348" s="182"/>
      <c r="G348" s="182"/>
      <c r="H348" s="182"/>
      <c r="I348" s="182"/>
      <c r="J348" s="182"/>
      <c r="K348" s="182"/>
      <c r="L348" s="180"/>
      <c r="M348" s="182"/>
      <c r="N348" s="182"/>
      <c r="O348" s="182"/>
      <c r="P348" s="180"/>
      <c r="Q348" s="180"/>
      <c r="R348" s="180"/>
      <c r="S348" s="184"/>
      <c r="T348" s="182"/>
      <c r="U348" s="182"/>
      <c r="V348" s="182"/>
      <c r="W348" s="182"/>
      <c r="X348" s="182"/>
    </row>
    <row r="349" spans="1:24">
      <c r="A349" s="182"/>
      <c r="B349" s="182"/>
      <c r="C349" s="182"/>
      <c r="D349" s="182"/>
      <c r="E349" s="182"/>
      <c r="F349" s="182"/>
      <c r="G349" s="182"/>
      <c r="H349" s="182"/>
      <c r="I349" s="182"/>
      <c r="J349" s="182"/>
      <c r="K349" s="182"/>
      <c r="L349" s="180"/>
      <c r="M349" s="182"/>
      <c r="N349" s="182"/>
      <c r="O349" s="182"/>
      <c r="P349" s="180"/>
      <c r="Q349" s="180"/>
      <c r="R349" s="180"/>
      <c r="S349" s="184"/>
      <c r="T349" s="182"/>
      <c r="U349" s="182"/>
      <c r="V349" s="182"/>
      <c r="W349" s="182"/>
      <c r="X349" s="182"/>
    </row>
    <row r="350" spans="1:24">
      <c r="A350" s="182"/>
      <c r="B350" s="182"/>
      <c r="C350" s="182"/>
      <c r="D350" s="182"/>
      <c r="E350" s="182"/>
      <c r="F350" s="182"/>
      <c r="G350" s="182"/>
      <c r="H350" s="182"/>
      <c r="I350" s="182"/>
      <c r="J350" s="182"/>
      <c r="K350" s="182"/>
      <c r="L350" s="180"/>
      <c r="M350" s="182"/>
      <c r="N350" s="182"/>
      <c r="O350" s="182"/>
      <c r="P350" s="180"/>
      <c r="Q350" s="180"/>
      <c r="R350" s="180"/>
      <c r="S350" s="184"/>
      <c r="T350" s="182"/>
      <c r="U350" s="182"/>
      <c r="V350" s="182"/>
      <c r="W350" s="182"/>
      <c r="X350" s="182"/>
    </row>
    <row r="351" spans="1:24">
      <c r="A351" s="182"/>
      <c r="B351" s="182"/>
      <c r="C351" s="182"/>
      <c r="D351" s="182"/>
      <c r="E351" s="182"/>
      <c r="F351" s="182"/>
      <c r="G351" s="182"/>
      <c r="H351" s="182"/>
      <c r="I351" s="182"/>
      <c r="J351" s="182"/>
      <c r="K351" s="182"/>
      <c r="L351" s="180"/>
      <c r="M351" s="182"/>
      <c r="N351" s="182"/>
      <c r="O351" s="182"/>
      <c r="P351" s="180"/>
      <c r="Q351" s="180"/>
      <c r="R351" s="180"/>
      <c r="S351" s="184"/>
      <c r="T351" s="182"/>
      <c r="U351" s="182"/>
      <c r="V351" s="182"/>
      <c r="W351" s="182"/>
      <c r="X351" s="182"/>
    </row>
    <row r="352" spans="1:24">
      <c r="A352" s="182"/>
      <c r="B352" s="182"/>
      <c r="C352" s="182"/>
      <c r="D352" s="182"/>
      <c r="E352" s="182"/>
      <c r="F352" s="182"/>
      <c r="G352" s="182"/>
      <c r="H352" s="182"/>
      <c r="I352" s="182"/>
      <c r="J352" s="182"/>
      <c r="K352" s="182"/>
      <c r="L352" s="180"/>
      <c r="M352" s="182"/>
      <c r="N352" s="182"/>
      <c r="O352" s="182"/>
      <c r="P352" s="180"/>
      <c r="Q352" s="180"/>
      <c r="R352" s="180"/>
      <c r="S352" s="184"/>
      <c r="T352" s="182"/>
      <c r="U352" s="182"/>
      <c r="V352" s="182"/>
      <c r="W352" s="182"/>
      <c r="X352" s="182"/>
    </row>
    <row r="353" spans="1:24">
      <c r="A353" s="182"/>
      <c r="B353" s="182"/>
      <c r="C353" s="182"/>
      <c r="D353" s="182"/>
      <c r="E353" s="182"/>
      <c r="F353" s="182"/>
      <c r="G353" s="182"/>
      <c r="H353" s="182"/>
      <c r="I353" s="182"/>
      <c r="J353" s="182"/>
      <c r="K353" s="182"/>
      <c r="L353" s="180"/>
      <c r="M353" s="182"/>
      <c r="N353" s="182"/>
      <c r="O353" s="182"/>
      <c r="P353" s="180"/>
      <c r="Q353" s="180"/>
      <c r="R353" s="180"/>
      <c r="S353" s="184"/>
      <c r="T353" s="182"/>
      <c r="U353" s="182"/>
      <c r="V353" s="182"/>
      <c r="W353" s="182"/>
      <c r="X353" s="182"/>
    </row>
    <row r="354" spans="1:24">
      <c r="A354" s="182"/>
      <c r="B354" s="182"/>
      <c r="C354" s="182"/>
      <c r="D354" s="182"/>
      <c r="E354" s="182"/>
      <c r="F354" s="182"/>
      <c r="G354" s="182"/>
      <c r="H354" s="182"/>
      <c r="I354" s="182"/>
      <c r="J354" s="182"/>
      <c r="K354" s="182"/>
      <c r="L354" s="180"/>
      <c r="M354" s="182"/>
      <c r="N354" s="182"/>
      <c r="O354" s="182"/>
      <c r="P354" s="180"/>
      <c r="Q354" s="180"/>
      <c r="R354" s="180"/>
      <c r="S354" s="184"/>
      <c r="T354" s="182"/>
      <c r="U354" s="182"/>
      <c r="V354" s="182"/>
      <c r="W354" s="182"/>
      <c r="X354" s="182"/>
    </row>
    <row r="355" spans="1:24">
      <c r="A355" s="182"/>
      <c r="B355" s="182"/>
      <c r="C355" s="182"/>
      <c r="D355" s="182"/>
      <c r="E355" s="182"/>
      <c r="F355" s="182"/>
      <c r="G355" s="182"/>
      <c r="H355" s="182"/>
      <c r="I355" s="182"/>
      <c r="J355" s="182"/>
      <c r="K355" s="182"/>
      <c r="L355" s="180"/>
      <c r="M355" s="182"/>
      <c r="N355" s="182"/>
      <c r="O355" s="182"/>
      <c r="P355" s="180"/>
      <c r="Q355" s="180"/>
      <c r="R355" s="180"/>
      <c r="S355" s="184"/>
      <c r="T355" s="182"/>
      <c r="U355" s="182"/>
      <c r="V355" s="182"/>
      <c r="W355" s="182"/>
      <c r="X355" s="182"/>
    </row>
    <row r="356" spans="1:24">
      <c r="A356" s="182"/>
      <c r="B356" s="182"/>
      <c r="C356" s="182"/>
      <c r="D356" s="182"/>
      <c r="E356" s="182"/>
      <c r="F356" s="182"/>
      <c r="G356" s="182"/>
      <c r="H356" s="182"/>
      <c r="I356" s="182"/>
      <c r="J356" s="182"/>
      <c r="K356" s="182"/>
      <c r="L356" s="180"/>
      <c r="M356" s="182"/>
      <c r="N356" s="182"/>
      <c r="O356" s="182"/>
      <c r="P356" s="180"/>
      <c r="Q356" s="180"/>
      <c r="R356" s="180"/>
      <c r="S356" s="184"/>
      <c r="T356" s="182"/>
      <c r="U356" s="182"/>
      <c r="V356" s="182"/>
      <c r="W356" s="182"/>
      <c r="X356" s="182"/>
    </row>
    <row r="357" spans="1:24">
      <c r="A357" s="182"/>
      <c r="B357" s="182"/>
      <c r="C357" s="182"/>
      <c r="D357" s="182"/>
      <c r="E357" s="182"/>
      <c r="F357" s="182"/>
      <c r="G357" s="182"/>
      <c r="H357" s="182"/>
      <c r="I357" s="182"/>
      <c r="J357" s="182"/>
      <c r="K357" s="182"/>
      <c r="L357" s="180"/>
      <c r="M357" s="182"/>
      <c r="N357" s="182"/>
      <c r="O357" s="182"/>
      <c r="P357" s="180"/>
      <c r="Q357" s="180"/>
      <c r="R357" s="180"/>
      <c r="S357" s="184"/>
      <c r="T357" s="182"/>
      <c r="U357" s="182"/>
      <c r="V357" s="182"/>
      <c r="W357" s="182"/>
      <c r="X357" s="182"/>
    </row>
    <row r="358" spans="1:24">
      <c r="A358" s="182"/>
      <c r="B358" s="182"/>
      <c r="C358" s="182"/>
      <c r="D358" s="182"/>
      <c r="E358" s="182"/>
      <c r="F358" s="182"/>
      <c r="G358" s="182"/>
      <c r="H358" s="182"/>
      <c r="I358" s="182"/>
      <c r="J358" s="182"/>
      <c r="K358" s="182"/>
      <c r="L358" s="180"/>
      <c r="M358" s="182"/>
      <c r="N358" s="182"/>
      <c r="O358" s="182"/>
      <c r="P358" s="180"/>
      <c r="Q358" s="180"/>
      <c r="R358" s="180"/>
      <c r="S358" s="184"/>
      <c r="T358" s="182"/>
      <c r="U358" s="182"/>
      <c r="V358" s="182"/>
      <c r="W358" s="182"/>
      <c r="X358" s="182"/>
    </row>
    <row r="359" spans="1:24">
      <c r="A359" s="182"/>
      <c r="B359" s="182"/>
      <c r="C359" s="182"/>
      <c r="D359" s="182"/>
      <c r="E359" s="182"/>
      <c r="F359" s="182"/>
      <c r="G359" s="182"/>
      <c r="H359" s="182"/>
      <c r="I359" s="182"/>
      <c r="J359" s="182"/>
      <c r="K359" s="182"/>
      <c r="L359" s="180"/>
      <c r="M359" s="182"/>
      <c r="N359" s="182"/>
      <c r="O359" s="182"/>
      <c r="P359" s="180"/>
      <c r="Q359" s="180"/>
      <c r="R359" s="180"/>
      <c r="S359" s="184"/>
      <c r="T359" s="182"/>
      <c r="U359" s="182"/>
      <c r="V359" s="182"/>
      <c r="W359" s="182"/>
      <c r="X359" s="182"/>
    </row>
    <row r="360" spans="1:24">
      <c r="A360" s="182"/>
      <c r="B360" s="182"/>
      <c r="C360" s="182"/>
      <c r="D360" s="182"/>
      <c r="E360" s="182"/>
      <c r="F360" s="182"/>
      <c r="G360" s="182"/>
      <c r="H360" s="182"/>
      <c r="I360" s="182"/>
      <c r="J360" s="182"/>
      <c r="K360" s="182"/>
      <c r="L360" s="180"/>
      <c r="M360" s="182"/>
      <c r="N360" s="182"/>
      <c r="O360" s="182"/>
      <c r="P360" s="180"/>
      <c r="Q360" s="180"/>
      <c r="R360" s="180"/>
      <c r="S360" s="184"/>
      <c r="T360" s="182"/>
      <c r="U360" s="182"/>
      <c r="V360" s="182"/>
      <c r="W360" s="182"/>
      <c r="X360" s="182"/>
    </row>
    <row r="361" spans="1:24">
      <c r="A361" s="182"/>
      <c r="B361" s="182"/>
      <c r="C361" s="182"/>
      <c r="D361" s="182"/>
      <c r="E361" s="182"/>
      <c r="F361" s="182"/>
      <c r="G361" s="182"/>
      <c r="H361" s="182"/>
      <c r="I361" s="182"/>
      <c r="J361" s="182"/>
      <c r="K361" s="182"/>
      <c r="L361" s="180"/>
      <c r="M361" s="182"/>
      <c r="N361" s="182"/>
      <c r="O361" s="182"/>
      <c r="P361" s="180"/>
      <c r="Q361" s="180"/>
      <c r="R361" s="180"/>
      <c r="S361" s="184"/>
      <c r="T361" s="182"/>
      <c r="U361" s="182"/>
      <c r="V361" s="182"/>
      <c r="W361" s="182"/>
      <c r="X361" s="182"/>
    </row>
    <row r="362" spans="1:24">
      <c r="A362" s="182"/>
      <c r="B362" s="182"/>
      <c r="C362" s="182"/>
      <c r="D362" s="182"/>
      <c r="E362" s="182"/>
      <c r="F362" s="182"/>
      <c r="G362" s="182"/>
      <c r="H362" s="182"/>
      <c r="I362" s="182"/>
      <c r="J362" s="182"/>
      <c r="K362" s="182"/>
      <c r="L362" s="180"/>
      <c r="M362" s="182"/>
      <c r="N362" s="182"/>
      <c r="O362" s="182"/>
      <c r="P362" s="180"/>
      <c r="Q362" s="180"/>
      <c r="R362" s="180"/>
      <c r="S362" s="184"/>
      <c r="T362" s="182"/>
      <c r="U362" s="182"/>
      <c r="V362" s="182"/>
      <c r="W362" s="182"/>
      <c r="X362" s="182"/>
    </row>
    <row r="363" spans="1:24">
      <c r="A363" s="182"/>
      <c r="B363" s="182"/>
      <c r="C363" s="182"/>
      <c r="D363" s="182"/>
      <c r="E363" s="182"/>
      <c r="F363" s="182"/>
      <c r="G363" s="182"/>
      <c r="H363" s="182"/>
      <c r="I363" s="182"/>
      <c r="J363" s="182"/>
      <c r="K363" s="182"/>
      <c r="L363" s="180"/>
      <c r="M363" s="182"/>
      <c r="N363" s="182"/>
      <c r="O363" s="182"/>
      <c r="P363" s="180"/>
      <c r="Q363" s="180"/>
      <c r="R363" s="180"/>
      <c r="S363" s="184"/>
      <c r="T363" s="182"/>
      <c r="U363" s="182"/>
      <c r="V363" s="182"/>
      <c r="W363" s="182"/>
      <c r="X363" s="182"/>
    </row>
    <row r="364" spans="1:24">
      <c r="A364" s="182"/>
      <c r="B364" s="182"/>
      <c r="C364" s="182"/>
      <c r="D364" s="182"/>
      <c r="E364" s="182"/>
      <c r="F364" s="182"/>
      <c r="G364" s="182"/>
      <c r="H364" s="182"/>
      <c r="I364" s="182"/>
      <c r="J364" s="182"/>
      <c r="K364" s="182"/>
      <c r="L364" s="180"/>
      <c r="M364" s="182"/>
      <c r="N364" s="182"/>
      <c r="O364" s="182"/>
      <c r="P364" s="180"/>
      <c r="Q364" s="180"/>
      <c r="R364" s="180"/>
      <c r="S364" s="184"/>
      <c r="T364" s="182"/>
      <c r="U364" s="182"/>
      <c r="V364" s="182"/>
      <c r="W364" s="182"/>
      <c r="X364" s="182"/>
    </row>
    <row r="365" spans="1:24">
      <c r="A365" s="182"/>
      <c r="B365" s="182"/>
      <c r="C365" s="182"/>
      <c r="D365" s="182"/>
      <c r="E365" s="182"/>
      <c r="F365" s="182"/>
      <c r="G365" s="182"/>
      <c r="H365" s="182"/>
      <c r="I365" s="182"/>
      <c r="J365" s="182"/>
      <c r="K365" s="182"/>
      <c r="L365" s="180"/>
      <c r="M365" s="182"/>
      <c r="N365" s="182"/>
      <c r="O365" s="182"/>
      <c r="P365" s="180"/>
      <c r="Q365" s="180"/>
      <c r="R365" s="180"/>
      <c r="S365" s="184"/>
      <c r="T365" s="182"/>
      <c r="U365" s="182"/>
      <c r="V365" s="182"/>
      <c r="W365" s="182"/>
      <c r="X365" s="182"/>
    </row>
    <row r="366" spans="1:24">
      <c r="A366" s="182"/>
      <c r="B366" s="182"/>
      <c r="C366" s="182"/>
      <c r="D366" s="182"/>
      <c r="E366" s="182"/>
      <c r="F366" s="182"/>
      <c r="G366" s="182"/>
      <c r="H366" s="182"/>
      <c r="I366" s="182"/>
      <c r="J366" s="182"/>
      <c r="K366" s="182"/>
      <c r="L366" s="180"/>
      <c r="M366" s="182"/>
      <c r="N366" s="182"/>
      <c r="O366" s="182"/>
      <c r="P366" s="180"/>
      <c r="Q366" s="180"/>
      <c r="R366" s="180"/>
      <c r="S366" s="184"/>
      <c r="T366" s="182"/>
      <c r="U366" s="182"/>
      <c r="V366" s="182"/>
      <c r="W366" s="182"/>
      <c r="X366" s="182"/>
    </row>
    <row r="367" spans="1:24">
      <c r="A367" s="182"/>
      <c r="B367" s="182"/>
      <c r="C367" s="182"/>
      <c r="D367" s="182"/>
      <c r="E367" s="182"/>
      <c r="F367" s="182"/>
      <c r="G367" s="182"/>
      <c r="H367" s="182"/>
      <c r="I367" s="182"/>
      <c r="J367" s="182"/>
      <c r="K367" s="182"/>
      <c r="L367" s="180"/>
      <c r="M367" s="182"/>
      <c r="N367" s="182"/>
      <c r="O367" s="182"/>
      <c r="P367" s="180"/>
      <c r="Q367" s="180"/>
      <c r="R367" s="180"/>
      <c r="S367" s="184"/>
      <c r="T367" s="182"/>
      <c r="U367" s="182"/>
      <c r="V367" s="182"/>
      <c r="W367" s="182"/>
      <c r="X367" s="182"/>
    </row>
    <row r="368" spans="1:24">
      <c r="A368" s="182"/>
      <c r="B368" s="182"/>
      <c r="C368" s="182"/>
      <c r="D368" s="182"/>
      <c r="E368" s="182"/>
      <c r="F368" s="182"/>
      <c r="G368" s="182"/>
      <c r="H368" s="182"/>
      <c r="I368" s="182"/>
      <c r="J368" s="182"/>
      <c r="K368" s="182"/>
      <c r="L368" s="180"/>
      <c r="M368" s="182"/>
      <c r="N368" s="182"/>
      <c r="O368" s="182"/>
      <c r="P368" s="180"/>
      <c r="Q368" s="180"/>
      <c r="R368" s="180"/>
      <c r="S368" s="184"/>
      <c r="T368" s="182"/>
      <c r="U368" s="182"/>
      <c r="V368" s="182"/>
      <c r="W368" s="182"/>
      <c r="X368" s="182"/>
    </row>
    <row r="369" spans="1:24">
      <c r="A369" s="182"/>
      <c r="B369" s="182"/>
      <c r="C369" s="182"/>
      <c r="D369" s="182"/>
      <c r="E369" s="182"/>
      <c r="F369" s="182"/>
      <c r="G369" s="182"/>
      <c r="H369" s="182"/>
      <c r="I369" s="182"/>
      <c r="J369" s="182"/>
      <c r="K369" s="182"/>
      <c r="L369" s="180"/>
      <c r="M369" s="182"/>
      <c r="N369" s="182"/>
      <c r="O369" s="182"/>
      <c r="P369" s="180"/>
      <c r="Q369" s="180"/>
      <c r="R369" s="180"/>
      <c r="S369" s="184"/>
      <c r="T369" s="182"/>
      <c r="U369" s="182"/>
      <c r="V369" s="182"/>
      <c r="W369" s="182"/>
      <c r="X369" s="182"/>
    </row>
    <row r="370" spans="1:24">
      <c r="A370" s="182"/>
      <c r="B370" s="182"/>
      <c r="C370" s="182"/>
      <c r="D370" s="182"/>
      <c r="E370" s="182"/>
      <c r="F370" s="182"/>
      <c r="G370" s="182"/>
      <c r="H370" s="182"/>
      <c r="I370" s="182"/>
      <c r="J370" s="182"/>
      <c r="K370" s="182"/>
      <c r="L370" s="180"/>
      <c r="M370" s="182"/>
      <c r="N370" s="182"/>
      <c r="O370" s="182"/>
      <c r="P370" s="180"/>
      <c r="Q370" s="180"/>
      <c r="R370" s="180"/>
      <c r="S370" s="184"/>
      <c r="T370" s="182"/>
      <c r="U370" s="182"/>
      <c r="V370" s="182"/>
      <c r="W370" s="182"/>
      <c r="X370" s="182"/>
    </row>
    <row r="371" spans="1:24">
      <c r="A371" s="182"/>
      <c r="B371" s="182"/>
      <c r="C371" s="182"/>
      <c r="D371" s="182"/>
      <c r="E371" s="182"/>
      <c r="F371" s="182"/>
      <c r="G371" s="182"/>
      <c r="H371" s="182"/>
      <c r="I371" s="182"/>
      <c r="J371" s="182"/>
      <c r="K371" s="182"/>
      <c r="L371" s="180"/>
      <c r="M371" s="182"/>
      <c r="N371" s="182"/>
      <c r="O371" s="182"/>
      <c r="P371" s="180"/>
      <c r="Q371" s="180"/>
      <c r="R371" s="180"/>
      <c r="S371" s="184"/>
      <c r="T371" s="182"/>
      <c r="U371" s="182"/>
      <c r="V371" s="182"/>
      <c r="W371" s="182"/>
      <c r="X371" s="182"/>
    </row>
    <row r="372" spans="1:24">
      <c r="A372" s="182"/>
      <c r="B372" s="182"/>
      <c r="C372" s="182"/>
      <c r="D372" s="182"/>
      <c r="E372" s="182"/>
      <c r="F372" s="182"/>
      <c r="G372" s="182"/>
      <c r="H372" s="182"/>
      <c r="I372" s="182"/>
      <c r="J372" s="182"/>
      <c r="K372" s="182"/>
      <c r="L372" s="180"/>
      <c r="M372" s="182"/>
      <c r="N372" s="182"/>
      <c r="O372" s="182"/>
      <c r="P372" s="180"/>
      <c r="Q372" s="180"/>
      <c r="R372" s="180"/>
      <c r="S372" s="184"/>
      <c r="T372" s="182"/>
      <c r="U372" s="182"/>
      <c r="V372" s="182"/>
      <c r="W372" s="182"/>
      <c r="X372" s="182"/>
    </row>
    <row r="373" spans="1:24">
      <c r="A373" s="182"/>
      <c r="B373" s="182"/>
      <c r="C373" s="182"/>
      <c r="D373" s="182"/>
      <c r="E373" s="182"/>
      <c r="F373" s="182"/>
      <c r="G373" s="182"/>
      <c r="H373" s="182"/>
      <c r="I373" s="182"/>
      <c r="J373" s="182"/>
      <c r="K373" s="182"/>
      <c r="L373" s="180"/>
      <c r="M373" s="182"/>
      <c r="N373" s="182"/>
      <c r="O373" s="182"/>
      <c r="P373" s="180"/>
      <c r="Q373" s="180"/>
      <c r="R373" s="180"/>
      <c r="S373" s="184"/>
      <c r="T373" s="182"/>
      <c r="U373" s="182"/>
      <c r="V373" s="182"/>
      <c r="W373" s="182"/>
      <c r="X373" s="182"/>
    </row>
    <row r="374" spans="1:24">
      <c r="A374" s="182"/>
      <c r="B374" s="182"/>
      <c r="C374" s="182"/>
      <c r="D374" s="182"/>
      <c r="E374" s="182"/>
      <c r="F374" s="182"/>
      <c r="G374" s="182"/>
      <c r="H374" s="182"/>
      <c r="I374" s="182"/>
      <c r="J374" s="182"/>
      <c r="K374" s="182"/>
      <c r="L374" s="180"/>
      <c r="M374" s="182"/>
      <c r="N374" s="182"/>
      <c r="O374" s="182"/>
      <c r="P374" s="180"/>
      <c r="Q374" s="180"/>
      <c r="R374" s="180"/>
      <c r="S374" s="184"/>
      <c r="T374" s="182"/>
      <c r="U374" s="182"/>
      <c r="V374" s="182"/>
      <c r="W374" s="182"/>
      <c r="X374" s="182"/>
    </row>
    <row r="375" spans="1:24">
      <c r="A375" s="182"/>
      <c r="B375" s="182"/>
      <c r="C375" s="182"/>
      <c r="D375" s="182"/>
      <c r="E375" s="182"/>
      <c r="F375" s="182"/>
      <c r="G375" s="182"/>
      <c r="H375" s="182"/>
      <c r="I375" s="182"/>
      <c r="J375" s="182"/>
      <c r="K375" s="182"/>
      <c r="L375" s="180"/>
      <c r="M375" s="182"/>
      <c r="N375" s="182"/>
      <c r="O375" s="182"/>
      <c r="P375" s="180"/>
      <c r="Q375" s="180"/>
      <c r="R375" s="180"/>
      <c r="S375" s="184"/>
      <c r="T375" s="182"/>
      <c r="U375" s="182"/>
      <c r="V375" s="182"/>
      <c r="W375" s="182"/>
      <c r="X375" s="182"/>
    </row>
    <row r="376" spans="1:24">
      <c r="A376" s="182"/>
      <c r="B376" s="182"/>
      <c r="C376" s="182"/>
      <c r="D376" s="182"/>
      <c r="E376" s="182"/>
      <c r="F376" s="182"/>
      <c r="G376" s="182"/>
      <c r="H376" s="182"/>
      <c r="I376" s="182"/>
      <c r="J376" s="182"/>
      <c r="K376" s="182"/>
      <c r="L376" s="180"/>
      <c r="M376" s="182"/>
      <c r="N376" s="182"/>
      <c r="O376" s="182"/>
      <c r="P376" s="180"/>
      <c r="Q376" s="180"/>
      <c r="R376" s="180"/>
      <c r="S376" s="184"/>
      <c r="T376" s="182"/>
      <c r="U376" s="182"/>
      <c r="V376" s="182"/>
      <c r="W376" s="182"/>
      <c r="X376" s="182"/>
    </row>
    <row r="377" spans="1:24">
      <c r="A377" s="182"/>
      <c r="B377" s="182"/>
      <c r="C377" s="182"/>
      <c r="D377" s="182"/>
      <c r="E377" s="182"/>
      <c r="F377" s="182"/>
      <c r="G377" s="182"/>
      <c r="H377" s="182"/>
      <c r="I377" s="182"/>
      <c r="J377" s="182"/>
      <c r="K377" s="182"/>
      <c r="L377" s="180"/>
      <c r="M377" s="182"/>
      <c r="N377" s="182"/>
      <c r="O377" s="182"/>
      <c r="P377" s="180"/>
      <c r="Q377" s="180"/>
      <c r="R377" s="180"/>
      <c r="S377" s="184"/>
      <c r="T377" s="182"/>
      <c r="U377" s="182"/>
      <c r="V377" s="182"/>
      <c r="W377" s="182"/>
      <c r="X377" s="182"/>
    </row>
    <row r="378" spans="1:24">
      <c r="A378" s="182"/>
      <c r="B378" s="182"/>
      <c r="C378" s="182"/>
      <c r="D378" s="182"/>
      <c r="E378" s="182"/>
      <c r="F378" s="182"/>
      <c r="G378" s="182"/>
      <c r="H378" s="182"/>
      <c r="I378" s="182"/>
      <c r="J378" s="182"/>
      <c r="K378" s="182"/>
      <c r="L378" s="180"/>
      <c r="M378" s="182"/>
      <c r="N378" s="182"/>
      <c r="O378" s="182"/>
      <c r="P378" s="180"/>
      <c r="Q378" s="180"/>
      <c r="R378" s="180"/>
      <c r="S378" s="184"/>
      <c r="T378" s="182"/>
      <c r="U378" s="182"/>
      <c r="V378" s="182"/>
      <c r="W378" s="182"/>
      <c r="X378" s="182"/>
    </row>
    <row r="379" spans="1:24">
      <c r="A379" s="182"/>
      <c r="B379" s="182"/>
      <c r="C379" s="182"/>
      <c r="D379" s="182"/>
      <c r="E379" s="182"/>
      <c r="F379" s="182"/>
      <c r="G379" s="182"/>
      <c r="H379" s="182"/>
      <c r="I379" s="182"/>
      <c r="J379" s="182"/>
      <c r="K379" s="182"/>
      <c r="L379" s="180"/>
      <c r="M379" s="182"/>
      <c r="N379" s="182"/>
      <c r="O379" s="182"/>
      <c r="P379" s="180"/>
      <c r="Q379" s="180"/>
      <c r="R379" s="180"/>
      <c r="S379" s="184"/>
      <c r="T379" s="182"/>
      <c r="U379" s="182"/>
      <c r="V379" s="182"/>
      <c r="W379" s="182"/>
      <c r="X379" s="182"/>
    </row>
    <row r="380" spans="1:24">
      <c r="A380" s="182"/>
      <c r="B380" s="182"/>
      <c r="C380" s="182"/>
      <c r="D380" s="182"/>
      <c r="E380" s="182"/>
      <c r="F380" s="182"/>
      <c r="G380" s="182"/>
      <c r="H380" s="182"/>
      <c r="I380" s="182"/>
      <c r="J380" s="182"/>
      <c r="K380" s="182"/>
      <c r="L380" s="180"/>
      <c r="M380" s="182"/>
      <c r="N380" s="182"/>
      <c r="O380" s="182"/>
      <c r="P380" s="180"/>
      <c r="Q380" s="180"/>
      <c r="R380" s="180"/>
      <c r="S380" s="184"/>
      <c r="T380" s="182"/>
      <c r="U380" s="182"/>
      <c r="V380" s="182"/>
      <c r="W380" s="182"/>
      <c r="X380" s="182"/>
    </row>
    <row r="381" spans="1:24">
      <c r="A381" s="182"/>
      <c r="B381" s="182"/>
      <c r="C381" s="182"/>
      <c r="D381" s="182"/>
      <c r="E381" s="182"/>
      <c r="F381" s="182"/>
      <c r="G381" s="182"/>
      <c r="H381" s="182"/>
      <c r="I381" s="182"/>
      <c r="J381" s="182"/>
      <c r="K381" s="182"/>
      <c r="L381" s="180"/>
      <c r="M381" s="182"/>
      <c r="N381" s="182"/>
      <c r="O381" s="182"/>
      <c r="P381" s="180"/>
      <c r="Q381" s="180"/>
      <c r="R381" s="180"/>
      <c r="S381" s="184"/>
      <c r="T381" s="182"/>
      <c r="U381" s="182"/>
      <c r="V381" s="182"/>
      <c r="W381" s="182"/>
      <c r="X381" s="182"/>
    </row>
    <row r="382" spans="1:24">
      <c r="A382" s="182"/>
      <c r="B382" s="182"/>
      <c r="C382" s="182"/>
      <c r="D382" s="182"/>
      <c r="E382" s="182"/>
      <c r="F382" s="182"/>
      <c r="G382" s="182"/>
      <c r="H382" s="182"/>
      <c r="I382" s="182"/>
      <c r="J382" s="182"/>
      <c r="K382" s="182"/>
      <c r="L382" s="180"/>
      <c r="M382" s="182"/>
      <c r="N382" s="182"/>
      <c r="O382" s="182"/>
      <c r="P382" s="180"/>
      <c r="Q382" s="180"/>
      <c r="R382" s="180"/>
      <c r="S382" s="184"/>
      <c r="T382" s="182"/>
      <c r="U382" s="182"/>
      <c r="V382" s="182"/>
      <c r="W382" s="182"/>
      <c r="X382" s="182"/>
    </row>
    <row r="383" spans="1:24">
      <c r="A383" s="182"/>
      <c r="B383" s="182"/>
      <c r="C383" s="182"/>
      <c r="D383" s="182"/>
      <c r="E383" s="182"/>
      <c r="F383" s="182"/>
      <c r="G383" s="182"/>
      <c r="H383" s="182"/>
      <c r="I383" s="182"/>
      <c r="J383" s="182"/>
      <c r="K383" s="182"/>
      <c r="L383" s="180"/>
      <c r="M383" s="182"/>
      <c r="N383" s="182"/>
      <c r="O383" s="182"/>
      <c r="P383" s="180"/>
      <c r="Q383" s="180"/>
      <c r="R383" s="180"/>
      <c r="S383" s="184"/>
      <c r="T383" s="182"/>
      <c r="U383" s="182"/>
      <c r="V383" s="182"/>
      <c r="W383" s="182"/>
      <c r="X383" s="182"/>
    </row>
    <row r="384" spans="1:24">
      <c r="A384" s="182"/>
      <c r="B384" s="182"/>
      <c r="C384" s="182"/>
      <c r="D384" s="182"/>
      <c r="E384" s="182"/>
      <c r="F384" s="182"/>
      <c r="G384" s="182"/>
      <c r="H384" s="182"/>
      <c r="I384" s="182"/>
      <c r="J384" s="182"/>
      <c r="K384" s="182"/>
      <c r="L384" s="180"/>
      <c r="M384" s="182"/>
      <c r="N384" s="182"/>
      <c r="O384" s="182"/>
      <c r="P384" s="180"/>
      <c r="Q384" s="180"/>
      <c r="R384" s="180"/>
      <c r="S384" s="184"/>
      <c r="T384" s="182"/>
      <c r="U384" s="182"/>
      <c r="V384" s="182"/>
      <c r="W384" s="182"/>
      <c r="X384" s="182"/>
    </row>
    <row r="385" spans="1:24">
      <c r="A385" s="182"/>
      <c r="B385" s="182"/>
      <c r="C385" s="182"/>
      <c r="D385" s="182"/>
      <c r="E385" s="182"/>
      <c r="F385" s="182"/>
      <c r="G385" s="182"/>
      <c r="H385" s="182"/>
      <c r="I385" s="182"/>
      <c r="J385" s="182"/>
      <c r="K385" s="182"/>
      <c r="L385" s="180"/>
      <c r="M385" s="182"/>
      <c r="N385" s="182"/>
      <c r="O385" s="182"/>
      <c r="P385" s="180"/>
      <c r="Q385" s="180"/>
      <c r="R385" s="180"/>
      <c r="S385" s="184"/>
      <c r="T385" s="182"/>
      <c r="U385" s="182"/>
      <c r="V385" s="182"/>
      <c r="W385" s="182"/>
      <c r="X385" s="182"/>
    </row>
    <row r="386" spans="1:24">
      <c r="A386" s="182"/>
      <c r="B386" s="182"/>
      <c r="C386" s="182"/>
      <c r="D386" s="182"/>
      <c r="E386" s="182"/>
      <c r="F386" s="182"/>
      <c r="G386" s="182"/>
      <c r="H386" s="182"/>
      <c r="I386" s="182"/>
      <c r="J386" s="182"/>
      <c r="K386" s="182"/>
      <c r="L386" s="180"/>
      <c r="M386" s="182"/>
      <c r="N386" s="182"/>
      <c r="O386" s="182"/>
      <c r="P386" s="180"/>
      <c r="Q386" s="180"/>
      <c r="R386" s="180"/>
      <c r="S386" s="184"/>
      <c r="T386" s="182"/>
      <c r="U386" s="182"/>
      <c r="V386" s="182"/>
      <c r="W386" s="182"/>
      <c r="X386" s="182"/>
    </row>
    <row r="387" spans="1:24">
      <c r="A387" s="182"/>
      <c r="B387" s="182"/>
      <c r="C387" s="182"/>
      <c r="D387" s="182"/>
      <c r="E387" s="182"/>
      <c r="F387" s="182"/>
      <c r="G387" s="182"/>
      <c r="H387" s="182"/>
      <c r="I387" s="182"/>
      <c r="J387" s="182"/>
      <c r="K387" s="182"/>
      <c r="L387" s="180"/>
      <c r="M387" s="182"/>
      <c r="N387" s="182"/>
      <c r="O387" s="182"/>
      <c r="P387" s="180"/>
      <c r="Q387" s="180"/>
      <c r="R387" s="180"/>
      <c r="S387" s="184"/>
      <c r="T387" s="182"/>
      <c r="U387" s="182"/>
      <c r="V387" s="182"/>
      <c r="W387" s="182"/>
      <c r="X387" s="182"/>
    </row>
    <row r="388" spans="1:24">
      <c r="A388" s="182"/>
      <c r="B388" s="182"/>
      <c r="C388" s="182"/>
      <c r="D388" s="182"/>
      <c r="E388" s="182"/>
      <c r="F388" s="182"/>
      <c r="G388" s="182"/>
      <c r="H388" s="182"/>
      <c r="I388" s="182"/>
      <c r="J388" s="182"/>
      <c r="K388" s="182"/>
      <c r="L388" s="180"/>
      <c r="M388" s="182"/>
      <c r="N388" s="182"/>
      <c r="O388" s="182"/>
      <c r="P388" s="180"/>
      <c r="Q388" s="180"/>
      <c r="R388" s="180"/>
      <c r="S388" s="184"/>
      <c r="T388" s="182"/>
      <c r="U388" s="182"/>
      <c r="V388" s="182"/>
      <c r="W388" s="182"/>
      <c r="X388" s="182"/>
    </row>
    <row r="389" spans="1:24">
      <c r="A389" s="182"/>
      <c r="B389" s="182"/>
      <c r="C389" s="182"/>
      <c r="D389" s="182"/>
      <c r="E389" s="182"/>
      <c r="F389" s="182"/>
      <c r="G389" s="182"/>
      <c r="H389" s="182"/>
      <c r="I389" s="182"/>
      <c r="J389" s="182"/>
      <c r="K389" s="182"/>
      <c r="L389" s="180"/>
      <c r="M389" s="182"/>
      <c r="N389" s="182"/>
      <c r="O389" s="182"/>
      <c r="P389" s="180"/>
      <c r="Q389" s="180"/>
      <c r="R389" s="180"/>
      <c r="S389" s="184"/>
      <c r="T389" s="182"/>
      <c r="U389" s="182"/>
      <c r="V389" s="182"/>
      <c r="W389" s="182"/>
      <c r="X389" s="182"/>
    </row>
    <row r="390" spans="1:24">
      <c r="A390" s="182"/>
      <c r="B390" s="182"/>
      <c r="C390" s="182"/>
      <c r="D390" s="182"/>
      <c r="E390" s="182"/>
      <c r="F390" s="182"/>
      <c r="G390" s="182"/>
      <c r="H390" s="182"/>
      <c r="I390" s="182"/>
      <c r="J390" s="182"/>
      <c r="K390" s="182"/>
      <c r="L390" s="180"/>
      <c r="M390" s="182"/>
      <c r="N390" s="182"/>
      <c r="O390" s="182"/>
      <c r="P390" s="180"/>
      <c r="Q390" s="180"/>
      <c r="R390" s="180"/>
      <c r="S390" s="184"/>
      <c r="T390" s="182"/>
      <c r="U390" s="182"/>
      <c r="V390" s="182"/>
      <c r="W390" s="182"/>
      <c r="X390" s="182"/>
    </row>
    <row r="391" spans="1:24">
      <c r="A391" s="182"/>
      <c r="B391" s="182"/>
      <c r="C391" s="182"/>
      <c r="D391" s="182"/>
      <c r="E391" s="182"/>
      <c r="F391" s="182"/>
      <c r="G391" s="182"/>
      <c r="H391" s="182"/>
      <c r="I391" s="182"/>
      <c r="J391" s="182"/>
      <c r="K391" s="182"/>
      <c r="L391" s="180"/>
      <c r="M391" s="182"/>
      <c r="N391" s="182"/>
      <c r="O391" s="182"/>
      <c r="P391" s="180"/>
      <c r="Q391" s="180"/>
      <c r="R391" s="180"/>
      <c r="S391" s="184"/>
      <c r="T391" s="182"/>
      <c r="U391" s="182"/>
      <c r="V391" s="182"/>
      <c r="W391" s="182"/>
      <c r="X391" s="182"/>
    </row>
    <row r="392" spans="1:24">
      <c r="A392" s="182"/>
      <c r="B392" s="182"/>
      <c r="C392" s="182"/>
      <c r="D392" s="182"/>
      <c r="E392" s="182"/>
      <c r="F392" s="182"/>
      <c r="G392" s="182"/>
      <c r="H392" s="182"/>
      <c r="I392" s="182"/>
      <c r="J392" s="182"/>
      <c r="K392" s="182"/>
      <c r="L392" s="180"/>
      <c r="M392" s="182"/>
      <c r="N392" s="182"/>
      <c r="O392" s="182"/>
      <c r="P392" s="180"/>
      <c r="Q392" s="180"/>
      <c r="R392" s="180"/>
      <c r="S392" s="184"/>
      <c r="T392" s="182"/>
      <c r="U392" s="182"/>
      <c r="V392" s="182"/>
      <c r="W392" s="182"/>
      <c r="X392" s="182"/>
    </row>
    <row r="393" spans="1:24">
      <c r="A393" s="182"/>
      <c r="B393" s="182"/>
      <c r="C393" s="182"/>
      <c r="D393" s="182"/>
      <c r="E393" s="182"/>
      <c r="F393" s="182"/>
      <c r="G393" s="182"/>
      <c r="H393" s="182"/>
      <c r="I393" s="182"/>
      <c r="J393" s="182"/>
      <c r="K393" s="182"/>
      <c r="L393" s="180"/>
      <c r="M393" s="182"/>
      <c r="N393" s="182"/>
      <c r="O393" s="182"/>
      <c r="P393" s="180"/>
      <c r="Q393" s="180"/>
      <c r="R393" s="180"/>
      <c r="S393" s="184"/>
      <c r="T393" s="182"/>
      <c r="U393" s="182"/>
      <c r="V393" s="182"/>
      <c r="W393" s="182"/>
      <c r="X393" s="182"/>
    </row>
    <row r="394" spans="1:24">
      <c r="A394" s="182"/>
      <c r="B394" s="182"/>
      <c r="C394" s="182"/>
      <c r="D394" s="182"/>
      <c r="E394" s="182"/>
      <c r="F394" s="182"/>
      <c r="G394" s="182"/>
      <c r="H394" s="182"/>
      <c r="I394" s="182"/>
      <c r="J394" s="182"/>
      <c r="K394" s="182"/>
      <c r="L394" s="180"/>
      <c r="M394" s="182"/>
      <c r="N394" s="182"/>
      <c r="O394" s="182"/>
      <c r="P394" s="180"/>
      <c r="Q394" s="180"/>
      <c r="R394" s="180"/>
      <c r="S394" s="184"/>
      <c r="T394" s="182"/>
      <c r="U394" s="182"/>
      <c r="V394" s="182"/>
      <c r="W394" s="182"/>
      <c r="X394" s="182"/>
    </row>
    <row r="395" spans="1:24">
      <c r="A395" s="182"/>
      <c r="B395" s="182"/>
      <c r="C395" s="182"/>
      <c r="D395" s="182"/>
      <c r="E395" s="182"/>
      <c r="F395" s="182"/>
      <c r="G395" s="182"/>
      <c r="H395" s="182"/>
      <c r="I395" s="182"/>
      <c r="J395" s="182"/>
      <c r="K395" s="182"/>
      <c r="L395" s="180"/>
      <c r="M395" s="182"/>
      <c r="N395" s="182"/>
      <c r="O395" s="182"/>
      <c r="P395" s="180"/>
      <c r="Q395" s="180"/>
      <c r="R395" s="180"/>
      <c r="S395" s="184"/>
      <c r="T395" s="182"/>
      <c r="U395" s="182"/>
      <c r="V395" s="182"/>
      <c r="W395" s="182"/>
      <c r="X395" s="182"/>
    </row>
    <row r="396" spans="1:24">
      <c r="A396" s="182"/>
      <c r="B396" s="182"/>
      <c r="C396" s="182"/>
      <c r="D396" s="182"/>
      <c r="E396" s="182"/>
      <c r="F396" s="182"/>
      <c r="G396" s="182"/>
      <c r="H396" s="182"/>
      <c r="I396" s="182"/>
      <c r="J396" s="182"/>
      <c r="K396" s="182"/>
      <c r="L396" s="180"/>
      <c r="M396" s="182"/>
      <c r="N396" s="182"/>
      <c r="O396" s="182"/>
      <c r="P396" s="180"/>
      <c r="Q396" s="180"/>
      <c r="R396" s="180"/>
      <c r="S396" s="184"/>
      <c r="T396" s="182"/>
      <c r="U396" s="182"/>
      <c r="V396" s="182"/>
      <c r="W396" s="182"/>
      <c r="X396" s="182"/>
    </row>
    <row r="397" spans="1:24">
      <c r="A397" s="182"/>
      <c r="B397" s="182"/>
      <c r="C397" s="182"/>
      <c r="D397" s="182"/>
      <c r="E397" s="182"/>
      <c r="F397" s="182"/>
      <c r="G397" s="182"/>
      <c r="H397" s="182"/>
      <c r="I397" s="182"/>
      <c r="J397" s="182"/>
      <c r="K397" s="182"/>
      <c r="L397" s="180"/>
      <c r="M397" s="182"/>
      <c r="N397" s="182"/>
      <c r="O397" s="182"/>
      <c r="P397" s="180"/>
      <c r="Q397" s="180"/>
      <c r="R397" s="180"/>
      <c r="S397" s="184"/>
      <c r="T397" s="182"/>
      <c r="U397" s="182"/>
      <c r="V397" s="182"/>
      <c r="W397" s="182"/>
      <c r="X397" s="182"/>
    </row>
    <row r="398" spans="1:24">
      <c r="A398" s="182"/>
      <c r="B398" s="182"/>
      <c r="C398" s="182"/>
      <c r="D398" s="182"/>
      <c r="E398" s="182"/>
      <c r="F398" s="182"/>
      <c r="G398" s="182"/>
      <c r="H398" s="182"/>
      <c r="I398" s="182"/>
      <c r="J398" s="182"/>
      <c r="K398" s="182"/>
      <c r="L398" s="180"/>
      <c r="M398" s="182"/>
      <c r="N398" s="182"/>
      <c r="O398" s="182"/>
      <c r="P398" s="180"/>
      <c r="Q398" s="180"/>
      <c r="R398" s="180"/>
      <c r="S398" s="184"/>
      <c r="T398" s="182"/>
      <c r="U398" s="182"/>
      <c r="V398" s="182"/>
      <c r="W398" s="182"/>
      <c r="X398" s="182"/>
    </row>
    <row r="399" spans="1:24">
      <c r="A399" s="182"/>
      <c r="B399" s="182"/>
      <c r="C399" s="182"/>
      <c r="D399" s="182"/>
      <c r="E399" s="182"/>
      <c r="F399" s="182"/>
      <c r="G399" s="182"/>
      <c r="H399" s="182"/>
      <c r="I399" s="182"/>
      <c r="J399" s="182"/>
      <c r="K399" s="182"/>
      <c r="L399" s="180"/>
      <c r="M399" s="182"/>
      <c r="N399" s="182"/>
      <c r="O399" s="182"/>
      <c r="P399" s="180"/>
      <c r="Q399" s="180"/>
      <c r="R399" s="180"/>
      <c r="S399" s="184"/>
      <c r="T399" s="182"/>
      <c r="U399" s="182"/>
      <c r="V399" s="182"/>
      <c r="W399" s="182"/>
      <c r="X399" s="182"/>
    </row>
    <row r="400" spans="1:24">
      <c r="A400" s="182"/>
      <c r="B400" s="182"/>
      <c r="C400" s="182"/>
      <c r="D400" s="182"/>
      <c r="E400" s="182"/>
      <c r="F400" s="182"/>
      <c r="G400" s="182"/>
      <c r="H400" s="182"/>
      <c r="I400" s="182"/>
      <c r="J400" s="182"/>
      <c r="K400" s="182"/>
      <c r="L400" s="180"/>
      <c r="M400" s="182"/>
      <c r="N400" s="182"/>
      <c r="O400" s="182"/>
      <c r="P400" s="180"/>
      <c r="Q400" s="180"/>
      <c r="R400" s="180"/>
      <c r="S400" s="184"/>
      <c r="T400" s="182"/>
      <c r="U400" s="182"/>
      <c r="V400" s="182"/>
      <c r="W400" s="182"/>
      <c r="X400" s="182"/>
    </row>
    <row r="401" spans="1:24">
      <c r="A401" s="182"/>
      <c r="B401" s="182"/>
      <c r="C401" s="182"/>
      <c r="D401" s="182"/>
      <c r="E401" s="182"/>
      <c r="F401" s="182"/>
      <c r="G401" s="182"/>
      <c r="H401" s="182"/>
      <c r="I401" s="182"/>
      <c r="J401" s="182"/>
      <c r="K401" s="182"/>
      <c r="L401" s="180"/>
      <c r="M401" s="182"/>
      <c r="N401" s="182"/>
      <c r="O401" s="182"/>
      <c r="P401" s="180"/>
      <c r="Q401" s="180"/>
      <c r="R401" s="180"/>
      <c r="S401" s="184"/>
      <c r="T401" s="182"/>
      <c r="U401" s="182"/>
      <c r="V401" s="182"/>
      <c r="W401" s="182"/>
      <c r="X401" s="182"/>
    </row>
    <row r="402" spans="1:24">
      <c r="A402" s="182"/>
      <c r="B402" s="182"/>
      <c r="C402" s="182"/>
      <c r="D402" s="182"/>
      <c r="E402" s="182"/>
      <c r="F402" s="182"/>
      <c r="G402" s="182"/>
      <c r="H402" s="182"/>
      <c r="I402" s="182"/>
      <c r="J402" s="182"/>
      <c r="K402" s="182"/>
      <c r="L402" s="180"/>
      <c r="M402" s="182"/>
      <c r="N402" s="182"/>
      <c r="O402" s="182"/>
      <c r="P402" s="180"/>
      <c r="Q402" s="180"/>
      <c r="R402" s="180"/>
      <c r="S402" s="184"/>
      <c r="T402" s="182"/>
      <c r="U402" s="182"/>
      <c r="V402" s="182"/>
      <c r="W402" s="182"/>
      <c r="X402" s="182"/>
    </row>
    <row r="403" spans="1:24">
      <c r="A403" s="182"/>
      <c r="B403" s="182"/>
      <c r="C403" s="182"/>
      <c r="D403" s="182"/>
      <c r="E403" s="182"/>
      <c r="F403" s="182"/>
      <c r="G403" s="182"/>
      <c r="H403" s="182"/>
      <c r="I403" s="182"/>
      <c r="J403" s="182"/>
      <c r="K403" s="182"/>
      <c r="L403" s="180"/>
      <c r="M403" s="182"/>
      <c r="N403" s="182"/>
      <c r="O403" s="182"/>
      <c r="P403" s="180"/>
      <c r="Q403" s="180"/>
      <c r="R403" s="180"/>
      <c r="S403" s="184"/>
      <c r="T403" s="182"/>
      <c r="U403" s="182"/>
      <c r="V403" s="182"/>
      <c r="W403" s="182"/>
      <c r="X403" s="182"/>
    </row>
    <row r="404" spans="1:24">
      <c r="A404" s="182"/>
      <c r="B404" s="182"/>
      <c r="C404" s="182"/>
      <c r="D404" s="182"/>
      <c r="E404" s="182"/>
      <c r="F404" s="182"/>
      <c r="G404" s="182"/>
      <c r="H404" s="182"/>
      <c r="I404" s="182"/>
      <c r="J404" s="182"/>
      <c r="K404" s="182"/>
      <c r="L404" s="180"/>
      <c r="M404" s="182"/>
      <c r="N404" s="182"/>
      <c r="O404" s="182"/>
      <c r="P404" s="180"/>
      <c r="Q404" s="180"/>
      <c r="R404" s="180"/>
      <c r="S404" s="184"/>
      <c r="T404" s="182"/>
      <c r="U404" s="182"/>
      <c r="V404" s="182"/>
      <c r="W404" s="182"/>
      <c r="X404" s="182"/>
    </row>
    <row r="405" spans="1:24">
      <c r="A405" s="182"/>
      <c r="B405" s="182"/>
      <c r="C405" s="182"/>
      <c r="D405" s="182"/>
      <c r="E405" s="182"/>
      <c r="F405" s="182"/>
      <c r="G405" s="182"/>
      <c r="H405" s="182"/>
      <c r="I405" s="182"/>
      <c r="J405" s="182"/>
      <c r="K405" s="182"/>
      <c r="L405" s="180"/>
      <c r="M405" s="182"/>
      <c r="N405" s="182"/>
      <c r="O405" s="182"/>
      <c r="P405" s="180"/>
      <c r="Q405" s="180"/>
      <c r="R405" s="180"/>
      <c r="S405" s="184"/>
      <c r="T405" s="182"/>
      <c r="U405" s="182"/>
      <c r="V405" s="182"/>
      <c r="W405" s="182"/>
      <c r="X405" s="182"/>
    </row>
    <row r="406" spans="1:24">
      <c r="A406" s="182"/>
      <c r="B406" s="182"/>
      <c r="C406" s="182"/>
      <c r="D406" s="182"/>
      <c r="E406" s="182"/>
      <c r="F406" s="182"/>
      <c r="G406" s="182"/>
      <c r="H406" s="182"/>
      <c r="I406" s="182"/>
      <c r="J406" s="182"/>
      <c r="K406" s="182"/>
      <c r="L406" s="180"/>
      <c r="M406" s="182"/>
      <c r="N406" s="182"/>
      <c r="O406" s="182"/>
      <c r="P406" s="180"/>
      <c r="Q406" s="180"/>
      <c r="R406" s="180"/>
      <c r="S406" s="184"/>
      <c r="T406" s="182"/>
      <c r="U406" s="182"/>
      <c r="V406" s="182"/>
      <c r="W406" s="182"/>
      <c r="X406" s="182"/>
    </row>
    <row r="407" spans="1:24">
      <c r="A407" s="182"/>
      <c r="B407" s="182"/>
      <c r="C407" s="182"/>
      <c r="D407" s="182"/>
      <c r="E407" s="182"/>
      <c r="F407" s="182"/>
      <c r="G407" s="182"/>
      <c r="H407" s="182"/>
      <c r="I407" s="182"/>
      <c r="J407" s="182"/>
      <c r="K407" s="182"/>
      <c r="L407" s="180"/>
      <c r="M407" s="182"/>
      <c r="N407" s="182"/>
      <c r="O407" s="182"/>
      <c r="P407" s="180"/>
      <c r="Q407" s="180"/>
      <c r="R407" s="180"/>
      <c r="S407" s="184"/>
      <c r="T407" s="182"/>
      <c r="U407" s="182"/>
      <c r="V407" s="182"/>
      <c r="W407" s="182"/>
      <c r="X407" s="182"/>
    </row>
    <row r="408" spans="1:24">
      <c r="A408" s="182"/>
      <c r="B408" s="182"/>
      <c r="C408" s="182"/>
      <c r="D408" s="182"/>
      <c r="E408" s="182"/>
      <c r="F408" s="182"/>
      <c r="G408" s="182"/>
      <c r="H408" s="182"/>
      <c r="I408" s="182"/>
      <c r="J408" s="182"/>
      <c r="K408" s="182"/>
      <c r="L408" s="180"/>
      <c r="M408" s="182"/>
      <c r="N408" s="182"/>
      <c r="O408" s="182"/>
      <c r="P408" s="180"/>
      <c r="Q408" s="180"/>
      <c r="R408" s="180"/>
      <c r="S408" s="184"/>
      <c r="T408" s="182"/>
      <c r="U408" s="182"/>
      <c r="V408" s="182"/>
      <c r="W408" s="182"/>
      <c r="X408" s="182"/>
    </row>
    <row r="409" spans="1:24">
      <c r="A409" s="182"/>
      <c r="B409" s="182"/>
      <c r="C409" s="182"/>
      <c r="D409" s="182"/>
      <c r="E409" s="182"/>
      <c r="F409" s="182"/>
      <c r="G409" s="182"/>
      <c r="H409" s="182"/>
      <c r="I409" s="182"/>
      <c r="J409" s="182"/>
      <c r="K409" s="182"/>
      <c r="L409" s="180"/>
      <c r="M409" s="182"/>
      <c r="N409" s="182"/>
      <c r="O409" s="182"/>
      <c r="P409" s="180"/>
      <c r="Q409" s="180"/>
      <c r="R409" s="180"/>
      <c r="S409" s="184"/>
      <c r="T409" s="182"/>
      <c r="U409" s="182"/>
      <c r="V409" s="182"/>
      <c r="W409" s="182"/>
      <c r="X409" s="182"/>
    </row>
    <row r="410" spans="1:24">
      <c r="A410" s="182"/>
      <c r="B410" s="182"/>
      <c r="C410" s="182"/>
      <c r="D410" s="182"/>
      <c r="E410" s="182"/>
      <c r="F410" s="182"/>
      <c r="G410" s="182"/>
      <c r="H410" s="182"/>
      <c r="I410" s="182"/>
      <c r="J410" s="182"/>
      <c r="K410" s="182"/>
      <c r="L410" s="180"/>
      <c r="M410" s="182"/>
      <c r="N410" s="182"/>
      <c r="O410" s="182"/>
      <c r="P410" s="180"/>
      <c r="Q410" s="180"/>
      <c r="R410" s="180"/>
      <c r="S410" s="184"/>
      <c r="T410" s="182"/>
      <c r="U410" s="182"/>
      <c r="V410" s="182"/>
      <c r="W410" s="182"/>
      <c r="X410" s="182"/>
    </row>
    <row r="411" spans="1:24">
      <c r="A411" s="182"/>
      <c r="B411" s="182"/>
      <c r="C411" s="182"/>
      <c r="D411" s="182"/>
      <c r="E411" s="182"/>
      <c r="F411" s="182"/>
      <c r="G411" s="182"/>
      <c r="H411" s="182"/>
      <c r="I411" s="182"/>
      <c r="J411" s="182"/>
      <c r="K411" s="182"/>
      <c r="L411" s="180"/>
      <c r="M411" s="182"/>
      <c r="N411" s="182"/>
      <c r="O411" s="182"/>
      <c r="P411" s="180"/>
      <c r="Q411" s="180"/>
      <c r="R411" s="180"/>
      <c r="S411" s="184"/>
      <c r="T411" s="182"/>
      <c r="U411" s="182"/>
      <c r="V411" s="182"/>
      <c r="W411" s="182"/>
      <c r="X411" s="182"/>
    </row>
    <row r="412" spans="1:24">
      <c r="A412" s="182"/>
      <c r="B412" s="182"/>
      <c r="C412" s="182"/>
      <c r="D412" s="182"/>
      <c r="E412" s="182"/>
      <c r="F412" s="182"/>
      <c r="G412" s="182"/>
      <c r="H412" s="182"/>
      <c r="I412" s="182"/>
      <c r="J412" s="182"/>
      <c r="K412" s="182"/>
      <c r="L412" s="180"/>
      <c r="M412" s="182"/>
      <c r="N412" s="182"/>
      <c r="O412" s="182"/>
      <c r="P412" s="180"/>
      <c r="Q412" s="180"/>
      <c r="R412" s="180"/>
      <c r="S412" s="184"/>
      <c r="T412" s="182"/>
      <c r="U412" s="182"/>
      <c r="V412" s="182"/>
      <c r="W412" s="182"/>
      <c r="X412" s="182"/>
    </row>
    <row r="413" spans="1:24">
      <c r="A413" s="182"/>
      <c r="B413" s="182"/>
      <c r="C413" s="182"/>
      <c r="D413" s="182"/>
      <c r="E413" s="182"/>
      <c r="F413" s="182"/>
      <c r="G413" s="182"/>
      <c r="H413" s="182"/>
      <c r="I413" s="182"/>
      <c r="J413" s="182"/>
      <c r="K413" s="182"/>
      <c r="L413" s="180"/>
      <c r="M413" s="182"/>
      <c r="N413" s="182"/>
      <c r="O413" s="182"/>
      <c r="P413" s="180"/>
      <c r="Q413" s="180"/>
      <c r="R413" s="180"/>
      <c r="S413" s="184"/>
      <c r="T413" s="182"/>
      <c r="U413" s="182"/>
      <c r="V413" s="182"/>
      <c r="W413" s="182"/>
      <c r="X413" s="182"/>
    </row>
    <row r="414" spans="1:24">
      <c r="A414" s="182"/>
      <c r="B414" s="182"/>
      <c r="C414" s="182"/>
      <c r="D414" s="182"/>
      <c r="E414" s="182"/>
      <c r="F414" s="182"/>
      <c r="G414" s="182"/>
      <c r="H414" s="182"/>
      <c r="I414" s="182"/>
      <c r="J414" s="182"/>
      <c r="K414" s="182"/>
      <c r="L414" s="180"/>
      <c r="M414" s="182"/>
      <c r="N414" s="182"/>
      <c r="O414" s="182"/>
      <c r="P414" s="180"/>
      <c r="Q414" s="180"/>
      <c r="R414" s="180"/>
      <c r="S414" s="184"/>
      <c r="T414" s="182"/>
      <c r="U414" s="182"/>
      <c r="V414" s="182"/>
      <c r="W414" s="182"/>
      <c r="X414" s="182"/>
    </row>
    <row r="415" spans="1:24">
      <c r="A415" s="182"/>
      <c r="B415" s="182"/>
      <c r="C415" s="182"/>
      <c r="D415" s="182"/>
      <c r="E415" s="182"/>
      <c r="F415" s="182"/>
      <c r="G415" s="182"/>
      <c r="H415" s="182"/>
      <c r="I415" s="182"/>
      <c r="J415" s="182"/>
      <c r="K415" s="182"/>
      <c r="L415" s="180"/>
      <c r="M415" s="182"/>
      <c r="N415" s="182"/>
      <c r="O415" s="182"/>
      <c r="P415" s="180"/>
      <c r="Q415" s="180"/>
      <c r="R415" s="180"/>
      <c r="S415" s="184"/>
      <c r="T415" s="182"/>
      <c r="U415" s="182"/>
      <c r="V415" s="182"/>
      <c r="W415" s="182"/>
      <c r="X415" s="182"/>
    </row>
    <row r="416" spans="1:24">
      <c r="A416" s="182"/>
      <c r="B416" s="182"/>
      <c r="C416" s="182"/>
      <c r="D416" s="182"/>
      <c r="E416" s="182"/>
      <c r="F416" s="182"/>
      <c r="G416" s="182"/>
      <c r="H416" s="182"/>
      <c r="I416" s="182"/>
      <c r="J416" s="182"/>
      <c r="K416" s="182"/>
      <c r="L416" s="180"/>
      <c r="M416" s="182"/>
      <c r="N416" s="182"/>
      <c r="O416" s="182"/>
      <c r="P416" s="180"/>
      <c r="Q416" s="180"/>
      <c r="R416" s="180"/>
      <c r="S416" s="184"/>
      <c r="T416" s="182"/>
      <c r="U416" s="182"/>
      <c r="V416" s="182"/>
      <c r="W416" s="182"/>
      <c r="X416" s="182"/>
    </row>
    <row r="417" spans="1:24">
      <c r="A417" s="182"/>
      <c r="B417" s="182"/>
      <c r="C417" s="182"/>
      <c r="D417" s="182"/>
      <c r="E417" s="182"/>
      <c r="F417" s="182"/>
      <c r="G417" s="182"/>
      <c r="H417" s="182"/>
      <c r="I417" s="182"/>
      <c r="J417" s="182"/>
      <c r="K417" s="182"/>
      <c r="L417" s="180"/>
      <c r="M417" s="182"/>
      <c r="N417" s="182"/>
      <c r="O417" s="182"/>
      <c r="P417" s="180"/>
      <c r="Q417" s="180"/>
      <c r="R417" s="180"/>
      <c r="S417" s="184"/>
      <c r="T417" s="182"/>
      <c r="U417" s="182"/>
      <c r="V417" s="182"/>
      <c r="W417" s="182"/>
      <c r="X417" s="182"/>
    </row>
    <row r="418" spans="1:24">
      <c r="A418" s="182"/>
      <c r="B418" s="182"/>
      <c r="C418" s="182"/>
      <c r="D418" s="182"/>
      <c r="E418" s="182"/>
      <c r="F418" s="182"/>
      <c r="G418" s="182"/>
      <c r="H418" s="182"/>
      <c r="I418" s="182"/>
      <c r="J418" s="182"/>
      <c r="K418" s="182"/>
      <c r="L418" s="180"/>
      <c r="M418" s="182"/>
      <c r="N418" s="182"/>
      <c r="O418" s="182"/>
      <c r="P418" s="180"/>
      <c r="Q418" s="180"/>
      <c r="R418" s="180"/>
      <c r="S418" s="184"/>
      <c r="T418" s="182"/>
      <c r="U418" s="182"/>
      <c r="V418" s="182"/>
      <c r="W418" s="182"/>
      <c r="X418" s="182"/>
    </row>
    <row r="419" spans="1:24">
      <c r="A419" s="182"/>
      <c r="B419" s="182"/>
      <c r="C419" s="182"/>
      <c r="D419" s="182"/>
      <c r="E419" s="182"/>
      <c r="F419" s="182"/>
      <c r="G419" s="182"/>
      <c r="H419" s="182"/>
      <c r="I419" s="182"/>
      <c r="J419" s="182"/>
      <c r="K419" s="182"/>
      <c r="L419" s="180"/>
      <c r="M419" s="182"/>
      <c r="N419" s="182"/>
      <c r="O419" s="182"/>
      <c r="P419" s="180"/>
      <c r="Q419" s="180"/>
      <c r="R419" s="180"/>
      <c r="S419" s="184"/>
      <c r="T419" s="182"/>
      <c r="U419" s="182"/>
      <c r="V419" s="182"/>
      <c r="W419" s="182"/>
      <c r="X419" s="182"/>
    </row>
    <row r="420" spans="1:24">
      <c r="A420" s="182"/>
      <c r="B420" s="182"/>
      <c r="C420" s="182"/>
      <c r="D420" s="182"/>
      <c r="E420" s="182"/>
      <c r="F420" s="182"/>
      <c r="G420" s="182"/>
      <c r="H420" s="182"/>
      <c r="I420" s="182"/>
      <c r="J420" s="182"/>
      <c r="K420" s="182"/>
      <c r="L420" s="180"/>
      <c r="M420" s="182"/>
      <c r="N420" s="182"/>
      <c r="O420" s="182"/>
      <c r="P420" s="180"/>
      <c r="Q420" s="180"/>
      <c r="R420" s="180"/>
      <c r="S420" s="184"/>
      <c r="T420" s="182"/>
      <c r="U420" s="182"/>
      <c r="V420" s="182"/>
      <c r="W420" s="182"/>
      <c r="X420" s="182"/>
    </row>
    <row r="421" spans="1:24">
      <c r="A421" s="182"/>
      <c r="B421" s="182"/>
      <c r="C421" s="182"/>
      <c r="D421" s="182"/>
      <c r="E421" s="182"/>
      <c r="F421" s="182"/>
      <c r="G421" s="182"/>
      <c r="H421" s="182"/>
      <c r="I421" s="182"/>
      <c r="J421" s="182"/>
      <c r="K421" s="182"/>
      <c r="L421" s="180"/>
      <c r="M421" s="182"/>
      <c r="N421" s="182"/>
      <c r="O421" s="182"/>
      <c r="P421" s="180"/>
      <c r="Q421" s="180"/>
      <c r="R421" s="180"/>
      <c r="S421" s="184"/>
      <c r="T421" s="182"/>
      <c r="U421" s="182"/>
      <c r="V421" s="182"/>
      <c r="W421" s="182"/>
      <c r="X421" s="182"/>
    </row>
    <row r="422" spans="1:24">
      <c r="A422" s="182"/>
      <c r="B422" s="182"/>
      <c r="C422" s="182"/>
      <c r="D422" s="182"/>
      <c r="E422" s="182"/>
      <c r="F422" s="182"/>
      <c r="G422" s="182"/>
      <c r="H422" s="182"/>
      <c r="I422" s="182"/>
      <c r="J422" s="182"/>
      <c r="K422" s="182"/>
      <c r="L422" s="180"/>
      <c r="M422" s="182"/>
      <c r="N422" s="182"/>
      <c r="O422" s="182"/>
      <c r="P422" s="180"/>
      <c r="Q422" s="180"/>
      <c r="R422" s="180"/>
      <c r="S422" s="184"/>
      <c r="T422" s="182"/>
      <c r="U422" s="182"/>
      <c r="V422" s="182"/>
      <c r="W422" s="182"/>
      <c r="X422" s="182"/>
    </row>
    <row r="423" spans="1:24">
      <c r="A423" s="182"/>
      <c r="B423" s="182"/>
      <c r="C423" s="182"/>
      <c r="D423" s="182"/>
      <c r="E423" s="182"/>
      <c r="F423" s="182"/>
      <c r="G423" s="182"/>
      <c r="H423" s="182"/>
      <c r="I423" s="182"/>
      <c r="J423" s="182"/>
      <c r="K423" s="182"/>
      <c r="L423" s="180"/>
      <c r="M423" s="182"/>
      <c r="N423" s="182"/>
      <c r="O423" s="182"/>
      <c r="P423" s="180"/>
      <c r="Q423" s="180"/>
      <c r="R423" s="180"/>
      <c r="S423" s="184"/>
      <c r="T423" s="182"/>
      <c r="U423" s="182"/>
      <c r="V423" s="182"/>
      <c r="W423" s="182"/>
      <c r="X423" s="182"/>
    </row>
    <row r="424" spans="1:24">
      <c r="A424" s="182"/>
      <c r="B424" s="182"/>
      <c r="C424" s="182"/>
      <c r="D424" s="182"/>
      <c r="E424" s="182"/>
      <c r="F424" s="182"/>
      <c r="G424" s="182"/>
      <c r="H424" s="182"/>
      <c r="I424" s="182"/>
      <c r="J424" s="182"/>
      <c r="K424" s="182"/>
      <c r="L424" s="180"/>
      <c r="M424" s="182"/>
      <c r="N424" s="182"/>
      <c r="O424" s="182"/>
      <c r="P424" s="180"/>
      <c r="Q424" s="180"/>
      <c r="R424" s="180"/>
      <c r="S424" s="184"/>
      <c r="T424" s="182"/>
      <c r="U424" s="182"/>
      <c r="V424" s="182"/>
      <c r="W424" s="182"/>
      <c r="X424" s="182"/>
    </row>
    <row r="425" spans="1:24">
      <c r="A425" s="182"/>
      <c r="B425" s="182"/>
      <c r="C425" s="182"/>
      <c r="D425" s="182"/>
      <c r="E425" s="182"/>
      <c r="F425" s="182"/>
      <c r="G425" s="182"/>
      <c r="H425" s="182"/>
      <c r="I425" s="182"/>
      <c r="J425" s="182"/>
      <c r="K425" s="182"/>
      <c r="L425" s="180"/>
      <c r="M425" s="182"/>
      <c r="N425" s="182"/>
      <c r="O425" s="182"/>
      <c r="P425" s="180"/>
      <c r="Q425" s="180"/>
      <c r="R425" s="180"/>
      <c r="S425" s="184"/>
      <c r="T425" s="182"/>
      <c r="U425" s="182"/>
      <c r="V425" s="182"/>
      <c r="W425" s="182"/>
      <c r="X425" s="182"/>
    </row>
    <row r="426" spans="1:24">
      <c r="A426" s="182"/>
      <c r="B426" s="182"/>
      <c r="C426" s="182"/>
      <c r="D426" s="182"/>
      <c r="E426" s="182"/>
      <c r="F426" s="182"/>
      <c r="G426" s="182"/>
      <c r="H426" s="182"/>
      <c r="I426" s="182"/>
      <c r="J426" s="182"/>
      <c r="K426" s="182"/>
      <c r="L426" s="180"/>
      <c r="M426" s="182"/>
      <c r="N426" s="182"/>
      <c r="O426" s="182"/>
      <c r="P426" s="180"/>
      <c r="Q426" s="180"/>
      <c r="R426" s="180"/>
      <c r="S426" s="184"/>
      <c r="T426" s="182"/>
      <c r="U426" s="182"/>
      <c r="V426" s="182"/>
      <c r="W426" s="182"/>
      <c r="X426" s="182"/>
    </row>
    <row r="427" spans="1:24">
      <c r="A427" s="182"/>
      <c r="B427" s="182"/>
      <c r="C427" s="182"/>
      <c r="D427" s="182"/>
      <c r="E427" s="182"/>
      <c r="F427" s="182"/>
      <c r="G427" s="182"/>
      <c r="H427" s="182"/>
      <c r="I427" s="182"/>
      <c r="J427" s="182"/>
      <c r="K427" s="182"/>
      <c r="L427" s="180"/>
      <c r="M427" s="182"/>
      <c r="N427" s="182"/>
      <c r="O427" s="182"/>
      <c r="P427" s="180"/>
      <c r="Q427" s="180"/>
      <c r="R427" s="180"/>
      <c r="S427" s="184"/>
      <c r="T427" s="182"/>
      <c r="U427" s="182"/>
      <c r="V427" s="182"/>
      <c r="W427" s="182"/>
      <c r="X427" s="182"/>
    </row>
    <row r="428" spans="1:24">
      <c r="A428" s="182"/>
      <c r="B428" s="182"/>
      <c r="C428" s="182"/>
      <c r="D428" s="182"/>
      <c r="E428" s="182"/>
      <c r="F428" s="182"/>
      <c r="G428" s="182"/>
      <c r="H428" s="182"/>
      <c r="I428" s="182"/>
      <c r="J428" s="182"/>
      <c r="K428" s="182"/>
      <c r="L428" s="180"/>
      <c r="M428" s="182"/>
      <c r="N428" s="182"/>
      <c r="O428" s="182"/>
      <c r="P428" s="180"/>
      <c r="Q428" s="180"/>
      <c r="R428" s="180"/>
      <c r="S428" s="184"/>
      <c r="T428" s="182"/>
      <c r="U428" s="182"/>
      <c r="V428" s="182"/>
      <c r="W428" s="182"/>
      <c r="X428" s="182"/>
    </row>
    <row r="429" spans="1:24">
      <c r="A429" s="182"/>
      <c r="B429" s="182"/>
      <c r="C429" s="182"/>
      <c r="D429" s="182"/>
      <c r="E429" s="182"/>
      <c r="F429" s="182"/>
      <c r="G429" s="182"/>
      <c r="H429" s="182"/>
      <c r="I429" s="182"/>
      <c r="J429" s="182"/>
      <c r="K429" s="182"/>
      <c r="L429" s="180"/>
      <c r="M429" s="182"/>
      <c r="N429" s="182"/>
      <c r="O429" s="182"/>
      <c r="P429" s="180"/>
      <c r="Q429" s="180"/>
      <c r="R429" s="180"/>
      <c r="S429" s="184"/>
      <c r="T429" s="182"/>
      <c r="U429" s="182"/>
      <c r="V429" s="182"/>
      <c r="W429" s="182"/>
      <c r="X429" s="182"/>
    </row>
    <row r="430" spans="1:24">
      <c r="A430" s="182"/>
      <c r="B430" s="182"/>
      <c r="C430" s="182"/>
      <c r="D430" s="182"/>
      <c r="E430" s="182"/>
      <c r="F430" s="182"/>
      <c r="G430" s="182"/>
      <c r="H430" s="182"/>
      <c r="I430" s="182"/>
      <c r="J430" s="182"/>
      <c r="K430" s="182"/>
      <c r="L430" s="180"/>
      <c r="M430" s="182"/>
      <c r="N430" s="182"/>
      <c r="O430" s="182"/>
      <c r="P430" s="180"/>
      <c r="Q430" s="180"/>
      <c r="R430" s="180"/>
      <c r="S430" s="184"/>
      <c r="T430" s="182"/>
      <c r="U430" s="182"/>
      <c r="V430" s="182"/>
      <c r="W430" s="182"/>
      <c r="X430" s="182"/>
    </row>
    <row r="431" spans="1:24">
      <c r="A431" s="182"/>
      <c r="B431" s="182"/>
      <c r="C431" s="182"/>
      <c r="D431" s="182"/>
      <c r="E431" s="182"/>
      <c r="F431" s="182"/>
      <c r="G431" s="182"/>
      <c r="H431" s="182"/>
      <c r="I431" s="182"/>
      <c r="J431" s="182"/>
      <c r="K431" s="182"/>
      <c r="L431" s="180"/>
      <c r="M431" s="182"/>
      <c r="N431" s="182"/>
      <c r="O431" s="182"/>
      <c r="P431" s="180"/>
      <c r="Q431" s="180"/>
      <c r="R431" s="180"/>
      <c r="S431" s="184"/>
      <c r="T431" s="182"/>
      <c r="U431" s="182"/>
      <c r="V431" s="182"/>
      <c r="W431" s="182"/>
      <c r="X431" s="182"/>
    </row>
    <row r="432" spans="1:24">
      <c r="A432" s="182"/>
      <c r="B432" s="182"/>
      <c r="C432" s="182"/>
      <c r="D432" s="182"/>
      <c r="E432" s="182"/>
      <c r="F432" s="182"/>
      <c r="G432" s="182"/>
      <c r="H432" s="182"/>
      <c r="I432" s="182"/>
      <c r="J432" s="182"/>
      <c r="K432" s="182"/>
      <c r="L432" s="180"/>
      <c r="M432" s="182"/>
      <c r="N432" s="182"/>
      <c r="O432" s="182"/>
      <c r="P432" s="180"/>
      <c r="Q432" s="180"/>
      <c r="R432" s="180"/>
      <c r="S432" s="184"/>
      <c r="T432" s="182"/>
      <c r="U432" s="182"/>
      <c r="V432" s="182"/>
      <c r="W432" s="182"/>
      <c r="X432" s="182"/>
    </row>
    <row r="433" spans="1:24">
      <c r="A433" s="182"/>
      <c r="B433" s="182"/>
      <c r="C433" s="182"/>
      <c r="D433" s="182"/>
      <c r="E433" s="182"/>
      <c r="F433" s="182"/>
      <c r="G433" s="182"/>
      <c r="H433" s="182"/>
      <c r="I433" s="182"/>
      <c r="J433" s="182"/>
      <c r="K433" s="182"/>
      <c r="L433" s="180"/>
      <c r="M433" s="182"/>
      <c r="N433" s="182"/>
      <c r="O433" s="182"/>
      <c r="P433" s="180"/>
      <c r="Q433" s="180"/>
      <c r="R433" s="180"/>
      <c r="S433" s="184"/>
      <c r="T433" s="182"/>
      <c r="U433" s="182"/>
      <c r="V433" s="182"/>
      <c r="W433" s="182"/>
      <c r="X433" s="182"/>
    </row>
    <row r="434" spans="1:24">
      <c r="A434" s="182"/>
      <c r="B434" s="182"/>
      <c r="C434" s="182"/>
      <c r="D434" s="182"/>
      <c r="E434" s="182"/>
      <c r="F434" s="182"/>
      <c r="G434" s="182"/>
      <c r="H434" s="182"/>
      <c r="I434" s="182"/>
      <c r="J434" s="182"/>
      <c r="K434" s="182"/>
      <c r="L434" s="180"/>
      <c r="M434" s="182"/>
      <c r="N434" s="182"/>
      <c r="O434" s="182"/>
      <c r="P434" s="180"/>
      <c r="Q434" s="180"/>
      <c r="R434" s="180"/>
      <c r="S434" s="184"/>
      <c r="T434" s="182"/>
      <c r="U434" s="182"/>
      <c r="V434" s="182"/>
      <c r="W434" s="182"/>
      <c r="X434" s="182"/>
    </row>
    <row r="435" spans="1:24">
      <c r="A435" s="182"/>
      <c r="B435" s="182"/>
      <c r="C435" s="182"/>
      <c r="D435" s="182"/>
      <c r="E435" s="182"/>
      <c r="F435" s="182"/>
      <c r="G435" s="182"/>
      <c r="H435" s="182"/>
      <c r="I435" s="182"/>
      <c r="J435" s="182"/>
      <c r="K435" s="182"/>
      <c r="L435" s="180"/>
      <c r="M435" s="182"/>
      <c r="N435" s="182"/>
      <c r="O435" s="182"/>
      <c r="P435" s="180"/>
      <c r="Q435" s="180"/>
      <c r="R435" s="180"/>
      <c r="S435" s="184"/>
      <c r="T435" s="182"/>
      <c r="U435" s="182"/>
      <c r="V435" s="182"/>
      <c r="W435" s="182"/>
      <c r="X435" s="182"/>
    </row>
    <row r="436" spans="1:24">
      <c r="A436" s="182"/>
      <c r="B436" s="182"/>
      <c r="C436" s="182"/>
      <c r="D436" s="182"/>
      <c r="E436" s="182"/>
      <c r="F436" s="182"/>
      <c r="G436" s="182"/>
      <c r="H436" s="182"/>
      <c r="I436" s="182"/>
      <c r="J436" s="182"/>
      <c r="K436" s="182"/>
      <c r="L436" s="180"/>
      <c r="M436" s="182"/>
      <c r="N436" s="182"/>
      <c r="O436" s="182"/>
      <c r="P436" s="180"/>
      <c r="Q436" s="180"/>
      <c r="R436" s="180"/>
      <c r="S436" s="184"/>
      <c r="T436" s="182"/>
      <c r="U436" s="182"/>
      <c r="V436" s="182"/>
      <c r="W436" s="182"/>
      <c r="X436" s="182"/>
    </row>
    <row r="437" spans="1:24">
      <c r="A437" s="182"/>
      <c r="B437" s="182"/>
      <c r="C437" s="182"/>
      <c r="D437" s="182"/>
      <c r="E437" s="182"/>
      <c r="F437" s="182"/>
      <c r="G437" s="182"/>
      <c r="H437" s="182"/>
      <c r="I437" s="182"/>
      <c r="J437" s="182"/>
      <c r="K437" s="182"/>
      <c r="L437" s="180"/>
      <c r="M437" s="182"/>
      <c r="N437" s="182"/>
      <c r="O437" s="182"/>
      <c r="P437" s="180"/>
      <c r="Q437" s="180"/>
      <c r="R437" s="180"/>
      <c r="S437" s="184"/>
      <c r="T437" s="182"/>
      <c r="U437" s="182"/>
      <c r="V437" s="182"/>
      <c r="W437" s="182"/>
      <c r="X437" s="182"/>
    </row>
    <row r="438" spans="1:24">
      <c r="A438" s="182"/>
      <c r="B438" s="182"/>
      <c r="C438" s="182"/>
      <c r="D438" s="182"/>
      <c r="E438" s="182"/>
      <c r="F438" s="182"/>
      <c r="G438" s="182"/>
      <c r="H438" s="182"/>
      <c r="I438" s="182"/>
      <c r="J438" s="182"/>
      <c r="K438" s="182"/>
      <c r="L438" s="180"/>
      <c r="M438" s="182"/>
      <c r="N438" s="182"/>
      <c r="O438" s="182"/>
      <c r="P438" s="180"/>
      <c r="Q438" s="180"/>
      <c r="R438" s="180"/>
      <c r="S438" s="184"/>
      <c r="T438" s="182"/>
      <c r="U438" s="182"/>
      <c r="V438" s="182"/>
      <c r="W438" s="182"/>
      <c r="X438" s="182"/>
    </row>
    <row r="439" spans="1:24">
      <c r="A439" s="182"/>
      <c r="B439" s="182"/>
      <c r="C439" s="182"/>
      <c r="D439" s="182"/>
      <c r="E439" s="182"/>
      <c r="F439" s="182"/>
      <c r="G439" s="182"/>
      <c r="H439" s="182"/>
      <c r="I439" s="182"/>
      <c r="J439" s="182"/>
      <c r="K439" s="182"/>
      <c r="L439" s="180"/>
      <c r="M439" s="182"/>
      <c r="N439" s="182"/>
      <c r="O439" s="182"/>
      <c r="P439" s="180"/>
      <c r="Q439" s="180"/>
      <c r="R439" s="180"/>
      <c r="S439" s="184"/>
      <c r="T439" s="182"/>
      <c r="U439" s="182"/>
      <c r="V439" s="182"/>
      <c r="W439" s="182"/>
      <c r="X439" s="182"/>
    </row>
    <row r="440" spans="1:24">
      <c r="A440" s="182"/>
      <c r="B440" s="182"/>
      <c r="C440" s="182"/>
      <c r="D440" s="182"/>
      <c r="E440" s="182"/>
      <c r="F440" s="182"/>
      <c r="G440" s="182"/>
      <c r="H440" s="182"/>
      <c r="I440" s="182"/>
      <c r="J440" s="182"/>
      <c r="K440" s="182"/>
      <c r="L440" s="180"/>
      <c r="M440" s="182"/>
      <c r="N440" s="182"/>
      <c r="O440" s="182"/>
      <c r="P440" s="180"/>
      <c r="Q440" s="180"/>
      <c r="R440" s="180"/>
      <c r="S440" s="184"/>
      <c r="T440" s="182"/>
      <c r="U440" s="182"/>
      <c r="V440" s="182"/>
      <c r="W440" s="182"/>
      <c r="X440" s="182"/>
    </row>
    <row r="441" spans="1:24">
      <c r="A441" s="182"/>
      <c r="B441" s="182"/>
      <c r="C441" s="182"/>
      <c r="D441" s="182"/>
      <c r="E441" s="182"/>
      <c r="F441" s="182"/>
      <c r="G441" s="182"/>
      <c r="H441" s="182"/>
      <c r="I441" s="182"/>
      <c r="J441" s="182"/>
      <c r="K441" s="182"/>
      <c r="L441" s="180"/>
      <c r="M441" s="182"/>
      <c r="N441" s="182"/>
      <c r="O441" s="182"/>
      <c r="P441" s="180"/>
      <c r="Q441" s="180"/>
      <c r="R441" s="180"/>
      <c r="S441" s="184"/>
      <c r="T441" s="182"/>
      <c r="U441" s="182"/>
      <c r="V441" s="182"/>
      <c r="W441" s="182"/>
      <c r="X441" s="182"/>
    </row>
    <row r="442" spans="1:24">
      <c r="A442" s="182"/>
      <c r="B442" s="182"/>
      <c r="C442" s="182"/>
      <c r="D442" s="182"/>
      <c r="E442" s="182"/>
      <c r="F442" s="182"/>
      <c r="G442" s="182"/>
      <c r="H442" s="182"/>
      <c r="I442" s="182"/>
      <c r="J442" s="182"/>
      <c r="K442" s="182"/>
      <c r="L442" s="180"/>
      <c r="M442" s="182"/>
      <c r="N442" s="182"/>
      <c r="O442" s="182"/>
      <c r="P442" s="180"/>
      <c r="Q442" s="180"/>
      <c r="R442" s="180"/>
      <c r="S442" s="184"/>
      <c r="T442" s="182"/>
      <c r="U442" s="182"/>
      <c r="V442" s="182"/>
      <c r="W442" s="182"/>
      <c r="X442" s="182"/>
    </row>
    <row r="443" spans="1:24">
      <c r="A443" s="182"/>
      <c r="B443" s="182"/>
      <c r="C443" s="182"/>
      <c r="D443" s="182"/>
      <c r="E443" s="182"/>
      <c r="F443" s="182"/>
      <c r="G443" s="182"/>
      <c r="H443" s="182"/>
      <c r="I443" s="182"/>
      <c r="J443" s="182"/>
      <c r="K443" s="182"/>
      <c r="L443" s="180"/>
      <c r="M443" s="182"/>
      <c r="N443" s="182"/>
      <c r="O443" s="182"/>
      <c r="P443" s="180"/>
      <c r="Q443" s="180"/>
      <c r="R443" s="180"/>
      <c r="S443" s="184"/>
      <c r="T443" s="182"/>
      <c r="U443" s="182"/>
      <c r="V443" s="182"/>
      <c r="W443" s="182"/>
      <c r="X443" s="182"/>
    </row>
    <row r="444" spans="1:24">
      <c r="A444" s="182"/>
      <c r="B444" s="182"/>
      <c r="C444" s="182"/>
      <c r="D444" s="182"/>
      <c r="E444" s="182"/>
      <c r="F444" s="182"/>
      <c r="G444" s="182"/>
      <c r="H444" s="182"/>
      <c r="I444" s="182"/>
      <c r="J444" s="182"/>
      <c r="K444" s="182"/>
      <c r="L444" s="180"/>
      <c r="M444" s="182"/>
      <c r="N444" s="182"/>
      <c r="O444" s="182"/>
      <c r="P444" s="180"/>
      <c r="Q444" s="180"/>
      <c r="R444" s="180"/>
      <c r="S444" s="184"/>
      <c r="T444" s="182"/>
      <c r="U444" s="182"/>
      <c r="V444" s="182"/>
      <c r="W444" s="182"/>
      <c r="X444" s="182"/>
    </row>
    <row r="445" spans="1:24">
      <c r="A445" s="182"/>
      <c r="B445" s="182"/>
      <c r="C445" s="182"/>
      <c r="D445" s="182"/>
      <c r="E445" s="182"/>
      <c r="F445" s="182"/>
      <c r="G445" s="182"/>
      <c r="H445" s="182"/>
      <c r="I445" s="182"/>
      <c r="J445" s="182"/>
      <c r="K445" s="182"/>
      <c r="L445" s="180"/>
      <c r="M445" s="182"/>
      <c r="N445" s="182"/>
      <c r="O445" s="182"/>
      <c r="P445" s="180"/>
      <c r="Q445" s="180"/>
      <c r="R445" s="180"/>
      <c r="S445" s="184"/>
      <c r="T445" s="182"/>
      <c r="U445" s="182"/>
      <c r="V445" s="182"/>
      <c r="W445" s="182"/>
      <c r="X445" s="182"/>
    </row>
    <row r="446" spans="1:24">
      <c r="A446" s="182"/>
      <c r="B446" s="182"/>
      <c r="C446" s="182"/>
      <c r="D446" s="182"/>
      <c r="E446" s="182"/>
      <c r="F446" s="182"/>
      <c r="G446" s="182"/>
      <c r="H446" s="182"/>
      <c r="I446" s="182"/>
      <c r="J446" s="182"/>
      <c r="K446" s="182"/>
      <c r="L446" s="180"/>
      <c r="M446" s="182"/>
      <c r="N446" s="182"/>
      <c r="O446" s="182"/>
      <c r="P446" s="180"/>
      <c r="Q446" s="180"/>
      <c r="R446" s="180"/>
      <c r="S446" s="184"/>
      <c r="T446" s="182"/>
      <c r="U446" s="182"/>
      <c r="V446" s="182"/>
      <c r="W446" s="182"/>
      <c r="X446" s="182"/>
    </row>
    <row r="447" spans="1:24">
      <c r="A447" s="182"/>
      <c r="B447" s="182"/>
      <c r="C447" s="182"/>
      <c r="D447" s="182"/>
      <c r="E447" s="182"/>
      <c r="F447" s="182"/>
      <c r="G447" s="182"/>
      <c r="H447" s="182"/>
      <c r="I447" s="182"/>
      <c r="J447" s="182"/>
      <c r="K447" s="182"/>
      <c r="L447" s="180"/>
      <c r="M447" s="182"/>
      <c r="N447" s="182"/>
      <c r="O447" s="182"/>
      <c r="P447" s="180"/>
      <c r="Q447" s="180"/>
      <c r="R447" s="180"/>
      <c r="S447" s="184"/>
      <c r="T447" s="182"/>
      <c r="U447" s="182"/>
      <c r="V447" s="182"/>
      <c r="W447" s="182"/>
      <c r="X447" s="182"/>
    </row>
    <row r="448" spans="1:24">
      <c r="A448" s="182"/>
      <c r="B448" s="182"/>
      <c r="C448" s="182"/>
      <c r="D448" s="182"/>
      <c r="E448" s="182"/>
      <c r="F448" s="182"/>
      <c r="G448" s="182"/>
      <c r="H448" s="182"/>
      <c r="I448" s="182"/>
      <c r="J448" s="182"/>
      <c r="K448" s="182"/>
      <c r="L448" s="180"/>
      <c r="M448" s="182"/>
      <c r="N448" s="182"/>
      <c r="O448" s="182"/>
      <c r="P448" s="180"/>
      <c r="Q448" s="180"/>
      <c r="R448" s="180"/>
      <c r="S448" s="184"/>
      <c r="T448" s="182"/>
      <c r="U448" s="182"/>
      <c r="V448" s="182"/>
      <c r="W448" s="182"/>
      <c r="X448" s="182"/>
    </row>
    <row r="449" spans="1:24">
      <c r="A449" s="182"/>
      <c r="B449" s="182"/>
      <c r="C449" s="182"/>
      <c r="D449" s="182"/>
      <c r="E449" s="182"/>
      <c r="F449" s="182"/>
      <c r="G449" s="182"/>
      <c r="H449" s="182"/>
      <c r="I449" s="182"/>
      <c r="J449" s="182"/>
      <c r="K449" s="182"/>
      <c r="L449" s="180"/>
      <c r="M449" s="182"/>
      <c r="N449" s="182"/>
      <c r="O449" s="182"/>
      <c r="P449" s="180"/>
      <c r="Q449" s="180"/>
      <c r="R449" s="180"/>
      <c r="S449" s="184"/>
      <c r="T449" s="182"/>
      <c r="U449" s="182"/>
      <c r="V449" s="182"/>
      <c r="W449" s="182"/>
      <c r="X449" s="182"/>
    </row>
    <row r="450" spans="1:24">
      <c r="A450" s="182"/>
      <c r="B450" s="182"/>
      <c r="C450" s="182"/>
      <c r="D450" s="182"/>
      <c r="E450" s="182"/>
      <c r="F450" s="182"/>
      <c r="G450" s="182"/>
      <c r="H450" s="182"/>
      <c r="I450" s="182"/>
      <c r="J450" s="182"/>
      <c r="K450" s="182"/>
      <c r="L450" s="180"/>
      <c r="M450" s="182"/>
      <c r="N450" s="182"/>
      <c r="O450" s="182"/>
      <c r="P450" s="180"/>
      <c r="Q450" s="180"/>
      <c r="R450" s="180"/>
      <c r="S450" s="184"/>
      <c r="T450" s="182"/>
      <c r="U450" s="182"/>
      <c r="V450" s="182"/>
      <c r="W450" s="182"/>
      <c r="X450" s="182"/>
    </row>
    <row r="451" spans="1:24">
      <c r="A451" s="182"/>
      <c r="B451" s="182"/>
      <c r="C451" s="182"/>
      <c r="D451" s="182"/>
      <c r="E451" s="182"/>
      <c r="F451" s="182"/>
      <c r="G451" s="182"/>
      <c r="H451" s="182"/>
      <c r="I451" s="182"/>
      <c r="J451" s="182"/>
      <c r="K451" s="182"/>
      <c r="L451" s="180"/>
      <c r="M451" s="182"/>
      <c r="N451" s="182"/>
      <c r="O451" s="182"/>
      <c r="P451" s="180"/>
      <c r="Q451" s="180"/>
      <c r="R451" s="180"/>
      <c r="S451" s="184"/>
      <c r="T451" s="182"/>
      <c r="U451" s="182"/>
      <c r="V451" s="182"/>
      <c r="W451" s="182"/>
      <c r="X451" s="182"/>
    </row>
    <row r="452" spans="1:24">
      <c r="A452" s="182"/>
      <c r="B452" s="182"/>
      <c r="C452" s="182"/>
      <c r="D452" s="182"/>
      <c r="E452" s="182"/>
      <c r="F452" s="182"/>
      <c r="G452" s="182"/>
      <c r="H452" s="182"/>
      <c r="I452" s="182"/>
      <c r="J452" s="182"/>
      <c r="K452" s="182"/>
      <c r="L452" s="180"/>
      <c r="M452" s="182"/>
      <c r="N452" s="182"/>
      <c r="O452" s="182"/>
      <c r="P452" s="180"/>
      <c r="Q452" s="180"/>
      <c r="R452" s="180"/>
      <c r="S452" s="184"/>
      <c r="T452" s="182"/>
      <c r="U452" s="182"/>
      <c r="V452" s="182"/>
      <c r="W452" s="182"/>
      <c r="X452" s="182"/>
    </row>
    <row r="453" spans="1:24">
      <c r="A453" s="182"/>
      <c r="B453" s="182"/>
      <c r="C453" s="182"/>
      <c r="D453" s="182"/>
      <c r="E453" s="182"/>
      <c r="F453" s="182"/>
      <c r="G453" s="182"/>
      <c r="H453" s="182"/>
      <c r="I453" s="182"/>
      <c r="J453" s="182"/>
      <c r="K453" s="182"/>
      <c r="L453" s="180"/>
      <c r="M453" s="182"/>
      <c r="N453" s="182"/>
      <c r="O453" s="182"/>
      <c r="P453" s="180"/>
      <c r="Q453" s="180"/>
      <c r="R453" s="180"/>
      <c r="S453" s="184"/>
      <c r="T453" s="182"/>
      <c r="U453" s="182"/>
      <c r="V453" s="182"/>
      <c r="W453" s="182"/>
      <c r="X453" s="182"/>
    </row>
    <row r="454" spans="1:24">
      <c r="A454" s="182"/>
      <c r="B454" s="182"/>
      <c r="C454" s="182"/>
      <c r="D454" s="182"/>
      <c r="E454" s="182"/>
      <c r="F454" s="182"/>
      <c r="G454" s="182"/>
      <c r="H454" s="182"/>
      <c r="I454" s="182"/>
      <c r="J454" s="182"/>
      <c r="K454" s="182"/>
      <c r="L454" s="180"/>
      <c r="M454" s="182"/>
      <c r="N454" s="182"/>
      <c r="O454" s="182"/>
      <c r="P454" s="180"/>
      <c r="Q454" s="180"/>
      <c r="R454" s="180"/>
      <c r="S454" s="184"/>
      <c r="T454" s="182"/>
      <c r="U454" s="182"/>
      <c r="V454" s="182"/>
      <c r="W454" s="182"/>
      <c r="X454" s="182"/>
    </row>
    <row r="455" spans="1:24">
      <c r="A455" s="182"/>
      <c r="B455" s="182"/>
      <c r="C455" s="182"/>
      <c r="D455" s="182"/>
      <c r="E455" s="182"/>
      <c r="F455" s="182"/>
      <c r="G455" s="182"/>
      <c r="H455" s="182"/>
      <c r="I455" s="182"/>
      <c r="J455" s="182"/>
      <c r="K455" s="182"/>
      <c r="L455" s="180"/>
      <c r="M455" s="182"/>
      <c r="N455" s="182"/>
      <c r="O455" s="182"/>
      <c r="P455" s="180"/>
      <c r="Q455" s="180"/>
      <c r="R455" s="180"/>
      <c r="S455" s="184"/>
      <c r="T455" s="182"/>
      <c r="U455" s="182"/>
      <c r="V455" s="182"/>
      <c r="W455" s="182"/>
      <c r="X455" s="182"/>
    </row>
    <row r="456" spans="1:24">
      <c r="A456" s="182"/>
      <c r="B456" s="182"/>
      <c r="C456" s="182"/>
      <c r="D456" s="182"/>
      <c r="E456" s="182"/>
      <c r="F456" s="182"/>
      <c r="G456" s="182"/>
      <c r="H456" s="182"/>
      <c r="I456" s="182"/>
      <c r="J456" s="182"/>
      <c r="K456" s="182"/>
      <c r="L456" s="180"/>
      <c r="M456" s="182"/>
      <c r="N456" s="182"/>
      <c r="O456" s="182"/>
      <c r="P456" s="180"/>
      <c r="Q456" s="180"/>
      <c r="R456" s="180"/>
      <c r="S456" s="184"/>
      <c r="T456" s="182"/>
      <c r="U456" s="182"/>
      <c r="V456" s="182"/>
      <c r="W456" s="182"/>
      <c r="X456" s="182"/>
    </row>
    <row r="457" spans="1:24">
      <c r="A457" s="182"/>
      <c r="B457" s="182"/>
      <c r="C457" s="182"/>
      <c r="D457" s="182"/>
      <c r="E457" s="182"/>
      <c r="F457" s="182"/>
      <c r="G457" s="182"/>
      <c r="H457" s="182"/>
      <c r="I457" s="182"/>
      <c r="J457" s="182"/>
      <c r="K457" s="182"/>
      <c r="L457" s="180"/>
      <c r="M457" s="182"/>
      <c r="N457" s="182"/>
      <c r="O457" s="182"/>
      <c r="P457" s="180"/>
      <c r="Q457" s="180"/>
      <c r="R457" s="180"/>
      <c r="S457" s="184"/>
      <c r="T457" s="182"/>
      <c r="U457" s="182"/>
      <c r="V457" s="182"/>
      <c r="W457" s="182"/>
      <c r="X457" s="182"/>
    </row>
    <row r="458" spans="1:24">
      <c r="A458" s="182"/>
      <c r="B458" s="182"/>
      <c r="C458" s="182"/>
      <c r="D458" s="182"/>
      <c r="E458" s="182"/>
      <c r="F458" s="182"/>
      <c r="G458" s="182"/>
      <c r="H458" s="182"/>
      <c r="I458" s="182"/>
      <c r="J458" s="182"/>
      <c r="K458" s="182"/>
      <c r="L458" s="180"/>
      <c r="M458" s="182"/>
      <c r="N458" s="182"/>
      <c r="O458" s="182"/>
      <c r="P458" s="180"/>
      <c r="Q458" s="180"/>
      <c r="R458" s="180"/>
      <c r="S458" s="184"/>
      <c r="T458" s="182"/>
      <c r="U458" s="182"/>
      <c r="V458" s="182"/>
      <c r="W458" s="182"/>
      <c r="X458" s="182"/>
    </row>
    <row r="459" spans="1:24">
      <c r="A459" s="182"/>
      <c r="B459" s="182"/>
      <c r="C459" s="182"/>
      <c r="D459" s="182"/>
      <c r="E459" s="182"/>
      <c r="F459" s="182"/>
      <c r="G459" s="182"/>
      <c r="H459" s="182"/>
      <c r="I459" s="182"/>
      <c r="J459" s="182"/>
      <c r="K459" s="182"/>
      <c r="L459" s="180"/>
      <c r="M459" s="182"/>
      <c r="N459" s="182"/>
      <c r="O459" s="182"/>
      <c r="P459" s="180"/>
      <c r="Q459" s="180"/>
      <c r="R459" s="180"/>
      <c r="S459" s="184"/>
      <c r="T459" s="182"/>
      <c r="U459" s="182"/>
      <c r="V459" s="182"/>
      <c r="W459" s="182"/>
      <c r="X459" s="182"/>
    </row>
    <row r="460" spans="1:24">
      <c r="A460" s="182"/>
      <c r="B460" s="182"/>
      <c r="C460" s="182"/>
      <c r="D460" s="182"/>
      <c r="E460" s="182"/>
      <c r="F460" s="182"/>
      <c r="G460" s="182"/>
      <c r="H460" s="182"/>
      <c r="I460" s="182"/>
      <c r="J460" s="182"/>
      <c r="K460" s="182"/>
      <c r="L460" s="180"/>
      <c r="M460" s="182"/>
      <c r="N460" s="182"/>
      <c r="O460" s="182"/>
      <c r="P460" s="180"/>
      <c r="Q460" s="180"/>
      <c r="R460" s="180"/>
      <c r="S460" s="184"/>
      <c r="T460" s="182"/>
      <c r="U460" s="182"/>
      <c r="V460" s="182"/>
      <c r="W460" s="182"/>
      <c r="X460" s="182"/>
    </row>
    <row r="461" spans="1:24">
      <c r="A461" s="182"/>
      <c r="B461" s="182"/>
      <c r="C461" s="182"/>
      <c r="D461" s="182"/>
      <c r="E461" s="182"/>
      <c r="F461" s="182"/>
      <c r="G461" s="182"/>
      <c r="H461" s="182"/>
      <c r="I461" s="182"/>
      <c r="J461" s="182"/>
      <c r="K461" s="182"/>
      <c r="L461" s="180"/>
      <c r="M461" s="182"/>
      <c r="N461" s="182"/>
      <c r="O461" s="182"/>
      <c r="P461" s="180"/>
      <c r="Q461" s="180"/>
      <c r="R461" s="180"/>
      <c r="S461" s="184"/>
      <c r="T461" s="182"/>
      <c r="U461" s="182"/>
      <c r="V461" s="182"/>
      <c r="W461" s="182"/>
      <c r="X461" s="182"/>
    </row>
    <row r="462" spans="1:24">
      <c r="A462" s="182"/>
      <c r="B462" s="182"/>
      <c r="C462" s="182"/>
      <c r="D462" s="182"/>
      <c r="E462" s="182"/>
      <c r="F462" s="182"/>
      <c r="G462" s="182"/>
      <c r="H462" s="182"/>
      <c r="I462" s="182"/>
      <c r="J462" s="182"/>
      <c r="K462" s="182"/>
      <c r="L462" s="180"/>
      <c r="M462" s="182"/>
      <c r="N462" s="182"/>
      <c r="O462" s="182"/>
      <c r="P462" s="180"/>
      <c r="Q462" s="180"/>
      <c r="R462" s="180"/>
      <c r="S462" s="184"/>
      <c r="T462" s="182"/>
      <c r="U462" s="182"/>
      <c r="V462" s="182"/>
      <c r="W462" s="182"/>
      <c r="X462" s="182"/>
    </row>
    <row r="463" spans="1:24">
      <c r="A463" s="182"/>
      <c r="B463" s="182"/>
      <c r="C463" s="182"/>
      <c r="D463" s="182"/>
      <c r="E463" s="182"/>
      <c r="F463" s="182"/>
      <c r="G463" s="182"/>
      <c r="H463" s="182"/>
      <c r="I463" s="182"/>
      <c r="J463" s="182"/>
      <c r="K463" s="182"/>
      <c r="L463" s="180"/>
      <c r="M463" s="182"/>
      <c r="N463" s="182"/>
      <c r="O463" s="182"/>
      <c r="P463" s="180"/>
      <c r="Q463" s="180"/>
      <c r="R463" s="180"/>
      <c r="S463" s="184"/>
      <c r="T463" s="182"/>
      <c r="U463" s="182"/>
      <c r="V463" s="182"/>
      <c r="W463" s="182"/>
      <c r="X463" s="182"/>
    </row>
    <row r="464" spans="1:24">
      <c r="A464" s="182"/>
      <c r="B464" s="182"/>
      <c r="C464" s="182"/>
      <c r="D464" s="182"/>
      <c r="E464" s="182"/>
      <c r="F464" s="182"/>
      <c r="G464" s="182"/>
      <c r="H464" s="182"/>
      <c r="I464" s="182"/>
      <c r="J464" s="182"/>
      <c r="K464" s="182"/>
      <c r="L464" s="180"/>
      <c r="M464" s="182"/>
      <c r="N464" s="182"/>
      <c r="O464" s="182"/>
      <c r="P464" s="180"/>
      <c r="Q464" s="180"/>
      <c r="R464" s="180"/>
      <c r="S464" s="184"/>
      <c r="T464" s="182"/>
      <c r="U464" s="182"/>
      <c r="V464" s="182"/>
      <c r="W464" s="182"/>
      <c r="X464" s="182"/>
    </row>
    <row r="465" spans="1:24">
      <c r="A465" s="182"/>
      <c r="B465" s="182"/>
      <c r="C465" s="182"/>
      <c r="D465" s="182"/>
      <c r="E465" s="182"/>
      <c r="F465" s="182"/>
      <c r="G465" s="182"/>
      <c r="H465" s="182"/>
      <c r="I465" s="182"/>
      <c r="J465" s="182"/>
      <c r="K465" s="182"/>
      <c r="L465" s="180"/>
      <c r="M465" s="182"/>
      <c r="N465" s="182"/>
      <c r="O465" s="182"/>
      <c r="P465" s="180"/>
      <c r="Q465" s="180"/>
      <c r="R465" s="180"/>
      <c r="S465" s="184"/>
      <c r="T465" s="182"/>
      <c r="U465" s="182"/>
      <c r="V465" s="182"/>
      <c r="W465" s="182"/>
      <c r="X465" s="182"/>
    </row>
    <row r="466" spans="1:24">
      <c r="A466" s="182"/>
      <c r="B466" s="182"/>
      <c r="C466" s="182"/>
      <c r="D466" s="182"/>
      <c r="E466" s="182"/>
      <c r="F466" s="182"/>
      <c r="G466" s="182"/>
      <c r="H466" s="182"/>
      <c r="I466" s="182"/>
      <c r="J466" s="182"/>
      <c r="K466" s="182"/>
      <c r="L466" s="180"/>
      <c r="M466" s="182"/>
      <c r="N466" s="182"/>
      <c r="O466" s="182"/>
      <c r="P466" s="180"/>
      <c r="Q466" s="180"/>
      <c r="R466" s="180"/>
      <c r="S466" s="184"/>
      <c r="T466" s="182"/>
      <c r="U466" s="182"/>
      <c r="V466" s="182"/>
      <c r="W466" s="182"/>
      <c r="X466" s="182"/>
    </row>
    <row r="467" spans="1:24">
      <c r="A467" s="182"/>
      <c r="B467" s="182"/>
      <c r="C467" s="182"/>
      <c r="D467" s="182"/>
      <c r="E467" s="182"/>
      <c r="F467" s="182"/>
      <c r="G467" s="182"/>
      <c r="H467" s="182"/>
      <c r="I467" s="182"/>
      <c r="J467" s="182"/>
      <c r="K467" s="182"/>
      <c r="L467" s="180"/>
      <c r="M467" s="182"/>
      <c r="N467" s="182"/>
      <c r="O467" s="182"/>
      <c r="P467" s="180"/>
      <c r="Q467" s="180"/>
      <c r="R467" s="180"/>
      <c r="S467" s="184"/>
      <c r="T467" s="182"/>
      <c r="U467" s="182"/>
      <c r="V467" s="182"/>
      <c r="W467" s="182"/>
      <c r="X467" s="182"/>
    </row>
    <row r="468" spans="1:24">
      <c r="A468" s="182"/>
      <c r="B468" s="182"/>
      <c r="C468" s="182"/>
      <c r="D468" s="182"/>
      <c r="E468" s="182"/>
      <c r="F468" s="182"/>
      <c r="G468" s="182"/>
      <c r="H468" s="182"/>
      <c r="I468" s="182"/>
      <c r="J468" s="182"/>
      <c r="K468" s="182"/>
      <c r="L468" s="180"/>
      <c r="M468" s="182"/>
      <c r="N468" s="182"/>
      <c r="O468" s="182"/>
      <c r="P468" s="180"/>
      <c r="Q468" s="180"/>
      <c r="R468" s="180"/>
      <c r="S468" s="184"/>
      <c r="T468" s="182"/>
      <c r="U468" s="182"/>
      <c r="V468" s="182"/>
      <c r="W468" s="182"/>
      <c r="X468" s="182"/>
    </row>
    <row r="469" spans="1:24">
      <c r="A469" s="182"/>
      <c r="B469" s="182"/>
      <c r="C469" s="182"/>
      <c r="D469" s="182"/>
      <c r="E469" s="182"/>
      <c r="F469" s="182"/>
      <c r="G469" s="182"/>
      <c r="H469" s="182"/>
      <c r="I469" s="182"/>
      <c r="J469" s="182"/>
      <c r="K469" s="182"/>
      <c r="L469" s="180"/>
      <c r="M469" s="182"/>
      <c r="N469" s="182"/>
      <c r="O469" s="182"/>
      <c r="P469" s="180"/>
      <c r="Q469" s="180"/>
      <c r="R469" s="180"/>
      <c r="S469" s="184"/>
      <c r="T469" s="182"/>
      <c r="U469" s="182"/>
      <c r="V469" s="182"/>
      <c r="W469" s="182"/>
      <c r="X469" s="182"/>
    </row>
    <row r="470" spans="1:24">
      <c r="A470" s="182"/>
      <c r="B470" s="182"/>
      <c r="C470" s="182"/>
      <c r="D470" s="182"/>
      <c r="E470" s="182"/>
      <c r="F470" s="182"/>
      <c r="G470" s="182"/>
      <c r="H470" s="182"/>
      <c r="I470" s="182"/>
      <c r="J470" s="182"/>
      <c r="K470" s="182"/>
      <c r="L470" s="180"/>
      <c r="M470" s="182"/>
      <c r="N470" s="182"/>
      <c r="O470" s="182"/>
      <c r="P470" s="180"/>
      <c r="Q470" s="180"/>
      <c r="R470" s="180"/>
      <c r="S470" s="184"/>
      <c r="T470" s="182"/>
      <c r="U470" s="182"/>
      <c r="V470" s="182"/>
      <c r="W470" s="182"/>
      <c r="X470" s="182"/>
    </row>
    <row r="471" spans="1:24">
      <c r="A471" s="182"/>
      <c r="B471" s="182"/>
      <c r="C471" s="182"/>
      <c r="D471" s="182"/>
      <c r="E471" s="182"/>
      <c r="F471" s="182"/>
      <c r="G471" s="182"/>
      <c r="H471" s="182"/>
      <c r="I471" s="182"/>
      <c r="J471" s="182"/>
      <c r="K471" s="182"/>
      <c r="L471" s="180"/>
      <c r="M471" s="182"/>
      <c r="N471" s="182"/>
      <c r="O471" s="182"/>
      <c r="P471" s="180"/>
      <c r="Q471" s="180"/>
      <c r="R471" s="180"/>
      <c r="S471" s="184"/>
      <c r="T471" s="182"/>
      <c r="U471" s="182"/>
      <c r="V471" s="182"/>
      <c r="W471" s="182"/>
      <c r="X471" s="182"/>
    </row>
    <row r="472" spans="1:24">
      <c r="A472" s="182"/>
      <c r="B472" s="182"/>
      <c r="C472" s="182"/>
      <c r="D472" s="182"/>
      <c r="E472" s="182"/>
      <c r="F472" s="182"/>
      <c r="G472" s="182"/>
      <c r="H472" s="182"/>
      <c r="I472" s="182"/>
      <c r="J472" s="182"/>
      <c r="K472" s="182"/>
      <c r="L472" s="180"/>
      <c r="M472" s="182"/>
      <c r="N472" s="182"/>
      <c r="O472" s="182"/>
      <c r="P472" s="180"/>
      <c r="Q472" s="180"/>
      <c r="R472" s="180"/>
      <c r="S472" s="184"/>
      <c r="T472" s="182"/>
      <c r="U472" s="182"/>
      <c r="V472" s="182"/>
      <c r="W472" s="182"/>
      <c r="X472" s="182"/>
    </row>
    <row r="473" spans="1:24">
      <c r="A473" s="182"/>
      <c r="B473" s="182"/>
      <c r="C473" s="182"/>
      <c r="D473" s="182"/>
      <c r="E473" s="182"/>
      <c r="F473" s="182"/>
      <c r="G473" s="182"/>
      <c r="H473" s="182"/>
      <c r="I473" s="182"/>
      <c r="J473" s="182"/>
      <c r="K473" s="182"/>
      <c r="L473" s="180"/>
      <c r="M473" s="182"/>
      <c r="N473" s="182"/>
      <c r="O473" s="182"/>
      <c r="P473" s="180"/>
      <c r="Q473" s="180"/>
      <c r="R473" s="180"/>
      <c r="S473" s="184"/>
      <c r="T473" s="182"/>
      <c r="U473" s="182"/>
      <c r="V473" s="182"/>
      <c r="W473" s="182"/>
      <c r="X473" s="182"/>
    </row>
    <row r="474" spans="1:24">
      <c r="A474" s="182"/>
      <c r="B474" s="182"/>
      <c r="C474" s="182"/>
      <c r="D474" s="182"/>
      <c r="E474" s="182"/>
      <c r="F474" s="182"/>
      <c r="G474" s="182"/>
      <c r="H474" s="182"/>
      <c r="I474" s="182"/>
      <c r="J474" s="182"/>
      <c r="K474" s="182"/>
      <c r="L474" s="180"/>
      <c r="M474" s="182"/>
      <c r="N474" s="182"/>
      <c r="O474" s="182"/>
      <c r="P474" s="180"/>
      <c r="Q474" s="180"/>
      <c r="R474" s="180"/>
      <c r="S474" s="184"/>
      <c r="T474" s="182"/>
      <c r="U474" s="182"/>
      <c r="V474" s="182"/>
      <c r="W474" s="182"/>
      <c r="X474" s="182"/>
    </row>
    <row r="475" spans="1:24">
      <c r="A475" s="182"/>
      <c r="B475" s="182"/>
      <c r="C475" s="182"/>
      <c r="D475" s="182"/>
      <c r="E475" s="182"/>
      <c r="F475" s="182"/>
      <c r="G475" s="182"/>
      <c r="H475" s="182"/>
      <c r="I475" s="182"/>
      <c r="J475" s="182"/>
      <c r="K475" s="182"/>
      <c r="L475" s="180"/>
      <c r="M475" s="182"/>
      <c r="N475" s="182"/>
      <c r="O475" s="182"/>
      <c r="P475" s="180"/>
      <c r="Q475" s="180"/>
      <c r="R475" s="180"/>
      <c r="S475" s="184"/>
      <c r="T475" s="182"/>
      <c r="U475" s="182"/>
      <c r="V475" s="182"/>
      <c r="W475" s="182"/>
      <c r="X475" s="182"/>
    </row>
    <row r="476" spans="1:24">
      <c r="A476" s="182"/>
      <c r="B476" s="182"/>
      <c r="C476" s="182"/>
      <c r="D476" s="182"/>
      <c r="E476" s="182"/>
      <c r="F476" s="182"/>
      <c r="G476" s="182"/>
      <c r="H476" s="182"/>
      <c r="I476" s="182"/>
      <c r="J476" s="182"/>
      <c r="K476" s="182"/>
      <c r="L476" s="180"/>
      <c r="M476" s="182"/>
      <c r="N476" s="182"/>
      <c r="O476" s="182"/>
      <c r="P476" s="180"/>
      <c r="Q476" s="180"/>
      <c r="R476" s="180"/>
      <c r="S476" s="184"/>
      <c r="T476" s="182"/>
      <c r="U476" s="182"/>
      <c r="V476" s="182"/>
      <c r="W476" s="182"/>
      <c r="X476" s="182"/>
    </row>
    <row r="477" spans="1:24">
      <c r="A477" s="182"/>
      <c r="B477" s="182"/>
      <c r="C477" s="182"/>
      <c r="D477" s="182"/>
      <c r="E477" s="182"/>
      <c r="F477" s="182"/>
      <c r="G477" s="182"/>
      <c r="H477" s="182"/>
      <c r="I477" s="182"/>
      <c r="J477" s="182"/>
      <c r="K477" s="182"/>
      <c r="L477" s="180"/>
      <c r="M477" s="182"/>
      <c r="N477" s="182"/>
      <c r="O477" s="182"/>
      <c r="P477" s="180"/>
      <c r="Q477" s="180"/>
      <c r="R477" s="180"/>
      <c r="S477" s="184"/>
      <c r="T477" s="182"/>
      <c r="U477" s="182"/>
      <c r="V477" s="182"/>
      <c r="W477" s="182"/>
      <c r="X477" s="182"/>
    </row>
    <row r="478" spans="1:24">
      <c r="A478" s="182"/>
      <c r="B478" s="182"/>
      <c r="C478" s="182"/>
      <c r="D478" s="182"/>
      <c r="E478" s="182"/>
      <c r="F478" s="182"/>
      <c r="G478" s="182"/>
      <c r="H478" s="182"/>
      <c r="I478" s="182"/>
      <c r="J478" s="182"/>
      <c r="K478" s="182"/>
      <c r="L478" s="180"/>
      <c r="M478" s="182"/>
      <c r="N478" s="182"/>
      <c r="O478" s="182"/>
      <c r="P478" s="180"/>
      <c r="Q478" s="180"/>
      <c r="R478" s="180"/>
      <c r="S478" s="184"/>
      <c r="T478" s="182"/>
      <c r="U478" s="182"/>
      <c r="V478" s="182"/>
      <c r="W478" s="182"/>
      <c r="X478" s="182"/>
    </row>
    <row r="479" spans="1:24">
      <c r="A479" s="182"/>
      <c r="B479" s="182"/>
      <c r="C479" s="182"/>
      <c r="D479" s="182"/>
      <c r="E479" s="182"/>
      <c r="F479" s="182"/>
      <c r="G479" s="182"/>
      <c r="H479" s="182"/>
      <c r="I479" s="182"/>
      <c r="J479" s="182"/>
      <c r="K479" s="182"/>
      <c r="L479" s="180"/>
      <c r="M479" s="182"/>
      <c r="N479" s="182"/>
      <c r="O479" s="182"/>
      <c r="P479" s="180"/>
      <c r="Q479" s="180"/>
      <c r="R479" s="180"/>
      <c r="S479" s="184"/>
      <c r="T479" s="182"/>
      <c r="U479" s="182"/>
      <c r="V479" s="182"/>
      <c r="W479" s="182"/>
      <c r="X479" s="182"/>
    </row>
    <row r="480" spans="1:24">
      <c r="A480" s="182"/>
      <c r="B480" s="182"/>
      <c r="C480" s="182"/>
      <c r="D480" s="182"/>
      <c r="E480" s="182"/>
      <c r="F480" s="182"/>
      <c r="G480" s="182"/>
      <c r="H480" s="182"/>
      <c r="I480" s="182"/>
      <c r="J480" s="182"/>
      <c r="K480" s="182"/>
      <c r="L480" s="180"/>
      <c r="M480" s="182"/>
      <c r="N480" s="182"/>
      <c r="O480" s="182"/>
      <c r="P480" s="180"/>
      <c r="Q480" s="180"/>
      <c r="R480" s="180"/>
      <c r="S480" s="184"/>
      <c r="T480" s="182"/>
      <c r="U480" s="182"/>
      <c r="V480" s="182"/>
      <c r="W480" s="182"/>
      <c r="X480" s="182"/>
    </row>
    <row r="481" spans="1:24">
      <c r="A481" s="182"/>
      <c r="B481" s="182"/>
      <c r="C481" s="182"/>
      <c r="D481" s="182"/>
      <c r="E481" s="182"/>
      <c r="F481" s="182"/>
      <c r="G481" s="182"/>
      <c r="H481" s="182"/>
      <c r="I481" s="182"/>
      <c r="J481" s="182"/>
      <c r="K481" s="182"/>
      <c r="L481" s="180"/>
      <c r="M481" s="182"/>
      <c r="N481" s="182"/>
      <c r="O481" s="182"/>
      <c r="P481" s="180"/>
      <c r="Q481" s="180"/>
      <c r="R481" s="180"/>
      <c r="S481" s="184"/>
      <c r="T481" s="182"/>
      <c r="U481" s="182"/>
      <c r="V481" s="182"/>
      <c r="W481" s="182"/>
      <c r="X481" s="182"/>
    </row>
    <row r="482" spans="1:24">
      <c r="A482" s="182"/>
      <c r="B482" s="182"/>
      <c r="C482" s="182"/>
      <c r="D482" s="182"/>
      <c r="E482" s="182"/>
      <c r="F482" s="182"/>
      <c r="G482" s="182"/>
      <c r="H482" s="182"/>
      <c r="I482" s="182"/>
      <c r="J482" s="182"/>
      <c r="K482" s="182"/>
      <c r="L482" s="180"/>
      <c r="M482" s="182"/>
      <c r="N482" s="182"/>
      <c r="O482" s="182"/>
      <c r="P482" s="180"/>
      <c r="Q482" s="180"/>
      <c r="R482" s="180"/>
      <c r="S482" s="184"/>
      <c r="T482" s="182"/>
      <c r="U482" s="182"/>
      <c r="V482" s="182"/>
      <c r="W482" s="182"/>
      <c r="X482" s="182"/>
    </row>
    <row r="483" spans="1:24">
      <c r="A483" s="182"/>
      <c r="B483" s="182"/>
      <c r="C483" s="182"/>
      <c r="D483" s="182"/>
      <c r="E483" s="182"/>
      <c r="F483" s="182"/>
      <c r="G483" s="182"/>
      <c r="H483" s="182"/>
      <c r="I483" s="182"/>
      <c r="J483" s="182"/>
      <c r="K483" s="182"/>
      <c r="L483" s="180"/>
      <c r="M483" s="182"/>
      <c r="N483" s="182"/>
      <c r="O483" s="182"/>
      <c r="P483" s="180"/>
      <c r="Q483" s="180"/>
      <c r="R483" s="180"/>
      <c r="S483" s="184"/>
      <c r="T483" s="182"/>
      <c r="U483" s="182"/>
      <c r="V483" s="182"/>
      <c r="W483" s="182"/>
      <c r="X483" s="182"/>
    </row>
    <row r="484" spans="1:24">
      <c r="A484" s="182"/>
      <c r="B484" s="182"/>
      <c r="C484" s="182"/>
      <c r="D484" s="182"/>
      <c r="E484" s="182"/>
      <c r="F484" s="182"/>
      <c r="G484" s="182"/>
      <c r="H484" s="182"/>
      <c r="I484" s="182"/>
      <c r="J484" s="182"/>
      <c r="K484" s="182"/>
      <c r="L484" s="180"/>
      <c r="M484" s="182"/>
      <c r="N484" s="182"/>
      <c r="O484" s="182"/>
      <c r="P484" s="180"/>
      <c r="Q484" s="180"/>
      <c r="R484" s="180"/>
      <c r="S484" s="184"/>
      <c r="T484" s="182"/>
      <c r="U484" s="182"/>
      <c r="V484" s="182"/>
      <c r="W484" s="182"/>
      <c r="X484" s="182"/>
    </row>
    <row r="485" spans="1:24">
      <c r="A485" s="182"/>
      <c r="B485" s="182"/>
      <c r="C485" s="182"/>
      <c r="D485" s="182"/>
      <c r="E485" s="182"/>
      <c r="F485" s="182"/>
      <c r="G485" s="182"/>
      <c r="H485" s="182"/>
      <c r="I485" s="182"/>
      <c r="J485" s="182"/>
      <c r="K485" s="182"/>
      <c r="L485" s="180"/>
      <c r="M485" s="182"/>
      <c r="N485" s="182"/>
      <c r="O485" s="182"/>
      <c r="P485" s="180"/>
      <c r="Q485" s="180"/>
      <c r="R485" s="180"/>
      <c r="S485" s="184"/>
      <c r="T485" s="182"/>
      <c r="U485" s="182"/>
      <c r="V485" s="182"/>
      <c r="W485" s="182"/>
      <c r="X485" s="182"/>
    </row>
    <row r="486" spans="1:24">
      <c r="A486" s="182"/>
      <c r="B486" s="182"/>
      <c r="C486" s="182"/>
      <c r="D486" s="182"/>
      <c r="E486" s="182"/>
      <c r="F486" s="182"/>
      <c r="G486" s="182"/>
      <c r="H486" s="182"/>
      <c r="I486" s="182"/>
      <c r="J486" s="182"/>
      <c r="K486" s="182"/>
      <c r="L486" s="180"/>
      <c r="M486" s="182"/>
      <c r="N486" s="182"/>
      <c r="O486" s="182"/>
      <c r="P486" s="180"/>
      <c r="Q486" s="180"/>
      <c r="R486" s="180"/>
      <c r="S486" s="184"/>
      <c r="T486" s="182"/>
      <c r="U486" s="182"/>
      <c r="V486" s="182"/>
      <c r="W486" s="182"/>
      <c r="X486" s="182"/>
    </row>
    <row r="487" spans="1:24">
      <c r="A487" s="182"/>
      <c r="B487" s="182"/>
      <c r="C487" s="182"/>
      <c r="D487" s="182"/>
      <c r="E487" s="182"/>
      <c r="F487" s="182"/>
      <c r="G487" s="182"/>
      <c r="H487" s="182"/>
      <c r="I487" s="182"/>
      <c r="J487" s="182"/>
      <c r="K487" s="182"/>
      <c r="L487" s="180"/>
      <c r="M487" s="182"/>
      <c r="N487" s="182"/>
      <c r="O487" s="182"/>
      <c r="P487" s="180"/>
      <c r="Q487" s="180"/>
      <c r="R487" s="180"/>
      <c r="S487" s="184"/>
      <c r="T487" s="182"/>
      <c r="U487" s="182"/>
      <c r="V487" s="182"/>
      <c r="W487" s="182"/>
      <c r="X487" s="182"/>
    </row>
    <row r="488" spans="1:24">
      <c r="A488" s="182"/>
      <c r="B488" s="182"/>
      <c r="C488" s="182"/>
      <c r="D488" s="182"/>
      <c r="E488" s="182"/>
      <c r="F488" s="182"/>
      <c r="G488" s="182"/>
      <c r="H488" s="182"/>
      <c r="I488" s="182"/>
      <c r="J488" s="182"/>
      <c r="K488" s="182"/>
      <c r="L488" s="180"/>
      <c r="M488" s="182"/>
      <c r="N488" s="182"/>
      <c r="O488" s="182"/>
      <c r="P488" s="180"/>
      <c r="Q488" s="180"/>
      <c r="R488" s="180"/>
      <c r="S488" s="184"/>
      <c r="T488" s="182"/>
      <c r="U488" s="182"/>
      <c r="V488" s="182"/>
      <c r="W488" s="182"/>
      <c r="X488" s="182"/>
    </row>
    <row r="489" spans="1:24">
      <c r="A489" s="182"/>
      <c r="B489" s="182"/>
      <c r="C489" s="182"/>
      <c r="D489" s="182"/>
      <c r="E489" s="182"/>
      <c r="F489" s="182"/>
      <c r="G489" s="182"/>
      <c r="H489" s="182"/>
      <c r="I489" s="182"/>
      <c r="J489" s="182"/>
      <c r="K489" s="182"/>
      <c r="L489" s="180"/>
      <c r="M489" s="182"/>
      <c r="N489" s="182"/>
      <c r="O489" s="182"/>
      <c r="P489" s="180"/>
      <c r="Q489" s="180"/>
      <c r="R489" s="180"/>
      <c r="S489" s="184"/>
      <c r="T489" s="182"/>
      <c r="U489" s="182"/>
      <c r="V489" s="182"/>
      <c r="W489" s="182"/>
      <c r="X489" s="182"/>
    </row>
    <row r="490" spans="1:24">
      <c r="A490" s="182"/>
      <c r="B490" s="182"/>
      <c r="C490" s="182"/>
      <c r="D490" s="182"/>
      <c r="E490" s="182"/>
      <c r="F490" s="182"/>
      <c r="G490" s="182"/>
      <c r="H490" s="182"/>
      <c r="I490" s="182"/>
      <c r="J490" s="182"/>
      <c r="K490" s="182"/>
      <c r="L490" s="180"/>
      <c r="M490" s="182"/>
      <c r="N490" s="182"/>
      <c r="O490" s="182"/>
      <c r="P490" s="180"/>
      <c r="Q490" s="180"/>
      <c r="R490" s="180"/>
      <c r="S490" s="184"/>
      <c r="T490" s="182"/>
      <c r="U490" s="182"/>
      <c r="V490" s="182"/>
      <c r="W490" s="182"/>
      <c r="X490" s="182"/>
    </row>
    <row r="491" spans="1:24">
      <c r="A491" s="182"/>
      <c r="B491" s="182"/>
      <c r="C491" s="182"/>
      <c r="D491" s="182"/>
      <c r="E491" s="182"/>
      <c r="F491" s="182"/>
      <c r="G491" s="182"/>
      <c r="H491" s="182"/>
      <c r="I491" s="182"/>
      <c r="J491" s="182"/>
      <c r="K491" s="182"/>
      <c r="L491" s="180"/>
      <c r="M491" s="182"/>
      <c r="N491" s="182"/>
      <c r="O491" s="182"/>
      <c r="P491" s="180"/>
      <c r="Q491" s="180"/>
      <c r="R491" s="180"/>
      <c r="S491" s="184"/>
      <c r="T491" s="182"/>
      <c r="U491" s="182"/>
      <c r="V491" s="182"/>
      <c r="W491" s="182"/>
      <c r="X491" s="182"/>
    </row>
    <row r="492" spans="1:24">
      <c r="A492" s="182"/>
      <c r="B492" s="182"/>
      <c r="C492" s="182"/>
      <c r="D492" s="182"/>
      <c r="E492" s="182"/>
      <c r="F492" s="182"/>
      <c r="G492" s="182"/>
      <c r="H492" s="182"/>
      <c r="I492" s="182"/>
      <c r="J492" s="182"/>
      <c r="K492" s="182"/>
      <c r="L492" s="180"/>
      <c r="M492" s="182"/>
      <c r="N492" s="182"/>
      <c r="O492" s="182"/>
      <c r="P492" s="180"/>
      <c r="Q492" s="180"/>
      <c r="R492" s="180"/>
      <c r="S492" s="184"/>
      <c r="T492" s="182"/>
      <c r="U492" s="182"/>
      <c r="V492" s="182"/>
      <c r="W492" s="182"/>
      <c r="X492" s="182"/>
    </row>
    <row r="493" spans="1:24">
      <c r="A493" s="182"/>
      <c r="B493" s="182"/>
      <c r="C493" s="182"/>
      <c r="D493" s="182"/>
      <c r="E493" s="182"/>
      <c r="F493" s="182"/>
      <c r="G493" s="182"/>
      <c r="H493" s="182"/>
      <c r="I493" s="182"/>
      <c r="J493" s="182"/>
      <c r="K493" s="182"/>
      <c r="L493" s="180"/>
      <c r="M493" s="182"/>
      <c r="N493" s="182"/>
      <c r="O493" s="182"/>
      <c r="P493" s="180"/>
      <c r="Q493" s="180"/>
      <c r="R493" s="180"/>
      <c r="S493" s="184"/>
      <c r="T493" s="182"/>
      <c r="U493" s="182"/>
      <c r="V493" s="182"/>
      <c r="W493" s="182"/>
      <c r="X493" s="182"/>
    </row>
    <row r="494" spans="1:24">
      <c r="A494" s="182"/>
      <c r="B494" s="182"/>
      <c r="C494" s="182"/>
      <c r="D494" s="182"/>
      <c r="E494" s="182"/>
      <c r="F494" s="182"/>
      <c r="G494" s="182"/>
      <c r="H494" s="182"/>
      <c r="I494" s="182"/>
      <c r="J494" s="182"/>
      <c r="K494" s="182"/>
      <c r="L494" s="180"/>
      <c r="M494" s="182"/>
      <c r="N494" s="182"/>
      <c r="O494" s="182"/>
      <c r="P494" s="180"/>
      <c r="Q494" s="180"/>
      <c r="R494" s="180"/>
      <c r="S494" s="184"/>
      <c r="T494" s="182"/>
      <c r="U494" s="182"/>
      <c r="V494" s="182"/>
      <c r="W494" s="182"/>
      <c r="X494" s="182"/>
    </row>
    <row r="495" spans="1:24">
      <c r="A495" s="182"/>
      <c r="B495" s="182"/>
      <c r="C495" s="182"/>
      <c r="D495" s="182"/>
      <c r="E495" s="182"/>
      <c r="F495" s="182"/>
      <c r="G495" s="182"/>
      <c r="H495" s="182"/>
      <c r="I495" s="182"/>
      <c r="J495" s="182"/>
      <c r="K495" s="182"/>
      <c r="L495" s="180"/>
      <c r="M495" s="182"/>
      <c r="N495" s="182"/>
      <c r="O495" s="182"/>
      <c r="P495" s="180"/>
      <c r="Q495" s="180"/>
      <c r="R495" s="180"/>
      <c r="S495" s="184"/>
      <c r="T495" s="182"/>
      <c r="U495" s="182"/>
      <c r="V495" s="182"/>
      <c r="W495" s="182"/>
      <c r="X495" s="182"/>
    </row>
    <row r="496" spans="1:24">
      <c r="A496" s="182"/>
      <c r="B496" s="182"/>
      <c r="C496" s="182"/>
      <c r="D496" s="182"/>
      <c r="E496" s="182"/>
      <c r="F496" s="182"/>
      <c r="G496" s="182"/>
      <c r="H496" s="182"/>
      <c r="I496" s="182"/>
      <c r="J496" s="182"/>
      <c r="K496" s="182"/>
      <c r="L496" s="180"/>
      <c r="M496" s="182"/>
      <c r="N496" s="182"/>
      <c r="O496" s="182"/>
      <c r="P496" s="180"/>
      <c r="Q496" s="180"/>
      <c r="R496" s="180"/>
      <c r="S496" s="184"/>
      <c r="T496" s="182"/>
      <c r="U496" s="182"/>
      <c r="V496" s="182"/>
      <c r="W496" s="182"/>
      <c r="X496" s="182"/>
    </row>
    <row r="497" spans="1:24">
      <c r="A497" s="182"/>
      <c r="B497" s="182"/>
      <c r="C497" s="182"/>
      <c r="D497" s="182"/>
      <c r="E497" s="182"/>
      <c r="F497" s="182"/>
      <c r="G497" s="182"/>
      <c r="H497" s="182"/>
      <c r="I497" s="182"/>
      <c r="J497" s="182"/>
      <c r="K497" s="182"/>
      <c r="L497" s="180"/>
      <c r="M497" s="182"/>
      <c r="N497" s="182"/>
      <c r="O497" s="182"/>
      <c r="P497" s="180"/>
      <c r="Q497" s="180"/>
      <c r="R497" s="180"/>
      <c r="S497" s="184"/>
      <c r="T497" s="182"/>
      <c r="U497" s="182"/>
      <c r="V497" s="182"/>
      <c r="W497" s="182"/>
      <c r="X497" s="182"/>
    </row>
    <row r="498" spans="1:24">
      <c r="A498" s="182"/>
      <c r="B498" s="182"/>
      <c r="C498" s="182"/>
      <c r="D498" s="182"/>
      <c r="E498" s="182"/>
      <c r="F498" s="182"/>
      <c r="G498" s="182"/>
      <c r="H498" s="182"/>
      <c r="I498" s="182"/>
      <c r="J498" s="182"/>
      <c r="K498" s="182"/>
      <c r="L498" s="180"/>
      <c r="M498" s="182"/>
      <c r="N498" s="182"/>
      <c r="O498" s="182"/>
      <c r="P498" s="180"/>
      <c r="Q498" s="180"/>
      <c r="R498" s="180"/>
      <c r="S498" s="184"/>
      <c r="T498" s="182"/>
      <c r="U498" s="182"/>
      <c r="V498" s="182"/>
      <c r="W498" s="182"/>
      <c r="X498" s="182"/>
    </row>
    <row r="499" spans="1:24">
      <c r="A499" s="182"/>
      <c r="B499" s="182"/>
      <c r="C499" s="182"/>
      <c r="D499" s="182"/>
      <c r="E499" s="182"/>
      <c r="F499" s="182"/>
      <c r="G499" s="182"/>
      <c r="H499" s="182"/>
      <c r="I499" s="182"/>
      <c r="J499" s="182"/>
      <c r="K499" s="182"/>
      <c r="L499" s="180"/>
      <c r="M499" s="182"/>
      <c r="N499" s="182"/>
      <c r="O499" s="182"/>
      <c r="P499" s="180"/>
      <c r="Q499" s="180"/>
      <c r="R499" s="180"/>
      <c r="S499" s="184"/>
      <c r="T499" s="182"/>
      <c r="U499" s="182"/>
      <c r="V499" s="182"/>
      <c r="W499" s="182"/>
      <c r="X499" s="182"/>
    </row>
    <row r="500" spans="1:24">
      <c r="A500" s="182"/>
      <c r="B500" s="182"/>
      <c r="C500" s="182"/>
      <c r="D500" s="182"/>
      <c r="E500" s="182"/>
      <c r="F500" s="182"/>
      <c r="G500" s="182"/>
      <c r="H500" s="182"/>
      <c r="I500" s="182"/>
      <c r="J500" s="182"/>
      <c r="K500" s="182"/>
      <c r="L500" s="180"/>
      <c r="M500" s="182"/>
      <c r="N500" s="182"/>
      <c r="O500" s="182"/>
      <c r="P500" s="180"/>
      <c r="Q500" s="180"/>
      <c r="R500" s="180"/>
      <c r="S500" s="184"/>
      <c r="T500" s="182"/>
      <c r="U500" s="182"/>
      <c r="V500" s="182"/>
      <c r="W500" s="182"/>
      <c r="X500" s="182"/>
    </row>
    <row r="501" spans="1:24">
      <c r="A501" s="182"/>
      <c r="B501" s="182"/>
      <c r="C501" s="182"/>
      <c r="D501" s="182"/>
      <c r="E501" s="182"/>
      <c r="F501" s="182"/>
      <c r="G501" s="182"/>
      <c r="H501" s="182"/>
      <c r="I501" s="182"/>
      <c r="J501" s="182"/>
      <c r="K501" s="182"/>
      <c r="L501" s="180"/>
      <c r="M501" s="182"/>
      <c r="N501" s="182"/>
      <c r="O501" s="182"/>
      <c r="P501" s="180"/>
      <c r="Q501" s="180"/>
      <c r="R501" s="180"/>
      <c r="S501" s="184"/>
      <c r="T501" s="182"/>
      <c r="U501" s="182"/>
      <c r="V501" s="182"/>
      <c r="W501" s="182"/>
      <c r="X501" s="182"/>
    </row>
    <row r="502" spans="1:24">
      <c r="A502" s="182"/>
      <c r="B502" s="182"/>
      <c r="C502" s="182"/>
      <c r="D502" s="182"/>
      <c r="E502" s="182"/>
      <c r="F502" s="182"/>
      <c r="G502" s="182"/>
      <c r="H502" s="182"/>
      <c r="I502" s="182"/>
      <c r="J502" s="182"/>
      <c r="K502" s="182"/>
      <c r="L502" s="180"/>
      <c r="M502" s="182"/>
      <c r="N502" s="182"/>
      <c r="O502" s="182"/>
      <c r="P502" s="180"/>
      <c r="Q502" s="180"/>
      <c r="R502" s="180"/>
      <c r="S502" s="184"/>
      <c r="T502" s="182"/>
      <c r="U502" s="182"/>
      <c r="V502" s="182"/>
      <c r="W502" s="182"/>
      <c r="X502" s="182"/>
    </row>
    <row r="503" spans="1:24">
      <c r="A503" s="182"/>
      <c r="B503" s="182"/>
      <c r="C503" s="182"/>
      <c r="D503" s="182"/>
      <c r="E503" s="182"/>
      <c r="F503" s="182"/>
      <c r="G503" s="182"/>
      <c r="H503" s="182"/>
      <c r="I503" s="182"/>
      <c r="J503" s="182"/>
      <c r="K503" s="182"/>
      <c r="L503" s="180"/>
      <c r="M503" s="182"/>
      <c r="N503" s="182"/>
      <c r="O503" s="182"/>
      <c r="P503" s="180"/>
      <c r="Q503" s="180"/>
      <c r="R503" s="180"/>
      <c r="S503" s="184"/>
      <c r="T503" s="182"/>
      <c r="U503" s="182"/>
      <c r="V503" s="182"/>
      <c r="W503" s="182"/>
      <c r="X503" s="182"/>
    </row>
    <row r="504" spans="1:24">
      <c r="A504" s="182"/>
      <c r="B504" s="182"/>
      <c r="C504" s="182"/>
      <c r="D504" s="182"/>
      <c r="E504" s="182"/>
      <c r="F504" s="182"/>
      <c r="G504" s="182"/>
      <c r="H504" s="182"/>
      <c r="I504" s="182"/>
      <c r="J504" s="182"/>
      <c r="K504" s="182"/>
      <c r="L504" s="180"/>
      <c r="M504" s="182"/>
      <c r="N504" s="182"/>
      <c r="O504" s="182"/>
      <c r="P504" s="180"/>
      <c r="Q504" s="180"/>
      <c r="R504" s="180"/>
      <c r="S504" s="184"/>
      <c r="T504" s="182"/>
      <c r="U504" s="182"/>
      <c r="V504" s="182"/>
      <c r="W504" s="182"/>
      <c r="X504" s="182"/>
    </row>
    <row r="505" spans="1:24">
      <c r="A505" s="182"/>
      <c r="B505" s="182"/>
      <c r="C505" s="182"/>
      <c r="D505" s="182"/>
      <c r="E505" s="182"/>
      <c r="F505" s="182"/>
      <c r="G505" s="182"/>
      <c r="H505" s="182"/>
      <c r="I505" s="182"/>
      <c r="J505" s="182"/>
      <c r="K505" s="182"/>
      <c r="L505" s="180"/>
      <c r="M505" s="182"/>
      <c r="N505" s="182"/>
      <c r="O505" s="182"/>
      <c r="P505" s="180"/>
      <c r="Q505" s="180"/>
      <c r="R505" s="180"/>
      <c r="S505" s="184"/>
      <c r="T505" s="182"/>
      <c r="U505" s="182"/>
      <c r="V505" s="182"/>
      <c r="W505" s="182"/>
      <c r="X505" s="182"/>
    </row>
    <row r="506" spans="1:24">
      <c r="A506" s="182"/>
      <c r="B506" s="182"/>
      <c r="C506" s="182"/>
      <c r="D506" s="182"/>
      <c r="E506" s="182"/>
      <c r="F506" s="182"/>
      <c r="G506" s="182"/>
      <c r="H506" s="182"/>
      <c r="I506" s="182"/>
      <c r="J506" s="182"/>
      <c r="K506" s="182"/>
      <c r="L506" s="180"/>
      <c r="M506" s="182"/>
      <c r="N506" s="182"/>
      <c r="O506" s="182"/>
      <c r="P506" s="180"/>
      <c r="Q506" s="180"/>
      <c r="R506" s="180"/>
      <c r="S506" s="184"/>
      <c r="T506" s="182"/>
      <c r="U506" s="182"/>
      <c r="V506" s="182"/>
      <c r="W506" s="182"/>
      <c r="X506" s="182"/>
    </row>
    <row r="507" spans="1:24">
      <c r="A507" s="182"/>
      <c r="B507" s="182"/>
      <c r="C507" s="182"/>
      <c r="D507" s="182"/>
      <c r="E507" s="182"/>
      <c r="F507" s="182"/>
      <c r="G507" s="182"/>
      <c r="H507" s="182"/>
      <c r="I507" s="182"/>
      <c r="J507" s="182"/>
      <c r="K507" s="182"/>
      <c r="L507" s="180"/>
      <c r="M507" s="182"/>
      <c r="N507" s="182"/>
      <c r="O507" s="182"/>
      <c r="P507" s="180"/>
      <c r="Q507" s="180"/>
      <c r="R507" s="180"/>
      <c r="S507" s="184"/>
      <c r="T507" s="182"/>
      <c r="U507" s="182"/>
      <c r="V507" s="182"/>
      <c r="W507" s="182"/>
      <c r="X507" s="182"/>
    </row>
    <row r="508" spans="1:24">
      <c r="A508" s="182"/>
      <c r="B508" s="182"/>
      <c r="C508" s="182"/>
      <c r="D508" s="182"/>
      <c r="E508" s="182"/>
      <c r="F508" s="182"/>
      <c r="G508" s="182"/>
      <c r="H508" s="182"/>
      <c r="I508" s="182"/>
      <c r="J508" s="182"/>
      <c r="K508" s="182"/>
      <c r="L508" s="180"/>
      <c r="M508" s="182"/>
      <c r="N508" s="182"/>
      <c r="O508" s="182"/>
      <c r="P508" s="180"/>
      <c r="Q508" s="180"/>
      <c r="R508" s="180"/>
      <c r="S508" s="184"/>
      <c r="T508" s="182"/>
      <c r="U508" s="182"/>
      <c r="V508" s="182"/>
      <c r="W508" s="182"/>
      <c r="X508" s="182"/>
    </row>
    <row r="509" spans="1:24">
      <c r="A509" s="182"/>
      <c r="B509" s="182"/>
      <c r="C509" s="182"/>
      <c r="D509" s="182"/>
      <c r="E509" s="182"/>
      <c r="F509" s="182"/>
      <c r="G509" s="182"/>
      <c r="H509" s="182"/>
      <c r="I509" s="182"/>
      <c r="J509" s="182"/>
      <c r="K509" s="182"/>
      <c r="L509" s="180"/>
      <c r="M509" s="182"/>
      <c r="N509" s="182"/>
      <c r="O509" s="182"/>
      <c r="P509" s="180"/>
      <c r="Q509" s="180"/>
      <c r="R509" s="180"/>
      <c r="S509" s="184"/>
      <c r="T509" s="182"/>
      <c r="U509" s="182"/>
      <c r="V509" s="182"/>
      <c r="W509" s="182"/>
      <c r="X509" s="182"/>
    </row>
    <row r="510" spans="1:24">
      <c r="A510" s="182"/>
      <c r="B510" s="182"/>
      <c r="C510" s="182"/>
      <c r="D510" s="182"/>
      <c r="E510" s="182"/>
      <c r="F510" s="182"/>
      <c r="G510" s="182"/>
      <c r="H510" s="182"/>
      <c r="I510" s="182"/>
      <c r="J510" s="182"/>
      <c r="K510" s="182"/>
      <c r="L510" s="180"/>
      <c r="M510" s="182"/>
      <c r="N510" s="182"/>
      <c r="O510" s="182"/>
      <c r="P510" s="180"/>
      <c r="Q510" s="180"/>
      <c r="R510" s="180"/>
      <c r="S510" s="184"/>
      <c r="T510" s="182"/>
      <c r="U510" s="182"/>
      <c r="V510" s="182"/>
      <c r="W510" s="182"/>
      <c r="X510" s="182"/>
    </row>
    <row r="511" spans="1:24">
      <c r="A511" s="182"/>
      <c r="B511" s="182"/>
      <c r="C511" s="182"/>
      <c r="D511" s="182"/>
      <c r="E511" s="182"/>
      <c r="F511" s="182"/>
      <c r="G511" s="182"/>
      <c r="H511" s="182"/>
      <c r="I511" s="182"/>
      <c r="J511" s="182"/>
      <c r="K511" s="182"/>
      <c r="L511" s="180"/>
      <c r="M511" s="182"/>
      <c r="N511" s="182"/>
      <c r="O511" s="182"/>
      <c r="P511" s="180"/>
      <c r="Q511" s="180"/>
      <c r="R511" s="180"/>
      <c r="S511" s="184"/>
      <c r="T511" s="182"/>
      <c r="U511" s="182"/>
      <c r="V511" s="182"/>
      <c r="W511" s="182"/>
      <c r="X511" s="182"/>
    </row>
    <row r="512" spans="1:24">
      <c r="A512" s="182"/>
      <c r="B512" s="182"/>
      <c r="C512" s="182"/>
      <c r="D512" s="182"/>
      <c r="E512" s="182"/>
      <c r="F512" s="182"/>
      <c r="G512" s="182"/>
      <c r="H512" s="182"/>
      <c r="I512" s="182"/>
      <c r="J512" s="182"/>
      <c r="K512" s="182"/>
      <c r="L512" s="180"/>
      <c r="M512" s="182"/>
      <c r="N512" s="182"/>
      <c r="O512" s="182"/>
      <c r="P512" s="180"/>
      <c r="Q512" s="180"/>
      <c r="R512" s="180"/>
      <c r="S512" s="184"/>
      <c r="T512" s="182"/>
      <c r="U512" s="182"/>
      <c r="V512" s="182"/>
      <c r="W512" s="182"/>
      <c r="X512" s="182"/>
    </row>
    <row r="513" spans="1:24">
      <c r="A513" s="182"/>
      <c r="B513" s="182"/>
      <c r="C513" s="182"/>
      <c r="D513" s="182"/>
      <c r="E513" s="182"/>
      <c r="F513" s="182"/>
      <c r="G513" s="182"/>
      <c r="H513" s="182"/>
      <c r="I513" s="182"/>
      <c r="J513" s="182"/>
      <c r="K513" s="182"/>
      <c r="L513" s="180"/>
      <c r="M513" s="182"/>
      <c r="N513" s="182"/>
      <c r="O513" s="182"/>
      <c r="P513" s="180"/>
      <c r="Q513" s="180"/>
      <c r="R513" s="180"/>
      <c r="S513" s="184"/>
      <c r="T513" s="182"/>
      <c r="U513" s="182"/>
      <c r="V513" s="182"/>
      <c r="W513" s="182"/>
      <c r="X513" s="182"/>
    </row>
    <row r="514" spans="1:24">
      <c r="A514" s="182"/>
      <c r="B514" s="182"/>
      <c r="C514" s="182"/>
      <c r="D514" s="182"/>
      <c r="E514" s="182"/>
      <c r="F514" s="182"/>
      <c r="G514" s="182"/>
      <c r="H514" s="182"/>
      <c r="I514" s="182"/>
      <c r="J514" s="182"/>
      <c r="K514" s="182"/>
      <c r="L514" s="180"/>
      <c r="M514" s="182"/>
      <c r="N514" s="182"/>
      <c r="O514" s="182"/>
      <c r="P514" s="180"/>
      <c r="Q514" s="180"/>
      <c r="R514" s="180"/>
      <c r="S514" s="184"/>
      <c r="T514" s="182"/>
      <c r="U514" s="182"/>
      <c r="V514" s="182"/>
      <c r="W514" s="182"/>
      <c r="X514" s="182"/>
    </row>
    <row r="515" spans="1:24">
      <c r="A515" s="182"/>
      <c r="B515" s="182"/>
      <c r="C515" s="182"/>
      <c r="D515" s="182"/>
      <c r="E515" s="182"/>
      <c r="F515" s="182"/>
      <c r="G515" s="182"/>
      <c r="H515" s="182"/>
      <c r="I515" s="182"/>
      <c r="J515" s="182"/>
      <c r="K515" s="182"/>
      <c r="L515" s="180"/>
      <c r="M515" s="182"/>
      <c r="N515" s="182"/>
      <c r="O515" s="182"/>
      <c r="P515" s="180"/>
      <c r="Q515" s="180"/>
      <c r="R515" s="180"/>
      <c r="S515" s="184"/>
      <c r="T515" s="182"/>
      <c r="U515" s="182"/>
      <c r="V515" s="182"/>
      <c r="W515" s="182"/>
      <c r="X515" s="182"/>
    </row>
    <row r="516" spans="1:24">
      <c r="A516" s="182"/>
      <c r="B516" s="182"/>
      <c r="C516" s="182"/>
      <c r="D516" s="182"/>
      <c r="E516" s="182"/>
      <c r="F516" s="182"/>
      <c r="G516" s="182"/>
      <c r="H516" s="182"/>
      <c r="I516" s="182"/>
      <c r="J516" s="182"/>
      <c r="K516" s="182"/>
      <c r="L516" s="180"/>
      <c r="M516" s="182"/>
      <c r="N516" s="182"/>
      <c r="O516" s="182"/>
      <c r="P516" s="180"/>
      <c r="Q516" s="180"/>
      <c r="R516" s="180"/>
      <c r="S516" s="184"/>
      <c r="T516" s="182"/>
      <c r="U516" s="182"/>
      <c r="V516" s="182"/>
      <c r="W516" s="182"/>
      <c r="X516" s="182"/>
    </row>
    <row r="517" spans="1:24">
      <c r="A517" s="182"/>
      <c r="B517" s="182"/>
      <c r="C517" s="182"/>
      <c r="D517" s="182"/>
      <c r="E517" s="182"/>
      <c r="F517" s="182"/>
      <c r="G517" s="182"/>
      <c r="H517" s="182"/>
      <c r="I517" s="182"/>
      <c r="J517" s="182"/>
      <c r="K517" s="182"/>
      <c r="L517" s="180"/>
      <c r="M517" s="182"/>
      <c r="N517" s="182"/>
      <c r="O517" s="182"/>
      <c r="P517" s="180"/>
      <c r="Q517" s="180"/>
      <c r="R517" s="180"/>
      <c r="S517" s="184"/>
      <c r="T517" s="182"/>
      <c r="U517" s="182"/>
      <c r="V517" s="182"/>
      <c r="W517" s="182"/>
      <c r="X517" s="182"/>
    </row>
    <row r="518" spans="1:24">
      <c r="A518" s="182"/>
      <c r="B518" s="182"/>
      <c r="C518" s="182"/>
      <c r="D518" s="182"/>
      <c r="E518" s="182"/>
      <c r="F518" s="182"/>
      <c r="G518" s="182"/>
      <c r="H518" s="182"/>
      <c r="I518" s="182"/>
      <c r="J518" s="182"/>
      <c r="K518" s="182"/>
      <c r="L518" s="180"/>
      <c r="M518" s="182"/>
      <c r="N518" s="182"/>
      <c r="O518" s="182"/>
      <c r="P518" s="180"/>
      <c r="Q518" s="180"/>
      <c r="R518" s="180"/>
      <c r="S518" s="184"/>
      <c r="T518" s="182"/>
      <c r="U518" s="182"/>
      <c r="V518" s="182"/>
      <c r="W518" s="182"/>
      <c r="X518" s="182"/>
    </row>
    <row r="519" spans="1:24">
      <c r="A519" s="182"/>
      <c r="B519" s="182"/>
      <c r="C519" s="182"/>
      <c r="D519" s="182"/>
      <c r="E519" s="182"/>
      <c r="F519" s="182"/>
      <c r="G519" s="182"/>
      <c r="H519" s="182"/>
      <c r="I519" s="182"/>
      <c r="J519" s="182"/>
      <c r="K519" s="182"/>
      <c r="L519" s="180"/>
      <c r="M519" s="182"/>
      <c r="N519" s="182"/>
      <c r="O519" s="182"/>
      <c r="P519" s="180"/>
      <c r="Q519" s="180"/>
      <c r="R519" s="180"/>
      <c r="S519" s="184"/>
      <c r="T519" s="182"/>
      <c r="U519" s="182"/>
      <c r="V519" s="182"/>
      <c r="W519" s="182"/>
      <c r="X519" s="182"/>
    </row>
    <row r="520" spans="1:24">
      <c r="A520" s="182"/>
      <c r="B520" s="182"/>
      <c r="C520" s="182"/>
      <c r="D520" s="182"/>
      <c r="E520" s="182"/>
      <c r="F520" s="182"/>
      <c r="G520" s="182"/>
      <c r="H520" s="182"/>
      <c r="I520" s="182"/>
      <c r="J520" s="182"/>
      <c r="K520" s="182"/>
      <c r="L520" s="180"/>
      <c r="M520" s="182"/>
      <c r="N520" s="182"/>
      <c r="O520" s="182"/>
      <c r="P520" s="180"/>
      <c r="Q520" s="180"/>
      <c r="R520" s="180"/>
      <c r="S520" s="184"/>
      <c r="T520" s="182"/>
      <c r="U520" s="182"/>
      <c r="V520" s="182"/>
      <c r="W520" s="182"/>
      <c r="X520" s="182"/>
    </row>
    <row r="521" spans="1:24">
      <c r="A521" s="182"/>
      <c r="B521" s="182"/>
      <c r="C521" s="182"/>
      <c r="D521" s="182"/>
      <c r="E521" s="182"/>
      <c r="F521" s="182"/>
      <c r="G521" s="182"/>
      <c r="H521" s="182"/>
      <c r="I521" s="182"/>
      <c r="J521" s="182"/>
      <c r="K521" s="182"/>
      <c r="L521" s="180"/>
      <c r="M521" s="182"/>
      <c r="N521" s="182"/>
      <c r="O521" s="182"/>
      <c r="P521" s="180"/>
      <c r="Q521" s="180"/>
      <c r="R521" s="180"/>
      <c r="S521" s="184"/>
      <c r="T521" s="182"/>
      <c r="U521" s="182"/>
      <c r="V521" s="182"/>
      <c r="W521" s="182"/>
      <c r="X521" s="182"/>
    </row>
    <row r="522" spans="1:24">
      <c r="A522" s="182"/>
      <c r="B522" s="182"/>
      <c r="C522" s="182"/>
      <c r="D522" s="182"/>
      <c r="E522" s="182"/>
      <c r="F522" s="182"/>
      <c r="G522" s="182"/>
      <c r="H522" s="182"/>
      <c r="I522" s="182"/>
      <c r="J522" s="182"/>
      <c r="K522" s="182"/>
      <c r="L522" s="180"/>
      <c r="M522" s="182"/>
      <c r="N522" s="182"/>
      <c r="O522" s="182"/>
      <c r="P522" s="180"/>
      <c r="Q522" s="180"/>
      <c r="R522" s="180"/>
      <c r="S522" s="184"/>
      <c r="T522" s="182"/>
      <c r="U522" s="182"/>
      <c r="V522" s="182"/>
      <c r="W522" s="182"/>
      <c r="X522" s="182"/>
    </row>
    <row r="523" spans="1:24">
      <c r="A523" s="182"/>
      <c r="B523" s="182"/>
      <c r="C523" s="182"/>
      <c r="D523" s="182"/>
      <c r="E523" s="182"/>
      <c r="F523" s="182"/>
      <c r="G523" s="182"/>
      <c r="H523" s="182"/>
      <c r="I523" s="182"/>
      <c r="J523" s="182"/>
      <c r="K523" s="182"/>
      <c r="L523" s="180"/>
      <c r="M523" s="182"/>
      <c r="N523" s="182"/>
      <c r="O523" s="182"/>
      <c r="P523" s="180"/>
      <c r="Q523" s="180"/>
      <c r="R523" s="180"/>
      <c r="S523" s="184"/>
      <c r="T523" s="182"/>
      <c r="U523" s="182"/>
      <c r="V523" s="182"/>
      <c r="W523" s="182"/>
      <c r="X523" s="182"/>
    </row>
    <row r="524" spans="1:24">
      <c r="A524" s="182"/>
      <c r="B524" s="182"/>
      <c r="C524" s="182"/>
      <c r="D524" s="182"/>
      <c r="E524" s="182"/>
      <c r="F524" s="182"/>
      <c r="G524" s="182"/>
      <c r="H524" s="182"/>
      <c r="I524" s="182"/>
      <c r="J524" s="182"/>
      <c r="K524" s="182"/>
      <c r="L524" s="180"/>
      <c r="M524" s="182"/>
      <c r="N524" s="182"/>
      <c r="O524" s="182"/>
      <c r="P524" s="180"/>
      <c r="Q524" s="180"/>
      <c r="R524" s="180"/>
      <c r="S524" s="184"/>
      <c r="T524" s="182"/>
      <c r="U524" s="182"/>
      <c r="V524" s="182"/>
      <c r="W524" s="182"/>
      <c r="X524" s="182"/>
    </row>
    <row r="525" spans="1:24">
      <c r="A525" s="182"/>
      <c r="B525" s="182"/>
      <c r="C525" s="182"/>
      <c r="D525" s="182"/>
      <c r="E525" s="182"/>
      <c r="F525" s="182"/>
      <c r="G525" s="182"/>
      <c r="H525" s="182"/>
      <c r="I525" s="182"/>
      <c r="J525" s="182"/>
      <c r="K525" s="182"/>
      <c r="L525" s="180"/>
      <c r="M525" s="182"/>
      <c r="N525" s="182"/>
      <c r="O525" s="182"/>
      <c r="P525" s="180"/>
      <c r="Q525" s="180"/>
      <c r="R525" s="180"/>
      <c r="S525" s="184"/>
      <c r="T525" s="182"/>
      <c r="U525" s="182"/>
      <c r="V525" s="182"/>
      <c r="W525" s="182"/>
      <c r="X525" s="182"/>
    </row>
    <row r="526" spans="1:24">
      <c r="A526" s="182"/>
      <c r="B526" s="182"/>
      <c r="C526" s="182"/>
      <c r="D526" s="182"/>
      <c r="E526" s="182"/>
      <c r="F526" s="182"/>
      <c r="G526" s="182"/>
      <c r="H526" s="182"/>
      <c r="I526" s="182"/>
      <c r="J526" s="182"/>
      <c r="K526" s="182"/>
      <c r="L526" s="180"/>
      <c r="M526" s="182"/>
      <c r="N526" s="182"/>
      <c r="O526" s="182"/>
      <c r="P526" s="180"/>
      <c r="Q526" s="180"/>
      <c r="R526" s="180"/>
      <c r="S526" s="184"/>
      <c r="T526" s="182"/>
      <c r="U526" s="182"/>
      <c r="V526" s="182"/>
      <c r="W526" s="182"/>
      <c r="X526" s="182"/>
    </row>
    <row r="527" spans="1:24">
      <c r="A527" s="182"/>
      <c r="B527" s="182"/>
      <c r="C527" s="182"/>
      <c r="D527" s="182"/>
      <c r="E527" s="182"/>
      <c r="F527" s="182"/>
      <c r="G527" s="182"/>
      <c r="H527" s="182"/>
      <c r="I527" s="182"/>
      <c r="J527" s="182"/>
      <c r="K527" s="182"/>
      <c r="L527" s="180"/>
      <c r="M527" s="182"/>
      <c r="N527" s="182"/>
      <c r="O527" s="182"/>
      <c r="P527" s="180"/>
      <c r="Q527" s="180"/>
      <c r="R527" s="180"/>
      <c r="S527" s="184"/>
      <c r="T527" s="182"/>
      <c r="U527" s="182"/>
      <c r="V527" s="182"/>
      <c r="W527" s="182"/>
      <c r="X527" s="182"/>
    </row>
    <row r="528" spans="1:24">
      <c r="A528" s="182"/>
      <c r="B528" s="182"/>
      <c r="C528" s="182"/>
      <c r="D528" s="182"/>
      <c r="E528" s="182"/>
      <c r="F528" s="182"/>
      <c r="G528" s="182"/>
      <c r="H528" s="182"/>
      <c r="I528" s="182"/>
      <c r="J528" s="182"/>
      <c r="K528" s="182"/>
      <c r="L528" s="180"/>
      <c r="M528" s="182"/>
      <c r="N528" s="182"/>
      <c r="O528" s="182"/>
      <c r="P528" s="180"/>
      <c r="Q528" s="180"/>
      <c r="R528" s="180"/>
      <c r="S528" s="184"/>
      <c r="T528" s="182"/>
      <c r="U528" s="182"/>
      <c r="V528" s="182"/>
      <c r="W528" s="182"/>
      <c r="X528" s="182"/>
    </row>
    <row r="529" spans="1:24">
      <c r="A529" s="182"/>
      <c r="B529" s="182"/>
      <c r="C529" s="182"/>
      <c r="D529" s="182"/>
      <c r="E529" s="182"/>
      <c r="F529" s="182"/>
      <c r="G529" s="182"/>
      <c r="H529" s="182"/>
      <c r="I529" s="182"/>
      <c r="J529" s="182"/>
      <c r="K529" s="182"/>
      <c r="L529" s="180"/>
      <c r="M529" s="182"/>
      <c r="N529" s="182"/>
      <c r="O529" s="182"/>
      <c r="P529" s="180"/>
      <c r="Q529" s="180"/>
      <c r="R529" s="180"/>
      <c r="S529" s="184"/>
      <c r="T529" s="182"/>
      <c r="U529" s="182"/>
      <c r="V529" s="182"/>
      <c r="W529" s="182"/>
      <c r="X529" s="182"/>
    </row>
    <row r="530" spans="1:24">
      <c r="A530" s="182"/>
      <c r="B530" s="182"/>
      <c r="C530" s="182"/>
      <c r="D530" s="182"/>
      <c r="E530" s="182"/>
      <c r="F530" s="182"/>
      <c r="G530" s="182"/>
      <c r="H530" s="182"/>
      <c r="I530" s="182"/>
      <c r="J530" s="182"/>
      <c r="K530" s="182"/>
      <c r="L530" s="180"/>
      <c r="M530" s="182"/>
      <c r="N530" s="182"/>
      <c r="O530" s="182"/>
      <c r="P530" s="180"/>
      <c r="Q530" s="180"/>
      <c r="R530" s="180"/>
      <c r="S530" s="184"/>
      <c r="T530" s="182"/>
      <c r="U530" s="182"/>
      <c r="V530" s="182"/>
      <c r="W530" s="182"/>
      <c r="X530" s="182"/>
    </row>
    <row r="531" spans="1:24">
      <c r="A531" s="182"/>
      <c r="B531" s="182"/>
      <c r="C531" s="182"/>
      <c r="D531" s="182"/>
      <c r="E531" s="182"/>
      <c r="F531" s="182"/>
      <c r="G531" s="182"/>
      <c r="H531" s="182"/>
      <c r="I531" s="182"/>
      <c r="J531" s="182"/>
      <c r="K531" s="182"/>
      <c r="L531" s="180"/>
      <c r="M531" s="182"/>
      <c r="N531" s="182"/>
      <c r="O531" s="182"/>
      <c r="P531" s="180"/>
      <c r="Q531" s="180"/>
      <c r="R531" s="180"/>
      <c r="S531" s="184"/>
      <c r="T531" s="182"/>
      <c r="U531" s="182"/>
      <c r="V531" s="182"/>
      <c r="W531" s="182"/>
      <c r="X531" s="182"/>
    </row>
    <row r="532" spans="1:24">
      <c r="A532" s="182"/>
      <c r="B532" s="182"/>
      <c r="C532" s="182"/>
      <c r="D532" s="182"/>
      <c r="E532" s="182"/>
      <c r="F532" s="182"/>
      <c r="G532" s="182"/>
      <c r="H532" s="182"/>
      <c r="I532" s="182"/>
      <c r="J532" s="182"/>
      <c r="K532" s="182"/>
      <c r="L532" s="180"/>
      <c r="M532" s="182"/>
      <c r="N532" s="182"/>
      <c r="O532" s="182"/>
      <c r="P532" s="180"/>
      <c r="Q532" s="180"/>
      <c r="R532" s="180"/>
      <c r="S532" s="184"/>
      <c r="T532" s="182"/>
      <c r="U532" s="182"/>
      <c r="V532" s="182"/>
      <c r="W532" s="182"/>
      <c r="X532" s="182"/>
    </row>
    <row r="533" spans="1:24">
      <c r="A533" s="182"/>
      <c r="B533" s="182"/>
      <c r="C533" s="182"/>
      <c r="D533" s="182"/>
      <c r="E533" s="182"/>
      <c r="F533" s="182"/>
      <c r="G533" s="182"/>
      <c r="H533" s="182"/>
      <c r="I533" s="182"/>
      <c r="J533" s="182"/>
      <c r="K533" s="182"/>
      <c r="L533" s="180"/>
      <c r="M533" s="182"/>
      <c r="N533" s="182"/>
      <c r="O533" s="182"/>
      <c r="P533" s="180"/>
      <c r="Q533" s="180"/>
      <c r="R533" s="180"/>
      <c r="S533" s="184"/>
      <c r="T533" s="182"/>
      <c r="U533" s="182"/>
      <c r="V533" s="182"/>
      <c r="W533" s="182"/>
      <c r="X533" s="182"/>
    </row>
    <row r="534" spans="1:24">
      <c r="A534" s="182"/>
      <c r="B534" s="182"/>
      <c r="C534" s="182"/>
      <c r="D534" s="182"/>
      <c r="E534" s="182"/>
      <c r="F534" s="182"/>
      <c r="G534" s="182"/>
      <c r="H534" s="182"/>
      <c r="I534" s="182"/>
      <c r="J534" s="182"/>
      <c r="K534" s="182"/>
      <c r="L534" s="180"/>
      <c r="M534" s="182"/>
      <c r="N534" s="182"/>
      <c r="O534" s="182"/>
      <c r="P534" s="180"/>
      <c r="Q534" s="180"/>
      <c r="R534" s="180"/>
      <c r="S534" s="184"/>
      <c r="T534" s="182"/>
      <c r="U534" s="182"/>
      <c r="V534" s="182"/>
      <c r="W534" s="182"/>
      <c r="X534" s="182"/>
    </row>
    <row r="535" spans="1:24">
      <c r="A535" s="182"/>
      <c r="B535" s="182"/>
      <c r="C535" s="182"/>
      <c r="D535" s="182"/>
      <c r="E535" s="182"/>
      <c r="F535" s="182"/>
      <c r="G535" s="182"/>
      <c r="H535" s="182"/>
      <c r="I535" s="182"/>
      <c r="J535" s="182"/>
      <c r="K535" s="182"/>
      <c r="L535" s="180"/>
      <c r="M535" s="182"/>
      <c r="N535" s="182"/>
      <c r="O535" s="182"/>
      <c r="P535" s="180"/>
      <c r="Q535" s="180"/>
      <c r="R535" s="180"/>
      <c r="S535" s="184"/>
      <c r="T535" s="182"/>
      <c r="U535" s="182"/>
      <c r="V535" s="182"/>
      <c r="W535" s="182"/>
      <c r="X535" s="182"/>
    </row>
    <row r="536" spans="1:24">
      <c r="A536" s="182"/>
      <c r="B536" s="182"/>
      <c r="C536" s="182"/>
      <c r="D536" s="182"/>
      <c r="E536" s="182"/>
      <c r="F536" s="182"/>
      <c r="G536" s="182"/>
      <c r="H536" s="182"/>
      <c r="I536" s="182"/>
      <c r="J536" s="182"/>
      <c r="K536" s="182"/>
      <c r="L536" s="180"/>
      <c r="M536" s="182"/>
      <c r="N536" s="182"/>
      <c r="O536" s="182"/>
      <c r="P536" s="180"/>
      <c r="Q536" s="180"/>
      <c r="R536" s="180"/>
      <c r="S536" s="184"/>
      <c r="T536" s="182"/>
      <c r="U536" s="182"/>
      <c r="V536" s="182"/>
      <c r="W536" s="182"/>
      <c r="X536" s="182"/>
    </row>
    <row r="537" spans="1:24">
      <c r="A537" s="182"/>
      <c r="B537" s="182"/>
      <c r="C537" s="182"/>
      <c r="D537" s="182"/>
      <c r="E537" s="182"/>
      <c r="F537" s="182"/>
      <c r="G537" s="182"/>
      <c r="H537" s="182"/>
      <c r="I537" s="182"/>
      <c r="J537" s="182"/>
      <c r="K537" s="182"/>
      <c r="L537" s="180"/>
      <c r="M537" s="182"/>
      <c r="N537" s="182"/>
      <c r="O537" s="182"/>
      <c r="P537" s="180"/>
      <c r="Q537" s="180"/>
      <c r="R537" s="180"/>
      <c r="S537" s="184"/>
      <c r="T537" s="182"/>
      <c r="U537" s="182"/>
      <c r="V537" s="182"/>
      <c r="W537" s="182"/>
      <c r="X537" s="182"/>
    </row>
    <row r="538" spans="1:24">
      <c r="A538" s="182"/>
      <c r="B538" s="182"/>
      <c r="C538" s="182"/>
      <c r="D538" s="182"/>
      <c r="E538" s="182"/>
      <c r="F538" s="182"/>
      <c r="G538" s="182"/>
      <c r="H538" s="182"/>
      <c r="I538" s="182"/>
      <c r="J538" s="182"/>
      <c r="K538" s="182"/>
      <c r="L538" s="180"/>
      <c r="M538" s="182"/>
      <c r="N538" s="182"/>
      <c r="O538" s="182"/>
      <c r="P538" s="180"/>
      <c r="Q538" s="180"/>
      <c r="R538" s="180"/>
      <c r="S538" s="184"/>
      <c r="T538" s="182"/>
      <c r="U538" s="182"/>
      <c r="V538" s="182"/>
      <c r="W538" s="182"/>
      <c r="X538" s="182"/>
    </row>
    <row r="539" spans="1:24">
      <c r="A539" s="182"/>
      <c r="B539" s="182"/>
      <c r="C539" s="182"/>
      <c r="D539" s="182"/>
      <c r="E539" s="182"/>
      <c r="F539" s="182"/>
      <c r="G539" s="182"/>
      <c r="H539" s="182"/>
      <c r="I539" s="182"/>
      <c r="J539" s="182"/>
      <c r="K539" s="182"/>
      <c r="L539" s="180"/>
      <c r="M539" s="182"/>
      <c r="N539" s="182"/>
      <c r="O539" s="182"/>
      <c r="P539" s="180"/>
      <c r="Q539" s="180"/>
      <c r="R539" s="180"/>
      <c r="S539" s="184"/>
      <c r="T539" s="182"/>
      <c r="U539" s="182"/>
      <c r="V539" s="182"/>
      <c r="W539" s="182"/>
      <c r="X539" s="182"/>
    </row>
    <row r="540" spans="1:24">
      <c r="A540" s="182"/>
      <c r="B540" s="182"/>
      <c r="C540" s="182"/>
      <c r="D540" s="182"/>
      <c r="E540" s="182"/>
      <c r="F540" s="182"/>
      <c r="G540" s="182"/>
      <c r="H540" s="182"/>
      <c r="I540" s="182"/>
      <c r="J540" s="182"/>
      <c r="K540" s="182"/>
      <c r="L540" s="180"/>
      <c r="M540" s="182"/>
      <c r="N540" s="182"/>
      <c r="O540" s="182"/>
      <c r="P540" s="180"/>
      <c r="Q540" s="180"/>
      <c r="R540" s="180"/>
      <c r="S540" s="184"/>
      <c r="T540" s="182"/>
      <c r="U540" s="182"/>
      <c r="V540" s="182"/>
      <c r="W540" s="182"/>
      <c r="X540" s="182"/>
    </row>
    <row r="541" spans="1:24">
      <c r="A541" s="182"/>
      <c r="B541" s="182"/>
      <c r="C541" s="182"/>
      <c r="D541" s="182"/>
      <c r="E541" s="182"/>
      <c r="F541" s="182"/>
      <c r="G541" s="182"/>
      <c r="H541" s="182"/>
      <c r="I541" s="182"/>
      <c r="J541" s="182"/>
      <c r="K541" s="182"/>
      <c r="L541" s="180"/>
      <c r="M541" s="182"/>
      <c r="N541" s="182"/>
      <c r="O541" s="182"/>
      <c r="P541" s="180"/>
      <c r="Q541" s="180"/>
      <c r="R541" s="180"/>
      <c r="S541" s="184"/>
      <c r="T541" s="182"/>
      <c r="U541" s="182"/>
      <c r="V541" s="182"/>
      <c r="W541" s="182"/>
      <c r="X541" s="182"/>
    </row>
    <row r="542" spans="1:24">
      <c r="A542" s="182"/>
      <c r="B542" s="182"/>
      <c r="C542" s="182"/>
      <c r="D542" s="182"/>
      <c r="E542" s="182"/>
      <c r="F542" s="182"/>
      <c r="G542" s="182"/>
      <c r="H542" s="182"/>
      <c r="I542" s="182"/>
      <c r="J542" s="182"/>
      <c r="K542" s="182"/>
      <c r="L542" s="180"/>
      <c r="M542" s="182"/>
      <c r="N542" s="182"/>
      <c r="O542" s="182"/>
      <c r="P542" s="180"/>
      <c r="Q542" s="180"/>
      <c r="R542" s="180"/>
      <c r="S542" s="184"/>
      <c r="T542" s="182"/>
      <c r="U542" s="182"/>
      <c r="V542" s="182"/>
      <c r="W542" s="182"/>
      <c r="X542" s="182"/>
    </row>
    <row r="543" spans="1:24">
      <c r="A543" s="182"/>
      <c r="B543" s="182"/>
      <c r="C543" s="182"/>
      <c r="D543" s="182"/>
      <c r="E543" s="182"/>
      <c r="F543" s="182"/>
      <c r="G543" s="182"/>
      <c r="H543" s="182"/>
      <c r="I543" s="182"/>
      <c r="J543" s="182"/>
      <c r="K543" s="182"/>
      <c r="L543" s="180"/>
      <c r="M543" s="182"/>
      <c r="N543" s="182"/>
      <c r="O543" s="182"/>
      <c r="P543" s="180"/>
      <c r="Q543" s="180"/>
      <c r="R543" s="180"/>
      <c r="S543" s="184"/>
      <c r="T543" s="182"/>
      <c r="U543" s="182"/>
      <c r="V543" s="182"/>
      <c r="W543" s="182"/>
      <c r="X543" s="182"/>
    </row>
    <row r="544" spans="1:24">
      <c r="A544" s="182"/>
      <c r="B544" s="182"/>
      <c r="C544" s="182"/>
      <c r="D544" s="182"/>
      <c r="E544" s="182"/>
      <c r="F544" s="182"/>
      <c r="G544" s="182"/>
      <c r="H544" s="182"/>
      <c r="I544" s="182"/>
      <c r="J544" s="182"/>
      <c r="K544" s="182"/>
      <c r="L544" s="180"/>
      <c r="M544" s="182"/>
      <c r="N544" s="182"/>
      <c r="O544" s="182"/>
      <c r="P544" s="180"/>
      <c r="Q544" s="180"/>
      <c r="R544" s="180"/>
      <c r="S544" s="184"/>
      <c r="T544" s="182"/>
      <c r="U544" s="182"/>
      <c r="V544" s="182"/>
      <c r="W544" s="182"/>
      <c r="X544" s="182"/>
    </row>
    <row r="545" spans="1:24">
      <c r="A545" s="182"/>
      <c r="B545" s="182"/>
      <c r="C545" s="182"/>
      <c r="D545" s="182"/>
      <c r="E545" s="182"/>
      <c r="F545" s="182"/>
      <c r="G545" s="182"/>
      <c r="H545" s="182"/>
      <c r="I545" s="182"/>
      <c r="J545" s="182"/>
      <c r="K545" s="182"/>
      <c r="L545" s="180"/>
      <c r="M545" s="182"/>
      <c r="N545" s="182"/>
      <c r="O545" s="182"/>
      <c r="P545" s="180"/>
      <c r="Q545" s="180"/>
      <c r="R545" s="180"/>
      <c r="S545" s="184"/>
      <c r="T545" s="182"/>
      <c r="U545" s="182"/>
      <c r="V545" s="182"/>
      <c r="W545" s="182"/>
      <c r="X545" s="182"/>
    </row>
    <row r="546" spans="1:24">
      <c r="A546" s="182"/>
      <c r="B546" s="182"/>
      <c r="C546" s="182"/>
      <c r="D546" s="182"/>
      <c r="E546" s="182"/>
      <c r="F546" s="182"/>
      <c r="G546" s="182"/>
      <c r="H546" s="182"/>
      <c r="I546" s="182"/>
      <c r="J546" s="182"/>
      <c r="K546" s="182"/>
      <c r="L546" s="180"/>
      <c r="M546" s="182"/>
      <c r="N546" s="182"/>
      <c r="O546" s="182"/>
      <c r="P546" s="180"/>
      <c r="Q546" s="180"/>
      <c r="R546" s="180"/>
      <c r="S546" s="184"/>
      <c r="T546" s="182"/>
      <c r="U546" s="182"/>
      <c r="V546" s="182"/>
      <c r="W546" s="182"/>
      <c r="X546" s="182"/>
    </row>
    <row r="547" spans="1:24">
      <c r="A547" s="182"/>
      <c r="B547" s="182"/>
      <c r="C547" s="182"/>
      <c r="D547" s="182"/>
      <c r="E547" s="182"/>
      <c r="F547" s="182"/>
      <c r="G547" s="182"/>
      <c r="H547" s="182"/>
      <c r="I547" s="182"/>
      <c r="J547" s="182"/>
      <c r="K547" s="182"/>
      <c r="L547" s="180"/>
      <c r="M547" s="182"/>
      <c r="N547" s="182"/>
      <c r="O547" s="182"/>
      <c r="P547" s="180"/>
      <c r="Q547" s="180"/>
      <c r="R547" s="180"/>
      <c r="S547" s="184"/>
      <c r="T547" s="182"/>
      <c r="U547" s="182"/>
      <c r="V547" s="182"/>
      <c r="W547" s="182"/>
      <c r="X547" s="182"/>
    </row>
    <row r="548" spans="1:24">
      <c r="A548" s="182"/>
      <c r="B548" s="182"/>
      <c r="C548" s="182"/>
      <c r="D548" s="182"/>
      <c r="E548" s="182"/>
      <c r="F548" s="182"/>
      <c r="G548" s="182"/>
      <c r="H548" s="182"/>
      <c r="I548" s="182"/>
      <c r="J548" s="182"/>
      <c r="K548" s="182"/>
      <c r="L548" s="180"/>
      <c r="M548" s="182"/>
      <c r="N548" s="182"/>
      <c r="O548" s="182"/>
      <c r="P548" s="180"/>
      <c r="Q548" s="180"/>
      <c r="R548" s="180"/>
      <c r="S548" s="184"/>
      <c r="T548" s="182"/>
      <c r="U548" s="182"/>
      <c r="V548" s="182"/>
      <c r="W548" s="182"/>
      <c r="X548" s="182"/>
    </row>
    <row r="549" spans="1:24">
      <c r="A549" s="182"/>
      <c r="B549" s="182"/>
      <c r="C549" s="182"/>
      <c r="D549" s="182"/>
      <c r="E549" s="182"/>
      <c r="F549" s="182"/>
      <c r="G549" s="182"/>
      <c r="H549" s="182"/>
      <c r="I549" s="182"/>
      <c r="J549" s="182"/>
      <c r="K549" s="182"/>
      <c r="L549" s="180"/>
      <c r="M549" s="182"/>
      <c r="N549" s="182"/>
      <c r="O549" s="182"/>
      <c r="P549" s="180"/>
      <c r="Q549" s="180"/>
      <c r="R549" s="180"/>
      <c r="S549" s="184"/>
      <c r="T549" s="182"/>
      <c r="U549" s="182"/>
      <c r="V549" s="182"/>
      <c r="W549" s="182"/>
      <c r="X549" s="182"/>
    </row>
    <row r="550" spans="1:24">
      <c r="A550" s="182"/>
      <c r="B550" s="182"/>
      <c r="C550" s="182"/>
      <c r="D550" s="182"/>
      <c r="E550" s="182"/>
      <c r="F550" s="182"/>
      <c r="G550" s="182"/>
      <c r="H550" s="182"/>
      <c r="I550" s="182"/>
      <c r="J550" s="182"/>
      <c r="K550" s="182"/>
      <c r="L550" s="180"/>
      <c r="M550" s="182"/>
      <c r="N550" s="182"/>
      <c r="O550" s="182"/>
      <c r="P550" s="180"/>
      <c r="Q550" s="180"/>
      <c r="R550" s="180"/>
      <c r="S550" s="184"/>
      <c r="T550" s="182"/>
      <c r="U550" s="182"/>
      <c r="V550" s="182"/>
      <c r="W550" s="182"/>
      <c r="X550" s="182"/>
    </row>
    <row r="551" spans="1:24">
      <c r="A551" s="182"/>
      <c r="B551" s="182"/>
      <c r="C551" s="182"/>
      <c r="D551" s="182"/>
      <c r="E551" s="182"/>
      <c r="F551" s="182"/>
      <c r="G551" s="182"/>
      <c r="H551" s="182"/>
      <c r="I551" s="182"/>
      <c r="J551" s="182"/>
      <c r="K551" s="182"/>
      <c r="L551" s="180"/>
      <c r="M551" s="182"/>
      <c r="N551" s="182"/>
      <c r="O551" s="182"/>
      <c r="P551" s="180"/>
      <c r="Q551" s="180"/>
      <c r="R551" s="180"/>
      <c r="S551" s="184"/>
      <c r="T551" s="182"/>
      <c r="U551" s="182"/>
      <c r="V551" s="182"/>
      <c r="W551" s="182"/>
      <c r="X551" s="182"/>
    </row>
    <row r="552" spans="1:24">
      <c r="A552" s="182"/>
      <c r="B552" s="182"/>
      <c r="C552" s="182"/>
      <c r="D552" s="182"/>
      <c r="E552" s="182"/>
      <c r="F552" s="182"/>
      <c r="G552" s="182"/>
      <c r="H552" s="182"/>
      <c r="I552" s="182"/>
      <c r="J552" s="182"/>
      <c r="K552" s="182"/>
      <c r="L552" s="180"/>
      <c r="M552" s="182"/>
      <c r="N552" s="182"/>
      <c r="O552" s="182"/>
      <c r="P552" s="180"/>
      <c r="Q552" s="180"/>
      <c r="R552" s="180"/>
      <c r="S552" s="184"/>
      <c r="T552" s="182"/>
      <c r="U552" s="182"/>
      <c r="V552" s="182"/>
      <c r="W552" s="182"/>
      <c r="X552" s="182"/>
    </row>
    <row r="553" spans="1:24">
      <c r="A553" s="182"/>
      <c r="B553" s="182"/>
      <c r="C553" s="182"/>
      <c r="D553" s="182"/>
      <c r="E553" s="182"/>
      <c r="F553" s="182"/>
      <c r="G553" s="182"/>
      <c r="H553" s="182"/>
      <c r="I553" s="182"/>
      <c r="J553" s="182"/>
      <c r="K553" s="182"/>
      <c r="L553" s="180"/>
      <c r="M553" s="182"/>
      <c r="N553" s="182"/>
      <c r="O553" s="182"/>
      <c r="P553" s="180"/>
      <c r="Q553" s="180"/>
      <c r="R553" s="180"/>
      <c r="S553" s="184"/>
      <c r="T553" s="182"/>
      <c r="U553" s="182"/>
      <c r="V553" s="182"/>
      <c r="W553" s="182"/>
      <c r="X553" s="182"/>
    </row>
    <row r="554" spans="1:24">
      <c r="A554" s="182"/>
      <c r="B554" s="182"/>
      <c r="C554" s="182"/>
      <c r="D554" s="182"/>
      <c r="E554" s="182"/>
      <c r="F554" s="182"/>
      <c r="G554" s="182"/>
      <c r="H554" s="182"/>
      <c r="I554" s="182"/>
      <c r="J554" s="182"/>
      <c r="K554" s="182"/>
      <c r="L554" s="180"/>
      <c r="M554" s="182"/>
      <c r="N554" s="182"/>
      <c r="O554" s="182"/>
      <c r="P554" s="180"/>
      <c r="Q554" s="180"/>
      <c r="R554" s="180"/>
      <c r="S554" s="184"/>
      <c r="T554" s="182"/>
      <c r="U554" s="182"/>
      <c r="V554" s="182"/>
      <c r="W554" s="182"/>
      <c r="X554" s="182"/>
    </row>
    <row r="555" spans="1:24">
      <c r="A555" s="182"/>
      <c r="B555" s="182"/>
      <c r="C555" s="182"/>
      <c r="D555" s="182"/>
      <c r="E555" s="182"/>
      <c r="F555" s="182"/>
      <c r="G555" s="182"/>
      <c r="H555" s="182"/>
      <c r="I555" s="182"/>
      <c r="J555" s="182"/>
      <c r="K555" s="182"/>
      <c r="L555" s="180"/>
      <c r="M555" s="182"/>
      <c r="N555" s="182"/>
      <c r="O555" s="182"/>
      <c r="P555" s="180"/>
      <c r="Q555" s="180"/>
      <c r="R555" s="180"/>
      <c r="S555" s="184"/>
      <c r="T555" s="182"/>
      <c r="U555" s="182"/>
      <c r="V555" s="182"/>
      <c r="W555" s="182"/>
      <c r="X555" s="182"/>
    </row>
    <row r="556" spans="1:24">
      <c r="A556" s="182"/>
      <c r="B556" s="182"/>
      <c r="C556" s="182"/>
      <c r="D556" s="182"/>
      <c r="E556" s="182"/>
      <c r="F556" s="182"/>
      <c r="G556" s="182"/>
      <c r="H556" s="182"/>
      <c r="I556" s="182"/>
      <c r="J556" s="182"/>
      <c r="K556" s="182"/>
      <c r="L556" s="180"/>
      <c r="M556" s="182"/>
      <c r="N556" s="182"/>
      <c r="O556" s="182"/>
      <c r="P556" s="180"/>
      <c r="Q556" s="180"/>
      <c r="R556" s="180"/>
      <c r="S556" s="184"/>
      <c r="T556" s="182"/>
      <c r="U556" s="182"/>
      <c r="V556" s="182"/>
      <c r="W556" s="182"/>
      <c r="X556" s="182"/>
    </row>
    <row r="557" spans="1:24">
      <c r="A557" s="182"/>
      <c r="B557" s="182"/>
      <c r="C557" s="182"/>
      <c r="D557" s="182"/>
      <c r="E557" s="182"/>
      <c r="F557" s="182"/>
      <c r="G557" s="182"/>
      <c r="H557" s="182"/>
      <c r="I557" s="182"/>
      <c r="J557" s="182"/>
      <c r="K557" s="182"/>
      <c r="L557" s="180"/>
      <c r="M557" s="182"/>
      <c r="N557" s="182"/>
      <c r="O557" s="182"/>
      <c r="P557" s="180"/>
      <c r="Q557" s="180"/>
      <c r="R557" s="180"/>
      <c r="S557" s="184"/>
      <c r="T557" s="182"/>
      <c r="U557" s="182"/>
      <c r="V557" s="182"/>
      <c r="W557" s="182"/>
      <c r="X557" s="182"/>
    </row>
    <row r="558" spans="1:24">
      <c r="A558" s="182"/>
      <c r="B558" s="182"/>
      <c r="C558" s="182"/>
      <c r="D558" s="182"/>
      <c r="E558" s="182"/>
      <c r="F558" s="182"/>
      <c r="G558" s="182"/>
      <c r="H558" s="182"/>
      <c r="I558" s="182"/>
      <c r="J558" s="182"/>
      <c r="K558" s="182"/>
      <c r="L558" s="180"/>
      <c r="M558" s="182"/>
      <c r="N558" s="182"/>
      <c r="O558" s="182"/>
      <c r="P558" s="180"/>
      <c r="Q558" s="180"/>
      <c r="R558" s="180"/>
      <c r="S558" s="184"/>
      <c r="T558" s="182"/>
      <c r="U558" s="182"/>
      <c r="V558" s="182"/>
      <c r="W558" s="182"/>
      <c r="X558" s="182"/>
    </row>
    <row r="559" spans="1:24">
      <c r="A559" s="182"/>
      <c r="B559" s="182"/>
      <c r="C559" s="182"/>
      <c r="D559" s="182"/>
      <c r="E559" s="182"/>
      <c r="F559" s="182"/>
      <c r="G559" s="182"/>
      <c r="H559" s="182"/>
      <c r="I559" s="182"/>
      <c r="J559" s="182"/>
      <c r="K559" s="182"/>
      <c r="L559" s="180"/>
      <c r="M559" s="182"/>
      <c r="N559" s="182"/>
      <c r="O559" s="182"/>
      <c r="P559" s="180"/>
      <c r="Q559" s="180"/>
      <c r="R559" s="180"/>
      <c r="S559" s="184"/>
      <c r="T559" s="182"/>
      <c r="U559" s="182"/>
      <c r="V559" s="182"/>
      <c r="W559" s="182"/>
      <c r="X559" s="182"/>
    </row>
    <row r="560" spans="1:24">
      <c r="A560" s="182"/>
      <c r="B560" s="182"/>
      <c r="C560" s="182"/>
      <c r="D560" s="182"/>
      <c r="E560" s="182"/>
      <c r="F560" s="182"/>
      <c r="G560" s="182"/>
      <c r="H560" s="182"/>
      <c r="I560" s="182"/>
      <c r="J560" s="182"/>
      <c r="K560" s="182"/>
      <c r="L560" s="180"/>
      <c r="M560" s="182"/>
      <c r="N560" s="182"/>
      <c r="O560" s="182"/>
      <c r="P560" s="180"/>
      <c r="Q560" s="180"/>
      <c r="R560" s="180"/>
      <c r="S560" s="184"/>
      <c r="T560" s="182"/>
      <c r="U560" s="182"/>
      <c r="V560" s="182"/>
      <c r="W560" s="182"/>
      <c r="X560" s="182"/>
    </row>
    <row r="561" spans="1:24">
      <c r="A561" s="182"/>
      <c r="B561" s="182"/>
      <c r="C561" s="182"/>
      <c r="D561" s="182"/>
      <c r="E561" s="182"/>
      <c r="F561" s="182"/>
      <c r="G561" s="182"/>
      <c r="H561" s="182"/>
      <c r="I561" s="182"/>
      <c r="J561" s="182"/>
      <c r="K561" s="182"/>
      <c r="L561" s="180"/>
      <c r="M561" s="182"/>
      <c r="N561" s="182"/>
      <c r="O561" s="182"/>
      <c r="P561" s="180"/>
      <c r="Q561" s="180"/>
      <c r="R561" s="180"/>
      <c r="S561" s="184"/>
      <c r="T561" s="182"/>
      <c r="U561" s="182"/>
      <c r="V561" s="182"/>
      <c r="W561" s="182"/>
      <c r="X561" s="182"/>
    </row>
    <row r="562" spans="1:24">
      <c r="A562" s="182"/>
      <c r="B562" s="182"/>
      <c r="C562" s="182"/>
      <c r="D562" s="182"/>
      <c r="E562" s="182"/>
      <c r="F562" s="182"/>
      <c r="G562" s="182"/>
      <c r="H562" s="182"/>
      <c r="I562" s="182"/>
      <c r="J562" s="182"/>
      <c r="K562" s="182"/>
      <c r="L562" s="180"/>
      <c r="M562" s="182"/>
      <c r="N562" s="182"/>
      <c r="O562" s="182"/>
      <c r="P562" s="180"/>
      <c r="Q562" s="180"/>
      <c r="R562" s="180"/>
      <c r="S562" s="184"/>
      <c r="T562" s="182"/>
      <c r="U562" s="182"/>
      <c r="V562" s="182"/>
      <c r="W562" s="182"/>
      <c r="X562" s="182"/>
    </row>
    <row r="563" spans="1:24">
      <c r="A563" s="182"/>
      <c r="B563" s="182"/>
      <c r="C563" s="182"/>
      <c r="D563" s="182"/>
      <c r="E563" s="182"/>
      <c r="F563" s="182"/>
      <c r="G563" s="182"/>
      <c r="H563" s="182"/>
      <c r="I563" s="182"/>
      <c r="J563" s="182"/>
      <c r="K563" s="182"/>
      <c r="L563" s="180"/>
      <c r="M563" s="182"/>
      <c r="N563" s="182"/>
      <c r="O563" s="182"/>
      <c r="P563" s="180"/>
      <c r="Q563" s="180"/>
      <c r="R563" s="180"/>
      <c r="S563" s="184"/>
      <c r="T563" s="182"/>
      <c r="U563" s="182"/>
      <c r="V563" s="182"/>
      <c r="W563" s="182"/>
      <c r="X563" s="182"/>
    </row>
    <row r="564" spans="1:24">
      <c r="A564" s="182"/>
      <c r="B564" s="182"/>
      <c r="C564" s="182"/>
      <c r="D564" s="182"/>
      <c r="E564" s="182"/>
      <c r="F564" s="182"/>
      <c r="G564" s="182"/>
      <c r="H564" s="182"/>
      <c r="I564" s="182"/>
      <c r="J564" s="182"/>
      <c r="K564" s="182"/>
      <c r="L564" s="180"/>
      <c r="M564" s="182"/>
      <c r="N564" s="182"/>
      <c r="O564" s="182"/>
      <c r="P564" s="180"/>
      <c r="Q564" s="180"/>
      <c r="R564" s="180"/>
      <c r="S564" s="184"/>
      <c r="T564" s="182"/>
      <c r="U564" s="182"/>
      <c r="V564" s="182"/>
      <c r="W564" s="182"/>
      <c r="X564" s="182"/>
    </row>
    <row r="565" spans="1:24">
      <c r="A565" s="182"/>
      <c r="B565" s="182"/>
      <c r="C565" s="182"/>
      <c r="D565" s="182"/>
      <c r="E565" s="182"/>
      <c r="F565" s="182"/>
      <c r="G565" s="182"/>
      <c r="H565" s="182"/>
      <c r="I565" s="182"/>
      <c r="J565" s="182"/>
      <c r="K565" s="182"/>
      <c r="L565" s="180"/>
      <c r="M565" s="182"/>
      <c r="N565" s="182"/>
      <c r="O565" s="182"/>
      <c r="P565" s="180"/>
      <c r="Q565" s="180"/>
      <c r="R565" s="180"/>
      <c r="S565" s="184"/>
      <c r="T565" s="182"/>
      <c r="U565" s="182"/>
      <c r="V565" s="182"/>
      <c r="W565" s="182"/>
      <c r="X565" s="182"/>
    </row>
    <row r="566" spans="1:24">
      <c r="A566" s="182"/>
      <c r="B566" s="182"/>
      <c r="C566" s="182"/>
      <c r="D566" s="182"/>
      <c r="E566" s="182"/>
      <c r="F566" s="182"/>
      <c r="G566" s="182"/>
      <c r="H566" s="182"/>
      <c r="I566" s="182"/>
      <c r="J566" s="182"/>
      <c r="K566" s="182"/>
      <c r="L566" s="180"/>
      <c r="M566" s="182"/>
      <c r="N566" s="182"/>
      <c r="O566" s="182"/>
      <c r="P566" s="180"/>
      <c r="Q566" s="180"/>
      <c r="R566" s="180"/>
      <c r="S566" s="184"/>
      <c r="T566" s="182"/>
      <c r="U566" s="182"/>
      <c r="V566" s="182"/>
      <c r="W566" s="182"/>
      <c r="X566" s="182"/>
    </row>
    <row r="567" spans="1:24">
      <c r="A567" s="182"/>
      <c r="B567" s="182"/>
      <c r="C567" s="182"/>
      <c r="D567" s="182"/>
      <c r="E567" s="182"/>
      <c r="F567" s="182"/>
      <c r="G567" s="182"/>
      <c r="H567" s="182"/>
      <c r="I567" s="182"/>
      <c r="J567" s="182"/>
      <c r="K567" s="182"/>
      <c r="L567" s="180"/>
      <c r="M567" s="182"/>
      <c r="N567" s="182"/>
      <c r="O567" s="182"/>
      <c r="P567" s="180"/>
      <c r="Q567" s="180"/>
      <c r="R567" s="180"/>
      <c r="S567" s="184"/>
      <c r="T567" s="182"/>
      <c r="U567" s="182"/>
      <c r="V567" s="182"/>
      <c r="W567" s="182"/>
      <c r="X567" s="182"/>
    </row>
    <row r="568" spans="1:24">
      <c r="A568" s="182"/>
      <c r="B568" s="182"/>
      <c r="C568" s="182"/>
      <c r="D568" s="182"/>
      <c r="E568" s="182"/>
      <c r="F568" s="182"/>
      <c r="G568" s="182"/>
      <c r="H568" s="182"/>
      <c r="I568" s="182"/>
      <c r="J568" s="182"/>
      <c r="K568" s="182"/>
      <c r="L568" s="180"/>
      <c r="M568" s="182"/>
      <c r="N568" s="182"/>
      <c r="O568" s="182"/>
      <c r="P568" s="180"/>
      <c r="Q568" s="180"/>
      <c r="R568" s="180"/>
      <c r="S568" s="184"/>
      <c r="T568" s="182"/>
      <c r="U568" s="182"/>
      <c r="V568" s="182"/>
      <c r="W568" s="182"/>
      <c r="X568" s="182"/>
    </row>
    <row r="569" spans="1:24">
      <c r="A569" s="182"/>
      <c r="B569" s="182"/>
      <c r="C569" s="182"/>
      <c r="D569" s="182"/>
      <c r="E569" s="182"/>
      <c r="F569" s="182"/>
      <c r="G569" s="182"/>
      <c r="H569" s="182"/>
      <c r="I569" s="182"/>
      <c r="J569" s="182"/>
      <c r="K569" s="182"/>
      <c r="L569" s="180"/>
      <c r="M569" s="182"/>
      <c r="N569" s="182"/>
      <c r="O569" s="182"/>
      <c r="P569" s="180"/>
      <c r="Q569" s="180"/>
      <c r="R569" s="180"/>
      <c r="S569" s="184"/>
      <c r="T569" s="182"/>
      <c r="U569" s="182"/>
      <c r="V569" s="182"/>
      <c r="W569" s="182"/>
      <c r="X569" s="182"/>
    </row>
    <row r="570" spans="1:24">
      <c r="A570" s="182"/>
      <c r="B570" s="182"/>
      <c r="C570" s="182"/>
      <c r="D570" s="182"/>
      <c r="E570" s="182"/>
      <c r="F570" s="182"/>
      <c r="G570" s="182"/>
      <c r="H570" s="182"/>
      <c r="I570" s="182"/>
      <c r="J570" s="182"/>
      <c r="K570" s="182"/>
      <c r="L570" s="180"/>
      <c r="M570" s="182"/>
      <c r="N570" s="182"/>
      <c r="O570" s="182"/>
      <c r="P570" s="180"/>
      <c r="Q570" s="180"/>
      <c r="R570" s="180"/>
      <c r="S570" s="184"/>
      <c r="T570" s="182"/>
      <c r="U570" s="182"/>
      <c r="V570" s="182"/>
      <c r="W570" s="182"/>
      <c r="X570" s="182"/>
    </row>
    <row r="571" spans="1:24">
      <c r="A571" s="182"/>
      <c r="B571" s="182"/>
      <c r="C571" s="182"/>
      <c r="D571" s="182"/>
      <c r="E571" s="182"/>
      <c r="F571" s="182"/>
      <c r="G571" s="182"/>
      <c r="H571" s="182"/>
      <c r="I571" s="182"/>
      <c r="J571" s="182"/>
      <c r="K571" s="182"/>
      <c r="L571" s="180"/>
      <c r="M571" s="182"/>
      <c r="N571" s="182"/>
      <c r="O571" s="182"/>
      <c r="P571" s="180"/>
      <c r="Q571" s="180"/>
      <c r="R571" s="180"/>
      <c r="S571" s="184"/>
      <c r="T571" s="182"/>
      <c r="U571" s="182"/>
      <c r="V571" s="182"/>
      <c r="W571" s="182"/>
      <c r="X571" s="182"/>
    </row>
    <row r="572" spans="1:24">
      <c r="A572" s="182"/>
      <c r="B572" s="182"/>
      <c r="C572" s="182"/>
      <c r="D572" s="182"/>
      <c r="E572" s="182"/>
      <c r="F572" s="182"/>
      <c r="G572" s="182"/>
      <c r="H572" s="182"/>
      <c r="I572" s="182"/>
      <c r="J572" s="182"/>
      <c r="K572" s="182"/>
      <c r="L572" s="180"/>
      <c r="M572" s="182"/>
      <c r="N572" s="182"/>
      <c r="O572" s="182"/>
      <c r="P572" s="180"/>
      <c r="Q572" s="180"/>
      <c r="R572" s="180"/>
      <c r="S572" s="184"/>
      <c r="T572" s="182"/>
      <c r="U572" s="182"/>
      <c r="V572" s="182"/>
      <c r="W572" s="182"/>
      <c r="X572" s="182"/>
    </row>
    <row r="573" spans="1:24">
      <c r="A573" s="182"/>
      <c r="B573" s="182"/>
      <c r="C573" s="182"/>
      <c r="D573" s="182"/>
      <c r="E573" s="182"/>
      <c r="F573" s="182"/>
      <c r="G573" s="182"/>
      <c r="H573" s="182"/>
      <c r="I573" s="182"/>
      <c r="J573" s="182"/>
      <c r="K573" s="182"/>
      <c r="L573" s="180"/>
      <c r="M573" s="182"/>
      <c r="N573" s="182"/>
      <c r="O573" s="182"/>
      <c r="P573" s="180"/>
      <c r="Q573" s="180"/>
      <c r="R573" s="180"/>
      <c r="S573" s="184"/>
      <c r="T573" s="182"/>
      <c r="U573" s="182"/>
      <c r="V573" s="182"/>
      <c r="W573" s="182"/>
      <c r="X573" s="182"/>
    </row>
    <row r="574" spans="1:24">
      <c r="A574" s="182"/>
      <c r="B574" s="182"/>
      <c r="C574" s="182"/>
      <c r="D574" s="182"/>
      <c r="E574" s="182"/>
      <c r="F574" s="182"/>
      <c r="G574" s="182"/>
      <c r="H574" s="182"/>
      <c r="I574" s="182"/>
      <c r="J574" s="182"/>
      <c r="K574" s="182"/>
      <c r="L574" s="180"/>
      <c r="M574" s="182"/>
      <c r="N574" s="182"/>
      <c r="O574" s="182"/>
      <c r="P574" s="180"/>
      <c r="Q574" s="180"/>
      <c r="R574" s="180"/>
      <c r="S574" s="184"/>
      <c r="T574" s="182"/>
      <c r="U574" s="182"/>
      <c r="V574" s="182"/>
      <c r="W574" s="182"/>
      <c r="X574" s="182"/>
    </row>
    <row r="575" spans="1:24">
      <c r="A575" s="182"/>
      <c r="B575" s="182"/>
      <c r="C575" s="182"/>
      <c r="D575" s="182"/>
      <c r="E575" s="182"/>
      <c r="F575" s="182"/>
      <c r="G575" s="182"/>
      <c r="H575" s="182"/>
      <c r="I575" s="182"/>
      <c r="J575" s="182"/>
      <c r="K575" s="182"/>
      <c r="L575" s="180"/>
      <c r="M575" s="182"/>
      <c r="N575" s="182"/>
      <c r="O575" s="182"/>
      <c r="P575" s="180"/>
      <c r="Q575" s="180"/>
      <c r="R575" s="180"/>
      <c r="S575" s="184"/>
      <c r="T575" s="182"/>
      <c r="U575" s="182"/>
      <c r="V575" s="182"/>
      <c r="W575" s="182"/>
      <c r="X575" s="182"/>
    </row>
    <row r="576" spans="1:24">
      <c r="A576" s="182"/>
      <c r="B576" s="182"/>
      <c r="C576" s="182"/>
      <c r="D576" s="182"/>
      <c r="E576" s="182"/>
      <c r="F576" s="182"/>
      <c r="G576" s="182"/>
      <c r="H576" s="182"/>
      <c r="I576" s="182"/>
      <c r="J576" s="182"/>
      <c r="K576" s="182"/>
      <c r="L576" s="180"/>
      <c r="M576" s="182"/>
      <c r="N576" s="182"/>
      <c r="O576" s="182"/>
      <c r="P576" s="180"/>
      <c r="Q576" s="180"/>
      <c r="R576" s="180"/>
      <c r="S576" s="184"/>
      <c r="T576" s="182"/>
      <c r="U576" s="182"/>
      <c r="V576" s="182"/>
      <c r="W576" s="182"/>
      <c r="X576" s="182"/>
    </row>
    <row r="577" spans="1:24">
      <c r="A577" s="182"/>
      <c r="B577" s="182"/>
      <c r="C577" s="182"/>
      <c r="D577" s="182"/>
      <c r="E577" s="182"/>
      <c r="F577" s="182"/>
      <c r="G577" s="182"/>
      <c r="H577" s="182"/>
      <c r="I577" s="182"/>
      <c r="J577" s="182"/>
      <c r="K577" s="182"/>
      <c r="L577" s="180"/>
      <c r="M577" s="182"/>
      <c r="N577" s="182"/>
      <c r="O577" s="182"/>
      <c r="P577" s="180"/>
      <c r="Q577" s="180"/>
      <c r="R577" s="180"/>
      <c r="S577" s="184"/>
      <c r="T577" s="182"/>
      <c r="U577" s="182"/>
      <c r="V577" s="182"/>
      <c r="W577" s="182"/>
      <c r="X577" s="182"/>
    </row>
    <row r="578" spans="1:24">
      <c r="A578" s="182"/>
      <c r="B578" s="182"/>
      <c r="C578" s="182"/>
      <c r="D578" s="182"/>
      <c r="E578" s="182"/>
      <c r="F578" s="182"/>
      <c r="G578" s="182"/>
      <c r="H578" s="182"/>
      <c r="I578" s="182"/>
      <c r="J578" s="182"/>
      <c r="K578" s="182"/>
      <c r="L578" s="180"/>
      <c r="M578" s="182"/>
      <c r="N578" s="182"/>
      <c r="O578" s="182"/>
      <c r="P578" s="180"/>
      <c r="Q578" s="180"/>
      <c r="R578" s="180"/>
      <c r="S578" s="184"/>
      <c r="T578" s="182"/>
      <c r="U578" s="182"/>
      <c r="V578" s="182"/>
      <c r="W578" s="182"/>
      <c r="X578" s="182"/>
    </row>
    <row r="579" spans="1:24">
      <c r="A579" s="182"/>
      <c r="B579" s="182"/>
      <c r="C579" s="182"/>
      <c r="D579" s="182"/>
      <c r="E579" s="182"/>
      <c r="F579" s="182"/>
      <c r="G579" s="182"/>
      <c r="H579" s="182"/>
      <c r="I579" s="182"/>
      <c r="J579" s="182"/>
      <c r="K579" s="182"/>
      <c r="L579" s="180"/>
      <c r="M579" s="182"/>
      <c r="N579" s="182"/>
      <c r="O579" s="182"/>
      <c r="P579" s="180"/>
      <c r="Q579" s="180"/>
      <c r="R579" s="180"/>
      <c r="S579" s="184"/>
      <c r="T579" s="182"/>
      <c r="U579" s="182"/>
      <c r="V579" s="182"/>
      <c r="W579" s="182"/>
      <c r="X579" s="182"/>
    </row>
    <row r="580" spans="1:24">
      <c r="A580" s="182"/>
      <c r="B580" s="182"/>
      <c r="C580" s="182"/>
      <c r="D580" s="182"/>
      <c r="E580" s="182"/>
      <c r="F580" s="182"/>
      <c r="G580" s="182"/>
      <c r="H580" s="182"/>
      <c r="I580" s="182"/>
      <c r="J580" s="182"/>
      <c r="K580" s="182"/>
      <c r="L580" s="180"/>
      <c r="M580" s="182"/>
      <c r="N580" s="182"/>
      <c r="O580" s="182"/>
      <c r="P580" s="180"/>
      <c r="Q580" s="180"/>
      <c r="R580" s="180"/>
      <c r="S580" s="184"/>
      <c r="T580" s="182"/>
      <c r="U580" s="182"/>
      <c r="V580" s="182"/>
      <c r="W580" s="182"/>
      <c r="X580" s="182"/>
    </row>
    <row r="581" spans="1:24">
      <c r="A581" s="182"/>
      <c r="B581" s="182"/>
      <c r="C581" s="182"/>
      <c r="D581" s="182"/>
      <c r="E581" s="182"/>
      <c r="F581" s="182"/>
      <c r="G581" s="182"/>
      <c r="H581" s="182"/>
      <c r="I581" s="182"/>
      <c r="J581" s="182"/>
      <c r="K581" s="182"/>
      <c r="L581" s="180"/>
      <c r="M581" s="182"/>
      <c r="N581" s="182"/>
      <c r="O581" s="182"/>
      <c r="P581" s="180"/>
      <c r="Q581" s="180"/>
      <c r="R581" s="180"/>
      <c r="S581" s="184"/>
      <c r="T581" s="182"/>
      <c r="U581" s="182"/>
      <c r="V581" s="182"/>
      <c r="W581" s="182"/>
      <c r="X581" s="182"/>
    </row>
    <row r="582" spans="1:24">
      <c r="A582" s="182"/>
      <c r="B582" s="182"/>
      <c r="C582" s="182"/>
      <c r="D582" s="182"/>
      <c r="E582" s="182"/>
      <c r="F582" s="182"/>
      <c r="G582" s="182"/>
      <c r="H582" s="182"/>
      <c r="I582" s="182"/>
      <c r="J582" s="182"/>
      <c r="K582" s="182"/>
      <c r="L582" s="180"/>
      <c r="M582" s="182"/>
      <c r="N582" s="182"/>
      <c r="O582" s="182"/>
      <c r="P582" s="180"/>
      <c r="Q582" s="180"/>
      <c r="R582" s="180"/>
      <c r="S582" s="184"/>
      <c r="T582" s="182"/>
      <c r="U582" s="182"/>
      <c r="V582" s="182"/>
      <c r="W582" s="182"/>
      <c r="X582" s="182"/>
    </row>
    <row r="583" spans="1:24">
      <c r="A583" s="182"/>
      <c r="B583" s="182"/>
      <c r="C583" s="182"/>
      <c r="D583" s="182"/>
      <c r="E583" s="182"/>
      <c r="F583" s="182"/>
      <c r="G583" s="182"/>
      <c r="H583" s="182"/>
      <c r="I583" s="182"/>
      <c r="J583" s="182"/>
      <c r="K583" s="182"/>
      <c r="L583" s="180"/>
      <c r="M583" s="182"/>
      <c r="N583" s="182"/>
      <c r="O583" s="182"/>
      <c r="P583" s="180"/>
      <c r="Q583" s="180"/>
      <c r="R583" s="180"/>
      <c r="S583" s="184"/>
      <c r="T583" s="182"/>
      <c r="U583" s="182"/>
      <c r="V583" s="182"/>
      <c r="W583" s="182"/>
      <c r="X583" s="182"/>
    </row>
    <row r="584" spans="1:24">
      <c r="A584" s="182"/>
      <c r="B584" s="182"/>
      <c r="C584" s="182"/>
      <c r="D584" s="182"/>
      <c r="E584" s="182"/>
      <c r="F584" s="182"/>
      <c r="G584" s="182"/>
      <c r="H584" s="182"/>
      <c r="I584" s="182"/>
      <c r="J584" s="182"/>
      <c r="K584" s="182"/>
      <c r="L584" s="180"/>
      <c r="M584" s="182"/>
      <c r="N584" s="182"/>
      <c r="O584" s="182"/>
      <c r="P584" s="180"/>
      <c r="Q584" s="180"/>
      <c r="R584" s="180"/>
      <c r="S584" s="184"/>
      <c r="T584" s="182"/>
      <c r="U584" s="182"/>
      <c r="V584" s="182"/>
      <c r="W584" s="182"/>
      <c r="X584" s="182"/>
    </row>
    <row r="585" spans="1:24">
      <c r="A585" s="182"/>
      <c r="B585" s="182"/>
      <c r="C585" s="182"/>
      <c r="D585" s="182"/>
      <c r="E585" s="182"/>
      <c r="F585" s="182"/>
      <c r="G585" s="182"/>
      <c r="H585" s="182"/>
      <c r="I585" s="182"/>
      <c r="J585" s="182"/>
      <c r="K585" s="182"/>
      <c r="L585" s="180"/>
      <c r="M585" s="182"/>
      <c r="N585" s="182"/>
      <c r="O585" s="182"/>
      <c r="P585" s="180"/>
      <c r="Q585" s="180"/>
      <c r="R585" s="180"/>
      <c r="S585" s="184"/>
      <c r="T585" s="182"/>
      <c r="U585" s="182"/>
      <c r="V585" s="182"/>
      <c r="W585" s="182"/>
      <c r="X585" s="182"/>
    </row>
    <row r="586" spans="1:24">
      <c r="A586" s="182"/>
      <c r="B586" s="182"/>
      <c r="C586" s="182"/>
      <c r="D586" s="182"/>
      <c r="E586" s="182"/>
      <c r="F586" s="182"/>
      <c r="G586" s="182"/>
      <c r="H586" s="182"/>
      <c r="I586" s="182"/>
      <c r="J586" s="182"/>
      <c r="K586" s="182"/>
      <c r="L586" s="180"/>
      <c r="M586" s="182"/>
      <c r="N586" s="182"/>
      <c r="O586" s="182"/>
      <c r="P586" s="180"/>
      <c r="Q586" s="180"/>
      <c r="R586" s="180"/>
      <c r="S586" s="184"/>
      <c r="T586" s="182"/>
      <c r="U586" s="182"/>
      <c r="V586" s="182"/>
      <c r="W586" s="182"/>
      <c r="X586" s="182"/>
    </row>
    <row r="587" spans="1:24">
      <c r="A587" s="182"/>
      <c r="B587" s="182"/>
      <c r="C587" s="182"/>
      <c r="D587" s="182"/>
      <c r="E587" s="182"/>
      <c r="F587" s="182"/>
      <c r="G587" s="182"/>
      <c r="H587" s="182"/>
      <c r="I587" s="182"/>
      <c r="J587" s="182"/>
      <c r="K587" s="182"/>
      <c r="L587" s="180"/>
      <c r="M587" s="182"/>
      <c r="N587" s="182"/>
      <c r="O587" s="182"/>
      <c r="P587" s="180"/>
      <c r="Q587" s="180"/>
      <c r="R587" s="180"/>
      <c r="S587" s="184"/>
      <c r="T587" s="182"/>
      <c r="U587" s="182"/>
      <c r="V587" s="182"/>
      <c r="W587" s="182"/>
      <c r="X587" s="182"/>
    </row>
    <row r="588" spans="1:24">
      <c r="A588" s="182"/>
      <c r="B588" s="182"/>
      <c r="C588" s="182"/>
      <c r="D588" s="182"/>
      <c r="E588" s="182"/>
      <c r="F588" s="182"/>
      <c r="G588" s="182"/>
      <c r="H588" s="182"/>
      <c r="I588" s="182"/>
      <c r="J588" s="182"/>
      <c r="K588" s="182"/>
      <c r="L588" s="180"/>
      <c r="M588" s="182"/>
      <c r="N588" s="182"/>
      <c r="O588" s="182"/>
      <c r="P588" s="180"/>
      <c r="Q588" s="180"/>
      <c r="R588" s="180"/>
      <c r="S588" s="184"/>
      <c r="T588" s="182"/>
      <c r="U588" s="182"/>
      <c r="V588" s="182"/>
      <c r="W588" s="182"/>
      <c r="X588" s="182"/>
    </row>
    <row r="589" spans="1:24">
      <c r="A589" s="182"/>
      <c r="B589" s="182"/>
      <c r="C589" s="182"/>
      <c r="D589" s="182"/>
      <c r="E589" s="182"/>
      <c r="F589" s="182"/>
      <c r="G589" s="182"/>
      <c r="H589" s="182"/>
      <c r="I589" s="182"/>
      <c r="J589" s="182"/>
      <c r="K589" s="182"/>
      <c r="L589" s="180"/>
      <c r="M589" s="182"/>
      <c r="N589" s="182"/>
      <c r="O589" s="182"/>
      <c r="P589" s="180"/>
      <c r="Q589" s="180"/>
      <c r="R589" s="180"/>
      <c r="S589" s="184"/>
      <c r="T589" s="182"/>
      <c r="U589" s="182"/>
      <c r="V589" s="182"/>
      <c r="W589" s="182"/>
      <c r="X589" s="182"/>
    </row>
    <row r="590" spans="1:24">
      <c r="A590" s="182"/>
      <c r="B590" s="182"/>
      <c r="C590" s="182"/>
      <c r="D590" s="182"/>
      <c r="E590" s="182"/>
      <c r="F590" s="182"/>
      <c r="G590" s="182"/>
      <c r="H590" s="182"/>
      <c r="I590" s="182"/>
      <c r="J590" s="182"/>
      <c r="K590" s="182"/>
      <c r="L590" s="180"/>
      <c r="M590" s="182"/>
      <c r="N590" s="182"/>
      <c r="O590" s="182"/>
      <c r="P590" s="180"/>
      <c r="Q590" s="180"/>
      <c r="R590" s="180"/>
      <c r="S590" s="184"/>
      <c r="T590" s="182"/>
      <c r="U590" s="182"/>
      <c r="V590" s="182"/>
      <c r="W590" s="182"/>
      <c r="X590" s="182"/>
    </row>
    <row r="591" spans="1:24">
      <c r="A591" s="182"/>
      <c r="B591" s="182"/>
      <c r="C591" s="182"/>
      <c r="D591" s="182"/>
      <c r="E591" s="182"/>
      <c r="F591" s="182"/>
      <c r="G591" s="182"/>
      <c r="H591" s="182"/>
      <c r="I591" s="182"/>
      <c r="J591" s="182"/>
      <c r="K591" s="182"/>
      <c r="L591" s="180"/>
      <c r="M591" s="182"/>
      <c r="N591" s="182"/>
      <c r="O591" s="182"/>
      <c r="P591" s="180"/>
      <c r="Q591" s="180"/>
      <c r="R591" s="180"/>
      <c r="S591" s="184"/>
      <c r="T591" s="182"/>
      <c r="U591" s="182"/>
      <c r="V591" s="182"/>
      <c r="W591" s="182"/>
      <c r="X591" s="182"/>
    </row>
    <row r="592" spans="1:24">
      <c r="A592" s="182"/>
      <c r="B592" s="182"/>
      <c r="C592" s="182"/>
      <c r="D592" s="182"/>
      <c r="E592" s="182"/>
      <c r="F592" s="182"/>
      <c r="G592" s="182"/>
      <c r="H592" s="182"/>
      <c r="I592" s="182"/>
      <c r="J592" s="182"/>
      <c r="K592" s="182"/>
      <c r="L592" s="180"/>
      <c r="M592" s="182"/>
      <c r="N592" s="182"/>
      <c r="O592" s="182"/>
      <c r="P592" s="180"/>
      <c r="Q592" s="180"/>
      <c r="R592" s="180"/>
      <c r="S592" s="184"/>
      <c r="T592" s="182"/>
      <c r="U592" s="182"/>
      <c r="V592" s="182"/>
      <c r="W592" s="182"/>
      <c r="X592" s="182"/>
    </row>
    <row r="593" spans="1:24">
      <c r="A593" s="182"/>
      <c r="B593" s="182"/>
      <c r="C593" s="182"/>
      <c r="D593" s="182"/>
      <c r="E593" s="182"/>
      <c r="F593" s="182"/>
      <c r="G593" s="182"/>
      <c r="H593" s="182"/>
      <c r="I593" s="182"/>
      <c r="J593" s="182"/>
      <c r="K593" s="182"/>
      <c r="L593" s="180"/>
      <c r="M593" s="182"/>
      <c r="N593" s="182"/>
      <c r="O593" s="182"/>
      <c r="P593" s="180"/>
      <c r="Q593" s="180"/>
      <c r="R593" s="180"/>
      <c r="S593" s="184"/>
      <c r="T593" s="182"/>
      <c r="U593" s="182"/>
      <c r="V593" s="182"/>
      <c r="W593" s="182"/>
      <c r="X593" s="182"/>
    </row>
    <row r="594" spans="1:24">
      <c r="A594" s="182"/>
      <c r="B594" s="182"/>
      <c r="C594" s="182"/>
      <c r="D594" s="182"/>
      <c r="E594" s="182"/>
      <c r="F594" s="182"/>
      <c r="G594" s="182"/>
      <c r="H594" s="182"/>
      <c r="I594" s="182"/>
      <c r="J594" s="182"/>
      <c r="K594" s="182"/>
      <c r="L594" s="180"/>
      <c r="M594" s="182"/>
      <c r="N594" s="182"/>
      <c r="O594" s="182"/>
      <c r="P594" s="180"/>
      <c r="Q594" s="180"/>
      <c r="R594" s="180"/>
      <c r="S594" s="184"/>
      <c r="T594" s="182"/>
      <c r="U594" s="182"/>
      <c r="V594" s="182"/>
      <c r="W594" s="182"/>
      <c r="X594" s="182"/>
    </row>
    <row r="595" spans="1:24">
      <c r="A595" s="182"/>
      <c r="B595" s="182"/>
      <c r="C595" s="182"/>
      <c r="D595" s="182"/>
      <c r="E595" s="182"/>
      <c r="F595" s="182"/>
      <c r="G595" s="182"/>
      <c r="H595" s="182"/>
      <c r="I595" s="182"/>
      <c r="J595" s="182"/>
      <c r="K595" s="182"/>
      <c r="L595" s="180"/>
      <c r="M595" s="182"/>
      <c r="N595" s="182"/>
      <c r="O595" s="182"/>
      <c r="P595" s="180"/>
      <c r="Q595" s="180"/>
      <c r="R595" s="180"/>
      <c r="S595" s="184"/>
      <c r="T595" s="182"/>
      <c r="U595" s="182"/>
      <c r="V595" s="182"/>
      <c r="W595" s="182"/>
      <c r="X595" s="182"/>
    </row>
    <row r="596" spans="1:24">
      <c r="A596" s="182"/>
      <c r="B596" s="182"/>
      <c r="C596" s="182"/>
      <c r="D596" s="182"/>
      <c r="E596" s="182"/>
      <c r="F596" s="182"/>
      <c r="G596" s="182"/>
      <c r="H596" s="182"/>
      <c r="I596" s="182"/>
      <c r="J596" s="182"/>
      <c r="K596" s="182"/>
      <c r="L596" s="180"/>
      <c r="M596" s="182"/>
      <c r="N596" s="182"/>
      <c r="O596" s="182"/>
      <c r="P596" s="180"/>
      <c r="Q596" s="180"/>
      <c r="R596" s="180"/>
      <c r="S596" s="184"/>
      <c r="T596" s="182"/>
      <c r="U596" s="182"/>
      <c r="V596" s="182"/>
      <c r="W596" s="182"/>
      <c r="X596" s="182"/>
    </row>
    <row r="597" spans="1:24">
      <c r="A597" s="182"/>
      <c r="B597" s="182"/>
      <c r="C597" s="182"/>
      <c r="D597" s="182"/>
      <c r="E597" s="182"/>
      <c r="F597" s="182"/>
      <c r="G597" s="182"/>
      <c r="H597" s="182"/>
      <c r="I597" s="182"/>
      <c r="J597" s="182"/>
      <c r="K597" s="182"/>
      <c r="L597" s="180"/>
      <c r="M597" s="182"/>
      <c r="N597" s="182"/>
      <c r="O597" s="182"/>
      <c r="P597" s="180"/>
      <c r="Q597" s="180"/>
      <c r="R597" s="180"/>
      <c r="S597" s="184"/>
      <c r="T597" s="182"/>
      <c r="U597" s="182"/>
      <c r="V597" s="182"/>
      <c r="W597" s="182"/>
      <c r="X597" s="182"/>
    </row>
    <row r="598" spans="1:24">
      <c r="A598" s="182"/>
      <c r="B598" s="182"/>
      <c r="C598" s="182"/>
      <c r="D598" s="182"/>
      <c r="E598" s="182"/>
      <c r="F598" s="182"/>
      <c r="G598" s="182"/>
      <c r="H598" s="182"/>
      <c r="I598" s="182"/>
      <c r="J598" s="182"/>
      <c r="K598" s="182"/>
      <c r="L598" s="180"/>
      <c r="M598" s="182"/>
      <c r="N598" s="182"/>
      <c r="O598" s="182"/>
      <c r="P598" s="180"/>
      <c r="Q598" s="180"/>
      <c r="R598" s="180"/>
      <c r="S598" s="184"/>
      <c r="T598" s="182"/>
      <c r="U598" s="182"/>
      <c r="V598" s="182"/>
      <c r="W598" s="182"/>
      <c r="X598" s="182"/>
    </row>
    <row r="599" spans="1:24">
      <c r="A599" s="182"/>
      <c r="B599" s="182"/>
      <c r="C599" s="182"/>
      <c r="D599" s="182"/>
      <c r="E599" s="182"/>
      <c r="F599" s="182"/>
      <c r="G599" s="182"/>
      <c r="H599" s="182"/>
      <c r="I599" s="182"/>
      <c r="J599" s="182"/>
      <c r="K599" s="182"/>
      <c r="L599" s="180"/>
      <c r="M599" s="182"/>
      <c r="N599" s="182"/>
      <c r="O599" s="182"/>
      <c r="P599" s="180"/>
      <c r="Q599" s="180"/>
      <c r="R599" s="180"/>
      <c r="S599" s="184"/>
      <c r="T599" s="182"/>
      <c r="U599" s="182"/>
      <c r="V599" s="182"/>
      <c r="W599" s="182"/>
      <c r="X599" s="182"/>
    </row>
    <row r="600" spans="1:24">
      <c r="A600" s="182"/>
      <c r="B600" s="182"/>
      <c r="C600" s="182"/>
      <c r="D600" s="182"/>
      <c r="E600" s="182"/>
      <c r="F600" s="182"/>
      <c r="G600" s="182"/>
      <c r="H600" s="182"/>
      <c r="I600" s="182"/>
      <c r="J600" s="182"/>
      <c r="K600" s="182"/>
      <c r="L600" s="180"/>
      <c r="M600" s="182"/>
      <c r="N600" s="182"/>
      <c r="O600" s="182"/>
      <c r="P600" s="180"/>
      <c r="Q600" s="180"/>
      <c r="R600" s="180"/>
      <c r="S600" s="184"/>
      <c r="T600" s="182"/>
      <c r="U600" s="182"/>
      <c r="V600" s="182"/>
      <c r="W600" s="182"/>
      <c r="X600" s="182"/>
    </row>
    <row r="601" spans="1:24">
      <c r="A601" s="182"/>
      <c r="B601" s="182"/>
      <c r="C601" s="182"/>
      <c r="D601" s="182"/>
      <c r="E601" s="182"/>
      <c r="F601" s="182"/>
      <c r="G601" s="182"/>
      <c r="H601" s="182"/>
      <c r="I601" s="182"/>
      <c r="J601" s="182"/>
      <c r="K601" s="182"/>
      <c r="L601" s="180"/>
      <c r="M601" s="182"/>
      <c r="N601" s="182"/>
      <c r="O601" s="182"/>
      <c r="P601" s="180"/>
      <c r="Q601" s="180"/>
      <c r="R601" s="180"/>
      <c r="S601" s="184"/>
      <c r="T601" s="182"/>
      <c r="U601" s="182"/>
      <c r="V601" s="182"/>
      <c r="W601" s="182"/>
      <c r="X601" s="182"/>
    </row>
    <row r="602" spans="1:24">
      <c r="A602" s="182"/>
      <c r="B602" s="182"/>
      <c r="C602" s="182"/>
      <c r="D602" s="182"/>
      <c r="E602" s="182"/>
      <c r="F602" s="182"/>
      <c r="G602" s="182"/>
      <c r="H602" s="182"/>
      <c r="I602" s="182"/>
      <c r="J602" s="182"/>
      <c r="K602" s="182"/>
      <c r="L602" s="180"/>
      <c r="M602" s="182"/>
      <c r="N602" s="182"/>
      <c r="O602" s="182"/>
      <c r="P602" s="180"/>
      <c r="Q602" s="180"/>
      <c r="R602" s="180"/>
      <c r="S602" s="184"/>
      <c r="T602" s="182"/>
      <c r="U602" s="182"/>
      <c r="V602" s="182"/>
      <c r="W602" s="182"/>
      <c r="X602" s="182"/>
    </row>
    <row r="603" spans="1:24">
      <c r="A603" s="182"/>
      <c r="B603" s="182"/>
      <c r="C603" s="182"/>
      <c r="D603" s="182"/>
      <c r="E603" s="182"/>
      <c r="F603" s="182"/>
      <c r="G603" s="182"/>
      <c r="H603" s="182"/>
      <c r="I603" s="182"/>
      <c r="J603" s="182"/>
      <c r="K603" s="182"/>
      <c r="L603" s="180"/>
      <c r="M603" s="182"/>
      <c r="N603" s="182"/>
      <c r="O603" s="182"/>
      <c r="P603" s="180"/>
      <c r="Q603" s="180"/>
      <c r="R603" s="180"/>
      <c r="S603" s="184"/>
      <c r="T603" s="182"/>
      <c r="U603" s="182"/>
      <c r="V603" s="182"/>
      <c r="W603" s="182"/>
      <c r="X603" s="182"/>
    </row>
    <row r="604" spans="1:24">
      <c r="A604" s="182"/>
      <c r="B604" s="182"/>
      <c r="C604" s="182"/>
      <c r="D604" s="182"/>
      <c r="E604" s="182"/>
      <c r="F604" s="182"/>
      <c r="G604" s="182"/>
      <c r="H604" s="182"/>
      <c r="I604" s="182"/>
      <c r="J604" s="182"/>
      <c r="K604" s="182"/>
      <c r="L604" s="180"/>
      <c r="M604" s="182"/>
      <c r="N604" s="182"/>
      <c r="O604" s="182"/>
      <c r="P604" s="180"/>
      <c r="Q604" s="180"/>
      <c r="R604" s="180"/>
      <c r="S604" s="184"/>
      <c r="T604" s="182"/>
      <c r="U604" s="182"/>
      <c r="V604" s="182"/>
      <c r="W604" s="182"/>
      <c r="X604" s="182"/>
    </row>
    <row r="605" spans="1:24">
      <c r="A605" s="182"/>
      <c r="B605" s="182"/>
      <c r="C605" s="182"/>
      <c r="D605" s="182"/>
      <c r="E605" s="182"/>
      <c r="F605" s="182"/>
      <c r="G605" s="182"/>
      <c r="H605" s="182"/>
      <c r="I605" s="182"/>
      <c r="J605" s="182"/>
      <c r="K605" s="182"/>
      <c r="L605" s="180"/>
      <c r="M605" s="182"/>
      <c r="N605" s="182"/>
      <c r="O605" s="182"/>
      <c r="P605" s="180"/>
      <c r="Q605" s="180"/>
      <c r="R605" s="180"/>
      <c r="S605" s="184"/>
      <c r="T605" s="182"/>
      <c r="U605" s="182"/>
      <c r="V605" s="182"/>
      <c r="W605" s="182"/>
      <c r="X605" s="182"/>
    </row>
    <row r="606" spans="1:24">
      <c r="A606" s="182"/>
      <c r="B606" s="182"/>
      <c r="C606" s="182"/>
      <c r="D606" s="182"/>
      <c r="E606" s="182"/>
      <c r="F606" s="182"/>
      <c r="G606" s="182"/>
      <c r="H606" s="182"/>
      <c r="I606" s="182"/>
      <c r="J606" s="182"/>
      <c r="K606" s="182"/>
      <c r="L606" s="180"/>
      <c r="M606" s="182"/>
      <c r="N606" s="182"/>
      <c r="O606" s="182"/>
      <c r="P606" s="180"/>
      <c r="Q606" s="180"/>
      <c r="R606" s="180"/>
      <c r="S606" s="184"/>
      <c r="T606" s="182"/>
      <c r="U606" s="182"/>
      <c r="V606" s="182"/>
      <c r="W606" s="182"/>
      <c r="X606" s="182"/>
    </row>
    <row r="607" spans="1:24">
      <c r="A607" s="182"/>
      <c r="B607" s="182"/>
      <c r="C607" s="182"/>
      <c r="D607" s="182"/>
      <c r="E607" s="182"/>
      <c r="F607" s="182"/>
      <c r="G607" s="182"/>
      <c r="H607" s="182"/>
      <c r="I607" s="182"/>
      <c r="J607" s="182"/>
      <c r="K607" s="182"/>
      <c r="L607" s="180"/>
      <c r="M607" s="182"/>
      <c r="N607" s="182"/>
      <c r="O607" s="182"/>
      <c r="P607" s="180"/>
      <c r="Q607" s="180"/>
      <c r="R607" s="180"/>
      <c r="S607" s="184"/>
      <c r="T607" s="182"/>
      <c r="U607" s="182"/>
      <c r="V607" s="182"/>
      <c r="W607" s="182"/>
      <c r="X607" s="182"/>
    </row>
    <row r="608" spans="1:24">
      <c r="A608" s="182"/>
      <c r="B608" s="182"/>
      <c r="C608" s="182"/>
      <c r="D608" s="182"/>
      <c r="E608" s="182"/>
      <c r="F608" s="182"/>
      <c r="G608" s="182"/>
      <c r="H608" s="182"/>
      <c r="I608" s="182"/>
      <c r="J608" s="182"/>
      <c r="K608" s="182"/>
      <c r="L608" s="180"/>
      <c r="M608" s="182"/>
      <c r="N608" s="182"/>
      <c r="O608" s="182"/>
      <c r="P608" s="180"/>
      <c r="Q608" s="180"/>
      <c r="R608" s="180"/>
      <c r="S608" s="184"/>
      <c r="T608" s="182"/>
      <c r="U608" s="182"/>
      <c r="V608" s="182"/>
      <c r="W608" s="182"/>
      <c r="X608" s="182"/>
    </row>
    <row r="609" spans="1:24">
      <c r="A609" s="182"/>
      <c r="B609" s="182"/>
      <c r="C609" s="182"/>
      <c r="D609" s="182"/>
      <c r="E609" s="182"/>
      <c r="F609" s="182"/>
      <c r="G609" s="182"/>
      <c r="H609" s="182"/>
      <c r="I609" s="182"/>
      <c r="J609" s="182"/>
      <c r="K609" s="182"/>
      <c r="L609" s="180"/>
      <c r="M609" s="182"/>
      <c r="N609" s="182"/>
      <c r="O609" s="182"/>
      <c r="P609" s="180"/>
      <c r="Q609" s="180"/>
      <c r="R609" s="180"/>
      <c r="S609" s="184"/>
      <c r="T609" s="182"/>
      <c r="U609" s="182"/>
      <c r="V609" s="182"/>
      <c r="W609" s="182"/>
      <c r="X609" s="182"/>
    </row>
    <row r="610" spans="1:24">
      <c r="A610" s="182"/>
      <c r="B610" s="182"/>
      <c r="C610" s="182"/>
      <c r="D610" s="182"/>
      <c r="E610" s="182"/>
      <c r="F610" s="182"/>
      <c r="G610" s="182"/>
      <c r="H610" s="182"/>
      <c r="I610" s="182"/>
      <c r="J610" s="182"/>
      <c r="K610" s="182"/>
      <c r="L610" s="180"/>
      <c r="M610" s="182"/>
      <c r="N610" s="182"/>
      <c r="O610" s="182"/>
      <c r="P610" s="180"/>
      <c r="Q610" s="180"/>
      <c r="R610" s="180"/>
      <c r="S610" s="184"/>
      <c r="T610" s="182"/>
      <c r="U610" s="182"/>
      <c r="V610" s="182"/>
      <c r="W610" s="182"/>
      <c r="X610" s="182"/>
    </row>
    <row r="611" spans="1:24">
      <c r="A611" s="182"/>
      <c r="B611" s="182"/>
      <c r="C611" s="182"/>
      <c r="D611" s="182"/>
      <c r="E611" s="182"/>
      <c r="F611" s="182"/>
      <c r="G611" s="182"/>
      <c r="H611" s="182"/>
      <c r="I611" s="182"/>
      <c r="J611" s="182"/>
      <c r="K611" s="182"/>
      <c r="L611" s="180"/>
      <c r="M611" s="182"/>
      <c r="N611" s="182"/>
      <c r="O611" s="182"/>
      <c r="P611" s="180"/>
      <c r="Q611" s="180"/>
      <c r="R611" s="180"/>
      <c r="S611" s="184"/>
      <c r="T611" s="182"/>
      <c r="U611" s="182"/>
      <c r="V611" s="182"/>
      <c r="W611" s="182"/>
      <c r="X611" s="182"/>
    </row>
    <row r="612" spans="1:24">
      <c r="A612" s="182"/>
      <c r="B612" s="182"/>
      <c r="C612" s="182"/>
      <c r="D612" s="182"/>
      <c r="E612" s="182"/>
      <c r="F612" s="182"/>
      <c r="G612" s="182"/>
      <c r="H612" s="182"/>
      <c r="I612" s="182"/>
      <c r="J612" s="182"/>
      <c r="K612" s="182"/>
      <c r="L612" s="180"/>
      <c r="M612" s="182"/>
      <c r="N612" s="182"/>
      <c r="O612" s="182"/>
      <c r="P612" s="180"/>
      <c r="Q612" s="180"/>
      <c r="R612" s="180"/>
      <c r="S612" s="184"/>
      <c r="T612" s="182"/>
      <c r="U612" s="182"/>
      <c r="V612" s="182"/>
      <c r="W612" s="182"/>
      <c r="X612" s="182"/>
    </row>
    <row r="613" spans="1:24">
      <c r="A613" s="182"/>
      <c r="B613" s="182"/>
      <c r="C613" s="182"/>
      <c r="D613" s="182"/>
      <c r="E613" s="182"/>
      <c r="F613" s="182"/>
      <c r="G613" s="182"/>
      <c r="H613" s="182"/>
      <c r="I613" s="182"/>
      <c r="J613" s="182"/>
      <c r="K613" s="182"/>
      <c r="L613" s="180"/>
      <c r="M613" s="182"/>
      <c r="N613" s="182"/>
      <c r="O613" s="182"/>
      <c r="P613" s="180"/>
      <c r="Q613" s="180"/>
      <c r="R613" s="180"/>
      <c r="S613" s="184"/>
      <c r="T613" s="182"/>
      <c r="U613" s="182"/>
      <c r="V613" s="182"/>
      <c r="W613" s="182"/>
      <c r="X613" s="182"/>
    </row>
    <row r="614" spans="1:24">
      <c r="A614" s="182"/>
      <c r="B614" s="182"/>
      <c r="C614" s="182"/>
      <c r="D614" s="182"/>
      <c r="E614" s="182"/>
      <c r="F614" s="182"/>
      <c r="G614" s="182"/>
      <c r="H614" s="182"/>
      <c r="I614" s="182"/>
      <c r="J614" s="182"/>
      <c r="K614" s="182"/>
      <c r="L614" s="180"/>
      <c r="M614" s="182"/>
      <c r="N614" s="182"/>
      <c r="O614" s="182"/>
      <c r="P614" s="180"/>
      <c r="Q614" s="180"/>
      <c r="R614" s="180"/>
      <c r="S614" s="184"/>
      <c r="T614" s="182"/>
      <c r="U614" s="182"/>
      <c r="V614" s="182"/>
      <c r="W614" s="182"/>
      <c r="X614" s="182"/>
    </row>
    <row r="615" spans="1:24">
      <c r="A615" s="182"/>
      <c r="B615" s="182"/>
      <c r="C615" s="182"/>
      <c r="D615" s="182"/>
      <c r="E615" s="182"/>
      <c r="F615" s="182"/>
      <c r="G615" s="182"/>
      <c r="H615" s="182"/>
      <c r="I615" s="182"/>
      <c r="J615" s="182"/>
      <c r="K615" s="182"/>
      <c r="L615" s="180"/>
      <c r="M615" s="182"/>
      <c r="N615" s="182"/>
      <c r="O615" s="182"/>
      <c r="P615" s="180"/>
      <c r="Q615" s="180"/>
      <c r="R615" s="180"/>
      <c r="S615" s="184"/>
      <c r="T615" s="182"/>
      <c r="U615" s="182"/>
      <c r="V615" s="182"/>
      <c r="W615" s="182"/>
      <c r="X615" s="182"/>
    </row>
    <row r="616" spans="1:24">
      <c r="A616" s="182"/>
      <c r="B616" s="182"/>
      <c r="C616" s="182"/>
      <c r="D616" s="182"/>
      <c r="E616" s="182"/>
      <c r="F616" s="182"/>
      <c r="G616" s="182"/>
      <c r="H616" s="182"/>
      <c r="I616" s="182"/>
      <c r="J616" s="182"/>
      <c r="K616" s="182"/>
      <c r="L616" s="180"/>
      <c r="M616" s="182"/>
      <c r="N616" s="182"/>
      <c r="O616" s="182"/>
      <c r="P616" s="180"/>
      <c r="Q616" s="180"/>
      <c r="R616" s="180"/>
      <c r="S616" s="184"/>
      <c r="T616" s="182"/>
      <c r="U616" s="182"/>
      <c r="V616" s="182"/>
      <c r="W616" s="182"/>
      <c r="X616" s="182"/>
    </row>
    <row r="617" spans="1:24">
      <c r="A617" s="182"/>
      <c r="B617" s="182"/>
      <c r="C617" s="182"/>
      <c r="D617" s="182"/>
      <c r="E617" s="182"/>
      <c r="F617" s="182"/>
      <c r="G617" s="182"/>
      <c r="H617" s="182"/>
      <c r="I617" s="182"/>
      <c r="J617" s="182"/>
      <c r="K617" s="182"/>
      <c r="L617" s="180"/>
      <c r="M617" s="182"/>
      <c r="N617" s="182"/>
      <c r="O617" s="182"/>
      <c r="P617" s="180"/>
      <c r="Q617" s="180"/>
      <c r="R617" s="180"/>
      <c r="S617" s="184"/>
      <c r="T617" s="182"/>
      <c r="U617" s="182"/>
      <c r="V617" s="182"/>
      <c r="W617" s="182"/>
      <c r="X617" s="182"/>
    </row>
    <row r="618" spans="1:24">
      <c r="A618" s="182"/>
      <c r="B618" s="182"/>
      <c r="C618" s="182"/>
      <c r="D618" s="182"/>
      <c r="E618" s="182"/>
      <c r="F618" s="182"/>
      <c r="G618" s="182"/>
      <c r="H618" s="182"/>
      <c r="I618" s="182"/>
      <c r="J618" s="182"/>
      <c r="K618" s="182"/>
      <c r="L618" s="180"/>
      <c r="M618" s="182"/>
      <c r="N618" s="182"/>
      <c r="O618" s="182"/>
      <c r="P618" s="180"/>
      <c r="Q618" s="180"/>
      <c r="R618" s="180"/>
      <c r="S618" s="184"/>
      <c r="T618" s="182"/>
      <c r="U618" s="182"/>
      <c r="V618" s="182"/>
      <c r="W618" s="182"/>
      <c r="X618" s="182"/>
    </row>
    <row r="619" spans="1:24">
      <c r="A619" s="182"/>
      <c r="B619" s="182"/>
      <c r="C619" s="182"/>
      <c r="D619" s="182"/>
      <c r="E619" s="182"/>
      <c r="F619" s="182"/>
      <c r="G619" s="182"/>
      <c r="H619" s="182"/>
      <c r="I619" s="182"/>
      <c r="J619" s="182"/>
      <c r="K619" s="182"/>
      <c r="L619" s="180"/>
      <c r="M619" s="182"/>
      <c r="N619" s="182"/>
      <c r="O619" s="182"/>
      <c r="P619" s="180"/>
      <c r="Q619" s="180"/>
      <c r="R619" s="180"/>
      <c r="S619" s="184"/>
      <c r="T619" s="182"/>
      <c r="U619" s="182"/>
      <c r="V619" s="182"/>
      <c r="W619" s="182"/>
      <c r="X619" s="182"/>
    </row>
    <row r="620" spans="1:24">
      <c r="A620" s="182"/>
      <c r="B620" s="182"/>
      <c r="C620" s="182"/>
      <c r="D620" s="182"/>
      <c r="E620" s="182"/>
      <c r="F620" s="182"/>
      <c r="G620" s="182"/>
      <c r="H620" s="182"/>
      <c r="I620" s="182"/>
      <c r="J620" s="182"/>
      <c r="K620" s="182"/>
      <c r="L620" s="180"/>
      <c r="M620" s="182"/>
      <c r="N620" s="182"/>
      <c r="O620" s="182"/>
      <c r="P620" s="180"/>
      <c r="Q620" s="180"/>
      <c r="R620" s="180"/>
      <c r="S620" s="184"/>
      <c r="T620" s="182"/>
      <c r="U620" s="182"/>
      <c r="V620" s="182"/>
      <c r="W620" s="182"/>
      <c r="X620" s="182"/>
    </row>
    <row r="621" spans="1:24">
      <c r="A621" s="182"/>
      <c r="B621" s="182"/>
      <c r="C621" s="182"/>
      <c r="D621" s="182"/>
      <c r="E621" s="182"/>
      <c r="F621" s="182"/>
      <c r="G621" s="182"/>
      <c r="H621" s="182"/>
      <c r="I621" s="182"/>
      <c r="J621" s="182"/>
      <c r="K621" s="182"/>
      <c r="L621" s="180"/>
      <c r="M621" s="182"/>
      <c r="N621" s="182"/>
      <c r="O621" s="182"/>
      <c r="P621" s="180"/>
      <c r="Q621" s="180"/>
      <c r="R621" s="180"/>
      <c r="S621" s="184"/>
      <c r="T621" s="182"/>
      <c r="U621" s="182"/>
      <c r="V621" s="182"/>
      <c r="W621" s="182"/>
      <c r="X621" s="182"/>
    </row>
    <row r="622" spans="1:24">
      <c r="A622" s="182"/>
      <c r="B622" s="182"/>
      <c r="C622" s="182"/>
      <c r="D622" s="182"/>
      <c r="E622" s="182"/>
      <c r="F622" s="182"/>
      <c r="G622" s="182"/>
      <c r="H622" s="182"/>
      <c r="I622" s="182"/>
      <c r="J622" s="182"/>
      <c r="K622" s="182"/>
      <c r="L622" s="180"/>
      <c r="M622" s="182"/>
      <c r="N622" s="182"/>
      <c r="O622" s="182"/>
      <c r="P622" s="180"/>
      <c r="Q622" s="180"/>
      <c r="R622" s="180"/>
      <c r="S622" s="184"/>
      <c r="T622" s="182"/>
      <c r="U622" s="182"/>
      <c r="V622" s="182"/>
      <c r="W622" s="182"/>
      <c r="X622" s="182"/>
    </row>
    <row r="623" spans="1:24">
      <c r="A623" s="182"/>
      <c r="B623" s="182"/>
      <c r="C623" s="182"/>
      <c r="D623" s="182"/>
      <c r="E623" s="182"/>
      <c r="F623" s="182"/>
      <c r="G623" s="182"/>
      <c r="H623" s="182"/>
      <c r="I623" s="182"/>
      <c r="J623" s="182"/>
      <c r="K623" s="182"/>
      <c r="L623" s="180"/>
      <c r="M623" s="182"/>
      <c r="N623" s="182"/>
      <c r="O623" s="182"/>
      <c r="P623" s="180"/>
      <c r="Q623" s="180"/>
      <c r="R623" s="180"/>
      <c r="S623" s="184"/>
      <c r="T623" s="182"/>
      <c r="U623" s="182"/>
      <c r="V623" s="182"/>
      <c r="W623" s="182"/>
      <c r="X623" s="182"/>
    </row>
    <row r="624" spans="1:24">
      <c r="A624" s="182"/>
      <c r="B624" s="182"/>
      <c r="C624" s="182"/>
      <c r="D624" s="182"/>
      <c r="E624" s="182"/>
      <c r="F624" s="182"/>
      <c r="G624" s="182"/>
      <c r="H624" s="182"/>
      <c r="I624" s="182"/>
      <c r="J624" s="182"/>
      <c r="K624" s="182"/>
      <c r="L624" s="180"/>
      <c r="M624" s="182"/>
      <c r="N624" s="182"/>
      <c r="O624" s="182"/>
      <c r="P624" s="180"/>
      <c r="Q624" s="180"/>
      <c r="R624" s="180"/>
      <c r="S624" s="184"/>
      <c r="T624" s="182"/>
      <c r="U624" s="182"/>
      <c r="V624" s="182"/>
      <c r="W624" s="182"/>
      <c r="X624" s="182"/>
    </row>
    <row r="625" spans="1:24">
      <c r="A625" s="182"/>
      <c r="B625" s="182"/>
      <c r="C625" s="182"/>
      <c r="D625" s="182"/>
      <c r="E625" s="182"/>
      <c r="F625" s="182"/>
      <c r="G625" s="182"/>
      <c r="H625" s="182"/>
      <c r="I625" s="182"/>
      <c r="J625" s="182"/>
      <c r="K625" s="182"/>
      <c r="L625" s="180"/>
      <c r="M625" s="182"/>
      <c r="N625" s="182"/>
      <c r="O625" s="182"/>
      <c r="P625" s="180"/>
      <c r="Q625" s="180"/>
      <c r="R625" s="180"/>
      <c r="S625" s="184"/>
      <c r="T625" s="182"/>
      <c r="U625" s="182"/>
      <c r="V625" s="182"/>
      <c r="W625" s="182"/>
      <c r="X625" s="182"/>
    </row>
    <row r="626" spans="1:24">
      <c r="A626" s="182"/>
      <c r="B626" s="182"/>
      <c r="C626" s="182"/>
      <c r="D626" s="182"/>
      <c r="E626" s="182"/>
      <c r="F626" s="182"/>
      <c r="G626" s="182"/>
      <c r="H626" s="182"/>
      <c r="I626" s="182"/>
      <c r="J626" s="182"/>
      <c r="K626" s="182"/>
      <c r="L626" s="180"/>
      <c r="M626" s="182"/>
      <c r="N626" s="182"/>
      <c r="O626" s="182"/>
      <c r="P626" s="180"/>
      <c r="Q626" s="180"/>
      <c r="R626" s="180"/>
      <c r="S626" s="184"/>
      <c r="T626" s="182"/>
      <c r="U626" s="182"/>
      <c r="V626" s="182"/>
      <c r="W626" s="182"/>
      <c r="X626" s="182"/>
    </row>
    <row r="627" spans="1:24">
      <c r="A627" s="182"/>
      <c r="B627" s="182"/>
      <c r="C627" s="182"/>
      <c r="D627" s="182"/>
      <c r="E627" s="182"/>
      <c r="F627" s="182"/>
      <c r="G627" s="182"/>
      <c r="H627" s="182"/>
      <c r="I627" s="182"/>
      <c r="J627" s="182"/>
      <c r="K627" s="182"/>
      <c r="L627" s="180"/>
      <c r="M627" s="182"/>
      <c r="N627" s="182"/>
      <c r="O627" s="182"/>
      <c r="P627" s="180"/>
      <c r="Q627" s="180"/>
      <c r="R627" s="180"/>
      <c r="S627" s="184"/>
      <c r="T627" s="182"/>
      <c r="U627" s="182"/>
      <c r="V627" s="182"/>
      <c r="W627" s="182"/>
      <c r="X627" s="182"/>
    </row>
    <row r="628" spans="1:24">
      <c r="A628" s="182"/>
      <c r="B628" s="182"/>
      <c r="C628" s="182"/>
      <c r="D628" s="182"/>
      <c r="E628" s="182"/>
      <c r="F628" s="182"/>
      <c r="G628" s="182"/>
      <c r="H628" s="182"/>
      <c r="I628" s="182"/>
      <c r="J628" s="182"/>
      <c r="K628" s="182"/>
      <c r="L628" s="180"/>
      <c r="M628" s="182"/>
      <c r="N628" s="182"/>
      <c r="O628" s="182"/>
      <c r="P628" s="180"/>
      <c r="Q628" s="180"/>
      <c r="R628" s="180"/>
      <c r="S628" s="184"/>
      <c r="T628" s="182"/>
      <c r="U628" s="182"/>
      <c r="V628" s="182"/>
      <c r="W628" s="182"/>
      <c r="X628" s="182"/>
    </row>
    <row r="629" spans="1:24">
      <c r="A629" s="182"/>
      <c r="B629" s="182"/>
      <c r="C629" s="182"/>
      <c r="D629" s="182"/>
      <c r="E629" s="182"/>
      <c r="F629" s="182"/>
      <c r="G629" s="182"/>
      <c r="H629" s="182"/>
      <c r="I629" s="182"/>
      <c r="J629" s="182"/>
      <c r="K629" s="182"/>
      <c r="L629" s="180"/>
      <c r="M629" s="182"/>
      <c r="N629" s="182"/>
      <c r="O629" s="182"/>
      <c r="P629" s="180"/>
      <c r="Q629" s="180"/>
      <c r="R629" s="180"/>
      <c r="S629" s="184"/>
      <c r="T629" s="182"/>
      <c r="U629" s="182"/>
      <c r="V629" s="182"/>
      <c r="W629" s="182"/>
      <c r="X629" s="182"/>
    </row>
    <row r="630" spans="1:24">
      <c r="A630" s="182"/>
      <c r="B630" s="182"/>
      <c r="C630" s="182"/>
      <c r="D630" s="182"/>
      <c r="E630" s="182"/>
      <c r="F630" s="182"/>
      <c r="G630" s="182"/>
      <c r="H630" s="182"/>
      <c r="I630" s="182"/>
      <c r="J630" s="182"/>
      <c r="K630" s="182"/>
      <c r="L630" s="180"/>
      <c r="M630" s="182"/>
      <c r="N630" s="182"/>
      <c r="O630" s="182"/>
      <c r="P630" s="180"/>
      <c r="Q630" s="180"/>
      <c r="R630" s="180"/>
      <c r="S630" s="184"/>
      <c r="T630" s="182"/>
      <c r="U630" s="182"/>
      <c r="V630" s="182"/>
      <c r="W630" s="182"/>
      <c r="X630" s="182"/>
    </row>
    <row r="631" spans="1:24">
      <c r="A631" s="182"/>
      <c r="B631" s="182"/>
      <c r="C631" s="182"/>
      <c r="D631" s="182"/>
      <c r="E631" s="182"/>
      <c r="F631" s="182"/>
      <c r="G631" s="182"/>
      <c r="H631" s="182"/>
      <c r="I631" s="182"/>
      <c r="J631" s="182"/>
      <c r="K631" s="182"/>
      <c r="L631" s="180"/>
      <c r="M631" s="182"/>
      <c r="N631" s="182"/>
      <c r="O631" s="182"/>
      <c r="P631" s="180"/>
      <c r="Q631" s="180"/>
      <c r="R631" s="180"/>
      <c r="S631" s="184"/>
      <c r="T631" s="182"/>
      <c r="U631" s="182"/>
      <c r="V631" s="182"/>
      <c r="W631" s="182"/>
      <c r="X631" s="182"/>
    </row>
    <row r="632" spans="1:24">
      <c r="A632" s="182"/>
      <c r="B632" s="182"/>
      <c r="C632" s="182"/>
      <c r="D632" s="182"/>
      <c r="E632" s="182"/>
      <c r="F632" s="182"/>
      <c r="G632" s="182"/>
      <c r="H632" s="182"/>
      <c r="I632" s="182"/>
      <c r="J632" s="182"/>
      <c r="K632" s="182"/>
      <c r="L632" s="180"/>
      <c r="M632" s="182"/>
      <c r="N632" s="182"/>
      <c r="O632" s="182"/>
      <c r="P632" s="180"/>
      <c r="Q632" s="180"/>
      <c r="R632" s="180"/>
      <c r="S632" s="184"/>
      <c r="T632" s="182"/>
      <c r="U632" s="182"/>
      <c r="V632" s="182"/>
      <c r="W632" s="182"/>
      <c r="X632" s="182"/>
    </row>
    <row r="633" spans="1:24">
      <c r="A633" s="182"/>
      <c r="B633" s="182"/>
      <c r="C633" s="182"/>
      <c r="D633" s="182"/>
      <c r="E633" s="182"/>
      <c r="F633" s="182"/>
      <c r="G633" s="182"/>
      <c r="H633" s="182"/>
      <c r="I633" s="182"/>
      <c r="J633" s="182"/>
      <c r="K633" s="182"/>
      <c r="L633" s="180"/>
      <c r="M633" s="182"/>
      <c r="N633" s="182"/>
      <c r="O633" s="182"/>
      <c r="P633" s="180"/>
      <c r="Q633" s="180"/>
      <c r="R633" s="180"/>
      <c r="S633" s="184"/>
      <c r="T633" s="182"/>
      <c r="U633" s="182"/>
      <c r="V633" s="182"/>
      <c r="W633" s="182"/>
      <c r="X633" s="182"/>
    </row>
    <row r="634" spans="1:24">
      <c r="A634" s="182"/>
      <c r="B634" s="182"/>
      <c r="C634" s="182"/>
      <c r="D634" s="182"/>
      <c r="E634" s="182"/>
      <c r="F634" s="182"/>
      <c r="G634" s="182"/>
      <c r="H634" s="182"/>
      <c r="I634" s="182"/>
      <c r="J634" s="182"/>
      <c r="K634" s="182"/>
      <c r="L634" s="180"/>
      <c r="M634" s="182"/>
      <c r="N634" s="182"/>
      <c r="O634" s="182"/>
      <c r="P634" s="180"/>
      <c r="Q634" s="180"/>
      <c r="R634" s="180"/>
      <c r="S634" s="184"/>
      <c r="T634" s="182"/>
      <c r="U634" s="182"/>
      <c r="V634" s="182"/>
      <c r="W634" s="182"/>
      <c r="X634" s="182"/>
    </row>
    <row r="635" spans="1:24">
      <c r="A635" s="182"/>
      <c r="B635" s="182"/>
      <c r="C635" s="182"/>
      <c r="D635" s="182"/>
      <c r="E635" s="182"/>
      <c r="F635" s="182"/>
      <c r="G635" s="182"/>
      <c r="H635" s="182"/>
      <c r="I635" s="182"/>
      <c r="J635" s="182"/>
      <c r="K635" s="182"/>
      <c r="L635" s="180"/>
      <c r="M635" s="182"/>
      <c r="N635" s="182"/>
      <c r="O635" s="182"/>
      <c r="P635" s="180"/>
      <c r="Q635" s="180"/>
      <c r="R635" s="180"/>
      <c r="S635" s="184"/>
      <c r="T635" s="182"/>
      <c r="U635" s="182"/>
      <c r="V635" s="182"/>
      <c r="W635" s="182"/>
      <c r="X635" s="182"/>
    </row>
    <row r="636" spans="1:24">
      <c r="A636" s="182"/>
      <c r="B636" s="182"/>
      <c r="C636" s="182"/>
      <c r="D636" s="182"/>
      <c r="E636" s="182"/>
      <c r="F636" s="182"/>
      <c r="G636" s="182"/>
      <c r="H636" s="182"/>
      <c r="I636" s="182"/>
      <c r="J636" s="182"/>
      <c r="K636" s="182"/>
      <c r="L636" s="180"/>
      <c r="M636" s="182"/>
      <c r="N636" s="182"/>
      <c r="O636" s="182"/>
      <c r="P636" s="180"/>
      <c r="Q636" s="180"/>
      <c r="R636" s="180"/>
      <c r="S636" s="184"/>
      <c r="T636" s="182"/>
      <c r="U636" s="182"/>
      <c r="V636" s="182"/>
      <c r="W636" s="182"/>
      <c r="X636" s="182"/>
    </row>
    <row r="637" spans="1:24">
      <c r="A637" s="182"/>
      <c r="B637" s="182"/>
      <c r="C637" s="182"/>
      <c r="D637" s="182"/>
      <c r="E637" s="182"/>
      <c r="F637" s="182"/>
      <c r="G637" s="182"/>
      <c r="H637" s="182"/>
      <c r="I637" s="182"/>
      <c r="J637" s="182"/>
      <c r="K637" s="182"/>
      <c r="L637" s="180"/>
      <c r="M637" s="182"/>
      <c r="N637" s="182"/>
      <c r="O637" s="182"/>
      <c r="P637" s="180"/>
      <c r="Q637" s="180"/>
      <c r="R637" s="180"/>
      <c r="S637" s="184"/>
      <c r="T637" s="182"/>
      <c r="U637" s="182"/>
      <c r="V637" s="182"/>
      <c r="W637" s="182"/>
      <c r="X637" s="182"/>
    </row>
    <row r="638" spans="1:24">
      <c r="A638" s="182"/>
      <c r="B638" s="182"/>
      <c r="C638" s="182"/>
      <c r="D638" s="182"/>
      <c r="E638" s="182"/>
      <c r="F638" s="182"/>
      <c r="G638" s="182"/>
      <c r="H638" s="182"/>
      <c r="I638" s="182"/>
      <c r="J638" s="182"/>
      <c r="K638" s="182"/>
      <c r="L638" s="180"/>
      <c r="M638" s="182"/>
      <c r="N638" s="182"/>
      <c r="O638" s="182"/>
      <c r="P638" s="180"/>
      <c r="Q638" s="180"/>
      <c r="R638" s="180"/>
      <c r="S638" s="184"/>
      <c r="T638" s="182"/>
      <c r="U638" s="182"/>
      <c r="V638" s="182"/>
      <c r="W638" s="182"/>
      <c r="X638" s="182"/>
    </row>
    <row r="639" spans="1:24">
      <c r="A639" s="182"/>
      <c r="B639" s="182"/>
      <c r="C639" s="182"/>
      <c r="D639" s="182"/>
      <c r="E639" s="182"/>
      <c r="F639" s="182"/>
      <c r="G639" s="182"/>
      <c r="H639" s="182"/>
      <c r="I639" s="182"/>
      <c r="J639" s="182"/>
      <c r="K639" s="182"/>
      <c r="L639" s="180"/>
      <c r="M639" s="182"/>
      <c r="N639" s="182"/>
      <c r="O639" s="182"/>
      <c r="P639" s="180"/>
      <c r="Q639" s="180"/>
      <c r="R639" s="180"/>
      <c r="S639" s="184"/>
      <c r="T639" s="182"/>
      <c r="U639" s="182"/>
      <c r="V639" s="182"/>
      <c r="W639" s="182"/>
      <c r="X639" s="182"/>
    </row>
    <row r="640" spans="1:24">
      <c r="A640" s="182"/>
      <c r="B640" s="182"/>
      <c r="C640" s="182"/>
      <c r="D640" s="182"/>
      <c r="E640" s="182"/>
      <c r="F640" s="182"/>
      <c r="G640" s="182"/>
      <c r="H640" s="182"/>
      <c r="I640" s="182"/>
      <c r="J640" s="182"/>
      <c r="K640" s="182"/>
      <c r="L640" s="180"/>
      <c r="M640" s="182"/>
      <c r="N640" s="182"/>
      <c r="O640" s="182"/>
      <c r="P640" s="180"/>
      <c r="Q640" s="180"/>
      <c r="R640" s="180"/>
      <c r="S640" s="184"/>
      <c r="T640" s="182"/>
      <c r="U640" s="182"/>
      <c r="V640" s="182"/>
      <c r="W640" s="182"/>
      <c r="X640" s="182"/>
    </row>
    <row r="641" spans="1:24">
      <c r="A641" s="182"/>
      <c r="B641" s="182"/>
      <c r="C641" s="182"/>
      <c r="D641" s="182"/>
      <c r="E641" s="182"/>
      <c r="F641" s="182"/>
      <c r="G641" s="182"/>
      <c r="H641" s="182"/>
      <c r="I641" s="182"/>
      <c r="J641" s="182"/>
      <c r="K641" s="182"/>
      <c r="L641" s="180"/>
      <c r="M641" s="182"/>
      <c r="N641" s="182"/>
      <c r="O641" s="182"/>
      <c r="P641" s="180"/>
      <c r="Q641" s="180"/>
      <c r="R641" s="180"/>
      <c r="S641" s="184"/>
      <c r="T641" s="182"/>
      <c r="U641" s="182"/>
      <c r="V641" s="182"/>
      <c r="W641" s="182"/>
      <c r="X641" s="182"/>
    </row>
    <row r="642" spans="1:24">
      <c r="A642" s="182"/>
      <c r="B642" s="182"/>
      <c r="C642" s="182"/>
      <c r="D642" s="182"/>
      <c r="E642" s="182"/>
      <c r="F642" s="182"/>
      <c r="G642" s="182"/>
      <c r="H642" s="182"/>
      <c r="I642" s="182"/>
      <c r="J642" s="182"/>
      <c r="K642" s="182"/>
      <c r="L642" s="180"/>
      <c r="M642" s="182"/>
      <c r="N642" s="182"/>
      <c r="O642" s="182"/>
      <c r="P642" s="180"/>
      <c r="Q642" s="180"/>
      <c r="R642" s="180"/>
      <c r="S642" s="184"/>
      <c r="T642" s="182"/>
      <c r="U642" s="182"/>
      <c r="V642" s="182"/>
      <c r="W642" s="182"/>
      <c r="X642" s="182"/>
    </row>
    <row r="643" spans="1:24">
      <c r="A643" s="182"/>
      <c r="B643" s="182"/>
      <c r="C643" s="182"/>
      <c r="D643" s="182"/>
      <c r="E643" s="182"/>
      <c r="F643" s="182"/>
      <c r="G643" s="182"/>
      <c r="H643" s="182"/>
      <c r="I643" s="182"/>
      <c r="J643" s="182"/>
      <c r="K643" s="182"/>
      <c r="L643" s="180"/>
      <c r="M643" s="182"/>
      <c r="N643" s="182"/>
      <c r="O643" s="182"/>
      <c r="P643" s="180"/>
      <c r="Q643" s="180"/>
      <c r="R643" s="180"/>
      <c r="S643" s="184"/>
      <c r="T643" s="182"/>
      <c r="U643" s="182"/>
      <c r="V643" s="182"/>
      <c r="W643" s="182"/>
      <c r="X643" s="182"/>
    </row>
    <row r="644" spans="1:24">
      <c r="A644" s="182"/>
      <c r="B644" s="182"/>
      <c r="C644" s="182"/>
      <c r="D644" s="182"/>
      <c r="E644" s="182"/>
      <c r="F644" s="182"/>
      <c r="G644" s="182"/>
      <c r="H644" s="182"/>
      <c r="I644" s="182"/>
      <c r="J644" s="182"/>
      <c r="K644" s="182"/>
      <c r="L644" s="180"/>
      <c r="M644" s="182"/>
      <c r="N644" s="182"/>
      <c r="O644" s="182"/>
      <c r="P644" s="180"/>
      <c r="Q644" s="180"/>
      <c r="R644" s="180"/>
      <c r="S644" s="184"/>
      <c r="T644" s="182"/>
      <c r="U644" s="182"/>
      <c r="V644" s="182"/>
      <c r="W644" s="182"/>
      <c r="X644" s="182"/>
    </row>
    <row r="645" spans="1:24">
      <c r="A645" s="182"/>
      <c r="B645" s="182"/>
      <c r="C645" s="182"/>
      <c r="D645" s="182"/>
      <c r="E645" s="182"/>
      <c r="F645" s="182"/>
      <c r="G645" s="182"/>
      <c r="H645" s="182"/>
      <c r="I645" s="182"/>
      <c r="J645" s="182"/>
      <c r="K645" s="182"/>
      <c r="L645" s="180"/>
      <c r="M645" s="182"/>
      <c r="N645" s="182"/>
      <c r="O645" s="182"/>
      <c r="P645" s="180"/>
      <c r="Q645" s="180"/>
      <c r="R645" s="180"/>
      <c r="S645" s="184"/>
      <c r="T645" s="182"/>
      <c r="U645" s="182"/>
      <c r="V645" s="182"/>
      <c r="W645" s="182"/>
      <c r="X645" s="182"/>
    </row>
    <row r="646" spans="1:24">
      <c r="A646" s="182"/>
      <c r="B646" s="182"/>
      <c r="C646" s="182"/>
      <c r="D646" s="182"/>
      <c r="E646" s="182"/>
      <c r="F646" s="182"/>
      <c r="G646" s="182"/>
      <c r="H646" s="182"/>
      <c r="I646" s="182"/>
      <c r="J646" s="182"/>
      <c r="K646" s="182"/>
      <c r="L646" s="180"/>
      <c r="M646" s="182"/>
      <c r="N646" s="182"/>
      <c r="O646" s="182"/>
      <c r="P646" s="180"/>
      <c r="Q646" s="180"/>
      <c r="R646" s="180"/>
      <c r="S646" s="184"/>
      <c r="T646" s="182"/>
      <c r="U646" s="182"/>
      <c r="V646" s="182"/>
      <c r="W646" s="182"/>
      <c r="X646" s="182"/>
    </row>
    <row r="647" spans="1:24">
      <c r="A647" s="182"/>
      <c r="B647" s="182"/>
      <c r="C647" s="182"/>
      <c r="D647" s="182"/>
      <c r="E647" s="182"/>
      <c r="F647" s="182"/>
      <c r="G647" s="182"/>
      <c r="H647" s="182"/>
      <c r="I647" s="182"/>
      <c r="J647" s="182"/>
      <c r="K647" s="182"/>
      <c r="L647" s="180"/>
      <c r="M647" s="182"/>
      <c r="N647" s="182"/>
      <c r="O647" s="182"/>
      <c r="P647" s="180"/>
      <c r="Q647" s="180"/>
      <c r="R647" s="180"/>
      <c r="S647" s="184"/>
      <c r="T647" s="182"/>
      <c r="U647" s="182"/>
      <c r="V647" s="182"/>
      <c r="W647" s="182"/>
      <c r="X647" s="182"/>
    </row>
    <row r="648" spans="1:24">
      <c r="A648" s="182"/>
      <c r="B648" s="182"/>
      <c r="C648" s="182"/>
      <c r="D648" s="182"/>
      <c r="E648" s="182"/>
      <c r="F648" s="182"/>
      <c r="G648" s="182"/>
      <c r="H648" s="182"/>
      <c r="I648" s="182"/>
      <c r="J648" s="182"/>
      <c r="K648" s="182"/>
      <c r="L648" s="180"/>
      <c r="M648" s="182"/>
      <c r="N648" s="182"/>
      <c r="O648" s="182"/>
      <c r="P648" s="180"/>
      <c r="Q648" s="180"/>
      <c r="R648" s="180"/>
      <c r="S648" s="184"/>
      <c r="T648" s="182"/>
      <c r="U648" s="182"/>
      <c r="V648" s="182"/>
      <c r="W648" s="182"/>
      <c r="X648" s="182"/>
    </row>
    <row r="649" spans="1:24">
      <c r="A649" s="182"/>
      <c r="B649" s="182"/>
      <c r="C649" s="182"/>
      <c r="D649" s="182"/>
      <c r="E649" s="182"/>
      <c r="F649" s="182"/>
      <c r="G649" s="182"/>
      <c r="H649" s="182"/>
      <c r="I649" s="182"/>
      <c r="J649" s="182"/>
      <c r="K649" s="182"/>
      <c r="L649" s="180"/>
      <c r="M649" s="182"/>
      <c r="N649" s="182"/>
      <c r="O649" s="182"/>
      <c r="P649" s="180"/>
      <c r="Q649" s="180"/>
      <c r="R649" s="180"/>
      <c r="S649" s="184"/>
      <c r="T649" s="182"/>
      <c r="U649" s="182"/>
      <c r="V649" s="182"/>
      <c r="W649" s="182"/>
      <c r="X649" s="182"/>
    </row>
    <row r="650" spans="1:24">
      <c r="A650" s="182"/>
      <c r="B650" s="182"/>
      <c r="C650" s="182"/>
      <c r="D650" s="182"/>
      <c r="E650" s="182"/>
      <c r="F650" s="182"/>
      <c r="G650" s="182"/>
      <c r="H650" s="182"/>
      <c r="I650" s="182"/>
      <c r="J650" s="182"/>
      <c r="K650" s="182"/>
      <c r="L650" s="180"/>
      <c r="M650" s="182"/>
      <c r="N650" s="182"/>
      <c r="O650" s="182"/>
      <c r="P650" s="180"/>
      <c r="Q650" s="180"/>
      <c r="R650" s="180"/>
      <c r="S650" s="184"/>
      <c r="T650" s="182"/>
      <c r="U650" s="182"/>
      <c r="V650" s="182"/>
      <c r="W650" s="182"/>
      <c r="X650" s="182"/>
    </row>
    <row r="651" spans="1:24">
      <c r="A651" s="182"/>
      <c r="B651" s="182"/>
      <c r="C651" s="182"/>
      <c r="D651" s="182"/>
      <c r="E651" s="182"/>
      <c r="F651" s="182"/>
      <c r="G651" s="182"/>
      <c r="H651" s="182"/>
      <c r="I651" s="182"/>
      <c r="J651" s="182"/>
      <c r="K651" s="182"/>
      <c r="L651" s="180"/>
      <c r="M651" s="182"/>
      <c r="N651" s="182"/>
      <c r="O651" s="182"/>
      <c r="P651" s="180"/>
      <c r="Q651" s="180"/>
      <c r="R651" s="180"/>
      <c r="S651" s="184"/>
      <c r="T651" s="182"/>
      <c r="U651" s="182"/>
      <c r="V651" s="182"/>
      <c r="W651" s="182"/>
      <c r="X651" s="182"/>
    </row>
    <row r="652" spans="1:24">
      <c r="A652" s="182"/>
      <c r="B652" s="182"/>
      <c r="C652" s="182"/>
      <c r="D652" s="182"/>
      <c r="E652" s="182"/>
      <c r="F652" s="182"/>
      <c r="G652" s="182"/>
      <c r="H652" s="182"/>
      <c r="I652" s="182"/>
      <c r="J652" s="182"/>
      <c r="K652" s="182"/>
      <c r="L652" s="180"/>
      <c r="M652" s="182"/>
      <c r="N652" s="182"/>
      <c r="O652" s="182"/>
      <c r="P652" s="180"/>
      <c r="Q652" s="180"/>
      <c r="R652" s="180"/>
      <c r="S652" s="184"/>
      <c r="T652" s="182"/>
      <c r="U652" s="182"/>
      <c r="V652" s="182"/>
      <c r="W652" s="182"/>
      <c r="X652" s="182"/>
    </row>
    <row r="653" spans="1:24">
      <c r="A653" s="182"/>
      <c r="B653" s="182"/>
      <c r="C653" s="182"/>
      <c r="D653" s="182"/>
      <c r="E653" s="182"/>
      <c r="F653" s="182"/>
      <c r="G653" s="182"/>
      <c r="H653" s="182"/>
      <c r="I653" s="182"/>
      <c r="J653" s="182"/>
      <c r="K653" s="182"/>
      <c r="L653" s="180"/>
      <c r="M653" s="182"/>
      <c r="N653" s="182"/>
      <c r="O653" s="182"/>
      <c r="P653" s="180"/>
      <c r="Q653" s="180"/>
      <c r="R653" s="180"/>
      <c r="S653" s="184"/>
      <c r="T653" s="182"/>
      <c r="U653" s="182"/>
      <c r="V653" s="182"/>
      <c r="W653" s="182"/>
      <c r="X653" s="182"/>
    </row>
    <row r="654" spans="1:24">
      <c r="A654" s="182"/>
      <c r="B654" s="182"/>
      <c r="C654" s="182"/>
      <c r="D654" s="182"/>
      <c r="E654" s="182"/>
      <c r="F654" s="182"/>
      <c r="G654" s="182"/>
      <c r="H654" s="182"/>
      <c r="I654" s="182"/>
      <c r="J654" s="182"/>
      <c r="K654" s="182"/>
      <c r="L654" s="180"/>
      <c r="M654" s="182"/>
      <c r="N654" s="182"/>
      <c r="O654" s="182"/>
      <c r="P654" s="180"/>
      <c r="Q654" s="180"/>
      <c r="R654" s="180"/>
      <c r="S654" s="184"/>
      <c r="T654" s="182"/>
      <c r="U654" s="182"/>
      <c r="V654" s="182"/>
      <c r="W654" s="182"/>
      <c r="X654" s="182"/>
    </row>
    <row r="655" spans="1:24">
      <c r="A655" s="182"/>
      <c r="B655" s="182"/>
      <c r="C655" s="182"/>
      <c r="D655" s="182"/>
      <c r="E655" s="182"/>
      <c r="F655" s="182"/>
      <c r="G655" s="182"/>
      <c r="H655" s="182"/>
      <c r="I655" s="182"/>
      <c r="J655" s="182"/>
      <c r="K655" s="182"/>
      <c r="L655" s="180"/>
      <c r="M655" s="182"/>
      <c r="N655" s="182"/>
      <c r="O655" s="182"/>
      <c r="P655" s="180"/>
      <c r="Q655" s="180"/>
      <c r="R655" s="180"/>
      <c r="S655" s="184"/>
      <c r="T655" s="182"/>
      <c r="U655" s="182"/>
      <c r="V655" s="182"/>
      <c r="W655" s="182"/>
      <c r="X655" s="182"/>
    </row>
    <row r="656" spans="1:24">
      <c r="A656" s="182"/>
      <c r="B656" s="182"/>
      <c r="C656" s="182"/>
      <c r="D656" s="182"/>
      <c r="E656" s="182"/>
      <c r="F656" s="182"/>
      <c r="G656" s="182"/>
      <c r="H656" s="182"/>
      <c r="I656" s="182"/>
      <c r="J656" s="182"/>
      <c r="K656" s="182"/>
      <c r="L656" s="180"/>
      <c r="M656" s="182"/>
      <c r="N656" s="182"/>
      <c r="O656" s="182"/>
      <c r="P656" s="180"/>
      <c r="Q656" s="180"/>
      <c r="R656" s="180"/>
      <c r="S656" s="184"/>
      <c r="T656" s="182"/>
      <c r="U656" s="182"/>
      <c r="V656" s="182"/>
      <c r="W656" s="182"/>
      <c r="X656" s="182"/>
    </row>
    <row r="657" spans="1:24">
      <c r="A657" s="182"/>
      <c r="B657" s="182"/>
      <c r="C657" s="182"/>
      <c r="D657" s="182"/>
      <c r="E657" s="182"/>
      <c r="F657" s="182"/>
      <c r="G657" s="182"/>
      <c r="H657" s="182"/>
      <c r="I657" s="182"/>
      <c r="J657" s="182"/>
      <c r="K657" s="182"/>
      <c r="L657" s="180"/>
      <c r="M657" s="182"/>
      <c r="N657" s="182"/>
      <c r="O657" s="182"/>
      <c r="P657" s="180"/>
      <c r="Q657" s="180"/>
      <c r="R657" s="180"/>
      <c r="S657" s="184"/>
      <c r="T657" s="182"/>
      <c r="U657" s="182"/>
      <c r="V657" s="182"/>
      <c r="W657" s="182"/>
      <c r="X657" s="182"/>
    </row>
    <row r="658" spans="1:24">
      <c r="A658" s="182"/>
      <c r="B658" s="182"/>
      <c r="C658" s="182"/>
      <c r="D658" s="182"/>
      <c r="E658" s="182"/>
      <c r="F658" s="182"/>
      <c r="G658" s="182"/>
      <c r="H658" s="182"/>
      <c r="I658" s="182"/>
      <c r="J658" s="182"/>
      <c r="K658" s="182"/>
      <c r="L658" s="180"/>
      <c r="M658" s="182"/>
      <c r="N658" s="182"/>
      <c r="O658" s="182"/>
      <c r="P658" s="180"/>
      <c r="Q658" s="180"/>
      <c r="R658" s="180"/>
      <c r="S658" s="184"/>
      <c r="T658" s="182"/>
      <c r="U658" s="182"/>
      <c r="V658" s="182"/>
      <c r="W658" s="182"/>
      <c r="X658" s="182"/>
    </row>
    <row r="659" spans="1:24">
      <c r="A659" s="182"/>
      <c r="B659" s="182"/>
      <c r="C659" s="182"/>
      <c r="D659" s="182"/>
      <c r="E659" s="182"/>
      <c r="F659" s="182"/>
      <c r="G659" s="182"/>
      <c r="H659" s="182"/>
      <c r="I659" s="182"/>
      <c r="J659" s="182"/>
      <c r="K659" s="182"/>
      <c r="L659" s="180"/>
      <c r="M659" s="182"/>
      <c r="N659" s="182"/>
      <c r="O659" s="182"/>
      <c r="P659" s="180"/>
      <c r="Q659" s="180"/>
      <c r="R659" s="180"/>
      <c r="S659" s="184"/>
      <c r="T659" s="182"/>
      <c r="U659" s="182"/>
      <c r="V659" s="182"/>
      <c r="W659" s="182"/>
      <c r="X659" s="182"/>
    </row>
    <row r="660" spans="1:24">
      <c r="A660" s="182"/>
      <c r="B660" s="182"/>
      <c r="C660" s="182"/>
      <c r="D660" s="182"/>
      <c r="E660" s="182"/>
      <c r="F660" s="182"/>
      <c r="G660" s="182"/>
      <c r="H660" s="182"/>
      <c r="I660" s="182"/>
      <c r="J660" s="182"/>
      <c r="K660" s="182"/>
      <c r="L660" s="180"/>
      <c r="M660" s="182"/>
      <c r="N660" s="182"/>
      <c r="O660" s="182"/>
      <c r="P660" s="180"/>
      <c r="Q660" s="180"/>
      <c r="R660" s="180"/>
      <c r="S660" s="184"/>
      <c r="T660" s="182"/>
      <c r="U660" s="182"/>
      <c r="V660" s="182"/>
      <c r="W660" s="182"/>
      <c r="X660" s="182"/>
    </row>
    <row r="661" spans="1:24">
      <c r="A661" s="182"/>
      <c r="B661" s="182"/>
      <c r="C661" s="182"/>
      <c r="D661" s="182"/>
      <c r="E661" s="182"/>
      <c r="F661" s="182"/>
      <c r="G661" s="182"/>
      <c r="H661" s="182"/>
      <c r="I661" s="182"/>
      <c r="J661" s="182"/>
      <c r="K661" s="182"/>
      <c r="L661" s="180"/>
      <c r="M661" s="182"/>
      <c r="N661" s="182"/>
      <c r="O661" s="182"/>
      <c r="P661" s="180"/>
      <c r="Q661" s="180"/>
      <c r="R661" s="180"/>
      <c r="S661" s="184"/>
      <c r="T661" s="182"/>
      <c r="U661" s="182"/>
      <c r="V661" s="182"/>
      <c r="W661" s="182"/>
      <c r="X661" s="182"/>
    </row>
    <row r="662" spans="1:24">
      <c r="A662" s="182"/>
      <c r="B662" s="182"/>
      <c r="C662" s="182"/>
      <c r="D662" s="182"/>
      <c r="E662" s="182"/>
      <c r="F662" s="182"/>
      <c r="G662" s="182"/>
      <c r="H662" s="182"/>
      <c r="I662" s="182"/>
      <c r="J662" s="182"/>
      <c r="K662" s="182"/>
      <c r="L662" s="180"/>
      <c r="M662" s="182"/>
      <c r="N662" s="182"/>
      <c r="O662" s="182"/>
      <c r="P662" s="180"/>
      <c r="Q662" s="180"/>
      <c r="R662" s="180"/>
      <c r="S662" s="184"/>
      <c r="T662" s="182"/>
      <c r="U662" s="182"/>
      <c r="V662" s="182"/>
      <c r="W662" s="182"/>
      <c r="X662" s="182"/>
    </row>
    <row r="663" spans="1:24">
      <c r="A663" s="182"/>
      <c r="B663" s="182"/>
      <c r="C663" s="182"/>
      <c r="D663" s="182"/>
      <c r="E663" s="182"/>
      <c r="F663" s="182"/>
      <c r="G663" s="182"/>
      <c r="H663" s="182"/>
      <c r="I663" s="182"/>
      <c r="J663" s="182"/>
      <c r="K663" s="182"/>
      <c r="L663" s="180"/>
      <c r="M663" s="182"/>
      <c r="N663" s="182"/>
      <c r="O663" s="182"/>
      <c r="P663" s="180"/>
      <c r="Q663" s="180"/>
      <c r="R663" s="180"/>
      <c r="S663" s="184"/>
      <c r="T663" s="182"/>
      <c r="U663" s="182"/>
      <c r="V663" s="182"/>
      <c r="W663" s="182"/>
      <c r="X663" s="182"/>
    </row>
    <row r="664" spans="1:24">
      <c r="A664" s="182"/>
      <c r="B664" s="182"/>
      <c r="C664" s="182"/>
      <c r="D664" s="182"/>
      <c r="E664" s="182"/>
      <c r="F664" s="182"/>
      <c r="G664" s="182"/>
      <c r="H664" s="182"/>
      <c r="I664" s="182"/>
      <c r="J664" s="182"/>
      <c r="K664" s="182"/>
      <c r="L664" s="180"/>
      <c r="M664" s="182"/>
      <c r="N664" s="182"/>
      <c r="O664" s="182"/>
      <c r="P664" s="180"/>
      <c r="Q664" s="180"/>
      <c r="R664" s="180"/>
      <c r="S664" s="184"/>
      <c r="T664" s="182"/>
      <c r="U664" s="182"/>
      <c r="V664" s="182"/>
      <c r="W664" s="182"/>
      <c r="X664" s="182"/>
    </row>
    <row r="665" spans="1:24">
      <c r="A665" s="182"/>
      <c r="B665" s="182"/>
      <c r="C665" s="182"/>
      <c r="D665" s="182"/>
      <c r="E665" s="182"/>
      <c r="F665" s="182"/>
      <c r="G665" s="182"/>
      <c r="H665" s="182"/>
      <c r="I665" s="182"/>
      <c r="J665" s="182"/>
      <c r="K665" s="182"/>
      <c r="L665" s="180"/>
      <c r="M665" s="182"/>
      <c r="N665" s="182"/>
      <c r="O665" s="182"/>
      <c r="P665" s="180"/>
      <c r="Q665" s="180"/>
      <c r="R665" s="180"/>
      <c r="S665" s="184"/>
      <c r="T665" s="182"/>
      <c r="U665" s="182"/>
      <c r="V665" s="182"/>
      <c r="W665" s="182"/>
      <c r="X665" s="182"/>
    </row>
    <row r="666" spans="1:24">
      <c r="A666" s="182"/>
      <c r="B666" s="182"/>
      <c r="C666" s="182"/>
      <c r="D666" s="182"/>
      <c r="E666" s="182"/>
      <c r="F666" s="182"/>
      <c r="G666" s="182"/>
      <c r="H666" s="182"/>
      <c r="I666" s="182"/>
      <c r="J666" s="182"/>
      <c r="K666" s="182"/>
      <c r="L666" s="180"/>
      <c r="M666" s="182"/>
      <c r="N666" s="182"/>
      <c r="O666" s="182"/>
      <c r="P666" s="180"/>
      <c r="Q666" s="180"/>
      <c r="R666" s="180"/>
      <c r="S666" s="184"/>
      <c r="T666" s="182"/>
      <c r="U666" s="182"/>
      <c r="V666" s="182"/>
      <c r="W666" s="182"/>
      <c r="X666" s="182"/>
    </row>
    <row r="667" spans="1:24">
      <c r="A667" s="182"/>
      <c r="B667" s="182"/>
      <c r="C667" s="182"/>
      <c r="D667" s="182"/>
      <c r="E667" s="182"/>
      <c r="F667" s="182"/>
      <c r="G667" s="182"/>
      <c r="H667" s="182"/>
      <c r="I667" s="182"/>
      <c r="J667" s="182"/>
      <c r="K667" s="182"/>
      <c r="L667" s="180"/>
      <c r="M667" s="182"/>
      <c r="N667" s="182"/>
      <c r="O667" s="182"/>
      <c r="P667" s="180"/>
      <c r="Q667" s="180"/>
      <c r="R667" s="180"/>
      <c r="S667" s="184"/>
      <c r="T667" s="182"/>
      <c r="U667" s="182"/>
      <c r="V667" s="182"/>
      <c r="W667" s="182"/>
      <c r="X667" s="182"/>
    </row>
    <row r="668" spans="1:24">
      <c r="A668" s="182"/>
      <c r="B668" s="182"/>
      <c r="C668" s="182"/>
      <c r="D668" s="182"/>
      <c r="E668" s="182"/>
      <c r="F668" s="182"/>
      <c r="G668" s="182"/>
      <c r="H668" s="182"/>
      <c r="I668" s="182"/>
      <c r="J668" s="182"/>
      <c r="K668" s="182"/>
      <c r="L668" s="180"/>
      <c r="M668" s="182"/>
      <c r="N668" s="182"/>
      <c r="O668" s="182"/>
      <c r="P668" s="180"/>
      <c r="Q668" s="180"/>
      <c r="R668" s="180"/>
      <c r="S668" s="184"/>
      <c r="T668" s="182"/>
      <c r="U668" s="182"/>
      <c r="V668" s="182"/>
      <c r="W668" s="182"/>
      <c r="X668" s="182"/>
    </row>
    <row r="669" spans="1:24">
      <c r="A669" s="182"/>
      <c r="B669" s="182"/>
      <c r="C669" s="182"/>
      <c r="D669" s="182"/>
      <c r="E669" s="182"/>
      <c r="F669" s="182"/>
      <c r="G669" s="182"/>
      <c r="H669" s="182"/>
      <c r="I669" s="182"/>
      <c r="J669" s="182"/>
      <c r="K669" s="182"/>
      <c r="L669" s="180"/>
      <c r="M669" s="182"/>
      <c r="N669" s="182"/>
      <c r="O669" s="182"/>
      <c r="P669" s="180"/>
      <c r="Q669" s="180"/>
      <c r="R669" s="180"/>
      <c r="S669" s="184"/>
      <c r="T669" s="182"/>
      <c r="U669" s="182"/>
      <c r="V669" s="182"/>
      <c r="W669" s="182"/>
      <c r="X669" s="182"/>
    </row>
    <row r="670" spans="1:24">
      <c r="A670" s="182"/>
      <c r="B670" s="182"/>
      <c r="C670" s="182"/>
      <c r="D670" s="182"/>
      <c r="E670" s="182"/>
      <c r="F670" s="182"/>
      <c r="G670" s="182"/>
      <c r="H670" s="182"/>
      <c r="I670" s="182"/>
      <c r="J670" s="182"/>
      <c r="K670" s="182"/>
      <c r="L670" s="180"/>
      <c r="M670" s="182"/>
      <c r="N670" s="182"/>
      <c r="O670" s="182"/>
      <c r="P670" s="180"/>
      <c r="Q670" s="180"/>
      <c r="R670" s="180"/>
      <c r="S670" s="184"/>
      <c r="T670" s="182"/>
      <c r="U670" s="182"/>
      <c r="V670" s="182"/>
      <c r="W670" s="182"/>
      <c r="X670" s="182"/>
    </row>
    <row r="671" spans="1:24">
      <c r="A671" s="182"/>
      <c r="B671" s="182"/>
      <c r="C671" s="182"/>
      <c r="D671" s="182"/>
      <c r="E671" s="182"/>
      <c r="F671" s="182"/>
      <c r="G671" s="182"/>
      <c r="H671" s="182"/>
      <c r="I671" s="182"/>
      <c r="J671" s="182"/>
      <c r="K671" s="182"/>
      <c r="L671" s="180"/>
      <c r="M671" s="182"/>
      <c r="N671" s="182"/>
      <c r="O671" s="182"/>
      <c r="P671" s="180"/>
      <c r="Q671" s="180"/>
      <c r="R671" s="180"/>
      <c r="S671" s="184"/>
      <c r="T671" s="182"/>
      <c r="U671" s="182"/>
      <c r="V671" s="182"/>
      <c r="W671" s="182"/>
      <c r="X671" s="182"/>
    </row>
    <row r="672" spans="1:24">
      <c r="A672" s="182"/>
      <c r="B672" s="182"/>
      <c r="C672" s="182"/>
      <c r="D672" s="182"/>
      <c r="E672" s="182"/>
      <c r="F672" s="182"/>
      <c r="G672" s="182"/>
      <c r="H672" s="182"/>
      <c r="I672" s="182"/>
      <c r="J672" s="182"/>
      <c r="K672" s="182"/>
      <c r="L672" s="180"/>
      <c r="M672" s="182"/>
      <c r="N672" s="182"/>
      <c r="O672" s="182"/>
      <c r="P672" s="180"/>
      <c r="Q672" s="180"/>
      <c r="R672" s="180"/>
      <c r="S672" s="184"/>
      <c r="T672" s="182"/>
      <c r="U672" s="182"/>
      <c r="V672" s="182"/>
      <c r="W672" s="182"/>
      <c r="X672" s="182"/>
    </row>
    <row r="673" spans="1:24">
      <c r="A673" s="182"/>
      <c r="B673" s="182"/>
      <c r="C673" s="182"/>
      <c r="D673" s="182"/>
      <c r="E673" s="182"/>
      <c r="F673" s="182"/>
      <c r="G673" s="182"/>
      <c r="H673" s="182"/>
      <c r="I673" s="182"/>
      <c r="J673" s="182"/>
      <c r="K673" s="182"/>
      <c r="L673" s="180"/>
      <c r="M673" s="182"/>
      <c r="N673" s="182"/>
      <c r="O673" s="182"/>
      <c r="P673" s="180"/>
      <c r="Q673" s="180"/>
      <c r="R673" s="180"/>
      <c r="S673" s="184"/>
      <c r="T673" s="182"/>
      <c r="U673" s="182"/>
      <c r="V673" s="182"/>
      <c r="W673" s="182"/>
      <c r="X673" s="182"/>
    </row>
    <row r="674" spans="1:24">
      <c r="A674" s="182"/>
      <c r="B674" s="182"/>
      <c r="C674" s="182"/>
      <c r="D674" s="182"/>
      <c r="E674" s="182"/>
      <c r="F674" s="182"/>
      <c r="G674" s="182"/>
      <c r="H674" s="182"/>
      <c r="I674" s="182"/>
      <c r="J674" s="182"/>
      <c r="K674" s="182"/>
      <c r="L674" s="180"/>
      <c r="M674" s="182"/>
      <c r="N674" s="182"/>
      <c r="O674" s="182"/>
      <c r="P674" s="180"/>
      <c r="Q674" s="180"/>
      <c r="R674" s="180"/>
      <c r="S674" s="184"/>
      <c r="T674" s="182"/>
      <c r="U674" s="182"/>
      <c r="V674" s="182"/>
      <c r="W674" s="182"/>
      <c r="X674" s="182"/>
    </row>
    <row r="675" spans="1:24">
      <c r="A675" s="182"/>
      <c r="B675" s="182"/>
      <c r="C675" s="182"/>
      <c r="D675" s="182"/>
      <c r="E675" s="182"/>
      <c r="F675" s="182"/>
      <c r="G675" s="182"/>
      <c r="H675" s="182"/>
      <c r="I675" s="182"/>
      <c r="J675" s="182"/>
      <c r="K675" s="182"/>
      <c r="L675" s="180"/>
      <c r="M675" s="182"/>
      <c r="N675" s="182"/>
      <c r="O675" s="182"/>
      <c r="P675" s="180"/>
      <c r="Q675" s="180"/>
      <c r="R675" s="180"/>
      <c r="S675" s="184"/>
      <c r="T675" s="182"/>
      <c r="U675" s="182"/>
      <c r="V675" s="182"/>
      <c r="W675" s="182"/>
      <c r="X675" s="182"/>
    </row>
    <row r="676" spans="1:24">
      <c r="A676" s="182"/>
      <c r="B676" s="182"/>
      <c r="C676" s="182"/>
      <c r="D676" s="182"/>
      <c r="E676" s="182"/>
      <c r="F676" s="182"/>
      <c r="G676" s="182"/>
      <c r="H676" s="182"/>
      <c r="I676" s="182"/>
      <c r="J676" s="182"/>
      <c r="K676" s="182"/>
      <c r="L676" s="180"/>
      <c r="M676" s="182"/>
      <c r="N676" s="182"/>
      <c r="O676" s="182"/>
      <c r="P676" s="180"/>
      <c r="Q676" s="180"/>
      <c r="R676" s="180"/>
      <c r="S676" s="184"/>
      <c r="T676" s="182"/>
      <c r="U676" s="182"/>
      <c r="V676" s="182"/>
      <c r="W676" s="182"/>
      <c r="X676" s="182"/>
    </row>
    <row r="677" spans="1:24">
      <c r="A677" s="182"/>
      <c r="B677" s="182"/>
      <c r="C677" s="182"/>
      <c r="D677" s="182"/>
      <c r="E677" s="182"/>
      <c r="F677" s="182"/>
      <c r="G677" s="182"/>
      <c r="H677" s="182"/>
      <c r="I677" s="182"/>
      <c r="J677" s="182"/>
      <c r="K677" s="182"/>
      <c r="L677" s="180"/>
      <c r="M677" s="182"/>
      <c r="N677" s="182"/>
      <c r="O677" s="182"/>
      <c r="P677" s="180"/>
      <c r="Q677" s="180"/>
      <c r="R677" s="180"/>
      <c r="S677" s="184"/>
      <c r="T677" s="182"/>
      <c r="U677" s="182"/>
      <c r="V677" s="182"/>
      <c r="W677" s="182"/>
      <c r="X677" s="182"/>
    </row>
    <row r="678" spans="1:24">
      <c r="A678" s="182"/>
      <c r="B678" s="182"/>
      <c r="C678" s="182"/>
      <c r="D678" s="182"/>
      <c r="E678" s="182"/>
      <c r="F678" s="182"/>
      <c r="G678" s="182"/>
      <c r="H678" s="182"/>
      <c r="I678" s="182"/>
      <c r="J678" s="182"/>
      <c r="K678" s="182"/>
      <c r="L678" s="180"/>
      <c r="M678" s="182"/>
      <c r="N678" s="182"/>
      <c r="O678" s="182"/>
      <c r="P678" s="180"/>
      <c r="Q678" s="180"/>
      <c r="R678" s="180"/>
      <c r="S678" s="184"/>
      <c r="T678" s="182"/>
      <c r="U678" s="182"/>
      <c r="V678" s="182"/>
      <c r="W678" s="182"/>
      <c r="X678" s="182"/>
    </row>
    <row r="679" spans="1:24">
      <c r="A679" s="182"/>
      <c r="B679" s="182"/>
      <c r="C679" s="182"/>
      <c r="D679" s="182"/>
      <c r="E679" s="182"/>
      <c r="F679" s="182"/>
      <c r="G679" s="182"/>
      <c r="H679" s="182"/>
      <c r="I679" s="182"/>
      <c r="J679" s="182"/>
      <c r="K679" s="182"/>
      <c r="L679" s="180"/>
      <c r="M679" s="182"/>
      <c r="N679" s="182"/>
      <c r="O679" s="182"/>
      <c r="P679" s="180"/>
      <c r="Q679" s="180"/>
      <c r="R679" s="180"/>
      <c r="S679" s="184"/>
      <c r="T679" s="182"/>
      <c r="U679" s="182"/>
      <c r="V679" s="182"/>
      <c r="W679" s="182"/>
      <c r="X679" s="182"/>
    </row>
    <row r="680" spans="1:24">
      <c r="A680" s="182"/>
      <c r="B680" s="182"/>
      <c r="C680" s="182"/>
      <c r="D680" s="182"/>
      <c r="E680" s="182"/>
      <c r="F680" s="182"/>
      <c r="G680" s="182"/>
      <c r="H680" s="182"/>
      <c r="I680" s="182"/>
      <c r="J680" s="182"/>
      <c r="K680" s="182"/>
      <c r="L680" s="180"/>
      <c r="M680" s="182"/>
      <c r="N680" s="182"/>
      <c r="O680" s="182"/>
      <c r="P680" s="180"/>
      <c r="Q680" s="180"/>
      <c r="R680" s="180"/>
      <c r="S680" s="184"/>
      <c r="T680" s="182"/>
      <c r="U680" s="182"/>
      <c r="V680" s="182"/>
      <c r="W680" s="182"/>
      <c r="X680" s="182"/>
    </row>
    <row r="681" spans="1:24">
      <c r="A681" s="182"/>
      <c r="B681" s="182"/>
      <c r="C681" s="182"/>
      <c r="D681" s="182"/>
      <c r="E681" s="182"/>
      <c r="F681" s="182"/>
      <c r="G681" s="182"/>
      <c r="H681" s="182"/>
      <c r="I681" s="182"/>
      <c r="J681" s="182"/>
      <c r="K681" s="182"/>
      <c r="L681" s="180"/>
      <c r="M681" s="182"/>
      <c r="N681" s="182"/>
      <c r="O681" s="182"/>
      <c r="P681" s="180"/>
      <c r="Q681" s="180"/>
      <c r="R681" s="180"/>
      <c r="S681" s="184"/>
      <c r="T681" s="182"/>
      <c r="U681" s="182"/>
      <c r="V681" s="182"/>
      <c r="W681" s="182"/>
      <c r="X681" s="182"/>
    </row>
    <row r="682" spans="1:24">
      <c r="A682" s="182"/>
      <c r="B682" s="182"/>
      <c r="C682" s="182"/>
      <c r="D682" s="182"/>
      <c r="E682" s="182"/>
      <c r="F682" s="182"/>
      <c r="G682" s="182"/>
      <c r="H682" s="182"/>
      <c r="I682" s="182"/>
      <c r="J682" s="182"/>
      <c r="K682" s="182"/>
      <c r="L682" s="180"/>
      <c r="M682" s="182"/>
      <c r="N682" s="182"/>
      <c r="O682" s="182"/>
      <c r="P682" s="180"/>
      <c r="Q682" s="180"/>
      <c r="R682" s="180"/>
      <c r="S682" s="184"/>
      <c r="T682" s="182"/>
      <c r="U682" s="182"/>
      <c r="V682" s="182"/>
      <c r="W682" s="182"/>
      <c r="X682" s="182"/>
    </row>
    <row r="683" spans="1:24">
      <c r="A683" s="182"/>
      <c r="B683" s="182"/>
      <c r="C683" s="182"/>
      <c r="D683" s="182"/>
      <c r="E683" s="182"/>
      <c r="F683" s="182"/>
      <c r="G683" s="182"/>
      <c r="H683" s="182"/>
      <c r="I683" s="182"/>
      <c r="J683" s="182"/>
      <c r="K683" s="182"/>
      <c r="L683" s="180"/>
      <c r="M683" s="182"/>
      <c r="N683" s="182"/>
      <c r="O683" s="182"/>
      <c r="P683" s="180"/>
      <c r="Q683" s="180"/>
      <c r="R683" s="180"/>
      <c r="S683" s="184"/>
      <c r="T683" s="182"/>
      <c r="U683" s="182"/>
      <c r="V683" s="182"/>
      <c r="W683" s="182"/>
      <c r="X683" s="182"/>
    </row>
    <row r="684" spans="1:24">
      <c r="A684" s="182"/>
      <c r="B684" s="182"/>
      <c r="C684" s="182"/>
      <c r="D684" s="182"/>
      <c r="E684" s="182"/>
      <c r="F684" s="182"/>
      <c r="G684" s="182"/>
      <c r="H684" s="182"/>
      <c r="I684" s="182"/>
      <c r="J684" s="182"/>
      <c r="K684" s="182"/>
      <c r="L684" s="180"/>
      <c r="M684" s="182"/>
      <c r="N684" s="182"/>
      <c r="O684" s="182"/>
      <c r="P684" s="180"/>
      <c r="Q684" s="180"/>
      <c r="R684" s="180"/>
      <c r="S684" s="184"/>
      <c r="T684" s="182"/>
      <c r="U684" s="182"/>
      <c r="V684" s="182"/>
      <c r="W684" s="182"/>
      <c r="X684" s="182"/>
    </row>
    <row r="685" spans="1:24">
      <c r="A685" s="182"/>
      <c r="B685" s="182"/>
      <c r="C685" s="182"/>
      <c r="D685" s="182"/>
      <c r="E685" s="182"/>
      <c r="F685" s="182"/>
      <c r="G685" s="182"/>
      <c r="H685" s="182"/>
      <c r="I685" s="182"/>
      <c r="J685" s="182"/>
      <c r="K685" s="182"/>
      <c r="L685" s="180"/>
      <c r="M685" s="182"/>
      <c r="N685" s="182"/>
      <c r="O685" s="182"/>
      <c r="P685" s="180"/>
      <c r="Q685" s="180"/>
      <c r="R685" s="180"/>
      <c r="S685" s="184"/>
      <c r="T685" s="182"/>
      <c r="U685" s="182"/>
      <c r="V685" s="182"/>
      <c r="W685" s="182"/>
      <c r="X685" s="182"/>
    </row>
    <row r="686" spans="1:24">
      <c r="A686" s="182"/>
      <c r="B686" s="182"/>
      <c r="C686" s="182"/>
      <c r="D686" s="182"/>
      <c r="E686" s="182"/>
      <c r="F686" s="182"/>
      <c r="G686" s="182"/>
      <c r="H686" s="182"/>
      <c r="I686" s="182"/>
      <c r="J686" s="182"/>
      <c r="K686" s="182"/>
      <c r="L686" s="180"/>
      <c r="M686" s="182"/>
      <c r="N686" s="182"/>
      <c r="O686" s="182"/>
      <c r="P686" s="180"/>
      <c r="Q686" s="180"/>
      <c r="R686" s="180"/>
      <c r="S686" s="184"/>
      <c r="T686" s="182"/>
      <c r="U686" s="182"/>
      <c r="V686" s="182"/>
      <c r="W686" s="182"/>
      <c r="X686" s="182"/>
    </row>
    <row r="687" spans="1:24">
      <c r="A687" s="182"/>
      <c r="B687" s="182"/>
      <c r="C687" s="182"/>
      <c r="D687" s="182"/>
      <c r="E687" s="182"/>
      <c r="F687" s="182"/>
      <c r="G687" s="182"/>
      <c r="H687" s="182"/>
      <c r="I687" s="182"/>
      <c r="J687" s="182"/>
      <c r="K687" s="182"/>
      <c r="L687" s="180"/>
      <c r="M687" s="182"/>
      <c r="N687" s="182"/>
      <c r="O687" s="182"/>
      <c r="P687" s="180"/>
      <c r="Q687" s="180"/>
      <c r="R687" s="180"/>
      <c r="S687" s="184"/>
      <c r="T687" s="182"/>
      <c r="U687" s="182"/>
      <c r="V687" s="182"/>
      <c r="W687" s="182"/>
      <c r="X687" s="182"/>
    </row>
    <row r="688" spans="1:24">
      <c r="A688" s="182"/>
      <c r="B688" s="182"/>
      <c r="C688" s="182"/>
      <c r="D688" s="182"/>
      <c r="E688" s="182"/>
      <c r="F688" s="182"/>
      <c r="G688" s="182"/>
      <c r="H688" s="182"/>
      <c r="I688" s="182"/>
      <c r="J688" s="182"/>
      <c r="K688" s="182"/>
      <c r="L688" s="180"/>
      <c r="M688" s="182"/>
      <c r="N688" s="182"/>
      <c r="O688" s="182"/>
      <c r="P688" s="180"/>
      <c r="Q688" s="180"/>
      <c r="R688" s="180"/>
      <c r="S688" s="184"/>
      <c r="T688" s="182"/>
      <c r="U688" s="182"/>
      <c r="V688" s="182"/>
      <c r="W688" s="182"/>
      <c r="X688" s="182"/>
    </row>
    <row r="689" spans="1:24">
      <c r="A689" s="182"/>
      <c r="B689" s="182"/>
      <c r="C689" s="182"/>
      <c r="D689" s="182"/>
      <c r="E689" s="182"/>
      <c r="F689" s="182"/>
      <c r="G689" s="182"/>
      <c r="H689" s="182"/>
      <c r="I689" s="182"/>
      <c r="J689" s="182"/>
      <c r="K689" s="182"/>
      <c r="L689" s="180"/>
      <c r="M689" s="182"/>
      <c r="N689" s="182"/>
      <c r="O689" s="182"/>
      <c r="P689" s="180"/>
      <c r="Q689" s="180"/>
      <c r="R689" s="180"/>
      <c r="S689" s="184"/>
      <c r="T689" s="182"/>
      <c r="U689" s="182"/>
      <c r="V689" s="182"/>
      <c r="W689" s="182"/>
      <c r="X689" s="182"/>
    </row>
    <row r="690" spans="1:24">
      <c r="A690" s="182"/>
      <c r="B690" s="182"/>
      <c r="C690" s="182"/>
      <c r="D690" s="182"/>
      <c r="E690" s="182"/>
      <c r="F690" s="182"/>
      <c r="G690" s="182"/>
      <c r="H690" s="182"/>
      <c r="I690" s="182"/>
      <c r="J690" s="182"/>
      <c r="K690" s="182"/>
      <c r="L690" s="180"/>
      <c r="M690" s="182"/>
      <c r="N690" s="182"/>
      <c r="O690" s="182"/>
      <c r="P690" s="180"/>
      <c r="Q690" s="180"/>
      <c r="R690" s="180"/>
      <c r="S690" s="184"/>
      <c r="T690" s="182"/>
      <c r="U690" s="182"/>
      <c r="V690" s="182"/>
      <c r="W690" s="182"/>
      <c r="X690" s="182"/>
    </row>
    <row r="691" spans="1:24">
      <c r="A691" s="182"/>
      <c r="B691" s="182"/>
      <c r="C691" s="182"/>
      <c r="D691" s="182"/>
      <c r="E691" s="182"/>
      <c r="F691" s="182"/>
      <c r="G691" s="182"/>
      <c r="H691" s="182"/>
      <c r="I691" s="182"/>
      <c r="J691" s="182"/>
      <c r="K691" s="182"/>
      <c r="L691" s="180"/>
      <c r="M691" s="182"/>
      <c r="N691" s="182"/>
      <c r="O691" s="182"/>
      <c r="P691" s="180"/>
      <c r="Q691" s="180"/>
      <c r="R691" s="180"/>
      <c r="S691" s="184"/>
      <c r="T691" s="182"/>
      <c r="U691" s="182"/>
      <c r="V691" s="182"/>
      <c r="W691" s="182"/>
      <c r="X691" s="182"/>
    </row>
    <row r="692" spans="1:24">
      <c r="A692" s="182"/>
      <c r="B692" s="182"/>
      <c r="C692" s="182"/>
      <c r="D692" s="182"/>
      <c r="E692" s="182"/>
      <c r="F692" s="182"/>
      <c r="G692" s="182"/>
      <c r="H692" s="182"/>
      <c r="I692" s="182"/>
      <c r="J692" s="182"/>
      <c r="K692" s="182"/>
      <c r="L692" s="180"/>
      <c r="M692" s="182"/>
      <c r="N692" s="182"/>
      <c r="O692" s="182"/>
      <c r="P692" s="180"/>
      <c r="Q692" s="180"/>
      <c r="R692" s="180"/>
      <c r="S692" s="184"/>
      <c r="T692" s="182"/>
      <c r="U692" s="182"/>
      <c r="V692" s="182"/>
      <c r="W692" s="182"/>
      <c r="X692" s="182"/>
    </row>
    <row r="693" spans="1:24">
      <c r="A693" s="182"/>
      <c r="B693" s="182"/>
      <c r="C693" s="182"/>
      <c r="D693" s="182"/>
      <c r="E693" s="182"/>
      <c r="F693" s="182"/>
      <c r="G693" s="182"/>
      <c r="H693" s="182"/>
      <c r="I693" s="182"/>
      <c r="J693" s="182"/>
      <c r="K693" s="182"/>
      <c r="L693" s="180"/>
      <c r="M693" s="182"/>
      <c r="N693" s="182"/>
      <c r="O693" s="182"/>
      <c r="P693" s="180"/>
      <c r="Q693" s="180"/>
      <c r="R693" s="180"/>
      <c r="S693" s="184"/>
      <c r="T693" s="182"/>
      <c r="U693" s="182"/>
      <c r="V693" s="182"/>
      <c r="W693" s="182"/>
      <c r="X693" s="182"/>
    </row>
    <row r="694" spans="1:24">
      <c r="A694" s="182"/>
      <c r="B694" s="182"/>
      <c r="C694" s="182"/>
      <c r="D694" s="182"/>
      <c r="E694" s="182"/>
      <c r="F694" s="182"/>
      <c r="G694" s="182"/>
      <c r="H694" s="182"/>
      <c r="I694" s="182"/>
      <c r="J694" s="182"/>
      <c r="K694" s="182"/>
      <c r="L694" s="180"/>
      <c r="M694" s="182"/>
      <c r="N694" s="182"/>
      <c r="O694" s="182"/>
      <c r="P694" s="180"/>
      <c r="Q694" s="180"/>
      <c r="R694" s="180"/>
      <c r="S694" s="184"/>
      <c r="T694" s="182"/>
      <c r="U694" s="182"/>
      <c r="V694" s="182"/>
      <c r="W694" s="182"/>
      <c r="X694" s="182"/>
    </row>
    <row r="695" spans="1:24">
      <c r="A695" s="182"/>
      <c r="B695" s="182"/>
      <c r="C695" s="182"/>
      <c r="D695" s="182"/>
      <c r="E695" s="182"/>
      <c r="F695" s="182"/>
      <c r="G695" s="182"/>
      <c r="H695" s="182"/>
      <c r="I695" s="182"/>
      <c r="J695" s="182"/>
      <c r="K695" s="182"/>
      <c r="L695" s="180"/>
      <c r="M695" s="182"/>
      <c r="N695" s="182"/>
      <c r="O695" s="182"/>
      <c r="P695" s="180"/>
      <c r="Q695" s="180"/>
      <c r="R695" s="180"/>
      <c r="S695" s="184"/>
      <c r="T695" s="182"/>
      <c r="U695" s="182"/>
      <c r="V695" s="182"/>
      <c r="W695" s="182"/>
      <c r="X695" s="182"/>
    </row>
    <row r="696" spans="1:24">
      <c r="A696" s="182"/>
      <c r="B696" s="182"/>
      <c r="C696" s="182"/>
      <c r="D696" s="182"/>
      <c r="E696" s="182"/>
      <c r="F696" s="182"/>
      <c r="G696" s="182"/>
      <c r="H696" s="182"/>
      <c r="I696" s="182"/>
      <c r="J696" s="182"/>
      <c r="K696" s="182"/>
      <c r="L696" s="180"/>
      <c r="M696" s="182"/>
      <c r="N696" s="182"/>
      <c r="O696" s="182"/>
      <c r="P696" s="180"/>
      <c r="Q696" s="180"/>
      <c r="R696" s="180"/>
      <c r="S696" s="184"/>
      <c r="T696" s="182"/>
      <c r="U696" s="182"/>
      <c r="V696" s="182"/>
      <c r="W696" s="182"/>
      <c r="X696" s="182"/>
    </row>
    <row r="697" spans="1:24">
      <c r="A697" s="182"/>
      <c r="B697" s="182"/>
      <c r="C697" s="182"/>
      <c r="D697" s="182"/>
      <c r="E697" s="182"/>
      <c r="F697" s="182"/>
      <c r="G697" s="182"/>
      <c r="H697" s="182"/>
      <c r="I697" s="182"/>
      <c r="J697" s="182"/>
      <c r="K697" s="182"/>
      <c r="L697" s="180"/>
      <c r="M697" s="182"/>
      <c r="N697" s="182"/>
      <c r="O697" s="182"/>
      <c r="P697" s="180"/>
      <c r="Q697" s="180"/>
      <c r="R697" s="180"/>
      <c r="S697" s="184"/>
      <c r="T697" s="182"/>
      <c r="U697" s="182"/>
      <c r="V697" s="182"/>
      <c r="W697" s="182"/>
      <c r="X697" s="182"/>
    </row>
    <row r="698" spans="1:24">
      <c r="A698" s="182"/>
      <c r="B698" s="182"/>
      <c r="C698" s="182"/>
      <c r="D698" s="182"/>
      <c r="E698" s="182"/>
      <c r="F698" s="182"/>
      <c r="G698" s="182"/>
      <c r="H698" s="182"/>
      <c r="I698" s="182"/>
      <c r="J698" s="182"/>
      <c r="K698" s="182"/>
      <c r="L698" s="180"/>
      <c r="M698" s="182"/>
      <c r="N698" s="182"/>
      <c r="O698" s="182"/>
      <c r="P698" s="180"/>
      <c r="Q698" s="180"/>
      <c r="R698" s="180"/>
      <c r="S698" s="184"/>
      <c r="T698" s="182"/>
      <c r="U698" s="182"/>
      <c r="V698" s="182"/>
      <c r="W698" s="182"/>
      <c r="X698" s="182"/>
    </row>
    <row r="699" spans="1:24">
      <c r="A699" s="182"/>
      <c r="B699" s="182"/>
      <c r="C699" s="182"/>
      <c r="D699" s="182"/>
      <c r="E699" s="182"/>
      <c r="F699" s="182"/>
      <c r="G699" s="182"/>
      <c r="H699" s="182"/>
      <c r="I699" s="182"/>
      <c r="J699" s="182"/>
      <c r="K699" s="182"/>
      <c r="L699" s="180"/>
      <c r="M699" s="182"/>
      <c r="N699" s="182"/>
      <c r="O699" s="182"/>
      <c r="P699" s="180"/>
      <c r="Q699" s="180"/>
      <c r="R699" s="180"/>
      <c r="S699" s="184"/>
      <c r="T699" s="182"/>
      <c r="U699" s="182"/>
      <c r="V699" s="182"/>
      <c r="W699" s="182"/>
      <c r="X699" s="182"/>
    </row>
    <row r="700" spans="1:24">
      <c r="A700" s="182"/>
      <c r="B700" s="182"/>
      <c r="C700" s="182"/>
      <c r="D700" s="182"/>
      <c r="E700" s="182"/>
      <c r="F700" s="182"/>
      <c r="G700" s="182"/>
      <c r="H700" s="182"/>
      <c r="I700" s="182"/>
      <c r="J700" s="182"/>
      <c r="K700" s="182"/>
      <c r="L700" s="180"/>
      <c r="M700" s="182"/>
      <c r="N700" s="182"/>
      <c r="O700" s="182"/>
      <c r="P700" s="180"/>
      <c r="Q700" s="180"/>
      <c r="R700" s="180"/>
      <c r="S700" s="184"/>
      <c r="T700" s="182"/>
      <c r="U700" s="182"/>
      <c r="V700" s="182"/>
      <c r="W700" s="182"/>
      <c r="X700" s="182"/>
    </row>
    <row r="701" spans="1:24">
      <c r="A701" s="182"/>
      <c r="B701" s="182"/>
      <c r="C701" s="182"/>
      <c r="D701" s="182"/>
      <c r="E701" s="182"/>
      <c r="F701" s="182"/>
      <c r="G701" s="182"/>
      <c r="H701" s="182"/>
      <c r="I701" s="182"/>
      <c r="J701" s="182"/>
      <c r="K701" s="182"/>
      <c r="L701" s="180"/>
      <c r="M701" s="182"/>
      <c r="N701" s="182"/>
      <c r="O701" s="182"/>
      <c r="P701" s="180"/>
      <c r="Q701" s="180"/>
      <c r="R701" s="180"/>
      <c r="S701" s="184"/>
      <c r="T701" s="182"/>
      <c r="U701" s="182"/>
      <c r="V701" s="182"/>
      <c r="W701" s="182"/>
      <c r="X701" s="182"/>
    </row>
    <row r="702" spans="1:24">
      <c r="A702" s="182"/>
      <c r="B702" s="182"/>
      <c r="C702" s="182"/>
      <c r="D702" s="182"/>
      <c r="E702" s="182"/>
      <c r="F702" s="182"/>
      <c r="G702" s="182"/>
      <c r="H702" s="182"/>
      <c r="I702" s="182"/>
      <c r="J702" s="182"/>
      <c r="K702" s="182"/>
      <c r="L702" s="180"/>
      <c r="M702" s="182"/>
      <c r="N702" s="182"/>
      <c r="O702" s="182"/>
      <c r="P702" s="180"/>
      <c r="Q702" s="180"/>
      <c r="R702" s="180"/>
      <c r="S702" s="184"/>
      <c r="T702" s="182"/>
      <c r="U702" s="182"/>
      <c r="V702" s="182"/>
      <c r="W702" s="182"/>
      <c r="X702" s="182"/>
    </row>
    <row r="703" spans="1:24">
      <c r="A703" s="182"/>
      <c r="B703" s="182"/>
      <c r="C703" s="182"/>
      <c r="D703" s="182"/>
      <c r="E703" s="182"/>
      <c r="F703" s="182"/>
      <c r="G703" s="182"/>
      <c r="H703" s="182"/>
      <c r="I703" s="182"/>
      <c r="J703" s="182"/>
      <c r="K703" s="182"/>
      <c r="L703" s="180"/>
      <c r="M703" s="182"/>
      <c r="N703" s="182"/>
      <c r="O703" s="182"/>
      <c r="P703" s="180"/>
      <c r="Q703" s="180"/>
      <c r="R703" s="180"/>
      <c r="S703" s="184"/>
      <c r="T703" s="182"/>
      <c r="U703" s="182"/>
      <c r="V703" s="182"/>
      <c r="W703" s="182"/>
      <c r="X703" s="182"/>
    </row>
    <row r="704" spans="1:24">
      <c r="A704" s="182"/>
      <c r="B704" s="182"/>
      <c r="C704" s="182"/>
      <c r="D704" s="182"/>
      <c r="E704" s="182"/>
      <c r="F704" s="182"/>
      <c r="G704" s="182"/>
      <c r="H704" s="182"/>
      <c r="I704" s="182"/>
      <c r="J704" s="182"/>
      <c r="K704" s="182"/>
      <c r="L704" s="180"/>
      <c r="M704" s="182"/>
      <c r="N704" s="182"/>
      <c r="O704" s="182"/>
      <c r="P704" s="180"/>
      <c r="Q704" s="180"/>
      <c r="R704" s="180"/>
      <c r="S704" s="184"/>
      <c r="T704" s="182"/>
      <c r="U704" s="182"/>
      <c r="V704" s="182"/>
      <c r="W704" s="182"/>
      <c r="X704" s="182"/>
    </row>
    <row r="705" spans="1:24">
      <c r="A705" s="182"/>
      <c r="B705" s="182"/>
      <c r="C705" s="182"/>
      <c r="D705" s="182"/>
      <c r="E705" s="182"/>
      <c r="F705" s="182"/>
      <c r="G705" s="182"/>
      <c r="H705" s="182"/>
      <c r="I705" s="182"/>
      <c r="J705" s="182"/>
      <c r="K705" s="182"/>
      <c r="L705" s="180"/>
      <c r="M705" s="182"/>
      <c r="N705" s="182"/>
      <c r="O705" s="182"/>
      <c r="P705" s="180"/>
      <c r="Q705" s="180"/>
      <c r="R705" s="180"/>
      <c r="S705" s="184"/>
      <c r="T705" s="182"/>
      <c r="U705" s="182"/>
      <c r="V705" s="182"/>
      <c r="W705" s="182"/>
      <c r="X705" s="182"/>
    </row>
    <row r="706" spans="1:24">
      <c r="A706" s="182"/>
      <c r="B706" s="182"/>
      <c r="C706" s="182"/>
      <c r="D706" s="182"/>
      <c r="E706" s="182"/>
      <c r="F706" s="182"/>
      <c r="G706" s="182"/>
      <c r="H706" s="182"/>
      <c r="I706" s="182"/>
      <c r="J706" s="182"/>
      <c r="K706" s="182"/>
      <c r="L706" s="180"/>
      <c r="M706" s="182"/>
      <c r="N706" s="182"/>
      <c r="O706" s="182"/>
      <c r="P706" s="180"/>
      <c r="Q706" s="180"/>
      <c r="R706" s="180"/>
      <c r="S706" s="184"/>
      <c r="T706" s="182"/>
      <c r="U706" s="182"/>
      <c r="V706" s="182"/>
      <c r="W706" s="182"/>
      <c r="X706" s="182"/>
    </row>
    <row r="707" spans="1:24">
      <c r="A707" s="182"/>
      <c r="B707" s="182"/>
      <c r="C707" s="182"/>
      <c r="D707" s="182"/>
      <c r="E707" s="182"/>
      <c r="F707" s="182"/>
      <c r="G707" s="182"/>
      <c r="H707" s="182"/>
      <c r="I707" s="182"/>
      <c r="J707" s="182"/>
      <c r="K707" s="182"/>
      <c r="L707" s="180"/>
      <c r="M707" s="182"/>
      <c r="N707" s="182"/>
      <c r="O707" s="182"/>
      <c r="P707" s="180"/>
      <c r="Q707" s="180"/>
      <c r="R707" s="180"/>
      <c r="S707" s="184"/>
      <c r="T707" s="182"/>
      <c r="U707" s="182"/>
      <c r="V707" s="182"/>
      <c r="W707" s="182"/>
      <c r="X707" s="182"/>
    </row>
    <row r="708" spans="1:24">
      <c r="A708" s="182"/>
      <c r="B708" s="182"/>
      <c r="C708" s="182"/>
      <c r="D708" s="182"/>
      <c r="E708" s="182"/>
      <c r="F708" s="182"/>
      <c r="G708" s="182"/>
      <c r="H708" s="182"/>
      <c r="I708" s="182"/>
      <c r="J708" s="182"/>
      <c r="K708" s="182"/>
      <c r="L708" s="180"/>
      <c r="M708" s="182"/>
      <c r="N708" s="182"/>
      <c r="O708" s="182"/>
      <c r="P708" s="180"/>
      <c r="Q708" s="180"/>
      <c r="R708" s="180"/>
      <c r="S708" s="184"/>
      <c r="T708" s="182"/>
      <c r="U708" s="182"/>
      <c r="V708" s="182"/>
      <c r="W708" s="182"/>
      <c r="X708" s="182"/>
    </row>
    <row r="709" spans="1:24">
      <c r="A709" s="182"/>
      <c r="B709" s="182"/>
      <c r="C709" s="182"/>
      <c r="D709" s="182"/>
      <c r="E709" s="182"/>
      <c r="F709" s="182"/>
      <c r="G709" s="182"/>
      <c r="H709" s="182"/>
      <c r="I709" s="182"/>
      <c r="J709" s="182"/>
      <c r="K709" s="182"/>
      <c r="L709" s="180"/>
      <c r="M709" s="182"/>
      <c r="N709" s="182"/>
      <c r="O709" s="182"/>
      <c r="P709" s="180"/>
      <c r="Q709" s="180"/>
      <c r="R709" s="180"/>
      <c r="S709" s="184"/>
      <c r="T709" s="182"/>
      <c r="U709" s="182"/>
      <c r="V709" s="182"/>
      <c r="W709" s="182"/>
      <c r="X709" s="182"/>
    </row>
    <row r="710" spans="1:24">
      <c r="A710" s="182"/>
      <c r="B710" s="182"/>
      <c r="C710" s="182"/>
      <c r="D710" s="182"/>
      <c r="E710" s="182"/>
      <c r="F710" s="182"/>
      <c r="G710" s="182"/>
      <c r="H710" s="182"/>
      <c r="I710" s="182"/>
      <c r="J710" s="182"/>
      <c r="K710" s="182"/>
      <c r="L710" s="180"/>
      <c r="M710" s="182"/>
      <c r="N710" s="182"/>
      <c r="O710" s="182"/>
      <c r="P710" s="180"/>
      <c r="Q710" s="180"/>
      <c r="R710" s="180"/>
      <c r="S710" s="184"/>
      <c r="T710" s="182"/>
      <c r="U710" s="182"/>
      <c r="V710" s="182"/>
      <c r="W710" s="182"/>
      <c r="X710" s="182"/>
    </row>
    <row r="711" spans="1:24">
      <c r="A711" s="182"/>
      <c r="B711" s="182"/>
      <c r="C711" s="182"/>
      <c r="D711" s="182"/>
      <c r="E711" s="182"/>
      <c r="F711" s="182"/>
      <c r="G711" s="182"/>
      <c r="H711" s="182"/>
      <c r="I711" s="182"/>
      <c r="J711" s="182"/>
      <c r="K711" s="182"/>
      <c r="L711" s="180"/>
      <c r="M711" s="182"/>
      <c r="N711" s="182"/>
      <c r="O711" s="182"/>
      <c r="P711" s="180"/>
      <c r="Q711" s="180"/>
      <c r="R711" s="180"/>
      <c r="S711" s="184"/>
      <c r="T711" s="182"/>
      <c r="U711" s="182"/>
      <c r="V711" s="182"/>
      <c r="W711" s="182"/>
      <c r="X711" s="182"/>
    </row>
    <row r="712" spans="1:24">
      <c r="A712" s="182"/>
      <c r="B712" s="182"/>
      <c r="C712" s="182"/>
      <c r="D712" s="182"/>
      <c r="E712" s="182"/>
      <c r="F712" s="182"/>
      <c r="G712" s="182"/>
      <c r="H712" s="182"/>
      <c r="I712" s="182"/>
      <c r="J712" s="182"/>
      <c r="K712" s="182"/>
      <c r="L712" s="180"/>
      <c r="M712" s="182"/>
      <c r="N712" s="182"/>
      <c r="O712" s="182"/>
      <c r="P712" s="180"/>
      <c r="Q712" s="180"/>
      <c r="R712" s="180"/>
      <c r="S712" s="184"/>
      <c r="T712" s="182"/>
      <c r="U712" s="182"/>
      <c r="V712" s="182"/>
      <c r="W712" s="182"/>
      <c r="X712" s="182"/>
    </row>
    <row r="713" spans="1:24">
      <c r="A713" s="182"/>
      <c r="B713" s="182"/>
      <c r="C713" s="182"/>
      <c r="D713" s="182"/>
      <c r="E713" s="182"/>
      <c r="F713" s="182"/>
      <c r="G713" s="182"/>
      <c r="H713" s="182"/>
      <c r="I713" s="182"/>
      <c r="J713" s="182"/>
      <c r="K713" s="182"/>
      <c r="L713" s="180"/>
      <c r="M713" s="182"/>
      <c r="N713" s="182"/>
      <c r="O713" s="182"/>
      <c r="P713" s="180"/>
      <c r="Q713" s="180"/>
      <c r="R713" s="180"/>
      <c r="S713" s="184"/>
      <c r="T713" s="182"/>
      <c r="U713" s="182"/>
      <c r="V713" s="182"/>
      <c r="W713" s="182"/>
      <c r="X713" s="182"/>
    </row>
    <row r="714" spans="1:24">
      <c r="A714" s="182"/>
      <c r="B714" s="182"/>
      <c r="C714" s="182"/>
      <c r="D714" s="182"/>
      <c r="E714" s="182"/>
      <c r="F714" s="182"/>
      <c r="G714" s="182"/>
      <c r="H714" s="182"/>
      <c r="I714" s="182"/>
      <c r="J714" s="182"/>
      <c r="K714" s="182"/>
      <c r="L714" s="180"/>
      <c r="M714" s="182"/>
      <c r="N714" s="182"/>
      <c r="O714" s="182"/>
      <c r="P714" s="180"/>
      <c r="Q714" s="180"/>
      <c r="R714" s="180"/>
      <c r="S714" s="184"/>
      <c r="T714" s="182"/>
      <c r="U714" s="182"/>
      <c r="V714" s="182"/>
      <c r="W714" s="182"/>
      <c r="X714" s="182"/>
    </row>
    <row r="715" spans="1:24">
      <c r="A715" s="182"/>
      <c r="B715" s="182"/>
      <c r="C715" s="182"/>
      <c r="D715" s="182"/>
      <c r="E715" s="182"/>
      <c r="F715" s="182"/>
      <c r="G715" s="182"/>
      <c r="H715" s="182"/>
      <c r="I715" s="182"/>
      <c r="J715" s="182"/>
      <c r="K715" s="182"/>
      <c r="L715" s="180"/>
      <c r="M715" s="182"/>
      <c r="N715" s="182"/>
      <c r="O715" s="182"/>
      <c r="P715" s="180"/>
      <c r="Q715" s="180"/>
      <c r="R715" s="180"/>
      <c r="S715" s="184"/>
      <c r="T715" s="182"/>
      <c r="U715" s="182"/>
      <c r="V715" s="182"/>
      <c r="W715" s="182"/>
      <c r="X715" s="182"/>
    </row>
    <row r="716" spans="1:24">
      <c r="A716" s="182"/>
      <c r="B716" s="182"/>
      <c r="C716" s="182"/>
      <c r="D716" s="182"/>
      <c r="E716" s="182"/>
      <c r="F716" s="182"/>
      <c r="G716" s="182"/>
      <c r="H716" s="182"/>
      <c r="I716" s="182"/>
      <c r="J716" s="182"/>
      <c r="K716" s="182"/>
      <c r="L716" s="180"/>
      <c r="M716" s="182"/>
      <c r="N716" s="182"/>
      <c r="O716" s="182"/>
      <c r="P716" s="180"/>
      <c r="Q716" s="180"/>
      <c r="R716" s="180"/>
      <c r="S716" s="184"/>
      <c r="T716" s="182"/>
      <c r="U716" s="182"/>
      <c r="V716" s="182"/>
      <c r="W716" s="182"/>
      <c r="X716" s="182"/>
    </row>
    <row r="717" spans="1:24">
      <c r="A717" s="182"/>
      <c r="B717" s="182"/>
      <c r="C717" s="182"/>
      <c r="D717" s="182"/>
      <c r="E717" s="182"/>
      <c r="F717" s="182"/>
      <c r="G717" s="182"/>
      <c r="H717" s="182"/>
      <c r="I717" s="182"/>
      <c r="J717" s="182"/>
      <c r="K717" s="182"/>
      <c r="L717" s="180"/>
      <c r="M717" s="182"/>
      <c r="N717" s="182"/>
      <c r="O717" s="182"/>
      <c r="P717" s="180"/>
      <c r="Q717" s="180"/>
      <c r="R717" s="180"/>
      <c r="S717" s="184"/>
      <c r="T717" s="182"/>
      <c r="U717" s="182"/>
      <c r="V717" s="182"/>
      <c r="W717" s="182"/>
      <c r="X717" s="182"/>
    </row>
    <row r="718" spans="1:24">
      <c r="A718" s="182"/>
      <c r="B718" s="182"/>
      <c r="C718" s="182"/>
      <c r="D718" s="182"/>
      <c r="E718" s="182"/>
      <c r="F718" s="182"/>
      <c r="G718" s="182"/>
      <c r="H718" s="182"/>
      <c r="I718" s="182"/>
      <c r="J718" s="182"/>
      <c r="K718" s="182"/>
      <c r="L718" s="180"/>
      <c r="M718" s="182"/>
      <c r="N718" s="182"/>
      <c r="O718" s="182"/>
      <c r="P718" s="180"/>
      <c r="Q718" s="180"/>
      <c r="R718" s="180"/>
      <c r="S718" s="184"/>
      <c r="T718" s="182"/>
      <c r="U718" s="182"/>
      <c r="V718" s="182"/>
      <c r="W718" s="182"/>
      <c r="X718" s="182"/>
    </row>
    <row r="719" spans="1:24">
      <c r="A719" s="182"/>
      <c r="B719" s="182"/>
      <c r="C719" s="182"/>
      <c r="D719" s="182"/>
      <c r="E719" s="182"/>
      <c r="F719" s="182"/>
      <c r="G719" s="182"/>
      <c r="H719" s="182"/>
      <c r="I719" s="182"/>
      <c r="J719" s="182"/>
      <c r="K719" s="182"/>
      <c r="L719" s="180"/>
      <c r="M719" s="182"/>
      <c r="N719" s="182"/>
      <c r="O719" s="182"/>
      <c r="P719" s="180"/>
      <c r="Q719" s="180"/>
      <c r="R719" s="180"/>
      <c r="S719" s="184"/>
      <c r="T719" s="182"/>
      <c r="U719" s="182"/>
      <c r="V719" s="182"/>
      <c r="W719" s="182"/>
      <c r="X719" s="182"/>
    </row>
    <row r="720" spans="1:24">
      <c r="A720" s="182"/>
      <c r="B720" s="182"/>
      <c r="C720" s="182"/>
      <c r="D720" s="182"/>
      <c r="E720" s="182"/>
      <c r="F720" s="182"/>
      <c r="G720" s="182"/>
      <c r="H720" s="182"/>
      <c r="I720" s="182"/>
      <c r="J720" s="182"/>
      <c r="K720" s="182"/>
      <c r="L720" s="180"/>
      <c r="M720" s="182"/>
      <c r="N720" s="182"/>
      <c r="O720" s="182"/>
      <c r="P720" s="180"/>
      <c r="Q720" s="180"/>
      <c r="R720" s="180"/>
      <c r="S720" s="184"/>
      <c r="T720" s="182"/>
      <c r="U720" s="182"/>
      <c r="V720" s="182"/>
      <c r="W720" s="182"/>
      <c r="X720" s="182"/>
    </row>
    <row r="721" spans="1:24">
      <c r="A721" s="182"/>
      <c r="B721" s="182"/>
      <c r="C721" s="182"/>
      <c r="D721" s="182"/>
      <c r="E721" s="182"/>
      <c r="F721" s="182"/>
      <c r="G721" s="182"/>
      <c r="H721" s="182"/>
      <c r="I721" s="182"/>
      <c r="J721" s="182"/>
      <c r="K721" s="182"/>
      <c r="L721" s="180"/>
      <c r="M721" s="182"/>
      <c r="N721" s="182"/>
      <c r="O721" s="182"/>
      <c r="P721" s="180"/>
      <c r="Q721" s="180"/>
      <c r="R721" s="180"/>
      <c r="S721" s="184"/>
      <c r="T721" s="182"/>
      <c r="U721" s="182"/>
      <c r="V721" s="182"/>
      <c r="W721" s="182"/>
      <c r="X721" s="182"/>
    </row>
    <row r="722" spans="1:24">
      <c r="A722" s="182"/>
      <c r="B722" s="182"/>
      <c r="C722" s="182"/>
      <c r="D722" s="182"/>
      <c r="E722" s="182"/>
      <c r="F722" s="182"/>
      <c r="G722" s="182"/>
      <c r="H722" s="182"/>
      <c r="I722" s="182"/>
      <c r="J722" s="182"/>
      <c r="K722" s="182"/>
      <c r="L722" s="180"/>
      <c r="M722" s="182"/>
      <c r="N722" s="182"/>
      <c r="O722" s="182"/>
      <c r="P722" s="180"/>
      <c r="Q722" s="180"/>
      <c r="R722" s="180"/>
      <c r="S722" s="184"/>
      <c r="T722" s="182"/>
      <c r="U722" s="182"/>
      <c r="V722" s="182"/>
      <c r="W722" s="182"/>
      <c r="X722" s="182"/>
    </row>
    <row r="723" spans="1:24">
      <c r="A723" s="182"/>
      <c r="B723" s="182"/>
      <c r="C723" s="182"/>
      <c r="D723" s="182"/>
      <c r="E723" s="182"/>
      <c r="F723" s="182"/>
      <c r="G723" s="182"/>
      <c r="H723" s="182"/>
      <c r="I723" s="182"/>
      <c r="J723" s="182"/>
      <c r="K723" s="182"/>
      <c r="L723" s="180"/>
      <c r="M723" s="182"/>
      <c r="N723" s="182"/>
      <c r="O723" s="182"/>
      <c r="P723" s="180"/>
      <c r="Q723" s="180"/>
      <c r="R723" s="180"/>
      <c r="S723" s="184"/>
      <c r="T723" s="182"/>
      <c r="U723" s="182"/>
      <c r="V723" s="182"/>
      <c r="W723" s="182"/>
      <c r="X723" s="182"/>
    </row>
    <row r="724" spans="1:24">
      <c r="A724" s="182"/>
      <c r="B724" s="182"/>
      <c r="C724" s="182"/>
      <c r="D724" s="182"/>
      <c r="E724" s="182"/>
      <c r="F724" s="182"/>
      <c r="G724" s="182"/>
      <c r="H724" s="182"/>
      <c r="I724" s="182"/>
      <c r="J724" s="182"/>
      <c r="K724" s="182"/>
      <c r="L724" s="180"/>
      <c r="M724" s="182"/>
      <c r="N724" s="182"/>
      <c r="O724" s="182"/>
      <c r="P724" s="180"/>
      <c r="Q724" s="180"/>
      <c r="R724" s="180"/>
      <c r="S724" s="184"/>
      <c r="T724" s="182"/>
      <c r="U724" s="182"/>
      <c r="V724" s="182"/>
      <c r="W724" s="182"/>
      <c r="X724" s="182"/>
    </row>
    <row r="725" spans="1:24">
      <c r="A725" s="182"/>
      <c r="B725" s="182"/>
      <c r="C725" s="182"/>
      <c r="D725" s="182"/>
      <c r="E725" s="182"/>
      <c r="F725" s="182"/>
      <c r="G725" s="182"/>
      <c r="H725" s="182"/>
      <c r="I725" s="182"/>
      <c r="J725" s="182"/>
      <c r="K725" s="182"/>
      <c r="L725" s="180"/>
      <c r="M725" s="182"/>
      <c r="N725" s="182"/>
      <c r="O725" s="182"/>
      <c r="P725" s="180"/>
      <c r="Q725" s="180"/>
      <c r="R725" s="180"/>
      <c r="S725" s="184"/>
      <c r="T725" s="182"/>
      <c r="U725" s="182"/>
      <c r="V725" s="182"/>
      <c r="W725" s="182"/>
      <c r="X725" s="182"/>
    </row>
    <row r="726" spans="1:24">
      <c r="A726" s="182"/>
      <c r="B726" s="182"/>
      <c r="C726" s="182"/>
      <c r="D726" s="182"/>
      <c r="E726" s="182"/>
      <c r="F726" s="182"/>
      <c r="G726" s="182"/>
      <c r="H726" s="182"/>
      <c r="I726" s="182"/>
      <c r="J726" s="182"/>
      <c r="K726" s="182"/>
      <c r="L726" s="180"/>
      <c r="M726" s="182"/>
      <c r="N726" s="182"/>
      <c r="O726" s="182"/>
      <c r="P726" s="180"/>
      <c r="Q726" s="180"/>
      <c r="R726" s="180"/>
      <c r="S726" s="184"/>
      <c r="T726" s="182"/>
      <c r="U726" s="182"/>
      <c r="V726" s="182"/>
      <c r="W726" s="182"/>
      <c r="X726" s="182"/>
    </row>
    <row r="727" spans="1:24">
      <c r="A727" s="182"/>
      <c r="B727" s="182"/>
      <c r="C727" s="182"/>
      <c r="D727" s="182"/>
      <c r="E727" s="182"/>
      <c r="F727" s="182"/>
      <c r="G727" s="182"/>
      <c r="H727" s="182"/>
      <c r="I727" s="182"/>
      <c r="J727" s="182"/>
      <c r="K727" s="182"/>
      <c r="L727" s="180"/>
      <c r="M727" s="182"/>
      <c r="N727" s="182"/>
      <c r="O727" s="182"/>
      <c r="P727" s="180"/>
      <c r="Q727" s="180"/>
      <c r="R727" s="180"/>
      <c r="S727" s="184"/>
      <c r="T727" s="182"/>
      <c r="U727" s="182"/>
      <c r="V727" s="182"/>
      <c r="W727" s="182"/>
      <c r="X727" s="182"/>
    </row>
    <row r="728" spans="1:24">
      <c r="A728" s="182"/>
      <c r="B728" s="182"/>
      <c r="C728" s="182"/>
      <c r="D728" s="182"/>
      <c r="E728" s="182"/>
      <c r="F728" s="182"/>
      <c r="G728" s="182"/>
      <c r="H728" s="182"/>
      <c r="I728" s="182"/>
      <c r="J728" s="182"/>
      <c r="K728" s="182"/>
      <c r="L728" s="180"/>
      <c r="M728" s="182"/>
      <c r="N728" s="182"/>
      <c r="O728" s="182"/>
      <c r="P728" s="180"/>
      <c r="Q728" s="180"/>
      <c r="R728" s="180"/>
      <c r="S728" s="184"/>
      <c r="T728" s="182"/>
      <c r="U728" s="182"/>
      <c r="V728" s="182"/>
      <c r="W728" s="182"/>
      <c r="X728" s="182"/>
    </row>
    <row r="729" spans="1:24">
      <c r="A729" s="182"/>
      <c r="B729" s="182"/>
      <c r="C729" s="182"/>
      <c r="D729" s="182"/>
      <c r="E729" s="182"/>
      <c r="F729" s="182"/>
      <c r="G729" s="182"/>
      <c r="H729" s="182"/>
      <c r="I729" s="182"/>
      <c r="J729" s="182"/>
      <c r="K729" s="182"/>
      <c r="L729" s="180"/>
      <c r="M729" s="182"/>
      <c r="N729" s="182"/>
      <c r="O729" s="182"/>
      <c r="P729" s="180"/>
      <c r="Q729" s="180"/>
      <c r="R729" s="180"/>
      <c r="S729" s="184"/>
      <c r="T729" s="182"/>
      <c r="U729" s="182"/>
      <c r="V729" s="182"/>
      <c r="W729" s="182"/>
      <c r="X729" s="182"/>
    </row>
    <row r="730" spans="1:24">
      <c r="A730" s="182"/>
      <c r="B730" s="182"/>
      <c r="C730" s="182"/>
      <c r="D730" s="182"/>
      <c r="E730" s="182"/>
      <c r="F730" s="182"/>
      <c r="G730" s="182"/>
      <c r="H730" s="182"/>
      <c r="I730" s="182"/>
      <c r="J730" s="182"/>
      <c r="K730" s="182"/>
      <c r="L730" s="180"/>
      <c r="M730" s="182"/>
      <c r="N730" s="182"/>
      <c r="O730" s="182"/>
      <c r="P730" s="180"/>
      <c r="Q730" s="180"/>
      <c r="R730" s="180"/>
      <c r="S730" s="184"/>
      <c r="T730" s="182"/>
      <c r="U730" s="182"/>
      <c r="V730" s="182"/>
      <c r="W730" s="182"/>
      <c r="X730" s="182"/>
    </row>
    <row r="731" spans="1:24">
      <c r="A731" s="182"/>
      <c r="B731" s="182"/>
      <c r="C731" s="182"/>
      <c r="D731" s="182"/>
      <c r="E731" s="182"/>
      <c r="F731" s="182"/>
      <c r="G731" s="182"/>
      <c r="H731" s="182"/>
      <c r="I731" s="182"/>
      <c r="J731" s="182"/>
      <c r="K731" s="182"/>
      <c r="L731" s="180"/>
      <c r="M731" s="182"/>
      <c r="N731" s="182"/>
      <c r="O731" s="182"/>
      <c r="P731" s="180"/>
      <c r="Q731" s="180"/>
      <c r="R731" s="180"/>
      <c r="S731" s="184"/>
      <c r="T731" s="182"/>
      <c r="U731" s="182"/>
      <c r="V731" s="182"/>
      <c r="W731" s="182"/>
      <c r="X731" s="182"/>
    </row>
    <row r="732" spans="1:24">
      <c r="A732" s="182"/>
      <c r="B732" s="182"/>
      <c r="C732" s="182"/>
      <c r="D732" s="182"/>
      <c r="E732" s="182"/>
      <c r="F732" s="182"/>
      <c r="G732" s="182"/>
      <c r="H732" s="182"/>
      <c r="I732" s="182"/>
      <c r="J732" s="182"/>
      <c r="K732" s="182"/>
      <c r="L732" s="180"/>
      <c r="M732" s="182"/>
      <c r="N732" s="182"/>
      <c r="O732" s="182"/>
      <c r="P732" s="180"/>
      <c r="Q732" s="180"/>
      <c r="R732" s="180"/>
      <c r="S732" s="184"/>
      <c r="T732" s="182"/>
      <c r="U732" s="182"/>
      <c r="V732" s="182"/>
      <c r="W732" s="182"/>
      <c r="X732" s="182"/>
    </row>
    <row r="733" spans="1:24">
      <c r="A733" s="182"/>
      <c r="B733" s="182"/>
      <c r="C733" s="182"/>
      <c r="D733" s="182"/>
      <c r="E733" s="182"/>
      <c r="F733" s="182"/>
      <c r="G733" s="182"/>
      <c r="H733" s="182"/>
      <c r="I733" s="182"/>
      <c r="J733" s="182"/>
      <c r="K733" s="182"/>
      <c r="L733" s="180"/>
      <c r="M733" s="182"/>
      <c r="N733" s="182"/>
      <c r="O733" s="182"/>
      <c r="P733" s="180"/>
      <c r="Q733" s="180"/>
      <c r="R733" s="180"/>
      <c r="S733" s="184"/>
      <c r="T733" s="182"/>
      <c r="U733" s="182"/>
      <c r="V733" s="182"/>
      <c r="W733" s="182"/>
      <c r="X733" s="182"/>
    </row>
    <row r="734" spans="1:24">
      <c r="A734" s="182"/>
      <c r="B734" s="182"/>
      <c r="C734" s="182"/>
      <c r="D734" s="182"/>
      <c r="E734" s="182"/>
      <c r="F734" s="182"/>
      <c r="G734" s="182"/>
      <c r="H734" s="182"/>
      <c r="I734" s="182"/>
      <c r="J734" s="182"/>
      <c r="K734" s="182"/>
      <c r="L734" s="180"/>
      <c r="M734" s="182"/>
      <c r="N734" s="182"/>
      <c r="O734" s="182"/>
      <c r="P734" s="180"/>
      <c r="Q734" s="180"/>
      <c r="R734" s="180"/>
      <c r="S734" s="184"/>
      <c r="T734" s="182"/>
      <c r="U734" s="182"/>
      <c r="V734" s="182"/>
      <c r="W734" s="182"/>
      <c r="X734" s="182"/>
    </row>
    <row r="735" spans="1:24">
      <c r="A735" s="182"/>
      <c r="B735" s="182"/>
      <c r="C735" s="182"/>
      <c r="D735" s="182"/>
      <c r="E735" s="182"/>
      <c r="F735" s="182"/>
      <c r="G735" s="182"/>
      <c r="H735" s="182"/>
      <c r="I735" s="182"/>
      <c r="J735" s="182"/>
      <c r="K735" s="182"/>
      <c r="L735" s="180"/>
      <c r="M735" s="182"/>
      <c r="N735" s="182"/>
      <c r="O735" s="182"/>
      <c r="P735" s="180"/>
      <c r="Q735" s="180"/>
      <c r="R735" s="180"/>
      <c r="S735" s="184"/>
      <c r="T735" s="182"/>
      <c r="U735" s="182"/>
      <c r="V735" s="182"/>
      <c r="W735" s="182"/>
      <c r="X735" s="182"/>
    </row>
    <row r="736" spans="1:24">
      <c r="A736" s="182"/>
      <c r="B736" s="182"/>
      <c r="C736" s="182"/>
      <c r="D736" s="182"/>
      <c r="E736" s="182"/>
      <c r="F736" s="182"/>
      <c r="G736" s="182"/>
      <c r="H736" s="182"/>
      <c r="I736" s="182"/>
      <c r="J736" s="182"/>
      <c r="K736" s="182"/>
      <c r="L736" s="180"/>
      <c r="M736" s="182"/>
      <c r="N736" s="182"/>
      <c r="O736" s="182"/>
      <c r="P736" s="180"/>
      <c r="Q736" s="180"/>
      <c r="R736" s="180"/>
      <c r="S736" s="184"/>
      <c r="T736" s="182"/>
      <c r="U736" s="182"/>
      <c r="V736" s="182"/>
      <c r="W736" s="182"/>
      <c r="X736" s="182"/>
    </row>
    <row r="737" spans="1:24">
      <c r="A737" s="182"/>
      <c r="B737" s="182"/>
      <c r="C737" s="182"/>
      <c r="D737" s="182"/>
      <c r="E737" s="182"/>
      <c r="F737" s="182"/>
      <c r="G737" s="182"/>
      <c r="H737" s="182"/>
      <c r="I737" s="182"/>
      <c r="J737" s="182"/>
      <c r="K737" s="182"/>
      <c r="L737" s="180"/>
      <c r="M737" s="182"/>
      <c r="N737" s="182"/>
      <c r="O737" s="182"/>
      <c r="P737" s="180"/>
      <c r="Q737" s="180"/>
      <c r="R737" s="180"/>
      <c r="S737" s="184"/>
      <c r="T737" s="182"/>
      <c r="U737" s="182"/>
      <c r="V737" s="182"/>
      <c r="W737" s="182"/>
      <c r="X737" s="182"/>
    </row>
    <row r="738" spans="1:24">
      <c r="A738" s="182"/>
      <c r="B738" s="182"/>
      <c r="C738" s="182"/>
      <c r="D738" s="182"/>
      <c r="E738" s="182"/>
      <c r="F738" s="182"/>
      <c r="G738" s="182"/>
      <c r="H738" s="182"/>
      <c r="I738" s="182"/>
      <c r="J738" s="182"/>
      <c r="K738" s="182"/>
      <c r="L738" s="180"/>
      <c r="M738" s="182"/>
      <c r="N738" s="182"/>
      <c r="O738" s="182"/>
      <c r="P738" s="180"/>
      <c r="Q738" s="180"/>
      <c r="R738" s="180"/>
      <c r="S738" s="184"/>
      <c r="T738" s="182"/>
      <c r="U738" s="182"/>
      <c r="V738" s="182"/>
      <c r="W738" s="182"/>
      <c r="X738" s="182"/>
    </row>
    <row r="739" spans="1:24">
      <c r="A739" s="182"/>
      <c r="B739" s="182"/>
      <c r="C739" s="182"/>
      <c r="D739" s="182"/>
      <c r="E739" s="182"/>
      <c r="F739" s="182"/>
      <c r="G739" s="182"/>
      <c r="H739" s="182"/>
      <c r="I739" s="182"/>
      <c r="J739" s="182"/>
      <c r="K739" s="182"/>
      <c r="L739" s="180"/>
      <c r="M739" s="182"/>
      <c r="N739" s="182"/>
      <c r="O739" s="182"/>
      <c r="P739" s="180"/>
      <c r="Q739" s="180"/>
      <c r="R739" s="180"/>
      <c r="S739" s="184"/>
      <c r="T739" s="182"/>
      <c r="U739" s="182"/>
      <c r="V739" s="182"/>
      <c r="W739" s="182"/>
      <c r="X739" s="182"/>
    </row>
    <row r="740" spans="1:24">
      <c r="A740" s="182"/>
      <c r="B740" s="182"/>
      <c r="C740" s="182"/>
      <c r="D740" s="182"/>
      <c r="E740" s="182"/>
      <c r="F740" s="182"/>
      <c r="G740" s="182"/>
      <c r="H740" s="182"/>
      <c r="I740" s="182"/>
      <c r="J740" s="182"/>
      <c r="K740" s="182"/>
      <c r="L740" s="180"/>
      <c r="M740" s="182"/>
      <c r="N740" s="182"/>
      <c r="O740" s="182"/>
      <c r="P740" s="180"/>
      <c r="Q740" s="180"/>
      <c r="R740" s="180"/>
      <c r="S740" s="184"/>
      <c r="T740" s="182"/>
      <c r="U740" s="182"/>
      <c r="V740" s="182"/>
      <c r="W740" s="182"/>
      <c r="X740" s="182"/>
    </row>
    <row r="741" spans="1:24">
      <c r="A741" s="182"/>
      <c r="B741" s="182"/>
      <c r="C741" s="182"/>
      <c r="D741" s="182"/>
      <c r="E741" s="182"/>
      <c r="F741" s="182"/>
      <c r="G741" s="182"/>
      <c r="H741" s="182"/>
      <c r="I741" s="182"/>
      <c r="J741" s="182"/>
      <c r="K741" s="182"/>
      <c r="L741" s="180"/>
      <c r="M741" s="182"/>
      <c r="N741" s="182"/>
      <c r="O741" s="182"/>
      <c r="P741" s="180"/>
      <c r="Q741" s="180"/>
      <c r="R741" s="180"/>
      <c r="S741" s="184"/>
      <c r="T741" s="182"/>
      <c r="U741" s="182"/>
      <c r="V741" s="182"/>
      <c r="W741" s="182"/>
      <c r="X741" s="182"/>
    </row>
    <row r="742" spans="1:24">
      <c r="A742" s="182"/>
      <c r="B742" s="182"/>
      <c r="C742" s="182"/>
      <c r="D742" s="182"/>
      <c r="E742" s="182"/>
      <c r="F742" s="182"/>
      <c r="G742" s="182"/>
      <c r="H742" s="182"/>
      <c r="I742" s="182"/>
      <c r="J742" s="182"/>
      <c r="K742" s="182"/>
      <c r="L742" s="180"/>
      <c r="M742" s="182"/>
      <c r="N742" s="182"/>
      <c r="O742" s="182"/>
      <c r="P742" s="180"/>
      <c r="Q742" s="180"/>
      <c r="R742" s="180"/>
      <c r="S742" s="184"/>
      <c r="T742" s="182"/>
      <c r="U742" s="182"/>
      <c r="V742" s="182"/>
      <c r="W742" s="182"/>
      <c r="X742" s="182"/>
    </row>
    <row r="743" spans="1:24">
      <c r="A743" s="182"/>
      <c r="B743" s="182"/>
      <c r="C743" s="182"/>
      <c r="D743" s="182"/>
      <c r="E743" s="182"/>
      <c r="F743" s="182"/>
      <c r="G743" s="182"/>
      <c r="H743" s="182"/>
      <c r="I743" s="182"/>
      <c r="J743" s="182"/>
      <c r="K743" s="182"/>
      <c r="L743" s="180"/>
      <c r="M743" s="182"/>
      <c r="N743" s="182"/>
      <c r="O743" s="182"/>
      <c r="P743" s="180"/>
      <c r="Q743" s="180"/>
      <c r="R743" s="180"/>
      <c r="S743" s="184"/>
      <c r="T743" s="182"/>
      <c r="U743" s="182"/>
      <c r="V743" s="182"/>
      <c r="W743" s="182"/>
      <c r="X743" s="182"/>
    </row>
    <row r="744" spans="1:24">
      <c r="A744" s="182"/>
      <c r="B744" s="182"/>
      <c r="C744" s="182"/>
      <c r="D744" s="182"/>
      <c r="E744" s="182"/>
      <c r="F744" s="182"/>
      <c r="G744" s="182"/>
      <c r="H744" s="182"/>
      <c r="I744" s="182"/>
      <c r="J744" s="182"/>
      <c r="K744" s="182"/>
      <c r="L744" s="180"/>
      <c r="M744" s="182"/>
      <c r="N744" s="182"/>
      <c r="O744" s="182"/>
      <c r="P744" s="180"/>
      <c r="Q744" s="180"/>
      <c r="R744" s="180"/>
      <c r="S744" s="184"/>
      <c r="T744" s="182"/>
      <c r="U744" s="182"/>
      <c r="V744" s="182"/>
      <c r="W744" s="182"/>
      <c r="X744" s="182"/>
    </row>
    <row r="745" spans="1:24">
      <c r="A745" s="182"/>
      <c r="B745" s="182"/>
      <c r="C745" s="182"/>
      <c r="D745" s="182"/>
      <c r="E745" s="182"/>
      <c r="F745" s="182"/>
      <c r="G745" s="182"/>
      <c r="H745" s="182"/>
      <c r="I745" s="182"/>
      <c r="J745" s="182"/>
      <c r="K745" s="182"/>
      <c r="L745" s="180"/>
      <c r="M745" s="182"/>
      <c r="N745" s="182"/>
      <c r="O745" s="182"/>
      <c r="P745" s="180"/>
      <c r="Q745" s="180"/>
      <c r="R745" s="180"/>
      <c r="S745" s="184"/>
      <c r="T745" s="182"/>
      <c r="U745" s="182"/>
      <c r="V745" s="182"/>
      <c r="W745" s="182"/>
      <c r="X745" s="182"/>
    </row>
    <row r="746" spans="1:24">
      <c r="A746" s="182"/>
      <c r="B746" s="182"/>
      <c r="C746" s="182"/>
      <c r="D746" s="182"/>
      <c r="E746" s="182"/>
      <c r="F746" s="182"/>
      <c r="G746" s="182"/>
      <c r="H746" s="182"/>
      <c r="I746" s="182"/>
      <c r="J746" s="182"/>
      <c r="K746" s="182"/>
      <c r="L746" s="180"/>
      <c r="M746" s="182"/>
      <c r="N746" s="182"/>
      <c r="O746" s="182"/>
      <c r="P746" s="180"/>
      <c r="Q746" s="180"/>
      <c r="R746" s="180"/>
      <c r="S746" s="184"/>
      <c r="T746" s="182"/>
      <c r="U746" s="182"/>
      <c r="V746" s="182"/>
      <c r="W746" s="182"/>
      <c r="X746" s="182"/>
    </row>
    <row r="747" spans="1:24">
      <c r="A747" s="182"/>
      <c r="B747" s="182"/>
      <c r="C747" s="182"/>
      <c r="D747" s="182"/>
      <c r="E747" s="182"/>
      <c r="F747" s="182"/>
      <c r="G747" s="182"/>
      <c r="H747" s="182"/>
      <c r="I747" s="182"/>
      <c r="J747" s="182"/>
      <c r="K747" s="182"/>
      <c r="L747" s="180"/>
      <c r="M747" s="182"/>
      <c r="N747" s="182"/>
      <c r="O747" s="182"/>
      <c r="P747" s="180"/>
      <c r="Q747" s="180"/>
      <c r="R747" s="180"/>
      <c r="S747" s="184"/>
      <c r="T747" s="182"/>
      <c r="U747" s="182"/>
      <c r="V747" s="182"/>
      <c r="W747" s="182"/>
      <c r="X747" s="182"/>
    </row>
    <row r="748" spans="1:24">
      <c r="A748" s="182"/>
      <c r="B748" s="182"/>
      <c r="C748" s="182"/>
      <c r="D748" s="182"/>
      <c r="E748" s="182"/>
      <c r="F748" s="182"/>
      <c r="G748" s="182"/>
      <c r="H748" s="182"/>
      <c r="I748" s="182"/>
      <c r="J748" s="182"/>
      <c r="K748" s="182"/>
      <c r="L748" s="180"/>
      <c r="M748" s="182"/>
      <c r="N748" s="182"/>
      <c r="O748" s="182"/>
      <c r="P748" s="180"/>
      <c r="Q748" s="180"/>
      <c r="R748" s="180"/>
      <c r="S748" s="184"/>
      <c r="T748" s="182"/>
      <c r="U748" s="182"/>
      <c r="V748" s="182"/>
      <c r="W748" s="182"/>
      <c r="X748" s="182"/>
    </row>
    <row r="749" spans="1:24">
      <c r="A749" s="182"/>
      <c r="B749" s="182"/>
      <c r="C749" s="182"/>
      <c r="D749" s="182"/>
      <c r="E749" s="182"/>
      <c r="F749" s="182"/>
      <c r="G749" s="182"/>
      <c r="H749" s="182"/>
      <c r="I749" s="182"/>
      <c r="J749" s="182"/>
      <c r="K749" s="182"/>
      <c r="L749" s="180"/>
      <c r="M749" s="182"/>
      <c r="N749" s="182"/>
      <c r="O749" s="182"/>
      <c r="P749" s="180"/>
      <c r="Q749" s="180"/>
      <c r="R749" s="180"/>
      <c r="S749" s="184"/>
      <c r="T749" s="182"/>
      <c r="U749" s="182"/>
      <c r="V749" s="182"/>
      <c r="W749" s="182"/>
      <c r="X749" s="182"/>
    </row>
    <row r="750" spans="1:24">
      <c r="A750" s="182"/>
      <c r="B750" s="182"/>
      <c r="C750" s="182"/>
      <c r="D750" s="182"/>
      <c r="E750" s="182"/>
      <c r="F750" s="182"/>
      <c r="G750" s="182"/>
      <c r="H750" s="182"/>
      <c r="I750" s="182"/>
      <c r="J750" s="182"/>
      <c r="K750" s="182"/>
      <c r="L750" s="180"/>
      <c r="M750" s="182"/>
      <c r="N750" s="182"/>
      <c r="O750" s="182"/>
      <c r="P750" s="180"/>
      <c r="Q750" s="180"/>
      <c r="R750" s="180"/>
      <c r="S750" s="184"/>
      <c r="T750" s="182"/>
      <c r="U750" s="182"/>
      <c r="V750" s="182"/>
      <c r="W750" s="182"/>
      <c r="X750" s="182"/>
    </row>
    <row r="751" spans="1:24">
      <c r="A751" s="182"/>
      <c r="B751" s="182"/>
      <c r="C751" s="182"/>
      <c r="D751" s="182"/>
      <c r="E751" s="182"/>
      <c r="F751" s="182"/>
      <c r="G751" s="182"/>
      <c r="H751" s="182"/>
      <c r="I751" s="182"/>
      <c r="J751" s="182"/>
      <c r="K751" s="182"/>
      <c r="L751" s="180"/>
      <c r="M751" s="182"/>
      <c r="N751" s="182"/>
      <c r="O751" s="182"/>
      <c r="P751" s="180"/>
      <c r="Q751" s="180"/>
      <c r="R751" s="180"/>
      <c r="S751" s="184"/>
      <c r="T751" s="182"/>
      <c r="U751" s="182"/>
      <c r="V751" s="182"/>
      <c r="W751" s="182"/>
      <c r="X751" s="182"/>
    </row>
    <row r="752" spans="1:24">
      <c r="A752" s="182"/>
      <c r="B752" s="182"/>
      <c r="C752" s="182"/>
      <c r="D752" s="182"/>
      <c r="E752" s="182"/>
      <c r="F752" s="182"/>
      <c r="G752" s="182"/>
      <c r="H752" s="182"/>
      <c r="I752" s="182"/>
      <c r="J752" s="182"/>
      <c r="K752" s="182"/>
      <c r="L752" s="180"/>
      <c r="M752" s="182"/>
      <c r="N752" s="182"/>
      <c r="O752" s="182"/>
      <c r="P752" s="180"/>
      <c r="Q752" s="180"/>
      <c r="R752" s="180"/>
      <c r="S752" s="184"/>
      <c r="T752" s="182"/>
      <c r="U752" s="182"/>
      <c r="V752" s="182"/>
      <c r="W752" s="182"/>
      <c r="X752" s="182"/>
    </row>
    <row r="753" spans="1:24">
      <c r="A753" s="182"/>
      <c r="B753" s="182"/>
      <c r="C753" s="182"/>
      <c r="D753" s="182"/>
      <c r="E753" s="182"/>
      <c r="F753" s="182"/>
      <c r="G753" s="182"/>
      <c r="H753" s="182"/>
      <c r="I753" s="182"/>
      <c r="J753" s="182"/>
      <c r="K753" s="182"/>
      <c r="L753" s="180"/>
      <c r="M753" s="182"/>
      <c r="N753" s="182"/>
      <c r="O753" s="182"/>
      <c r="P753" s="180"/>
      <c r="Q753" s="180"/>
      <c r="R753" s="180"/>
      <c r="S753" s="184"/>
      <c r="T753" s="182"/>
      <c r="U753" s="182"/>
      <c r="V753" s="182"/>
      <c r="W753" s="182"/>
      <c r="X753" s="182"/>
    </row>
    <row r="754" spans="1:24">
      <c r="A754" s="182"/>
      <c r="B754" s="182"/>
      <c r="C754" s="182"/>
      <c r="D754" s="182"/>
      <c r="E754" s="182"/>
      <c r="F754" s="182"/>
      <c r="G754" s="182"/>
      <c r="H754" s="182"/>
      <c r="I754" s="182"/>
      <c r="J754" s="182"/>
      <c r="K754" s="182"/>
      <c r="L754" s="180"/>
      <c r="M754" s="182"/>
      <c r="N754" s="182"/>
      <c r="O754" s="182"/>
      <c r="P754" s="180"/>
      <c r="Q754" s="180"/>
      <c r="R754" s="180"/>
      <c r="S754" s="184"/>
      <c r="T754" s="182"/>
      <c r="U754" s="182"/>
      <c r="V754" s="182"/>
      <c r="W754" s="182"/>
      <c r="X754" s="182"/>
    </row>
    <row r="755" spans="1:24">
      <c r="A755" s="182"/>
      <c r="B755" s="182"/>
      <c r="C755" s="182"/>
      <c r="D755" s="182"/>
      <c r="E755" s="182"/>
      <c r="F755" s="182"/>
      <c r="G755" s="182"/>
      <c r="H755" s="182"/>
      <c r="I755" s="182"/>
      <c r="J755" s="182"/>
      <c r="K755" s="182"/>
      <c r="L755" s="180"/>
      <c r="M755" s="182"/>
      <c r="N755" s="182"/>
      <c r="O755" s="182"/>
      <c r="P755" s="180"/>
      <c r="Q755" s="180"/>
      <c r="R755" s="180"/>
      <c r="S755" s="184"/>
      <c r="T755" s="182"/>
      <c r="U755" s="182"/>
      <c r="V755" s="182"/>
      <c r="W755" s="182"/>
      <c r="X755" s="182"/>
    </row>
    <row r="756" spans="1:24">
      <c r="A756" s="182"/>
      <c r="B756" s="182"/>
      <c r="C756" s="182"/>
      <c r="D756" s="182"/>
      <c r="E756" s="182"/>
      <c r="F756" s="182"/>
      <c r="G756" s="182"/>
      <c r="H756" s="182"/>
      <c r="I756" s="182"/>
      <c r="J756" s="182"/>
      <c r="K756" s="182"/>
      <c r="L756" s="180"/>
      <c r="M756" s="182"/>
      <c r="N756" s="182"/>
      <c r="O756" s="182"/>
      <c r="P756" s="180"/>
      <c r="Q756" s="180"/>
      <c r="R756" s="180"/>
      <c r="S756" s="184"/>
      <c r="T756" s="182"/>
      <c r="U756" s="182"/>
      <c r="V756" s="182"/>
      <c r="W756" s="182"/>
      <c r="X756" s="182"/>
    </row>
    <row r="757" spans="1:24">
      <c r="A757" s="182"/>
      <c r="B757" s="182"/>
      <c r="C757" s="182"/>
      <c r="D757" s="182"/>
      <c r="E757" s="182"/>
      <c r="F757" s="182"/>
      <c r="G757" s="182"/>
      <c r="H757" s="182"/>
      <c r="I757" s="182"/>
      <c r="J757" s="182"/>
      <c r="K757" s="182"/>
      <c r="L757" s="180"/>
      <c r="M757" s="182"/>
      <c r="N757" s="182"/>
      <c r="O757" s="182"/>
      <c r="P757" s="180"/>
      <c r="Q757" s="180"/>
      <c r="R757" s="180"/>
      <c r="S757" s="184"/>
      <c r="T757" s="182"/>
      <c r="U757" s="182"/>
      <c r="V757" s="182"/>
      <c r="W757" s="182"/>
      <c r="X757" s="182"/>
    </row>
    <row r="758" spans="1:24">
      <c r="A758" s="182"/>
      <c r="B758" s="182"/>
      <c r="C758" s="182"/>
      <c r="D758" s="182"/>
      <c r="E758" s="182"/>
      <c r="F758" s="182"/>
      <c r="G758" s="182"/>
      <c r="H758" s="182"/>
      <c r="I758" s="182"/>
      <c r="J758" s="182"/>
      <c r="K758" s="182"/>
      <c r="L758" s="180"/>
      <c r="M758" s="182"/>
      <c r="N758" s="182"/>
      <c r="O758" s="182"/>
      <c r="P758" s="180"/>
      <c r="Q758" s="180"/>
      <c r="R758" s="180"/>
      <c r="S758" s="184"/>
      <c r="T758" s="182"/>
      <c r="U758" s="182"/>
      <c r="V758" s="182"/>
      <c r="W758" s="182"/>
      <c r="X758" s="182"/>
    </row>
    <row r="759" spans="1:24">
      <c r="A759" s="182"/>
      <c r="B759" s="182"/>
      <c r="C759" s="182"/>
      <c r="D759" s="182"/>
      <c r="E759" s="182"/>
      <c r="F759" s="182"/>
      <c r="G759" s="182"/>
      <c r="H759" s="182"/>
      <c r="I759" s="182"/>
      <c r="J759" s="182"/>
      <c r="K759" s="182"/>
      <c r="L759" s="180"/>
      <c r="M759" s="182"/>
      <c r="N759" s="182"/>
      <c r="O759" s="182"/>
      <c r="P759" s="180"/>
      <c r="Q759" s="180"/>
      <c r="R759" s="180"/>
      <c r="S759" s="184"/>
      <c r="T759" s="182"/>
      <c r="U759" s="182"/>
      <c r="V759" s="182"/>
      <c r="W759" s="182"/>
      <c r="X759" s="182"/>
    </row>
    <row r="760" spans="1:24">
      <c r="A760" s="182"/>
      <c r="B760" s="182"/>
      <c r="C760" s="182"/>
      <c r="D760" s="182"/>
      <c r="E760" s="182"/>
      <c r="F760" s="182"/>
      <c r="G760" s="182"/>
      <c r="H760" s="182"/>
      <c r="I760" s="182"/>
      <c r="J760" s="182"/>
      <c r="K760" s="182"/>
      <c r="L760" s="180"/>
      <c r="M760" s="182"/>
      <c r="N760" s="182"/>
      <c r="O760" s="182"/>
      <c r="P760" s="180"/>
      <c r="Q760" s="180"/>
      <c r="R760" s="180"/>
      <c r="S760" s="184"/>
      <c r="T760" s="182"/>
      <c r="U760" s="182"/>
      <c r="V760" s="182"/>
      <c r="W760" s="182"/>
      <c r="X760" s="182"/>
    </row>
    <row r="761" spans="1:24">
      <c r="A761" s="182"/>
      <c r="B761" s="182"/>
      <c r="C761" s="182"/>
      <c r="D761" s="182"/>
      <c r="E761" s="182"/>
      <c r="F761" s="182"/>
      <c r="G761" s="182"/>
      <c r="H761" s="182"/>
      <c r="I761" s="182"/>
      <c r="J761" s="182"/>
      <c r="K761" s="182"/>
      <c r="L761" s="180"/>
      <c r="M761" s="182"/>
      <c r="N761" s="182"/>
      <c r="O761" s="182"/>
      <c r="P761" s="180"/>
      <c r="Q761" s="180"/>
      <c r="R761" s="180"/>
      <c r="S761" s="184"/>
      <c r="T761" s="182"/>
      <c r="U761" s="182"/>
      <c r="V761" s="182"/>
      <c r="W761" s="182"/>
      <c r="X761" s="182"/>
    </row>
    <row r="762" spans="1:24">
      <c r="A762" s="182"/>
      <c r="B762" s="182"/>
      <c r="C762" s="182"/>
      <c r="D762" s="182"/>
      <c r="E762" s="182"/>
      <c r="F762" s="182"/>
      <c r="G762" s="182"/>
      <c r="H762" s="182"/>
      <c r="I762" s="182"/>
      <c r="J762" s="182"/>
      <c r="K762" s="182"/>
      <c r="L762" s="180"/>
      <c r="M762" s="182"/>
      <c r="N762" s="182"/>
      <c r="O762" s="182"/>
      <c r="P762" s="180"/>
      <c r="Q762" s="180"/>
      <c r="R762" s="180"/>
      <c r="S762" s="184"/>
      <c r="T762" s="182"/>
      <c r="U762" s="182"/>
      <c r="V762" s="182"/>
      <c r="W762" s="182"/>
      <c r="X762" s="182"/>
    </row>
    <row r="763" spans="1:24">
      <c r="A763" s="182"/>
      <c r="B763" s="182"/>
      <c r="C763" s="182"/>
      <c r="D763" s="182"/>
      <c r="E763" s="182"/>
      <c r="F763" s="182"/>
      <c r="G763" s="182"/>
      <c r="H763" s="182"/>
      <c r="I763" s="182"/>
      <c r="J763" s="182"/>
      <c r="K763" s="182"/>
      <c r="L763" s="180"/>
      <c r="M763" s="182"/>
      <c r="N763" s="182"/>
      <c r="O763" s="182"/>
      <c r="P763" s="180"/>
      <c r="Q763" s="180"/>
      <c r="R763" s="180"/>
      <c r="S763" s="184"/>
      <c r="T763" s="182"/>
      <c r="U763" s="182"/>
      <c r="V763" s="182"/>
      <c r="W763" s="182"/>
      <c r="X763" s="182"/>
    </row>
    <row r="764" spans="1:24">
      <c r="A764" s="182"/>
      <c r="B764" s="182"/>
      <c r="C764" s="182"/>
      <c r="D764" s="182"/>
      <c r="E764" s="182"/>
      <c r="F764" s="182"/>
      <c r="G764" s="182"/>
      <c r="H764" s="182"/>
      <c r="I764" s="182"/>
      <c r="J764" s="182"/>
      <c r="K764" s="182"/>
      <c r="L764" s="180"/>
      <c r="M764" s="182"/>
      <c r="N764" s="182"/>
      <c r="O764" s="182"/>
      <c r="P764" s="180"/>
      <c r="Q764" s="180"/>
      <c r="R764" s="180"/>
      <c r="S764" s="184"/>
      <c r="T764" s="182"/>
      <c r="U764" s="182"/>
      <c r="V764" s="182"/>
      <c r="W764" s="182"/>
      <c r="X764" s="182"/>
    </row>
    <row r="765" spans="1:24">
      <c r="A765" s="182"/>
      <c r="B765" s="182"/>
      <c r="C765" s="182"/>
      <c r="D765" s="182"/>
      <c r="E765" s="182"/>
      <c r="F765" s="182"/>
      <c r="G765" s="182"/>
      <c r="H765" s="182"/>
      <c r="I765" s="182"/>
      <c r="J765" s="182"/>
      <c r="K765" s="182"/>
      <c r="L765" s="180"/>
      <c r="M765" s="182"/>
      <c r="N765" s="182"/>
      <c r="O765" s="182"/>
      <c r="P765" s="180"/>
      <c r="Q765" s="180"/>
      <c r="R765" s="180"/>
      <c r="S765" s="184"/>
      <c r="T765" s="182"/>
      <c r="U765" s="182"/>
      <c r="V765" s="182"/>
      <c r="W765" s="182"/>
      <c r="X765" s="182"/>
    </row>
    <row r="766" spans="1:24">
      <c r="A766" s="182"/>
      <c r="B766" s="182"/>
      <c r="C766" s="182"/>
      <c r="D766" s="182"/>
      <c r="E766" s="182"/>
      <c r="F766" s="182"/>
      <c r="G766" s="182"/>
      <c r="H766" s="182"/>
      <c r="I766" s="182"/>
      <c r="J766" s="182"/>
      <c r="K766" s="182"/>
      <c r="L766" s="180"/>
      <c r="M766" s="182"/>
      <c r="N766" s="182"/>
      <c r="O766" s="182"/>
      <c r="P766" s="180"/>
      <c r="Q766" s="180"/>
      <c r="R766" s="180"/>
      <c r="S766" s="184"/>
      <c r="T766" s="182"/>
      <c r="U766" s="182"/>
      <c r="V766" s="182"/>
      <c r="W766" s="182"/>
      <c r="X766" s="182"/>
    </row>
    <row r="767" spans="1:24">
      <c r="A767" s="182"/>
      <c r="B767" s="182"/>
      <c r="C767" s="182"/>
      <c r="D767" s="182"/>
      <c r="E767" s="182"/>
      <c r="F767" s="182"/>
      <c r="G767" s="182"/>
      <c r="H767" s="182"/>
      <c r="I767" s="182"/>
      <c r="J767" s="182"/>
      <c r="K767" s="182"/>
      <c r="L767" s="180"/>
      <c r="M767" s="182"/>
      <c r="N767" s="182"/>
      <c r="O767" s="182"/>
      <c r="P767" s="180"/>
      <c r="Q767" s="180"/>
      <c r="R767" s="180"/>
      <c r="S767" s="184"/>
      <c r="T767" s="182"/>
      <c r="U767" s="182"/>
      <c r="V767" s="182"/>
      <c r="W767" s="182"/>
      <c r="X767" s="182"/>
    </row>
    <row r="768" spans="1:24">
      <c r="A768" s="182"/>
      <c r="B768" s="182"/>
      <c r="C768" s="182"/>
      <c r="D768" s="182"/>
      <c r="E768" s="182"/>
      <c r="F768" s="182"/>
      <c r="G768" s="182"/>
      <c r="H768" s="182"/>
      <c r="I768" s="182"/>
      <c r="J768" s="182"/>
      <c r="K768" s="182"/>
      <c r="L768" s="180"/>
      <c r="M768" s="182"/>
      <c r="N768" s="182"/>
      <c r="O768" s="182"/>
      <c r="P768" s="180"/>
      <c r="Q768" s="180"/>
      <c r="R768" s="180"/>
      <c r="S768" s="184"/>
      <c r="T768" s="182"/>
      <c r="U768" s="182"/>
      <c r="V768" s="182"/>
      <c r="W768" s="182"/>
      <c r="X768" s="182"/>
    </row>
    <row r="769" spans="1:24">
      <c r="A769" s="182"/>
      <c r="B769" s="182"/>
      <c r="C769" s="182"/>
      <c r="D769" s="182"/>
      <c r="E769" s="182"/>
      <c r="F769" s="182"/>
      <c r="G769" s="182"/>
      <c r="H769" s="182"/>
      <c r="I769" s="182"/>
      <c r="J769" s="182"/>
      <c r="K769" s="182"/>
      <c r="L769" s="180"/>
      <c r="M769" s="182"/>
      <c r="N769" s="182"/>
      <c r="O769" s="182"/>
      <c r="P769" s="180"/>
      <c r="Q769" s="180"/>
      <c r="R769" s="180"/>
      <c r="S769" s="184"/>
      <c r="T769" s="182"/>
      <c r="U769" s="182"/>
      <c r="V769" s="182"/>
      <c r="W769" s="182"/>
      <c r="X769" s="182"/>
    </row>
    <row r="770" spans="1:24">
      <c r="A770" s="182"/>
      <c r="B770" s="182"/>
      <c r="C770" s="182"/>
      <c r="D770" s="182"/>
      <c r="E770" s="182"/>
      <c r="F770" s="182"/>
      <c r="G770" s="182"/>
      <c r="H770" s="182"/>
      <c r="I770" s="182"/>
      <c r="J770" s="182"/>
      <c r="K770" s="182"/>
      <c r="L770" s="180"/>
      <c r="M770" s="182"/>
      <c r="N770" s="182"/>
      <c r="O770" s="182"/>
      <c r="P770" s="180"/>
      <c r="Q770" s="180"/>
      <c r="R770" s="180"/>
      <c r="S770" s="184"/>
      <c r="T770" s="182"/>
      <c r="U770" s="182"/>
      <c r="V770" s="182"/>
      <c r="W770" s="182"/>
      <c r="X770" s="182"/>
    </row>
    <row r="771" spans="1:24">
      <c r="A771" s="182"/>
      <c r="B771" s="182"/>
      <c r="C771" s="182"/>
      <c r="D771" s="182"/>
      <c r="E771" s="182"/>
      <c r="F771" s="182"/>
      <c r="G771" s="182"/>
      <c r="H771" s="182"/>
      <c r="I771" s="182"/>
      <c r="J771" s="182"/>
      <c r="K771" s="182"/>
      <c r="L771" s="180"/>
      <c r="M771" s="182"/>
      <c r="N771" s="182"/>
      <c r="O771" s="182"/>
      <c r="P771" s="180"/>
      <c r="Q771" s="180"/>
      <c r="R771" s="180"/>
      <c r="S771" s="184"/>
      <c r="T771" s="182"/>
      <c r="U771" s="182"/>
      <c r="V771" s="182"/>
      <c r="W771" s="182"/>
      <c r="X771" s="182"/>
    </row>
    <row r="772" spans="1:24">
      <c r="A772" s="182"/>
      <c r="B772" s="182"/>
      <c r="C772" s="182"/>
      <c r="D772" s="182"/>
      <c r="E772" s="182"/>
      <c r="F772" s="182"/>
      <c r="G772" s="182"/>
      <c r="H772" s="182"/>
      <c r="I772" s="182"/>
      <c r="J772" s="182"/>
      <c r="K772" s="182"/>
      <c r="L772" s="180"/>
      <c r="M772" s="182"/>
      <c r="N772" s="182"/>
      <c r="O772" s="182"/>
      <c r="P772" s="180"/>
      <c r="Q772" s="180"/>
      <c r="R772" s="180"/>
      <c r="S772" s="184"/>
      <c r="T772" s="182"/>
      <c r="U772" s="182"/>
      <c r="V772" s="182"/>
      <c r="W772" s="182"/>
      <c r="X772" s="182"/>
    </row>
    <row r="773" spans="1:24">
      <c r="A773" s="182"/>
      <c r="B773" s="182"/>
      <c r="C773" s="182"/>
      <c r="D773" s="182"/>
      <c r="E773" s="182"/>
      <c r="F773" s="182"/>
      <c r="G773" s="182"/>
      <c r="H773" s="182"/>
      <c r="I773" s="182"/>
      <c r="J773" s="182"/>
      <c r="K773" s="182"/>
      <c r="L773" s="180"/>
      <c r="M773" s="182"/>
      <c r="N773" s="182"/>
      <c r="O773" s="182"/>
      <c r="P773" s="180"/>
      <c r="Q773" s="180"/>
      <c r="R773" s="180"/>
      <c r="S773" s="184"/>
      <c r="T773" s="182"/>
      <c r="U773" s="182"/>
      <c r="V773" s="182"/>
      <c r="W773" s="182"/>
      <c r="X773" s="182"/>
    </row>
    <row r="774" spans="1:24">
      <c r="A774" s="182"/>
      <c r="B774" s="182"/>
      <c r="C774" s="182"/>
      <c r="D774" s="182"/>
      <c r="E774" s="182"/>
      <c r="F774" s="182"/>
      <c r="G774" s="182"/>
      <c r="H774" s="182"/>
      <c r="I774" s="182"/>
      <c r="J774" s="182"/>
      <c r="K774" s="182"/>
      <c r="L774" s="180"/>
      <c r="M774" s="182"/>
      <c r="N774" s="182"/>
      <c r="O774" s="182"/>
      <c r="P774" s="180"/>
      <c r="Q774" s="180"/>
      <c r="R774" s="180"/>
      <c r="S774" s="184"/>
      <c r="T774" s="182"/>
      <c r="U774" s="182"/>
      <c r="V774" s="182"/>
      <c r="W774" s="182"/>
      <c r="X774" s="182"/>
    </row>
    <row r="775" spans="1:24">
      <c r="A775" s="182"/>
      <c r="B775" s="182"/>
      <c r="C775" s="182"/>
      <c r="D775" s="182"/>
      <c r="E775" s="182"/>
      <c r="F775" s="182"/>
      <c r="G775" s="182"/>
      <c r="H775" s="182"/>
      <c r="I775" s="182"/>
      <c r="J775" s="182"/>
      <c r="K775" s="182"/>
      <c r="L775" s="180"/>
      <c r="M775" s="182"/>
      <c r="N775" s="182"/>
      <c r="O775" s="182"/>
      <c r="P775" s="180"/>
      <c r="Q775" s="180"/>
      <c r="R775" s="180"/>
      <c r="S775" s="184"/>
      <c r="T775" s="182"/>
      <c r="U775" s="182"/>
      <c r="V775" s="182"/>
      <c r="W775" s="182"/>
      <c r="X775" s="182"/>
    </row>
    <row r="776" spans="1:24">
      <c r="A776" s="182"/>
      <c r="B776" s="182"/>
      <c r="C776" s="182"/>
      <c r="D776" s="182"/>
      <c r="E776" s="182"/>
      <c r="F776" s="182"/>
      <c r="G776" s="182"/>
      <c r="H776" s="182"/>
      <c r="I776" s="182"/>
      <c r="J776" s="182"/>
      <c r="K776" s="182"/>
      <c r="L776" s="180"/>
      <c r="M776" s="182"/>
      <c r="N776" s="182"/>
      <c r="O776" s="182"/>
      <c r="P776" s="180"/>
      <c r="Q776" s="180"/>
      <c r="R776" s="180"/>
      <c r="S776" s="184"/>
      <c r="T776" s="182"/>
      <c r="U776" s="182"/>
      <c r="V776" s="182"/>
      <c r="W776" s="182"/>
      <c r="X776" s="182"/>
    </row>
    <row r="777" spans="1:24">
      <c r="A777" s="182"/>
      <c r="B777" s="182"/>
      <c r="C777" s="182"/>
      <c r="D777" s="182"/>
      <c r="E777" s="182"/>
      <c r="F777" s="182"/>
      <c r="G777" s="182"/>
      <c r="H777" s="182"/>
      <c r="I777" s="182"/>
      <c r="J777" s="182"/>
      <c r="K777" s="182"/>
      <c r="L777" s="180"/>
      <c r="M777" s="182"/>
      <c r="N777" s="182"/>
      <c r="O777" s="182"/>
      <c r="P777" s="180"/>
      <c r="Q777" s="180"/>
      <c r="R777" s="180"/>
      <c r="S777" s="184"/>
      <c r="T777" s="182"/>
      <c r="U777" s="182"/>
      <c r="V777" s="182"/>
      <c r="W777" s="182"/>
      <c r="X777" s="182"/>
    </row>
    <row r="778" spans="1:24">
      <c r="A778" s="182"/>
      <c r="B778" s="182"/>
      <c r="C778" s="182"/>
      <c r="D778" s="182"/>
      <c r="E778" s="182"/>
      <c r="F778" s="182"/>
      <c r="G778" s="182"/>
      <c r="H778" s="182"/>
      <c r="I778" s="182"/>
      <c r="J778" s="182"/>
      <c r="K778" s="182"/>
      <c r="L778" s="180"/>
      <c r="M778" s="182"/>
      <c r="N778" s="182"/>
      <c r="O778" s="182"/>
      <c r="P778" s="180"/>
      <c r="Q778" s="180"/>
      <c r="R778" s="180"/>
      <c r="S778" s="184"/>
      <c r="T778" s="182"/>
      <c r="U778" s="182"/>
      <c r="V778" s="182"/>
      <c r="W778" s="182"/>
      <c r="X778" s="182"/>
    </row>
    <row r="779" spans="1:24">
      <c r="A779" s="182"/>
      <c r="B779" s="182"/>
      <c r="C779" s="182"/>
      <c r="D779" s="182"/>
      <c r="E779" s="182"/>
      <c r="F779" s="182"/>
      <c r="G779" s="182"/>
      <c r="H779" s="182"/>
      <c r="I779" s="182"/>
      <c r="J779" s="182"/>
      <c r="K779" s="182"/>
      <c r="L779" s="180"/>
      <c r="M779" s="182"/>
      <c r="N779" s="182"/>
      <c r="O779" s="182"/>
      <c r="P779" s="180"/>
      <c r="Q779" s="180"/>
      <c r="R779" s="180"/>
      <c r="S779" s="184"/>
      <c r="T779" s="182"/>
      <c r="U779" s="182"/>
      <c r="V779" s="182"/>
      <c r="W779" s="182"/>
      <c r="X779" s="182"/>
    </row>
    <row r="780" spans="1:24">
      <c r="A780" s="182"/>
      <c r="B780" s="182"/>
      <c r="C780" s="182"/>
      <c r="D780" s="182"/>
      <c r="E780" s="182"/>
      <c r="F780" s="182"/>
      <c r="G780" s="182"/>
      <c r="H780" s="182"/>
      <c r="I780" s="182"/>
      <c r="J780" s="182"/>
      <c r="K780" s="182"/>
      <c r="L780" s="180"/>
      <c r="M780" s="182"/>
      <c r="N780" s="182"/>
      <c r="O780" s="182"/>
      <c r="P780" s="180"/>
      <c r="Q780" s="180"/>
      <c r="R780" s="180"/>
      <c r="S780" s="184"/>
      <c r="T780" s="182"/>
      <c r="U780" s="182"/>
      <c r="V780" s="182"/>
      <c r="W780" s="182"/>
      <c r="X780" s="182"/>
    </row>
    <row r="781" spans="1:24">
      <c r="A781" s="182"/>
      <c r="B781" s="182"/>
      <c r="C781" s="182"/>
      <c r="D781" s="182"/>
      <c r="E781" s="182"/>
      <c r="F781" s="182"/>
      <c r="G781" s="182"/>
      <c r="H781" s="182"/>
      <c r="I781" s="182"/>
      <c r="J781" s="182"/>
      <c r="K781" s="182"/>
      <c r="L781" s="180"/>
      <c r="M781" s="182"/>
      <c r="N781" s="182"/>
      <c r="O781" s="182"/>
      <c r="P781" s="180"/>
      <c r="Q781" s="180"/>
      <c r="R781" s="180"/>
      <c r="S781" s="184"/>
      <c r="T781" s="182"/>
      <c r="U781" s="182"/>
      <c r="V781" s="182"/>
      <c r="W781" s="182"/>
      <c r="X781" s="182"/>
    </row>
    <row r="782" spans="1:24">
      <c r="A782" s="182"/>
      <c r="B782" s="182"/>
      <c r="C782" s="182"/>
      <c r="D782" s="182"/>
      <c r="E782" s="182"/>
      <c r="F782" s="182"/>
      <c r="G782" s="182"/>
      <c r="H782" s="182"/>
      <c r="I782" s="182"/>
      <c r="J782" s="182"/>
      <c r="K782" s="182"/>
      <c r="L782" s="180"/>
      <c r="M782" s="182"/>
      <c r="N782" s="182"/>
      <c r="O782" s="182"/>
      <c r="P782" s="180"/>
      <c r="Q782" s="180"/>
      <c r="R782" s="180"/>
      <c r="S782" s="184"/>
      <c r="T782" s="182"/>
      <c r="U782" s="182"/>
      <c r="V782" s="182"/>
      <c r="W782" s="182"/>
      <c r="X782" s="182"/>
    </row>
    <row r="783" spans="1:24">
      <c r="A783" s="182"/>
      <c r="B783" s="182"/>
      <c r="C783" s="182"/>
      <c r="D783" s="182"/>
      <c r="E783" s="182"/>
      <c r="F783" s="182"/>
      <c r="G783" s="182"/>
      <c r="H783" s="182"/>
      <c r="I783" s="182"/>
      <c r="J783" s="182"/>
      <c r="K783" s="182"/>
      <c r="L783" s="180"/>
      <c r="M783" s="182"/>
      <c r="N783" s="182"/>
      <c r="O783" s="182"/>
      <c r="P783" s="180"/>
      <c r="Q783" s="180"/>
      <c r="R783" s="180"/>
      <c r="S783" s="184"/>
      <c r="T783" s="182"/>
      <c r="U783" s="182"/>
      <c r="V783" s="182"/>
      <c r="W783" s="182"/>
      <c r="X783" s="182"/>
    </row>
    <row r="784" spans="1:24">
      <c r="A784" s="182"/>
      <c r="B784" s="182"/>
      <c r="C784" s="182"/>
      <c r="D784" s="182"/>
      <c r="E784" s="182"/>
      <c r="F784" s="182"/>
      <c r="G784" s="182"/>
      <c r="H784" s="182"/>
      <c r="I784" s="182"/>
      <c r="J784" s="182"/>
      <c r="K784" s="182"/>
      <c r="L784" s="180"/>
      <c r="M784" s="182"/>
      <c r="N784" s="182"/>
      <c r="O784" s="182"/>
      <c r="P784" s="180"/>
      <c r="Q784" s="180"/>
      <c r="R784" s="180"/>
      <c r="S784" s="184"/>
      <c r="T784" s="182"/>
      <c r="U784" s="182"/>
      <c r="V784" s="182"/>
      <c r="W784" s="182"/>
      <c r="X784" s="182"/>
    </row>
    <row r="785" spans="1:24">
      <c r="A785" s="182"/>
      <c r="B785" s="182"/>
      <c r="C785" s="182"/>
      <c r="D785" s="182"/>
      <c r="E785" s="182"/>
      <c r="F785" s="182"/>
      <c r="G785" s="182"/>
      <c r="H785" s="182"/>
      <c r="I785" s="182"/>
      <c r="J785" s="182"/>
      <c r="K785" s="182"/>
      <c r="L785" s="180"/>
      <c r="M785" s="182"/>
      <c r="N785" s="182"/>
      <c r="O785" s="182"/>
      <c r="P785" s="180"/>
      <c r="Q785" s="180"/>
      <c r="R785" s="180"/>
      <c r="S785" s="184"/>
      <c r="T785" s="182"/>
      <c r="U785" s="182"/>
      <c r="V785" s="182"/>
      <c r="W785" s="182"/>
      <c r="X785" s="182"/>
    </row>
    <row r="786" spans="1:24">
      <c r="A786" s="182"/>
      <c r="B786" s="182"/>
      <c r="C786" s="182"/>
      <c r="D786" s="182"/>
      <c r="E786" s="182"/>
      <c r="F786" s="182"/>
      <c r="G786" s="182"/>
      <c r="H786" s="182"/>
      <c r="I786" s="182"/>
      <c r="J786" s="182"/>
      <c r="K786" s="182"/>
      <c r="L786" s="180"/>
      <c r="M786" s="182"/>
      <c r="N786" s="182"/>
      <c r="O786" s="182"/>
      <c r="P786" s="180"/>
      <c r="Q786" s="180"/>
      <c r="R786" s="180"/>
      <c r="S786" s="184"/>
      <c r="T786" s="182"/>
      <c r="U786" s="182"/>
      <c r="V786" s="182"/>
      <c r="W786" s="182"/>
      <c r="X786" s="182"/>
    </row>
    <row r="787" spans="1:24">
      <c r="A787" s="182"/>
      <c r="B787" s="182"/>
      <c r="C787" s="182"/>
      <c r="D787" s="182"/>
      <c r="E787" s="182"/>
      <c r="F787" s="182"/>
      <c r="G787" s="182"/>
      <c r="H787" s="182"/>
      <c r="I787" s="182"/>
      <c r="J787" s="182"/>
      <c r="K787" s="182"/>
      <c r="L787" s="180"/>
      <c r="M787" s="182"/>
      <c r="N787" s="182"/>
      <c r="O787" s="182"/>
      <c r="P787" s="180"/>
      <c r="Q787" s="180"/>
      <c r="R787" s="180"/>
      <c r="S787" s="184"/>
      <c r="T787" s="182"/>
      <c r="U787" s="182"/>
      <c r="V787" s="182"/>
      <c r="W787" s="182"/>
      <c r="X787" s="182"/>
    </row>
    <row r="788" spans="1:24">
      <c r="A788" s="182"/>
      <c r="B788" s="182"/>
      <c r="C788" s="182"/>
      <c r="D788" s="182"/>
      <c r="E788" s="182"/>
      <c r="F788" s="182"/>
      <c r="G788" s="182"/>
      <c r="H788" s="182"/>
      <c r="I788" s="182"/>
      <c r="J788" s="182"/>
      <c r="K788" s="182"/>
      <c r="L788" s="180"/>
      <c r="M788" s="182"/>
      <c r="N788" s="182"/>
      <c r="O788" s="182"/>
      <c r="P788" s="180"/>
      <c r="Q788" s="180"/>
      <c r="R788" s="180"/>
      <c r="S788" s="184"/>
      <c r="T788" s="182"/>
      <c r="U788" s="182"/>
      <c r="V788" s="182"/>
      <c r="W788" s="182"/>
      <c r="X788" s="182"/>
    </row>
    <row r="789" spans="1:24">
      <c r="A789" s="182"/>
      <c r="B789" s="182"/>
      <c r="C789" s="182"/>
      <c r="D789" s="182"/>
      <c r="E789" s="182"/>
      <c r="F789" s="182"/>
      <c r="G789" s="182"/>
      <c r="H789" s="182"/>
      <c r="I789" s="182"/>
      <c r="J789" s="182"/>
      <c r="K789" s="182"/>
      <c r="L789" s="180"/>
      <c r="M789" s="182"/>
      <c r="N789" s="182"/>
      <c r="O789" s="182"/>
      <c r="P789" s="180"/>
      <c r="Q789" s="180"/>
      <c r="R789" s="180"/>
      <c r="S789" s="184"/>
      <c r="T789" s="182"/>
      <c r="U789" s="182"/>
      <c r="V789" s="182"/>
      <c r="W789" s="182"/>
      <c r="X789" s="182"/>
    </row>
    <row r="790" spans="1:24">
      <c r="A790" s="182"/>
      <c r="B790" s="182"/>
      <c r="C790" s="182"/>
      <c r="D790" s="182"/>
      <c r="E790" s="182"/>
      <c r="F790" s="182"/>
      <c r="G790" s="182"/>
      <c r="H790" s="182"/>
      <c r="I790" s="182"/>
      <c r="J790" s="182"/>
      <c r="K790" s="182"/>
      <c r="L790" s="180"/>
      <c r="M790" s="182"/>
      <c r="N790" s="182"/>
      <c r="O790" s="182"/>
      <c r="P790" s="180"/>
      <c r="Q790" s="180"/>
      <c r="R790" s="180"/>
      <c r="S790" s="184"/>
      <c r="T790" s="182"/>
      <c r="U790" s="182"/>
      <c r="V790" s="182"/>
      <c r="W790" s="182"/>
      <c r="X790" s="182"/>
    </row>
    <row r="791" spans="1:24">
      <c r="A791" s="182"/>
      <c r="B791" s="182"/>
      <c r="C791" s="182"/>
      <c r="D791" s="182"/>
      <c r="E791" s="182"/>
      <c r="F791" s="182"/>
      <c r="G791" s="182"/>
      <c r="H791" s="182"/>
      <c r="I791" s="182"/>
      <c r="J791" s="182"/>
      <c r="K791" s="182"/>
      <c r="L791" s="180"/>
      <c r="M791" s="182"/>
      <c r="N791" s="182"/>
      <c r="O791" s="182"/>
      <c r="P791" s="180"/>
      <c r="Q791" s="180"/>
      <c r="R791" s="180"/>
      <c r="S791" s="184"/>
      <c r="T791" s="182"/>
      <c r="U791" s="182"/>
      <c r="V791" s="182"/>
      <c r="W791" s="182"/>
      <c r="X791" s="182"/>
    </row>
    <row r="792" spans="1:24">
      <c r="A792" s="182"/>
      <c r="B792" s="182"/>
      <c r="C792" s="182"/>
      <c r="D792" s="182"/>
      <c r="E792" s="182"/>
      <c r="F792" s="182"/>
      <c r="G792" s="182"/>
      <c r="H792" s="182"/>
      <c r="I792" s="182"/>
      <c r="J792" s="182"/>
      <c r="K792" s="182"/>
      <c r="L792" s="180"/>
      <c r="M792" s="182"/>
      <c r="N792" s="182"/>
      <c r="O792" s="182"/>
      <c r="P792" s="180"/>
      <c r="Q792" s="180"/>
      <c r="R792" s="180"/>
      <c r="S792" s="184"/>
      <c r="T792" s="182"/>
      <c r="U792" s="182"/>
      <c r="V792" s="182"/>
      <c r="W792" s="182"/>
      <c r="X792" s="182"/>
    </row>
    <row r="793" spans="1:24">
      <c r="A793" s="182"/>
      <c r="B793" s="182"/>
      <c r="C793" s="182"/>
      <c r="D793" s="182"/>
      <c r="E793" s="182"/>
      <c r="F793" s="182"/>
      <c r="G793" s="182"/>
      <c r="H793" s="182"/>
      <c r="I793" s="182"/>
      <c r="J793" s="182"/>
      <c r="K793" s="182"/>
      <c r="L793" s="180"/>
      <c r="M793" s="182"/>
      <c r="N793" s="182"/>
      <c r="O793" s="182"/>
      <c r="P793" s="180"/>
      <c r="Q793" s="180"/>
      <c r="R793" s="180"/>
      <c r="S793" s="184"/>
      <c r="T793" s="182"/>
      <c r="U793" s="182"/>
      <c r="V793" s="182"/>
      <c r="W793" s="182"/>
      <c r="X793" s="182"/>
    </row>
    <row r="794" spans="1:24">
      <c r="A794" s="182"/>
      <c r="B794" s="182"/>
      <c r="C794" s="182"/>
      <c r="D794" s="182"/>
      <c r="E794" s="182"/>
      <c r="F794" s="182"/>
      <c r="G794" s="182"/>
      <c r="H794" s="182"/>
      <c r="I794" s="182"/>
      <c r="J794" s="182"/>
      <c r="K794" s="182"/>
      <c r="L794" s="180"/>
      <c r="M794" s="182"/>
      <c r="N794" s="182"/>
      <c r="O794" s="182"/>
      <c r="P794" s="180"/>
      <c r="Q794" s="180"/>
      <c r="R794" s="180"/>
      <c r="S794" s="184"/>
      <c r="T794" s="182"/>
      <c r="U794" s="182"/>
      <c r="V794" s="182"/>
      <c r="W794" s="182"/>
      <c r="X794" s="182"/>
    </row>
    <row r="795" spans="1:24">
      <c r="A795" s="182"/>
      <c r="B795" s="182"/>
      <c r="C795" s="182"/>
      <c r="D795" s="182"/>
      <c r="E795" s="182"/>
      <c r="F795" s="182"/>
      <c r="G795" s="182"/>
      <c r="H795" s="182"/>
      <c r="I795" s="182"/>
      <c r="J795" s="182"/>
      <c r="K795" s="182"/>
      <c r="L795" s="180"/>
      <c r="M795" s="182"/>
      <c r="N795" s="182"/>
      <c r="O795" s="182"/>
      <c r="P795" s="180"/>
      <c r="Q795" s="180"/>
      <c r="R795" s="180"/>
      <c r="S795" s="184"/>
      <c r="T795" s="182"/>
      <c r="U795" s="182"/>
      <c r="V795" s="182"/>
      <c r="W795" s="182"/>
      <c r="X795" s="182"/>
    </row>
    <row r="796" spans="1:24">
      <c r="A796" s="182"/>
      <c r="B796" s="182"/>
      <c r="C796" s="182"/>
      <c r="D796" s="182"/>
      <c r="E796" s="182"/>
      <c r="F796" s="182"/>
      <c r="G796" s="182"/>
      <c r="H796" s="182"/>
      <c r="I796" s="182"/>
      <c r="J796" s="182"/>
      <c r="K796" s="182"/>
      <c r="L796" s="180"/>
      <c r="M796" s="182"/>
      <c r="N796" s="182"/>
      <c r="O796" s="182"/>
      <c r="P796" s="180"/>
      <c r="Q796" s="180"/>
      <c r="R796" s="180"/>
      <c r="S796" s="184"/>
      <c r="T796" s="182"/>
      <c r="U796" s="182"/>
      <c r="V796" s="182"/>
      <c r="W796" s="182"/>
      <c r="X796" s="182"/>
    </row>
    <row r="797" spans="1:24">
      <c r="A797" s="182"/>
      <c r="B797" s="182"/>
      <c r="C797" s="182"/>
      <c r="D797" s="182"/>
      <c r="E797" s="182"/>
      <c r="F797" s="182"/>
      <c r="G797" s="182"/>
      <c r="H797" s="182"/>
      <c r="I797" s="182"/>
      <c r="J797" s="182"/>
      <c r="K797" s="182"/>
      <c r="L797" s="180"/>
      <c r="M797" s="182"/>
      <c r="N797" s="182"/>
      <c r="O797" s="182"/>
      <c r="P797" s="180"/>
      <c r="Q797" s="180"/>
      <c r="R797" s="180"/>
      <c r="S797" s="184"/>
      <c r="T797" s="182"/>
      <c r="U797" s="182"/>
      <c r="V797" s="182"/>
      <c r="W797" s="182"/>
      <c r="X797" s="182"/>
    </row>
    <row r="798" spans="1:24">
      <c r="A798" s="182"/>
      <c r="B798" s="182"/>
      <c r="C798" s="182"/>
      <c r="D798" s="182"/>
      <c r="E798" s="182"/>
      <c r="F798" s="182"/>
      <c r="G798" s="182"/>
      <c r="H798" s="182"/>
      <c r="I798" s="182"/>
      <c r="J798" s="182"/>
      <c r="K798" s="182"/>
      <c r="L798" s="180"/>
      <c r="M798" s="182"/>
      <c r="N798" s="182"/>
      <c r="O798" s="182"/>
      <c r="P798" s="180"/>
      <c r="Q798" s="180"/>
      <c r="R798" s="180"/>
      <c r="S798" s="184"/>
      <c r="T798" s="182"/>
      <c r="U798" s="182"/>
      <c r="V798" s="182"/>
      <c r="W798" s="182"/>
      <c r="X798" s="182"/>
    </row>
    <row r="799" spans="1:24">
      <c r="A799" s="182"/>
      <c r="B799" s="182"/>
      <c r="C799" s="182"/>
      <c r="D799" s="182"/>
      <c r="E799" s="182"/>
      <c r="F799" s="182"/>
      <c r="G799" s="182"/>
      <c r="H799" s="182"/>
      <c r="I799" s="182"/>
      <c r="J799" s="182"/>
      <c r="K799" s="182"/>
      <c r="L799" s="180"/>
      <c r="M799" s="182"/>
      <c r="N799" s="182"/>
      <c r="O799" s="182"/>
      <c r="P799" s="180"/>
      <c r="Q799" s="180"/>
      <c r="R799" s="180"/>
      <c r="S799" s="184"/>
      <c r="T799" s="182"/>
      <c r="U799" s="182"/>
      <c r="V799" s="182"/>
      <c r="W799" s="182"/>
      <c r="X799" s="182"/>
    </row>
    <row r="800" spans="1:24">
      <c r="A800" s="182"/>
      <c r="B800" s="182"/>
      <c r="C800" s="182"/>
      <c r="D800" s="182"/>
      <c r="E800" s="182"/>
      <c r="F800" s="182"/>
      <c r="G800" s="182"/>
      <c r="H800" s="182"/>
      <c r="I800" s="182"/>
      <c r="J800" s="182"/>
      <c r="K800" s="182"/>
      <c r="L800" s="180"/>
      <c r="M800" s="182"/>
      <c r="N800" s="182"/>
      <c r="O800" s="182"/>
      <c r="P800" s="180"/>
      <c r="Q800" s="180"/>
      <c r="R800" s="180"/>
      <c r="S800" s="184"/>
      <c r="T800" s="182"/>
      <c r="U800" s="182"/>
      <c r="V800" s="182"/>
      <c r="W800" s="182"/>
      <c r="X800" s="182"/>
    </row>
    <row r="801" spans="1:24">
      <c r="A801" s="182"/>
      <c r="B801" s="182"/>
      <c r="C801" s="182"/>
      <c r="D801" s="182"/>
      <c r="E801" s="182"/>
      <c r="F801" s="182"/>
      <c r="G801" s="182"/>
      <c r="H801" s="182"/>
      <c r="I801" s="182"/>
      <c r="J801" s="182"/>
      <c r="K801" s="182"/>
      <c r="L801" s="180"/>
      <c r="M801" s="182"/>
      <c r="N801" s="182"/>
      <c r="O801" s="182"/>
      <c r="P801" s="180"/>
      <c r="Q801" s="180"/>
      <c r="R801" s="180"/>
      <c r="S801" s="184"/>
      <c r="T801" s="182"/>
      <c r="U801" s="182"/>
      <c r="V801" s="182"/>
      <c r="W801" s="182"/>
      <c r="X801" s="182"/>
    </row>
    <row r="802" spans="1:24">
      <c r="A802" s="182"/>
      <c r="B802" s="182"/>
      <c r="C802" s="182"/>
      <c r="D802" s="182"/>
      <c r="E802" s="182"/>
      <c r="F802" s="182"/>
      <c r="G802" s="182"/>
      <c r="H802" s="182"/>
      <c r="I802" s="182"/>
      <c r="J802" s="182"/>
      <c r="K802" s="182"/>
      <c r="L802" s="180"/>
      <c r="M802" s="182"/>
      <c r="N802" s="182"/>
      <c r="O802" s="182"/>
      <c r="P802" s="180"/>
      <c r="Q802" s="180"/>
      <c r="R802" s="180"/>
      <c r="S802" s="184"/>
      <c r="T802" s="182"/>
      <c r="U802" s="182"/>
      <c r="V802" s="182"/>
      <c r="W802" s="182"/>
      <c r="X802" s="182"/>
    </row>
    <row r="803" spans="1:24">
      <c r="A803" s="182"/>
      <c r="B803" s="182"/>
      <c r="C803" s="182"/>
      <c r="D803" s="182"/>
      <c r="E803" s="182"/>
      <c r="F803" s="182"/>
      <c r="G803" s="182"/>
      <c r="H803" s="182"/>
      <c r="I803" s="182"/>
      <c r="J803" s="182"/>
      <c r="K803" s="182"/>
      <c r="L803" s="180"/>
      <c r="M803" s="182"/>
      <c r="N803" s="182"/>
      <c r="O803" s="182"/>
      <c r="P803" s="180"/>
      <c r="Q803" s="180"/>
      <c r="R803" s="180"/>
      <c r="S803" s="184"/>
      <c r="T803" s="182"/>
      <c r="U803" s="182"/>
      <c r="V803" s="182"/>
      <c r="W803" s="182"/>
      <c r="X803" s="182"/>
    </row>
    <row r="804" spans="1:24">
      <c r="A804" s="182"/>
      <c r="B804" s="182"/>
      <c r="C804" s="182"/>
      <c r="D804" s="182"/>
      <c r="E804" s="182"/>
      <c r="F804" s="182"/>
      <c r="G804" s="182"/>
      <c r="H804" s="182"/>
      <c r="I804" s="182"/>
      <c r="J804" s="182"/>
      <c r="K804" s="182"/>
      <c r="L804" s="180"/>
      <c r="M804" s="182"/>
      <c r="N804" s="182"/>
      <c r="O804" s="182"/>
      <c r="P804" s="180"/>
      <c r="Q804" s="180"/>
      <c r="R804" s="180"/>
      <c r="S804" s="184"/>
      <c r="T804" s="182"/>
      <c r="U804" s="182"/>
      <c r="V804" s="182"/>
      <c r="W804" s="182"/>
      <c r="X804" s="182"/>
    </row>
    <row r="805" spans="1:24">
      <c r="A805" s="182"/>
      <c r="B805" s="182"/>
      <c r="C805" s="182"/>
      <c r="D805" s="182"/>
      <c r="E805" s="182"/>
      <c r="F805" s="182"/>
      <c r="G805" s="182"/>
      <c r="H805" s="182"/>
      <c r="I805" s="182"/>
      <c r="J805" s="182"/>
      <c r="K805" s="182"/>
      <c r="L805" s="180"/>
      <c r="M805" s="182"/>
      <c r="N805" s="182"/>
      <c r="O805" s="182"/>
      <c r="P805" s="180"/>
      <c r="Q805" s="180"/>
      <c r="R805" s="180"/>
      <c r="S805" s="184"/>
      <c r="T805" s="182"/>
      <c r="U805" s="182"/>
      <c r="V805" s="182"/>
      <c r="W805" s="182"/>
      <c r="X805" s="182"/>
    </row>
    <row r="806" spans="1:24">
      <c r="A806" s="182"/>
      <c r="B806" s="182"/>
      <c r="C806" s="182"/>
      <c r="D806" s="182"/>
      <c r="E806" s="182"/>
      <c r="F806" s="182"/>
      <c r="G806" s="182"/>
      <c r="H806" s="182"/>
      <c r="I806" s="182"/>
      <c r="J806" s="182"/>
      <c r="K806" s="182"/>
      <c r="L806" s="180"/>
      <c r="M806" s="182"/>
      <c r="N806" s="182"/>
      <c r="O806" s="182"/>
      <c r="P806" s="180"/>
      <c r="Q806" s="180"/>
      <c r="R806" s="180"/>
      <c r="S806" s="184"/>
      <c r="T806" s="182"/>
      <c r="U806" s="182"/>
      <c r="V806" s="182"/>
      <c r="W806" s="182"/>
      <c r="X806" s="182"/>
    </row>
    <row r="807" spans="1:24">
      <c r="A807" s="182"/>
      <c r="B807" s="182"/>
      <c r="C807" s="182"/>
      <c r="D807" s="182"/>
      <c r="E807" s="182"/>
      <c r="F807" s="182"/>
      <c r="G807" s="182"/>
      <c r="H807" s="182"/>
      <c r="I807" s="182"/>
      <c r="J807" s="182"/>
      <c r="K807" s="182"/>
      <c r="L807" s="180"/>
      <c r="M807" s="182"/>
      <c r="N807" s="182"/>
      <c r="O807" s="182"/>
      <c r="P807" s="180"/>
      <c r="Q807" s="180"/>
      <c r="R807" s="180"/>
      <c r="S807" s="184"/>
      <c r="T807" s="182"/>
      <c r="U807" s="182"/>
      <c r="V807" s="182"/>
      <c r="W807" s="182"/>
      <c r="X807" s="182"/>
    </row>
    <row r="808" spans="1:24">
      <c r="A808" s="182"/>
      <c r="B808" s="182"/>
      <c r="C808" s="182"/>
      <c r="D808" s="182"/>
      <c r="E808" s="182"/>
      <c r="F808" s="182"/>
      <c r="G808" s="182"/>
      <c r="H808" s="182"/>
      <c r="I808" s="182"/>
      <c r="J808" s="182"/>
      <c r="K808" s="182"/>
      <c r="L808" s="180"/>
      <c r="M808" s="182"/>
      <c r="N808" s="182"/>
      <c r="O808" s="182"/>
      <c r="P808" s="180"/>
      <c r="Q808" s="180"/>
      <c r="R808" s="180"/>
      <c r="S808" s="184"/>
      <c r="T808" s="182"/>
      <c r="U808" s="182"/>
      <c r="V808" s="182"/>
      <c r="W808" s="182"/>
      <c r="X808" s="182"/>
    </row>
    <row r="809" spans="1:24">
      <c r="A809" s="182"/>
      <c r="B809" s="182"/>
      <c r="C809" s="182"/>
      <c r="D809" s="182"/>
      <c r="E809" s="182"/>
      <c r="F809" s="182"/>
      <c r="G809" s="182"/>
      <c r="H809" s="182"/>
      <c r="I809" s="182"/>
      <c r="J809" s="182"/>
      <c r="K809" s="182"/>
      <c r="L809" s="180"/>
      <c r="M809" s="182"/>
      <c r="N809" s="182"/>
      <c r="O809" s="182"/>
      <c r="P809" s="180"/>
      <c r="Q809" s="180"/>
      <c r="R809" s="180"/>
      <c r="S809" s="184"/>
      <c r="T809" s="182"/>
      <c r="U809" s="182"/>
      <c r="V809" s="182"/>
      <c r="W809" s="182"/>
      <c r="X809" s="182"/>
    </row>
    <row r="810" spans="1:24">
      <c r="A810" s="182"/>
      <c r="B810" s="182"/>
      <c r="C810" s="182"/>
      <c r="D810" s="182"/>
      <c r="E810" s="182"/>
      <c r="F810" s="182"/>
      <c r="G810" s="182"/>
      <c r="H810" s="182"/>
      <c r="I810" s="182"/>
      <c r="J810" s="182"/>
      <c r="K810" s="182"/>
      <c r="L810" s="180"/>
      <c r="M810" s="182"/>
      <c r="N810" s="182"/>
      <c r="O810" s="182"/>
      <c r="P810" s="180"/>
      <c r="Q810" s="180"/>
      <c r="R810" s="180"/>
      <c r="S810" s="184"/>
      <c r="T810" s="182"/>
      <c r="U810" s="182"/>
      <c r="V810" s="182"/>
      <c r="W810" s="182"/>
      <c r="X810" s="182"/>
    </row>
    <row r="811" spans="1:24">
      <c r="A811" s="182"/>
      <c r="B811" s="182"/>
      <c r="C811" s="182"/>
      <c r="D811" s="182"/>
      <c r="E811" s="182"/>
      <c r="F811" s="182"/>
      <c r="G811" s="182"/>
      <c r="H811" s="182"/>
      <c r="I811" s="182"/>
      <c r="J811" s="182"/>
      <c r="K811" s="182"/>
      <c r="L811" s="180"/>
      <c r="M811" s="182"/>
      <c r="N811" s="182"/>
      <c r="O811" s="182"/>
      <c r="P811" s="180"/>
      <c r="Q811" s="180"/>
      <c r="R811" s="180"/>
      <c r="S811" s="184"/>
      <c r="T811" s="182"/>
      <c r="U811" s="182"/>
      <c r="V811" s="182"/>
      <c r="W811" s="182"/>
      <c r="X811" s="182"/>
    </row>
    <row r="812" spans="1:24">
      <c r="A812" s="182"/>
      <c r="B812" s="182"/>
      <c r="C812" s="182"/>
      <c r="D812" s="182"/>
      <c r="E812" s="182"/>
      <c r="F812" s="182"/>
      <c r="G812" s="182"/>
      <c r="H812" s="182"/>
      <c r="I812" s="182"/>
      <c r="J812" s="182"/>
      <c r="K812" s="182"/>
      <c r="L812" s="180"/>
      <c r="M812" s="182"/>
      <c r="N812" s="182"/>
      <c r="O812" s="182"/>
      <c r="P812" s="180"/>
      <c r="Q812" s="180"/>
      <c r="R812" s="180"/>
      <c r="S812" s="184"/>
      <c r="T812" s="182"/>
      <c r="U812" s="182"/>
      <c r="V812" s="182"/>
      <c r="W812" s="182"/>
      <c r="X812" s="182"/>
    </row>
    <row r="813" spans="1:24">
      <c r="A813" s="182"/>
      <c r="B813" s="182"/>
      <c r="C813" s="182"/>
      <c r="D813" s="182"/>
      <c r="E813" s="182"/>
      <c r="F813" s="182"/>
      <c r="G813" s="182"/>
      <c r="H813" s="182"/>
      <c r="I813" s="182"/>
      <c r="J813" s="182"/>
      <c r="K813" s="182"/>
      <c r="L813" s="180"/>
      <c r="M813" s="182"/>
      <c r="N813" s="182"/>
      <c r="O813" s="182"/>
      <c r="P813" s="180"/>
      <c r="Q813" s="180"/>
      <c r="R813" s="180"/>
      <c r="S813" s="184"/>
      <c r="T813" s="182"/>
      <c r="U813" s="182"/>
      <c r="V813" s="182"/>
      <c r="W813" s="182"/>
      <c r="X813" s="182"/>
    </row>
    <row r="814" spans="1:24">
      <c r="A814" s="182"/>
      <c r="B814" s="182"/>
      <c r="C814" s="182"/>
      <c r="D814" s="182"/>
      <c r="E814" s="182"/>
      <c r="F814" s="182"/>
      <c r="G814" s="182"/>
      <c r="H814" s="182"/>
      <c r="I814" s="182"/>
      <c r="J814" s="182"/>
      <c r="K814" s="182"/>
      <c r="L814" s="180"/>
      <c r="M814" s="182"/>
      <c r="N814" s="182"/>
      <c r="O814" s="182"/>
      <c r="P814" s="180"/>
      <c r="Q814" s="180"/>
      <c r="R814" s="180"/>
      <c r="S814" s="184"/>
      <c r="T814" s="182"/>
      <c r="U814" s="182"/>
      <c r="V814" s="182"/>
      <c r="W814" s="182"/>
      <c r="X814" s="182"/>
    </row>
    <row r="815" spans="1:24">
      <c r="A815" s="182"/>
      <c r="B815" s="182"/>
      <c r="C815" s="182"/>
      <c r="D815" s="182"/>
      <c r="E815" s="182"/>
      <c r="F815" s="182"/>
      <c r="G815" s="182"/>
      <c r="H815" s="182"/>
      <c r="I815" s="182"/>
      <c r="J815" s="182"/>
      <c r="K815" s="182"/>
      <c r="L815" s="180"/>
      <c r="M815" s="182"/>
      <c r="N815" s="182"/>
      <c r="O815" s="182"/>
      <c r="P815" s="180"/>
      <c r="Q815" s="180"/>
      <c r="R815" s="180"/>
      <c r="S815" s="184"/>
      <c r="T815" s="182"/>
      <c r="U815" s="182"/>
      <c r="V815" s="182"/>
      <c r="W815" s="182"/>
      <c r="X815" s="182"/>
    </row>
    <row r="816" spans="1:24">
      <c r="A816" s="182"/>
      <c r="B816" s="182"/>
      <c r="C816" s="182"/>
      <c r="D816" s="182"/>
      <c r="E816" s="182"/>
      <c r="F816" s="182"/>
      <c r="G816" s="182"/>
      <c r="H816" s="182"/>
      <c r="I816" s="182"/>
      <c r="J816" s="182"/>
      <c r="K816" s="182"/>
      <c r="L816" s="180"/>
      <c r="M816" s="182"/>
      <c r="N816" s="182"/>
      <c r="O816" s="182"/>
      <c r="P816" s="180"/>
      <c r="Q816" s="180"/>
      <c r="R816" s="180"/>
      <c r="S816" s="184"/>
      <c r="T816" s="182"/>
      <c r="U816" s="182"/>
      <c r="V816" s="182"/>
      <c r="W816" s="182"/>
      <c r="X816" s="182"/>
    </row>
    <row r="817" spans="1:24">
      <c r="A817" s="182"/>
      <c r="B817" s="182"/>
      <c r="C817" s="182"/>
      <c r="D817" s="182"/>
      <c r="E817" s="182"/>
      <c r="F817" s="182"/>
      <c r="G817" s="182"/>
      <c r="H817" s="182"/>
      <c r="I817" s="182"/>
      <c r="J817" s="182"/>
      <c r="K817" s="182"/>
      <c r="L817" s="180"/>
      <c r="M817" s="182"/>
      <c r="N817" s="182"/>
      <c r="O817" s="182"/>
      <c r="P817" s="180"/>
      <c r="Q817" s="180"/>
      <c r="R817" s="180"/>
      <c r="S817" s="184"/>
      <c r="T817" s="182"/>
      <c r="U817" s="182"/>
      <c r="V817" s="182"/>
      <c r="W817" s="182"/>
      <c r="X817" s="182"/>
    </row>
    <row r="818" spans="1:24">
      <c r="A818" s="182"/>
      <c r="B818" s="182"/>
      <c r="C818" s="182"/>
      <c r="D818" s="182"/>
      <c r="E818" s="182"/>
      <c r="F818" s="182"/>
      <c r="G818" s="182"/>
      <c r="H818" s="182"/>
      <c r="I818" s="182"/>
      <c r="J818" s="182"/>
      <c r="K818" s="182"/>
      <c r="L818" s="180"/>
      <c r="M818" s="182"/>
      <c r="N818" s="182"/>
      <c r="O818" s="182"/>
      <c r="P818" s="180"/>
      <c r="Q818" s="180"/>
      <c r="R818" s="180"/>
      <c r="S818" s="184"/>
      <c r="T818" s="182"/>
      <c r="U818" s="182"/>
      <c r="V818" s="182"/>
      <c r="W818" s="182"/>
      <c r="X818" s="182"/>
    </row>
    <row r="819" spans="1:24">
      <c r="A819" s="182"/>
      <c r="B819" s="182"/>
      <c r="C819" s="182"/>
      <c r="D819" s="182"/>
      <c r="E819" s="182"/>
      <c r="F819" s="182"/>
      <c r="G819" s="182"/>
      <c r="H819" s="182"/>
      <c r="I819" s="182"/>
      <c r="J819" s="182"/>
      <c r="K819" s="182"/>
      <c r="L819" s="180"/>
      <c r="M819" s="182"/>
      <c r="N819" s="182"/>
      <c r="O819" s="182"/>
      <c r="P819" s="180"/>
      <c r="Q819" s="180"/>
      <c r="R819" s="180"/>
      <c r="S819" s="184"/>
      <c r="T819" s="182"/>
      <c r="U819" s="182"/>
      <c r="V819" s="182"/>
      <c r="W819" s="182"/>
      <c r="X819" s="182"/>
    </row>
    <row r="820" spans="1:24">
      <c r="A820" s="182"/>
      <c r="B820" s="182"/>
      <c r="C820" s="182"/>
      <c r="D820" s="182"/>
      <c r="E820" s="182"/>
      <c r="F820" s="182"/>
      <c r="G820" s="182"/>
      <c r="H820" s="182"/>
      <c r="I820" s="182"/>
      <c r="J820" s="182"/>
      <c r="K820" s="182"/>
      <c r="L820" s="180"/>
      <c r="M820" s="182"/>
      <c r="N820" s="182"/>
      <c r="O820" s="182"/>
      <c r="P820" s="180"/>
      <c r="Q820" s="180"/>
      <c r="R820" s="180"/>
      <c r="S820" s="184"/>
      <c r="T820" s="182"/>
      <c r="U820" s="182"/>
      <c r="V820" s="182"/>
      <c r="W820" s="182"/>
      <c r="X820" s="182"/>
    </row>
    <row r="821" spans="1:24">
      <c r="A821" s="182"/>
      <c r="B821" s="182"/>
      <c r="C821" s="182"/>
      <c r="D821" s="182"/>
      <c r="E821" s="182"/>
      <c r="F821" s="182"/>
      <c r="G821" s="182"/>
      <c r="H821" s="182"/>
      <c r="I821" s="182"/>
      <c r="J821" s="182"/>
      <c r="K821" s="182"/>
      <c r="L821" s="180"/>
      <c r="M821" s="182"/>
      <c r="N821" s="182"/>
      <c r="O821" s="182"/>
      <c r="P821" s="180"/>
      <c r="Q821" s="180"/>
      <c r="R821" s="180"/>
      <c r="S821" s="184"/>
      <c r="T821" s="182"/>
      <c r="U821" s="182"/>
      <c r="V821" s="182"/>
      <c r="W821" s="182"/>
      <c r="X821" s="182"/>
    </row>
    <row r="822" spans="1:24">
      <c r="A822" s="182"/>
      <c r="B822" s="182"/>
      <c r="C822" s="182"/>
      <c r="D822" s="182"/>
      <c r="E822" s="182"/>
      <c r="F822" s="182"/>
      <c r="G822" s="182"/>
      <c r="H822" s="182"/>
      <c r="I822" s="182"/>
      <c r="J822" s="182"/>
      <c r="K822" s="182"/>
      <c r="L822" s="180"/>
      <c r="M822" s="182"/>
      <c r="N822" s="182"/>
      <c r="O822" s="182"/>
      <c r="P822" s="180"/>
      <c r="Q822" s="180"/>
      <c r="R822" s="180"/>
      <c r="S822" s="184"/>
      <c r="T822" s="182"/>
      <c r="U822" s="182"/>
      <c r="V822" s="182"/>
      <c r="W822" s="182"/>
      <c r="X822" s="182"/>
    </row>
    <row r="823" spans="1:24">
      <c r="A823" s="182"/>
      <c r="B823" s="182"/>
      <c r="C823" s="182"/>
      <c r="D823" s="182"/>
      <c r="E823" s="182"/>
      <c r="F823" s="182"/>
      <c r="G823" s="182"/>
      <c r="H823" s="182"/>
      <c r="I823" s="182"/>
      <c r="J823" s="182"/>
      <c r="K823" s="182"/>
      <c r="L823" s="180"/>
      <c r="M823" s="182"/>
      <c r="N823" s="182"/>
      <c r="O823" s="182"/>
      <c r="P823" s="180"/>
      <c r="Q823" s="180"/>
      <c r="R823" s="180"/>
      <c r="S823" s="184"/>
      <c r="T823" s="182"/>
      <c r="U823" s="182"/>
      <c r="V823" s="182"/>
      <c r="W823" s="182"/>
      <c r="X823" s="182"/>
    </row>
    <row r="824" spans="1:24">
      <c r="A824" s="182"/>
      <c r="B824" s="182"/>
      <c r="C824" s="182"/>
      <c r="D824" s="182"/>
      <c r="E824" s="182"/>
      <c r="F824" s="182"/>
      <c r="G824" s="182"/>
      <c r="H824" s="182"/>
      <c r="I824" s="182"/>
      <c r="J824" s="182"/>
      <c r="K824" s="182"/>
      <c r="L824" s="180"/>
      <c r="M824" s="182"/>
      <c r="N824" s="182"/>
      <c r="O824" s="182"/>
      <c r="P824" s="180"/>
      <c r="Q824" s="180"/>
      <c r="R824" s="180"/>
      <c r="S824" s="184"/>
      <c r="T824" s="182"/>
      <c r="U824" s="182"/>
      <c r="V824" s="182"/>
      <c r="W824" s="182"/>
      <c r="X824" s="182"/>
    </row>
    <row r="825" spans="1:24">
      <c r="A825" s="182"/>
      <c r="B825" s="182"/>
      <c r="C825" s="182"/>
      <c r="D825" s="182"/>
      <c r="E825" s="182"/>
      <c r="F825" s="182"/>
      <c r="G825" s="182"/>
      <c r="H825" s="182"/>
      <c r="I825" s="182"/>
      <c r="J825" s="182"/>
      <c r="K825" s="182"/>
      <c r="L825" s="180"/>
      <c r="M825" s="182"/>
      <c r="N825" s="182"/>
      <c r="O825" s="182"/>
      <c r="P825" s="180"/>
      <c r="Q825" s="180"/>
      <c r="R825" s="180"/>
      <c r="S825" s="184"/>
      <c r="T825" s="182"/>
      <c r="U825" s="182"/>
      <c r="V825" s="182"/>
      <c r="W825" s="182"/>
      <c r="X825" s="182"/>
    </row>
    <row r="826" spans="1:24">
      <c r="A826" s="182"/>
      <c r="B826" s="182"/>
      <c r="C826" s="182"/>
      <c r="D826" s="182"/>
      <c r="E826" s="182"/>
      <c r="F826" s="182"/>
      <c r="G826" s="182"/>
      <c r="H826" s="182"/>
      <c r="I826" s="182"/>
      <c r="J826" s="182"/>
      <c r="K826" s="182"/>
      <c r="L826" s="180"/>
      <c r="M826" s="182"/>
      <c r="N826" s="182"/>
      <c r="O826" s="182"/>
      <c r="P826" s="180"/>
      <c r="Q826" s="180"/>
      <c r="R826" s="180"/>
      <c r="S826" s="184"/>
      <c r="T826" s="182"/>
      <c r="U826" s="182"/>
      <c r="V826" s="182"/>
      <c r="W826" s="182"/>
      <c r="X826" s="182"/>
    </row>
    <row r="827" spans="1:24">
      <c r="A827" s="182"/>
      <c r="B827" s="182"/>
      <c r="C827" s="182"/>
      <c r="D827" s="182"/>
      <c r="E827" s="182"/>
      <c r="F827" s="182"/>
      <c r="G827" s="182"/>
      <c r="H827" s="182"/>
      <c r="I827" s="182"/>
      <c r="J827" s="182"/>
      <c r="K827" s="182"/>
      <c r="L827" s="180"/>
      <c r="M827" s="182"/>
      <c r="N827" s="182"/>
      <c r="O827" s="182"/>
      <c r="P827" s="180"/>
      <c r="Q827" s="180"/>
      <c r="R827" s="180"/>
      <c r="S827" s="184"/>
      <c r="T827" s="182"/>
      <c r="U827" s="182"/>
      <c r="V827" s="182"/>
      <c r="W827" s="182"/>
      <c r="X827" s="182"/>
    </row>
    <row r="828" spans="1:24">
      <c r="A828" s="182"/>
      <c r="B828" s="182"/>
      <c r="C828" s="182"/>
      <c r="D828" s="182"/>
      <c r="E828" s="182"/>
      <c r="F828" s="182"/>
      <c r="G828" s="182"/>
      <c r="H828" s="182"/>
      <c r="I828" s="182"/>
      <c r="J828" s="182"/>
      <c r="K828" s="182"/>
      <c r="L828" s="180"/>
      <c r="M828" s="182"/>
      <c r="N828" s="182"/>
      <c r="O828" s="182"/>
      <c r="P828" s="180"/>
      <c r="Q828" s="180"/>
      <c r="R828" s="180"/>
      <c r="S828" s="184"/>
      <c r="T828" s="182"/>
      <c r="U828" s="182"/>
      <c r="V828" s="182"/>
      <c r="W828" s="182"/>
      <c r="X828" s="182"/>
    </row>
    <row r="829" spans="1:24">
      <c r="A829" s="182"/>
      <c r="B829" s="182"/>
      <c r="C829" s="182"/>
      <c r="D829" s="182"/>
      <c r="E829" s="182"/>
      <c r="F829" s="182"/>
      <c r="G829" s="182"/>
      <c r="H829" s="182"/>
      <c r="I829" s="182"/>
      <c r="J829" s="182"/>
      <c r="K829" s="182"/>
      <c r="L829" s="180"/>
      <c r="M829" s="182"/>
      <c r="N829" s="182"/>
      <c r="O829" s="182"/>
      <c r="P829" s="180"/>
      <c r="Q829" s="180"/>
      <c r="R829" s="180"/>
      <c r="S829" s="184"/>
      <c r="T829" s="182"/>
      <c r="U829" s="182"/>
      <c r="V829" s="182"/>
      <c r="W829" s="182"/>
      <c r="X829" s="182"/>
    </row>
    <row r="830" spans="1:24">
      <c r="A830" s="182"/>
      <c r="B830" s="182"/>
      <c r="C830" s="182"/>
      <c r="D830" s="182"/>
      <c r="E830" s="182"/>
      <c r="F830" s="182"/>
      <c r="G830" s="182"/>
      <c r="H830" s="182"/>
      <c r="I830" s="182"/>
      <c r="J830" s="182"/>
      <c r="K830" s="182"/>
      <c r="L830" s="180"/>
      <c r="M830" s="182"/>
      <c r="N830" s="182"/>
      <c r="O830" s="182"/>
      <c r="P830" s="180"/>
      <c r="Q830" s="180"/>
      <c r="R830" s="180"/>
      <c r="S830" s="184"/>
      <c r="T830" s="182"/>
      <c r="U830" s="182"/>
      <c r="V830" s="182"/>
      <c r="W830" s="182"/>
      <c r="X830" s="182"/>
    </row>
    <row r="831" spans="1:24">
      <c r="A831" s="182"/>
      <c r="B831" s="182"/>
      <c r="C831" s="182"/>
      <c r="D831" s="182"/>
      <c r="E831" s="182"/>
      <c r="F831" s="182"/>
      <c r="G831" s="182"/>
      <c r="H831" s="182"/>
      <c r="I831" s="182"/>
      <c r="J831" s="182"/>
      <c r="K831" s="182"/>
      <c r="L831" s="180"/>
      <c r="M831" s="182"/>
      <c r="N831" s="182"/>
      <c r="O831" s="182"/>
      <c r="P831" s="180"/>
      <c r="Q831" s="180"/>
      <c r="R831" s="180"/>
      <c r="S831" s="184"/>
      <c r="T831" s="182"/>
      <c r="U831" s="182"/>
      <c r="V831" s="182"/>
      <c r="W831" s="182"/>
      <c r="X831" s="182"/>
    </row>
    <row r="832" spans="1:24">
      <c r="A832" s="182"/>
      <c r="B832" s="182"/>
      <c r="C832" s="182"/>
      <c r="D832" s="182"/>
      <c r="E832" s="182"/>
      <c r="F832" s="182"/>
      <c r="G832" s="182"/>
      <c r="H832" s="182"/>
      <c r="I832" s="182"/>
      <c r="J832" s="182"/>
      <c r="K832" s="182"/>
      <c r="L832" s="180"/>
      <c r="M832" s="182"/>
      <c r="N832" s="182"/>
      <c r="O832" s="182"/>
      <c r="P832" s="180"/>
      <c r="Q832" s="180"/>
      <c r="R832" s="180"/>
      <c r="S832" s="184"/>
      <c r="T832" s="182"/>
      <c r="U832" s="182"/>
      <c r="V832" s="182"/>
      <c r="W832" s="182"/>
      <c r="X832" s="182"/>
    </row>
    <row r="833" spans="1:24">
      <c r="A833" s="182"/>
      <c r="B833" s="182"/>
      <c r="C833" s="182"/>
      <c r="D833" s="182"/>
      <c r="E833" s="182"/>
      <c r="F833" s="182"/>
      <c r="G833" s="182"/>
      <c r="H833" s="182"/>
      <c r="I833" s="182"/>
      <c r="J833" s="182"/>
      <c r="K833" s="182"/>
      <c r="L833" s="180"/>
      <c r="M833" s="182"/>
      <c r="N833" s="182"/>
      <c r="O833" s="182"/>
      <c r="P833" s="180"/>
      <c r="Q833" s="180"/>
      <c r="R833" s="180"/>
      <c r="S833" s="184"/>
      <c r="T833" s="182"/>
      <c r="U833" s="182"/>
      <c r="V833" s="182"/>
      <c r="W833" s="182"/>
      <c r="X833" s="182"/>
    </row>
    <row r="834" spans="1:24">
      <c r="A834" s="182"/>
      <c r="B834" s="182"/>
      <c r="C834" s="182"/>
      <c r="D834" s="182"/>
      <c r="E834" s="182"/>
      <c r="F834" s="182"/>
      <c r="G834" s="182"/>
      <c r="H834" s="182"/>
      <c r="I834" s="182"/>
      <c r="J834" s="182"/>
      <c r="K834" s="182"/>
      <c r="L834" s="180"/>
      <c r="M834" s="182"/>
      <c r="N834" s="182"/>
      <c r="O834" s="182"/>
      <c r="P834" s="180"/>
      <c r="Q834" s="180"/>
      <c r="R834" s="180"/>
      <c r="S834" s="184"/>
      <c r="T834" s="182"/>
      <c r="U834" s="182"/>
      <c r="V834" s="182"/>
      <c r="W834" s="182"/>
      <c r="X834" s="182"/>
    </row>
    <row r="835" spans="1:24">
      <c r="A835" s="182"/>
      <c r="B835" s="182"/>
      <c r="C835" s="182"/>
      <c r="D835" s="182"/>
      <c r="E835" s="182"/>
      <c r="F835" s="182"/>
      <c r="G835" s="182"/>
      <c r="H835" s="182"/>
      <c r="I835" s="182"/>
      <c r="J835" s="182"/>
      <c r="K835" s="182"/>
      <c r="L835" s="180"/>
      <c r="M835" s="182"/>
      <c r="N835" s="182"/>
      <c r="O835" s="182"/>
      <c r="P835" s="180"/>
      <c r="Q835" s="180"/>
      <c r="R835" s="180"/>
      <c r="S835" s="184"/>
      <c r="T835" s="182"/>
      <c r="U835" s="182"/>
      <c r="V835" s="182"/>
      <c r="W835" s="182"/>
      <c r="X835" s="182"/>
    </row>
    <row r="836" spans="1:24">
      <c r="A836" s="182"/>
      <c r="B836" s="182"/>
      <c r="C836" s="182"/>
      <c r="D836" s="182"/>
      <c r="E836" s="182"/>
      <c r="F836" s="182"/>
      <c r="G836" s="182"/>
      <c r="H836" s="182"/>
      <c r="I836" s="182"/>
      <c r="J836" s="182"/>
      <c r="K836" s="182"/>
      <c r="L836" s="180"/>
      <c r="M836" s="182"/>
      <c r="N836" s="182"/>
      <c r="O836" s="182"/>
      <c r="P836" s="180"/>
      <c r="Q836" s="180"/>
      <c r="R836" s="180"/>
      <c r="S836" s="184"/>
      <c r="T836" s="182"/>
      <c r="U836" s="182"/>
      <c r="V836" s="182"/>
      <c r="W836" s="182"/>
      <c r="X836" s="182"/>
    </row>
    <row r="837" spans="1:24">
      <c r="A837" s="182"/>
      <c r="B837" s="182"/>
      <c r="C837" s="182"/>
      <c r="D837" s="182"/>
      <c r="E837" s="182"/>
      <c r="F837" s="182"/>
      <c r="G837" s="182"/>
      <c r="H837" s="182"/>
      <c r="I837" s="182"/>
      <c r="J837" s="182"/>
      <c r="K837" s="182"/>
      <c r="L837" s="180"/>
      <c r="M837" s="182"/>
      <c r="N837" s="182"/>
      <c r="O837" s="182"/>
      <c r="P837" s="180"/>
      <c r="Q837" s="180"/>
      <c r="R837" s="180"/>
      <c r="S837" s="184"/>
      <c r="T837" s="182"/>
      <c r="U837" s="182"/>
      <c r="V837" s="182"/>
      <c r="W837" s="182"/>
      <c r="X837" s="182"/>
    </row>
    <row r="838" spans="1:24">
      <c r="A838" s="182"/>
      <c r="B838" s="182"/>
      <c r="C838" s="182"/>
      <c r="D838" s="182"/>
      <c r="E838" s="182"/>
      <c r="F838" s="182"/>
      <c r="G838" s="182"/>
      <c r="H838" s="182"/>
      <c r="I838" s="182"/>
      <c r="J838" s="182"/>
      <c r="K838" s="182"/>
      <c r="L838" s="180"/>
      <c r="M838" s="182"/>
      <c r="N838" s="182"/>
      <c r="O838" s="182"/>
      <c r="P838" s="180"/>
      <c r="Q838" s="180"/>
      <c r="R838" s="180"/>
      <c r="S838" s="184"/>
      <c r="T838" s="182"/>
      <c r="U838" s="182"/>
      <c r="V838" s="182"/>
      <c r="W838" s="182"/>
      <c r="X838" s="182"/>
    </row>
    <row r="839" spans="1:24">
      <c r="A839" s="182"/>
      <c r="B839" s="182"/>
      <c r="C839" s="182"/>
      <c r="D839" s="182"/>
      <c r="E839" s="182"/>
      <c r="F839" s="182"/>
      <c r="G839" s="182"/>
      <c r="H839" s="182"/>
      <c r="I839" s="182"/>
      <c r="J839" s="182"/>
      <c r="K839" s="182"/>
      <c r="L839" s="180"/>
      <c r="M839" s="182"/>
      <c r="N839" s="182"/>
      <c r="O839" s="182"/>
      <c r="P839" s="180"/>
      <c r="Q839" s="180"/>
      <c r="R839" s="180"/>
      <c r="S839" s="184"/>
      <c r="T839" s="182"/>
      <c r="U839" s="182"/>
      <c r="V839" s="182"/>
      <c r="W839" s="182"/>
      <c r="X839" s="182"/>
    </row>
    <row r="840" spans="1:24">
      <c r="A840" s="182"/>
      <c r="B840" s="182"/>
      <c r="C840" s="182"/>
      <c r="D840" s="182"/>
      <c r="E840" s="182"/>
      <c r="F840" s="182"/>
      <c r="G840" s="182"/>
      <c r="H840" s="182"/>
      <c r="I840" s="182"/>
      <c r="J840" s="182"/>
      <c r="K840" s="182"/>
      <c r="L840" s="180"/>
      <c r="M840" s="182"/>
      <c r="N840" s="182"/>
      <c r="O840" s="182"/>
      <c r="P840" s="180"/>
      <c r="Q840" s="180"/>
      <c r="R840" s="180"/>
      <c r="S840" s="184"/>
      <c r="T840" s="182"/>
      <c r="U840" s="182"/>
      <c r="V840" s="182"/>
      <c r="W840" s="182"/>
      <c r="X840" s="182"/>
    </row>
    <row r="841" spans="1:24">
      <c r="A841" s="182"/>
      <c r="B841" s="182"/>
      <c r="C841" s="182"/>
      <c r="D841" s="182"/>
      <c r="E841" s="182"/>
      <c r="F841" s="182"/>
      <c r="G841" s="182"/>
      <c r="H841" s="182"/>
      <c r="I841" s="182"/>
      <c r="J841" s="182"/>
      <c r="K841" s="182"/>
      <c r="L841" s="180"/>
      <c r="M841" s="182"/>
      <c r="N841" s="182"/>
      <c r="O841" s="182"/>
      <c r="P841" s="180"/>
      <c r="Q841" s="180"/>
      <c r="R841" s="180"/>
      <c r="S841" s="184"/>
      <c r="T841" s="182"/>
      <c r="U841" s="182"/>
      <c r="V841" s="182"/>
      <c r="W841" s="182"/>
      <c r="X841" s="182"/>
    </row>
    <row r="842" spans="1:24">
      <c r="A842" s="182"/>
      <c r="B842" s="182"/>
      <c r="C842" s="182"/>
      <c r="D842" s="182"/>
      <c r="E842" s="182"/>
      <c r="F842" s="182"/>
      <c r="G842" s="182"/>
      <c r="H842" s="182"/>
      <c r="I842" s="182"/>
      <c r="J842" s="182"/>
      <c r="K842" s="182"/>
      <c r="L842" s="180"/>
      <c r="M842" s="182"/>
      <c r="N842" s="182"/>
      <c r="O842" s="182"/>
      <c r="P842" s="180"/>
      <c r="Q842" s="180"/>
      <c r="R842" s="180"/>
      <c r="S842" s="184"/>
      <c r="T842" s="182"/>
      <c r="U842" s="182"/>
      <c r="V842" s="182"/>
      <c r="W842" s="182"/>
      <c r="X842" s="182"/>
    </row>
    <row r="843" spans="1:24">
      <c r="A843" s="182"/>
      <c r="B843" s="182"/>
      <c r="C843" s="182"/>
      <c r="D843" s="182"/>
      <c r="E843" s="182"/>
      <c r="F843" s="182"/>
      <c r="G843" s="182"/>
      <c r="H843" s="182"/>
      <c r="I843" s="182"/>
      <c r="J843" s="182"/>
      <c r="K843" s="182"/>
      <c r="L843" s="180"/>
      <c r="M843" s="182"/>
      <c r="N843" s="182"/>
      <c r="O843" s="182"/>
      <c r="P843" s="180"/>
      <c r="Q843" s="180"/>
      <c r="R843" s="180"/>
      <c r="S843" s="184"/>
      <c r="T843" s="182"/>
      <c r="U843" s="182"/>
      <c r="V843" s="182"/>
      <c r="W843" s="182"/>
      <c r="X843" s="182"/>
    </row>
    <row r="844" spans="1:24">
      <c r="A844" s="182"/>
      <c r="B844" s="182"/>
      <c r="C844" s="182"/>
      <c r="D844" s="182"/>
      <c r="E844" s="182"/>
      <c r="F844" s="182"/>
      <c r="G844" s="182"/>
      <c r="H844" s="182"/>
      <c r="I844" s="182"/>
      <c r="J844" s="182"/>
      <c r="K844" s="182"/>
      <c r="L844" s="180"/>
      <c r="M844" s="182"/>
      <c r="N844" s="182"/>
      <c r="O844" s="182"/>
      <c r="P844" s="180"/>
      <c r="Q844" s="180"/>
      <c r="R844" s="180"/>
      <c r="S844" s="184"/>
      <c r="T844" s="182"/>
      <c r="U844" s="182"/>
      <c r="V844" s="182"/>
      <c r="W844" s="182"/>
      <c r="X844" s="182"/>
    </row>
    <row r="845" spans="1:24">
      <c r="A845" s="182"/>
      <c r="B845" s="182"/>
      <c r="C845" s="182"/>
      <c r="D845" s="182"/>
      <c r="E845" s="182"/>
      <c r="F845" s="182"/>
      <c r="G845" s="182"/>
      <c r="H845" s="182"/>
      <c r="I845" s="182"/>
      <c r="J845" s="182"/>
      <c r="K845" s="182"/>
      <c r="L845" s="180"/>
      <c r="M845" s="182"/>
      <c r="N845" s="182"/>
      <c r="O845" s="182"/>
      <c r="P845" s="180"/>
      <c r="Q845" s="180"/>
      <c r="R845" s="180"/>
      <c r="S845" s="184"/>
      <c r="T845" s="182"/>
      <c r="U845" s="182"/>
      <c r="V845" s="182"/>
      <c r="W845" s="182"/>
      <c r="X845" s="182"/>
    </row>
    <row r="846" spans="1:24">
      <c r="A846" s="182"/>
      <c r="B846" s="182"/>
      <c r="C846" s="182"/>
      <c r="D846" s="182"/>
      <c r="E846" s="182"/>
      <c r="F846" s="182"/>
      <c r="G846" s="182"/>
      <c r="H846" s="182"/>
      <c r="I846" s="182"/>
      <c r="J846" s="182"/>
      <c r="K846" s="182"/>
      <c r="L846" s="180"/>
      <c r="M846" s="182"/>
      <c r="N846" s="182"/>
      <c r="O846" s="182"/>
      <c r="P846" s="180"/>
      <c r="Q846" s="180"/>
      <c r="R846" s="180"/>
      <c r="S846" s="184"/>
      <c r="T846" s="182"/>
      <c r="U846" s="182"/>
      <c r="V846" s="182"/>
      <c r="W846" s="182"/>
      <c r="X846" s="182"/>
    </row>
    <row r="847" spans="1:24">
      <c r="A847" s="182"/>
      <c r="B847" s="182"/>
      <c r="C847" s="182"/>
      <c r="D847" s="182"/>
      <c r="E847" s="182"/>
      <c r="F847" s="182"/>
      <c r="G847" s="182"/>
      <c r="H847" s="182"/>
      <c r="I847" s="182"/>
      <c r="J847" s="182"/>
      <c r="K847" s="182"/>
      <c r="L847" s="180"/>
      <c r="M847" s="182"/>
      <c r="N847" s="182"/>
      <c r="O847" s="182"/>
      <c r="P847" s="180"/>
      <c r="Q847" s="180"/>
      <c r="R847" s="180"/>
      <c r="S847" s="184"/>
      <c r="T847" s="182"/>
      <c r="U847" s="182"/>
      <c r="V847" s="182"/>
      <c r="W847" s="182"/>
      <c r="X847" s="182"/>
    </row>
    <row r="848" spans="1:24">
      <c r="A848" s="182"/>
      <c r="B848" s="182"/>
      <c r="C848" s="182"/>
      <c r="D848" s="182"/>
      <c r="E848" s="182"/>
      <c r="F848" s="182"/>
      <c r="G848" s="182"/>
      <c r="H848" s="182"/>
      <c r="I848" s="182"/>
      <c r="J848" s="182"/>
      <c r="K848" s="182"/>
      <c r="L848" s="180"/>
      <c r="M848" s="182"/>
      <c r="N848" s="182"/>
      <c r="O848" s="182"/>
      <c r="P848" s="180"/>
      <c r="Q848" s="180"/>
      <c r="R848" s="180"/>
      <c r="S848" s="184"/>
      <c r="T848" s="182"/>
      <c r="U848" s="182"/>
      <c r="V848" s="182"/>
      <c r="W848" s="182"/>
      <c r="X848" s="182"/>
    </row>
    <row r="849" spans="1:24">
      <c r="A849" s="182"/>
      <c r="B849" s="182"/>
      <c r="C849" s="182"/>
      <c r="D849" s="182"/>
      <c r="E849" s="182"/>
      <c r="F849" s="182"/>
      <c r="G849" s="182"/>
      <c r="H849" s="182"/>
      <c r="I849" s="182"/>
      <c r="J849" s="182"/>
      <c r="K849" s="182"/>
      <c r="L849" s="180"/>
      <c r="M849" s="182"/>
      <c r="N849" s="182"/>
      <c r="O849" s="182"/>
      <c r="P849" s="180"/>
      <c r="Q849" s="180"/>
      <c r="R849" s="180"/>
      <c r="S849" s="184"/>
      <c r="T849" s="182"/>
      <c r="U849" s="182"/>
      <c r="V849" s="182"/>
      <c r="W849" s="182"/>
      <c r="X849" s="182"/>
    </row>
    <row r="850" spans="1:24">
      <c r="A850" s="182"/>
      <c r="B850" s="182"/>
      <c r="C850" s="182"/>
      <c r="D850" s="182"/>
      <c r="E850" s="182"/>
      <c r="F850" s="182"/>
      <c r="G850" s="182"/>
      <c r="H850" s="182"/>
      <c r="I850" s="182"/>
      <c r="J850" s="182"/>
      <c r="K850" s="182"/>
      <c r="L850" s="180"/>
      <c r="M850" s="182"/>
      <c r="N850" s="182"/>
      <c r="O850" s="182"/>
      <c r="P850" s="180"/>
      <c r="Q850" s="180"/>
      <c r="R850" s="180"/>
      <c r="S850" s="184"/>
      <c r="T850" s="182"/>
      <c r="U850" s="182"/>
      <c r="V850" s="182"/>
      <c r="W850" s="182"/>
      <c r="X850" s="182"/>
    </row>
    <row r="851" spans="1:24">
      <c r="A851" s="182"/>
      <c r="B851" s="182"/>
      <c r="C851" s="182"/>
      <c r="D851" s="182"/>
      <c r="E851" s="182"/>
      <c r="F851" s="182"/>
      <c r="G851" s="182"/>
      <c r="H851" s="182"/>
      <c r="I851" s="182"/>
      <c r="J851" s="182"/>
      <c r="K851" s="182"/>
      <c r="L851" s="180"/>
      <c r="M851" s="182"/>
      <c r="N851" s="182"/>
      <c r="O851" s="182"/>
      <c r="P851" s="180"/>
      <c r="Q851" s="180"/>
      <c r="R851" s="180"/>
      <c r="S851" s="184"/>
      <c r="T851" s="182"/>
      <c r="U851" s="182"/>
      <c r="V851" s="182"/>
      <c r="W851" s="182"/>
      <c r="X851" s="182"/>
    </row>
    <row r="852" spans="1:24">
      <c r="A852" s="182"/>
      <c r="B852" s="182"/>
      <c r="C852" s="182"/>
      <c r="D852" s="182"/>
      <c r="E852" s="182"/>
      <c r="F852" s="182"/>
      <c r="G852" s="182"/>
      <c r="H852" s="182"/>
      <c r="I852" s="182"/>
      <c r="J852" s="182"/>
      <c r="K852" s="182"/>
      <c r="L852" s="180"/>
      <c r="M852" s="182"/>
      <c r="N852" s="182"/>
      <c r="O852" s="182"/>
      <c r="P852" s="180"/>
      <c r="Q852" s="180"/>
      <c r="R852" s="180"/>
      <c r="S852" s="184"/>
      <c r="T852" s="182"/>
      <c r="U852" s="182"/>
      <c r="V852" s="182"/>
      <c r="W852" s="182"/>
      <c r="X852" s="182"/>
    </row>
    <row r="853" spans="1:24">
      <c r="A853" s="182"/>
      <c r="B853" s="182"/>
      <c r="C853" s="182"/>
      <c r="D853" s="182"/>
      <c r="E853" s="182"/>
      <c r="F853" s="182"/>
      <c r="G853" s="182"/>
      <c r="H853" s="182"/>
      <c r="I853" s="182"/>
      <c r="J853" s="182"/>
      <c r="K853" s="182"/>
      <c r="L853" s="180"/>
      <c r="M853" s="182"/>
      <c r="N853" s="182"/>
      <c r="O853" s="182"/>
      <c r="P853" s="180"/>
      <c r="Q853" s="180"/>
      <c r="R853" s="180"/>
      <c r="S853" s="184"/>
      <c r="T853" s="182"/>
      <c r="U853" s="182"/>
      <c r="V853" s="182"/>
      <c r="W853" s="182"/>
      <c r="X853" s="182"/>
    </row>
    <row r="854" spans="1:24">
      <c r="A854" s="182"/>
      <c r="B854" s="182"/>
      <c r="C854" s="182"/>
      <c r="D854" s="182"/>
      <c r="E854" s="182"/>
      <c r="F854" s="182"/>
      <c r="G854" s="182"/>
      <c r="H854" s="182"/>
      <c r="I854" s="182"/>
      <c r="J854" s="182"/>
      <c r="K854" s="182"/>
      <c r="L854" s="180"/>
      <c r="M854" s="182"/>
      <c r="N854" s="182"/>
      <c r="O854" s="182"/>
      <c r="P854" s="180"/>
      <c r="Q854" s="180"/>
      <c r="R854" s="180"/>
      <c r="S854" s="184"/>
      <c r="T854" s="182"/>
      <c r="U854" s="182"/>
      <c r="V854" s="182"/>
      <c r="W854" s="182"/>
      <c r="X854" s="182"/>
    </row>
    <row r="855" spans="1:24">
      <c r="A855" s="182"/>
      <c r="B855" s="182"/>
      <c r="C855" s="182"/>
      <c r="D855" s="182"/>
      <c r="E855" s="182"/>
      <c r="F855" s="182"/>
      <c r="G855" s="182"/>
      <c r="H855" s="182"/>
      <c r="I855" s="182"/>
      <c r="J855" s="182"/>
      <c r="K855" s="182"/>
      <c r="L855" s="180"/>
      <c r="M855" s="182"/>
      <c r="N855" s="182"/>
      <c r="O855" s="182"/>
      <c r="P855" s="180"/>
      <c r="Q855" s="180"/>
      <c r="R855" s="180"/>
      <c r="S855" s="184"/>
      <c r="T855" s="182"/>
      <c r="U855" s="182"/>
      <c r="V855" s="182"/>
      <c r="W855" s="182"/>
      <c r="X855" s="182"/>
    </row>
    <row r="856" spans="1:24">
      <c r="A856" s="182"/>
      <c r="B856" s="182"/>
      <c r="C856" s="182"/>
      <c r="D856" s="182"/>
      <c r="E856" s="182"/>
      <c r="F856" s="182"/>
      <c r="G856" s="182"/>
      <c r="H856" s="182"/>
      <c r="I856" s="182"/>
      <c r="J856" s="182"/>
      <c r="K856" s="182"/>
      <c r="L856" s="180"/>
      <c r="M856" s="182"/>
      <c r="N856" s="182"/>
      <c r="O856" s="182"/>
      <c r="P856" s="180"/>
      <c r="Q856" s="180"/>
      <c r="R856" s="180"/>
      <c r="S856" s="184"/>
      <c r="T856" s="182"/>
      <c r="U856" s="182"/>
      <c r="V856" s="182"/>
      <c r="W856" s="182"/>
      <c r="X856" s="182"/>
    </row>
    <row r="857" spans="1:24">
      <c r="A857" s="182"/>
      <c r="B857" s="182"/>
      <c r="C857" s="182"/>
      <c r="D857" s="182"/>
      <c r="E857" s="182"/>
      <c r="F857" s="182"/>
      <c r="G857" s="182"/>
      <c r="H857" s="182"/>
      <c r="I857" s="182"/>
      <c r="J857" s="182"/>
      <c r="K857" s="182"/>
      <c r="L857" s="180"/>
      <c r="M857" s="182"/>
      <c r="N857" s="182"/>
      <c r="O857" s="182"/>
      <c r="P857" s="180"/>
      <c r="Q857" s="180"/>
      <c r="R857" s="180"/>
      <c r="S857" s="184"/>
      <c r="T857" s="182"/>
      <c r="U857" s="182"/>
      <c r="V857" s="182"/>
      <c r="W857" s="182"/>
      <c r="X857" s="182"/>
    </row>
    <row r="858" spans="1:24">
      <c r="A858" s="182"/>
      <c r="B858" s="182"/>
      <c r="C858" s="182"/>
      <c r="D858" s="182"/>
      <c r="E858" s="182"/>
      <c r="F858" s="182"/>
      <c r="G858" s="182"/>
      <c r="H858" s="182"/>
      <c r="I858" s="182"/>
      <c r="J858" s="182"/>
      <c r="K858" s="182"/>
      <c r="L858" s="180"/>
      <c r="M858" s="182"/>
      <c r="N858" s="182"/>
      <c r="O858" s="182"/>
      <c r="P858" s="180"/>
      <c r="Q858" s="180"/>
      <c r="R858" s="180"/>
      <c r="S858" s="184"/>
      <c r="T858" s="182"/>
      <c r="U858" s="182"/>
      <c r="V858" s="182"/>
      <c r="W858" s="182"/>
      <c r="X858" s="182"/>
    </row>
    <row r="859" spans="1:24">
      <c r="A859" s="182"/>
      <c r="B859" s="182"/>
      <c r="C859" s="182"/>
      <c r="D859" s="182"/>
      <c r="E859" s="182"/>
      <c r="F859" s="182"/>
      <c r="G859" s="182"/>
      <c r="H859" s="182"/>
      <c r="I859" s="182"/>
      <c r="J859" s="182"/>
      <c r="K859" s="182"/>
      <c r="L859" s="180"/>
      <c r="M859" s="182"/>
      <c r="N859" s="182"/>
      <c r="O859" s="182"/>
      <c r="P859" s="180"/>
      <c r="Q859" s="180"/>
      <c r="R859" s="180"/>
      <c r="S859" s="184"/>
      <c r="T859" s="182"/>
      <c r="U859" s="182"/>
      <c r="V859" s="182"/>
      <c r="W859" s="182"/>
      <c r="X859" s="182"/>
    </row>
    <row r="860" spans="1:24">
      <c r="A860" s="182"/>
      <c r="B860" s="182"/>
      <c r="C860" s="182"/>
      <c r="D860" s="182"/>
      <c r="E860" s="182"/>
      <c r="F860" s="182"/>
      <c r="G860" s="182"/>
      <c r="H860" s="182"/>
      <c r="I860" s="182"/>
      <c r="J860" s="182"/>
      <c r="K860" s="182"/>
      <c r="L860" s="180"/>
      <c r="M860" s="182"/>
      <c r="N860" s="182"/>
      <c r="O860" s="182"/>
      <c r="P860" s="180"/>
      <c r="Q860" s="180"/>
      <c r="R860" s="180"/>
      <c r="S860" s="184"/>
      <c r="T860" s="182"/>
      <c r="U860" s="182"/>
      <c r="V860" s="182"/>
      <c r="W860" s="182"/>
      <c r="X860" s="182"/>
    </row>
    <row r="861" spans="1:24">
      <c r="A861" s="182"/>
      <c r="B861" s="182"/>
      <c r="C861" s="182"/>
      <c r="D861" s="182"/>
      <c r="E861" s="182"/>
      <c r="F861" s="182"/>
      <c r="G861" s="182"/>
      <c r="H861" s="182"/>
      <c r="I861" s="182"/>
      <c r="J861" s="182"/>
      <c r="K861" s="182"/>
      <c r="L861" s="180"/>
      <c r="M861" s="182"/>
      <c r="N861" s="182"/>
      <c r="O861" s="182"/>
      <c r="P861" s="180"/>
      <c r="Q861" s="180"/>
      <c r="R861" s="180"/>
      <c r="S861" s="184"/>
      <c r="T861" s="182"/>
      <c r="U861" s="182"/>
      <c r="V861" s="182"/>
      <c r="W861" s="182"/>
      <c r="X861" s="182"/>
    </row>
    <row r="862" spans="1:24">
      <c r="A862" s="182"/>
      <c r="B862" s="182"/>
      <c r="C862" s="182"/>
      <c r="D862" s="182"/>
      <c r="E862" s="182"/>
      <c r="F862" s="182"/>
      <c r="G862" s="182"/>
      <c r="H862" s="182"/>
      <c r="I862" s="182"/>
      <c r="J862" s="182"/>
      <c r="K862" s="182"/>
      <c r="L862" s="180"/>
      <c r="M862" s="182"/>
      <c r="N862" s="182"/>
      <c r="O862" s="182"/>
      <c r="P862" s="180"/>
      <c r="Q862" s="180"/>
      <c r="R862" s="180"/>
      <c r="S862" s="184"/>
      <c r="T862" s="182"/>
      <c r="U862" s="182"/>
      <c r="V862" s="182"/>
      <c r="W862" s="182"/>
      <c r="X862" s="182"/>
    </row>
    <row r="863" spans="1:24">
      <c r="A863" s="182"/>
      <c r="B863" s="182"/>
      <c r="C863" s="182"/>
      <c r="D863" s="182"/>
      <c r="E863" s="182"/>
      <c r="F863" s="182"/>
      <c r="G863" s="182"/>
      <c r="H863" s="182"/>
      <c r="I863" s="182"/>
      <c r="J863" s="182"/>
      <c r="K863" s="182"/>
      <c r="L863" s="180"/>
      <c r="M863" s="182"/>
      <c r="N863" s="182"/>
      <c r="O863" s="182"/>
      <c r="P863" s="180"/>
      <c r="Q863" s="180"/>
      <c r="R863" s="180"/>
      <c r="S863" s="184"/>
      <c r="T863" s="182"/>
      <c r="U863" s="182"/>
      <c r="V863" s="182"/>
      <c r="W863" s="182"/>
      <c r="X863" s="182"/>
    </row>
    <row r="864" spans="1:24">
      <c r="A864" s="182"/>
      <c r="B864" s="182"/>
      <c r="C864" s="182"/>
      <c r="D864" s="182"/>
      <c r="E864" s="182"/>
      <c r="F864" s="182"/>
      <c r="G864" s="182"/>
      <c r="H864" s="182"/>
      <c r="I864" s="182"/>
      <c r="J864" s="182"/>
      <c r="K864" s="182"/>
      <c r="L864" s="180"/>
      <c r="M864" s="182"/>
      <c r="N864" s="182"/>
      <c r="O864" s="182"/>
      <c r="P864" s="180"/>
      <c r="Q864" s="180"/>
      <c r="R864" s="180"/>
      <c r="S864" s="184"/>
      <c r="T864" s="182"/>
      <c r="U864" s="182"/>
      <c r="V864" s="182"/>
      <c r="W864" s="182"/>
      <c r="X864" s="182"/>
    </row>
    <row r="865" spans="1:24">
      <c r="A865" s="182"/>
      <c r="B865" s="182"/>
      <c r="C865" s="182"/>
      <c r="D865" s="182"/>
      <c r="E865" s="182"/>
      <c r="F865" s="182"/>
      <c r="G865" s="182"/>
      <c r="H865" s="182"/>
      <c r="I865" s="182"/>
      <c r="J865" s="182"/>
      <c r="K865" s="182"/>
      <c r="L865" s="180"/>
      <c r="M865" s="182"/>
      <c r="N865" s="182"/>
      <c r="O865" s="182"/>
      <c r="P865" s="180"/>
      <c r="Q865" s="180"/>
      <c r="R865" s="180"/>
      <c r="S865" s="184"/>
      <c r="T865" s="182"/>
      <c r="U865" s="182"/>
      <c r="V865" s="182"/>
      <c r="W865" s="182"/>
      <c r="X865" s="182"/>
    </row>
    <row r="866" spans="1:24">
      <c r="A866" s="182"/>
      <c r="B866" s="182"/>
      <c r="C866" s="182"/>
      <c r="D866" s="182"/>
      <c r="E866" s="182"/>
      <c r="F866" s="182"/>
      <c r="G866" s="182"/>
      <c r="H866" s="182"/>
      <c r="I866" s="182"/>
      <c r="J866" s="182"/>
      <c r="K866" s="182"/>
      <c r="L866" s="180"/>
      <c r="M866" s="182"/>
      <c r="N866" s="182"/>
      <c r="O866" s="182"/>
      <c r="P866" s="180"/>
      <c r="Q866" s="180"/>
      <c r="R866" s="180"/>
      <c r="S866" s="184"/>
      <c r="T866" s="182"/>
      <c r="U866" s="182"/>
      <c r="V866" s="182"/>
      <c r="W866" s="182"/>
      <c r="X866" s="182"/>
    </row>
    <row r="867" spans="1:24">
      <c r="A867" s="182"/>
      <c r="B867" s="182"/>
      <c r="C867" s="182"/>
      <c r="D867" s="182"/>
      <c r="E867" s="182"/>
      <c r="F867" s="182"/>
      <c r="G867" s="182"/>
      <c r="H867" s="182"/>
      <c r="I867" s="182"/>
      <c r="J867" s="182"/>
      <c r="K867" s="182"/>
      <c r="L867" s="180"/>
      <c r="M867" s="182"/>
      <c r="N867" s="182"/>
      <c r="O867" s="182"/>
      <c r="P867" s="180"/>
      <c r="Q867" s="180"/>
      <c r="R867" s="180"/>
      <c r="S867" s="184"/>
      <c r="T867" s="182"/>
      <c r="U867" s="182"/>
      <c r="V867" s="182"/>
      <c r="W867" s="182"/>
      <c r="X867" s="182"/>
    </row>
    <row r="868" spans="1:24">
      <c r="A868" s="182"/>
      <c r="B868" s="182"/>
      <c r="C868" s="182"/>
      <c r="D868" s="182"/>
      <c r="E868" s="182"/>
      <c r="F868" s="182"/>
      <c r="G868" s="182"/>
      <c r="H868" s="182"/>
      <c r="I868" s="182"/>
      <c r="J868" s="182"/>
      <c r="K868" s="182"/>
      <c r="L868" s="180"/>
      <c r="M868" s="182"/>
      <c r="N868" s="182"/>
      <c r="O868" s="182"/>
      <c r="P868" s="180"/>
      <c r="Q868" s="180"/>
      <c r="R868" s="180"/>
      <c r="S868" s="184"/>
      <c r="T868" s="182"/>
      <c r="U868" s="182"/>
      <c r="V868" s="182"/>
      <c r="W868" s="182"/>
      <c r="X868" s="182"/>
    </row>
    <row r="869" spans="1:24">
      <c r="A869" s="182"/>
      <c r="B869" s="182"/>
      <c r="C869" s="182"/>
      <c r="D869" s="182"/>
      <c r="E869" s="182"/>
      <c r="F869" s="182"/>
      <c r="G869" s="182"/>
      <c r="H869" s="182"/>
      <c r="I869" s="182"/>
      <c r="J869" s="182"/>
      <c r="K869" s="182"/>
      <c r="L869" s="180"/>
      <c r="M869" s="182"/>
      <c r="N869" s="182"/>
      <c r="O869" s="182"/>
      <c r="P869" s="180"/>
      <c r="Q869" s="180"/>
      <c r="R869" s="180"/>
      <c r="S869" s="184"/>
      <c r="T869" s="182"/>
      <c r="U869" s="182"/>
      <c r="V869" s="182"/>
      <c r="W869" s="182"/>
      <c r="X869" s="182"/>
    </row>
    <row r="870" spans="1:24">
      <c r="A870" s="182"/>
      <c r="B870" s="182"/>
      <c r="C870" s="182"/>
      <c r="D870" s="182"/>
      <c r="E870" s="182"/>
      <c r="F870" s="182"/>
      <c r="G870" s="182"/>
      <c r="H870" s="182"/>
      <c r="I870" s="182"/>
      <c r="J870" s="182"/>
      <c r="K870" s="182"/>
      <c r="L870" s="180"/>
      <c r="M870" s="182"/>
      <c r="N870" s="182"/>
      <c r="O870" s="182"/>
      <c r="P870" s="180"/>
      <c r="Q870" s="180"/>
      <c r="R870" s="180"/>
      <c r="S870" s="184"/>
      <c r="T870" s="182"/>
      <c r="U870" s="182"/>
      <c r="V870" s="182"/>
      <c r="W870" s="182"/>
      <c r="X870" s="182"/>
    </row>
    <row r="871" spans="1:24">
      <c r="A871" s="182"/>
      <c r="B871" s="182"/>
      <c r="C871" s="182"/>
      <c r="D871" s="182"/>
      <c r="E871" s="182"/>
      <c r="F871" s="182"/>
      <c r="G871" s="182"/>
      <c r="H871" s="182"/>
      <c r="I871" s="182"/>
      <c r="J871" s="182"/>
      <c r="K871" s="182"/>
      <c r="L871" s="180"/>
      <c r="M871" s="182"/>
      <c r="N871" s="182"/>
      <c r="O871" s="182"/>
      <c r="P871" s="180"/>
      <c r="Q871" s="180"/>
      <c r="R871" s="180"/>
      <c r="S871" s="184"/>
      <c r="T871" s="182"/>
      <c r="U871" s="182"/>
      <c r="V871" s="182"/>
      <c r="W871" s="182"/>
      <c r="X871" s="182"/>
    </row>
    <row r="872" spans="1:24">
      <c r="A872" s="182"/>
      <c r="B872" s="182"/>
      <c r="C872" s="182"/>
      <c r="D872" s="182"/>
      <c r="E872" s="182"/>
      <c r="F872" s="182"/>
      <c r="G872" s="182"/>
      <c r="H872" s="182"/>
      <c r="I872" s="182"/>
      <c r="J872" s="182"/>
      <c r="K872" s="182"/>
      <c r="L872" s="180"/>
      <c r="M872" s="182"/>
      <c r="N872" s="182"/>
      <c r="O872" s="182"/>
      <c r="P872" s="180"/>
      <c r="Q872" s="180"/>
      <c r="R872" s="180"/>
      <c r="S872" s="184"/>
      <c r="T872" s="182"/>
      <c r="U872" s="182"/>
      <c r="V872" s="182"/>
      <c r="W872" s="182"/>
      <c r="X872" s="182"/>
    </row>
    <row r="873" spans="1:24">
      <c r="A873" s="182"/>
      <c r="B873" s="182"/>
      <c r="C873" s="182"/>
      <c r="D873" s="182"/>
      <c r="E873" s="182"/>
      <c r="F873" s="182"/>
      <c r="G873" s="182"/>
      <c r="H873" s="182"/>
      <c r="I873" s="182"/>
      <c r="J873" s="182"/>
      <c r="K873" s="182"/>
      <c r="L873" s="180"/>
      <c r="M873" s="182"/>
      <c r="N873" s="182"/>
      <c r="O873" s="182"/>
      <c r="P873" s="180"/>
      <c r="Q873" s="180"/>
      <c r="R873" s="180"/>
      <c r="S873" s="184"/>
      <c r="T873" s="182"/>
      <c r="U873" s="182"/>
      <c r="V873" s="182"/>
      <c r="W873" s="182"/>
      <c r="X873" s="182"/>
    </row>
    <row r="874" spans="1:24">
      <c r="A874" s="182"/>
      <c r="B874" s="182"/>
      <c r="C874" s="182"/>
      <c r="D874" s="182"/>
      <c r="E874" s="182"/>
      <c r="F874" s="182"/>
      <c r="G874" s="182"/>
      <c r="H874" s="182"/>
      <c r="I874" s="182"/>
      <c r="J874" s="182"/>
      <c r="K874" s="182"/>
      <c r="L874" s="180"/>
      <c r="M874" s="182"/>
      <c r="N874" s="182"/>
      <c r="O874" s="182"/>
      <c r="P874" s="180"/>
      <c r="Q874" s="180"/>
      <c r="R874" s="180"/>
      <c r="S874" s="184"/>
      <c r="T874" s="182"/>
      <c r="U874" s="182"/>
      <c r="V874" s="182"/>
      <c r="W874" s="182"/>
      <c r="X874" s="182"/>
    </row>
    <row r="875" spans="1:24">
      <c r="A875" s="182"/>
      <c r="B875" s="182"/>
      <c r="C875" s="182"/>
      <c r="D875" s="182"/>
      <c r="E875" s="182"/>
      <c r="F875" s="182"/>
      <c r="G875" s="182"/>
      <c r="H875" s="182"/>
      <c r="I875" s="182"/>
      <c r="J875" s="182"/>
      <c r="K875" s="182"/>
      <c r="L875" s="180"/>
      <c r="M875" s="182"/>
      <c r="N875" s="182"/>
      <c r="O875" s="182"/>
      <c r="P875" s="180"/>
      <c r="Q875" s="180"/>
      <c r="R875" s="180"/>
      <c r="S875" s="184"/>
      <c r="T875" s="182"/>
      <c r="U875" s="182"/>
      <c r="V875" s="182"/>
      <c r="W875" s="182"/>
      <c r="X875" s="182"/>
    </row>
    <row r="876" spans="1:24">
      <c r="A876" s="182"/>
      <c r="B876" s="182"/>
      <c r="C876" s="182"/>
      <c r="D876" s="182"/>
      <c r="E876" s="182"/>
      <c r="F876" s="182"/>
      <c r="G876" s="182"/>
      <c r="H876" s="182"/>
      <c r="I876" s="182"/>
      <c r="J876" s="182"/>
      <c r="K876" s="182"/>
      <c r="L876" s="180"/>
      <c r="M876" s="182"/>
      <c r="N876" s="182"/>
      <c r="O876" s="182"/>
      <c r="P876" s="180"/>
      <c r="Q876" s="180"/>
      <c r="R876" s="180"/>
      <c r="S876" s="184"/>
      <c r="T876" s="182"/>
      <c r="U876" s="182"/>
      <c r="V876" s="182"/>
      <c r="W876" s="182"/>
      <c r="X876" s="182"/>
    </row>
    <row r="877" spans="1:24">
      <c r="A877" s="182"/>
      <c r="B877" s="182"/>
      <c r="C877" s="182"/>
      <c r="D877" s="182"/>
      <c r="E877" s="182"/>
      <c r="F877" s="182"/>
      <c r="G877" s="182"/>
      <c r="H877" s="182"/>
      <c r="I877" s="182"/>
      <c r="J877" s="182"/>
      <c r="K877" s="182"/>
      <c r="L877" s="180"/>
      <c r="M877" s="182"/>
      <c r="N877" s="182"/>
      <c r="O877" s="182"/>
      <c r="P877" s="180"/>
      <c r="Q877" s="180"/>
      <c r="R877" s="180"/>
      <c r="S877" s="184"/>
      <c r="T877" s="182"/>
      <c r="U877" s="182"/>
      <c r="V877" s="182"/>
      <c r="W877" s="182"/>
      <c r="X877" s="182"/>
    </row>
    <row r="878" spans="1:24">
      <c r="A878" s="182"/>
      <c r="B878" s="182"/>
      <c r="C878" s="182"/>
      <c r="D878" s="182"/>
      <c r="E878" s="182"/>
      <c r="F878" s="182"/>
      <c r="G878" s="182"/>
      <c r="H878" s="182"/>
      <c r="I878" s="182"/>
      <c r="J878" s="182"/>
      <c r="K878" s="182"/>
      <c r="L878" s="180"/>
      <c r="M878" s="182"/>
      <c r="N878" s="182"/>
      <c r="O878" s="182"/>
      <c r="P878" s="180"/>
      <c r="Q878" s="180"/>
      <c r="R878" s="180"/>
      <c r="S878" s="184"/>
      <c r="T878" s="182"/>
      <c r="U878" s="182"/>
      <c r="V878" s="182"/>
      <c r="W878" s="182"/>
      <c r="X878" s="182"/>
    </row>
    <row r="879" spans="1:24">
      <c r="A879" s="182"/>
      <c r="B879" s="182"/>
      <c r="C879" s="182"/>
      <c r="D879" s="182"/>
      <c r="E879" s="182"/>
      <c r="F879" s="182"/>
      <c r="G879" s="182"/>
      <c r="H879" s="182"/>
      <c r="I879" s="182"/>
      <c r="J879" s="182"/>
      <c r="K879" s="182"/>
      <c r="L879" s="180"/>
      <c r="M879" s="182"/>
      <c r="N879" s="182"/>
      <c r="O879" s="182"/>
      <c r="P879" s="180"/>
      <c r="Q879" s="180"/>
      <c r="R879" s="180"/>
      <c r="S879" s="184"/>
      <c r="T879" s="182"/>
      <c r="U879" s="182"/>
      <c r="V879" s="182"/>
      <c r="W879" s="182"/>
      <c r="X879" s="182"/>
    </row>
    <row r="880" spans="1:24">
      <c r="A880" s="182"/>
      <c r="B880" s="182"/>
      <c r="C880" s="182"/>
      <c r="D880" s="182"/>
      <c r="E880" s="182"/>
      <c r="F880" s="182"/>
      <c r="G880" s="182"/>
      <c r="H880" s="182"/>
      <c r="I880" s="182"/>
      <c r="J880" s="182"/>
      <c r="K880" s="182"/>
      <c r="L880" s="180"/>
      <c r="M880" s="182"/>
      <c r="N880" s="182"/>
      <c r="O880" s="182"/>
      <c r="P880" s="180"/>
      <c r="Q880" s="180"/>
      <c r="R880" s="180"/>
      <c r="S880" s="184"/>
      <c r="T880" s="182"/>
      <c r="U880" s="182"/>
      <c r="V880" s="182"/>
      <c r="W880" s="182"/>
      <c r="X880" s="182"/>
    </row>
    <row r="881" spans="1:24">
      <c r="A881" s="182"/>
      <c r="B881" s="182"/>
      <c r="C881" s="182"/>
      <c r="D881" s="182"/>
      <c r="E881" s="182"/>
      <c r="F881" s="182"/>
      <c r="G881" s="182"/>
      <c r="H881" s="182"/>
      <c r="I881" s="182"/>
      <c r="J881" s="182"/>
      <c r="K881" s="182"/>
      <c r="L881" s="180"/>
      <c r="M881" s="182"/>
      <c r="N881" s="182"/>
      <c r="O881" s="182"/>
      <c r="P881" s="180"/>
      <c r="Q881" s="180"/>
      <c r="R881" s="180"/>
      <c r="S881" s="184"/>
      <c r="T881" s="182"/>
      <c r="U881" s="182"/>
      <c r="V881" s="182"/>
      <c r="W881" s="182"/>
      <c r="X881" s="182"/>
    </row>
    <row r="882" spans="1:24">
      <c r="A882" s="182"/>
      <c r="B882" s="182"/>
      <c r="C882" s="182"/>
      <c r="D882" s="182"/>
      <c r="E882" s="182"/>
      <c r="F882" s="182"/>
      <c r="G882" s="182"/>
      <c r="H882" s="182"/>
      <c r="I882" s="182"/>
      <c r="J882" s="182"/>
      <c r="K882" s="182"/>
      <c r="L882" s="180"/>
      <c r="M882" s="182"/>
      <c r="N882" s="182"/>
      <c r="O882" s="182"/>
      <c r="P882" s="180"/>
      <c r="Q882" s="180"/>
      <c r="R882" s="180"/>
      <c r="S882" s="184"/>
      <c r="T882" s="182"/>
      <c r="U882" s="182"/>
      <c r="V882" s="182"/>
      <c r="W882" s="182"/>
      <c r="X882" s="182"/>
    </row>
    <row r="883" spans="1:24">
      <c r="A883" s="182"/>
      <c r="B883" s="182"/>
      <c r="C883" s="182"/>
      <c r="D883" s="182"/>
      <c r="E883" s="182"/>
      <c r="F883" s="182"/>
      <c r="G883" s="182"/>
      <c r="H883" s="182"/>
      <c r="I883" s="182"/>
      <c r="J883" s="182"/>
      <c r="K883" s="182"/>
      <c r="L883" s="180"/>
      <c r="M883" s="182"/>
      <c r="N883" s="182"/>
      <c r="O883" s="182"/>
      <c r="P883" s="180"/>
      <c r="Q883" s="180"/>
      <c r="R883" s="180"/>
      <c r="S883" s="184"/>
      <c r="T883" s="182"/>
      <c r="U883" s="182"/>
      <c r="V883" s="182"/>
      <c r="W883" s="182"/>
      <c r="X883" s="182"/>
    </row>
    <row r="884" spans="1:24">
      <c r="A884" s="182"/>
      <c r="B884" s="182"/>
      <c r="C884" s="182"/>
      <c r="D884" s="182"/>
      <c r="E884" s="182"/>
      <c r="F884" s="182"/>
      <c r="G884" s="182"/>
      <c r="H884" s="182"/>
      <c r="I884" s="182"/>
      <c r="J884" s="182"/>
      <c r="K884" s="182"/>
      <c r="L884" s="180"/>
      <c r="M884" s="182"/>
      <c r="N884" s="182"/>
      <c r="O884" s="182"/>
      <c r="P884" s="180"/>
      <c r="Q884" s="180"/>
      <c r="R884" s="180"/>
      <c r="S884" s="184"/>
      <c r="T884" s="182"/>
      <c r="U884" s="182"/>
      <c r="V884" s="182"/>
      <c r="W884" s="182"/>
      <c r="X884" s="182"/>
    </row>
    <row r="885" spans="1:24">
      <c r="A885" s="182"/>
      <c r="B885" s="182"/>
      <c r="C885" s="182"/>
      <c r="D885" s="182"/>
      <c r="E885" s="182"/>
      <c r="F885" s="182"/>
      <c r="G885" s="182"/>
      <c r="H885" s="182"/>
      <c r="I885" s="182"/>
      <c r="J885" s="182"/>
      <c r="K885" s="182"/>
      <c r="L885" s="180"/>
      <c r="M885" s="182"/>
      <c r="N885" s="182"/>
      <c r="O885" s="182"/>
      <c r="P885" s="180"/>
      <c r="Q885" s="180"/>
      <c r="R885" s="180"/>
      <c r="S885" s="184"/>
      <c r="T885" s="182"/>
      <c r="U885" s="182"/>
      <c r="V885" s="182"/>
      <c r="W885" s="182"/>
      <c r="X885" s="182"/>
    </row>
    <row r="886" spans="1:24">
      <c r="A886" s="182"/>
      <c r="B886" s="182"/>
      <c r="C886" s="182"/>
      <c r="D886" s="182"/>
      <c r="E886" s="182"/>
      <c r="F886" s="182"/>
      <c r="G886" s="182"/>
      <c r="H886" s="182"/>
      <c r="I886" s="182"/>
      <c r="J886" s="182"/>
      <c r="K886" s="182"/>
      <c r="L886" s="180"/>
      <c r="M886" s="182"/>
      <c r="N886" s="182"/>
      <c r="O886" s="182"/>
      <c r="P886" s="180"/>
      <c r="Q886" s="180"/>
      <c r="R886" s="180"/>
      <c r="S886" s="184"/>
      <c r="T886" s="182"/>
      <c r="U886" s="182"/>
      <c r="V886" s="182"/>
      <c r="W886" s="182"/>
      <c r="X886" s="182"/>
    </row>
    <row r="887" spans="1:24">
      <c r="A887" s="182"/>
      <c r="B887" s="182"/>
      <c r="C887" s="182"/>
      <c r="D887" s="182"/>
      <c r="E887" s="182"/>
      <c r="F887" s="182"/>
      <c r="G887" s="182"/>
      <c r="H887" s="182"/>
      <c r="I887" s="182"/>
      <c r="J887" s="182"/>
      <c r="K887" s="182"/>
      <c r="L887" s="180"/>
      <c r="M887" s="182"/>
      <c r="N887" s="182"/>
      <c r="O887" s="182"/>
      <c r="P887" s="180"/>
      <c r="Q887" s="180"/>
      <c r="R887" s="180"/>
      <c r="S887" s="184"/>
      <c r="T887" s="182"/>
      <c r="U887" s="182"/>
      <c r="V887" s="182"/>
      <c r="W887" s="182"/>
      <c r="X887" s="182"/>
    </row>
    <row r="888" spans="1:24">
      <c r="A888" s="182"/>
      <c r="B888" s="182"/>
      <c r="C888" s="182"/>
      <c r="D888" s="182"/>
      <c r="E888" s="182"/>
      <c r="F888" s="182"/>
      <c r="G888" s="182"/>
      <c r="H888" s="182"/>
      <c r="I888" s="182"/>
      <c r="J888" s="182"/>
      <c r="K888" s="182"/>
      <c r="L888" s="180"/>
      <c r="M888" s="182"/>
      <c r="N888" s="182"/>
      <c r="O888" s="182"/>
      <c r="P888" s="180"/>
      <c r="Q888" s="180"/>
      <c r="R888" s="180"/>
      <c r="S888" s="184"/>
      <c r="T888" s="182"/>
      <c r="U888" s="182"/>
      <c r="V888" s="182"/>
      <c r="W888" s="182"/>
      <c r="X888" s="182"/>
    </row>
    <row r="889" spans="1:24">
      <c r="A889" s="182"/>
      <c r="B889" s="182"/>
      <c r="C889" s="182"/>
      <c r="D889" s="182"/>
      <c r="E889" s="182"/>
      <c r="F889" s="182"/>
      <c r="G889" s="182"/>
      <c r="H889" s="182"/>
      <c r="I889" s="182"/>
      <c r="J889" s="182"/>
      <c r="K889" s="182"/>
      <c r="L889" s="180"/>
      <c r="M889" s="182"/>
      <c r="N889" s="182"/>
      <c r="O889" s="182"/>
      <c r="P889" s="180"/>
      <c r="Q889" s="180"/>
      <c r="R889" s="180"/>
      <c r="S889" s="184"/>
      <c r="T889" s="182"/>
      <c r="U889" s="182"/>
      <c r="V889" s="182"/>
      <c r="W889" s="182"/>
      <c r="X889" s="182"/>
    </row>
    <row r="890" spans="1:24">
      <c r="A890" s="182"/>
      <c r="B890" s="182"/>
      <c r="C890" s="182"/>
      <c r="D890" s="182"/>
      <c r="E890" s="182"/>
      <c r="F890" s="182"/>
      <c r="G890" s="182"/>
      <c r="H890" s="182"/>
      <c r="I890" s="182"/>
      <c r="J890" s="182"/>
      <c r="K890" s="182"/>
      <c r="L890" s="180"/>
      <c r="M890" s="182"/>
      <c r="N890" s="182"/>
      <c r="O890" s="182"/>
      <c r="P890" s="180"/>
      <c r="Q890" s="180"/>
      <c r="R890" s="180"/>
      <c r="S890" s="184"/>
      <c r="T890" s="182"/>
      <c r="U890" s="182"/>
      <c r="V890" s="182"/>
      <c r="W890" s="182"/>
      <c r="X890" s="182"/>
    </row>
    <row r="891" spans="1:24">
      <c r="A891" s="182"/>
      <c r="B891" s="182"/>
      <c r="C891" s="182"/>
      <c r="D891" s="182"/>
      <c r="E891" s="182"/>
      <c r="F891" s="182"/>
      <c r="G891" s="182"/>
      <c r="H891" s="182"/>
      <c r="I891" s="182"/>
      <c r="J891" s="182"/>
      <c r="K891" s="182"/>
      <c r="L891" s="180"/>
      <c r="M891" s="182"/>
      <c r="N891" s="182"/>
      <c r="O891" s="182"/>
      <c r="P891" s="180"/>
      <c r="Q891" s="180"/>
      <c r="R891" s="180"/>
      <c r="S891" s="184"/>
      <c r="T891" s="182"/>
      <c r="U891" s="182"/>
      <c r="V891" s="182"/>
      <c r="W891" s="182"/>
      <c r="X891" s="182"/>
    </row>
    <row r="892" spans="1:24">
      <c r="A892" s="182"/>
      <c r="B892" s="182"/>
      <c r="C892" s="182"/>
      <c r="D892" s="182"/>
      <c r="E892" s="182"/>
      <c r="F892" s="182"/>
      <c r="G892" s="182"/>
      <c r="H892" s="182"/>
      <c r="I892" s="182"/>
      <c r="J892" s="182"/>
      <c r="K892" s="182"/>
      <c r="L892" s="180"/>
      <c r="M892" s="182"/>
      <c r="N892" s="182"/>
      <c r="O892" s="182"/>
      <c r="P892" s="180"/>
      <c r="Q892" s="180"/>
      <c r="R892" s="180"/>
      <c r="S892" s="184"/>
      <c r="T892" s="182"/>
      <c r="U892" s="182"/>
      <c r="V892" s="182"/>
      <c r="W892" s="182"/>
      <c r="X892" s="182"/>
    </row>
    <row r="893" spans="1:24">
      <c r="A893" s="182"/>
      <c r="B893" s="182"/>
      <c r="C893" s="182"/>
      <c r="D893" s="182"/>
      <c r="E893" s="182"/>
      <c r="F893" s="182"/>
      <c r="G893" s="182"/>
      <c r="H893" s="182"/>
      <c r="I893" s="182"/>
      <c r="J893" s="182"/>
      <c r="K893" s="182"/>
      <c r="L893" s="180"/>
      <c r="M893" s="182"/>
      <c r="N893" s="182"/>
      <c r="O893" s="182"/>
      <c r="P893" s="180"/>
      <c r="Q893" s="180"/>
      <c r="R893" s="180"/>
      <c r="S893" s="184"/>
      <c r="T893" s="182"/>
      <c r="U893" s="182"/>
      <c r="V893" s="182"/>
      <c r="W893" s="182"/>
      <c r="X893" s="182"/>
    </row>
    <row r="894" spans="1:24">
      <c r="A894" s="182"/>
      <c r="B894" s="182"/>
      <c r="C894" s="182"/>
      <c r="D894" s="182"/>
      <c r="E894" s="182"/>
      <c r="F894" s="182"/>
      <c r="G894" s="182"/>
      <c r="H894" s="182"/>
      <c r="I894" s="182"/>
      <c r="J894" s="182"/>
      <c r="K894" s="182"/>
      <c r="L894" s="180"/>
      <c r="M894" s="182"/>
      <c r="N894" s="182"/>
      <c r="O894" s="182"/>
      <c r="P894" s="180"/>
      <c r="Q894" s="180"/>
      <c r="R894" s="180"/>
      <c r="S894" s="184"/>
      <c r="T894" s="182"/>
      <c r="U894" s="182"/>
      <c r="V894" s="182"/>
      <c r="W894" s="182"/>
      <c r="X894" s="182"/>
    </row>
    <row r="895" spans="1:24">
      <c r="A895" s="182"/>
      <c r="B895" s="182"/>
      <c r="C895" s="182"/>
      <c r="D895" s="182"/>
      <c r="E895" s="182"/>
      <c r="F895" s="182"/>
      <c r="G895" s="182"/>
      <c r="H895" s="182"/>
      <c r="I895" s="182"/>
      <c r="J895" s="182"/>
      <c r="K895" s="182"/>
      <c r="L895" s="180"/>
      <c r="M895" s="182"/>
      <c r="N895" s="182"/>
      <c r="O895" s="182"/>
      <c r="P895" s="180"/>
      <c r="Q895" s="180"/>
      <c r="R895" s="180"/>
      <c r="S895" s="184"/>
      <c r="T895" s="182"/>
      <c r="U895" s="182"/>
      <c r="V895" s="182"/>
      <c r="W895" s="182"/>
      <c r="X895" s="182"/>
    </row>
    <row r="896" spans="1:24">
      <c r="A896" s="182"/>
      <c r="B896" s="182"/>
      <c r="C896" s="182"/>
      <c r="D896" s="182"/>
      <c r="E896" s="182"/>
      <c r="F896" s="182"/>
      <c r="G896" s="182"/>
      <c r="H896" s="182"/>
      <c r="I896" s="182"/>
      <c r="J896" s="182"/>
      <c r="K896" s="182"/>
      <c r="L896" s="180"/>
      <c r="M896" s="182"/>
      <c r="N896" s="182"/>
      <c r="O896" s="182"/>
      <c r="P896" s="180"/>
      <c r="Q896" s="180"/>
      <c r="R896" s="180"/>
      <c r="S896" s="184"/>
      <c r="T896" s="182"/>
      <c r="U896" s="182"/>
      <c r="V896" s="182"/>
      <c r="W896" s="182"/>
      <c r="X896" s="182"/>
    </row>
    <row r="897" spans="1:24">
      <c r="A897" s="182"/>
      <c r="B897" s="182"/>
      <c r="C897" s="182"/>
      <c r="D897" s="182"/>
      <c r="E897" s="182"/>
      <c r="F897" s="182"/>
      <c r="G897" s="182"/>
      <c r="H897" s="182"/>
      <c r="I897" s="182"/>
      <c r="J897" s="182"/>
      <c r="K897" s="182"/>
      <c r="L897" s="180"/>
      <c r="M897" s="182"/>
      <c r="N897" s="182"/>
      <c r="O897" s="182"/>
      <c r="P897" s="180"/>
      <c r="Q897" s="180"/>
      <c r="R897" s="180"/>
      <c r="S897" s="184"/>
      <c r="T897" s="182"/>
      <c r="U897" s="182"/>
      <c r="V897" s="182"/>
      <c r="W897" s="182"/>
      <c r="X897" s="182"/>
    </row>
    <row r="898" spans="1:24">
      <c r="A898" s="182"/>
      <c r="B898" s="182"/>
      <c r="C898" s="182"/>
      <c r="D898" s="182"/>
      <c r="E898" s="182"/>
      <c r="F898" s="182"/>
      <c r="G898" s="182"/>
      <c r="H898" s="182"/>
      <c r="I898" s="182"/>
      <c r="J898" s="182"/>
      <c r="K898" s="182"/>
      <c r="L898" s="180"/>
      <c r="M898" s="182"/>
      <c r="N898" s="182"/>
      <c r="O898" s="182"/>
      <c r="P898" s="180"/>
      <c r="Q898" s="180"/>
      <c r="R898" s="180"/>
      <c r="S898" s="184"/>
      <c r="T898" s="182"/>
      <c r="U898" s="182"/>
      <c r="V898" s="182"/>
      <c r="W898" s="182"/>
      <c r="X898" s="182"/>
    </row>
    <row r="899" spans="1:24">
      <c r="A899" s="182"/>
      <c r="B899" s="182"/>
      <c r="C899" s="182"/>
      <c r="D899" s="182"/>
      <c r="E899" s="182"/>
      <c r="F899" s="182"/>
      <c r="G899" s="182"/>
      <c r="H899" s="182"/>
      <c r="I899" s="182"/>
      <c r="J899" s="182"/>
      <c r="K899" s="182"/>
      <c r="L899" s="180"/>
      <c r="M899" s="182"/>
      <c r="N899" s="182"/>
      <c r="O899" s="182"/>
      <c r="P899" s="180"/>
      <c r="Q899" s="180"/>
      <c r="R899" s="180"/>
      <c r="S899" s="184"/>
      <c r="T899" s="182"/>
      <c r="U899" s="182"/>
      <c r="V899" s="182"/>
      <c r="W899" s="182"/>
      <c r="X899" s="182"/>
    </row>
    <row r="900" spans="1:24">
      <c r="A900" s="182"/>
      <c r="B900" s="182"/>
      <c r="C900" s="182"/>
      <c r="D900" s="182"/>
      <c r="E900" s="182"/>
      <c r="F900" s="182"/>
      <c r="G900" s="182"/>
      <c r="H900" s="182"/>
      <c r="I900" s="182"/>
      <c r="J900" s="182"/>
      <c r="K900" s="182"/>
      <c r="L900" s="180"/>
      <c r="M900" s="182"/>
      <c r="N900" s="182"/>
      <c r="O900" s="182"/>
      <c r="P900" s="180"/>
      <c r="Q900" s="180"/>
      <c r="R900" s="180"/>
      <c r="S900" s="184"/>
      <c r="T900" s="182"/>
      <c r="U900" s="182"/>
      <c r="V900" s="182"/>
      <c r="W900" s="182"/>
      <c r="X900" s="182"/>
    </row>
    <row r="901" spans="1:24">
      <c r="A901" s="182"/>
      <c r="B901" s="182"/>
      <c r="C901" s="182"/>
      <c r="D901" s="182"/>
      <c r="E901" s="182"/>
      <c r="F901" s="182"/>
      <c r="G901" s="182"/>
      <c r="H901" s="182"/>
      <c r="I901" s="182"/>
      <c r="J901" s="182"/>
      <c r="K901" s="182"/>
      <c r="L901" s="180"/>
      <c r="M901" s="182"/>
      <c r="N901" s="182"/>
      <c r="O901" s="182"/>
      <c r="P901" s="180"/>
      <c r="Q901" s="180"/>
      <c r="R901" s="180"/>
      <c r="S901" s="184"/>
      <c r="T901" s="182"/>
      <c r="U901" s="182"/>
      <c r="V901" s="182"/>
      <c r="W901" s="182"/>
      <c r="X901" s="182"/>
    </row>
    <row r="902" spans="1:24">
      <c r="A902" s="182"/>
      <c r="B902" s="182"/>
      <c r="C902" s="182"/>
      <c r="D902" s="182"/>
      <c r="E902" s="182"/>
      <c r="F902" s="182"/>
      <c r="G902" s="182"/>
      <c r="H902" s="182"/>
      <c r="I902" s="182"/>
      <c r="J902" s="182"/>
      <c r="K902" s="182"/>
      <c r="L902" s="180"/>
      <c r="M902" s="182"/>
      <c r="N902" s="182"/>
      <c r="O902" s="182"/>
      <c r="P902" s="180"/>
      <c r="Q902" s="180"/>
      <c r="R902" s="180"/>
      <c r="S902" s="184"/>
      <c r="T902" s="182"/>
      <c r="U902" s="182"/>
      <c r="V902" s="182"/>
      <c r="W902" s="182"/>
      <c r="X902" s="182"/>
    </row>
    <row r="903" spans="1:24">
      <c r="A903" s="182"/>
      <c r="B903" s="182"/>
      <c r="C903" s="182"/>
      <c r="D903" s="182"/>
      <c r="E903" s="182"/>
      <c r="F903" s="182"/>
      <c r="G903" s="182"/>
      <c r="H903" s="182"/>
      <c r="I903" s="182"/>
      <c r="J903" s="182"/>
      <c r="K903" s="182"/>
      <c r="L903" s="180"/>
      <c r="M903" s="182"/>
      <c r="N903" s="182"/>
      <c r="O903" s="182"/>
      <c r="P903" s="180"/>
      <c r="Q903" s="180"/>
      <c r="R903" s="180"/>
      <c r="S903" s="184"/>
      <c r="T903" s="182"/>
      <c r="U903" s="182"/>
      <c r="V903" s="182"/>
      <c r="W903" s="182"/>
      <c r="X903" s="182"/>
    </row>
    <row r="904" spans="1:24">
      <c r="A904" s="182"/>
      <c r="B904" s="182"/>
      <c r="C904" s="182"/>
      <c r="D904" s="182"/>
      <c r="E904" s="182"/>
      <c r="F904" s="182"/>
      <c r="G904" s="182"/>
      <c r="H904" s="182"/>
      <c r="I904" s="182"/>
      <c r="J904" s="182"/>
      <c r="K904" s="182"/>
      <c r="L904" s="180"/>
      <c r="M904" s="182"/>
      <c r="N904" s="182"/>
      <c r="O904" s="182"/>
      <c r="P904" s="180"/>
      <c r="Q904" s="180"/>
      <c r="R904" s="180"/>
      <c r="S904" s="184"/>
      <c r="T904" s="182"/>
      <c r="U904" s="182"/>
      <c r="V904" s="182"/>
      <c r="W904" s="182"/>
      <c r="X904" s="182"/>
    </row>
    <row r="905" spans="1:24">
      <c r="A905" s="182"/>
      <c r="B905" s="182"/>
      <c r="C905" s="182"/>
      <c r="D905" s="182"/>
      <c r="E905" s="182"/>
      <c r="F905" s="182"/>
      <c r="G905" s="182"/>
      <c r="H905" s="182"/>
      <c r="I905" s="182"/>
      <c r="J905" s="182"/>
      <c r="K905" s="182"/>
      <c r="L905" s="180"/>
      <c r="M905" s="182"/>
      <c r="N905" s="182"/>
      <c r="O905" s="182"/>
      <c r="P905" s="180"/>
      <c r="Q905" s="180"/>
      <c r="R905" s="180"/>
      <c r="S905" s="184"/>
      <c r="T905" s="182"/>
      <c r="U905" s="182"/>
      <c r="V905" s="182"/>
      <c r="W905" s="182"/>
      <c r="X905" s="182"/>
    </row>
    <row r="906" spans="1:24">
      <c r="A906" s="182"/>
      <c r="B906" s="182"/>
      <c r="C906" s="182"/>
      <c r="D906" s="182"/>
      <c r="E906" s="182"/>
      <c r="F906" s="182"/>
      <c r="G906" s="182"/>
      <c r="H906" s="182"/>
      <c r="I906" s="182"/>
      <c r="J906" s="182"/>
      <c r="K906" s="182"/>
      <c r="L906" s="180"/>
      <c r="M906" s="182"/>
      <c r="N906" s="182"/>
      <c r="O906" s="182"/>
      <c r="P906" s="180"/>
      <c r="Q906" s="180"/>
      <c r="R906" s="180"/>
      <c r="S906" s="184"/>
      <c r="T906" s="182"/>
      <c r="U906" s="182"/>
      <c r="V906" s="182"/>
      <c r="W906" s="182"/>
      <c r="X906" s="182"/>
    </row>
    <row r="907" spans="1:24">
      <c r="A907" s="182"/>
      <c r="B907" s="182"/>
      <c r="C907" s="182"/>
      <c r="D907" s="182"/>
      <c r="E907" s="182"/>
      <c r="F907" s="182"/>
      <c r="G907" s="182"/>
      <c r="H907" s="182"/>
      <c r="I907" s="182"/>
      <c r="J907" s="182"/>
      <c r="K907" s="182"/>
      <c r="L907" s="180"/>
      <c r="M907" s="182"/>
      <c r="N907" s="182"/>
      <c r="O907" s="182"/>
      <c r="P907" s="180"/>
      <c r="Q907" s="180"/>
      <c r="R907" s="180"/>
      <c r="S907" s="184"/>
      <c r="T907" s="182"/>
      <c r="U907" s="182"/>
      <c r="V907" s="182"/>
      <c r="W907" s="182"/>
      <c r="X907" s="182"/>
    </row>
    <row r="908" spans="1:24">
      <c r="A908" s="182"/>
      <c r="B908" s="182"/>
      <c r="C908" s="182"/>
      <c r="D908" s="182"/>
      <c r="E908" s="182"/>
      <c r="F908" s="182"/>
      <c r="G908" s="182"/>
      <c r="H908" s="182"/>
      <c r="I908" s="182"/>
      <c r="J908" s="182"/>
      <c r="K908" s="182"/>
      <c r="L908" s="180"/>
      <c r="M908" s="182"/>
      <c r="N908" s="182"/>
      <c r="O908" s="182"/>
      <c r="P908" s="180"/>
      <c r="Q908" s="180"/>
      <c r="R908" s="180"/>
      <c r="S908" s="184"/>
      <c r="T908" s="182"/>
      <c r="U908" s="182"/>
      <c r="V908" s="182"/>
      <c r="W908" s="182"/>
      <c r="X908" s="182"/>
    </row>
    <row r="909" spans="1:24">
      <c r="A909" s="182"/>
      <c r="B909" s="182"/>
      <c r="C909" s="182"/>
      <c r="D909" s="182"/>
      <c r="E909" s="182"/>
      <c r="F909" s="182"/>
      <c r="G909" s="182"/>
      <c r="H909" s="182"/>
      <c r="I909" s="182"/>
      <c r="J909" s="182"/>
      <c r="K909" s="182"/>
      <c r="L909" s="180"/>
      <c r="M909" s="182"/>
      <c r="N909" s="182"/>
      <c r="O909" s="182"/>
      <c r="P909" s="180"/>
      <c r="Q909" s="180"/>
      <c r="R909" s="180"/>
      <c r="S909" s="184"/>
      <c r="T909" s="182"/>
      <c r="U909" s="182"/>
      <c r="V909" s="182"/>
      <c r="W909" s="182"/>
      <c r="X909" s="182"/>
    </row>
    <row r="910" spans="1:24">
      <c r="A910" s="182"/>
      <c r="B910" s="182"/>
      <c r="C910" s="182"/>
      <c r="D910" s="182"/>
      <c r="E910" s="182"/>
      <c r="F910" s="182"/>
      <c r="G910" s="182"/>
      <c r="H910" s="182"/>
      <c r="I910" s="182"/>
      <c r="J910" s="182"/>
      <c r="K910" s="182"/>
      <c r="L910" s="180"/>
      <c r="M910" s="182"/>
      <c r="N910" s="182"/>
      <c r="O910" s="182"/>
      <c r="P910" s="180"/>
      <c r="Q910" s="180"/>
      <c r="R910" s="180"/>
      <c r="S910" s="184"/>
      <c r="T910" s="182"/>
      <c r="U910" s="182"/>
      <c r="V910" s="182"/>
      <c r="W910" s="182"/>
      <c r="X910" s="182"/>
    </row>
    <row r="911" spans="1:24">
      <c r="A911" s="182"/>
      <c r="B911" s="182"/>
      <c r="C911" s="182"/>
      <c r="D911" s="182"/>
      <c r="E911" s="182"/>
      <c r="F911" s="182"/>
      <c r="G911" s="182"/>
      <c r="H911" s="182"/>
      <c r="I911" s="182"/>
      <c r="J911" s="182"/>
      <c r="K911" s="182"/>
      <c r="L911" s="180"/>
      <c r="M911" s="182"/>
      <c r="N911" s="182"/>
      <c r="O911" s="182"/>
      <c r="P911" s="180"/>
      <c r="Q911" s="180"/>
      <c r="R911" s="180"/>
      <c r="S911" s="184"/>
      <c r="T911" s="182"/>
      <c r="U911" s="182"/>
      <c r="V911" s="182"/>
      <c r="W911" s="182"/>
      <c r="X911" s="182"/>
    </row>
    <row r="912" spans="1:24">
      <c r="A912" s="182"/>
      <c r="B912" s="182"/>
      <c r="C912" s="182"/>
      <c r="D912" s="182"/>
      <c r="E912" s="182"/>
      <c r="F912" s="182"/>
      <c r="G912" s="182"/>
      <c r="H912" s="182"/>
      <c r="I912" s="182"/>
      <c r="J912" s="182"/>
      <c r="K912" s="182"/>
      <c r="L912" s="180"/>
      <c r="M912" s="182"/>
      <c r="N912" s="182"/>
      <c r="O912" s="182"/>
      <c r="P912" s="180"/>
      <c r="Q912" s="180"/>
      <c r="R912" s="180"/>
      <c r="S912" s="184"/>
      <c r="T912" s="182"/>
      <c r="U912" s="182"/>
      <c r="V912" s="182"/>
      <c r="W912" s="182"/>
      <c r="X912" s="182"/>
    </row>
    <row r="913" spans="1:24">
      <c r="A913" s="182"/>
      <c r="B913" s="182"/>
      <c r="C913" s="182"/>
      <c r="D913" s="182"/>
      <c r="E913" s="182"/>
      <c r="F913" s="182"/>
      <c r="G913" s="182"/>
      <c r="H913" s="182"/>
      <c r="I913" s="182"/>
      <c r="J913" s="182"/>
      <c r="K913" s="182"/>
      <c r="L913" s="180"/>
      <c r="M913" s="182"/>
      <c r="N913" s="182"/>
      <c r="O913" s="182"/>
      <c r="P913" s="180"/>
      <c r="Q913" s="180"/>
      <c r="R913" s="180"/>
      <c r="S913" s="184"/>
      <c r="T913" s="182"/>
      <c r="U913" s="182"/>
      <c r="V913" s="182"/>
      <c r="W913" s="182"/>
      <c r="X913" s="182"/>
    </row>
    <row r="914" spans="1:24">
      <c r="A914" s="182"/>
      <c r="B914" s="182"/>
      <c r="C914" s="182"/>
      <c r="D914" s="182"/>
      <c r="E914" s="182"/>
      <c r="F914" s="182"/>
      <c r="G914" s="182"/>
      <c r="H914" s="182"/>
      <c r="I914" s="182"/>
      <c r="J914" s="182"/>
      <c r="K914" s="182"/>
      <c r="L914" s="180"/>
      <c r="M914" s="182"/>
      <c r="N914" s="182"/>
      <c r="O914" s="182"/>
      <c r="P914" s="180"/>
      <c r="Q914" s="180"/>
      <c r="R914" s="180"/>
      <c r="S914" s="184"/>
      <c r="T914" s="182"/>
      <c r="U914" s="182"/>
      <c r="V914" s="182"/>
      <c r="W914" s="182"/>
      <c r="X914" s="182"/>
    </row>
    <row r="915" spans="1:24">
      <c r="A915" s="182"/>
      <c r="B915" s="182"/>
      <c r="C915" s="182"/>
      <c r="D915" s="182"/>
      <c r="E915" s="182"/>
      <c r="F915" s="182"/>
      <c r="G915" s="182"/>
      <c r="H915" s="182"/>
      <c r="I915" s="182"/>
      <c r="J915" s="182"/>
      <c r="K915" s="182"/>
      <c r="L915" s="180"/>
      <c r="M915" s="182"/>
      <c r="N915" s="182"/>
      <c r="O915" s="182"/>
      <c r="P915" s="180"/>
      <c r="Q915" s="180"/>
      <c r="R915" s="180"/>
      <c r="S915" s="184"/>
      <c r="T915" s="182"/>
      <c r="U915" s="182"/>
      <c r="V915" s="182"/>
      <c r="W915" s="182"/>
      <c r="X915" s="182"/>
    </row>
    <row r="916" spans="1:24">
      <c r="A916" s="182"/>
      <c r="B916" s="182"/>
      <c r="C916" s="182"/>
      <c r="D916" s="182"/>
      <c r="E916" s="182"/>
      <c r="F916" s="182"/>
      <c r="G916" s="182"/>
      <c r="H916" s="182"/>
      <c r="I916" s="182"/>
      <c r="J916" s="182"/>
      <c r="K916" s="182"/>
      <c r="L916" s="180"/>
      <c r="M916" s="182"/>
      <c r="N916" s="182"/>
      <c r="O916" s="182"/>
      <c r="P916" s="180"/>
      <c r="Q916" s="180"/>
      <c r="R916" s="180"/>
      <c r="S916" s="184"/>
      <c r="T916" s="182"/>
      <c r="U916" s="182"/>
      <c r="V916" s="182"/>
      <c r="W916" s="182"/>
      <c r="X916" s="182"/>
    </row>
    <row r="917" spans="1:24">
      <c r="A917" s="182"/>
      <c r="B917" s="182"/>
      <c r="C917" s="182"/>
      <c r="D917" s="182"/>
      <c r="E917" s="182"/>
      <c r="F917" s="182"/>
      <c r="G917" s="182"/>
      <c r="H917" s="182"/>
      <c r="I917" s="182"/>
      <c r="J917" s="182"/>
      <c r="K917" s="182"/>
      <c r="L917" s="180"/>
      <c r="M917" s="182"/>
      <c r="N917" s="182"/>
      <c r="O917" s="182"/>
      <c r="P917" s="180"/>
      <c r="Q917" s="180"/>
      <c r="R917" s="180"/>
      <c r="S917" s="184"/>
      <c r="T917" s="182"/>
      <c r="U917" s="182"/>
      <c r="V917" s="182"/>
      <c r="W917" s="182"/>
      <c r="X917" s="182"/>
    </row>
    <row r="918" spans="1:24">
      <c r="A918" s="182"/>
      <c r="B918" s="182"/>
      <c r="C918" s="182"/>
      <c r="D918" s="182"/>
      <c r="E918" s="182"/>
      <c r="F918" s="182"/>
      <c r="G918" s="182"/>
      <c r="H918" s="182"/>
      <c r="I918" s="182"/>
      <c r="J918" s="182"/>
      <c r="K918" s="182"/>
      <c r="L918" s="180"/>
      <c r="M918" s="182"/>
      <c r="N918" s="182"/>
      <c r="O918" s="182"/>
      <c r="P918" s="180"/>
      <c r="Q918" s="180"/>
      <c r="R918" s="180"/>
      <c r="S918" s="184"/>
      <c r="T918" s="182"/>
      <c r="U918" s="182"/>
      <c r="V918" s="182"/>
      <c r="W918" s="182"/>
      <c r="X918" s="182"/>
    </row>
    <row r="919" spans="1:24">
      <c r="A919" s="182"/>
      <c r="B919" s="182"/>
      <c r="C919" s="182"/>
      <c r="D919" s="182"/>
      <c r="E919" s="182"/>
      <c r="F919" s="182"/>
      <c r="G919" s="182"/>
      <c r="H919" s="182"/>
      <c r="I919" s="182"/>
      <c r="J919" s="182"/>
      <c r="K919" s="182"/>
      <c r="L919" s="180"/>
      <c r="M919" s="182"/>
      <c r="N919" s="182"/>
      <c r="O919" s="182"/>
      <c r="P919" s="180"/>
      <c r="Q919" s="180"/>
      <c r="R919" s="180"/>
      <c r="S919" s="184"/>
      <c r="T919" s="182"/>
      <c r="U919" s="182"/>
      <c r="V919" s="182"/>
      <c r="W919" s="182"/>
      <c r="X919" s="182"/>
    </row>
    <row r="920" spans="1:24">
      <c r="A920" s="182"/>
      <c r="B920" s="182"/>
      <c r="C920" s="182"/>
      <c r="D920" s="182"/>
      <c r="E920" s="182"/>
      <c r="F920" s="182"/>
      <c r="G920" s="182"/>
      <c r="H920" s="182"/>
      <c r="I920" s="182"/>
      <c r="J920" s="182"/>
      <c r="K920" s="182"/>
      <c r="L920" s="180"/>
      <c r="M920" s="182"/>
      <c r="N920" s="182"/>
      <c r="O920" s="182"/>
      <c r="P920" s="180"/>
      <c r="Q920" s="180"/>
      <c r="R920" s="180"/>
      <c r="S920" s="184"/>
      <c r="T920" s="182"/>
      <c r="U920" s="182"/>
      <c r="V920" s="182"/>
      <c r="W920" s="182"/>
      <c r="X920" s="182"/>
    </row>
    <row r="921" spans="1:24">
      <c r="A921" s="182"/>
      <c r="B921" s="182"/>
      <c r="C921" s="182"/>
      <c r="D921" s="182"/>
      <c r="E921" s="182"/>
      <c r="F921" s="182"/>
      <c r="G921" s="182"/>
      <c r="H921" s="182"/>
      <c r="I921" s="182"/>
      <c r="J921" s="182"/>
      <c r="K921" s="182"/>
      <c r="L921" s="180"/>
      <c r="M921" s="182"/>
      <c r="N921" s="182"/>
      <c r="O921" s="182"/>
      <c r="P921" s="180"/>
      <c r="Q921" s="180"/>
      <c r="R921" s="180"/>
      <c r="S921" s="184"/>
      <c r="T921" s="182"/>
      <c r="U921" s="182"/>
      <c r="V921" s="182"/>
      <c r="W921" s="182"/>
      <c r="X921" s="182"/>
    </row>
    <row r="922" spans="1:24">
      <c r="A922" s="182"/>
      <c r="B922" s="182"/>
      <c r="C922" s="182"/>
      <c r="D922" s="182"/>
      <c r="E922" s="182"/>
      <c r="F922" s="182"/>
      <c r="G922" s="182"/>
      <c r="H922" s="182"/>
      <c r="I922" s="182"/>
      <c r="J922" s="182"/>
      <c r="K922" s="182"/>
      <c r="L922" s="180"/>
      <c r="M922" s="182"/>
      <c r="N922" s="182"/>
      <c r="O922" s="182"/>
      <c r="P922" s="180"/>
      <c r="Q922" s="180"/>
      <c r="R922" s="180"/>
      <c r="S922" s="184"/>
      <c r="T922" s="182"/>
      <c r="U922" s="182"/>
      <c r="V922" s="182"/>
      <c r="W922" s="182"/>
      <c r="X922" s="182"/>
    </row>
    <row r="923" spans="1:24">
      <c r="A923" s="182"/>
      <c r="B923" s="182"/>
      <c r="C923" s="182"/>
      <c r="D923" s="182"/>
      <c r="E923" s="182"/>
      <c r="F923" s="182"/>
      <c r="G923" s="182"/>
      <c r="H923" s="182"/>
      <c r="I923" s="182"/>
      <c r="J923" s="182"/>
      <c r="K923" s="182"/>
      <c r="L923" s="180"/>
      <c r="M923" s="182"/>
      <c r="N923" s="182"/>
      <c r="O923" s="182"/>
      <c r="P923" s="180"/>
      <c r="Q923" s="180"/>
      <c r="R923" s="180"/>
      <c r="S923" s="184"/>
      <c r="T923" s="182"/>
      <c r="U923" s="182"/>
      <c r="V923" s="182"/>
      <c r="W923" s="182"/>
      <c r="X923" s="182"/>
    </row>
    <row r="924" spans="1:24">
      <c r="A924" s="182"/>
      <c r="B924" s="182"/>
      <c r="C924" s="182"/>
      <c r="D924" s="182"/>
      <c r="E924" s="182"/>
      <c r="F924" s="182"/>
      <c r="G924" s="182"/>
      <c r="H924" s="182"/>
      <c r="I924" s="182"/>
      <c r="J924" s="182"/>
      <c r="K924" s="182"/>
      <c r="L924" s="180"/>
      <c r="M924" s="182"/>
      <c r="N924" s="182"/>
      <c r="O924" s="182"/>
      <c r="P924" s="180"/>
      <c r="Q924" s="180"/>
      <c r="R924" s="180"/>
      <c r="S924" s="184"/>
      <c r="T924" s="182"/>
      <c r="U924" s="182"/>
      <c r="V924" s="182"/>
      <c r="W924" s="182"/>
      <c r="X924" s="182"/>
    </row>
    <row r="925" spans="1:24">
      <c r="A925" s="182"/>
      <c r="B925" s="182"/>
      <c r="C925" s="182"/>
      <c r="D925" s="182"/>
      <c r="E925" s="182"/>
      <c r="F925" s="182"/>
      <c r="G925" s="182"/>
      <c r="H925" s="182"/>
      <c r="I925" s="182"/>
      <c r="J925" s="182"/>
      <c r="K925" s="182"/>
      <c r="L925" s="180"/>
      <c r="M925" s="182"/>
      <c r="N925" s="182"/>
      <c r="O925" s="182"/>
      <c r="P925" s="180"/>
      <c r="Q925" s="180"/>
      <c r="R925" s="180"/>
      <c r="S925" s="184"/>
      <c r="T925" s="182"/>
      <c r="U925" s="182"/>
      <c r="V925" s="182"/>
      <c r="W925" s="182"/>
      <c r="X925" s="182"/>
    </row>
    <row r="926" spans="1:24">
      <c r="A926" s="182"/>
      <c r="B926" s="182"/>
      <c r="C926" s="182"/>
      <c r="D926" s="182"/>
      <c r="E926" s="182"/>
      <c r="F926" s="182"/>
      <c r="G926" s="182"/>
      <c r="H926" s="182"/>
      <c r="I926" s="182"/>
      <c r="J926" s="182"/>
      <c r="K926" s="182"/>
      <c r="L926" s="180"/>
      <c r="M926" s="182"/>
      <c r="N926" s="182"/>
      <c r="O926" s="182"/>
      <c r="P926" s="180"/>
      <c r="Q926" s="180"/>
      <c r="R926" s="180"/>
      <c r="S926" s="184"/>
      <c r="T926" s="182"/>
      <c r="U926" s="182"/>
      <c r="V926" s="182"/>
      <c r="W926" s="182"/>
      <c r="X926" s="182"/>
    </row>
    <row r="927" spans="1:24">
      <c r="A927" s="182"/>
      <c r="B927" s="182"/>
      <c r="C927" s="182"/>
      <c r="D927" s="182"/>
      <c r="E927" s="182"/>
      <c r="F927" s="182"/>
      <c r="G927" s="182"/>
      <c r="H927" s="182"/>
      <c r="I927" s="182"/>
      <c r="J927" s="182"/>
      <c r="K927" s="182"/>
      <c r="L927" s="180"/>
      <c r="M927" s="182"/>
      <c r="N927" s="182"/>
      <c r="O927" s="182"/>
      <c r="P927" s="180"/>
      <c r="Q927" s="180"/>
      <c r="R927" s="180"/>
      <c r="S927" s="184"/>
      <c r="T927" s="182"/>
      <c r="U927" s="182"/>
      <c r="V927" s="182"/>
      <c r="W927" s="182"/>
      <c r="X927" s="182"/>
    </row>
    <row r="928" spans="1:24">
      <c r="A928" s="182"/>
      <c r="B928" s="182"/>
      <c r="C928" s="182"/>
      <c r="D928" s="182"/>
      <c r="E928" s="182"/>
      <c r="F928" s="182"/>
      <c r="G928" s="182"/>
      <c r="H928" s="182"/>
      <c r="I928" s="182"/>
      <c r="J928" s="182"/>
      <c r="K928" s="182"/>
      <c r="L928" s="180"/>
      <c r="M928" s="182"/>
      <c r="N928" s="182"/>
      <c r="O928" s="182"/>
      <c r="P928" s="180"/>
      <c r="Q928" s="180"/>
      <c r="R928" s="180"/>
      <c r="S928" s="184"/>
      <c r="T928" s="182"/>
      <c r="U928" s="182"/>
      <c r="V928" s="182"/>
      <c r="W928" s="182"/>
      <c r="X928" s="182"/>
    </row>
    <row r="929" spans="1:24">
      <c r="A929" s="182"/>
      <c r="B929" s="182"/>
      <c r="C929" s="182"/>
      <c r="D929" s="182"/>
      <c r="E929" s="182"/>
      <c r="F929" s="182"/>
      <c r="G929" s="182"/>
      <c r="H929" s="182"/>
      <c r="I929" s="182"/>
      <c r="J929" s="182"/>
      <c r="K929" s="182"/>
      <c r="L929" s="180"/>
      <c r="M929" s="182"/>
      <c r="N929" s="182"/>
      <c r="O929" s="182"/>
      <c r="P929" s="180"/>
      <c r="Q929" s="180"/>
      <c r="R929" s="180"/>
      <c r="S929" s="184"/>
      <c r="T929" s="182"/>
      <c r="U929" s="182"/>
      <c r="V929" s="182"/>
      <c r="W929" s="182"/>
      <c r="X929" s="182"/>
    </row>
    <row r="930" spans="1:24">
      <c r="A930" s="182"/>
      <c r="B930" s="182"/>
      <c r="C930" s="182"/>
      <c r="D930" s="182"/>
      <c r="E930" s="182"/>
      <c r="F930" s="182"/>
      <c r="G930" s="182"/>
      <c r="H930" s="182"/>
      <c r="I930" s="182"/>
      <c r="J930" s="182"/>
      <c r="K930" s="182"/>
      <c r="L930" s="180"/>
      <c r="M930" s="182"/>
      <c r="N930" s="182"/>
      <c r="O930" s="182"/>
      <c r="P930" s="180"/>
      <c r="Q930" s="180"/>
      <c r="R930" s="180"/>
      <c r="S930" s="184"/>
      <c r="T930" s="182"/>
      <c r="U930" s="182"/>
      <c r="V930" s="182"/>
      <c r="W930" s="182"/>
      <c r="X930" s="182"/>
    </row>
    <row r="931" spans="1:24">
      <c r="A931" s="182"/>
      <c r="B931" s="182"/>
      <c r="C931" s="182"/>
      <c r="D931" s="182"/>
      <c r="E931" s="182"/>
      <c r="F931" s="182"/>
      <c r="G931" s="182"/>
      <c r="H931" s="182"/>
      <c r="I931" s="182"/>
      <c r="J931" s="182"/>
      <c r="K931" s="182"/>
      <c r="L931" s="180"/>
      <c r="M931" s="182"/>
      <c r="N931" s="182"/>
      <c r="O931" s="182"/>
      <c r="P931" s="180"/>
      <c r="Q931" s="180"/>
      <c r="R931" s="180"/>
      <c r="S931" s="184"/>
      <c r="T931" s="182"/>
      <c r="U931" s="182"/>
      <c r="V931" s="182"/>
      <c r="W931" s="182"/>
      <c r="X931" s="182"/>
    </row>
    <row r="932" spans="1:24">
      <c r="A932" s="182"/>
      <c r="B932" s="182"/>
      <c r="C932" s="182"/>
      <c r="D932" s="182"/>
      <c r="E932" s="182"/>
      <c r="F932" s="182"/>
      <c r="G932" s="182"/>
      <c r="H932" s="182"/>
      <c r="I932" s="182"/>
      <c r="J932" s="182"/>
      <c r="K932" s="182"/>
      <c r="L932" s="180"/>
      <c r="M932" s="182"/>
      <c r="N932" s="182"/>
      <c r="O932" s="182"/>
      <c r="P932" s="180"/>
      <c r="Q932" s="180"/>
      <c r="R932" s="180"/>
      <c r="S932" s="184"/>
      <c r="T932" s="182"/>
      <c r="U932" s="182"/>
      <c r="V932" s="182"/>
      <c r="W932" s="182"/>
      <c r="X932" s="182"/>
    </row>
    <row r="933" spans="1:24">
      <c r="A933" s="182"/>
      <c r="B933" s="182"/>
      <c r="C933" s="182"/>
      <c r="D933" s="182"/>
      <c r="E933" s="182"/>
      <c r="F933" s="182"/>
      <c r="G933" s="182"/>
      <c r="H933" s="182"/>
      <c r="I933" s="182"/>
      <c r="J933" s="182"/>
      <c r="K933" s="182"/>
      <c r="L933" s="180"/>
      <c r="M933" s="182"/>
      <c r="N933" s="182"/>
      <c r="O933" s="182"/>
      <c r="P933" s="180"/>
      <c r="Q933" s="180"/>
      <c r="R933" s="180"/>
      <c r="S933" s="184"/>
      <c r="T933" s="182"/>
      <c r="U933" s="182"/>
      <c r="V933" s="182"/>
      <c r="W933" s="182"/>
      <c r="X933" s="182"/>
    </row>
    <row r="934" spans="1:24">
      <c r="A934" s="182"/>
      <c r="B934" s="182"/>
      <c r="C934" s="182"/>
      <c r="D934" s="182"/>
      <c r="E934" s="182"/>
      <c r="F934" s="182"/>
      <c r="G934" s="182"/>
      <c r="H934" s="182"/>
      <c r="I934" s="182"/>
      <c r="J934" s="182"/>
      <c r="K934" s="182"/>
      <c r="L934" s="180"/>
      <c r="M934" s="182"/>
      <c r="N934" s="182"/>
      <c r="O934" s="182"/>
      <c r="P934" s="180"/>
      <c r="Q934" s="180"/>
      <c r="R934" s="180"/>
      <c r="S934" s="184"/>
      <c r="T934" s="182"/>
      <c r="U934" s="182"/>
      <c r="V934" s="182"/>
      <c r="W934" s="182"/>
      <c r="X934" s="182"/>
    </row>
    <row r="935" spans="1:24">
      <c r="A935" s="182"/>
      <c r="B935" s="182"/>
      <c r="C935" s="182"/>
      <c r="D935" s="182"/>
      <c r="E935" s="182"/>
      <c r="F935" s="182"/>
      <c r="G935" s="182"/>
      <c r="H935" s="182"/>
      <c r="I935" s="182"/>
      <c r="J935" s="182"/>
      <c r="K935" s="182"/>
      <c r="L935" s="180"/>
      <c r="M935" s="182"/>
      <c r="N935" s="182"/>
      <c r="O935" s="182"/>
      <c r="P935" s="180"/>
      <c r="Q935" s="180"/>
      <c r="R935" s="180"/>
      <c r="S935" s="184"/>
      <c r="T935" s="182"/>
      <c r="U935" s="182"/>
      <c r="V935" s="182"/>
      <c r="W935" s="182"/>
      <c r="X935" s="182"/>
    </row>
    <row r="936" spans="1:24">
      <c r="A936" s="182"/>
      <c r="B936" s="182"/>
      <c r="C936" s="182"/>
      <c r="D936" s="182"/>
      <c r="E936" s="182"/>
      <c r="F936" s="182"/>
      <c r="G936" s="182"/>
      <c r="H936" s="182"/>
      <c r="I936" s="182"/>
      <c r="J936" s="182"/>
      <c r="K936" s="182"/>
      <c r="L936" s="180"/>
      <c r="M936" s="182"/>
      <c r="N936" s="182"/>
      <c r="O936" s="182"/>
      <c r="P936" s="180"/>
      <c r="Q936" s="180"/>
      <c r="R936" s="180"/>
      <c r="S936" s="184"/>
      <c r="T936" s="182"/>
      <c r="U936" s="182"/>
      <c r="V936" s="182"/>
      <c r="W936" s="182"/>
      <c r="X936" s="182"/>
    </row>
    <row r="937" spans="1:24">
      <c r="A937" s="182"/>
      <c r="B937" s="182"/>
      <c r="C937" s="182"/>
      <c r="D937" s="182"/>
      <c r="E937" s="182"/>
      <c r="F937" s="182"/>
      <c r="G937" s="182"/>
      <c r="H937" s="182"/>
      <c r="I937" s="182"/>
      <c r="J937" s="182"/>
      <c r="K937" s="182"/>
      <c r="L937" s="180"/>
      <c r="M937" s="182"/>
      <c r="N937" s="182"/>
      <c r="O937" s="182"/>
      <c r="P937" s="180"/>
      <c r="Q937" s="180"/>
      <c r="R937" s="180"/>
      <c r="S937" s="184"/>
      <c r="T937" s="182"/>
      <c r="U937" s="182"/>
      <c r="V937" s="182"/>
      <c r="W937" s="182"/>
      <c r="X937" s="182"/>
    </row>
    <row r="938" spans="1:24">
      <c r="A938" s="182"/>
      <c r="B938" s="182"/>
      <c r="C938" s="182"/>
      <c r="D938" s="182"/>
      <c r="E938" s="182"/>
      <c r="F938" s="182"/>
      <c r="G938" s="182"/>
      <c r="H938" s="182"/>
      <c r="I938" s="182"/>
      <c r="J938" s="182"/>
      <c r="K938" s="182"/>
      <c r="L938" s="180"/>
      <c r="M938" s="182"/>
      <c r="N938" s="182"/>
      <c r="O938" s="182"/>
      <c r="P938" s="180"/>
      <c r="Q938" s="180"/>
      <c r="R938" s="180"/>
      <c r="S938" s="184"/>
      <c r="T938" s="182"/>
      <c r="U938" s="182"/>
      <c r="V938" s="182"/>
      <c r="W938" s="182"/>
      <c r="X938" s="182"/>
    </row>
    <row r="939" spans="1:24">
      <c r="A939" s="182"/>
      <c r="B939" s="182"/>
      <c r="C939" s="182"/>
      <c r="D939" s="182"/>
      <c r="E939" s="182"/>
      <c r="F939" s="182"/>
      <c r="G939" s="182"/>
      <c r="H939" s="182"/>
      <c r="I939" s="182"/>
      <c r="J939" s="182"/>
      <c r="K939" s="182"/>
      <c r="L939" s="180"/>
      <c r="M939" s="182"/>
      <c r="N939" s="182"/>
      <c r="O939" s="182"/>
      <c r="P939" s="180"/>
      <c r="Q939" s="180"/>
      <c r="R939" s="180"/>
      <c r="S939" s="184"/>
      <c r="T939" s="182"/>
      <c r="U939" s="182"/>
      <c r="V939" s="182"/>
      <c r="W939" s="182"/>
      <c r="X939" s="182"/>
    </row>
    <row r="940" spans="1:24">
      <c r="A940" s="182"/>
      <c r="B940" s="182"/>
      <c r="C940" s="182"/>
      <c r="D940" s="182"/>
      <c r="E940" s="182"/>
      <c r="F940" s="182"/>
      <c r="G940" s="182"/>
      <c r="H940" s="182"/>
      <c r="I940" s="182"/>
      <c r="J940" s="182"/>
      <c r="K940" s="182"/>
      <c r="L940" s="180"/>
      <c r="M940" s="182"/>
      <c r="N940" s="182"/>
      <c r="O940" s="182"/>
      <c r="P940" s="180"/>
      <c r="Q940" s="180"/>
      <c r="R940" s="180"/>
      <c r="S940" s="184"/>
      <c r="T940" s="182"/>
      <c r="U940" s="182"/>
      <c r="V940" s="182"/>
      <c r="W940" s="182"/>
      <c r="X940" s="182"/>
    </row>
    <row r="941" spans="1:24">
      <c r="A941" s="182"/>
      <c r="B941" s="182"/>
      <c r="C941" s="182"/>
      <c r="D941" s="182"/>
      <c r="E941" s="182"/>
      <c r="F941" s="182"/>
      <c r="G941" s="182"/>
      <c r="H941" s="182"/>
      <c r="I941" s="182"/>
      <c r="J941" s="182"/>
      <c r="K941" s="182"/>
      <c r="L941" s="180"/>
      <c r="M941" s="182"/>
      <c r="N941" s="182"/>
      <c r="O941" s="182"/>
      <c r="P941" s="180"/>
      <c r="Q941" s="180"/>
      <c r="R941" s="180"/>
      <c r="S941" s="184"/>
      <c r="T941" s="182"/>
      <c r="U941" s="182"/>
      <c r="V941" s="182"/>
      <c r="W941" s="182"/>
      <c r="X941" s="182"/>
    </row>
    <row r="942" spans="1:24">
      <c r="A942" s="182"/>
      <c r="B942" s="182"/>
      <c r="C942" s="182"/>
      <c r="D942" s="182"/>
      <c r="E942" s="182"/>
      <c r="F942" s="182"/>
      <c r="G942" s="182"/>
      <c r="H942" s="182"/>
      <c r="I942" s="182"/>
      <c r="J942" s="182"/>
      <c r="K942" s="182"/>
      <c r="L942" s="180"/>
      <c r="M942" s="182"/>
      <c r="N942" s="182"/>
      <c r="O942" s="182"/>
      <c r="P942" s="180"/>
      <c r="Q942" s="180"/>
      <c r="R942" s="180"/>
      <c r="S942" s="184"/>
      <c r="T942" s="182"/>
      <c r="U942" s="182"/>
      <c r="V942" s="182"/>
      <c r="W942" s="182"/>
      <c r="X942" s="182"/>
    </row>
    <row r="943" spans="1:24">
      <c r="A943" s="182"/>
      <c r="B943" s="182"/>
      <c r="C943" s="182"/>
      <c r="D943" s="182"/>
      <c r="E943" s="182"/>
      <c r="F943" s="182"/>
      <c r="G943" s="182"/>
      <c r="H943" s="182"/>
      <c r="I943" s="182"/>
      <c r="J943" s="182"/>
      <c r="K943" s="182"/>
      <c r="L943" s="180"/>
      <c r="M943" s="182"/>
      <c r="N943" s="182"/>
      <c r="O943" s="182"/>
      <c r="P943" s="180"/>
      <c r="Q943" s="180"/>
      <c r="R943" s="180"/>
      <c r="S943" s="184"/>
      <c r="T943" s="182"/>
      <c r="U943" s="182"/>
      <c r="V943" s="182"/>
      <c r="W943" s="182"/>
      <c r="X943" s="182"/>
    </row>
    <row r="944" spans="1:24">
      <c r="A944" s="182"/>
      <c r="B944" s="182"/>
      <c r="C944" s="182"/>
      <c r="D944" s="182"/>
      <c r="E944" s="182"/>
      <c r="F944" s="182"/>
      <c r="G944" s="182"/>
      <c r="H944" s="182"/>
      <c r="I944" s="182"/>
      <c r="J944" s="182"/>
      <c r="K944" s="182"/>
      <c r="L944" s="180"/>
      <c r="M944" s="182"/>
      <c r="N944" s="182"/>
      <c r="O944" s="182"/>
      <c r="P944" s="180"/>
      <c r="Q944" s="180"/>
      <c r="R944" s="180"/>
      <c r="S944" s="184"/>
      <c r="T944" s="182"/>
      <c r="U944" s="182"/>
      <c r="V944" s="182"/>
      <c r="W944" s="182"/>
      <c r="X944" s="182"/>
    </row>
    <row r="945" spans="1:24">
      <c r="A945" s="182"/>
      <c r="B945" s="182"/>
      <c r="C945" s="182"/>
      <c r="D945" s="182"/>
      <c r="E945" s="182"/>
      <c r="F945" s="182"/>
      <c r="G945" s="182"/>
      <c r="H945" s="182"/>
      <c r="I945" s="182"/>
      <c r="J945" s="182"/>
      <c r="K945" s="182"/>
      <c r="L945" s="180"/>
      <c r="M945" s="182"/>
      <c r="N945" s="182"/>
      <c r="O945" s="182"/>
      <c r="P945" s="180"/>
      <c r="Q945" s="180"/>
      <c r="R945" s="180"/>
      <c r="S945" s="184"/>
      <c r="T945" s="182"/>
      <c r="U945" s="182"/>
      <c r="V945" s="182"/>
      <c r="W945" s="182"/>
      <c r="X945" s="182"/>
    </row>
    <row r="946" spans="1:24">
      <c r="A946" s="182"/>
      <c r="B946" s="182"/>
      <c r="C946" s="182"/>
      <c r="D946" s="182"/>
      <c r="E946" s="182"/>
      <c r="F946" s="182"/>
      <c r="G946" s="182"/>
      <c r="H946" s="182"/>
      <c r="I946" s="182"/>
      <c r="J946" s="182"/>
      <c r="K946" s="182"/>
      <c r="L946" s="180"/>
      <c r="M946" s="182"/>
      <c r="N946" s="182"/>
      <c r="O946" s="182"/>
      <c r="P946" s="180"/>
      <c r="Q946" s="180"/>
      <c r="R946" s="180"/>
      <c r="S946" s="184"/>
      <c r="T946" s="182"/>
      <c r="U946" s="182"/>
      <c r="V946" s="182"/>
      <c r="W946" s="182"/>
      <c r="X946" s="182"/>
    </row>
    <row r="947" spans="1:24">
      <c r="A947" s="182"/>
      <c r="B947" s="182"/>
      <c r="C947" s="182"/>
      <c r="D947" s="182"/>
      <c r="E947" s="182"/>
      <c r="F947" s="182"/>
      <c r="G947" s="182"/>
      <c r="H947" s="182"/>
      <c r="I947" s="182"/>
      <c r="J947" s="182"/>
      <c r="K947" s="182"/>
      <c r="L947" s="180"/>
      <c r="M947" s="182"/>
      <c r="N947" s="182"/>
      <c r="O947" s="182"/>
      <c r="P947" s="180"/>
      <c r="Q947" s="180"/>
      <c r="R947" s="180"/>
      <c r="S947" s="184"/>
      <c r="T947" s="182"/>
      <c r="U947" s="182"/>
      <c r="V947" s="182"/>
      <c r="W947" s="182"/>
      <c r="X947" s="182"/>
    </row>
    <row r="948" spans="1:24">
      <c r="A948" s="182"/>
      <c r="B948" s="182"/>
      <c r="C948" s="182"/>
      <c r="D948" s="182"/>
      <c r="E948" s="182"/>
      <c r="F948" s="182"/>
      <c r="G948" s="182"/>
      <c r="H948" s="182"/>
      <c r="I948" s="182"/>
      <c r="J948" s="182"/>
      <c r="K948" s="182"/>
      <c r="L948" s="180"/>
      <c r="M948" s="182"/>
      <c r="N948" s="182"/>
      <c r="O948" s="182"/>
      <c r="P948" s="180"/>
      <c r="Q948" s="180"/>
      <c r="R948" s="180"/>
      <c r="S948" s="184"/>
      <c r="T948" s="182"/>
      <c r="U948" s="182"/>
      <c r="V948" s="182"/>
      <c r="W948" s="182"/>
      <c r="X948" s="182"/>
    </row>
    <row r="949" spans="1:24">
      <c r="A949" s="182"/>
      <c r="B949" s="182"/>
      <c r="C949" s="182"/>
      <c r="D949" s="182"/>
      <c r="E949" s="182"/>
      <c r="F949" s="182"/>
      <c r="G949" s="182"/>
      <c r="H949" s="182"/>
      <c r="I949" s="182"/>
      <c r="J949" s="182"/>
      <c r="K949" s="182"/>
      <c r="L949" s="180"/>
      <c r="M949" s="182"/>
      <c r="N949" s="182"/>
      <c r="O949" s="182"/>
      <c r="P949" s="180"/>
      <c r="Q949" s="180"/>
      <c r="R949" s="180"/>
      <c r="S949" s="184"/>
      <c r="T949" s="182"/>
      <c r="U949" s="182"/>
      <c r="V949" s="182"/>
      <c r="W949" s="182"/>
      <c r="X949" s="182"/>
    </row>
    <row r="950" spans="1:24">
      <c r="A950" s="182"/>
      <c r="B950" s="182"/>
      <c r="C950" s="182"/>
      <c r="D950" s="182"/>
      <c r="E950" s="182"/>
      <c r="F950" s="182"/>
      <c r="G950" s="182"/>
      <c r="H950" s="182"/>
      <c r="I950" s="182"/>
      <c r="J950" s="182"/>
      <c r="K950" s="182"/>
      <c r="L950" s="180"/>
      <c r="M950" s="182"/>
      <c r="N950" s="182"/>
      <c r="O950" s="182"/>
      <c r="P950" s="180"/>
      <c r="Q950" s="180"/>
      <c r="R950" s="180"/>
      <c r="S950" s="184"/>
      <c r="T950" s="182"/>
      <c r="U950" s="182"/>
      <c r="V950" s="182"/>
      <c r="W950" s="182"/>
      <c r="X950" s="182"/>
    </row>
    <row r="951" spans="1:24">
      <c r="A951" s="182"/>
      <c r="B951" s="182"/>
      <c r="C951" s="182"/>
      <c r="D951" s="182"/>
      <c r="E951" s="182"/>
      <c r="F951" s="182"/>
      <c r="G951" s="182"/>
      <c r="H951" s="182"/>
      <c r="I951" s="182"/>
      <c r="J951" s="182"/>
      <c r="K951" s="182"/>
      <c r="L951" s="180"/>
      <c r="M951" s="182"/>
      <c r="N951" s="182"/>
      <c r="O951" s="182"/>
      <c r="P951" s="180"/>
      <c r="Q951" s="180"/>
      <c r="R951" s="180"/>
      <c r="S951" s="184"/>
      <c r="T951" s="182"/>
      <c r="U951" s="182"/>
      <c r="V951" s="182"/>
      <c r="W951" s="182"/>
      <c r="X951" s="182"/>
    </row>
    <row r="952" spans="1:24">
      <c r="A952" s="182"/>
      <c r="B952" s="182"/>
      <c r="C952" s="182"/>
      <c r="D952" s="182"/>
      <c r="E952" s="182"/>
      <c r="F952" s="182"/>
      <c r="G952" s="182"/>
      <c r="H952" s="182"/>
      <c r="I952" s="182"/>
      <c r="J952" s="182"/>
      <c r="K952" s="182"/>
      <c r="L952" s="180"/>
      <c r="M952" s="182"/>
      <c r="N952" s="182"/>
      <c r="O952" s="182"/>
      <c r="P952" s="180"/>
      <c r="Q952" s="180"/>
      <c r="R952" s="180"/>
      <c r="S952" s="184"/>
      <c r="T952" s="182"/>
      <c r="U952" s="182"/>
      <c r="V952" s="182"/>
      <c r="W952" s="182"/>
      <c r="X952" s="182"/>
    </row>
    <row r="953" spans="1:24">
      <c r="A953" s="182"/>
      <c r="B953" s="182"/>
      <c r="C953" s="182"/>
      <c r="D953" s="182"/>
      <c r="E953" s="182"/>
      <c r="F953" s="182"/>
      <c r="G953" s="182"/>
      <c r="H953" s="182"/>
      <c r="I953" s="182"/>
      <c r="J953" s="182"/>
      <c r="K953" s="182"/>
      <c r="L953" s="180"/>
      <c r="M953" s="182"/>
      <c r="N953" s="182"/>
      <c r="O953" s="182"/>
      <c r="P953" s="180"/>
      <c r="Q953" s="180"/>
      <c r="R953" s="180"/>
      <c r="S953" s="184"/>
      <c r="T953" s="182"/>
      <c r="U953" s="182"/>
      <c r="V953" s="182"/>
      <c r="W953" s="182"/>
      <c r="X953" s="182"/>
    </row>
    <row r="954" spans="1:24">
      <c r="A954" s="182"/>
      <c r="B954" s="182"/>
      <c r="C954" s="182"/>
      <c r="D954" s="182"/>
      <c r="E954" s="182"/>
      <c r="F954" s="182"/>
      <c r="G954" s="182"/>
      <c r="H954" s="182"/>
      <c r="I954" s="182"/>
      <c r="J954" s="182"/>
      <c r="K954" s="182"/>
      <c r="L954" s="180"/>
      <c r="M954" s="182"/>
      <c r="N954" s="182"/>
      <c r="O954" s="182"/>
      <c r="P954" s="180"/>
      <c r="Q954" s="180"/>
      <c r="R954" s="180"/>
      <c r="S954" s="184"/>
      <c r="T954" s="182"/>
      <c r="U954" s="182"/>
      <c r="V954" s="182"/>
      <c r="W954" s="182"/>
      <c r="X954" s="182"/>
    </row>
    <row r="955" spans="1:24">
      <c r="A955" s="182"/>
      <c r="B955" s="182"/>
      <c r="C955" s="182"/>
      <c r="D955" s="182"/>
      <c r="E955" s="182"/>
      <c r="F955" s="182"/>
      <c r="G955" s="182"/>
      <c r="H955" s="182"/>
      <c r="I955" s="182"/>
      <c r="J955" s="182"/>
      <c r="K955" s="182"/>
      <c r="L955" s="180"/>
      <c r="M955" s="182"/>
      <c r="N955" s="182"/>
      <c r="O955" s="182"/>
      <c r="P955" s="180"/>
      <c r="Q955" s="180"/>
      <c r="R955" s="180"/>
      <c r="S955" s="184"/>
      <c r="T955" s="182"/>
      <c r="U955" s="182"/>
      <c r="V955" s="182"/>
      <c r="W955" s="182"/>
      <c r="X955" s="182"/>
    </row>
    <row r="956" spans="1:24">
      <c r="A956" s="182"/>
      <c r="B956" s="182"/>
      <c r="C956" s="182"/>
      <c r="D956" s="182"/>
      <c r="E956" s="182"/>
      <c r="F956" s="182"/>
      <c r="G956" s="182"/>
      <c r="H956" s="182"/>
      <c r="I956" s="182"/>
      <c r="J956" s="182"/>
      <c r="K956" s="182"/>
      <c r="L956" s="180"/>
      <c r="M956" s="182"/>
      <c r="N956" s="182"/>
      <c r="O956" s="182"/>
      <c r="P956" s="180"/>
      <c r="Q956" s="180"/>
      <c r="R956" s="180"/>
      <c r="S956" s="184"/>
      <c r="T956" s="182"/>
      <c r="U956" s="182"/>
      <c r="V956" s="182"/>
      <c r="W956" s="182"/>
      <c r="X956" s="182"/>
    </row>
    <row r="957" spans="1:24">
      <c r="A957" s="182"/>
      <c r="B957" s="182"/>
      <c r="C957" s="182"/>
      <c r="D957" s="182"/>
      <c r="E957" s="182"/>
      <c r="F957" s="182"/>
      <c r="G957" s="182"/>
      <c r="H957" s="182"/>
      <c r="I957" s="182"/>
      <c r="J957" s="182"/>
      <c r="K957" s="182"/>
      <c r="L957" s="180"/>
      <c r="M957" s="182"/>
      <c r="N957" s="182"/>
      <c r="O957" s="182"/>
      <c r="P957" s="180"/>
      <c r="Q957" s="180"/>
      <c r="R957" s="180"/>
      <c r="S957" s="184"/>
      <c r="T957" s="182"/>
      <c r="U957" s="182"/>
      <c r="V957" s="182"/>
      <c r="W957" s="182"/>
      <c r="X957" s="182"/>
    </row>
    <row r="958" spans="1:24">
      <c r="A958" s="182"/>
      <c r="B958" s="182"/>
      <c r="C958" s="182"/>
      <c r="D958" s="182"/>
      <c r="E958" s="182"/>
      <c r="F958" s="182"/>
      <c r="G958" s="182"/>
      <c r="H958" s="182"/>
      <c r="I958" s="182"/>
      <c r="J958" s="182"/>
      <c r="K958" s="182"/>
      <c r="L958" s="180"/>
      <c r="M958" s="182"/>
      <c r="N958" s="182"/>
      <c r="O958" s="182"/>
      <c r="P958" s="180"/>
      <c r="Q958" s="180"/>
      <c r="R958" s="180"/>
      <c r="S958" s="184"/>
      <c r="T958" s="182"/>
      <c r="U958" s="182"/>
      <c r="V958" s="182"/>
      <c r="W958" s="182"/>
      <c r="X958" s="182"/>
    </row>
    <row r="959" spans="1:24">
      <c r="A959" s="182"/>
      <c r="B959" s="182"/>
      <c r="C959" s="182"/>
      <c r="D959" s="182"/>
      <c r="E959" s="182"/>
      <c r="F959" s="182"/>
      <c r="G959" s="182"/>
      <c r="H959" s="182"/>
      <c r="I959" s="182"/>
      <c r="J959" s="182"/>
      <c r="K959" s="182"/>
      <c r="L959" s="180"/>
      <c r="M959" s="182"/>
      <c r="N959" s="182"/>
      <c r="O959" s="182"/>
      <c r="P959" s="180"/>
      <c r="Q959" s="180"/>
      <c r="R959" s="180"/>
      <c r="S959" s="184"/>
      <c r="T959" s="182"/>
      <c r="U959" s="182"/>
      <c r="V959" s="182"/>
      <c r="W959" s="182"/>
      <c r="X959" s="182"/>
    </row>
    <row r="960" spans="1:24">
      <c r="A960" s="182"/>
      <c r="B960" s="182"/>
      <c r="C960" s="182"/>
      <c r="D960" s="182"/>
      <c r="E960" s="182"/>
      <c r="F960" s="182"/>
      <c r="G960" s="182"/>
      <c r="H960" s="182"/>
      <c r="I960" s="182"/>
      <c r="J960" s="182"/>
      <c r="K960" s="182"/>
      <c r="L960" s="180"/>
      <c r="M960" s="182"/>
      <c r="N960" s="182"/>
      <c r="O960" s="182"/>
      <c r="P960" s="180"/>
      <c r="Q960" s="180"/>
      <c r="R960" s="180"/>
      <c r="S960" s="184"/>
      <c r="T960" s="182"/>
      <c r="U960" s="182"/>
      <c r="V960" s="182"/>
      <c r="W960" s="182"/>
      <c r="X960" s="182"/>
    </row>
    <row r="961" spans="1:24">
      <c r="A961" s="182"/>
      <c r="B961" s="182"/>
      <c r="C961" s="182"/>
      <c r="D961" s="182"/>
      <c r="E961" s="182"/>
      <c r="F961" s="182"/>
      <c r="G961" s="182"/>
      <c r="H961" s="182"/>
      <c r="I961" s="182"/>
      <c r="J961" s="182"/>
      <c r="K961" s="182"/>
      <c r="L961" s="180"/>
      <c r="M961" s="182"/>
      <c r="N961" s="182"/>
      <c r="O961" s="182"/>
      <c r="P961" s="180"/>
      <c r="Q961" s="180"/>
      <c r="R961" s="180"/>
      <c r="S961" s="184"/>
      <c r="T961" s="182"/>
      <c r="U961" s="182"/>
      <c r="V961" s="182"/>
      <c r="W961" s="182"/>
      <c r="X961" s="182"/>
    </row>
    <row r="962" spans="1:24">
      <c r="A962" s="182"/>
      <c r="B962" s="182"/>
      <c r="C962" s="182"/>
      <c r="D962" s="182"/>
      <c r="E962" s="182"/>
      <c r="F962" s="182"/>
      <c r="G962" s="182"/>
      <c r="H962" s="182"/>
      <c r="I962" s="182"/>
      <c r="J962" s="182"/>
      <c r="K962" s="182"/>
      <c r="L962" s="180"/>
      <c r="M962" s="182"/>
      <c r="N962" s="182"/>
      <c r="O962" s="182"/>
      <c r="P962" s="180"/>
      <c r="Q962" s="180"/>
      <c r="R962" s="180"/>
      <c r="S962" s="184"/>
      <c r="T962" s="182"/>
      <c r="U962" s="182"/>
      <c r="V962" s="182"/>
      <c r="W962" s="182"/>
      <c r="X962" s="182"/>
    </row>
    <row r="963" spans="1:24">
      <c r="A963" s="182"/>
      <c r="B963" s="182"/>
      <c r="C963" s="182"/>
      <c r="D963" s="182"/>
      <c r="E963" s="182"/>
      <c r="F963" s="182"/>
      <c r="G963" s="182"/>
      <c r="H963" s="182"/>
      <c r="I963" s="182"/>
      <c r="J963" s="182"/>
      <c r="K963" s="182"/>
      <c r="L963" s="180"/>
      <c r="M963" s="182"/>
      <c r="N963" s="182"/>
      <c r="O963" s="182"/>
      <c r="P963" s="180"/>
      <c r="Q963" s="180"/>
      <c r="R963" s="180"/>
      <c r="S963" s="184"/>
      <c r="T963" s="182"/>
      <c r="U963" s="182"/>
      <c r="V963" s="182"/>
      <c r="W963" s="182"/>
      <c r="X963" s="182"/>
    </row>
    <row r="964" spans="1:24">
      <c r="A964" s="182"/>
      <c r="B964" s="182"/>
      <c r="C964" s="182"/>
      <c r="D964" s="182"/>
      <c r="E964" s="182"/>
      <c r="F964" s="182"/>
      <c r="G964" s="182"/>
      <c r="H964" s="182"/>
      <c r="I964" s="182"/>
      <c r="J964" s="182"/>
      <c r="K964" s="182"/>
      <c r="L964" s="180"/>
      <c r="M964" s="182"/>
      <c r="N964" s="182"/>
      <c r="O964" s="182"/>
      <c r="P964" s="180"/>
      <c r="Q964" s="180"/>
      <c r="R964" s="180"/>
      <c r="S964" s="184"/>
      <c r="T964" s="182"/>
      <c r="U964" s="182"/>
      <c r="V964" s="182"/>
      <c r="W964" s="182"/>
      <c r="X964" s="182"/>
    </row>
    <row r="965" spans="1:24">
      <c r="A965" s="182"/>
      <c r="B965" s="182"/>
      <c r="C965" s="182"/>
      <c r="D965" s="182"/>
      <c r="E965" s="182"/>
      <c r="F965" s="182"/>
      <c r="G965" s="182"/>
      <c r="H965" s="182"/>
      <c r="I965" s="182"/>
      <c r="J965" s="182"/>
      <c r="K965" s="182"/>
      <c r="L965" s="180"/>
      <c r="M965" s="182"/>
      <c r="N965" s="182"/>
      <c r="O965" s="182"/>
      <c r="P965" s="180"/>
      <c r="Q965" s="180"/>
      <c r="R965" s="180"/>
      <c r="S965" s="184"/>
      <c r="T965" s="182"/>
      <c r="U965" s="182"/>
      <c r="V965" s="182"/>
      <c r="W965" s="182"/>
      <c r="X965" s="182"/>
    </row>
    <row r="966" spans="1:24">
      <c r="A966" s="182"/>
      <c r="B966" s="182"/>
      <c r="C966" s="182"/>
      <c r="D966" s="182"/>
      <c r="E966" s="182"/>
      <c r="F966" s="182"/>
      <c r="G966" s="182"/>
      <c r="H966" s="182"/>
      <c r="I966" s="182"/>
      <c r="J966" s="182"/>
      <c r="K966" s="182"/>
      <c r="L966" s="180"/>
      <c r="M966" s="182"/>
      <c r="N966" s="182"/>
      <c r="O966" s="182"/>
      <c r="P966" s="180"/>
      <c r="Q966" s="180"/>
      <c r="R966" s="180"/>
      <c r="S966" s="184"/>
      <c r="T966" s="182"/>
      <c r="U966" s="182"/>
      <c r="V966" s="182"/>
      <c r="W966" s="182"/>
      <c r="X966" s="182"/>
    </row>
    <row r="967" spans="1:24">
      <c r="A967" s="182"/>
      <c r="B967" s="182"/>
      <c r="C967" s="182"/>
      <c r="D967" s="182"/>
      <c r="E967" s="182"/>
      <c r="F967" s="182"/>
      <c r="G967" s="182"/>
      <c r="H967" s="182"/>
      <c r="I967" s="182"/>
      <c r="J967" s="182"/>
      <c r="K967" s="182"/>
      <c r="L967" s="180"/>
      <c r="M967" s="182"/>
      <c r="N967" s="182"/>
      <c r="O967" s="182"/>
      <c r="P967" s="180"/>
      <c r="Q967" s="180"/>
      <c r="R967" s="180"/>
      <c r="S967" s="184"/>
      <c r="T967" s="182"/>
      <c r="U967" s="182"/>
      <c r="V967" s="182"/>
      <c r="W967" s="182"/>
      <c r="X967" s="182"/>
    </row>
    <row r="968" spans="1:24">
      <c r="A968" s="182"/>
      <c r="B968" s="182"/>
      <c r="C968" s="182"/>
      <c r="D968" s="182"/>
      <c r="E968" s="182"/>
      <c r="F968" s="182"/>
      <c r="G968" s="182"/>
      <c r="H968" s="182"/>
      <c r="I968" s="182"/>
      <c r="J968" s="182"/>
      <c r="K968" s="182"/>
      <c r="L968" s="180"/>
      <c r="M968" s="182"/>
      <c r="N968" s="182"/>
      <c r="O968" s="182"/>
      <c r="P968" s="180"/>
      <c r="Q968" s="180"/>
      <c r="R968" s="180"/>
      <c r="S968" s="184"/>
      <c r="T968" s="182"/>
      <c r="U968" s="182"/>
      <c r="V968" s="182"/>
      <c r="W968" s="182"/>
      <c r="X968" s="182"/>
    </row>
    <row r="969" spans="1:24">
      <c r="A969" s="182"/>
      <c r="B969" s="182"/>
      <c r="C969" s="182"/>
      <c r="D969" s="182"/>
      <c r="E969" s="182"/>
      <c r="F969" s="182"/>
      <c r="G969" s="182"/>
      <c r="H969" s="182"/>
      <c r="I969" s="182"/>
      <c r="J969" s="182"/>
      <c r="K969" s="182"/>
      <c r="L969" s="180"/>
      <c r="M969" s="182"/>
      <c r="N969" s="182"/>
      <c r="O969" s="182"/>
      <c r="P969" s="180"/>
      <c r="Q969" s="180"/>
      <c r="R969" s="180"/>
      <c r="S969" s="184"/>
      <c r="T969" s="182"/>
      <c r="U969" s="182"/>
      <c r="V969" s="182"/>
      <c r="W969" s="182"/>
      <c r="X969" s="182"/>
    </row>
    <row r="970" spans="1:24">
      <c r="A970" s="182"/>
      <c r="B970" s="182"/>
      <c r="C970" s="182"/>
      <c r="D970" s="182"/>
      <c r="E970" s="182"/>
      <c r="F970" s="182"/>
      <c r="G970" s="182"/>
      <c r="H970" s="182"/>
      <c r="I970" s="182"/>
      <c r="J970" s="182"/>
      <c r="K970" s="182"/>
      <c r="L970" s="180"/>
      <c r="M970" s="182"/>
      <c r="N970" s="182"/>
      <c r="O970" s="182"/>
      <c r="P970" s="180"/>
      <c r="Q970" s="180"/>
      <c r="R970" s="180"/>
      <c r="S970" s="184"/>
      <c r="T970" s="182"/>
      <c r="U970" s="182"/>
      <c r="V970" s="182"/>
      <c r="W970" s="182"/>
      <c r="X970" s="182"/>
    </row>
    <row r="971" spans="1:24">
      <c r="A971" s="182"/>
      <c r="B971" s="182"/>
      <c r="C971" s="182"/>
      <c r="D971" s="182"/>
      <c r="E971" s="182"/>
      <c r="F971" s="182"/>
      <c r="G971" s="182"/>
      <c r="H971" s="182"/>
      <c r="I971" s="182"/>
      <c r="J971" s="182"/>
      <c r="K971" s="182"/>
      <c r="L971" s="180"/>
      <c r="M971" s="182"/>
      <c r="N971" s="182"/>
      <c r="O971" s="182"/>
      <c r="P971" s="180"/>
      <c r="Q971" s="180"/>
      <c r="R971" s="180"/>
      <c r="S971" s="184"/>
      <c r="T971" s="182"/>
      <c r="U971" s="182"/>
      <c r="V971" s="182"/>
      <c r="W971" s="182"/>
      <c r="X971" s="182"/>
    </row>
    <row r="972" spans="1:24">
      <c r="A972" s="182"/>
      <c r="B972" s="182"/>
      <c r="C972" s="182"/>
      <c r="D972" s="182"/>
      <c r="E972" s="182"/>
      <c r="F972" s="182"/>
      <c r="G972" s="182"/>
      <c r="H972" s="182"/>
      <c r="I972" s="182"/>
      <c r="J972" s="182"/>
      <c r="K972" s="182"/>
      <c r="L972" s="180"/>
      <c r="M972" s="182"/>
      <c r="N972" s="182"/>
      <c r="O972" s="182"/>
      <c r="P972" s="180"/>
      <c r="Q972" s="180"/>
      <c r="R972" s="180"/>
      <c r="S972" s="184"/>
      <c r="T972" s="182"/>
      <c r="U972" s="182"/>
      <c r="V972" s="182"/>
      <c r="W972" s="182"/>
      <c r="X972" s="182"/>
    </row>
    <row r="973" spans="1:24">
      <c r="A973" s="182"/>
      <c r="B973" s="182"/>
      <c r="C973" s="182"/>
      <c r="D973" s="182"/>
      <c r="E973" s="182"/>
      <c r="F973" s="182"/>
      <c r="G973" s="182"/>
      <c r="H973" s="182"/>
      <c r="I973" s="182"/>
      <c r="J973" s="182"/>
      <c r="K973" s="182"/>
      <c r="L973" s="180"/>
      <c r="M973" s="182"/>
      <c r="N973" s="182"/>
      <c r="O973" s="182"/>
      <c r="P973" s="180"/>
      <c r="Q973" s="180"/>
      <c r="R973" s="180"/>
      <c r="S973" s="184"/>
      <c r="T973" s="182"/>
      <c r="U973" s="182"/>
      <c r="V973" s="182"/>
      <c r="W973" s="182"/>
      <c r="X973" s="182"/>
    </row>
    <row r="974" spans="1:24">
      <c r="A974" s="182"/>
      <c r="B974" s="182"/>
      <c r="C974" s="182"/>
      <c r="D974" s="182"/>
      <c r="E974" s="182"/>
      <c r="F974" s="182"/>
      <c r="G974" s="182"/>
      <c r="H974" s="182"/>
      <c r="I974" s="182"/>
      <c r="J974" s="182"/>
      <c r="K974" s="182"/>
      <c r="L974" s="180"/>
      <c r="M974" s="182"/>
      <c r="N974" s="182"/>
      <c r="O974" s="182"/>
      <c r="P974" s="180"/>
      <c r="Q974" s="180"/>
      <c r="R974" s="180"/>
      <c r="S974" s="184"/>
      <c r="T974" s="182"/>
      <c r="U974" s="182"/>
      <c r="V974" s="182"/>
      <c r="W974" s="182"/>
      <c r="X974" s="182"/>
    </row>
    <row r="975" spans="1:24">
      <c r="A975" s="182"/>
      <c r="B975" s="182"/>
      <c r="C975" s="182"/>
      <c r="D975" s="182"/>
      <c r="E975" s="182"/>
      <c r="F975" s="182"/>
      <c r="G975" s="182"/>
      <c r="H975" s="182"/>
      <c r="I975" s="182"/>
      <c r="J975" s="182"/>
      <c r="K975" s="182"/>
      <c r="L975" s="180"/>
      <c r="M975" s="182"/>
      <c r="N975" s="182"/>
      <c r="O975" s="182"/>
      <c r="P975" s="180"/>
      <c r="Q975" s="180"/>
      <c r="R975" s="180"/>
      <c r="S975" s="184"/>
      <c r="T975" s="182"/>
      <c r="U975" s="182"/>
      <c r="V975" s="182"/>
      <c r="W975" s="182"/>
      <c r="X975" s="182"/>
    </row>
    <row r="976" spans="1:24">
      <c r="A976" s="182"/>
      <c r="B976" s="182"/>
      <c r="C976" s="182"/>
      <c r="D976" s="182"/>
      <c r="E976" s="182"/>
      <c r="F976" s="182"/>
      <c r="G976" s="182"/>
      <c r="H976" s="182"/>
      <c r="I976" s="182"/>
      <c r="J976" s="182"/>
      <c r="K976" s="182"/>
      <c r="L976" s="180"/>
      <c r="M976" s="182"/>
      <c r="N976" s="182"/>
      <c r="O976" s="182"/>
      <c r="P976" s="180"/>
      <c r="Q976" s="180"/>
      <c r="R976" s="180"/>
      <c r="S976" s="184"/>
      <c r="T976" s="182"/>
      <c r="U976" s="182"/>
      <c r="V976" s="182"/>
      <c r="W976" s="182"/>
      <c r="X976" s="182"/>
    </row>
    <row r="977" spans="1:24">
      <c r="A977" s="182"/>
      <c r="B977" s="182"/>
      <c r="C977" s="182"/>
      <c r="D977" s="182"/>
      <c r="E977" s="182"/>
      <c r="F977" s="182"/>
      <c r="G977" s="182"/>
      <c r="H977" s="182"/>
      <c r="I977" s="182"/>
      <c r="J977" s="182"/>
      <c r="K977" s="182"/>
      <c r="L977" s="180"/>
      <c r="M977" s="182"/>
      <c r="N977" s="182"/>
      <c r="O977" s="182"/>
      <c r="P977" s="180"/>
      <c r="Q977" s="180"/>
      <c r="R977" s="180"/>
      <c r="S977" s="184"/>
      <c r="T977" s="182"/>
      <c r="U977" s="182"/>
      <c r="V977" s="182"/>
      <c r="W977" s="182"/>
      <c r="X977" s="182"/>
    </row>
    <row r="978" spans="1:24">
      <c r="A978" s="182"/>
      <c r="B978" s="182"/>
      <c r="C978" s="182"/>
      <c r="D978" s="182"/>
      <c r="E978" s="182"/>
      <c r="F978" s="182"/>
      <c r="G978" s="182"/>
      <c r="H978" s="182"/>
      <c r="I978" s="182"/>
      <c r="J978" s="182"/>
      <c r="K978" s="182"/>
      <c r="L978" s="180"/>
      <c r="M978" s="182"/>
      <c r="N978" s="182"/>
      <c r="O978" s="182"/>
      <c r="P978" s="180"/>
      <c r="Q978" s="180"/>
      <c r="R978" s="180"/>
      <c r="S978" s="184"/>
      <c r="T978" s="182"/>
      <c r="U978" s="182"/>
      <c r="V978" s="182"/>
      <c r="W978" s="182"/>
      <c r="X978" s="182"/>
    </row>
    <row r="979" spans="1:24">
      <c r="A979" s="182"/>
      <c r="B979" s="182"/>
      <c r="C979" s="182"/>
      <c r="D979" s="182"/>
      <c r="E979" s="182"/>
      <c r="F979" s="182"/>
      <c r="G979" s="182"/>
      <c r="H979" s="182"/>
      <c r="I979" s="182"/>
      <c r="J979" s="182"/>
      <c r="K979" s="182"/>
      <c r="L979" s="180"/>
      <c r="M979" s="182"/>
      <c r="N979" s="182"/>
      <c r="O979" s="182"/>
      <c r="P979" s="180"/>
      <c r="Q979" s="180"/>
      <c r="R979" s="180"/>
      <c r="S979" s="184"/>
      <c r="T979" s="182"/>
      <c r="U979" s="182"/>
      <c r="V979" s="182"/>
      <c r="W979" s="182"/>
      <c r="X979" s="182"/>
    </row>
    <row r="980" spans="1:24">
      <c r="A980" s="182"/>
      <c r="B980" s="182"/>
      <c r="C980" s="182"/>
      <c r="D980" s="182"/>
      <c r="E980" s="182"/>
      <c r="F980" s="182"/>
      <c r="G980" s="182"/>
      <c r="H980" s="182"/>
      <c r="I980" s="182"/>
      <c r="J980" s="182"/>
      <c r="K980" s="182"/>
      <c r="L980" s="180"/>
      <c r="M980" s="182"/>
      <c r="N980" s="182"/>
      <c r="O980" s="182"/>
      <c r="P980" s="180"/>
      <c r="Q980" s="180"/>
      <c r="R980" s="180"/>
      <c r="S980" s="184"/>
      <c r="T980" s="182"/>
      <c r="U980" s="182"/>
      <c r="V980" s="182"/>
      <c r="W980" s="182"/>
      <c r="X980" s="182"/>
    </row>
    <row r="981" spans="1:24">
      <c r="A981" s="182"/>
      <c r="B981" s="182"/>
      <c r="C981" s="182"/>
      <c r="D981" s="182"/>
      <c r="E981" s="182"/>
      <c r="F981" s="182"/>
      <c r="G981" s="182"/>
      <c r="H981" s="182"/>
      <c r="I981" s="182"/>
      <c r="J981" s="182"/>
      <c r="K981" s="182"/>
      <c r="L981" s="180"/>
      <c r="M981" s="182"/>
      <c r="N981" s="182"/>
      <c r="O981" s="182"/>
      <c r="P981" s="180"/>
      <c r="Q981" s="180"/>
      <c r="R981" s="180"/>
      <c r="S981" s="184"/>
      <c r="T981" s="182"/>
      <c r="U981" s="182"/>
      <c r="V981" s="182"/>
      <c r="W981" s="182"/>
      <c r="X981" s="182"/>
    </row>
    <row r="982" spans="1:24">
      <c r="A982" s="182"/>
      <c r="B982" s="182"/>
      <c r="C982" s="182"/>
      <c r="D982" s="182"/>
      <c r="E982" s="182"/>
      <c r="F982" s="182"/>
      <c r="G982" s="182"/>
      <c r="H982" s="182"/>
      <c r="I982" s="182"/>
      <c r="J982" s="182"/>
      <c r="K982" s="182"/>
      <c r="L982" s="180"/>
      <c r="M982" s="182"/>
      <c r="N982" s="182"/>
      <c r="O982" s="182"/>
      <c r="P982" s="180"/>
      <c r="Q982" s="180"/>
      <c r="R982" s="180"/>
      <c r="S982" s="184"/>
      <c r="T982" s="182"/>
      <c r="U982" s="182"/>
      <c r="V982" s="182"/>
      <c r="W982" s="182"/>
      <c r="X982" s="182"/>
    </row>
    <row r="983" spans="1:24">
      <c r="A983" s="182"/>
      <c r="B983" s="182"/>
      <c r="C983" s="182"/>
      <c r="D983" s="182"/>
      <c r="E983" s="182"/>
      <c r="F983" s="182"/>
      <c r="G983" s="182"/>
      <c r="H983" s="182"/>
      <c r="I983" s="182"/>
      <c r="J983" s="182"/>
      <c r="K983" s="182"/>
      <c r="L983" s="180"/>
      <c r="M983" s="182"/>
      <c r="N983" s="182"/>
      <c r="O983" s="182"/>
      <c r="P983" s="180"/>
      <c r="Q983" s="180"/>
      <c r="R983" s="180"/>
      <c r="S983" s="184"/>
      <c r="T983" s="182"/>
      <c r="U983" s="182"/>
      <c r="V983" s="182"/>
      <c r="W983" s="182"/>
      <c r="X983" s="182"/>
    </row>
    <row r="984" spans="1:24">
      <c r="A984" s="182"/>
      <c r="B984" s="182"/>
      <c r="C984" s="182"/>
      <c r="D984" s="182"/>
      <c r="E984" s="182"/>
      <c r="F984" s="182"/>
      <c r="G984" s="182"/>
      <c r="H984" s="182"/>
      <c r="I984" s="182"/>
      <c r="J984" s="182"/>
      <c r="K984" s="182"/>
      <c r="L984" s="180"/>
      <c r="M984" s="182"/>
      <c r="N984" s="182"/>
      <c r="O984" s="182"/>
      <c r="P984" s="180"/>
      <c r="Q984" s="180"/>
      <c r="R984" s="180"/>
      <c r="S984" s="184"/>
      <c r="T984" s="182"/>
      <c r="U984" s="182"/>
      <c r="V984" s="182"/>
      <c r="W984" s="182"/>
      <c r="X984" s="182"/>
    </row>
    <row r="985" spans="1:24">
      <c r="A985" s="182"/>
      <c r="B985" s="182"/>
      <c r="C985" s="182"/>
      <c r="D985" s="182"/>
      <c r="E985" s="182"/>
      <c r="F985" s="182"/>
      <c r="G985" s="182"/>
      <c r="H985" s="182"/>
      <c r="I985" s="182"/>
      <c r="J985" s="182"/>
      <c r="K985" s="182"/>
      <c r="L985" s="180"/>
      <c r="M985" s="182"/>
      <c r="N985" s="182"/>
      <c r="O985" s="182"/>
      <c r="P985" s="180"/>
      <c r="Q985" s="180"/>
      <c r="R985" s="180"/>
      <c r="S985" s="184"/>
      <c r="T985" s="182"/>
      <c r="U985" s="182"/>
      <c r="V985" s="182"/>
      <c r="W985" s="182"/>
      <c r="X985" s="182"/>
    </row>
    <row r="986" spans="1:24">
      <c r="A986" s="182"/>
      <c r="B986" s="182"/>
      <c r="C986" s="182"/>
      <c r="D986" s="182"/>
      <c r="E986" s="182"/>
      <c r="F986" s="182"/>
      <c r="G986" s="182"/>
      <c r="H986" s="182"/>
      <c r="I986" s="182"/>
      <c r="J986" s="182"/>
      <c r="K986" s="182"/>
      <c r="L986" s="180"/>
      <c r="M986" s="182"/>
      <c r="N986" s="182"/>
      <c r="O986" s="182"/>
      <c r="P986" s="180"/>
      <c r="Q986" s="180"/>
      <c r="R986" s="180"/>
      <c r="S986" s="184"/>
      <c r="T986" s="182"/>
      <c r="U986" s="182"/>
      <c r="V986" s="182"/>
      <c r="W986" s="182"/>
      <c r="X986" s="182"/>
    </row>
    <row r="987" spans="1:24">
      <c r="A987" s="182"/>
      <c r="B987" s="182"/>
      <c r="C987" s="182"/>
      <c r="D987" s="182"/>
      <c r="E987" s="182"/>
      <c r="F987" s="182"/>
      <c r="G987" s="182"/>
      <c r="H987" s="182"/>
      <c r="I987" s="182"/>
      <c r="J987" s="182"/>
      <c r="K987" s="182"/>
      <c r="L987" s="180"/>
      <c r="M987" s="182"/>
      <c r="N987" s="182"/>
      <c r="O987" s="182"/>
      <c r="P987" s="180"/>
      <c r="Q987" s="180"/>
      <c r="R987" s="180"/>
      <c r="S987" s="184"/>
      <c r="T987" s="182"/>
      <c r="U987" s="182"/>
      <c r="V987" s="182"/>
      <c r="W987" s="182"/>
      <c r="X987" s="182"/>
    </row>
    <row r="988" spans="1:24">
      <c r="A988" s="182"/>
      <c r="B988" s="182"/>
      <c r="C988" s="182"/>
      <c r="D988" s="182"/>
      <c r="E988" s="182"/>
      <c r="F988" s="182"/>
      <c r="G988" s="182"/>
      <c r="H988" s="182"/>
      <c r="I988" s="182"/>
      <c r="J988" s="182"/>
      <c r="K988" s="182"/>
      <c r="L988" s="180"/>
      <c r="M988" s="182"/>
      <c r="N988" s="182"/>
      <c r="O988" s="182"/>
      <c r="P988" s="180"/>
      <c r="Q988" s="180"/>
      <c r="R988" s="180"/>
      <c r="S988" s="184"/>
      <c r="T988" s="182"/>
      <c r="U988" s="182"/>
      <c r="V988" s="182"/>
      <c r="W988" s="182"/>
      <c r="X988" s="182"/>
    </row>
    <row r="989" spans="1:24">
      <c r="A989" s="182"/>
      <c r="B989" s="182"/>
      <c r="C989" s="182"/>
      <c r="D989" s="182"/>
      <c r="E989" s="182"/>
      <c r="F989" s="182"/>
      <c r="G989" s="182"/>
      <c r="H989" s="182"/>
      <c r="I989" s="182"/>
      <c r="J989" s="182"/>
      <c r="K989" s="182"/>
      <c r="L989" s="180"/>
      <c r="M989" s="182"/>
      <c r="N989" s="182"/>
      <c r="O989" s="182"/>
      <c r="P989" s="180"/>
      <c r="Q989" s="180"/>
      <c r="R989" s="180"/>
      <c r="S989" s="184"/>
      <c r="T989" s="182"/>
      <c r="U989" s="182"/>
      <c r="V989" s="182"/>
      <c r="W989" s="182"/>
      <c r="X989" s="182"/>
    </row>
    <row r="990" spans="1:24">
      <c r="A990" s="182"/>
      <c r="B990" s="182"/>
      <c r="C990" s="182"/>
      <c r="D990" s="182"/>
      <c r="E990" s="182"/>
      <c r="F990" s="182"/>
      <c r="G990" s="182"/>
      <c r="H990" s="182"/>
      <c r="I990" s="182"/>
      <c r="J990" s="182"/>
      <c r="K990" s="182"/>
      <c r="L990" s="180"/>
      <c r="M990" s="182"/>
      <c r="N990" s="182"/>
      <c r="O990" s="182"/>
      <c r="P990" s="180"/>
      <c r="Q990" s="180"/>
      <c r="R990" s="180"/>
      <c r="S990" s="184"/>
      <c r="T990" s="182"/>
      <c r="U990" s="182"/>
      <c r="V990" s="182"/>
      <c r="W990" s="182"/>
      <c r="X990" s="182"/>
    </row>
    <row r="991" spans="1:24">
      <c r="A991" s="182"/>
      <c r="B991" s="182"/>
      <c r="C991" s="182"/>
      <c r="D991" s="182"/>
      <c r="E991" s="182"/>
      <c r="F991" s="182"/>
      <c r="G991" s="182"/>
      <c r="H991" s="182"/>
      <c r="I991" s="182"/>
      <c r="J991" s="182"/>
      <c r="K991" s="182"/>
      <c r="L991" s="180"/>
      <c r="M991" s="182"/>
      <c r="N991" s="182"/>
      <c r="O991" s="182"/>
      <c r="P991" s="180"/>
      <c r="Q991" s="180"/>
      <c r="R991" s="180"/>
      <c r="S991" s="184"/>
      <c r="T991" s="182"/>
      <c r="U991" s="182"/>
      <c r="V991" s="182"/>
      <c r="W991" s="182"/>
      <c r="X991" s="182"/>
    </row>
    <row r="992" spans="1:24">
      <c r="A992" s="182"/>
      <c r="B992" s="182"/>
      <c r="C992" s="182"/>
      <c r="D992" s="182"/>
      <c r="E992" s="182"/>
      <c r="F992" s="182"/>
      <c r="G992" s="182"/>
      <c r="H992" s="182"/>
      <c r="I992" s="182"/>
      <c r="J992" s="182"/>
      <c r="K992" s="182"/>
      <c r="L992" s="180"/>
      <c r="M992" s="182"/>
      <c r="N992" s="182"/>
      <c r="O992" s="182"/>
      <c r="P992" s="180"/>
      <c r="Q992" s="180"/>
      <c r="R992" s="180"/>
      <c r="S992" s="184"/>
      <c r="T992" s="182"/>
      <c r="U992" s="182"/>
      <c r="V992" s="182"/>
      <c r="W992" s="182"/>
      <c r="X992" s="182"/>
    </row>
    <row r="993" spans="1:24">
      <c r="A993" s="182"/>
      <c r="B993" s="182"/>
      <c r="C993" s="182"/>
      <c r="D993" s="182"/>
      <c r="E993" s="182"/>
      <c r="F993" s="182"/>
      <c r="G993" s="182"/>
      <c r="H993" s="182"/>
      <c r="I993" s="182"/>
      <c r="J993" s="182"/>
      <c r="K993" s="182"/>
      <c r="L993" s="180"/>
      <c r="M993" s="182"/>
      <c r="N993" s="182"/>
      <c r="O993" s="182"/>
      <c r="P993" s="180"/>
      <c r="Q993" s="180"/>
      <c r="R993" s="180"/>
      <c r="S993" s="184"/>
      <c r="T993" s="182"/>
      <c r="U993" s="182"/>
      <c r="V993" s="182"/>
      <c r="W993" s="182"/>
      <c r="X993" s="182"/>
    </row>
    <row r="994" spans="1:24">
      <c r="A994" s="182"/>
      <c r="B994" s="182"/>
      <c r="C994" s="182"/>
      <c r="D994" s="182"/>
      <c r="E994" s="182"/>
      <c r="F994" s="182"/>
      <c r="G994" s="182"/>
      <c r="H994" s="182"/>
      <c r="I994" s="182"/>
      <c r="J994" s="182"/>
      <c r="K994" s="182"/>
      <c r="L994" s="180"/>
      <c r="M994" s="182"/>
      <c r="N994" s="182"/>
      <c r="O994" s="182"/>
      <c r="P994" s="180"/>
      <c r="Q994" s="180"/>
      <c r="R994" s="180"/>
      <c r="S994" s="184"/>
      <c r="T994" s="182"/>
      <c r="U994" s="182"/>
      <c r="V994" s="182"/>
      <c r="W994" s="182"/>
      <c r="X994" s="182"/>
    </row>
    <row r="995" spans="1:24">
      <c r="A995" s="182"/>
      <c r="B995" s="182"/>
      <c r="C995" s="182"/>
      <c r="D995" s="182"/>
      <c r="E995" s="182"/>
      <c r="F995" s="182"/>
      <c r="G995" s="182"/>
      <c r="H995" s="182"/>
      <c r="I995" s="182"/>
      <c r="J995" s="182"/>
      <c r="K995" s="182"/>
      <c r="L995" s="180"/>
      <c r="M995" s="182"/>
      <c r="N995" s="182"/>
      <c r="O995" s="182"/>
      <c r="P995" s="180"/>
      <c r="Q995" s="180"/>
      <c r="R995" s="180"/>
      <c r="S995" s="184"/>
      <c r="T995" s="182"/>
      <c r="U995" s="182"/>
      <c r="V995" s="182"/>
      <c r="W995" s="182"/>
      <c r="X995" s="182"/>
    </row>
    <row r="996" spans="1:24">
      <c r="A996" s="182"/>
      <c r="B996" s="182"/>
      <c r="C996" s="182"/>
      <c r="D996" s="182"/>
      <c r="E996" s="182"/>
      <c r="F996" s="182"/>
      <c r="G996" s="182"/>
      <c r="H996" s="182"/>
      <c r="I996" s="182"/>
      <c r="J996" s="182"/>
      <c r="K996" s="182"/>
      <c r="L996" s="180"/>
      <c r="M996" s="182"/>
      <c r="N996" s="182"/>
      <c r="O996" s="182"/>
      <c r="P996" s="180"/>
      <c r="Q996" s="180"/>
      <c r="R996" s="180"/>
      <c r="S996" s="184"/>
      <c r="T996" s="182"/>
      <c r="U996" s="182"/>
      <c r="V996" s="182"/>
      <c r="W996" s="182"/>
      <c r="X996" s="182"/>
    </row>
    <row r="997" spans="1:24">
      <c r="A997" s="182"/>
      <c r="B997" s="182"/>
      <c r="C997" s="182"/>
      <c r="D997" s="182"/>
      <c r="E997" s="182"/>
      <c r="F997" s="182"/>
      <c r="G997" s="182"/>
      <c r="H997" s="182"/>
      <c r="I997" s="182"/>
      <c r="J997" s="182"/>
      <c r="K997" s="182"/>
      <c r="L997" s="180"/>
      <c r="M997" s="182"/>
      <c r="N997" s="182"/>
      <c r="O997" s="182"/>
      <c r="P997" s="180"/>
      <c r="Q997" s="180"/>
      <c r="R997" s="180"/>
      <c r="S997" s="184"/>
      <c r="T997" s="182"/>
      <c r="U997" s="182"/>
      <c r="V997" s="182"/>
      <c r="W997" s="182"/>
      <c r="X997" s="182"/>
    </row>
    <row r="998" spans="1:24">
      <c r="A998" s="182"/>
      <c r="B998" s="182"/>
      <c r="C998" s="182"/>
      <c r="D998" s="182"/>
      <c r="E998" s="182"/>
      <c r="F998" s="182"/>
      <c r="G998" s="182"/>
      <c r="H998" s="182"/>
      <c r="I998" s="182"/>
      <c r="J998" s="182"/>
      <c r="K998" s="182"/>
      <c r="L998" s="180"/>
      <c r="M998" s="182"/>
      <c r="N998" s="182"/>
      <c r="O998" s="182"/>
      <c r="P998" s="180"/>
      <c r="Q998" s="180"/>
      <c r="R998" s="180"/>
      <c r="S998" s="184"/>
      <c r="T998" s="182"/>
      <c r="U998" s="182"/>
      <c r="V998" s="182"/>
      <c r="W998" s="182"/>
      <c r="X998" s="182"/>
    </row>
    <row r="999" spans="1:24">
      <c r="A999" s="182"/>
      <c r="B999" s="182"/>
      <c r="C999" s="182"/>
      <c r="D999" s="182"/>
      <c r="E999" s="182"/>
      <c r="F999" s="182"/>
      <c r="G999" s="182"/>
      <c r="H999" s="182"/>
      <c r="I999" s="182"/>
      <c r="J999" s="182"/>
      <c r="K999" s="182"/>
      <c r="L999" s="180"/>
      <c r="M999" s="182"/>
      <c r="N999" s="182"/>
      <c r="O999" s="182"/>
      <c r="P999" s="180"/>
      <c r="Q999" s="180"/>
      <c r="R999" s="180"/>
      <c r="S999" s="184"/>
      <c r="T999" s="182"/>
      <c r="U999" s="182"/>
      <c r="V999" s="182"/>
      <c r="W999" s="182"/>
      <c r="X999" s="182"/>
    </row>
  </sheetData>
  <autoFilter ref="A2:X999" xr:uid="{00000000-0009-0000-0000-000014000000}"/>
  <mergeCells count="2">
    <mergeCell ref="J1:N1"/>
    <mergeCell ref="O1:S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W923"/>
  <sheetViews>
    <sheetView workbookViewId="0">
      <selection sqref="A1:B1"/>
    </sheetView>
  </sheetViews>
  <sheetFormatPr defaultColWidth="14.44140625" defaultRowHeight="15" customHeight="1"/>
  <cols>
    <col min="1" max="1" width="10.33203125" customWidth="1"/>
    <col min="2" max="2" width="14.44140625" customWidth="1"/>
    <col min="3" max="3" width="17.33203125" customWidth="1"/>
    <col min="4" max="4" width="23.88671875" customWidth="1"/>
    <col min="5" max="5" width="24.6640625" customWidth="1"/>
    <col min="6" max="6" width="59.33203125" customWidth="1"/>
    <col min="7" max="7" width="16.44140625" customWidth="1"/>
    <col min="8" max="8" width="15.5546875" customWidth="1"/>
  </cols>
  <sheetData>
    <row r="1" spans="1:23">
      <c r="A1" s="579" t="s">
        <v>1367</v>
      </c>
      <c r="B1" s="576"/>
      <c r="C1" s="334"/>
      <c r="D1" s="333"/>
      <c r="E1" s="333"/>
      <c r="F1" s="334"/>
      <c r="G1" s="332"/>
      <c r="H1" s="332"/>
      <c r="I1" s="332"/>
      <c r="J1" s="332"/>
      <c r="K1" s="332"/>
      <c r="L1" s="332"/>
      <c r="M1" s="332"/>
      <c r="N1" s="332"/>
      <c r="O1" s="332"/>
      <c r="P1" s="477"/>
      <c r="Q1" s="477"/>
      <c r="R1" s="477"/>
      <c r="S1" s="479"/>
      <c r="T1" s="491"/>
      <c r="U1" s="492"/>
      <c r="V1" s="479"/>
      <c r="W1" s="479"/>
    </row>
    <row r="2" spans="1:23">
      <c r="A2" s="333" t="s">
        <v>1</v>
      </c>
      <c r="B2" s="334" t="s">
        <v>4</v>
      </c>
      <c r="C2" s="334" t="s">
        <v>161</v>
      </c>
      <c r="D2" s="333" t="s">
        <v>162</v>
      </c>
      <c r="E2" s="333" t="s">
        <v>163</v>
      </c>
      <c r="F2" s="334" t="s">
        <v>6</v>
      </c>
      <c r="G2" s="332" t="s">
        <v>1368</v>
      </c>
      <c r="H2" s="332" t="s">
        <v>1369</v>
      </c>
      <c r="I2" s="332" t="s">
        <v>1370</v>
      </c>
      <c r="J2" s="332" t="s">
        <v>1371</v>
      </c>
      <c r="K2" s="332" t="s">
        <v>1372</v>
      </c>
      <c r="L2" s="332" t="s">
        <v>1373</v>
      </c>
      <c r="M2" s="332" t="s">
        <v>1374</v>
      </c>
      <c r="N2" s="332" t="s">
        <v>1375</v>
      </c>
      <c r="O2" s="332" t="s">
        <v>1376</v>
      </c>
      <c r="P2" s="477" t="s">
        <v>1377</v>
      </c>
      <c r="Q2" s="477" t="s">
        <v>1378</v>
      </c>
      <c r="R2" s="477" t="s">
        <v>1374</v>
      </c>
      <c r="S2" s="477" t="s">
        <v>1379</v>
      </c>
      <c r="T2" s="493" t="s">
        <v>1380</v>
      </c>
      <c r="U2" s="306"/>
      <c r="V2" s="479"/>
      <c r="W2" s="479"/>
    </row>
    <row r="3" spans="1:23">
      <c r="A3" s="44" t="s">
        <v>240</v>
      </c>
      <c r="B3" s="249" t="s">
        <v>241</v>
      </c>
      <c r="C3" s="44" t="s">
        <v>242</v>
      </c>
      <c r="D3" s="69" t="s">
        <v>234</v>
      </c>
      <c r="E3" s="69" t="s">
        <v>235</v>
      </c>
      <c r="F3" s="44" t="s">
        <v>244</v>
      </c>
      <c r="G3" s="43">
        <v>2149</v>
      </c>
      <c r="H3" s="43"/>
      <c r="I3" s="43">
        <v>2199</v>
      </c>
      <c r="J3" s="43"/>
      <c r="K3" s="43">
        <v>2413</v>
      </c>
      <c r="L3" s="244">
        <v>2200</v>
      </c>
      <c r="M3" s="43"/>
      <c r="N3" s="43"/>
      <c r="O3" s="43"/>
      <c r="P3" s="182"/>
      <c r="Q3" s="182"/>
      <c r="R3" s="182"/>
      <c r="S3" s="182"/>
      <c r="T3" s="306">
        <v>2010.62</v>
      </c>
      <c r="U3" s="306"/>
      <c r="V3" s="182"/>
      <c r="W3" s="182"/>
    </row>
    <row r="4" spans="1:23">
      <c r="A4" s="44" t="s">
        <v>246</v>
      </c>
      <c r="B4" s="249" t="s">
        <v>247</v>
      </c>
      <c r="C4" s="44" t="s">
        <v>248</v>
      </c>
      <c r="D4" s="69" t="s">
        <v>234</v>
      </c>
      <c r="E4" s="69" t="s">
        <v>249</v>
      </c>
      <c r="F4" s="44" t="s">
        <v>251</v>
      </c>
      <c r="G4" s="43">
        <v>3399</v>
      </c>
      <c r="H4" s="43"/>
      <c r="I4" s="43">
        <v>3499</v>
      </c>
      <c r="J4" s="43"/>
      <c r="K4" s="43">
        <v>3909</v>
      </c>
      <c r="L4" s="244">
        <v>3500</v>
      </c>
      <c r="M4" s="43"/>
      <c r="N4" s="43"/>
      <c r="O4" s="43"/>
      <c r="P4" s="182"/>
      <c r="Q4" s="182"/>
      <c r="R4" s="182"/>
      <c r="S4" s="182"/>
      <c r="T4" s="306">
        <v>3198.72</v>
      </c>
      <c r="U4" s="306"/>
      <c r="V4" s="182"/>
      <c r="W4" s="182"/>
    </row>
    <row r="5" spans="1:23">
      <c r="A5" s="44" t="s">
        <v>253</v>
      </c>
      <c r="B5" s="249" t="s">
        <v>254</v>
      </c>
      <c r="C5" s="44" t="s">
        <v>255</v>
      </c>
      <c r="D5" s="69" t="s">
        <v>256</v>
      </c>
      <c r="E5" s="69" t="s">
        <v>257</v>
      </c>
      <c r="F5" s="44" t="s">
        <v>259</v>
      </c>
      <c r="G5" s="43">
        <v>699</v>
      </c>
      <c r="H5" s="43"/>
      <c r="I5" s="43"/>
      <c r="J5" s="43"/>
      <c r="K5" s="43">
        <v>804</v>
      </c>
      <c r="L5" s="43">
        <v>799</v>
      </c>
      <c r="M5" s="43"/>
      <c r="N5" s="43"/>
      <c r="O5" s="43"/>
      <c r="P5" s="182"/>
      <c r="Q5" s="182"/>
      <c r="R5" s="182"/>
      <c r="S5" s="182"/>
      <c r="T5" s="140">
        <v>730.22</v>
      </c>
      <c r="U5" s="306"/>
      <c r="V5" s="182"/>
      <c r="W5" s="182"/>
    </row>
    <row r="6" spans="1:23">
      <c r="A6" s="44" t="s">
        <v>262</v>
      </c>
      <c r="B6" s="249" t="s">
        <v>263</v>
      </c>
      <c r="C6" s="44" t="s">
        <v>264</v>
      </c>
      <c r="D6" s="69" t="s">
        <v>256</v>
      </c>
      <c r="E6" s="69" t="s">
        <v>257</v>
      </c>
      <c r="F6" s="44" t="s">
        <v>265</v>
      </c>
      <c r="G6" s="43">
        <v>699</v>
      </c>
      <c r="H6" s="43"/>
      <c r="I6" s="43"/>
      <c r="J6" s="43"/>
      <c r="K6" s="43">
        <v>804</v>
      </c>
      <c r="L6" s="43">
        <v>799</v>
      </c>
      <c r="M6" s="43"/>
      <c r="N6" s="43"/>
      <c r="O6" s="43"/>
      <c r="P6" s="182"/>
      <c r="Q6" s="182"/>
      <c r="R6" s="182"/>
      <c r="S6" s="182"/>
      <c r="T6" s="140">
        <v>730.22</v>
      </c>
      <c r="U6" s="306"/>
      <c r="V6" s="182"/>
      <c r="W6" s="182"/>
    </row>
    <row r="7" spans="1:23">
      <c r="A7" s="44" t="s">
        <v>267</v>
      </c>
      <c r="B7" s="249" t="s">
        <v>268</v>
      </c>
      <c r="C7" s="44" t="s">
        <v>269</v>
      </c>
      <c r="D7" s="69" t="s">
        <v>256</v>
      </c>
      <c r="E7" s="69" t="s">
        <v>257</v>
      </c>
      <c r="F7" s="44" t="s">
        <v>270</v>
      </c>
      <c r="G7" s="43">
        <v>699</v>
      </c>
      <c r="H7" s="43"/>
      <c r="I7" s="43">
        <v>899</v>
      </c>
      <c r="J7" s="43"/>
      <c r="K7" s="43">
        <v>804</v>
      </c>
      <c r="L7" s="43">
        <v>799</v>
      </c>
      <c r="M7" s="43"/>
      <c r="N7" s="43"/>
      <c r="O7" s="43"/>
      <c r="P7" s="182"/>
      <c r="Q7" s="182"/>
      <c r="R7" s="182"/>
      <c r="S7" s="182"/>
      <c r="T7" s="140">
        <v>730.22</v>
      </c>
      <c r="U7" s="306"/>
      <c r="V7" s="182"/>
      <c r="W7" s="182"/>
    </row>
    <row r="8" spans="1:23">
      <c r="A8" s="43" t="s">
        <v>311</v>
      </c>
      <c r="B8" s="75" t="s">
        <v>312</v>
      </c>
      <c r="C8" s="43" t="s">
        <v>313</v>
      </c>
      <c r="D8" s="69" t="s">
        <v>314</v>
      </c>
      <c r="E8" s="69" t="s">
        <v>315</v>
      </c>
      <c r="F8" s="43" t="s">
        <v>318</v>
      </c>
      <c r="G8" s="43">
        <v>1529</v>
      </c>
      <c r="H8" s="43"/>
      <c r="I8" s="43"/>
      <c r="J8" s="43">
        <v>3225</v>
      </c>
      <c r="K8" s="43">
        <v>1730</v>
      </c>
      <c r="L8" s="244">
        <v>1600</v>
      </c>
      <c r="M8" s="43"/>
      <c r="N8" s="43"/>
      <c r="O8" s="43"/>
      <c r="P8" s="182"/>
      <c r="Q8" s="182"/>
      <c r="R8" s="182"/>
      <c r="S8" s="182"/>
      <c r="T8" s="140" t="e">
        <v>#N/A</v>
      </c>
      <c r="U8" s="306"/>
      <c r="V8" s="182"/>
      <c r="W8" s="182"/>
    </row>
    <row r="9" spans="1:23">
      <c r="A9" s="43" t="s">
        <v>324</v>
      </c>
      <c r="B9" s="75" t="s">
        <v>325</v>
      </c>
      <c r="C9" s="43" t="s">
        <v>326</v>
      </c>
      <c r="D9" s="69" t="s">
        <v>234</v>
      </c>
      <c r="E9" s="69" t="s">
        <v>235</v>
      </c>
      <c r="F9" s="43" t="s">
        <v>327</v>
      </c>
      <c r="G9" s="43">
        <v>2199</v>
      </c>
      <c r="H9" s="43"/>
      <c r="I9" s="43"/>
      <c r="J9" s="43"/>
      <c r="K9" s="43">
        <v>2529</v>
      </c>
      <c r="L9" s="244">
        <v>2300</v>
      </c>
      <c r="M9" s="43"/>
      <c r="N9" s="43"/>
      <c r="O9" s="43"/>
      <c r="P9" s="182"/>
      <c r="Q9" s="182"/>
      <c r="R9" s="182"/>
      <c r="S9" s="182"/>
      <c r="T9" s="140" t="e">
        <v>#N/A</v>
      </c>
      <c r="U9" s="306"/>
      <c r="V9" s="182"/>
      <c r="W9" s="182"/>
    </row>
    <row r="10" spans="1:23">
      <c r="A10" s="69" t="s">
        <v>329</v>
      </c>
      <c r="B10" s="75" t="s">
        <v>407</v>
      </c>
      <c r="C10" s="43" t="s">
        <v>331</v>
      </c>
      <c r="D10" s="69" t="s">
        <v>314</v>
      </c>
      <c r="E10" s="69" t="s">
        <v>315</v>
      </c>
      <c r="F10" s="43" t="s">
        <v>333</v>
      </c>
      <c r="G10" s="43">
        <v>299</v>
      </c>
      <c r="H10" s="43"/>
      <c r="I10" s="43"/>
      <c r="J10" s="43">
        <v>1199</v>
      </c>
      <c r="K10" s="43">
        <v>459</v>
      </c>
      <c r="L10" s="43">
        <v>500</v>
      </c>
      <c r="M10" s="43"/>
      <c r="N10" s="43"/>
      <c r="O10" s="43"/>
      <c r="P10" s="182"/>
      <c r="Q10" s="182"/>
      <c r="R10" s="182"/>
      <c r="S10" s="182"/>
      <c r="T10" s="140" t="e">
        <v>#N/A</v>
      </c>
      <c r="U10" s="306"/>
      <c r="V10" s="182"/>
      <c r="W10" s="182"/>
    </row>
    <row r="11" spans="1:23">
      <c r="A11" s="69" t="s">
        <v>335</v>
      </c>
      <c r="B11" s="75" t="s">
        <v>412</v>
      </c>
      <c r="C11" s="43" t="s">
        <v>337</v>
      </c>
      <c r="D11" s="69" t="s">
        <v>314</v>
      </c>
      <c r="E11" s="69" t="s">
        <v>315</v>
      </c>
      <c r="F11" s="43" t="s">
        <v>338</v>
      </c>
      <c r="G11" s="43">
        <v>299</v>
      </c>
      <c r="H11" s="43"/>
      <c r="I11" s="43"/>
      <c r="J11" s="43">
        <v>1199</v>
      </c>
      <c r="K11" s="43">
        <v>459</v>
      </c>
      <c r="L11" s="43">
        <v>500</v>
      </c>
      <c r="M11" s="43"/>
      <c r="N11" s="43"/>
      <c r="O11" s="43"/>
      <c r="P11" s="182"/>
      <c r="Q11" s="182"/>
      <c r="R11" s="182"/>
      <c r="S11" s="182"/>
      <c r="T11" s="140" t="e">
        <v>#N/A</v>
      </c>
      <c r="U11" s="306"/>
      <c r="V11" s="182"/>
      <c r="W11" s="182"/>
    </row>
    <row r="12" spans="1:23">
      <c r="A12" s="69"/>
      <c r="B12" s="75"/>
      <c r="C12" s="44" t="s">
        <v>342</v>
      </c>
      <c r="D12" s="69" t="s">
        <v>314</v>
      </c>
      <c r="E12" s="69" t="s">
        <v>315</v>
      </c>
      <c r="F12" s="44"/>
      <c r="G12" s="43"/>
      <c r="H12" s="43"/>
      <c r="I12" s="43"/>
      <c r="J12" s="43">
        <v>699</v>
      </c>
      <c r="K12" s="43">
        <v>344</v>
      </c>
      <c r="L12" s="43"/>
      <c r="M12" s="43"/>
      <c r="N12" s="43"/>
      <c r="O12" s="43"/>
      <c r="P12" s="182"/>
      <c r="Q12" s="182"/>
      <c r="R12" s="182"/>
      <c r="S12" s="182"/>
      <c r="T12" s="140" t="e">
        <v>#N/A</v>
      </c>
      <c r="U12" s="306"/>
      <c r="V12" s="182"/>
      <c r="W12" s="182"/>
    </row>
    <row r="13" spans="1:23">
      <c r="A13" s="69" t="s">
        <v>418</v>
      </c>
      <c r="B13" s="75" t="s">
        <v>419</v>
      </c>
      <c r="C13" s="44" t="s">
        <v>420</v>
      </c>
      <c r="D13" s="69" t="s">
        <v>234</v>
      </c>
      <c r="E13" s="69" t="s">
        <v>249</v>
      </c>
      <c r="F13" s="44" t="s">
        <v>422</v>
      </c>
      <c r="G13" s="43">
        <v>2449</v>
      </c>
      <c r="H13" s="43"/>
      <c r="I13" s="43">
        <v>2449</v>
      </c>
      <c r="J13" s="43"/>
      <c r="K13" s="43">
        <v>3368</v>
      </c>
      <c r="L13" s="244">
        <v>2500</v>
      </c>
      <c r="M13" s="43"/>
      <c r="N13" s="43"/>
      <c r="O13" s="43"/>
      <c r="P13" s="182"/>
      <c r="Q13" s="182"/>
      <c r="R13" s="182"/>
      <c r="S13" s="182"/>
      <c r="T13" s="140" t="e">
        <v>#N/A</v>
      </c>
      <c r="U13" s="306"/>
      <c r="V13" s="182"/>
      <c r="W13" s="182"/>
    </row>
    <row r="14" spans="1:23">
      <c r="A14" s="69" t="s">
        <v>424</v>
      </c>
      <c r="B14" s="75" t="s">
        <v>425</v>
      </c>
      <c r="C14" s="44" t="s">
        <v>426</v>
      </c>
      <c r="D14" s="69" t="s">
        <v>234</v>
      </c>
      <c r="E14" s="69" t="s">
        <v>249</v>
      </c>
      <c r="F14" s="44" t="s">
        <v>427</v>
      </c>
      <c r="G14" s="43">
        <v>2899</v>
      </c>
      <c r="H14" s="43"/>
      <c r="I14" s="43">
        <v>3099</v>
      </c>
      <c r="J14" s="43"/>
      <c r="K14" s="43">
        <v>3334</v>
      </c>
      <c r="L14" s="244">
        <v>3500</v>
      </c>
      <c r="M14" s="43"/>
      <c r="N14" s="43"/>
      <c r="O14" s="43"/>
      <c r="P14" s="182"/>
      <c r="Q14" s="182"/>
      <c r="R14" s="182"/>
      <c r="S14" s="182"/>
      <c r="T14" s="306">
        <v>2741.76</v>
      </c>
      <c r="U14" s="306"/>
      <c r="V14" s="182"/>
      <c r="W14" s="182"/>
    </row>
    <row r="15" spans="1:23">
      <c r="A15" s="69" t="s">
        <v>434</v>
      </c>
      <c r="B15" s="75" t="s">
        <v>435</v>
      </c>
      <c r="C15" s="271" t="s">
        <v>436</v>
      </c>
      <c r="D15" s="69" t="s">
        <v>314</v>
      </c>
      <c r="E15" s="69" t="s">
        <v>437</v>
      </c>
      <c r="F15" s="44" t="s">
        <v>439</v>
      </c>
      <c r="G15" s="43">
        <v>779</v>
      </c>
      <c r="H15" s="43"/>
      <c r="I15" s="43">
        <v>999</v>
      </c>
      <c r="J15" s="43">
        <v>1999</v>
      </c>
      <c r="K15" s="43">
        <v>1033</v>
      </c>
      <c r="L15" s="244">
        <v>1000</v>
      </c>
      <c r="M15" s="43"/>
      <c r="N15" s="43"/>
      <c r="O15" s="43"/>
      <c r="P15" s="182"/>
      <c r="Q15" s="182"/>
      <c r="R15" s="182"/>
      <c r="S15" s="182"/>
      <c r="T15" s="140" t="e">
        <v>#N/A</v>
      </c>
      <c r="U15" s="306"/>
      <c r="V15" s="182"/>
      <c r="W15" s="182"/>
    </row>
    <row r="16" spans="1:23">
      <c r="A16" s="69" t="s">
        <v>441</v>
      </c>
      <c r="B16" s="75" t="s">
        <v>442</v>
      </c>
      <c r="C16" s="271" t="s">
        <v>443</v>
      </c>
      <c r="D16" s="69" t="s">
        <v>314</v>
      </c>
      <c r="E16" s="69" t="s">
        <v>444</v>
      </c>
      <c r="F16" s="44" t="s">
        <v>445</v>
      </c>
      <c r="G16" s="43">
        <v>907</v>
      </c>
      <c r="H16" s="43"/>
      <c r="I16" s="43">
        <v>999</v>
      </c>
      <c r="J16" s="43">
        <v>1499</v>
      </c>
      <c r="K16" s="43">
        <v>1049</v>
      </c>
      <c r="L16" s="43"/>
      <c r="M16" s="43"/>
      <c r="N16" s="43"/>
      <c r="O16" s="43"/>
      <c r="P16" s="182"/>
      <c r="Q16" s="182"/>
      <c r="R16" s="182"/>
      <c r="S16" s="182"/>
      <c r="T16" s="140" t="e">
        <v>#N/A</v>
      </c>
      <c r="U16" s="306"/>
      <c r="V16" s="182"/>
      <c r="W16" s="182"/>
    </row>
    <row r="17" spans="1:23">
      <c r="A17" s="69" t="s">
        <v>448</v>
      </c>
      <c r="B17" s="75" t="s">
        <v>449</v>
      </c>
      <c r="C17" s="271" t="s">
        <v>450</v>
      </c>
      <c r="D17" s="69" t="s">
        <v>314</v>
      </c>
      <c r="E17" s="69" t="s">
        <v>444</v>
      </c>
      <c r="F17" s="44" t="s">
        <v>451</v>
      </c>
      <c r="G17" s="43">
        <v>1099</v>
      </c>
      <c r="H17" s="43"/>
      <c r="I17" s="43">
        <v>1199</v>
      </c>
      <c r="J17" s="43">
        <v>1899</v>
      </c>
      <c r="K17" s="43">
        <v>1287</v>
      </c>
      <c r="L17" s="244">
        <v>1300</v>
      </c>
      <c r="M17" s="43"/>
      <c r="N17" s="43"/>
      <c r="O17" s="43"/>
      <c r="P17" s="182"/>
      <c r="Q17" s="182"/>
      <c r="R17" s="182"/>
      <c r="S17" s="182"/>
      <c r="T17" s="140" t="e">
        <v>#N/A</v>
      </c>
      <c r="U17" s="306"/>
      <c r="V17" s="182"/>
      <c r="W17" s="182"/>
    </row>
    <row r="18" spans="1:23">
      <c r="A18" s="102" t="s">
        <v>454</v>
      </c>
      <c r="B18" s="75" t="s">
        <v>455</v>
      </c>
      <c r="C18" s="271" t="s">
        <v>456</v>
      </c>
      <c r="D18" s="69" t="s">
        <v>234</v>
      </c>
      <c r="E18" s="69" t="s">
        <v>235</v>
      </c>
      <c r="F18" s="44" t="s">
        <v>457</v>
      </c>
      <c r="G18" s="43">
        <v>1999</v>
      </c>
      <c r="H18" s="43"/>
      <c r="I18" s="43">
        <v>1849</v>
      </c>
      <c r="J18" s="43"/>
      <c r="K18" s="43">
        <v>2299</v>
      </c>
      <c r="L18" s="244">
        <v>2000</v>
      </c>
      <c r="M18" s="43"/>
      <c r="N18" s="43"/>
      <c r="O18" s="43"/>
      <c r="P18" s="182"/>
      <c r="Q18" s="182"/>
      <c r="R18" s="182"/>
      <c r="S18" s="182"/>
      <c r="T18" s="306">
        <v>1827.84</v>
      </c>
      <c r="U18" s="306"/>
      <c r="V18" s="182"/>
      <c r="W18" s="182"/>
    </row>
    <row r="19" spans="1:23">
      <c r="A19" s="69" t="s">
        <v>462</v>
      </c>
      <c r="B19" s="341" t="s">
        <v>463</v>
      </c>
      <c r="C19" s="271" t="s">
        <v>464</v>
      </c>
      <c r="D19" s="69" t="s">
        <v>314</v>
      </c>
      <c r="E19" s="69" t="s">
        <v>465</v>
      </c>
      <c r="F19" s="44" t="s">
        <v>466</v>
      </c>
      <c r="G19" s="43">
        <v>1649</v>
      </c>
      <c r="H19" s="43"/>
      <c r="I19" s="43"/>
      <c r="J19" s="43"/>
      <c r="K19" s="43">
        <v>1609</v>
      </c>
      <c r="L19" s="244">
        <v>1600</v>
      </c>
      <c r="M19" s="43"/>
      <c r="N19" s="43"/>
      <c r="O19" s="43"/>
      <c r="P19" s="182"/>
      <c r="Q19" s="182"/>
      <c r="R19" s="182"/>
      <c r="S19" s="182"/>
      <c r="T19" s="306">
        <v>1462.27</v>
      </c>
      <c r="U19" s="306"/>
      <c r="V19" s="182"/>
      <c r="W19" s="182"/>
    </row>
    <row r="20" spans="1:23">
      <c r="A20" s="69" t="s">
        <v>468</v>
      </c>
      <c r="B20" s="341" t="s">
        <v>469</v>
      </c>
      <c r="C20" s="271" t="s">
        <v>470</v>
      </c>
      <c r="D20" s="69" t="s">
        <v>314</v>
      </c>
      <c r="E20" s="69" t="s">
        <v>465</v>
      </c>
      <c r="F20" s="44" t="s">
        <v>466</v>
      </c>
      <c r="G20" s="43">
        <v>1499</v>
      </c>
      <c r="H20" s="43"/>
      <c r="I20" s="43">
        <v>1399</v>
      </c>
      <c r="J20" s="43">
        <v>3499</v>
      </c>
      <c r="K20" s="43">
        <v>1695</v>
      </c>
      <c r="L20" s="244">
        <v>1600</v>
      </c>
      <c r="M20" s="43"/>
      <c r="N20" s="43"/>
      <c r="O20" s="43"/>
      <c r="P20" s="182"/>
      <c r="Q20" s="182"/>
      <c r="R20" s="182"/>
      <c r="S20" s="182"/>
      <c r="T20" s="306">
        <v>1462.27</v>
      </c>
      <c r="U20" s="306"/>
      <c r="V20" s="182"/>
      <c r="W20" s="182"/>
    </row>
    <row r="21" spans="1:23">
      <c r="A21" s="102" t="s">
        <v>471</v>
      </c>
      <c r="B21" s="249" t="s">
        <v>472</v>
      </c>
      <c r="C21" s="271" t="s">
        <v>473</v>
      </c>
      <c r="D21" s="69" t="s">
        <v>314</v>
      </c>
      <c r="E21" s="69" t="s">
        <v>465</v>
      </c>
      <c r="F21" s="44" t="s">
        <v>474</v>
      </c>
      <c r="G21" s="43">
        <v>799</v>
      </c>
      <c r="H21" s="43"/>
      <c r="I21" s="43"/>
      <c r="J21" s="43">
        <v>1499</v>
      </c>
      <c r="K21" s="43">
        <v>804</v>
      </c>
      <c r="L21" s="244">
        <v>800</v>
      </c>
      <c r="M21" s="43"/>
      <c r="N21" s="43"/>
      <c r="O21" s="43"/>
      <c r="P21" s="182"/>
      <c r="Q21" s="182"/>
      <c r="R21" s="182"/>
      <c r="S21" s="182"/>
      <c r="T21" s="140" t="e">
        <v>#N/A</v>
      </c>
      <c r="U21" s="306"/>
      <c r="V21" s="182"/>
      <c r="W21" s="182"/>
    </row>
    <row r="22" spans="1:23">
      <c r="A22" s="69" t="s">
        <v>475</v>
      </c>
      <c r="B22" s="249" t="s">
        <v>476</v>
      </c>
      <c r="C22" s="271" t="s">
        <v>477</v>
      </c>
      <c r="D22" s="69" t="s">
        <v>234</v>
      </c>
      <c r="E22" s="69" t="s">
        <v>235</v>
      </c>
      <c r="F22" s="44" t="s">
        <v>478</v>
      </c>
      <c r="G22" s="43">
        <v>849</v>
      </c>
      <c r="H22" s="43"/>
      <c r="I22" s="43"/>
      <c r="J22" s="43">
        <v>1499</v>
      </c>
      <c r="K22" s="43">
        <v>849</v>
      </c>
      <c r="L22" s="43"/>
      <c r="M22" s="43"/>
      <c r="N22" s="43"/>
      <c r="O22" s="43"/>
      <c r="P22" s="182"/>
      <c r="Q22" s="182"/>
      <c r="R22" s="182"/>
      <c r="S22" s="182"/>
      <c r="T22" s="140" t="e">
        <v>#N/A</v>
      </c>
      <c r="U22" s="306"/>
      <c r="V22" s="182"/>
      <c r="W22" s="182"/>
    </row>
    <row r="23" spans="1:23">
      <c r="A23" s="102" t="s">
        <v>491</v>
      </c>
      <c r="B23" s="249" t="s">
        <v>492</v>
      </c>
      <c r="C23" s="271" t="s">
        <v>493</v>
      </c>
      <c r="D23" s="69" t="s">
        <v>234</v>
      </c>
      <c r="E23" s="69" t="s">
        <v>249</v>
      </c>
      <c r="F23" s="44" t="s">
        <v>494</v>
      </c>
      <c r="G23" s="43">
        <v>3799</v>
      </c>
      <c r="H23" s="43"/>
      <c r="I23" s="43">
        <v>3699</v>
      </c>
      <c r="J23" s="43"/>
      <c r="K23" s="43">
        <v>4254</v>
      </c>
      <c r="L23" s="244">
        <v>4000</v>
      </c>
      <c r="M23" s="43"/>
      <c r="N23" s="43"/>
      <c r="O23" s="43"/>
      <c r="P23" s="182"/>
      <c r="Q23" s="182"/>
      <c r="R23" s="182"/>
      <c r="S23" s="182"/>
      <c r="T23" s="140" t="e">
        <v>#N/A</v>
      </c>
      <c r="U23" s="306"/>
      <c r="V23" s="182"/>
      <c r="W23" s="182"/>
    </row>
    <row r="24" spans="1:23">
      <c r="A24" s="102" t="s">
        <v>496</v>
      </c>
      <c r="B24" s="249" t="s">
        <v>497</v>
      </c>
      <c r="C24" s="44" t="s">
        <v>498</v>
      </c>
      <c r="D24" s="69" t="s">
        <v>234</v>
      </c>
      <c r="E24" s="69" t="s">
        <v>249</v>
      </c>
      <c r="F24" s="44" t="s">
        <v>499</v>
      </c>
      <c r="G24" s="43">
        <v>7499</v>
      </c>
      <c r="H24" s="43"/>
      <c r="I24" s="43"/>
      <c r="J24" s="43"/>
      <c r="K24" s="43">
        <v>8049</v>
      </c>
      <c r="L24" s="43"/>
      <c r="M24" s="43"/>
      <c r="N24" s="43"/>
      <c r="O24" s="43"/>
      <c r="P24" s="182"/>
      <c r="Q24" s="182"/>
      <c r="R24" s="182"/>
      <c r="S24" s="182"/>
      <c r="T24" s="140" t="e">
        <v>#N/A</v>
      </c>
      <c r="U24" s="306"/>
      <c r="V24" s="182"/>
      <c r="W24" s="182"/>
    </row>
    <row r="25" spans="1:23">
      <c r="A25" s="69" t="s">
        <v>500</v>
      </c>
      <c r="B25" s="249" t="s">
        <v>501</v>
      </c>
      <c r="C25" s="44" t="s">
        <v>459</v>
      </c>
      <c r="D25" s="69" t="s">
        <v>234</v>
      </c>
      <c r="E25" s="69" t="s">
        <v>235</v>
      </c>
      <c r="F25" s="44" t="s">
        <v>503</v>
      </c>
      <c r="G25" s="43">
        <v>999</v>
      </c>
      <c r="H25" s="43"/>
      <c r="I25" s="43">
        <v>749</v>
      </c>
      <c r="J25" s="43"/>
      <c r="K25" s="43">
        <v>804</v>
      </c>
      <c r="L25" s="244">
        <v>1000</v>
      </c>
      <c r="M25" s="43"/>
      <c r="N25" s="43"/>
      <c r="O25" s="43"/>
      <c r="P25" s="182"/>
      <c r="Q25" s="182"/>
      <c r="R25" s="182"/>
      <c r="S25" s="182"/>
      <c r="T25" s="140">
        <v>913.92</v>
      </c>
      <c r="U25" s="306"/>
      <c r="V25" s="182"/>
      <c r="W25" s="182"/>
    </row>
    <row r="26" spans="1:23">
      <c r="A26" s="102" t="s">
        <v>504</v>
      </c>
      <c r="B26" s="341" t="s">
        <v>505</v>
      </c>
      <c r="C26" s="44" t="s">
        <v>506</v>
      </c>
      <c r="D26" s="69" t="s">
        <v>234</v>
      </c>
      <c r="E26" s="69" t="s">
        <v>235</v>
      </c>
      <c r="F26" s="44" t="s">
        <v>507</v>
      </c>
      <c r="G26" s="43">
        <v>1499</v>
      </c>
      <c r="H26" s="43"/>
      <c r="I26" s="43">
        <v>1599</v>
      </c>
      <c r="J26" s="43"/>
      <c r="K26" s="43">
        <v>1724</v>
      </c>
      <c r="L26" s="244">
        <v>1500</v>
      </c>
      <c r="M26" s="43"/>
      <c r="N26" s="43"/>
      <c r="O26" s="43"/>
      <c r="P26" s="182"/>
      <c r="Q26" s="182"/>
      <c r="R26" s="182"/>
      <c r="S26" s="182"/>
      <c r="T26" s="306">
        <v>1462.27</v>
      </c>
      <c r="U26" s="306"/>
      <c r="V26" s="182"/>
      <c r="W26" s="182"/>
    </row>
    <row r="27" spans="1:23">
      <c r="A27" s="69" t="s">
        <v>508</v>
      </c>
      <c r="B27" s="341" t="s">
        <v>509</v>
      </c>
      <c r="C27" s="44" t="s">
        <v>481</v>
      </c>
      <c r="D27" s="69" t="s">
        <v>314</v>
      </c>
      <c r="E27" s="69" t="s">
        <v>465</v>
      </c>
      <c r="F27" s="44" t="s">
        <v>511</v>
      </c>
      <c r="G27" s="43">
        <v>1243</v>
      </c>
      <c r="H27" s="43"/>
      <c r="I27" s="43">
        <v>1499</v>
      </c>
      <c r="J27" s="43"/>
      <c r="K27" s="43">
        <v>1724</v>
      </c>
      <c r="L27" s="244">
        <v>1500</v>
      </c>
      <c r="M27" s="43"/>
      <c r="N27" s="43"/>
      <c r="O27" s="43"/>
      <c r="P27" s="182"/>
      <c r="Q27" s="182"/>
      <c r="R27" s="182"/>
      <c r="S27" s="182" t="s">
        <v>1381</v>
      </c>
      <c r="T27" s="306">
        <v>1370.88</v>
      </c>
      <c r="U27" s="306"/>
      <c r="V27" s="182"/>
      <c r="W27" s="182"/>
    </row>
    <row r="28" spans="1:23">
      <c r="A28" s="102" t="s">
        <v>512</v>
      </c>
      <c r="B28" s="249" t="s">
        <v>513</v>
      </c>
      <c r="C28" s="44" t="s">
        <v>514</v>
      </c>
      <c r="D28" s="69" t="s">
        <v>314</v>
      </c>
      <c r="E28" s="69" t="s">
        <v>465</v>
      </c>
      <c r="F28" s="44" t="s">
        <v>516</v>
      </c>
      <c r="G28" s="43">
        <v>959</v>
      </c>
      <c r="H28" s="43"/>
      <c r="I28" s="43">
        <v>999</v>
      </c>
      <c r="J28" s="43">
        <v>2099</v>
      </c>
      <c r="K28" s="43">
        <v>1149</v>
      </c>
      <c r="L28" s="43">
        <v>1000</v>
      </c>
      <c r="M28" s="43"/>
      <c r="N28" s="43"/>
      <c r="O28" s="43"/>
      <c r="P28" s="182"/>
      <c r="Q28" s="182"/>
      <c r="R28" s="182"/>
      <c r="S28" s="182">
        <v>1259.4000000000001</v>
      </c>
      <c r="T28" s="140" t="e">
        <v>#N/A</v>
      </c>
      <c r="U28" s="306"/>
      <c r="V28" s="182"/>
      <c r="W28" s="182"/>
    </row>
    <row r="29" spans="1:23">
      <c r="A29" s="69" t="s">
        <v>520</v>
      </c>
      <c r="B29" s="249" t="s">
        <v>521</v>
      </c>
      <c r="C29" s="44" t="s">
        <v>522</v>
      </c>
      <c r="D29" s="69" t="s">
        <v>314</v>
      </c>
      <c r="E29" s="69" t="s">
        <v>465</v>
      </c>
      <c r="F29" s="44" t="s">
        <v>524</v>
      </c>
      <c r="G29" s="43">
        <v>1399</v>
      </c>
      <c r="H29" s="43"/>
      <c r="I29" s="43">
        <v>1399</v>
      </c>
      <c r="J29" s="43">
        <v>2543</v>
      </c>
      <c r="K29" s="43">
        <v>1609</v>
      </c>
      <c r="L29" s="244">
        <v>1400</v>
      </c>
      <c r="M29" s="43"/>
      <c r="N29" s="43"/>
      <c r="O29" s="43"/>
      <c r="P29" s="182"/>
      <c r="Q29" s="182"/>
      <c r="R29" s="182"/>
      <c r="S29" s="182"/>
      <c r="T29" s="140" t="e">
        <v>#N/A</v>
      </c>
      <c r="U29" s="306"/>
      <c r="V29" s="182"/>
      <c r="W29" s="182"/>
    </row>
    <row r="30" spans="1:23">
      <c r="A30" s="69" t="s">
        <v>525</v>
      </c>
      <c r="B30" s="249" t="s">
        <v>526</v>
      </c>
      <c r="C30" s="44" t="s">
        <v>527</v>
      </c>
      <c r="D30" s="69" t="s">
        <v>314</v>
      </c>
      <c r="E30" s="69" t="s">
        <v>315</v>
      </c>
      <c r="F30" s="69" t="s">
        <v>528</v>
      </c>
      <c r="G30" s="43">
        <v>809</v>
      </c>
      <c r="H30" s="43"/>
      <c r="I30" s="43">
        <v>799</v>
      </c>
      <c r="J30" s="43">
        <v>1499</v>
      </c>
      <c r="K30" s="43">
        <v>849</v>
      </c>
      <c r="L30" s="244">
        <v>800</v>
      </c>
      <c r="M30" s="43"/>
      <c r="N30" s="43"/>
      <c r="O30" s="43"/>
      <c r="P30" s="182"/>
      <c r="Q30" s="182"/>
      <c r="R30" s="182"/>
      <c r="S30" s="182"/>
      <c r="T30" s="140">
        <v>731.14</v>
      </c>
      <c r="U30" s="306"/>
      <c r="V30" s="182"/>
      <c r="W30" s="182"/>
    </row>
    <row r="31" spans="1:23">
      <c r="A31" s="69" t="s">
        <v>529</v>
      </c>
      <c r="B31" s="249" t="s">
        <v>530</v>
      </c>
      <c r="C31" s="44" t="s">
        <v>531</v>
      </c>
      <c r="D31" s="69" t="s">
        <v>314</v>
      </c>
      <c r="E31" s="69" t="s">
        <v>315</v>
      </c>
      <c r="F31" s="69" t="s">
        <v>532</v>
      </c>
      <c r="G31" s="43">
        <v>608</v>
      </c>
      <c r="H31" s="43"/>
      <c r="I31" s="43"/>
      <c r="J31" s="43">
        <v>1199</v>
      </c>
      <c r="K31" s="43">
        <v>746</v>
      </c>
      <c r="L31" s="43"/>
      <c r="M31" s="43"/>
      <c r="N31" s="43"/>
      <c r="O31" s="43"/>
      <c r="P31" s="182"/>
      <c r="Q31" s="182"/>
      <c r="R31" s="182"/>
      <c r="S31" s="182"/>
      <c r="T31" s="140" t="e">
        <v>#N/A</v>
      </c>
      <c r="U31" s="306"/>
      <c r="V31" s="182"/>
      <c r="W31" s="182"/>
    </row>
    <row r="32" spans="1:23">
      <c r="A32" s="69" t="s">
        <v>533</v>
      </c>
      <c r="B32" s="249" t="s">
        <v>534</v>
      </c>
      <c r="C32" s="44" t="s">
        <v>535</v>
      </c>
      <c r="D32" s="69" t="s">
        <v>234</v>
      </c>
      <c r="E32" s="69" t="s">
        <v>235</v>
      </c>
      <c r="F32" s="69" t="s">
        <v>537</v>
      </c>
      <c r="G32" s="43">
        <v>1099</v>
      </c>
      <c r="H32" s="43"/>
      <c r="I32" s="43">
        <v>1154</v>
      </c>
      <c r="J32" s="43"/>
      <c r="K32" s="43">
        <v>1149</v>
      </c>
      <c r="L32" s="244">
        <v>1020</v>
      </c>
      <c r="M32" s="43"/>
      <c r="N32" s="43"/>
      <c r="O32" s="43"/>
      <c r="P32" s="182"/>
      <c r="Q32" s="182"/>
      <c r="R32" s="182"/>
      <c r="S32" s="182"/>
      <c r="T32" s="140" t="e">
        <v>#N/A</v>
      </c>
      <c r="U32" s="306"/>
      <c r="V32" s="182"/>
      <c r="W32" s="182"/>
    </row>
    <row r="33" spans="1:23">
      <c r="A33" s="102" t="s">
        <v>538</v>
      </c>
      <c r="B33" s="341" t="s">
        <v>539</v>
      </c>
      <c r="C33" s="44" t="s">
        <v>483</v>
      </c>
      <c r="D33" s="69" t="s">
        <v>314</v>
      </c>
      <c r="E33" s="69" t="s">
        <v>465</v>
      </c>
      <c r="F33" s="44" t="s">
        <v>540</v>
      </c>
      <c r="G33" s="43">
        <v>824</v>
      </c>
      <c r="H33" s="43"/>
      <c r="I33" s="43">
        <v>999</v>
      </c>
      <c r="J33" s="43"/>
      <c r="K33" s="43">
        <v>1149</v>
      </c>
      <c r="L33" s="244">
        <v>1000</v>
      </c>
      <c r="M33" s="43"/>
      <c r="N33" s="43"/>
      <c r="O33" s="43"/>
      <c r="P33" s="182"/>
      <c r="Q33" s="182"/>
      <c r="R33" s="182"/>
      <c r="S33" s="182"/>
      <c r="T33" s="140">
        <v>913.92</v>
      </c>
      <c r="U33" s="306"/>
      <c r="V33" s="182"/>
      <c r="W33" s="182"/>
    </row>
    <row r="34" spans="1:23">
      <c r="A34" s="102" t="s">
        <v>543</v>
      </c>
      <c r="B34" s="249" t="s">
        <v>544</v>
      </c>
      <c r="C34" s="44" t="s">
        <v>545</v>
      </c>
      <c r="D34" s="69" t="s">
        <v>314</v>
      </c>
      <c r="E34" s="69" t="s">
        <v>465</v>
      </c>
      <c r="F34" s="69" t="s">
        <v>547</v>
      </c>
      <c r="G34" s="43">
        <v>1099</v>
      </c>
      <c r="H34" s="43"/>
      <c r="I34" s="43">
        <v>1299</v>
      </c>
      <c r="J34" s="43">
        <v>2824</v>
      </c>
      <c r="K34" s="43">
        <v>1377</v>
      </c>
      <c r="L34" s="244">
        <v>1200</v>
      </c>
      <c r="M34" s="43"/>
      <c r="N34" s="43"/>
      <c r="O34" s="43"/>
      <c r="P34" s="182"/>
      <c r="Q34" s="182"/>
      <c r="R34" s="182"/>
      <c r="S34" s="182"/>
      <c r="T34" s="306">
        <v>1096.7</v>
      </c>
      <c r="U34" s="306"/>
      <c r="V34" s="182"/>
      <c r="W34" s="182"/>
    </row>
    <row r="35" spans="1:23">
      <c r="A35" s="69" t="s">
        <v>552</v>
      </c>
      <c r="B35" s="249" t="s">
        <v>553</v>
      </c>
      <c r="C35" s="44" t="s">
        <v>554</v>
      </c>
      <c r="D35" s="69" t="s">
        <v>314</v>
      </c>
      <c r="E35" s="69" t="s">
        <v>437</v>
      </c>
      <c r="F35" s="69" t="s">
        <v>556</v>
      </c>
      <c r="G35" s="43"/>
      <c r="H35" s="43"/>
      <c r="I35" s="43"/>
      <c r="J35" s="43">
        <v>1499</v>
      </c>
      <c r="K35" s="43">
        <v>1724</v>
      </c>
      <c r="L35" s="244">
        <v>1050</v>
      </c>
      <c r="M35" s="43"/>
      <c r="N35" s="43"/>
      <c r="O35" s="43"/>
      <c r="P35" s="182"/>
      <c r="Q35" s="182"/>
      <c r="R35" s="182"/>
      <c r="S35" s="182"/>
      <c r="T35" s="140" t="e">
        <v>#N/A</v>
      </c>
      <c r="U35" s="306"/>
      <c r="V35" s="182"/>
      <c r="W35" s="182"/>
    </row>
    <row r="36" spans="1:23">
      <c r="A36" s="44" t="s">
        <v>557</v>
      </c>
      <c r="B36" s="44" t="s">
        <v>558</v>
      </c>
      <c r="C36" s="43" t="s">
        <v>559</v>
      </c>
      <c r="D36" s="69" t="s">
        <v>304</v>
      </c>
      <c r="E36" s="69" t="s">
        <v>304</v>
      </c>
      <c r="F36" s="43" t="s">
        <v>561</v>
      </c>
      <c r="G36" s="43">
        <v>1249</v>
      </c>
      <c r="H36" s="43"/>
      <c r="I36" s="43"/>
      <c r="J36" s="43"/>
      <c r="K36" s="43">
        <v>1581</v>
      </c>
      <c r="L36" s="244">
        <v>1300</v>
      </c>
      <c r="M36" s="43"/>
      <c r="N36" s="43"/>
      <c r="O36" s="43"/>
      <c r="P36" s="182"/>
      <c r="Q36" s="182"/>
      <c r="R36" s="182"/>
      <c r="S36" s="182"/>
      <c r="T36" s="140" t="e">
        <v>#N/A</v>
      </c>
      <c r="U36" s="306"/>
      <c r="V36" s="182"/>
      <c r="W36" s="182"/>
    </row>
    <row r="37" spans="1:23">
      <c r="A37" s="44" t="s">
        <v>562</v>
      </c>
      <c r="B37" s="75" t="s">
        <v>563</v>
      </c>
      <c r="C37" s="43" t="s">
        <v>564</v>
      </c>
      <c r="D37" s="69" t="s">
        <v>314</v>
      </c>
      <c r="E37" s="69" t="s">
        <v>315</v>
      </c>
      <c r="F37" s="43" t="s">
        <v>565</v>
      </c>
      <c r="G37" s="43">
        <v>1199</v>
      </c>
      <c r="H37" s="43"/>
      <c r="I37" s="43">
        <v>1199</v>
      </c>
      <c r="J37" s="43">
        <v>1699</v>
      </c>
      <c r="K37" s="43">
        <v>1600</v>
      </c>
      <c r="L37" s="244">
        <v>1300</v>
      </c>
      <c r="M37" s="43"/>
      <c r="N37" s="43"/>
      <c r="O37" s="43"/>
      <c r="P37" s="182"/>
      <c r="Q37" s="182"/>
      <c r="R37" s="182"/>
      <c r="S37" s="182"/>
      <c r="T37" s="140" t="e">
        <v>#N/A</v>
      </c>
      <c r="U37" s="306"/>
      <c r="V37" s="182"/>
      <c r="W37" s="182"/>
    </row>
    <row r="38" spans="1:23">
      <c r="A38" s="44" t="s">
        <v>570</v>
      </c>
      <c r="B38" s="75" t="s">
        <v>571</v>
      </c>
      <c r="C38" s="43" t="s">
        <v>572</v>
      </c>
      <c r="D38" s="69" t="s">
        <v>314</v>
      </c>
      <c r="E38" s="69" t="s">
        <v>437</v>
      </c>
      <c r="F38" s="43" t="s">
        <v>574</v>
      </c>
      <c r="G38" s="43">
        <v>1699</v>
      </c>
      <c r="H38" s="43"/>
      <c r="I38" s="43">
        <v>1599</v>
      </c>
      <c r="J38" s="43">
        <v>2499</v>
      </c>
      <c r="K38" s="43">
        <v>1839</v>
      </c>
      <c r="L38" s="244">
        <v>2000</v>
      </c>
      <c r="M38" s="43"/>
      <c r="N38" s="43"/>
      <c r="O38" s="43"/>
      <c r="P38" s="182"/>
      <c r="Q38" s="182"/>
      <c r="R38" s="182"/>
      <c r="S38" s="182"/>
      <c r="T38" s="140" t="e">
        <v>#N/A</v>
      </c>
      <c r="U38" s="494"/>
      <c r="V38" s="182"/>
      <c r="W38" s="182"/>
    </row>
    <row r="39" spans="1:23">
      <c r="A39" s="44" t="s">
        <v>575</v>
      </c>
      <c r="B39" s="75" t="s">
        <v>576</v>
      </c>
      <c r="C39" s="43" t="s">
        <v>577</v>
      </c>
      <c r="D39" s="69" t="s">
        <v>314</v>
      </c>
      <c r="E39" s="69" t="s">
        <v>465</v>
      </c>
      <c r="F39" s="43" t="s">
        <v>579</v>
      </c>
      <c r="G39" s="43">
        <v>1899</v>
      </c>
      <c r="H39" s="43"/>
      <c r="I39" s="43">
        <v>1990</v>
      </c>
      <c r="J39" s="43"/>
      <c r="K39" s="43">
        <v>2299</v>
      </c>
      <c r="L39" s="244">
        <v>2200</v>
      </c>
      <c r="M39" s="43"/>
      <c r="N39" s="43"/>
      <c r="O39" s="43"/>
      <c r="P39" s="182"/>
      <c r="Q39" s="182"/>
      <c r="R39" s="182"/>
      <c r="S39" s="182">
        <v>3599</v>
      </c>
      <c r="T39" s="140" t="e">
        <v>#N/A</v>
      </c>
      <c r="U39" s="306"/>
      <c r="V39" s="182"/>
      <c r="W39" s="182"/>
    </row>
    <row r="40" spans="1:23">
      <c r="A40" s="44" t="s">
        <v>580</v>
      </c>
      <c r="B40" s="75" t="s">
        <v>581</v>
      </c>
      <c r="C40" s="43" t="s">
        <v>582</v>
      </c>
      <c r="D40" s="69" t="s">
        <v>314</v>
      </c>
      <c r="E40" s="69" t="s">
        <v>465</v>
      </c>
      <c r="F40" s="43" t="s">
        <v>583</v>
      </c>
      <c r="G40" s="43">
        <v>2399</v>
      </c>
      <c r="H40" s="43"/>
      <c r="I40" s="43">
        <v>2548</v>
      </c>
      <c r="J40" s="43">
        <v>3699</v>
      </c>
      <c r="K40" s="43">
        <v>2873</v>
      </c>
      <c r="L40" s="244">
        <v>3000</v>
      </c>
      <c r="M40" s="43"/>
      <c r="N40" s="43"/>
      <c r="O40" s="43"/>
      <c r="P40" s="182"/>
      <c r="Q40" s="182"/>
      <c r="R40" s="182"/>
      <c r="S40" s="182"/>
      <c r="T40" s="140" t="e">
        <v>#N/A</v>
      </c>
      <c r="U40" s="306"/>
      <c r="V40" s="182"/>
      <c r="W40" s="182"/>
    </row>
    <row r="41" spans="1:23">
      <c r="A41" s="44" t="s">
        <v>584</v>
      </c>
      <c r="B41" s="75" t="s">
        <v>585</v>
      </c>
      <c r="C41" s="43" t="s">
        <v>586</v>
      </c>
      <c r="D41" s="69" t="s">
        <v>234</v>
      </c>
      <c r="E41" s="69" t="s">
        <v>249</v>
      </c>
      <c r="F41" s="43" t="s">
        <v>588</v>
      </c>
      <c r="G41" s="43">
        <v>3299</v>
      </c>
      <c r="H41" s="43"/>
      <c r="I41" s="43">
        <v>3499</v>
      </c>
      <c r="J41" s="43"/>
      <c r="K41" s="43">
        <v>3794</v>
      </c>
      <c r="L41" s="244">
        <v>3500</v>
      </c>
      <c r="M41" s="43"/>
      <c r="N41" s="43"/>
      <c r="O41" s="43"/>
      <c r="P41" s="182"/>
      <c r="Q41" s="182"/>
      <c r="R41" s="182"/>
      <c r="S41" s="182"/>
      <c r="T41" s="306">
        <v>3198.72</v>
      </c>
      <c r="U41" s="306"/>
      <c r="V41" s="182"/>
      <c r="W41" s="182"/>
    </row>
    <row r="42" spans="1:23">
      <c r="A42" s="44" t="s">
        <v>589</v>
      </c>
      <c r="B42" s="75" t="s">
        <v>590</v>
      </c>
      <c r="C42" s="43" t="s">
        <v>591</v>
      </c>
      <c r="D42" s="69" t="s">
        <v>314</v>
      </c>
      <c r="E42" s="69" t="s">
        <v>437</v>
      </c>
      <c r="F42" s="43" t="s">
        <v>593</v>
      </c>
      <c r="G42" s="43">
        <v>1999</v>
      </c>
      <c r="H42" s="43"/>
      <c r="I42" s="43">
        <v>2299</v>
      </c>
      <c r="J42" s="43">
        <v>2999</v>
      </c>
      <c r="K42" s="43">
        <v>2170</v>
      </c>
      <c r="L42" s="244">
        <v>2200</v>
      </c>
      <c r="M42" s="43"/>
      <c r="N42" s="43"/>
      <c r="O42" s="43"/>
      <c r="P42" s="182"/>
      <c r="Q42" s="182"/>
      <c r="R42" s="182"/>
      <c r="S42" s="182"/>
      <c r="T42" s="306">
        <v>2010.62</v>
      </c>
      <c r="U42" s="306"/>
      <c r="V42" s="182"/>
      <c r="W42" s="182"/>
    </row>
    <row r="43" spans="1:23">
      <c r="A43" s="44" t="s">
        <v>594</v>
      </c>
      <c r="B43" s="75" t="s">
        <v>595</v>
      </c>
      <c r="C43" s="43" t="s">
        <v>596</v>
      </c>
      <c r="D43" s="69" t="s">
        <v>314</v>
      </c>
      <c r="E43" s="69" t="s">
        <v>437</v>
      </c>
      <c r="F43" s="43" t="s">
        <v>598</v>
      </c>
      <c r="G43" s="43">
        <v>1699</v>
      </c>
      <c r="H43" s="43"/>
      <c r="I43" s="43"/>
      <c r="J43" s="43">
        <v>3999</v>
      </c>
      <c r="K43" s="43">
        <v>2069</v>
      </c>
      <c r="L43" s="43"/>
      <c r="M43" s="43"/>
      <c r="N43" s="43"/>
      <c r="O43" s="43"/>
      <c r="P43" s="182"/>
      <c r="Q43" s="182"/>
      <c r="R43" s="182"/>
      <c r="S43" s="182"/>
      <c r="T43" s="140" t="e">
        <v>#N/A</v>
      </c>
      <c r="U43" s="306"/>
      <c r="V43" s="182"/>
      <c r="W43" s="182"/>
    </row>
    <row r="44" spans="1:23">
      <c r="A44" s="44" t="s">
        <v>599</v>
      </c>
      <c r="B44" s="75" t="s">
        <v>600</v>
      </c>
      <c r="C44" s="43" t="s">
        <v>601</v>
      </c>
      <c r="D44" s="69" t="s">
        <v>234</v>
      </c>
      <c r="E44" s="69" t="s">
        <v>249</v>
      </c>
      <c r="F44" s="43" t="s">
        <v>602</v>
      </c>
      <c r="G44" s="43">
        <v>2049</v>
      </c>
      <c r="H44" s="43"/>
      <c r="I44" s="43">
        <v>1999</v>
      </c>
      <c r="J44" s="43"/>
      <c r="K44" s="43">
        <v>2299</v>
      </c>
      <c r="L44" s="244">
        <v>2200</v>
      </c>
      <c r="M44" s="43"/>
      <c r="N44" s="43"/>
      <c r="O44" s="43"/>
      <c r="P44" s="182"/>
      <c r="Q44" s="182"/>
      <c r="R44" s="182"/>
      <c r="S44" s="182"/>
      <c r="T44" s="306">
        <v>2010.62</v>
      </c>
      <c r="U44" s="306"/>
      <c r="V44" s="182"/>
      <c r="W44" s="182"/>
    </row>
    <row r="45" spans="1:23">
      <c r="A45" s="44" t="s">
        <v>608</v>
      </c>
      <c r="B45" s="44" t="s">
        <v>609</v>
      </c>
      <c r="C45" s="43" t="s">
        <v>610</v>
      </c>
      <c r="D45" s="69" t="s">
        <v>234</v>
      </c>
      <c r="E45" s="69" t="s">
        <v>249</v>
      </c>
      <c r="F45" s="43" t="s">
        <v>612</v>
      </c>
      <c r="G45" s="43">
        <v>2350</v>
      </c>
      <c r="H45" s="43"/>
      <c r="I45" s="43">
        <v>2499</v>
      </c>
      <c r="J45" s="43"/>
      <c r="K45" s="43">
        <v>2874</v>
      </c>
      <c r="L45" s="43">
        <v>2600</v>
      </c>
      <c r="M45" s="43"/>
      <c r="N45" s="43"/>
      <c r="O45" s="43"/>
      <c r="P45" s="182"/>
      <c r="Q45" s="182"/>
      <c r="R45" s="182"/>
      <c r="S45" s="182"/>
      <c r="T45" s="306">
        <v>2376.19</v>
      </c>
      <c r="U45" s="306"/>
      <c r="V45" s="182"/>
      <c r="W45" s="182"/>
    </row>
    <row r="46" spans="1:23">
      <c r="A46" s="44" t="s">
        <v>615</v>
      </c>
      <c r="B46" s="44" t="s">
        <v>616</v>
      </c>
      <c r="C46" s="43" t="s">
        <v>617</v>
      </c>
      <c r="D46" s="69" t="s">
        <v>314</v>
      </c>
      <c r="E46" s="69" t="s">
        <v>618</v>
      </c>
      <c r="F46" s="43" t="s">
        <v>620</v>
      </c>
      <c r="G46" s="43">
        <v>1159</v>
      </c>
      <c r="H46" s="43"/>
      <c r="I46" s="43">
        <v>1281</v>
      </c>
      <c r="J46" s="43">
        <v>2356</v>
      </c>
      <c r="K46" s="43">
        <v>1609</v>
      </c>
      <c r="L46" s="43">
        <v>1500</v>
      </c>
      <c r="M46" s="43"/>
      <c r="N46" s="43"/>
      <c r="O46" s="43"/>
      <c r="P46" s="182"/>
      <c r="Q46" s="182"/>
      <c r="R46" s="182"/>
      <c r="S46" s="182"/>
      <c r="T46" s="306">
        <v>1370.88</v>
      </c>
      <c r="U46" s="306"/>
      <c r="V46" s="182"/>
      <c r="W46" s="182"/>
    </row>
    <row r="47" spans="1:23">
      <c r="A47" s="44" t="s">
        <v>621</v>
      </c>
      <c r="B47" s="44" t="s">
        <v>622</v>
      </c>
      <c r="C47" s="43" t="s">
        <v>623</v>
      </c>
      <c r="D47" s="69" t="s">
        <v>314</v>
      </c>
      <c r="E47" s="69" t="s">
        <v>618</v>
      </c>
      <c r="F47" s="43" t="s">
        <v>624</v>
      </c>
      <c r="G47" s="43">
        <v>1299</v>
      </c>
      <c r="H47" s="43"/>
      <c r="I47" s="43"/>
      <c r="J47" s="43">
        <v>2499</v>
      </c>
      <c r="K47" s="43">
        <v>1706</v>
      </c>
      <c r="L47" s="244">
        <v>1500</v>
      </c>
      <c r="M47" s="43"/>
      <c r="N47" s="43"/>
      <c r="O47" s="43"/>
      <c r="P47" s="182"/>
      <c r="Q47" s="182"/>
      <c r="R47" s="182"/>
      <c r="S47" s="182"/>
      <c r="T47" s="306">
        <v>1370.88</v>
      </c>
      <c r="U47" s="306"/>
      <c r="V47" s="182"/>
      <c r="W47" s="182"/>
    </row>
    <row r="48" spans="1:23">
      <c r="A48" s="44" t="s">
        <v>625</v>
      </c>
      <c r="B48" s="75" t="s">
        <v>626</v>
      </c>
      <c r="C48" s="43" t="s">
        <v>627</v>
      </c>
      <c r="D48" s="69" t="s">
        <v>628</v>
      </c>
      <c r="E48" s="69" t="s">
        <v>629</v>
      </c>
      <c r="F48" s="43" t="s">
        <v>631</v>
      </c>
      <c r="G48" s="43">
        <v>2299</v>
      </c>
      <c r="H48" s="43"/>
      <c r="I48" s="43"/>
      <c r="J48" s="43"/>
      <c r="K48" s="43">
        <v>2644</v>
      </c>
      <c r="L48" s="244">
        <v>2400</v>
      </c>
      <c r="M48" s="43"/>
      <c r="N48" s="43"/>
      <c r="O48" s="43"/>
      <c r="P48" s="182"/>
      <c r="Q48" s="182"/>
      <c r="R48" s="182"/>
      <c r="S48" s="182"/>
      <c r="T48" s="306">
        <v>2193.41</v>
      </c>
      <c r="U48" s="306"/>
      <c r="V48" s="182"/>
      <c r="W48" s="182"/>
    </row>
    <row r="49" spans="1:23">
      <c r="A49" s="44" t="s">
        <v>632</v>
      </c>
      <c r="B49" s="75" t="s">
        <v>633</v>
      </c>
      <c r="C49" s="43" t="s">
        <v>634</v>
      </c>
      <c r="D49" s="69" t="s">
        <v>314</v>
      </c>
      <c r="E49" s="69" t="s">
        <v>444</v>
      </c>
      <c r="F49" s="43" t="s">
        <v>636</v>
      </c>
      <c r="G49" s="43">
        <v>790</v>
      </c>
      <c r="H49" s="43"/>
      <c r="I49" s="43">
        <v>799</v>
      </c>
      <c r="J49" s="43">
        <v>1499</v>
      </c>
      <c r="K49" s="43">
        <v>1149</v>
      </c>
      <c r="L49" s="244">
        <v>1200</v>
      </c>
      <c r="M49" s="43"/>
      <c r="N49" s="43"/>
      <c r="O49" s="43"/>
      <c r="P49" s="182"/>
      <c r="Q49" s="182"/>
      <c r="R49" s="182"/>
      <c r="S49" s="182"/>
      <c r="T49" s="140" t="e">
        <v>#N/A</v>
      </c>
      <c r="U49" s="306"/>
      <c r="V49" s="182"/>
      <c r="W49" s="182"/>
    </row>
    <row r="50" spans="1:23">
      <c r="A50" s="44" t="s">
        <v>947</v>
      </c>
      <c r="B50" s="75" t="s">
        <v>638</v>
      </c>
      <c r="C50" s="43" t="s">
        <v>639</v>
      </c>
      <c r="D50" s="69" t="s">
        <v>234</v>
      </c>
      <c r="E50" s="43" t="s">
        <v>249</v>
      </c>
      <c r="F50" s="43" t="s">
        <v>641</v>
      </c>
      <c r="G50" s="43">
        <v>3999</v>
      </c>
      <c r="H50" s="43"/>
      <c r="I50" s="43"/>
      <c r="J50" s="43"/>
      <c r="K50" s="43">
        <v>3709</v>
      </c>
      <c r="L50" s="244">
        <v>3700</v>
      </c>
      <c r="M50" s="43"/>
      <c r="N50" s="43"/>
      <c r="O50" s="43"/>
      <c r="P50" s="182"/>
      <c r="Q50" s="182"/>
      <c r="R50" s="182"/>
      <c r="S50" s="182"/>
      <c r="T50" s="140" t="e">
        <v>#N/A</v>
      </c>
      <c r="U50" s="306"/>
      <c r="V50" s="182"/>
      <c r="W50" s="182"/>
    </row>
    <row r="51" spans="1:23">
      <c r="A51" s="44" t="s">
        <v>642</v>
      </c>
      <c r="B51" s="75" t="s">
        <v>643</v>
      </c>
      <c r="C51" s="43" t="s">
        <v>644</v>
      </c>
      <c r="D51" s="69" t="s">
        <v>314</v>
      </c>
      <c r="E51" s="69" t="s">
        <v>437</v>
      </c>
      <c r="F51" s="43" t="s">
        <v>645</v>
      </c>
      <c r="G51" s="43">
        <v>1499</v>
      </c>
      <c r="H51" s="43"/>
      <c r="I51" s="43">
        <v>1549</v>
      </c>
      <c r="J51" s="43">
        <v>2499</v>
      </c>
      <c r="K51" s="43">
        <v>1781</v>
      </c>
      <c r="L51" s="244">
        <v>1800</v>
      </c>
      <c r="M51" s="43"/>
      <c r="N51" s="43"/>
      <c r="O51" s="43"/>
      <c r="P51" s="182"/>
      <c r="Q51" s="182"/>
      <c r="R51" s="182"/>
      <c r="S51" s="182"/>
      <c r="T51" s="306">
        <v>1645.06</v>
      </c>
      <c r="U51" s="306"/>
      <c r="V51" s="182"/>
      <c r="W51" s="182"/>
    </row>
    <row r="52" spans="1:23">
      <c r="A52" s="44" t="s">
        <v>646</v>
      </c>
      <c r="B52" s="75" t="s">
        <v>647</v>
      </c>
      <c r="C52" s="43" t="s">
        <v>648</v>
      </c>
      <c r="D52" s="69" t="s">
        <v>628</v>
      </c>
      <c r="E52" s="69" t="s">
        <v>629</v>
      </c>
      <c r="F52" s="43" t="s">
        <v>650</v>
      </c>
      <c r="G52" s="43">
        <v>1499</v>
      </c>
      <c r="H52" s="43"/>
      <c r="I52" s="43">
        <v>1789</v>
      </c>
      <c r="J52" s="43"/>
      <c r="K52" s="43">
        <v>1724</v>
      </c>
      <c r="L52" s="43"/>
      <c r="M52" s="43"/>
      <c r="N52" s="43"/>
      <c r="O52" s="43"/>
      <c r="P52" s="182"/>
      <c r="Q52" s="182"/>
      <c r="R52" s="182"/>
      <c r="S52" s="182"/>
      <c r="T52" s="140" t="e">
        <v>#N/A</v>
      </c>
      <c r="U52" s="306"/>
      <c r="V52" s="182"/>
      <c r="W52" s="182"/>
    </row>
    <row r="53" spans="1:23">
      <c r="A53" s="44" t="s">
        <v>651</v>
      </c>
      <c r="B53" s="75" t="s">
        <v>652</v>
      </c>
      <c r="C53" s="43" t="s">
        <v>653</v>
      </c>
      <c r="D53" s="69" t="s">
        <v>628</v>
      </c>
      <c r="E53" s="69" t="s">
        <v>629</v>
      </c>
      <c r="F53" s="43" t="s">
        <v>654</v>
      </c>
      <c r="G53" s="43">
        <v>1949</v>
      </c>
      <c r="H53" s="43"/>
      <c r="I53" s="43">
        <v>2249</v>
      </c>
      <c r="J53" s="43"/>
      <c r="K53" s="43">
        <v>2184</v>
      </c>
      <c r="L53" s="244">
        <v>2200</v>
      </c>
      <c r="M53" s="43"/>
      <c r="N53" s="43"/>
      <c r="O53" s="43"/>
      <c r="P53" s="182"/>
      <c r="Q53" s="182"/>
      <c r="R53" s="182"/>
      <c r="S53" s="182"/>
      <c r="T53" s="306">
        <v>2010.62</v>
      </c>
      <c r="U53" s="306"/>
      <c r="V53" s="182"/>
      <c r="W53" s="182"/>
    </row>
    <row r="54" spans="1:23">
      <c r="A54" s="44" t="s">
        <v>655</v>
      </c>
      <c r="B54" s="75" t="s">
        <v>656</v>
      </c>
      <c r="C54" s="43" t="s">
        <v>657</v>
      </c>
      <c r="D54" s="69" t="s">
        <v>628</v>
      </c>
      <c r="E54" s="69" t="s">
        <v>629</v>
      </c>
      <c r="F54" s="43" t="s">
        <v>658</v>
      </c>
      <c r="G54" s="43">
        <v>2299</v>
      </c>
      <c r="H54" s="43"/>
      <c r="I54" s="43"/>
      <c r="J54" s="43"/>
      <c r="K54" s="43">
        <v>2644</v>
      </c>
      <c r="L54" s="244">
        <v>2800</v>
      </c>
      <c r="M54" s="43"/>
      <c r="N54" s="43"/>
      <c r="O54" s="43"/>
      <c r="P54" s="182"/>
      <c r="Q54" s="182"/>
      <c r="R54" s="182"/>
      <c r="S54" s="182"/>
      <c r="T54" s="140" t="e">
        <v>#N/A</v>
      </c>
      <c r="U54" s="306"/>
      <c r="V54" s="182"/>
      <c r="W54" s="182"/>
    </row>
    <row r="55" spans="1:23">
      <c r="A55" s="44" t="s">
        <v>659</v>
      </c>
      <c r="B55" s="75" t="s">
        <v>660</v>
      </c>
      <c r="C55" s="43" t="s">
        <v>661</v>
      </c>
      <c r="D55" s="69" t="s">
        <v>234</v>
      </c>
      <c r="E55" s="69" t="s">
        <v>249</v>
      </c>
      <c r="F55" s="43" t="s">
        <v>662</v>
      </c>
      <c r="G55" s="43">
        <v>1999</v>
      </c>
      <c r="H55" s="43"/>
      <c r="I55" s="43">
        <v>1699</v>
      </c>
      <c r="J55" s="43"/>
      <c r="K55" s="43">
        <v>2299</v>
      </c>
      <c r="L55" s="244">
        <v>2500</v>
      </c>
      <c r="M55" s="43"/>
      <c r="N55" s="43"/>
      <c r="O55" s="43"/>
      <c r="P55" s="182"/>
      <c r="Q55" s="182"/>
      <c r="R55" s="182"/>
      <c r="S55" s="182"/>
      <c r="T55" s="306">
        <v>2284.8000000000002</v>
      </c>
      <c r="U55" s="306"/>
      <c r="V55" s="182"/>
      <c r="W55" s="182"/>
    </row>
    <row r="56" spans="1:23">
      <c r="A56" s="44" t="s">
        <v>663</v>
      </c>
      <c r="B56" s="75" t="s">
        <v>664</v>
      </c>
      <c r="C56" s="43" t="s">
        <v>665</v>
      </c>
      <c r="D56" s="69" t="s">
        <v>314</v>
      </c>
      <c r="E56" s="69" t="s">
        <v>444</v>
      </c>
      <c r="F56" s="43" t="s">
        <v>667</v>
      </c>
      <c r="G56" s="43">
        <v>2199</v>
      </c>
      <c r="H56" s="43"/>
      <c r="I56" s="43"/>
      <c r="J56" s="43"/>
      <c r="K56" s="43">
        <v>3449</v>
      </c>
      <c r="L56" s="244">
        <v>3000</v>
      </c>
      <c r="M56" s="43"/>
      <c r="N56" s="43"/>
      <c r="O56" s="43"/>
      <c r="P56" s="182"/>
      <c r="Q56" s="182"/>
      <c r="R56" s="182"/>
      <c r="S56" s="182"/>
      <c r="T56" s="140" t="e">
        <v>#N/A</v>
      </c>
      <c r="U56" s="306"/>
      <c r="V56" s="182"/>
      <c r="W56" s="182"/>
    </row>
    <row r="57" spans="1:23">
      <c r="A57" s="44" t="s">
        <v>668</v>
      </c>
      <c r="B57" s="75" t="s">
        <v>669</v>
      </c>
      <c r="C57" s="43" t="s">
        <v>670</v>
      </c>
      <c r="D57" s="69" t="s">
        <v>234</v>
      </c>
      <c r="E57" s="69" t="s">
        <v>671</v>
      </c>
      <c r="F57" s="43" t="s">
        <v>673</v>
      </c>
      <c r="G57" s="43">
        <v>1499</v>
      </c>
      <c r="H57" s="43"/>
      <c r="I57" s="43"/>
      <c r="J57" s="43"/>
      <c r="K57" s="43">
        <v>1724</v>
      </c>
      <c r="L57" s="43"/>
      <c r="M57" s="43"/>
      <c r="N57" s="43"/>
      <c r="O57" s="43"/>
      <c r="P57" s="182"/>
      <c r="Q57" s="182"/>
      <c r="R57" s="182"/>
      <c r="S57" s="182"/>
      <c r="T57" s="140" t="e">
        <v>#N/A</v>
      </c>
      <c r="U57" s="306"/>
      <c r="V57" s="182"/>
      <c r="W57" s="182"/>
    </row>
    <row r="58" spans="1:23">
      <c r="A58" s="44" t="s">
        <v>675</v>
      </c>
      <c r="B58" s="75" t="s">
        <v>676</v>
      </c>
      <c r="C58" s="43" t="s">
        <v>677</v>
      </c>
      <c r="D58" s="43" t="s">
        <v>314</v>
      </c>
      <c r="E58" s="69" t="s">
        <v>444</v>
      </c>
      <c r="F58" s="43" t="s">
        <v>678</v>
      </c>
      <c r="G58" s="43">
        <v>1133</v>
      </c>
      <c r="H58" s="43"/>
      <c r="I58" s="43">
        <v>1299</v>
      </c>
      <c r="J58" s="43">
        <v>1999</v>
      </c>
      <c r="K58" s="43">
        <v>1149</v>
      </c>
      <c r="L58" s="244">
        <v>2000</v>
      </c>
      <c r="M58" s="43"/>
      <c r="N58" s="43"/>
      <c r="O58" s="43"/>
      <c r="P58" s="182"/>
      <c r="Q58" s="182"/>
      <c r="R58" s="182"/>
      <c r="S58" s="182">
        <v>1299.3499999999999</v>
      </c>
      <c r="T58" s="140" t="e">
        <v>#N/A</v>
      </c>
      <c r="U58" s="306"/>
      <c r="V58" s="182"/>
      <c r="W58" s="182"/>
    </row>
    <row r="59" spans="1:23">
      <c r="A59" s="44" t="s">
        <v>679</v>
      </c>
      <c r="B59" s="75" t="s">
        <v>680</v>
      </c>
      <c r="C59" s="43" t="s">
        <v>681</v>
      </c>
      <c r="D59" s="43" t="s">
        <v>314</v>
      </c>
      <c r="E59" s="69" t="s">
        <v>444</v>
      </c>
      <c r="F59" s="43" t="s">
        <v>682</v>
      </c>
      <c r="G59" s="43">
        <v>1202</v>
      </c>
      <c r="H59" s="43"/>
      <c r="I59" s="43"/>
      <c r="J59" s="43">
        <v>1599</v>
      </c>
      <c r="K59" s="43">
        <v>1333</v>
      </c>
      <c r="L59" s="244">
        <v>950</v>
      </c>
      <c r="M59" s="43"/>
      <c r="N59" s="43"/>
      <c r="O59" s="43"/>
      <c r="P59" s="182"/>
      <c r="Q59" s="182"/>
      <c r="R59" s="182"/>
      <c r="S59" s="182"/>
      <c r="T59" s="140" t="e">
        <v>#N/A</v>
      </c>
      <c r="U59" s="306"/>
      <c r="V59" s="182"/>
      <c r="W59" s="182"/>
    </row>
    <row r="60" spans="1:23">
      <c r="A60" s="44" t="s">
        <v>683</v>
      </c>
      <c r="B60" s="75" t="s">
        <v>684</v>
      </c>
      <c r="C60" s="43" t="s">
        <v>685</v>
      </c>
      <c r="D60" s="69" t="s">
        <v>234</v>
      </c>
      <c r="E60" s="69" t="s">
        <v>671</v>
      </c>
      <c r="F60" s="43" t="s">
        <v>687</v>
      </c>
      <c r="G60" s="43">
        <v>1699</v>
      </c>
      <c r="H60" s="43"/>
      <c r="I60" s="43">
        <v>1699</v>
      </c>
      <c r="J60" s="43"/>
      <c r="K60" s="43">
        <v>1954</v>
      </c>
      <c r="L60" s="244">
        <v>1800</v>
      </c>
      <c r="M60" s="43"/>
      <c r="N60" s="43"/>
      <c r="O60" s="43"/>
      <c r="P60" s="182"/>
      <c r="Q60" s="182"/>
      <c r="R60" s="182"/>
      <c r="S60" s="182"/>
      <c r="T60" s="140" t="e">
        <v>#N/A</v>
      </c>
      <c r="U60" s="306"/>
      <c r="V60" s="182"/>
      <c r="W60" s="182"/>
    </row>
    <row r="61" spans="1:23">
      <c r="A61" s="44" t="s">
        <v>688</v>
      </c>
      <c r="B61" s="75" t="s">
        <v>689</v>
      </c>
      <c r="C61" s="43" t="s">
        <v>690</v>
      </c>
      <c r="D61" s="69" t="s">
        <v>234</v>
      </c>
      <c r="E61" s="69" t="s">
        <v>671</v>
      </c>
      <c r="F61" s="43" t="s">
        <v>691</v>
      </c>
      <c r="G61" s="43">
        <v>1499</v>
      </c>
      <c r="H61" s="43"/>
      <c r="I61" s="43">
        <v>1599</v>
      </c>
      <c r="J61" s="43"/>
      <c r="K61" s="43">
        <v>1724</v>
      </c>
      <c r="L61" s="244">
        <v>1800</v>
      </c>
      <c r="M61" s="43"/>
      <c r="N61" s="43"/>
      <c r="O61" s="43"/>
      <c r="P61" s="182"/>
      <c r="Q61" s="182"/>
      <c r="R61" s="182"/>
      <c r="S61" s="182"/>
      <c r="T61" s="306">
        <v>1645.06</v>
      </c>
      <c r="U61" s="306"/>
      <c r="V61" s="182"/>
      <c r="W61" s="182"/>
    </row>
    <row r="62" spans="1:23">
      <c r="A62" s="44" t="s">
        <v>695</v>
      </c>
      <c r="B62" s="44" t="s">
        <v>696</v>
      </c>
      <c r="C62" s="43" t="s">
        <v>697</v>
      </c>
      <c r="D62" s="69" t="s">
        <v>314</v>
      </c>
      <c r="E62" s="69" t="s">
        <v>465</v>
      </c>
      <c r="F62" s="43" t="s">
        <v>699</v>
      </c>
      <c r="G62" s="43">
        <v>2074</v>
      </c>
      <c r="H62" s="43"/>
      <c r="I62" s="43">
        <v>2399</v>
      </c>
      <c r="J62" s="43">
        <v>3499</v>
      </c>
      <c r="K62" s="43">
        <v>2759</v>
      </c>
      <c r="L62" s="244">
        <v>2500</v>
      </c>
      <c r="M62" s="43"/>
      <c r="N62" s="43"/>
      <c r="O62" s="43"/>
      <c r="P62" s="182"/>
      <c r="Q62" s="182"/>
      <c r="R62" s="182"/>
      <c r="S62" s="182"/>
      <c r="T62" s="306">
        <v>2284.8000000000002</v>
      </c>
      <c r="U62" s="306"/>
      <c r="V62" s="182"/>
      <c r="W62" s="182"/>
    </row>
    <row r="63" spans="1:23">
      <c r="A63" s="44" t="s">
        <v>700</v>
      </c>
      <c r="B63" s="75" t="s">
        <v>701</v>
      </c>
      <c r="C63" s="43" t="s">
        <v>702</v>
      </c>
      <c r="D63" s="69" t="s">
        <v>314</v>
      </c>
      <c r="E63" s="69" t="s">
        <v>465</v>
      </c>
      <c r="F63" s="43" t="s">
        <v>703</v>
      </c>
      <c r="G63" s="43">
        <v>1998</v>
      </c>
      <c r="H63" s="43"/>
      <c r="I63" s="43">
        <v>1999</v>
      </c>
      <c r="J63" s="43">
        <v>3399</v>
      </c>
      <c r="K63" s="43">
        <v>2299</v>
      </c>
      <c r="L63" s="244">
        <v>2500</v>
      </c>
      <c r="M63" s="43"/>
      <c r="N63" s="43"/>
      <c r="O63" s="43"/>
      <c r="P63" s="182"/>
      <c r="Q63" s="182"/>
      <c r="R63" s="182"/>
      <c r="S63" s="182"/>
      <c r="T63" s="306">
        <v>2284.8000000000002</v>
      </c>
      <c r="U63" s="306"/>
      <c r="V63" s="182"/>
      <c r="W63" s="182"/>
    </row>
    <row r="64" spans="1:23">
      <c r="A64" s="44" t="s">
        <v>704</v>
      </c>
      <c r="B64" s="75" t="s">
        <v>705</v>
      </c>
      <c r="C64" s="43" t="s">
        <v>706</v>
      </c>
      <c r="D64" s="69" t="s">
        <v>234</v>
      </c>
      <c r="E64" s="69" t="s">
        <v>249</v>
      </c>
      <c r="F64" s="43" t="s">
        <v>708</v>
      </c>
      <c r="G64" s="43">
        <v>5999</v>
      </c>
      <c r="H64" s="43"/>
      <c r="I64" s="43">
        <v>5999</v>
      </c>
      <c r="J64" s="43"/>
      <c r="K64" s="43">
        <v>6899</v>
      </c>
      <c r="L64" s="244">
        <v>6000</v>
      </c>
      <c r="M64" s="43"/>
      <c r="N64" s="43"/>
      <c r="O64" s="43"/>
      <c r="P64" s="182"/>
      <c r="Q64" s="182"/>
      <c r="R64" s="182"/>
      <c r="S64" s="182"/>
      <c r="T64" s="306">
        <v>5483.52</v>
      </c>
      <c r="U64" s="306"/>
      <c r="V64" s="182"/>
      <c r="W64" s="182"/>
    </row>
    <row r="65" spans="1:23">
      <c r="A65" s="44" t="s">
        <v>712</v>
      </c>
      <c r="B65" s="75" t="s">
        <v>713</v>
      </c>
      <c r="C65" s="43" t="s">
        <v>714</v>
      </c>
      <c r="D65" s="69" t="s">
        <v>234</v>
      </c>
      <c r="E65" s="69" t="s">
        <v>249</v>
      </c>
      <c r="F65" s="43" t="s">
        <v>716</v>
      </c>
      <c r="G65" s="43">
        <v>2299</v>
      </c>
      <c r="H65" s="43"/>
      <c r="I65" s="43">
        <v>2299</v>
      </c>
      <c r="J65" s="43"/>
      <c r="K65" s="43">
        <v>2650</v>
      </c>
      <c r="L65" s="244">
        <v>2400</v>
      </c>
      <c r="M65" s="43"/>
      <c r="N65" s="43"/>
      <c r="O65" s="43"/>
      <c r="P65" s="182"/>
      <c r="Q65" s="182"/>
      <c r="R65" s="182"/>
      <c r="S65" s="182"/>
      <c r="T65" s="306">
        <v>2193.41</v>
      </c>
      <c r="U65" s="306"/>
      <c r="V65" s="182"/>
      <c r="W65" s="182"/>
    </row>
    <row r="66" spans="1:23">
      <c r="A66" s="44" t="s">
        <v>717</v>
      </c>
      <c r="B66" s="75" t="s">
        <v>718</v>
      </c>
      <c r="C66" s="43" t="s">
        <v>719</v>
      </c>
      <c r="D66" s="69" t="s">
        <v>234</v>
      </c>
      <c r="E66" s="69" t="s">
        <v>249</v>
      </c>
      <c r="F66" s="43" t="s">
        <v>716</v>
      </c>
      <c r="G66" s="43">
        <v>2499</v>
      </c>
      <c r="H66" s="43"/>
      <c r="I66" s="43">
        <v>2599</v>
      </c>
      <c r="J66" s="43"/>
      <c r="K66" s="43">
        <v>2299</v>
      </c>
      <c r="L66" s="43">
        <v>2100</v>
      </c>
      <c r="M66" s="43"/>
      <c r="N66" s="43"/>
      <c r="O66" s="43"/>
      <c r="P66" s="182"/>
      <c r="Q66" s="182"/>
      <c r="R66" s="182"/>
      <c r="S66" s="182"/>
      <c r="T66" s="306">
        <v>1919.23</v>
      </c>
      <c r="U66" s="306"/>
      <c r="V66" s="182"/>
      <c r="W66" s="182"/>
    </row>
    <row r="67" spans="1:23">
      <c r="A67" s="44" t="s">
        <v>720</v>
      </c>
      <c r="B67" s="75" t="s">
        <v>721</v>
      </c>
      <c r="C67" s="43" t="s">
        <v>722</v>
      </c>
      <c r="D67" s="43" t="s">
        <v>314</v>
      </c>
      <c r="E67" s="69" t="s">
        <v>437</v>
      </c>
      <c r="F67" s="43" t="s">
        <v>723</v>
      </c>
      <c r="G67" s="43"/>
      <c r="H67" s="43"/>
      <c r="I67" s="43"/>
      <c r="J67" s="43">
        <v>2299</v>
      </c>
      <c r="K67" s="43">
        <v>1799</v>
      </c>
      <c r="L67" s="43"/>
      <c r="M67" s="43"/>
      <c r="N67" s="43"/>
      <c r="O67" s="43"/>
      <c r="P67" s="182"/>
      <c r="Q67" s="182"/>
      <c r="R67" s="182"/>
      <c r="S67" s="182"/>
      <c r="T67" s="140" t="e">
        <v>#N/A</v>
      </c>
      <c r="U67" s="306"/>
      <c r="V67" s="182"/>
      <c r="W67" s="182"/>
    </row>
    <row r="68" spans="1:23">
      <c r="A68" s="44" t="s">
        <v>724</v>
      </c>
      <c r="B68" s="44" t="s">
        <v>725</v>
      </c>
      <c r="C68" s="43" t="s">
        <v>726</v>
      </c>
      <c r="D68" s="43" t="s">
        <v>314</v>
      </c>
      <c r="E68" s="69" t="s">
        <v>437</v>
      </c>
      <c r="F68" s="43" t="s">
        <v>727</v>
      </c>
      <c r="G68" s="43">
        <v>1549</v>
      </c>
      <c r="H68" s="43"/>
      <c r="I68" s="43">
        <v>1549</v>
      </c>
      <c r="J68" s="43"/>
      <c r="K68" s="43">
        <v>1649</v>
      </c>
      <c r="L68" s="244">
        <v>1600</v>
      </c>
      <c r="M68" s="43"/>
      <c r="N68" s="43"/>
      <c r="O68" s="43"/>
      <c r="P68" s="182"/>
      <c r="Q68" s="182"/>
      <c r="R68" s="182"/>
      <c r="S68" s="182"/>
      <c r="T68" s="306">
        <v>1462.27</v>
      </c>
      <c r="U68" s="306"/>
      <c r="V68" s="182"/>
      <c r="W68" s="182"/>
    </row>
    <row r="69" spans="1:23">
      <c r="A69" s="44" t="s">
        <v>728</v>
      </c>
      <c r="B69" s="75" t="s">
        <v>729</v>
      </c>
      <c r="C69" s="43" t="s">
        <v>730</v>
      </c>
      <c r="D69" s="69" t="s">
        <v>314</v>
      </c>
      <c r="E69" s="69" t="s">
        <v>465</v>
      </c>
      <c r="F69" s="43" t="s">
        <v>731</v>
      </c>
      <c r="G69" s="43">
        <v>3299</v>
      </c>
      <c r="H69" s="43"/>
      <c r="I69" s="43">
        <v>2999</v>
      </c>
      <c r="J69" s="43">
        <v>5399</v>
      </c>
      <c r="K69" s="43">
        <v>3079</v>
      </c>
      <c r="L69" s="43"/>
      <c r="M69" s="43"/>
      <c r="N69" s="43"/>
      <c r="O69" s="43"/>
      <c r="P69" s="182"/>
      <c r="Q69" s="182"/>
      <c r="R69" s="182"/>
      <c r="S69" s="182"/>
      <c r="T69" s="140" t="e">
        <v>#N/A</v>
      </c>
      <c r="U69" s="306"/>
      <c r="V69" s="182"/>
      <c r="W69" s="182"/>
    </row>
    <row r="70" spans="1:23">
      <c r="A70" s="44" t="s">
        <v>732</v>
      </c>
      <c r="B70" s="44" t="s">
        <v>733</v>
      </c>
      <c r="C70" s="43" t="s">
        <v>734</v>
      </c>
      <c r="D70" s="69" t="s">
        <v>314</v>
      </c>
      <c r="E70" s="69" t="s">
        <v>437</v>
      </c>
      <c r="F70" s="43" t="s">
        <v>735</v>
      </c>
      <c r="G70" s="43"/>
      <c r="H70" s="43"/>
      <c r="I70" s="43"/>
      <c r="J70" s="43"/>
      <c r="K70" s="43">
        <v>1839</v>
      </c>
      <c r="L70" s="43"/>
      <c r="M70" s="43"/>
      <c r="N70" s="43"/>
      <c r="O70" s="43"/>
      <c r="P70" s="182"/>
      <c r="Q70" s="182"/>
      <c r="R70" s="182"/>
      <c r="S70" s="182"/>
      <c r="T70" s="140" t="e">
        <v>#N/A</v>
      </c>
      <c r="U70" s="306"/>
      <c r="V70" s="182"/>
      <c r="W70" s="182"/>
    </row>
    <row r="71" spans="1:23">
      <c r="A71" s="44" t="s">
        <v>736</v>
      </c>
      <c r="B71" s="75" t="s">
        <v>737</v>
      </c>
      <c r="C71" s="43" t="s">
        <v>738</v>
      </c>
      <c r="D71" s="69" t="s">
        <v>314</v>
      </c>
      <c r="E71" s="69" t="s">
        <v>465</v>
      </c>
      <c r="F71" s="43" t="s">
        <v>739</v>
      </c>
      <c r="G71" s="43">
        <v>2599</v>
      </c>
      <c r="H71" s="43"/>
      <c r="I71" s="43">
        <v>2999</v>
      </c>
      <c r="J71" s="43">
        <v>3999</v>
      </c>
      <c r="K71" s="43">
        <v>3449</v>
      </c>
      <c r="L71" s="244">
        <v>3000</v>
      </c>
      <c r="M71" s="43"/>
      <c r="N71" s="43"/>
      <c r="O71" s="43"/>
      <c r="P71" s="182"/>
      <c r="Q71" s="182"/>
      <c r="R71" s="182"/>
      <c r="S71" s="182"/>
      <c r="T71" s="306">
        <v>2741.76</v>
      </c>
      <c r="U71" s="306"/>
      <c r="V71" s="182"/>
      <c r="W71" s="182"/>
    </row>
    <row r="72" spans="1:23">
      <c r="A72" s="44" t="s">
        <v>740</v>
      </c>
      <c r="B72" s="75" t="s">
        <v>741</v>
      </c>
      <c r="C72" s="43" t="s">
        <v>742</v>
      </c>
      <c r="D72" s="69" t="s">
        <v>234</v>
      </c>
      <c r="E72" s="43" t="s">
        <v>249</v>
      </c>
      <c r="F72" s="43" t="s">
        <v>743</v>
      </c>
      <c r="G72" s="43">
        <v>2099</v>
      </c>
      <c r="H72" s="43"/>
      <c r="I72" s="43">
        <v>2199</v>
      </c>
      <c r="J72" s="43"/>
      <c r="K72" s="43">
        <v>2199</v>
      </c>
      <c r="L72" s="43">
        <v>2000</v>
      </c>
      <c r="M72" s="43"/>
      <c r="N72" s="43"/>
      <c r="O72" s="43"/>
      <c r="P72" s="182"/>
      <c r="Q72" s="182"/>
      <c r="R72" s="182"/>
      <c r="S72" s="182"/>
      <c r="T72" s="140" t="e">
        <v>#N/A</v>
      </c>
      <c r="U72" s="306"/>
      <c r="V72" s="182"/>
      <c r="W72" s="182"/>
    </row>
    <row r="73" spans="1:23">
      <c r="A73" s="44" t="s">
        <v>744</v>
      </c>
      <c r="B73" s="75" t="s">
        <v>745</v>
      </c>
      <c r="C73" s="43" t="s">
        <v>746</v>
      </c>
      <c r="D73" s="69" t="s">
        <v>314</v>
      </c>
      <c r="E73" s="69" t="s">
        <v>618</v>
      </c>
      <c r="F73" s="43" t="s">
        <v>748</v>
      </c>
      <c r="G73" s="43">
        <v>2689</v>
      </c>
      <c r="H73" s="43"/>
      <c r="I73" s="43">
        <v>2899</v>
      </c>
      <c r="J73" s="43">
        <v>3762</v>
      </c>
      <c r="K73" s="43">
        <v>3999</v>
      </c>
      <c r="L73" s="244">
        <v>3000</v>
      </c>
      <c r="M73" s="43"/>
      <c r="N73" s="43"/>
      <c r="O73" s="43"/>
      <c r="P73" s="182"/>
      <c r="Q73" s="182"/>
      <c r="R73" s="182"/>
      <c r="S73" s="182">
        <v>2719.32</v>
      </c>
      <c r="T73" s="306">
        <v>2376.19</v>
      </c>
      <c r="U73" s="306"/>
      <c r="V73" s="182"/>
      <c r="W73" s="182"/>
    </row>
    <row r="74" spans="1:23">
      <c r="A74" s="44" t="s">
        <v>749</v>
      </c>
      <c r="B74" s="75" t="s">
        <v>750</v>
      </c>
      <c r="C74" s="43" t="s">
        <v>751</v>
      </c>
      <c r="D74" s="69" t="s">
        <v>314</v>
      </c>
      <c r="E74" s="69" t="s">
        <v>618</v>
      </c>
      <c r="F74" s="43" t="s">
        <v>752</v>
      </c>
      <c r="G74" s="43">
        <v>1449</v>
      </c>
      <c r="H74" s="43"/>
      <c r="I74" s="43">
        <v>1545</v>
      </c>
      <c r="J74" s="43">
        <v>3199</v>
      </c>
      <c r="K74" s="43">
        <v>1609</v>
      </c>
      <c r="L74" s="43">
        <v>1700</v>
      </c>
      <c r="M74" s="43"/>
      <c r="N74" s="43"/>
      <c r="O74" s="43"/>
      <c r="P74" s="182"/>
      <c r="Q74" s="182"/>
      <c r="R74" s="182"/>
      <c r="S74" s="182"/>
      <c r="T74" s="140" t="e">
        <v>#N/A</v>
      </c>
      <c r="U74" s="306"/>
      <c r="V74" s="182"/>
      <c r="W74" s="182"/>
    </row>
    <row r="75" spans="1:23">
      <c r="A75" s="44" t="s">
        <v>764</v>
      </c>
      <c r="B75" s="75" t="s">
        <v>765</v>
      </c>
      <c r="C75" s="43" t="s">
        <v>766</v>
      </c>
      <c r="D75" s="69" t="s">
        <v>314</v>
      </c>
      <c r="E75" s="69" t="s">
        <v>618</v>
      </c>
      <c r="F75" s="43" t="s">
        <v>767</v>
      </c>
      <c r="G75" s="43">
        <v>1763</v>
      </c>
      <c r="H75" s="43"/>
      <c r="I75" s="43"/>
      <c r="J75" s="43">
        <v>5918</v>
      </c>
      <c r="K75" s="43">
        <v>1979</v>
      </c>
      <c r="L75" s="43"/>
      <c r="M75" s="43"/>
      <c r="N75" s="43"/>
      <c r="O75" s="43"/>
      <c r="P75" s="182"/>
      <c r="Q75" s="182"/>
      <c r="R75" s="182"/>
      <c r="S75" s="182"/>
      <c r="T75" s="140" t="e">
        <v>#N/A</v>
      </c>
      <c r="U75" s="306"/>
      <c r="V75" s="182"/>
      <c r="W75" s="182"/>
    </row>
    <row r="76" spans="1:23">
      <c r="A76" s="44" t="s">
        <v>954</v>
      </c>
      <c r="B76" s="75" t="s">
        <v>769</v>
      </c>
      <c r="C76" s="43" t="s">
        <v>770</v>
      </c>
      <c r="D76" s="69" t="s">
        <v>314</v>
      </c>
      <c r="E76" s="69" t="s">
        <v>618</v>
      </c>
      <c r="F76" s="43" t="s">
        <v>771</v>
      </c>
      <c r="G76" s="43">
        <v>1759</v>
      </c>
      <c r="H76" s="43"/>
      <c r="I76" s="43">
        <v>1804</v>
      </c>
      <c r="J76" s="43">
        <v>3012</v>
      </c>
      <c r="K76" s="43">
        <v>2199</v>
      </c>
      <c r="L76" s="43"/>
      <c r="M76" s="43"/>
      <c r="N76" s="43"/>
      <c r="O76" s="43"/>
      <c r="P76" s="182"/>
      <c r="Q76" s="182"/>
      <c r="R76" s="182"/>
      <c r="S76" s="182"/>
      <c r="T76" s="140" t="e">
        <v>#N/A</v>
      </c>
      <c r="U76" s="306"/>
      <c r="V76" s="182"/>
      <c r="W76" s="182"/>
    </row>
    <row r="77" spans="1:23">
      <c r="A77" s="44" t="s">
        <v>775</v>
      </c>
      <c r="B77" s="75" t="s">
        <v>776</v>
      </c>
      <c r="C77" s="43" t="s">
        <v>777</v>
      </c>
      <c r="D77" s="69" t="s">
        <v>314</v>
      </c>
      <c r="E77" s="69" t="s">
        <v>618</v>
      </c>
      <c r="F77" s="43" t="s">
        <v>778</v>
      </c>
      <c r="G77" s="43">
        <v>1859</v>
      </c>
      <c r="H77" s="43"/>
      <c r="I77" s="43"/>
      <c r="J77" s="43">
        <v>3199</v>
      </c>
      <c r="K77" s="43">
        <v>2199</v>
      </c>
      <c r="L77" s="43">
        <v>2100</v>
      </c>
      <c r="M77" s="43"/>
      <c r="N77" s="43"/>
      <c r="O77" s="43"/>
      <c r="P77" s="182"/>
      <c r="Q77" s="182"/>
      <c r="R77" s="182"/>
      <c r="S77" s="182"/>
      <c r="T77" s="140" t="e">
        <v>#N/A</v>
      </c>
      <c r="U77" s="306"/>
      <c r="V77" s="182"/>
      <c r="W77" s="182"/>
    </row>
    <row r="78" spans="1:23">
      <c r="A78" s="44" t="s">
        <v>779</v>
      </c>
      <c r="B78" s="75" t="s">
        <v>780</v>
      </c>
      <c r="C78" s="43" t="s">
        <v>781</v>
      </c>
      <c r="D78" s="69" t="s">
        <v>234</v>
      </c>
      <c r="E78" s="69" t="s">
        <v>249</v>
      </c>
      <c r="F78" s="43" t="s">
        <v>782</v>
      </c>
      <c r="G78" s="43">
        <v>1539</v>
      </c>
      <c r="H78" s="43"/>
      <c r="I78" s="43">
        <v>1399</v>
      </c>
      <c r="J78" s="43"/>
      <c r="K78" s="43">
        <v>1615</v>
      </c>
      <c r="L78" s="244">
        <v>1500</v>
      </c>
      <c r="M78" s="43"/>
      <c r="N78" s="43"/>
      <c r="O78" s="43"/>
      <c r="P78" s="182"/>
      <c r="Q78" s="182"/>
      <c r="R78" s="182"/>
      <c r="S78" s="182"/>
      <c r="T78" s="140" t="e">
        <v>#N/A</v>
      </c>
      <c r="U78" s="306"/>
      <c r="V78" s="182"/>
      <c r="W78" s="182"/>
    </row>
    <row r="79" spans="1:23">
      <c r="A79" s="69" t="s">
        <v>783</v>
      </c>
      <c r="B79" s="75" t="s">
        <v>784</v>
      </c>
      <c r="C79" s="44" t="s">
        <v>785</v>
      </c>
      <c r="D79" s="69" t="s">
        <v>234</v>
      </c>
      <c r="E79" s="44" t="s">
        <v>786</v>
      </c>
      <c r="F79" s="44" t="s">
        <v>787</v>
      </c>
      <c r="G79" s="43">
        <v>2799</v>
      </c>
      <c r="H79" s="43"/>
      <c r="I79" s="43">
        <v>2699</v>
      </c>
      <c r="J79" s="43"/>
      <c r="K79" s="43">
        <v>3334</v>
      </c>
      <c r="L79" s="244">
        <v>3000</v>
      </c>
      <c r="M79" s="43"/>
      <c r="N79" s="43"/>
      <c r="O79" s="43"/>
      <c r="P79" s="182"/>
      <c r="Q79" s="182"/>
      <c r="R79" s="182"/>
      <c r="S79" s="182"/>
      <c r="T79" s="306">
        <v>2741.76</v>
      </c>
      <c r="U79" s="306"/>
      <c r="V79" s="182"/>
      <c r="W79" s="182"/>
    </row>
    <row r="80" spans="1:23">
      <c r="A80" s="69" t="s">
        <v>788</v>
      </c>
      <c r="B80" s="75" t="s">
        <v>789</v>
      </c>
      <c r="C80" s="44" t="s">
        <v>790</v>
      </c>
      <c r="D80" s="69" t="s">
        <v>234</v>
      </c>
      <c r="E80" s="44" t="s">
        <v>671</v>
      </c>
      <c r="F80" s="44" t="s">
        <v>791</v>
      </c>
      <c r="G80" s="43">
        <v>6199</v>
      </c>
      <c r="H80" s="43"/>
      <c r="I80" s="43"/>
      <c r="J80" s="43">
        <v>10999</v>
      </c>
      <c r="K80" s="43">
        <v>6699</v>
      </c>
      <c r="L80" s="244">
        <v>6400</v>
      </c>
      <c r="M80" s="43"/>
      <c r="N80" s="43"/>
      <c r="O80" s="43"/>
      <c r="P80" s="182"/>
      <c r="Q80" s="182"/>
      <c r="R80" s="182"/>
      <c r="S80" s="182"/>
      <c r="T80" s="306">
        <v>5849.09</v>
      </c>
      <c r="U80" s="306"/>
      <c r="V80" s="182"/>
      <c r="W80" s="182"/>
    </row>
    <row r="81" spans="1:23">
      <c r="A81" s="69" t="s">
        <v>792</v>
      </c>
      <c r="B81" s="75" t="s">
        <v>793</v>
      </c>
      <c r="C81" s="43" t="s">
        <v>794</v>
      </c>
      <c r="D81" s="69" t="s">
        <v>314</v>
      </c>
      <c r="E81" s="69" t="s">
        <v>315</v>
      </c>
      <c r="F81" s="43" t="s">
        <v>796</v>
      </c>
      <c r="G81" s="43">
        <v>699</v>
      </c>
      <c r="H81" s="43"/>
      <c r="I81" s="43"/>
      <c r="J81" s="43"/>
      <c r="K81" s="43">
        <v>846</v>
      </c>
      <c r="L81" s="244">
        <v>900</v>
      </c>
      <c r="M81" s="43"/>
      <c r="N81" s="43"/>
      <c r="O81" s="43"/>
      <c r="P81" s="182"/>
      <c r="Q81" s="182"/>
      <c r="R81" s="182"/>
      <c r="S81" s="182"/>
      <c r="T81" s="140" t="e">
        <v>#N/A</v>
      </c>
      <c r="U81" s="306"/>
      <c r="V81" s="182"/>
      <c r="W81" s="182"/>
    </row>
    <row r="82" spans="1:23">
      <c r="A82" s="44" t="s">
        <v>797</v>
      </c>
      <c r="B82" s="75" t="s">
        <v>798</v>
      </c>
      <c r="C82" s="43" t="s">
        <v>799</v>
      </c>
      <c r="D82" s="69" t="s">
        <v>314</v>
      </c>
      <c r="E82" s="43" t="s">
        <v>800</v>
      </c>
      <c r="F82" s="43" t="s">
        <v>801</v>
      </c>
      <c r="G82" s="43">
        <v>2045</v>
      </c>
      <c r="H82" s="43"/>
      <c r="I82" s="43"/>
      <c r="J82" s="43"/>
      <c r="K82" s="43">
        <v>2403</v>
      </c>
      <c r="L82" s="43"/>
      <c r="M82" s="43"/>
      <c r="N82" s="43"/>
      <c r="O82" s="43"/>
      <c r="P82" s="182"/>
      <c r="Q82" s="182"/>
      <c r="R82" s="182"/>
      <c r="S82" s="182"/>
      <c r="T82" s="140" t="e">
        <v>#N/A</v>
      </c>
      <c r="U82" s="306"/>
      <c r="V82" s="182"/>
      <c r="W82" s="182"/>
    </row>
    <row r="83" spans="1:23">
      <c r="A83" s="44" t="s">
        <v>802</v>
      </c>
      <c r="B83" s="75" t="s">
        <v>803</v>
      </c>
      <c r="C83" s="43" t="s">
        <v>804</v>
      </c>
      <c r="D83" s="69" t="s">
        <v>314</v>
      </c>
      <c r="E83" s="43" t="s">
        <v>800</v>
      </c>
      <c r="F83" s="43" t="s">
        <v>805</v>
      </c>
      <c r="G83" s="43">
        <v>2183</v>
      </c>
      <c r="H83" s="43"/>
      <c r="I83" s="43">
        <v>2199</v>
      </c>
      <c r="J83" s="43">
        <v>3668</v>
      </c>
      <c r="K83" s="43">
        <v>2414</v>
      </c>
      <c r="L83" s="244">
        <v>2200</v>
      </c>
      <c r="M83" s="43"/>
      <c r="N83" s="43"/>
      <c r="O83" s="43"/>
      <c r="P83" s="182"/>
      <c r="Q83" s="182"/>
      <c r="R83" s="182"/>
      <c r="S83" s="182"/>
      <c r="T83" s="140" t="e">
        <v>#N/A</v>
      </c>
      <c r="U83" s="306"/>
      <c r="V83" s="182"/>
      <c r="W83" s="182"/>
    </row>
    <row r="84" spans="1:23">
      <c r="A84" s="44" t="s">
        <v>806</v>
      </c>
      <c r="B84" s="75" t="s">
        <v>807</v>
      </c>
      <c r="C84" s="43" t="s">
        <v>808</v>
      </c>
      <c r="D84" s="69" t="s">
        <v>314</v>
      </c>
      <c r="E84" s="43" t="s">
        <v>800</v>
      </c>
      <c r="F84" s="43" t="s">
        <v>809</v>
      </c>
      <c r="G84" s="43"/>
      <c r="H84" s="43"/>
      <c r="I84" s="43"/>
      <c r="J84" s="43"/>
      <c r="K84" s="43"/>
      <c r="L84" s="43"/>
      <c r="M84" s="43"/>
      <c r="N84" s="43"/>
      <c r="O84" s="43"/>
      <c r="P84" s="182"/>
      <c r="Q84" s="182"/>
      <c r="R84" s="182"/>
      <c r="S84" s="182"/>
      <c r="T84" s="140" t="e">
        <v>#N/A</v>
      </c>
      <c r="U84" s="306"/>
      <c r="V84" s="182"/>
      <c r="W84" s="182"/>
    </row>
    <row r="85" spans="1:23">
      <c r="A85" s="44" t="s">
        <v>810</v>
      </c>
      <c r="B85" s="249" t="s">
        <v>811</v>
      </c>
      <c r="C85" s="44" t="s">
        <v>812</v>
      </c>
      <c r="D85" s="69" t="s">
        <v>256</v>
      </c>
      <c r="E85" s="69" t="s">
        <v>257</v>
      </c>
      <c r="F85" s="44" t="s">
        <v>814</v>
      </c>
      <c r="G85" s="43">
        <v>1099</v>
      </c>
      <c r="H85" s="43"/>
      <c r="I85" s="43">
        <v>1199</v>
      </c>
      <c r="J85" s="43"/>
      <c r="K85" s="43">
        <v>1264</v>
      </c>
      <c r="L85" s="244">
        <v>1200</v>
      </c>
      <c r="M85" s="43"/>
      <c r="N85" s="43"/>
      <c r="O85" s="43"/>
      <c r="P85" s="182"/>
      <c r="Q85" s="182"/>
      <c r="R85" s="182"/>
      <c r="S85" s="182"/>
      <c r="T85" s="306">
        <v>1096.7</v>
      </c>
      <c r="U85" s="306"/>
      <c r="V85" s="182"/>
      <c r="W85" s="182"/>
    </row>
    <row r="86" spans="1:23">
      <c r="A86" s="44" t="s">
        <v>815</v>
      </c>
      <c r="B86" s="249" t="s">
        <v>816</v>
      </c>
      <c r="C86" s="44" t="s">
        <v>817</v>
      </c>
      <c r="D86" s="69" t="s">
        <v>256</v>
      </c>
      <c r="E86" s="69" t="s">
        <v>257</v>
      </c>
      <c r="F86" s="44" t="s">
        <v>818</v>
      </c>
      <c r="G86" s="43">
        <v>1099</v>
      </c>
      <c r="H86" s="43"/>
      <c r="I86" s="43"/>
      <c r="J86" s="43"/>
      <c r="K86" s="43">
        <v>1264</v>
      </c>
      <c r="L86" s="43">
        <v>1200</v>
      </c>
      <c r="M86" s="43"/>
      <c r="N86" s="43"/>
      <c r="O86" s="43"/>
      <c r="P86" s="182"/>
      <c r="Q86" s="182"/>
      <c r="R86" s="182"/>
      <c r="S86" s="182"/>
      <c r="T86" s="306">
        <v>1096.7</v>
      </c>
      <c r="U86" s="306"/>
      <c r="V86" s="182"/>
      <c r="W86" s="182"/>
    </row>
    <row r="87" spans="1:23">
      <c r="A87" s="44" t="s">
        <v>819</v>
      </c>
      <c r="B87" s="249" t="s">
        <v>820</v>
      </c>
      <c r="C87" s="44" t="s">
        <v>821</v>
      </c>
      <c r="D87" s="44" t="s">
        <v>234</v>
      </c>
      <c r="E87" s="44" t="s">
        <v>912</v>
      </c>
      <c r="F87" s="44" t="s">
        <v>822</v>
      </c>
      <c r="G87" s="43">
        <v>17589</v>
      </c>
      <c r="H87" s="43"/>
      <c r="I87" s="43"/>
      <c r="J87" s="43">
        <v>29999</v>
      </c>
      <c r="K87" s="43">
        <v>18389</v>
      </c>
      <c r="L87" s="244">
        <v>16000</v>
      </c>
      <c r="M87" s="43"/>
      <c r="N87" s="43"/>
      <c r="O87" s="43"/>
      <c r="P87" s="182"/>
      <c r="Q87" s="182"/>
      <c r="R87" s="182"/>
      <c r="S87" s="182"/>
      <c r="T87" s="140" t="e">
        <v>#N/A</v>
      </c>
      <c r="U87" s="306"/>
      <c r="V87" s="182"/>
      <c r="W87" s="182"/>
    </row>
    <row r="88" spans="1:23">
      <c r="A88" s="44" t="s">
        <v>823</v>
      </c>
      <c r="B88" s="249" t="s">
        <v>824</v>
      </c>
      <c r="C88" s="44" t="s">
        <v>825</v>
      </c>
      <c r="D88" s="44" t="s">
        <v>234</v>
      </c>
      <c r="E88" s="44" t="s">
        <v>912</v>
      </c>
      <c r="F88" s="44" t="s">
        <v>826</v>
      </c>
      <c r="G88" s="43"/>
      <c r="H88" s="43"/>
      <c r="I88" s="43"/>
      <c r="J88" s="43"/>
      <c r="K88" s="43">
        <v>11499</v>
      </c>
      <c r="L88" s="43"/>
      <c r="M88" s="43"/>
      <c r="N88" s="43"/>
      <c r="O88" s="43"/>
      <c r="P88" s="182"/>
      <c r="Q88" s="182"/>
      <c r="R88" s="182"/>
      <c r="S88" s="182"/>
      <c r="T88" s="140" t="e">
        <v>#N/A</v>
      </c>
      <c r="U88" s="306"/>
      <c r="V88" s="182"/>
      <c r="W88" s="182"/>
    </row>
    <row r="89" spans="1:23">
      <c r="A89" s="44" t="s">
        <v>827</v>
      </c>
      <c r="B89" s="249" t="s">
        <v>828</v>
      </c>
      <c r="C89" s="44" t="s">
        <v>829</v>
      </c>
      <c r="D89" s="44" t="s">
        <v>234</v>
      </c>
      <c r="E89" s="44" t="s">
        <v>912</v>
      </c>
      <c r="F89" s="44" t="s">
        <v>830</v>
      </c>
      <c r="G89" s="43">
        <v>1849</v>
      </c>
      <c r="H89" s="43"/>
      <c r="I89" s="43"/>
      <c r="J89" s="43">
        <v>3599</v>
      </c>
      <c r="K89" s="43">
        <v>2238</v>
      </c>
      <c r="L89" s="43">
        <v>2000</v>
      </c>
      <c r="M89" s="43"/>
      <c r="N89" s="43"/>
      <c r="O89" s="43"/>
      <c r="P89" s="182"/>
      <c r="Q89" s="182"/>
      <c r="R89" s="182"/>
      <c r="S89" s="182"/>
      <c r="T89" s="306">
        <v>1827.84</v>
      </c>
      <c r="U89" s="306"/>
      <c r="V89" s="182"/>
      <c r="W89" s="182"/>
    </row>
    <row r="90" spans="1:23">
      <c r="A90" s="44" t="s">
        <v>831</v>
      </c>
      <c r="B90" s="249" t="s">
        <v>832</v>
      </c>
      <c r="C90" s="44" t="s">
        <v>833</v>
      </c>
      <c r="D90" s="44" t="s">
        <v>234</v>
      </c>
      <c r="E90" s="44" t="s">
        <v>912</v>
      </c>
      <c r="F90" s="44" t="s">
        <v>834</v>
      </c>
      <c r="G90" s="43">
        <v>1799</v>
      </c>
      <c r="H90" s="43"/>
      <c r="I90" s="43">
        <v>1749</v>
      </c>
      <c r="J90" s="43">
        <v>2899</v>
      </c>
      <c r="K90" s="43">
        <v>1839</v>
      </c>
      <c r="L90" s="244">
        <v>2000</v>
      </c>
      <c r="M90" s="43"/>
      <c r="N90" s="43"/>
      <c r="O90" s="43"/>
      <c r="P90" s="182"/>
      <c r="Q90" s="182"/>
      <c r="R90" s="182"/>
      <c r="S90" s="182"/>
      <c r="T90" s="306">
        <v>1827.84</v>
      </c>
      <c r="U90" s="306"/>
      <c r="V90" s="182"/>
      <c r="W90" s="182"/>
    </row>
    <row r="91" spans="1:23">
      <c r="A91" s="44" t="s">
        <v>835</v>
      </c>
      <c r="B91" s="75" t="s">
        <v>836</v>
      </c>
      <c r="C91" s="43" t="s">
        <v>837</v>
      </c>
      <c r="D91" s="69" t="s">
        <v>314</v>
      </c>
      <c r="E91" s="43" t="s">
        <v>800</v>
      </c>
      <c r="F91" s="69" t="s">
        <v>838</v>
      </c>
      <c r="G91" s="43"/>
      <c r="H91" s="43"/>
      <c r="I91" s="43"/>
      <c r="J91" s="43">
        <v>3099</v>
      </c>
      <c r="K91" s="43">
        <v>1649</v>
      </c>
      <c r="L91" s="43"/>
      <c r="M91" s="43"/>
      <c r="N91" s="43"/>
      <c r="O91" s="43"/>
      <c r="P91" s="182"/>
      <c r="Q91" s="182"/>
      <c r="R91" s="182"/>
      <c r="S91" s="182"/>
      <c r="T91" s="140" t="e">
        <v>#N/A</v>
      </c>
      <c r="U91" s="306"/>
      <c r="V91" s="182"/>
      <c r="W91" s="182"/>
    </row>
    <row r="92" spans="1:23">
      <c r="A92" s="44" t="s">
        <v>839</v>
      </c>
      <c r="B92" s="75" t="s">
        <v>840</v>
      </c>
      <c r="C92" s="43" t="s">
        <v>841</v>
      </c>
      <c r="D92" s="69" t="s">
        <v>314</v>
      </c>
      <c r="E92" s="43" t="s">
        <v>800</v>
      </c>
      <c r="F92" s="69" t="s">
        <v>842</v>
      </c>
      <c r="G92" s="43">
        <v>929</v>
      </c>
      <c r="H92" s="43"/>
      <c r="I92" s="43"/>
      <c r="J92" s="43">
        <v>1885</v>
      </c>
      <c r="K92" s="43">
        <v>2199</v>
      </c>
      <c r="L92" s="43"/>
      <c r="M92" s="43"/>
      <c r="N92" s="43"/>
      <c r="O92" s="43"/>
      <c r="P92" s="182"/>
      <c r="Q92" s="182"/>
      <c r="R92" s="182"/>
      <c r="S92" s="182"/>
      <c r="T92" s="140" t="e">
        <v>#N/A</v>
      </c>
      <c r="U92" s="306"/>
      <c r="V92" s="182"/>
      <c r="W92" s="182"/>
    </row>
    <row r="93" spans="1:23">
      <c r="A93" s="44" t="s">
        <v>843</v>
      </c>
      <c r="B93" s="75" t="s">
        <v>844</v>
      </c>
      <c r="C93" s="43" t="s">
        <v>845</v>
      </c>
      <c r="D93" s="69" t="s">
        <v>314</v>
      </c>
      <c r="E93" s="43" t="s">
        <v>800</v>
      </c>
      <c r="F93" s="69" t="s">
        <v>846</v>
      </c>
      <c r="G93" s="43">
        <v>1969</v>
      </c>
      <c r="H93" s="43"/>
      <c r="I93" s="43"/>
      <c r="J93" s="43">
        <v>3762</v>
      </c>
      <c r="K93" s="43">
        <v>2644</v>
      </c>
      <c r="L93" s="43"/>
      <c r="M93" s="43"/>
      <c r="N93" s="43"/>
      <c r="O93" s="43"/>
      <c r="P93" s="182"/>
      <c r="Q93" s="182"/>
      <c r="R93" s="182"/>
      <c r="S93" s="182"/>
      <c r="T93" s="140" t="e">
        <v>#N/A</v>
      </c>
      <c r="U93" s="306"/>
      <c r="V93" s="182"/>
      <c r="W93" s="182"/>
    </row>
    <row r="94" spans="1:23">
      <c r="A94" s="44" t="s">
        <v>847</v>
      </c>
      <c r="B94" s="75" t="s">
        <v>848</v>
      </c>
      <c r="C94" s="43" t="s">
        <v>849</v>
      </c>
      <c r="D94" s="69" t="s">
        <v>314</v>
      </c>
      <c r="E94" s="43" t="s">
        <v>800</v>
      </c>
      <c r="F94" s="69" t="s">
        <v>850</v>
      </c>
      <c r="G94" s="43"/>
      <c r="H94" s="43"/>
      <c r="I94" s="43"/>
      <c r="J94" s="43"/>
      <c r="K94" s="43">
        <v>11499</v>
      </c>
      <c r="L94" s="43"/>
      <c r="M94" s="43"/>
      <c r="N94" s="43"/>
      <c r="O94" s="43"/>
      <c r="P94" s="182"/>
      <c r="Q94" s="182"/>
      <c r="R94" s="182"/>
      <c r="S94" s="182"/>
      <c r="T94" s="140" t="e">
        <v>#N/A</v>
      </c>
      <c r="U94" s="306"/>
      <c r="V94" s="182"/>
      <c r="W94" s="182"/>
    </row>
    <row r="95" spans="1:23">
      <c r="A95" s="44" t="s">
        <v>851</v>
      </c>
      <c r="B95" s="75" t="s">
        <v>852</v>
      </c>
      <c r="C95" s="43" t="s">
        <v>853</v>
      </c>
      <c r="D95" s="69" t="s">
        <v>314</v>
      </c>
      <c r="E95" s="43" t="s">
        <v>800</v>
      </c>
      <c r="F95" s="69" t="s">
        <v>854</v>
      </c>
      <c r="G95" s="43">
        <v>5999</v>
      </c>
      <c r="H95" s="43"/>
      <c r="I95" s="43"/>
      <c r="J95" s="43">
        <v>11262</v>
      </c>
      <c r="K95" s="43">
        <v>6555</v>
      </c>
      <c r="L95" s="43"/>
      <c r="M95" s="43"/>
      <c r="N95" s="43"/>
      <c r="O95" s="43"/>
      <c r="P95" s="182"/>
      <c r="Q95" s="182"/>
      <c r="R95" s="182"/>
      <c r="S95" s="182"/>
      <c r="T95" s="140" t="e">
        <v>#N/A</v>
      </c>
      <c r="U95" s="306"/>
      <c r="V95" s="182"/>
      <c r="W95" s="182"/>
    </row>
    <row r="96" spans="1:23">
      <c r="A96" s="44" t="s">
        <v>855</v>
      </c>
      <c r="B96" s="75" t="s">
        <v>856</v>
      </c>
      <c r="C96" s="43" t="s">
        <v>857</v>
      </c>
      <c r="D96" s="69" t="s">
        <v>314</v>
      </c>
      <c r="E96" s="43" t="s">
        <v>800</v>
      </c>
      <c r="F96" s="69" t="s">
        <v>858</v>
      </c>
      <c r="G96" s="43">
        <v>1869</v>
      </c>
      <c r="H96" s="43"/>
      <c r="I96" s="43"/>
      <c r="J96" s="43">
        <v>3999</v>
      </c>
      <c r="K96" s="43">
        <v>2069</v>
      </c>
      <c r="L96" s="43"/>
      <c r="M96" s="43"/>
      <c r="N96" s="43"/>
      <c r="O96" s="43"/>
      <c r="P96" s="182"/>
      <c r="Q96" s="182"/>
      <c r="R96" s="182"/>
      <c r="S96" s="182"/>
      <c r="T96" s="140" t="e">
        <v>#N/A</v>
      </c>
      <c r="U96" s="306"/>
      <c r="V96" s="182"/>
      <c r="W96" s="182"/>
    </row>
    <row r="97" spans="1:23">
      <c r="A97" s="44" t="s">
        <v>859</v>
      </c>
      <c r="B97" s="249" t="s">
        <v>860</v>
      </c>
      <c r="C97" s="44" t="s">
        <v>861</v>
      </c>
      <c r="D97" s="44" t="s">
        <v>234</v>
      </c>
      <c r="E97" s="44" t="s">
        <v>912</v>
      </c>
      <c r="F97" s="44" t="s">
        <v>862</v>
      </c>
      <c r="G97" s="43">
        <v>3599</v>
      </c>
      <c r="H97" s="43"/>
      <c r="I97" s="43">
        <v>3699</v>
      </c>
      <c r="J97" s="43">
        <v>6499</v>
      </c>
      <c r="K97" s="43">
        <v>4139</v>
      </c>
      <c r="L97" s="244">
        <v>4000</v>
      </c>
      <c r="M97" s="43"/>
      <c r="N97" s="43"/>
      <c r="O97" s="43"/>
      <c r="P97" s="182"/>
      <c r="Q97" s="182"/>
      <c r="R97" s="182"/>
      <c r="S97" s="182"/>
      <c r="T97" s="306">
        <v>3655.68</v>
      </c>
      <c r="U97" s="306"/>
      <c r="V97" s="182"/>
      <c r="W97" s="182"/>
    </row>
    <row r="98" spans="1:23">
      <c r="A98" s="44" t="s">
        <v>863</v>
      </c>
      <c r="B98" s="44" t="s">
        <v>864</v>
      </c>
      <c r="C98" s="44" t="s">
        <v>865</v>
      </c>
      <c r="D98" s="44" t="s">
        <v>314</v>
      </c>
      <c r="E98" s="69" t="s">
        <v>444</v>
      </c>
      <c r="F98" s="44" t="s">
        <v>866</v>
      </c>
      <c r="G98" s="43"/>
      <c r="H98" s="43"/>
      <c r="I98" s="43"/>
      <c r="J98" s="43">
        <v>3499</v>
      </c>
      <c r="K98" s="43">
        <v>3449</v>
      </c>
      <c r="L98" s="244">
        <v>3060</v>
      </c>
      <c r="M98" s="43"/>
      <c r="N98" s="43"/>
      <c r="O98" s="43"/>
      <c r="P98" s="182"/>
      <c r="Q98" s="182"/>
      <c r="R98" s="182"/>
      <c r="S98" s="182"/>
      <c r="T98" s="140" t="e">
        <v>#N/A</v>
      </c>
      <c r="U98" s="306"/>
      <c r="V98" s="182"/>
      <c r="W98" s="182"/>
    </row>
    <row r="99" spans="1:23">
      <c r="A99" s="69" t="s">
        <v>870</v>
      </c>
      <c r="B99" s="75" t="s">
        <v>871</v>
      </c>
      <c r="C99" s="43" t="s">
        <v>872</v>
      </c>
      <c r="D99" s="44" t="s">
        <v>314</v>
      </c>
      <c r="E99" s="43" t="s">
        <v>315</v>
      </c>
      <c r="F99" s="43" t="s">
        <v>873</v>
      </c>
      <c r="G99" s="43">
        <v>799</v>
      </c>
      <c r="H99" s="43"/>
      <c r="I99" s="43"/>
      <c r="J99" s="43"/>
      <c r="K99" s="43">
        <v>804</v>
      </c>
      <c r="L99" s="244">
        <v>900</v>
      </c>
      <c r="M99" s="43"/>
      <c r="N99" s="43"/>
      <c r="O99" s="43"/>
      <c r="P99" s="182"/>
      <c r="Q99" s="182"/>
      <c r="R99" s="182"/>
      <c r="S99" s="182"/>
      <c r="T99" s="140" t="e">
        <v>#N/A</v>
      </c>
      <c r="U99" s="306"/>
      <c r="V99" s="182"/>
      <c r="W99" s="182"/>
    </row>
    <row r="100" spans="1:23">
      <c r="A100" s="69" t="s">
        <v>874</v>
      </c>
      <c r="B100" s="75" t="s">
        <v>875</v>
      </c>
      <c r="C100" s="43" t="s">
        <v>876</v>
      </c>
      <c r="D100" s="69" t="s">
        <v>234</v>
      </c>
      <c r="E100" s="43" t="s">
        <v>671</v>
      </c>
      <c r="F100" s="43" t="s">
        <v>878</v>
      </c>
      <c r="G100" s="43">
        <v>699</v>
      </c>
      <c r="H100" s="43"/>
      <c r="I100" s="43">
        <v>699</v>
      </c>
      <c r="J100" s="43"/>
      <c r="K100" s="43">
        <v>804</v>
      </c>
      <c r="L100" s="244">
        <v>740</v>
      </c>
      <c r="M100" s="43"/>
      <c r="N100" s="43"/>
      <c r="O100" s="43"/>
      <c r="P100" s="182"/>
      <c r="Q100" s="182"/>
      <c r="R100" s="182"/>
      <c r="S100" s="182"/>
      <c r="T100" s="140" t="e">
        <v>#N/A</v>
      </c>
      <c r="U100" s="306"/>
      <c r="V100" s="182"/>
      <c r="W100" s="182"/>
    </row>
    <row r="101" spans="1:23">
      <c r="A101" s="43" t="s">
        <v>879</v>
      </c>
      <c r="B101" s="75" t="s">
        <v>880</v>
      </c>
      <c r="C101" s="43" t="s">
        <v>881</v>
      </c>
      <c r="D101" s="69" t="s">
        <v>234</v>
      </c>
      <c r="E101" s="43" t="s">
        <v>671</v>
      </c>
      <c r="F101" s="43" t="s">
        <v>883</v>
      </c>
      <c r="G101" s="43">
        <v>549</v>
      </c>
      <c r="H101" s="43"/>
      <c r="I101" s="43"/>
      <c r="J101" s="43"/>
      <c r="K101" s="43">
        <v>630</v>
      </c>
      <c r="L101" s="244">
        <v>600</v>
      </c>
      <c r="M101" s="43"/>
      <c r="N101" s="43"/>
      <c r="O101" s="43"/>
      <c r="P101" s="182"/>
      <c r="Q101" s="182"/>
      <c r="R101" s="182"/>
      <c r="S101" s="182"/>
      <c r="T101" s="140" t="e">
        <v>#N/A</v>
      </c>
      <c r="U101" s="306"/>
      <c r="V101" s="182"/>
      <c r="W101" s="182"/>
    </row>
    <row r="102" spans="1:23">
      <c r="A102" s="43" t="s">
        <v>884</v>
      </c>
      <c r="B102" s="75" t="s">
        <v>885</v>
      </c>
      <c r="C102" s="43" t="s">
        <v>886</v>
      </c>
      <c r="D102" s="69" t="s">
        <v>234</v>
      </c>
      <c r="E102" s="43" t="s">
        <v>671</v>
      </c>
      <c r="F102" s="43" t="s">
        <v>888</v>
      </c>
      <c r="G102" s="43">
        <v>599</v>
      </c>
      <c r="H102" s="43"/>
      <c r="I102" s="43"/>
      <c r="J102" s="43"/>
      <c r="K102" s="43">
        <v>700</v>
      </c>
      <c r="L102" s="244">
        <v>600</v>
      </c>
      <c r="M102" s="43"/>
      <c r="N102" s="43"/>
      <c r="O102" s="43"/>
      <c r="P102" s="182"/>
      <c r="Q102" s="182"/>
      <c r="R102" s="182"/>
      <c r="S102" s="182"/>
      <c r="T102" s="140" t="e">
        <v>#N/A</v>
      </c>
      <c r="U102" s="306"/>
      <c r="V102" s="182"/>
      <c r="W102" s="182"/>
    </row>
    <row r="103" spans="1:23">
      <c r="A103" s="43" t="s">
        <v>889</v>
      </c>
      <c r="B103" s="75" t="s">
        <v>890</v>
      </c>
      <c r="C103" s="43" t="s">
        <v>891</v>
      </c>
      <c r="D103" s="69" t="s">
        <v>234</v>
      </c>
      <c r="E103" s="43" t="s">
        <v>671</v>
      </c>
      <c r="F103" s="43" t="s">
        <v>893</v>
      </c>
      <c r="G103" s="43">
        <v>2399</v>
      </c>
      <c r="H103" s="43"/>
      <c r="I103" s="43"/>
      <c r="J103" s="43"/>
      <c r="K103" s="43">
        <v>2760</v>
      </c>
      <c r="L103" s="244">
        <v>2400</v>
      </c>
      <c r="M103" s="43"/>
      <c r="N103" s="43"/>
      <c r="O103" s="43"/>
      <c r="P103" s="182"/>
      <c r="Q103" s="182"/>
      <c r="R103" s="182"/>
      <c r="S103" s="182"/>
      <c r="T103" s="140" t="e">
        <v>#N/A</v>
      </c>
      <c r="U103" s="306"/>
      <c r="V103" s="182"/>
      <c r="W103" s="182"/>
    </row>
    <row r="104" spans="1:23">
      <c r="A104" s="43" t="s">
        <v>895</v>
      </c>
      <c r="B104" s="75" t="s">
        <v>896</v>
      </c>
      <c r="C104" s="43" t="s">
        <v>897</v>
      </c>
      <c r="D104" s="69" t="s">
        <v>234</v>
      </c>
      <c r="E104" s="69" t="s">
        <v>235</v>
      </c>
      <c r="F104" s="43" t="s">
        <v>899</v>
      </c>
      <c r="G104" s="43">
        <v>359</v>
      </c>
      <c r="H104" s="43"/>
      <c r="I104" s="43">
        <v>699</v>
      </c>
      <c r="J104" s="43"/>
      <c r="K104" s="43">
        <v>425</v>
      </c>
      <c r="L104" s="43"/>
      <c r="M104" s="43"/>
      <c r="N104" s="43"/>
      <c r="O104" s="43"/>
      <c r="P104" s="182"/>
      <c r="Q104" s="182"/>
      <c r="R104" s="182"/>
      <c r="S104" s="182"/>
      <c r="T104" s="140" t="e">
        <v>#N/A</v>
      </c>
      <c r="U104" s="306"/>
      <c r="V104" s="182"/>
      <c r="W104" s="182"/>
    </row>
    <row r="105" spans="1:23">
      <c r="A105" s="182"/>
      <c r="B105" s="182"/>
      <c r="C105" s="182"/>
      <c r="D105" s="182"/>
      <c r="E105" s="182"/>
      <c r="F105" s="182"/>
      <c r="G105" s="182"/>
      <c r="H105" s="182"/>
      <c r="I105" s="182"/>
      <c r="J105" s="182"/>
      <c r="K105" s="182"/>
      <c r="L105" s="182"/>
      <c r="M105" s="182"/>
      <c r="N105" s="182"/>
      <c r="O105" s="182"/>
      <c r="P105" s="182"/>
      <c r="Q105" s="182"/>
      <c r="R105" s="182"/>
      <c r="S105" s="182"/>
      <c r="T105" s="140"/>
      <c r="U105" s="306"/>
      <c r="V105" s="182"/>
      <c r="W105" s="182"/>
    </row>
    <row r="106" spans="1:23">
      <c r="A106" s="182"/>
      <c r="B106" s="182"/>
      <c r="C106" s="182"/>
      <c r="D106" s="182"/>
      <c r="E106" s="182"/>
      <c r="F106" s="182"/>
      <c r="G106" s="182"/>
      <c r="H106" s="182"/>
      <c r="I106" s="182"/>
      <c r="J106" s="182"/>
      <c r="K106" s="182"/>
      <c r="L106" s="182"/>
      <c r="M106" s="182"/>
      <c r="N106" s="182"/>
      <c r="O106" s="182"/>
      <c r="P106" s="182"/>
      <c r="Q106" s="182"/>
      <c r="R106" s="182"/>
      <c r="S106" s="182"/>
      <c r="T106" s="140"/>
      <c r="U106" s="306"/>
      <c r="V106" s="182"/>
      <c r="W106" s="182"/>
    </row>
    <row r="107" spans="1:23">
      <c r="A107" s="182"/>
      <c r="B107" s="182"/>
      <c r="C107" s="182"/>
      <c r="D107" s="182"/>
      <c r="E107" s="182"/>
      <c r="F107" s="182"/>
      <c r="G107" s="182"/>
      <c r="H107" s="182"/>
      <c r="I107" s="182"/>
      <c r="J107" s="182"/>
      <c r="K107" s="182"/>
      <c r="L107" s="182"/>
      <c r="M107" s="182"/>
      <c r="N107" s="182"/>
      <c r="O107" s="182"/>
      <c r="P107" s="182"/>
      <c r="Q107" s="182"/>
      <c r="R107" s="182"/>
      <c r="S107" s="182"/>
      <c r="T107" s="140"/>
      <c r="U107" s="306"/>
      <c r="V107" s="182"/>
      <c r="W107" s="182"/>
    </row>
    <row r="108" spans="1:23">
      <c r="A108" s="182"/>
      <c r="B108" s="182"/>
      <c r="C108" s="182"/>
      <c r="D108" s="182"/>
      <c r="E108" s="182"/>
      <c r="F108" s="182"/>
      <c r="G108" s="182"/>
      <c r="H108" s="182"/>
      <c r="I108" s="182"/>
      <c r="J108" s="182"/>
      <c r="K108" s="182"/>
      <c r="L108" s="182"/>
      <c r="M108" s="182"/>
      <c r="N108" s="182"/>
      <c r="O108" s="182"/>
      <c r="P108" s="182"/>
      <c r="Q108" s="182"/>
      <c r="R108" s="182"/>
      <c r="S108" s="182"/>
      <c r="T108" s="140"/>
      <c r="U108" s="306"/>
      <c r="V108" s="182"/>
      <c r="W108" s="182"/>
    </row>
    <row r="109" spans="1:23">
      <c r="A109" s="182"/>
      <c r="B109" s="182"/>
      <c r="C109" s="182"/>
      <c r="D109" s="182"/>
      <c r="E109" s="182"/>
      <c r="F109" s="182"/>
      <c r="G109" s="182"/>
      <c r="H109" s="182"/>
      <c r="I109" s="182"/>
      <c r="J109" s="182"/>
      <c r="K109" s="182"/>
      <c r="L109" s="182"/>
      <c r="M109" s="182"/>
      <c r="N109" s="182"/>
      <c r="O109" s="182"/>
      <c r="P109" s="182"/>
      <c r="Q109" s="182"/>
      <c r="R109" s="182"/>
      <c r="S109" s="182"/>
      <c r="T109" s="140"/>
      <c r="U109" s="306"/>
      <c r="V109" s="182"/>
      <c r="W109" s="182"/>
    </row>
    <row r="110" spans="1:23">
      <c r="A110" s="182"/>
      <c r="B110" s="182"/>
      <c r="C110" s="182"/>
      <c r="D110" s="182"/>
      <c r="E110" s="182"/>
      <c r="F110" s="182"/>
      <c r="G110" s="182"/>
      <c r="H110" s="182"/>
      <c r="I110" s="182"/>
      <c r="J110" s="182"/>
      <c r="K110" s="182"/>
      <c r="L110" s="182"/>
      <c r="M110" s="182"/>
      <c r="N110" s="182"/>
      <c r="O110" s="182"/>
      <c r="P110" s="182"/>
      <c r="Q110" s="182"/>
      <c r="R110" s="182"/>
      <c r="S110" s="182"/>
      <c r="T110" s="140"/>
      <c r="U110" s="306"/>
      <c r="V110" s="182"/>
      <c r="W110" s="182"/>
    </row>
    <row r="111" spans="1:23">
      <c r="A111" s="182"/>
      <c r="B111" s="182"/>
      <c r="C111" s="182"/>
      <c r="D111" s="182"/>
      <c r="E111" s="182"/>
      <c r="F111" s="182"/>
      <c r="G111" s="182"/>
      <c r="H111" s="182"/>
      <c r="I111" s="182"/>
      <c r="J111" s="182"/>
      <c r="K111" s="182"/>
      <c r="L111" s="182"/>
      <c r="M111" s="182"/>
      <c r="N111" s="182"/>
      <c r="O111" s="182"/>
      <c r="P111" s="182"/>
      <c r="Q111" s="182"/>
      <c r="R111" s="182"/>
      <c r="S111" s="182"/>
      <c r="T111" s="140"/>
      <c r="U111" s="306"/>
      <c r="V111" s="182"/>
      <c r="W111" s="182"/>
    </row>
    <row r="112" spans="1:23">
      <c r="A112" s="182"/>
      <c r="B112" s="182"/>
      <c r="C112" s="182"/>
      <c r="D112" s="182"/>
      <c r="E112" s="182"/>
      <c r="F112" s="182"/>
      <c r="G112" s="182"/>
      <c r="H112" s="182"/>
      <c r="I112" s="182"/>
      <c r="J112" s="182"/>
      <c r="K112" s="182"/>
      <c r="L112" s="182"/>
      <c r="M112" s="182"/>
      <c r="N112" s="182"/>
      <c r="O112" s="182"/>
      <c r="P112" s="182"/>
      <c r="Q112" s="182"/>
      <c r="R112" s="182"/>
      <c r="S112" s="182"/>
      <c r="T112" s="140"/>
      <c r="U112" s="306"/>
      <c r="V112" s="182"/>
      <c r="W112" s="182"/>
    </row>
    <row r="113" spans="1:23">
      <c r="A113" s="182"/>
      <c r="B113" s="182"/>
      <c r="C113" s="182"/>
      <c r="D113" s="182"/>
      <c r="E113" s="182"/>
      <c r="F113" s="182"/>
      <c r="G113" s="182"/>
      <c r="H113" s="182"/>
      <c r="I113" s="182"/>
      <c r="J113" s="182"/>
      <c r="K113" s="182"/>
      <c r="L113" s="182"/>
      <c r="M113" s="182"/>
      <c r="N113" s="182"/>
      <c r="O113" s="182"/>
      <c r="P113" s="182"/>
      <c r="Q113" s="182"/>
      <c r="R113" s="182"/>
      <c r="S113" s="182"/>
      <c r="T113" s="140"/>
      <c r="U113" s="306"/>
      <c r="V113" s="182"/>
      <c r="W113" s="182"/>
    </row>
    <row r="114" spans="1:23">
      <c r="A114" s="182"/>
      <c r="B114" s="182"/>
      <c r="C114" s="182"/>
      <c r="D114" s="182"/>
      <c r="E114" s="182"/>
      <c r="F114" s="182"/>
      <c r="G114" s="182"/>
      <c r="H114" s="182"/>
      <c r="I114" s="182"/>
      <c r="J114" s="182"/>
      <c r="K114" s="182"/>
      <c r="L114" s="182"/>
      <c r="M114" s="182"/>
      <c r="N114" s="182"/>
      <c r="O114" s="182"/>
      <c r="P114" s="182"/>
      <c r="Q114" s="182"/>
      <c r="R114" s="182"/>
      <c r="S114" s="182"/>
      <c r="T114" s="140"/>
      <c r="U114" s="306"/>
      <c r="V114" s="182"/>
      <c r="W114" s="182"/>
    </row>
    <row r="115" spans="1:23">
      <c r="A115" s="182"/>
      <c r="B115" s="182"/>
      <c r="C115" s="182"/>
      <c r="D115" s="182"/>
      <c r="E115" s="182"/>
      <c r="F115" s="182"/>
      <c r="G115" s="182"/>
      <c r="H115" s="182"/>
      <c r="I115" s="182"/>
      <c r="J115" s="182"/>
      <c r="K115" s="182"/>
      <c r="L115" s="182"/>
      <c r="M115" s="182"/>
      <c r="N115" s="182"/>
      <c r="O115" s="182"/>
      <c r="P115" s="182"/>
      <c r="Q115" s="182"/>
      <c r="R115" s="182"/>
      <c r="S115" s="182"/>
      <c r="T115" s="140"/>
      <c r="U115" s="306"/>
      <c r="V115" s="182"/>
      <c r="W115" s="182"/>
    </row>
    <row r="116" spans="1:23">
      <c r="A116" s="182"/>
      <c r="B116" s="182"/>
      <c r="C116" s="182"/>
      <c r="D116" s="182"/>
      <c r="E116" s="182"/>
      <c r="F116" s="182"/>
      <c r="G116" s="182"/>
      <c r="H116" s="182"/>
      <c r="I116" s="182"/>
      <c r="J116" s="182"/>
      <c r="K116" s="182"/>
      <c r="L116" s="182"/>
      <c r="M116" s="182"/>
      <c r="N116" s="182"/>
      <c r="O116" s="182"/>
      <c r="P116" s="182"/>
      <c r="Q116" s="182"/>
      <c r="R116" s="182"/>
      <c r="S116" s="182"/>
      <c r="T116" s="140"/>
      <c r="U116" s="306"/>
      <c r="V116" s="182"/>
      <c r="W116" s="182"/>
    </row>
    <row r="117" spans="1:23">
      <c r="A117" s="182"/>
      <c r="B117" s="182"/>
      <c r="C117" s="182"/>
      <c r="D117" s="182"/>
      <c r="E117" s="182"/>
      <c r="F117" s="182"/>
      <c r="G117" s="182"/>
      <c r="H117" s="182"/>
      <c r="I117" s="182"/>
      <c r="J117" s="182"/>
      <c r="K117" s="182"/>
      <c r="L117" s="182"/>
      <c r="M117" s="182"/>
      <c r="N117" s="182"/>
      <c r="O117" s="182"/>
      <c r="P117" s="182"/>
      <c r="Q117" s="182"/>
      <c r="R117" s="182"/>
      <c r="S117" s="182"/>
      <c r="T117" s="367"/>
      <c r="U117" s="306"/>
      <c r="V117" s="182"/>
      <c r="W117" s="182"/>
    </row>
    <row r="118" spans="1:23">
      <c r="A118" s="182"/>
      <c r="B118" s="182"/>
      <c r="C118" s="182"/>
      <c r="D118" s="182"/>
      <c r="E118" s="182"/>
      <c r="F118" s="182"/>
      <c r="G118" s="182"/>
      <c r="H118" s="182"/>
      <c r="I118" s="182"/>
      <c r="J118" s="182"/>
      <c r="K118" s="182"/>
      <c r="L118" s="182"/>
      <c r="M118" s="182"/>
      <c r="N118" s="182"/>
      <c r="O118" s="182"/>
      <c r="P118" s="182"/>
      <c r="Q118" s="182"/>
      <c r="R118" s="182"/>
      <c r="S118" s="182"/>
      <c r="T118" s="140"/>
      <c r="U118" s="306"/>
      <c r="V118" s="182"/>
      <c r="W118" s="182"/>
    </row>
    <row r="119" spans="1:23">
      <c r="A119" s="182"/>
      <c r="B119" s="182"/>
      <c r="C119" s="182"/>
      <c r="D119" s="182"/>
      <c r="E119" s="182"/>
      <c r="F119" s="182"/>
      <c r="G119" s="182"/>
      <c r="H119" s="182"/>
      <c r="I119" s="182"/>
      <c r="J119" s="182"/>
      <c r="K119" s="182"/>
      <c r="L119" s="182"/>
      <c r="M119" s="182"/>
      <c r="N119" s="182"/>
      <c r="O119" s="182"/>
      <c r="P119" s="182"/>
      <c r="Q119" s="182"/>
      <c r="R119" s="182"/>
      <c r="S119" s="182"/>
      <c r="T119" s="367"/>
      <c r="U119" s="306"/>
      <c r="V119" s="182"/>
      <c r="W119" s="182"/>
    </row>
    <row r="120" spans="1:23">
      <c r="A120" s="182"/>
      <c r="B120" s="182"/>
      <c r="C120" s="182"/>
      <c r="D120" s="182"/>
      <c r="E120" s="182"/>
      <c r="F120" s="182"/>
      <c r="G120" s="182"/>
      <c r="H120" s="182"/>
      <c r="I120" s="182"/>
      <c r="J120" s="182"/>
      <c r="K120" s="182"/>
      <c r="L120" s="182"/>
      <c r="M120" s="182"/>
      <c r="N120" s="182"/>
      <c r="O120" s="182"/>
      <c r="P120" s="182"/>
      <c r="Q120" s="182"/>
      <c r="R120" s="182"/>
      <c r="S120" s="182"/>
      <c r="T120" s="367"/>
      <c r="U120" s="306"/>
      <c r="V120" s="182"/>
      <c r="W120" s="182"/>
    </row>
    <row r="121" spans="1:23">
      <c r="A121" s="182"/>
      <c r="B121" s="182"/>
      <c r="C121" s="182"/>
      <c r="D121" s="182"/>
      <c r="E121" s="182"/>
      <c r="F121" s="182"/>
      <c r="G121" s="182"/>
      <c r="H121" s="182"/>
      <c r="I121" s="182"/>
      <c r="J121" s="182"/>
      <c r="K121" s="182"/>
      <c r="L121" s="182"/>
      <c r="M121" s="182"/>
      <c r="N121" s="182"/>
      <c r="O121" s="182"/>
      <c r="P121" s="182"/>
      <c r="Q121" s="182"/>
      <c r="R121" s="182"/>
      <c r="S121" s="182"/>
      <c r="T121" s="140"/>
      <c r="U121" s="306"/>
      <c r="V121" s="182"/>
      <c r="W121" s="182"/>
    </row>
    <row r="122" spans="1:23">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row>
    <row r="123" spans="1:23">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row>
    <row r="124" spans="1:23">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row>
    <row r="125" spans="1:23">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row>
    <row r="126" spans="1:23">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row>
    <row r="127" spans="1:23">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row>
    <row r="128" spans="1:23">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row>
    <row r="129" spans="1:23">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row>
    <row r="130" spans="1:23">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row>
    <row r="131" spans="1:23">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row>
    <row r="132" spans="1:23">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row>
    <row r="133" spans="1:23">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row>
    <row r="134" spans="1:23">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row>
    <row r="135" spans="1:23">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row>
    <row r="136" spans="1:23">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row>
    <row r="137" spans="1:23">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row>
    <row r="138" spans="1:23">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row>
    <row r="139" spans="1:23">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row>
    <row r="140" spans="1:23">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row>
    <row r="141" spans="1:23">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row>
    <row r="142" spans="1:23">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row>
    <row r="143" spans="1:23">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row>
    <row r="144" spans="1:23">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row>
    <row r="145" spans="1:23">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row>
    <row r="146" spans="1:23">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row>
    <row r="147" spans="1:23">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row>
    <row r="148" spans="1:23">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row>
    <row r="149" spans="1:23">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row>
    <row r="150" spans="1:23">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row>
    <row r="151" spans="1:23">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row>
    <row r="152" spans="1:23">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row>
    <row r="153" spans="1:23">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row>
    <row r="154" spans="1:23">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row>
    <row r="155" spans="1:23">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row>
    <row r="156" spans="1:23">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row>
    <row r="157" spans="1:23">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row>
    <row r="158" spans="1:23">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row>
    <row r="159" spans="1:23">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row>
    <row r="160" spans="1:23">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row>
    <row r="161" spans="1:23">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row>
    <row r="162" spans="1:23">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row>
    <row r="163" spans="1:23">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row>
    <row r="164" spans="1:23">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row>
    <row r="165" spans="1:23">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row>
    <row r="166" spans="1:23">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row>
    <row r="167" spans="1:23">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row>
    <row r="168" spans="1:23">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row>
    <row r="169" spans="1:23">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row>
    <row r="170" spans="1:23">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row>
    <row r="171" spans="1:23">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row>
    <row r="172" spans="1:23">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row>
    <row r="173" spans="1:23">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row>
    <row r="174" spans="1:23">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row>
    <row r="175" spans="1:23">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row>
    <row r="176" spans="1:23">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row>
    <row r="177" spans="1:23">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row>
    <row r="178" spans="1:23">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row>
    <row r="179" spans="1:23">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row>
    <row r="180" spans="1:23">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row>
    <row r="181" spans="1:23">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row>
    <row r="182" spans="1:23">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row>
    <row r="183" spans="1:23">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row>
    <row r="184" spans="1:23">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row>
    <row r="185" spans="1:23">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row>
    <row r="186" spans="1:23">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row>
    <row r="187" spans="1:23">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row>
    <row r="188" spans="1:23">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row>
    <row r="189" spans="1:23">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row>
    <row r="190" spans="1:23">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row>
    <row r="191" spans="1:23">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row>
    <row r="192" spans="1:23">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row>
    <row r="193" spans="1:23">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row>
    <row r="194" spans="1:23">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row>
    <row r="195" spans="1:23">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row>
    <row r="196" spans="1:23">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row>
    <row r="197" spans="1:23">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row>
    <row r="198" spans="1:23">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row>
    <row r="199" spans="1:23">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row>
    <row r="200" spans="1:23">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row>
    <row r="201" spans="1:23">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row>
    <row r="202" spans="1:23">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row>
    <row r="203" spans="1:23">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row>
    <row r="204" spans="1:23">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row>
    <row r="205" spans="1:23">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row>
    <row r="206" spans="1:23">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row>
    <row r="207" spans="1:23">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row>
    <row r="208" spans="1:23">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row>
    <row r="209" spans="1:23">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row>
    <row r="210" spans="1:23">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row>
    <row r="211" spans="1:23">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row>
    <row r="212" spans="1:23">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row>
    <row r="213" spans="1:23">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row>
    <row r="214" spans="1:23">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row>
    <row r="215" spans="1:23">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row>
    <row r="216" spans="1:23">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row>
    <row r="217" spans="1:23">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row>
    <row r="218" spans="1:23">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row>
    <row r="219" spans="1:23">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row>
    <row r="220" spans="1:23">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row>
    <row r="221" spans="1:23">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row>
    <row r="222" spans="1:23">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row>
    <row r="223" spans="1:23">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row>
    <row r="224" spans="1:23">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row>
    <row r="225" spans="1:23">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row>
    <row r="226" spans="1:23">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row>
    <row r="227" spans="1:23">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row>
    <row r="228" spans="1:23">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row>
    <row r="229" spans="1:23">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row>
    <row r="230" spans="1:23">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row>
    <row r="231" spans="1:23">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row>
    <row r="232" spans="1:23">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row>
    <row r="233" spans="1:23">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row>
    <row r="234" spans="1:23">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row>
    <row r="235" spans="1:23">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row>
    <row r="236" spans="1:23">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row>
    <row r="237" spans="1:23">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row>
    <row r="238" spans="1:23">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row>
    <row r="239" spans="1:23">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row>
    <row r="240" spans="1:23">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row>
    <row r="241" spans="1:23">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row>
    <row r="242" spans="1:23">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row>
    <row r="243" spans="1:23">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row>
    <row r="244" spans="1:23">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row>
    <row r="245" spans="1:23">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row>
    <row r="246" spans="1:23">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row>
    <row r="247" spans="1:23">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row>
    <row r="248" spans="1:23">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row>
    <row r="249" spans="1:23">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row>
    <row r="250" spans="1:23">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row>
    <row r="251" spans="1:23">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row>
    <row r="252" spans="1:23">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row>
    <row r="253" spans="1:23">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row>
    <row r="254" spans="1:23">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row>
    <row r="255" spans="1:23">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row>
    <row r="256" spans="1:23">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row>
    <row r="257" spans="1:23">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row>
    <row r="258" spans="1:23">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row>
    <row r="259" spans="1:23">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row>
    <row r="260" spans="1:23">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row>
    <row r="261" spans="1:23">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row>
    <row r="262" spans="1:23">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row>
    <row r="263" spans="1:23">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row>
    <row r="264" spans="1:23">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row>
    <row r="265" spans="1:23">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row>
    <row r="266" spans="1:23">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row>
    <row r="267" spans="1:23">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row>
    <row r="268" spans="1:23">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row>
    <row r="269" spans="1:23">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row>
    <row r="270" spans="1:23">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row>
    <row r="271" spans="1:23">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row>
    <row r="272" spans="1:23">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row>
    <row r="273" spans="1:23">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row>
    <row r="274" spans="1:23">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row>
    <row r="275" spans="1:23">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row>
    <row r="276" spans="1:23">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row>
    <row r="277" spans="1:23">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row>
    <row r="278" spans="1:23">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row>
    <row r="279" spans="1:23">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row>
    <row r="280" spans="1:23">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row>
    <row r="281" spans="1:23">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row>
    <row r="282" spans="1:23">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row>
    <row r="283" spans="1:23">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row>
    <row r="284" spans="1:23">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row>
    <row r="285" spans="1:23">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row>
    <row r="286" spans="1:23">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row>
    <row r="287" spans="1:23">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row>
    <row r="288" spans="1:23">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row>
    <row r="289" spans="1:23">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row>
    <row r="290" spans="1:23">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row>
    <row r="291" spans="1:23">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row>
    <row r="292" spans="1:23">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row>
    <row r="293" spans="1:23">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row>
    <row r="294" spans="1:23">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row>
    <row r="295" spans="1:23">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row>
    <row r="296" spans="1:23">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row>
    <row r="297" spans="1:23">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row>
    <row r="298" spans="1:23">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row>
    <row r="299" spans="1:23">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row>
    <row r="300" spans="1:23">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row>
    <row r="301" spans="1:23">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row>
    <row r="302" spans="1:23">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row>
    <row r="303" spans="1:23">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row>
    <row r="304" spans="1:23">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row>
    <row r="305" spans="1:23">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row>
    <row r="306" spans="1:23">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row>
    <row r="307" spans="1:23">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row>
    <row r="308" spans="1:23">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row>
    <row r="309" spans="1:23">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row>
    <row r="310" spans="1:23">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row>
    <row r="311" spans="1:23">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row>
    <row r="312" spans="1:23">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row>
    <row r="313" spans="1:23">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row>
    <row r="314" spans="1:23">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row>
    <row r="315" spans="1:23">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row>
    <row r="316" spans="1:23">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row>
    <row r="317" spans="1:23">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row>
    <row r="318" spans="1:23">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row>
    <row r="319" spans="1:23">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row>
    <row r="320" spans="1:23">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row>
    <row r="321" spans="1:23">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row>
    <row r="322" spans="1:23">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row>
    <row r="323" spans="1:23">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row>
    <row r="324" spans="1:23">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row>
    <row r="325" spans="1:23">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row>
    <row r="326" spans="1:23">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row>
    <row r="327" spans="1:23">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row>
    <row r="328" spans="1:23">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row>
    <row r="329" spans="1:23">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row>
    <row r="330" spans="1:23">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row>
    <row r="331" spans="1:23">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row>
    <row r="332" spans="1:23">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row>
    <row r="333" spans="1:23">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row>
    <row r="334" spans="1:23">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row>
    <row r="335" spans="1:23">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row>
    <row r="336" spans="1:23">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row>
    <row r="337" spans="1:23">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row>
    <row r="338" spans="1:23">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row>
    <row r="339" spans="1:23">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row>
    <row r="340" spans="1:23">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row>
    <row r="341" spans="1:23">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row>
    <row r="342" spans="1:23">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row>
    <row r="343" spans="1:23">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row>
    <row r="344" spans="1:23">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row>
    <row r="345" spans="1:23">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row>
    <row r="346" spans="1:23">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row>
    <row r="347" spans="1:23">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row>
    <row r="348" spans="1:23">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row>
    <row r="349" spans="1:23">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row>
    <row r="350" spans="1:23">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row>
    <row r="351" spans="1:23">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row>
    <row r="352" spans="1:23">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row>
    <row r="353" spans="1:23">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row>
    <row r="354" spans="1:23">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row>
    <row r="355" spans="1:23">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row>
    <row r="356" spans="1:23">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row>
    <row r="357" spans="1:23">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row>
    <row r="358" spans="1:23">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row>
    <row r="359" spans="1:23">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row>
    <row r="360" spans="1:23">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row>
    <row r="361" spans="1:23">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row>
    <row r="362" spans="1:23">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row>
    <row r="363" spans="1:23">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row>
    <row r="364" spans="1:23">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row>
    <row r="365" spans="1:23">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row>
    <row r="366" spans="1:23">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row>
    <row r="367" spans="1:23">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row>
    <row r="368" spans="1:23">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row>
    <row r="369" spans="1:23">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row>
    <row r="370" spans="1:23">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row>
    <row r="371" spans="1:23">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row>
    <row r="372" spans="1:23">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row>
    <row r="373" spans="1:23">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row>
    <row r="374" spans="1:23">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row>
    <row r="375" spans="1:23">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row>
    <row r="376" spans="1:23">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row>
    <row r="377" spans="1:23">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row>
    <row r="378" spans="1:23">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row>
    <row r="379" spans="1:23">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row>
    <row r="380" spans="1:23">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row>
    <row r="381" spans="1:23">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row>
    <row r="382" spans="1:23">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row>
    <row r="383" spans="1:23">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row>
    <row r="384" spans="1:23">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row>
    <row r="385" spans="1:23">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row>
    <row r="386" spans="1:23">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row>
    <row r="387" spans="1:23">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row>
    <row r="388" spans="1:23">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row>
    <row r="389" spans="1:23">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row>
    <row r="390" spans="1:23">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row>
    <row r="391" spans="1:23">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row>
    <row r="392" spans="1:23">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row>
    <row r="393" spans="1:23">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row>
    <row r="394" spans="1:23">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row>
    <row r="395" spans="1:23">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row>
    <row r="396" spans="1:23">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row>
    <row r="397" spans="1:23">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row>
    <row r="398" spans="1:23">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row>
    <row r="399" spans="1:23">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row>
    <row r="400" spans="1:23">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row>
    <row r="401" spans="1:23">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row>
    <row r="402" spans="1:23">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row>
    <row r="403" spans="1:23">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row>
    <row r="404" spans="1:23">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row>
    <row r="405" spans="1:23">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row>
    <row r="406" spans="1:23">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row>
    <row r="407" spans="1:23">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row>
    <row r="408" spans="1:23">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row>
    <row r="409" spans="1:23">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row>
    <row r="410" spans="1:23">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row>
    <row r="411" spans="1:23">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row>
    <row r="412" spans="1:23">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row>
    <row r="413" spans="1:23">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row>
    <row r="414" spans="1:23">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row>
    <row r="415" spans="1:23">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row>
    <row r="416" spans="1:23">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row>
    <row r="417" spans="1:23">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row>
    <row r="418" spans="1:23">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row>
    <row r="419" spans="1:23">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row>
    <row r="420" spans="1:23">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row>
    <row r="421" spans="1:23">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row>
    <row r="422" spans="1:23">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row>
    <row r="423" spans="1:23">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row>
    <row r="424" spans="1:23">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row>
    <row r="425" spans="1:23">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row>
    <row r="426" spans="1:23">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row>
    <row r="427" spans="1:23">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row>
    <row r="428" spans="1:23">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row>
    <row r="429" spans="1:23">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row>
    <row r="430" spans="1:23">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row>
    <row r="431" spans="1:23">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row>
    <row r="432" spans="1:23">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row>
    <row r="433" spans="1:23">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row>
    <row r="434" spans="1:23">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row>
    <row r="435" spans="1:23">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row>
    <row r="436" spans="1:23">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row>
    <row r="437" spans="1:23">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row>
    <row r="438" spans="1:23">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row>
    <row r="439" spans="1:23">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row>
    <row r="440" spans="1:23">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row>
    <row r="441" spans="1:23">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row>
    <row r="442" spans="1:23">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row>
    <row r="443" spans="1:23">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row>
    <row r="444" spans="1:23">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row>
    <row r="445" spans="1:23">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row>
    <row r="446" spans="1:23">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row>
    <row r="447" spans="1:23">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row>
    <row r="448" spans="1:23">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row>
    <row r="449" spans="1:23">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row>
    <row r="450" spans="1:23">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row>
    <row r="451" spans="1:23">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row>
    <row r="452" spans="1:23">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row>
    <row r="453" spans="1:23">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row>
    <row r="454" spans="1:23">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row>
    <row r="455" spans="1:23">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row>
    <row r="456" spans="1:23">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row>
    <row r="457" spans="1:23">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row>
    <row r="458" spans="1:23">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row>
    <row r="459" spans="1:23">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row>
    <row r="460" spans="1:23">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row>
    <row r="461" spans="1:23">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row>
    <row r="462" spans="1:23">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row>
    <row r="463" spans="1:23">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row>
    <row r="464" spans="1:23">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row>
    <row r="465" spans="1:23">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row>
    <row r="466" spans="1:23">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row>
    <row r="467" spans="1:23">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row>
    <row r="468" spans="1:23">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row>
    <row r="469" spans="1:23">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row>
    <row r="470" spans="1:23">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row>
    <row r="471" spans="1:23">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row>
    <row r="472" spans="1:23">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row>
    <row r="473" spans="1:23">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row>
    <row r="474" spans="1:23">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row>
    <row r="475" spans="1:23">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row>
    <row r="476" spans="1:23">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row>
    <row r="477" spans="1:23">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row>
    <row r="478" spans="1:23">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row>
    <row r="479" spans="1:23">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row>
    <row r="480" spans="1:23">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row>
    <row r="481" spans="1:23">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row>
    <row r="482" spans="1:23">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row>
    <row r="483" spans="1:23">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row>
    <row r="484" spans="1:23">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row>
    <row r="485" spans="1:23">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row>
    <row r="486" spans="1:23">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row>
    <row r="487" spans="1:23">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row>
    <row r="488" spans="1:23">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row>
    <row r="489" spans="1:23">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row>
    <row r="490" spans="1:23">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row>
    <row r="491" spans="1:23">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row>
    <row r="492" spans="1:23">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row>
    <row r="493" spans="1:23">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row>
    <row r="494" spans="1:23">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row>
    <row r="495" spans="1:23">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row>
    <row r="496" spans="1:23">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row>
    <row r="497" spans="1:23">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row>
    <row r="498" spans="1:23">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row>
    <row r="499" spans="1:23">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row>
    <row r="500" spans="1:23">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row>
    <row r="501" spans="1:23">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row>
    <row r="502" spans="1:23">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row>
    <row r="503" spans="1:23">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row>
    <row r="504" spans="1:23">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row>
    <row r="505" spans="1:23">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row>
    <row r="506" spans="1:23">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row>
    <row r="507" spans="1:23">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row>
    <row r="508" spans="1:23">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row>
    <row r="509" spans="1:23">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row>
    <row r="510" spans="1:23">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row>
    <row r="511" spans="1:23">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row>
    <row r="512" spans="1:23">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row>
    <row r="513" spans="1:23">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row>
    <row r="514" spans="1:23">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row>
    <row r="515" spans="1:23">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row>
    <row r="516" spans="1:23">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row>
    <row r="517" spans="1:23">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row>
    <row r="518" spans="1:23">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row>
    <row r="519" spans="1:23">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row>
    <row r="520" spans="1:23">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row>
    <row r="521" spans="1:23">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row>
    <row r="522" spans="1:23">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row>
    <row r="523" spans="1:23">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row>
    <row r="524" spans="1:23">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row>
    <row r="525" spans="1:23">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row>
    <row r="526" spans="1:23">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row>
    <row r="527" spans="1:23">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row>
    <row r="528" spans="1:23">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row>
    <row r="529" spans="1:23">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row>
    <row r="530" spans="1:23">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row>
    <row r="531" spans="1:23">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row>
    <row r="532" spans="1:23">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row>
    <row r="533" spans="1:23">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row>
    <row r="534" spans="1:23">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row>
    <row r="535" spans="1:23">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row>
    <row r="536" spans="1:23">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row>
    <row r="537" spans="1:23">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row>
    <row r="538" spans="1:23">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row>
    <row r="539" spans="1:23">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row>
    <row r="540" spans="1:23">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row>
    <row r="541" spans="1:23">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row>
    <row r="542" spans="1:23">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row>
    <row r="543" spans="1:23">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row>
    <row r="544" spans="1:23">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row>
    <row r="545" spans="1:23">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row>
    <row r="546" spans="1:23">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row>
    <row r="547" spans="1:23">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row>
    <row r="548" spans="1:23">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row>
    <row r="549" spans="1:23">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row>
    <row r="550" spans="1:23">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row>
    <row r="551" spans="1:23">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row>
    <row r="552" spans="1:23">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row>
    <row r="553" spans="1:23">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row>
    <row r="554" spans="1:23">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row>
    <row r="555" spans="1:23">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row>
    <row r="556" spans="1:23">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row>
    <row r="557" spans="1:23">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row>
    <row r="558" spans="1:23">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row>
    <row r="559" spans="1:23">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row>
    <row r="560" spans="1:23">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row>
    <row r="561" spans="1:23">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row>
    <row r="562" spans="1:23">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row>
    <row r="563" spans="1:23">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row>
    <row r="564" spans="1:23">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row>
    <row r="565" spans="1:23">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row>
    <row r="566" spans="1:23">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row>
    <row r="567" spans="1:23">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row>
    <row r="568" spans="1:23">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row>
    <row r="569" spans="1:23">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row>
    <row r="570" spans="1:23">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row>
    <row r="571" spans="1:23">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row>
    <row r="572" spans="1:23">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row>
    <row r="573" spans="1:23">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row>
    <row r="574" spans="1:23">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row>
    <row r="575" spans="1:23">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row>
    <row r="576" spans="1:23">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row>
    <row r="577" spans="1:23">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row>
    <row r="578" spans="1:23">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row>
    <row r="579" spans="1:23">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row>
    <row r="580" spans="1:23">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row>
    <row r="581" spans="1:23">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row>
    <row r="582" spans="1:23">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row>
    <row r="583" spans="1:23">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row>
    <row r="584" spans="1:23">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row>
    <row r="585" spans="1:23">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row>
    <row r="586" spans="1:23">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row>
    <row r="587" spans="1:23">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row>
    <row r="588" spans="1:23">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row>
    <row r="589" spans="1:23">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row>
    <row r="590" spans="1:23">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row>
    <row r="591" spans="1:23">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row>
    <row r="592" spans="1:23">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row>
    <row r="593" spans="1:23">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row>
    <row r="594" spans="1:23">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row>
    <row r="595" spans="1:23">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row>
    <row r="596" spans="1:23">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row>
    <row r="597" spans="1:23">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row>
    <row r="598" spans="1:23">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row>
    <row r="599" spans="1:23">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row>
    <row r="600" spans="1:23">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row>
    <row r="601" spans="1:23">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row>
    <row r="602" spans="1:23">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row>
    <row r="603" spans="1:23">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row>
    <row r="604" spans="1:23">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row>
    <row r="605" spans="1:23">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row>
    <row r="606" spans="1:23">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row>
    <row r="607" spans="1:23">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row>
    <row r="608" spans="1:23">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row>
    <row r="609" spans="1:23">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row>
    <row r="610" spans="1:23">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row>
    <row r="611" spans="1:23">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row>
    <row r="612" spans="1:23">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row>
    <row r="613" spans="1:23">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row>
    <row r="614" spans="1:23">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row>
    <row r="615" spans="1:23">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row>
    <row r="616" spans="1:23">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row>
    <row r="617" spans="1:23">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row>
    <row r="618" spans="1:23">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row>
    <row r="619" spans="1:23">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row>
    <row r="620" spans="1:23">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row>
    <row r="621" spans="1:23">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row>
    <row r="622" spans="1:23">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row>
    <row r="623" spans="1:23">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row>
    <row r="624" spans="1:23">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row>
    <row r="625" spans="1:23">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row>
    <row r="626" spans="1:23">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row>
    <row r="627" spans="1:23">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row>
    <row r="628" spans="1:23">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row>
    <row r="629" spans="1:23">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row>
    <row r="630" spans="1:23">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row>
    <row r="631" spans="1:23">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row>
    <row r="632" spans="1:23">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row>
    <row r="633" spans="1:23">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row>
    <row r="634" spans="1:23">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row>
    <row r="635" spans="1:23">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row>
    <row r="636" spans="1:23">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row>
    <row r="637" spans="1:23">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row>
    <row r="638" spans="1:23">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row>
    <row r="639" spans="1:23">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row>
    <row r="640" spans="1:23">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row>
    <row r="641" spans="1:23">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row>
    <row r="642" spans="1:23">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row>
    <row r="643" spans="1:23">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row>
    <row r="644" spans="1:23">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row>
    <row r="645" spans="1:23">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row>
    <row r="646" spans="1:23">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row>
    <row r="647" spans="1:23">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row>
    <row r="648" spans="1:23">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row>
    <row r="649" spans="1:23">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row>
    <row r="650" spans="1:23">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row>
    <row r="651" spans="1:23">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row>
    <row r="652" spans="1:23">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row>
    <row r="653" spans="1:23">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row>
    <row r="654" spans="1:23">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row>
    <row r="655" spans="1:23">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row>
    <row r="656" spans="1:23">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row>
    <row r="657" spans="1:23">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row>
    <row r="658" spans="1:23">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row>
    <row r="659" spans="1:23">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row>
    <row r="660" spans="1:23">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row>
    <row r="661" spans="1:23">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row>
    <row r="662" spans="1:23">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row>
    <row r="663" spans="1:23">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row>
    <row r="664" spans="1:23">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row>
    <row r="665" spans="1:23">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row>
    <row r="666" spans="1:23">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row>
    <row r="667" spans="1:23">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row>
    <row r="668" spans="1:23">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row>
    <row r="669" spans="1:23">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row>
    <row r="670" spans="1:23">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row>
    <row r="671" spans="1:23">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row>
    <row r="672" spans="1:23">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row>
    <row r="673" spans="1:23">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row>
    <row r="674" spans="1:23">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row>
    <row r="675" spans="1:23">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row>
    <row r="676" spans="1:23">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row>
    <row r="677" spans="1:23">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row>
    <row r="678" spans="1:23">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row>
    <row r="679" spans="1:23">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row>
    <row r="680" spans="1:23">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row>
    <row r="681" spans="1:23">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row>
    <row r="682" spans="1:23">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row>
    <row r="683" spans="1:23">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row>
    <row r="684" spans="1:23">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row>
    <row r="685" spans="1:23">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row>
    <row r="686" spans="1:23">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row>
    <row r="687" spans="1:23">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row>
    <row r="688" spans="1:23">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row>
    <row r="689" spans="1:23">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row>
    <row r="690" spans="1:23">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row>
    <row r="691" spans="1:23">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row>
    <row r="692" spans="1:23">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row>
    <row r="693" spans="1:23">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row>
    <row r="694" spans="1:23">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row>
    <row r="695" spans="1:23">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row>
    <row r="696" spans="1:23">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row>
    <row r="697" spans="1:23">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row>
    <row r="698" spans="1:23">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row>
    <row r="699" spans="1:23">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row>
    <row r="700" spans="1:23">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row>
    <row r="701" spans="1:23">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row>
    <row r="702" spans="1:23">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row>
    <row r="703" spans="1:23">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row>
    <row r="704" spans="1:23">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row>
    <row r="705" spans="1:23">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row>
    <row r="706" spans="1:23">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row>
    <row r="707" spans="1:23">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row>
    <row r="708" spans="1:23">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row>
    <row r="709" spans="1:23">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row>
    <row r="710" spans="1:23">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row>
    <row r="711" spans="1:23">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row>
    <row r="712" spans="1:23">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row>
    <row r="713" spans="1:23">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row>
    <row r="714" spans="1:23">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row>
    <row r="715" spans="1:23">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row>
    <row r="716" spans="1:23">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row>
    <row r="717" spans="1:23">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row>
    <row r="718" spans="1:23">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row>
    <row r="719" spans="1:23">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row>
    <row r="720" spans="1:23">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row>
    <row r="721" spans="1:23">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row>
    <row r="722" spans="1:23">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row>
    <row r="723" spans="1:23">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row>
    <row r="724" spans="1:23">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row>
    <row r="725" spans="1:23">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row>
    <row r="726" spans="1:23">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row>
    <row r="727" spans="1:23">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row>
    <row r="728" spans="1:23">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row>
    <row r="729" spans="1:23">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row>
    <row r="730" spans="1:23">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row>
    <row r="731" spans="1:23">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row>
    <row r="732" spans="1:23">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row>
    <row r="733" spans="1:23">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row>
    <row r="734" spans="1:23">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row>
    <row r="735" spans="1:23">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row>
    <row r="736" spans="1:23">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row>
    <row r="737" spans="1:23">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row>
    <row r="738" spans="1:23">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row>
    <row r="739" spans="1:23">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row>
    <row r="740" spans="1:23">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row>
    <row r="741" spans="1:23">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row>
    <row r="742" spans="1:23">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row>
    <row r="743" spans="1:23">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row>
    <row r="744" spans="1:23">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row>
    <row r="745" spans="1:23">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row>
    <row r="746" spans="1:23">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row>
    <row r="747" spans="1:23">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row>
    <row r="748" spans="1:23">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row>
    <row r="749" spans="1:23">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row>
    <row r="750" spans="1:23">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row>
    <row r="751" spans="1:23">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row>
    <row r="752" spans="1:23">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row>
    <row r="753" spans="1:23">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row>
    <row r="754" spans="1:23">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row>
    <row r="755" spans="1:23">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row>
    <row r="756" spans="1:23">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row>
    <row r="757" spans="1:23">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row>
    <row r="758" spans="1:23">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row>
    <row r="759" spans="1:23">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row>
    <row r="760" spans="1:23">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row>
    <row r="761" spans="1:23">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row>
    <row r="762" spans="1:23">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row>
    <row r="763" spans="1:23">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row>
    <row r="764" spans="1:23">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row>
    <row r="765" spans="1:23">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row>
    <row r="766" spans="1:23">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row>
    <row r="767" spans="1:23">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row>
    <row r="768" spans="1:23">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row>
    <row r="769" spans="1:23">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row>
    <row r="770" spans="1:23">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row>
    <row r="771" spans="1:23">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row>
    <row r="772" spans="1:23">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row>
    <row r="773" spans="1:23">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row>
    <row r="774" spans="1:23">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row>
    <row r="775" spans="1:23">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row>
    <row r="776" spans="1:23">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row>
    <row r="777" spans="1:23">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row>
    <row r="778" spans="1:23">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row>
    <row r="779" spans="1:23">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row>
    <row r="780" spans="1:23">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row>
    <row r="781" spans="1:23">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row>
    <row r="782" spans="1:23">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row>
    <row r="783" spans="1:23">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row>
    <row r="784" spans="1:23">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row>
    <row r="785" spans="1:23">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row>
    <row r="786" spans="1:23">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row>
    <row r="787" spans="1:23">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row>
    <row r="788" spans="1:23">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row>
    <row r="789" spans="1:23">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row>
    <row r="790" spans="1:23">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row>
    <row r="791" spans="1:23">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row>
    <row r="792" spans="1:23">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row>
    <row r="793" spans="1:23">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row>
    <row r="794" spans="1:23">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row>
    <row r="795" spans="1:23">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row>
    <row r="796" spans="1:23">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row>
    <row r="797" spans="1:23">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row>
    <row r="798" spans="1:23">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row>
    <row r="799" spans="1:23">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row>
    <row r="800" spans="1:23">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row>
    <row r="801" spans="1:23">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row>
    <row r="802" spans="1:23">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row>
    <row r="803" spans="1:23">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row>
    <row r="804" spans="1:23">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row>
    <row r="805" spans="1:23">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row>
    <row r="806" spans="1:23">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row>
    <row r="807" spans="1:23">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row>
    <row r="808" spans="1:23">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row>
    <row r="809" spans="1:23">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row>
    <row r="810" spans="1:23">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row>
    <row r="811" spans="1:23">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row>
    <row r="812" spans="1:23">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row>
    <row r="813" spans="1:23">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row>
    <row r="814" spans="1:23">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row>
    <row r="815" spans="1:23">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row>
    <row r="816" spans="1:23">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row>
    <row r="817" spans="1:23">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row>
    <row r="818" spans="1:23">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row>
    <row r="819" spans="1:23">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row>
    <row r="820" spans="1:23">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row>
    <row r="821" spans="1:23">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row>
    <row r="822" spans="1:23">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row>
    <row r="823" spans="1:23">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row>
    <row r="824" spans="1:23">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row>
    <row r="825" spans="1:23">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row>
    <row r="826" spans="1:23">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row>
    <row r="827" spans="1:23">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row>
    <row r="828" spans="1:23">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row>
    <row r="829" spans="1:23">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row>
    <row r="830" spans="1:23">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row>
    <row r="831" spans="1:23">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row>
    <row r="832" spans="1:23">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row>
    <row r="833" spans="1:23">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row>
    <row r="834" spans="1:23">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row>
    <row r="835" spans="1:23">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row>
    <row r="836" spans="1:23">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row>
    <row r="837" spans="1:23">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row>
    <row r="838" spans="1:23">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row>
    <row r="839" spans="1:23">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row>
    <row r="840" spans="1:23">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row>
    <row r="841" spans="1:23">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row>
    <row r="842" spans="1:23">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row>
    <row r="843" spans="1:23">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row>
    <row r="844" spans="1:23">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row>
    <row r="845" spans="1:23">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row>
    <row r="846" spans="1:23">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row>
    <row r="847" spans="1:23">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row>
    <row r="848" spans="1:23">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row>
    <row r="849" spans="1:23">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row>
    <row r="850" spans="1:23">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row>
    <row r="851" spans="1:23">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row>
    <row r="852" spans="1:23">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row>
    <row r="853" spans="1:23">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row>
    <row r="854" spans="1:23">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row>
    <row r="855" spans="1:23">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row>
    <row r="856" spans="1:23">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row>
    <row r="857" spans="1:23">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row>
    <row r="858" spans="1:23">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row>
    <row r="859" spans="1:23">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row>
    <row r="860" spans="1:23">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row>
    <row r="861" spans="1:23">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row>
    <row r="862" spans="1:23">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row>
    <row r="863" spans="1:23">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row>
    <row r="864" spans="1:23">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row>
    <row r="865" spans="1:23">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row>
    <row r="866" spans="1:23">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row>
    <row r="867" spans="1:23">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row>
    <row r="868" spans="1:23">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row>
    <row r="869" spans="1:23">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row>
    <row r="870" spans="1:23">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row>
    <row r="871" spans="1:23">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row>
    <row r="872" spans="1:23">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row>
    <row r="873" spans="1:23">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row>
    <row r="874" spans="1:23">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row>
    <row r="875" spans="1:23">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row>
    <row r="876" spans="1:23">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row>
    <row r="877" spans="1:23">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row>
    <row r="878" spans="1:23">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row>
    <row r="879" spans="1:23">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row>
    <row r="880" spans="1:23">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row>
    <row r="881" spans="1:23">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row>
    <row r="882" spans="1:23">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row>
    <row r="883" spans="1:23">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row>
    <row r="884" spans="1:23">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row>
    <row r="885" spans="1:23">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row>
    <row r="886" spans="1:23">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row>
    <row r="887" spans="1:23">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row>
    <row r="888" spans="1:23">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row>
    <row r="889" spans="1:23">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row>
    <row r="890" spans="1:23">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row>
    <row r="891" spans="1:23">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row>
    <row r="892" spans="1:23">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row>
    <row r="893" spans="1:23">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row>
    <row r="894" spans="1:23">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row>
    <row r="895" spans="1:23">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row>
    <row r="896" spans="1:23">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row>
    <row r="897" spans="1:23">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row>
    <row r="898" spans="1:23">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row>
    <row r="899" spans="1:23">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row>
    <row r="900" spans="1:23">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row>
    <row r="901" spans="1:23">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row>
    <row r="902" spans="1:23">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row>
    <row r="903" spans="1:23">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row>
    <row r="904" spans="1:23">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row>
    <row r="905" spans="1:23">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row>
    <row r="906" spans="1:23">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row>
    <row r="907" spans="1:23">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row>
    <row r="908" spans="1:23">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row>
    <row r="909" spans="1:23">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row>
    <row r="910" spans="1:23">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row>
    <row r="911" spans="1:23">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row>
    <row r="912" spans="1:23">
      <c r="A912" s="182"/>
      <c r="B912" s="182"/>
      <c r="C912" s="182"/>
      <c r="D912" s="182"/>
      <c r="E912" s="182"/>
      <c r="F912" s="182"/>
      <c r="G912" s="182"/>
      <c r="H912" s="182"/>
      <c r="I912" s="182"/>
      <c r="J912" s="182"/>
      <c r="K912" s="182"/>
      <c r="L912" s="182"/>
      <c r="M912" s="182"/>
      <c r="N912" s="182"/>
      <c r="O912" s="182"/>
      <c r="P912" s="182"/>
      <c r="Q912" s="182"/>
      <c r="R912" s="182"/>
      <c r="S912" s="182"/>
      <c r="T912" s="182"/>
      <c r="U912" s="182"/>
      <c r="V912" s="182"/>
      <c r="W912" s="182"/>
    </row>
    <row r="913" spans="1:23">
      <c r="A913" s="182"/>
      <c r="B913" s="182"/>
      <c r="C913" s="182"/>
      <c r="D913" s="182"/>
      <c r="E913" s="182"/>
      <c r="F913" s="182"/>
      <c r="G913" s="182"/>
      <c r="H913" s="182"/>
      <c r="I913" s="182"/>
      <c r="J913" s="182"/>
      <c r="K913" s="182"/>
      <c r="L913" s="182"/>
      <c r="M913" s="182"/>
      <c r="N913" s="182"/>
      <c r="O913" s="182"/>
      <c r="P913" s="182"/>
      <c r="Q913" s="182"/>
      <c r="R913" s="182"/>
      <c r="S913" s="182"/>
      <c r="T913" s="182"/>
      <c r="U913" s="182"/>
      <c r="V913" s="182"/>
      <c r="W913" s="182"/>
    </row>
    <row r="914" spans="1:23">
      <c r="A914" s="182"/>
      <c r="B914" s="182"/>
      <c r="C914" s="182"/>
      <c r="D914" s="182"/>
      <c r="E914" s="182"/>
      <c r="F914" s="182"/>
      <c r="G914" s="182"/>
      <c r="H914" s="182"/>
      <c r="I914" s="182"/>
      <c r="J914" s="182"/>
      <c r="K914" s="182"/>
      <c r="L914" s="182"/>
      <c r="M914" s="182"/>
      <c r="N914" s="182"/>
      <c r="O914" s="182"/>
      <c r="P914" s="182"/>
      <c r="Q914" s="182"/>
      <c r="R914" s="182"/>
      <c r="S914" s="182"/>
      <c r="T914" s="182"/>
      <c r="U914" s="182"/>
      <c r="V914" s="182"/>
      <c r="W914" s="182"/>
    </row>
    <row r="915" spans="1:23">
      <c r="A915" s="182"/>
      <c r="B915" s="182"/>
      <c r="C915" s="182"/>
      <c r="D915" s="182"/>
      <c r="E915" s="182"/>
      <c r="F915" s="182"/>
      <c r="G915" s="182"/>
      <c r="H915" s="182"/>
      <c r="I915" s="182"/>
      <c r="J915" s="182"/>
      <c r="K915" s="182"/>
      <c r="L915" s="182"/>
      <c r="M915" s="182"/>
      <c r="N915" s="182"/>
      <c r="O915" s="182"/>
      <c r="P915" s="182"/>
      <c r="Q915" s="182"/>
      <c r="R915" s="182"/>
      <c r="S915" s="182"/>
      <c r="T915" s="182"/>
      <c r="U915" s="182"/>
      <c r="V915" s="182"/>
      <c r="W915" s="182"/>
    </row>
    <row r="916" spans="1:23">
      <c r="A916" s="182"/>
      <c r="B916" s="182"/>
      <c r="C916" s="182"/>
      <c r="D916" s="182"/>
      <c r="E916" s="182"/>
      <c r="F916" s="182"/>
      <c r="G916" s="182"/>
      <c r="H916" s="182"/>
      <c r="I916" s="182"/>
      <c r="J916" s="182"/>
      <c r="K916" s="182"/>
      <c r="L916" s="182"/>
      <c r="M916" s="182"/>
      <c r="N916" s="182"/>
      <c r="O916" s="182"/>
      <c r="P916" s="182"/>
      <c r="Q916" s="182"/>
      <c r="R916" s="182"/>
      <c r="S916" s="182"/>
      <c r="T916" s="182"/>
      <c r="U916" s="182"/>
      <c r="V916" s="182"/>
      <c r="W916" s="182"/>
    </row>
    <row r="917" spans="1:23">
      <c r="A917" s="182"/>
      <c r="B917" s="182"/>
      <c r="C917" s="182"/>
      <c r="D917" s="182"/>
      <c r="E917" s="182"/>
      <c r="F917" s="182"/>
      <c r="G917" s="182"/>
      <c r="H917" s="182"/>
      <c r="I917" s="182"/>
      <c r="J917" s="182"/>
      <c r="K917" s="182"/>
      <c r="L917" s="182"/>
      <c r="M917" s="182"/>
      <c r="N917" s="182"/>
      <c r="O917" s="182"/>
      <c r="P917" s="182"/>
      <c r="Q917" s="182"/>
      <c r="R917" s="182"/>
      <c r="S917" s="182"/>
      <c r="T917" s="182"/>
      <c r="U917" s="182"/>
      <c r="V917" s="182"/>
      <c r="W917" s="182"/>
    </row>
    <row r="918" spans="1:23">
      <c r="A918" s="182"/>
      <c r="B918" s="182"/>
      <c r="C918" s="182"/>
      <c r="D918" s="182"/>
      <c r="E918" s="182"/>
      <c r="F918" s="182"/>
      <c r="G918" s="182"/>
      <c r="H918" s="182"/>
      <c r="I918" s="182"/>
      <c r="J918" s="182"/>
      <c r="K918" s="182"/>
      <c r="L918" s="182"/>
      <c r="M918" s="182"/>
      <c r="N918" s="182"/>
      <c r="O918" s="182"/>
      <c r="P918" s="182"/>
      <c r="Q918" s="182"/>
      <c r="R918" s="182"/>
      <c r="S918" s="182"/>
      <c r="T918" s="182"/>
      <c r="U918" s="182"/>
      <c r="V918" s="182"/>
      <c r="W918" s="182"/>
    </row>
    <row r="919" spans="1:23">
      <c r="A919" s="182"/>
      <c r="B919" s="182"/>
      <c r="C919" s="182"/>
      <c r="D919" s="182"/>
      <c r="E919" s="182"/>
      <c r="F919" s="182"/>
      <c r="G919" s="182"/>
      <c r="H919" s="182"/>
      <c r="I919" s="182"/>
      <c r="J919" s="182"/>
      <c r="K919" s="182"/>
      <c r="L919" s="182"/>
      <c r="M919" s="182"/>
      <c r="N919" s="182"/>
      <c r="O919" s="182"/>
      <c r="P919" s="182"/>
      <c r="Q919" s="182"/>
      <c r="R919" s="182"/>
      <c r="S919" s="182"/>
      <c r="T919" s="182"/>
      <c r="U919" s="182"/>
      <c r="V919" s="182"/>
      <c r="W919" s="182"/>
    </row>
    <row r="920" spans="1:23">
      <c r="A920" s="182"/>
      <c r="B920" s="182"/>
      <c r="C920" s="182"/>
      <c r="D920" s="182"/>
      <c r="E920" s="182"/>
      <c r="F920" s="182"/>
      <c r="G920" s="182"/>
      <c r="H920" s="182"/>
      <c r="I920" s="182"/>
      <c r="J920" s="182"/>
      <c r="K920" s="182"/>
      <c r="L920" s="182"/>
      <c r="M920" s="182"/>
      <c r="N920" s="182"/>
      <c r="O920" s="182"/>
      <c r="P920" s="182"/>
      <c r="Q920" s="182"/>
      <c r="R920" s="182"/>
      <c r="S920" s="182"/>
      <c r="T920" s="182"/>
      <c r="U920" s="182"/>
      <c r="V920" s="182"/>
      <c r="W920" s="182"/>
    </row>
    <row r="921" spans="1:23">
      <c r="A921" s="182"/>
      <c r="B921" s="182"/>
      <c r="C921" s="182"/>
      <c r="D921" s="182"/>
      <c r="E921" s="182"/>
      <c r="F921" s="182"/>
      <c r="G921" s="182"/>
      <c r="H921" s="182"/>
      <c r="I921" s="182"/>
      <c r="J921" s="182"/>
      <c r="K921" s="182"/>
      <c r="L921" s="182"/>
      <c r="M921" s="182"/>
      <c r="N921" s="182"/>
      <c r="O921" s="182"/>
      <c r="P921" s="182"/>
      <c r="Q921" s="182"/>
      <c r="R921" s="182"/>
      <c r="S921" s="182"/>
      <c r="T921" s="182"/>
      <c r="U921" s="182"/>
      <c r="V921" s="182"/>
      <c r="W921" s="182"/>
    </row>
    <row r="922" spans="1:23">
      <c r="A922" s="182"/>
      <c r="B922" s="182"/>
      <c r="C922" s="182"/>
      <c r="D922" s="182"/>
      <c r="E922" s="182"/>
      <c r="F922" s="182"/>
      <c r="G922" s="182"/>
      <c r="H922" s="182"/>
      <c r="I922" s="182"/>
      <c r="J922" s="182"/>
      <c r="K922" s="182"/>
      <c r="L922" s="182"/>
      <c r="M922" s="182"/>
      <c r="N922" s="182"/>
      <c r="O922" s="182"/>
      <c r="P922" s="182"/>
      <c r="Q922" s="182"/>
      <c r="R922" s="182"/>
      <c r="S922" s="182"/>
      <c r="T922" s="182"/>
      <c r="U922" s="182"/>
      <c r="V922" s="182"/>
      <c r="W922" s="182"/>
    </row>
    <row r="923" spans="1:23">
      <c r="A923" s="182"/>
      <c r="B923" s="182"/>
      <c r="C923" s="182"/>
      <c r="D923" s="182"/>
      <c r="E923" s="182"/>
      <c r="F923" s="182"/>
      <c r="G923" s="182"/>
      <c r="H923" s="182"/>
      <c r="I923" s="182"/>
      <c r="J923" s="182"/>
      <c r="K923" s="182"/>
      <c r="L923" s="182"/>
      <c r="M923" s="182"/>
      <c r="N923" s="182"/>
      <c r="O923" s="182"/>
      <c r="P923" s="182"/>
      <c r="Q923" s="182"/>
      <c r="R923" s="182"/>
      <c r="S923" s="182"/>
      <c r="T923" s="182"/>
      <c r="U923" s="182"/>
      <c r="V923" s="182"/>
      <c r="W923" s="182"/>
    </row>
  </sheetData>
  <autoFilter ref="A2:R104" xr:uid="{00000000-0009-0000-0000-000015000000}"/>
  <mergeCells count="1">
    <mergeCell ref="A1:B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G203"/>
  <sheetViews>
    <sheetView workbookViewId="0"/>
  </sheetViews>
  <sheetFormatPr defaultColWidth="14.44140625" defaultRowHeight="15" customHeight="1"/>
  <sheetData>
    <row r="1" spans="1:33">
      <c r="A1" s="44"/>
      <c r="B1" s="189"/>
      <c r="C1" s="189"/>
      <c r="D1" s="189"/>
      <c r="F1" s="495" t="s">
        <v>932</v>
      </c>
      <c r="G1" s="495" t="s">
        <v>1382</v>
      </c>
      <c r="H1" s="495" t="s">
        <v>1383</v>
      </c>
      <c r="I1" s="496" t="s">
        <v>1384</v>
      </c>
      <c r="K1" s="497" t="s">
        <v>1382</v>
      </c>
      <c r="L1" s="498" t="s">
        <v>1383</v>
      </c>
      <c r="M1" s="499" t="s">
        <v>1385</v>
      </c>
      <c r="O1" s="281" t="s">
        <v>1</v>
      </c>
      <c r="P1" s="284" t="s">
        <v>1085</v>
      </c>
      <c r="W1" s="500" t="s">
        <v>4</v>
      </c>
      <c r="X1" s="500" t="s">
        <v>1386</v>
      </c>
      <c r="Z1" s="501" t="s">
        <v>1387</v>
      </c>
      <c r="AA1" s="501" t="s">
        <v>1388</v>
      </c>
      <c r="AC1" s="502"/>
      <c r="AD1" s="503"/>
      <c r="AF1" s="14" t="s">
        <v>4</v>
      </c>
      <c r="AG1" s="504" t="s">
        <v>9</v>
      </c>
    </row>
    <row r="2" spans="1:33">
      <c r="A2" s="503"/>
      <c r="B2" s="505"/>
      <c r="C2" s="505"/>
      <c r="D2" s="505"/>
      <c r="F2" s="506" t="s">
        <v>419</v>
      </c>
      <c r="G2" s="506" t="s">
        <v>419</v>
      </c>
      <c r="H2" s="506" t="s">
        <v>418</v>
      </c>
      <c r="I2" s="140">
        <v>2699</v>
      </c>
      <c r="K2" s="73" t="s">
        <v>419</v>
      </c>
      <c r="L2" s="74" t="s">
        <v>418</v>
      </c>
      <c r="M2" s="507">
        <v>2449</v>
      </c>
      <c r="O2" s="310" t="s">
        <v>231</v>
      </c>
      <c r="P2" s="313">
        <v>2299</v>
      </c>
      <c r="W2" s="189" t="s">
        <v>725</v>
      </c>
      <c r="X2" s="190">
        <v>1429</v>
      </c>
      <c r="Z2" s="474" t="s">
        <v>240</v>
      </c>
      <c r="AA2" s="508">
        <v>318.23</v>
      </c>
      <c r="AC2" s="509" t="s">
        <v>1389</v>
      </c>
      <c r="AD2" s="510" t="s">
        <v>1390</v>
      </c>
      <c r="AF2" s="28" t="s">
        <v>24</v>
      </c>
      <c r="AG2" s="511">
        <v>24999</v>
      </c>
    </row>
    <row r="3" spans="1:33">
      <c r="A3" s="512" t="s">
        <v>1391</v>
      </c>
      <c r="B3" s="513" t="s">
        <v>4</v>
      </c>
      <c r="C3" s="514" t="s">
        <v>1392</v>
      </c>
      <c r="D3" s="515" t="s">
        <v>1393</v>
      </c>
      <c r="F3" s="506" t="s">
        <v>241</v>
      </c>
      <c r="G3" s="506" t="s">
        <v>241</v>
      </c>
      <c r="H3" s="506" t="s">
        <v>240</v>
      </c>
      <c r="I3" s="140">
        <v>2149</v>
      </c>
      <c r="K3" s="73" t="s">
        <v>935</v>
      </c>
      <c r="L3" s="74" t="s">
        <v>1394</v>
      </c>
      <c r="M3" s="507">
        <v>2449</v>
      </c>
      <c r="O3" s="316" t="s">
        <v>240</v>
      </c>
      <c r="P3" s="248">
        <v>2599</v>
      </c>
      <c r="W3" s="189" t="s">
        <v>616</v>
      </c>
      <c r="X3" s="190">
        <v>1399</v>
      </c>
      <c r="Z3" s="474" t="s">
        <v>246</v>
      </c>
      <c r="AA3" s="508">
        <v>848.61</v>
      </c>
      <c r="AC3" s="45" t="s">
        <v>504</v>
      </c>
      <c r="AD3" s="516">
        <v>2490</v>
      </c>
      <c r="AF3" s="28" t="s">
        <v>30</v>
      </c>
      <c r="AG3" s="511">
        <v>24999</v>
      </c>
    </row>
    <row r="4" spans="1:33">
      <c r="A4" s="73" t="s">
        <v>695</v>
      </c>
      <c r="B4" s="74">
        <v>0</v>
      </c>
      <c r="C4" s="107" t="s">
        <v>314</v>
      </c>
      <c r="D4" s="107" t="s">
        <v>465</v>
      </c>
      <c r="F4" s="506" t="s">
        <v>425</v>
      </c>
      <c r="G4" s="506" t="s">
        <v>425</v>
      </c>
      <c r="H4" s="506" t="s">
        <v>424</v>
      </c>
      <c r="I4" s="140">
        <v>2999</v>
      </c>
      <c r="K4" s="73" t="s">
        <v>241</v>
      </c>
      <c r="L4" s="74" t="s">
        <v>240</v>
      </c>
      <c r="M4" s="507">
        <v>2099</v>
      </c>
      <c r="O4" s="310" t="s">
        <v>246</v>
      </c>
      <c r="P4" s="313">
        <v>3399</v>
      </c>
      <c r="W4" s="189" t="s">
        <v>435</v>
      </c>
      <c r="X4" s="189">
        <v>899</v>
      </c>
      <c r="Z4" s="474" t="s">
        <v>253</v>
      </c>
      <c r="AA4" s="508">
        <v>360.63499999999999</v>
      </c>
      <c r="AC4" s="73" t="s">
        <v>424</v>
      </c>
      <c r="AD4" s="516">
        <v>3606</v>
      </c>
      <c r="AF4" s="28" t="s">
        <v>36</v>
      </c>
      <c r="AG4" s="511">
        <v>29999</v>
      </c>
    </row>
    <row r="5" spans="1:33">
      <c r="A5" s="73" t="s">
        <v>329</v>
      </c>
      <c r="B5" s="74" t="s">
        <v>330</v>
      </c>
      <c r="C5" s="107" t="s">
        <v>314</v>
      </c>
      <c r="D5" s="107" t="s">
        <v>315</v>
      </c>
      <c r="F5" s="506" t="s">
        <v>585</v>
      </c>
      <c r="G5" s="506" t="s">
        <v>585</v>
      </c>
      <c r="H5" s="506" t="s">
        <v>584</v>
      </c>
      <c r="I5" s="140">
        <v>3599</v>
      </c>
      <c r="K5" s="73" t="s">
        <v>425</v>
      </c>
      <c r="L5" s="74" t="s">
        <v>424</v>
      </c>
      <c r="M5" s="507">
        <v>2899</v>
      </c>
      <c r="O5" s="310" t="s">
        <v>253</v>
      </c>
      <c r="P5" s="313">
        <v>699</v>
      </c>
      <c r="W5" s="189" t="s">
        <v>701</v>
      </c>
      <c r="X5" s="190">
        <v>1999</v>
      </c>
      <c r="Z5" s="474" t="s">
        <v>262</v>
      </c>
      <c r="AA5" s="508">
        <v>371.66500000000002</v>
      </c>
      <c r="AC5" s="73" t="s">
        <v>246</v>
      </c>
      <c r="AD5" s="516">
        <v>1725</v>
      </c>
      <c r="AF5" s="28" t="s">
        <v>41</v>
      </c>
      <c r="AG5" s="511">
        <v>29999</v>
      </c>
    </row>
    <row r="6" spans="1:33">
      <c r="A6" s="73" t="s">
        <v>717</v>
      </c>
      <c r="B6" s="74" t="s">
        <v>718</v>
      </c>
      <c r="C6" s="107" t="s">
        <v>234</v>
      </c>
      <c r="D6" s="107" t="s">
        <v>249</v>
      </c>
      <c r="F6" s="506" t="s">
        <v>600</v>
      </c>
      <c r="G6" s="506" t="s">
        <v>600</v>
      </c>
      <c r="H6" s="506" t="s">
        <v>599</v>
      </c>
      <c r="I6" s="140">
        <v>2099</v>
      </c>
      <c r="K6" s="73" t="s">
        <v>585</v>
      </c>
      <c r="L6" s="74" t="s">
        <v>584</v>
      </c>
      <c r="M6" s="507">
        <v>3299</v>
      </c>
      <c r="O6" s="310" t="s">
        <v>262</v>
      </c>
      <c r="P6" s="313">
        <v>699</v>
      </c>
      <c r="W6" s="189" t="s">
        <v>622</v>
      </c>
      <c r="X6" s="190">
        <v>1399</v>
      </c>
      <c r="Z6" s="474" t="s">
        <v>324</v>
      </c>
      <c r="AA6" s="508">
        <v>745.50750000000005</v>
      </c>
      <c r="AC6" s="73" t="s">
        <v>543</v>
      </c>
      <c r="AD6" s="516">
        <v>4086</v>
      </c>
      <c r="AF6" s="28" t="s">
        <v>46</v>
      </c>
      <c r="AG6" s="511">
        <v>29999</v>
      </c>
    </row>
    <row r="7" spans="1:33">
      <c r="A7" s="73" t="s">
        <v>736</v>
      </c>
      <c r="B7" s="74" t="s">
        <v>737</v>
      </c>
      <c r="C7" s="107" t="s">
        <v>314</v>
      </c>
      <c r="D7" s="107" t="s">
        <v>465</v>
      </c>
      <c r="F7" s="506" t="s">
        <v>505</v>
      </c>
      <c r="G7" s="506" t="s">
        <v>505</v>
      </c>
      <c r="H7" s="506" t="s">
        <v>504</v>
      </c>
      <c r="I7" s="140">
        <v>1599</v>
      </c>
      <c r="K7" s="73" t="s">
        <v>600</v>
      </c>
      <c r="L7" s="74" t="s">
        <v>599</v>
      </c>
      <c r="M7" s="507">
        <v>1999</v>
      </c>
      <c r="O7" s="310" t="s">
        <v>267</v>
      </c>
      <c r="P7" s="313">
        <v>699</v>
      </c>
      <c r="W7" s="189" t="s">
        <v>442</v>
      </c>
      <c r="X7" s="189">
        <v>899</v>
      </c>
      <c r="Z7" s="474" t="s">
        <v>340</v>
      </c>
      <c r="AA7" s="508">
        <v>123.4575</v>
      </c>
      <c r="AC7" s="73" t="s">
        <v>418</v>
      </c>
      <c r="AD7" s="516">
        <v>1388</v>
      </c>
      <c r="AF7" s="28" t="s">
        <v>52</v>
      </c>
      <c r="AG7" s="511">
        <v>29999</v>
      </c>
    </row>
    <row r="8" spans="1:33">
      <c r="A8" s="73" t="s">
        <v>772</v>
      </c>
      <c r="B8" s="74" t="s">
        <v>773</v>
      </c>
      <c r="C8" s="107" t="s">
        <v>314</v>
      </c>
      <c r="D8" s="107" t="s">
        <v>618</v>
      </c>
      <c r="F8" s="506" t="s">
        <v>247</v>
      </c>
      <c r="G8" s="506" t="s">
        <v>247</v>
      </c>
      <c r="H8" s="506" t="s">
        <v>246</v>
      </c>
      <c r="I8" s="140">
        <v>3399</v>
      </c>
      <c r="K8" s="73" t="s">
        <v>505</v>
      </c>
      <c r="L8" s="74" t="s">
        <v>504</v>
      </c>
      <c r="M8" s="507">
        <v>1499</v>
      </c>
      <c r="O8" s="309" t="s">
        <v>324</v>
      </c>
      <c r="P8" s="313">
        <v>2199</v>
      </c>
      <c r="W8" s="189" t="s">
        <v>544</v>
      </c>
      <c r="X8" s="189">
        <v>999</v>
      </c>
      <c r="Z8" s="474" t="s">
        <v>418</v>
      </c>
      <c r="AA8" s="508">
        <v>872.18</v>
      </c>
      <c r="AC8" s="73" t="s">
        <v>533</v>
      </c>
      <c r="AD8" s="516">
        <v>1087</v>
      </c>
      <c r="AF8" s="28" t="s">
        <v>58</v>
      </c>
      <c r="AG8" s="511">
        <v>29999</v>
      </c>
    </row>
    <row r="9" spans="1:33">
      <c r="A9" s="73" t="s">
        <v>335</v>
      </c>
      <c r="B9" s="74" t="s">
        <v>336</v>
      </c>
      <c r="C9" s="107" t="s">
        <v>314</v>
      </c>
      <c r="D9" s="107" t="s">
        <v>315</v>
      </c>
      <c r="F9" s="506" t="s">
        <v>521</v>
      </c>
      <c r="G9" s="506" t="s">
        <v>521</v>
      </c>
      <c r="H9" s="506" t="s">
        <v>520</v>
      </c>
      <c r="I9" s="140">
        <v>1499</v>
      </c>
      <c r="K9" s="73" t="s">
        <v>247</v>
      </c>
      <c r="L9" s="74" t="s">
        <v>246</v>
      </c>
      <c r="M9" s="507">
        <v>3399</v>
      </c>
      <c r="O9" s="310" t="s">
        <v>329</v>
      </c>
      <c r="P9" s="313">
        <v>579</v>
      </c>
      <c r="W9" s="189" t="s">
        <v>737</v>
      </c>
      <c r="X9" s="190">
        <v>2999</v>
      </c>
      <c r="Z9" s="474" t="s">
        <v>424</v>
      </c>
      <c r="AA9" s="508">
        <v>848.60329999999999</v>
      </c>
      <c r="AC9" s="73" t="s">
        <v>462</v>
      </c>
      <c r="AD9" s="516">
        <v>1440</v>
      </c>
      <c r="AF9" s="28" t="s">
        <v>63</v>
      </c>
      <c r="AG9" s="511">
        <v>29999</v>
      </c>
    </row>
    <row r="10" spans="1:33">
      <c r="A10" s="73" t="s">
        <v>276</v>
      </c>
      <c r="B10" s="74" t="s">
        <v>277</v>
      </c>
      <c r="C10" s="107" t="s">
        <v>256</v>
      </c>
      <c r="D10" s="107" t="s">
        <v>257</v>
      </c>
      <c r="F10" s="506" t="s">
        <v>689</v>
      </c>
      <c r="G10" s="506" t="s">
        <v>689</v>
      </c>
      <c r="H10" s="506" t="s">
        <v>688</v>
      </c>
      <c r="I10" s="140">
        <v>1499</v>
      </c>
      <c r="K10" s="73" t="s">
        <v>689</v>
      </c>
      <c r="L10" s="74" t="s">
        <v>688</v>
      </c>
      <c r="M10" s="507">
        <v>1499</v>
      </c>
      <c r="O10" s="310" t="s">
        <v>335</v>
      </c>
      <c r="P10" s="313">
        <v>399</v>
      </c>
      <c r="W10" s="189" t="s">
        <v>521</v>
      </c>
      <c r="X10" s="190">
        <v>1399</v>
      </c>
      <c r="Z10" s="474" t="s">
        <v>434</v>
      </c>
      <c r="AA10" s="508">
        <v>169.7175</v>
      </c>
      <c r="AC10" s="73" t="s">
        <v>468</v>
      </c>
      <c r="AD10" s="516">
        <v>4424</v>
      </c>
      <c r="AF10" s="46" t="s">
        <v>68</v>
      </c>
      <c r="AG10" s="517">
        <v>9999</v>
      </c>
    </row>
    <row r="11" spans="1:33">
      <c r="A11" s="73" t="s">
        <v>728</v>
      </c>
      <c r="B11" s="74" t="s">
        <v>729</v>
      </c>
      <c r="C11" s="107" t="s">
        <v>314</v>
      </c>
      <c r="D11" s="107" t="s">
        <v>465</v>
      </c>
      <c r="F11" s="506" t="s">
        <v>325</v>
      </c>
      <c r="G11" s="506" t="s">
        <v>325</v>
      </c>
      <c r="H11" s="506" t="s">
        <v>324</v>
      </c>
      <c r="I11" s="140">
        <v>2299</v>
      </c>
      <c r="K11" s="73" t="s">
        <v>325</v>
      </c>
      <c r="L11" s="74" t="s">
        <v>324</v>
      </c>
      <c r="M11" s="507">
        <v>2199</v>
      </c>
      <c r="O11" s="310" t="s">
        <v>340</v>
      </c>
      <c r="P11" s="313">
        <v>299</v>
      </c>
      <c r="W11" s="189" t="s">
        <v>581</v>
      </c>
      <c r="X11" s="190">
        <v>2499</v>
      </c>
      <c r="Z11" s="474" t="s">
        <v>441</v>
      </c>
      <c r="AA11" s="508">
        <v>94.29</v>
      </c>
      <c r="AC11" s="73" t="s">
        <v>520</v>
      </c>
      <c r="AD11" s="516">
        <v>1949</v>
      </c>
      <c r="AF11" s="46" t="s">
        <v>73</v>
      </c>
      <c r="AG11" s="517">
        <v>11999</v>
      </c>
    </row>
    <row r="12" spans="1:33">
      <c r="A12" s="73" t="s">
        <v>732</v>
      </c>
      <c r="B12" s="74" t="s">
        <v>733</v>
      </c>
      <c r="C12" s="107" t="s">
        <v>314</v>
      </c>
      <c r="D12" s="107" t="s">
        <v>437</v>
      </c>
      <c r="F12" s="506" t="s">
        <v>604</v>
      </c>
      <c r="G12" s="506" t="s">
        <v>604</v>
      </c>
      <c r="H12" s="506" t="s">
        <v>603</v>
      </c>
      <c r="I12" s="140">
        <v>2699</v>
      </c>
      <c r="K12" s="73" t="s">
        <v>604</v>
      </c>
      <c r="L12" s="74" t="s">
        <v>603</v>
      </c>
      <c r="M12" s="507">
        <v>2599</v>
      </c>
      <c r="O12" s="310" t="s">
        <v>418</v>
      </c>
      <c r="P12" s="313">
        <v>2399</v>
      </c>
      <c r="W12" s="189" t="s">
        <v>449</v>
      </c>
      <c r="X12" s="190">
        <v>1399</v>
      </c>
      <c r="Z12" s="474" t="s">
        <v>462</v>
      </c>
      <c r="AA12" s="508">
        <v>542.15499999999997</v>
      </c>
      <c r="AC12" s="73" t="s">
        <v>240</v>
      </c>
      <c r="AD12" s="516">
        <v>931</v>
      </c>
      <c r="AF12" s="28" t="s">
        <v>78</v>
      </c>
      <c r="AG12" s="511">
        <v>6999</v>
      </c>
    </row>
    <row r="13" spans="1:33">
      <c r="A13" s="73" t="s">
        <v>376</v>
      </c>
      <c r="B13" s="74" t="s">
        <v>1395</v>
      </c>
      <c r="C13" s="107" t="s">
        <v>314</v>
      </c>
      <c r="D13" s="107" t="s">
        <v>315</v>
      </c>
      <c r="F13" s="506" t="s">
        <v>442</v>
      </c>
      <c r="G13" s="506" t="s">
        <v>442</v>
      </c>
      <c r="H13" s="506" t="s">
        <v>441</v>
      </c>
      <c r="I13" s="140">
        <v>899</v>
      </c>
      <c r="K13" s="73" t="s">
        <v>937</v>
      </c>
      <c r="L13" s="74" t="s">
        <v>1396</v>
      </c>
      <c r="M13" s="507">
        <v>2599</v>
      </c>
      <c r="O13" s="316" t="s">
        <v>424</v>
      </c>
      <c r="P13" s="248">
        <v>2899</v>
      </c>
      <c r="W13" s="189" t="s">
        <v>553</v>
      </c>
      <c r="X13" s="189">
        <v>599</v>
      </c>
      <c r="Z13" s="474" t="s">
        <v>471</v>
      </c>
      <c r="AA13" s="508">
        <v>212.15</v>
      </c>
      <c r="AC13" s="73" t="s">
        <v>512</v>
      </c>
      <c r="AD13" s="516">
        <v>1221</v>
      </c>
      <c r="AF13" s="28" t="s">
        <v>83</v>
      </c>
      <c r="AG13" s="511">
        <v>6999</v>
      </c>
    </row>
    <row r="14" spans="1:33">
      <c r="A14" s="73" t="s">
        <v>344</v>
      </c>
      <c r="B14" s="74" t="s">
        <v>1397</v>
      </c>
      <c r="C14" s="107" t="s">
        <v>314</v>
      </c>
      <c r="D14" s="107" t="s">
        <v>315</v>
      </c>
      <c r="F14" s="506" t="s">
        <v>534</v>
      </c>
      <c r="G14" s="506" t="s">
        <v>534</v>
      </c>
      <c r="H14" s="506" t="s">
        <v>533</v>
      </c>
      <c r="I14" s="140">
        <v>1096</v>
      </c>
      <c r="K14" s="73" t="s">
        <v>534</v>
      </c>
      <c r="L14" s="74" t="s">
        <v>533</v>
      </c>
      <c r="M14" s="507">
        <v>999</v>
      </c>
      <c r="O14" s="316" t="s">
        <v>434</v>
      </c>
      <c r="P14" s="248">
        <v>999</v>
      </c>
      <c r="W14" s="189" t="s">
        <v>956</v>
      </c>
      <c r="X14" s="190">
        <v>1699</v>
      </c>
      <c r="Z14" s="474" t="s">
        <v>508</v>
      </c>
      <c r="AA14" s="508">
        <v>188.58</v>
      </c>
      <c r="AC14" s="73" t="s">
        <v>231</v>
      </c>
      <c r="AD14" s="516">
        <v>48</v>
      </c>
      <c r="AF14" s="28" t="s">
        <v>88</v>
      </c>
      <c r="AG14" s="511">
        <v>6399</v>
      </c>
    </row>
    <row r="15" spans="1:33">
      <c r="A15" s="73" t="s">
        <v>380</v>
      </c>
      <c r="B15" s="74" t="s">
        <v>1398</v>
      </c>
      <c r="C15" s="107" t="s">
        <v>314</v>
      </c>
      <c r="D15" s="107" t="s">
        <v>315</v>
      </c>
      <c r="F15" s="506" t="s">
        <v>558</v>
      </c>
      <c r="G15" s="506" t="s">
        <v>558</v>
      </c>
      <c r="H15" s="506" t="s">
        <v>557</v>
      </c>
      <c r="I15" s="140">
        <v>1249</v>
      </c>
      <c r="K15" s="73" t="s">
        <v>558</v>
      </c>
      <c r="L15" s="74" t="s">
        <v>557</v>
      </c>
      <c r="M15" s="507">
        <v>1249</v>
      </c>
      <c r="O15" s="310" t="s">
        <v>441</v>
      </c>
      <c r="P15" s="313">
        <v>1099</v>
      </c>
      <c r="W15" s="189" t="s">
        <v>336</v>
      </c>
      <c r="X15" s="189">
        <v>579</v>
      </c>
      <c r="Z15" s="474" t="s">
        <v>500</v>
      </c>
      <c r="AA15" s="508">
        <v>200.36500000000001</v>
      </c>
      <c r="AC15" s="73" t="s">
        <v>500</v>
      </c>
      <c r="AD15" s="516">
        <v>2351</v>
      </c>
      <c r="AF15" s="28" t="s">
        <v>100</v>
      </c>
      <c r="AG15" s="511">
        <v>3999</v>
      </c>
    </row>
    <row r="16" spans="1:33">
      <c r="A16" s="73" t="s">
        <v>372</v>
      </c>
      <c r="B16" s="74" t="s">
        <v>1399</v>
      </c>
      <c r="C16" s="107" t="s">
        <v>314</v>
      </c>
      <c r="D16" s="107" t="s">
        <v>315</v>
      </c>
      <c r="F16" s="506" t="s">
        <v>643</v>
      </c>
      <c r="G16" s="506" t="s">
        <v>643</v>
      </c>
      <c r="H16" s="506" t="s">
        <v>642</v>
      </c>
      <c r="I16" s="140">
        <v>1499</v>
      </c>
      <c r="K16" s="73" t="s">
        <v>684</v>
      </c>
      <c r="L16" s="74" t="s">
        <v>683</v>
      </c>
      <c r="M16" s="507">
        <v>1699</v>
      </c>
      <c r="O16" s="316" t="s">
        <v>448</v>
      </c>
      <c r="P16" s="248">
        <v>1399</v>
      </c>
      <c r="W16" s="189" t="s">
        <v>330</v>
      </c>
      <c r="X16" s="189">
        <v>579</v>
      </c>
      <c r="Z16" s="474" t="s">
        <v>504</v>
      </c>
      <c r="AA16" s="508">
        <v>188.58</v>
      </c>
      <c r="AC16" s="73" t="s">
        <v>700</v>
      </c>
      <c r="AD16" s="516">
        <v>897</v>
      </c>
      <c r="AF16" s="28" t="s">
        <v>111</v>
      </c>
      <c r="AG16" s="511">
        <v>2499</v>
      </c>
    </row>
    <row r="17" spans="1:33">
      <c r="A17" s="73" t="s">
        <v>364</v>
      </c>
      <c r="B17" s="74" t="s">
        <v>1400</v>
      </c>
      <c r="C17" s="107" t="s">
        <v>314</v>
      </c>
      <c r="D17" s="107" t="s">
        <v>315</v>
      </c>
      <c r="F17" s="506" t="s">
        <v>684</v>
      </c>
      <c r="G17" s="506" t="s">
        <v>684</v>
      </c>
      <c r="H17" s="506" t="s">
        <v>683</v>
      </c>
      <c r="I17" s="140">
        <v>1699</v>
      </c>
      <c r="K17" s="73" t="s">
        <v>501</v>
      </c>
      <c r="L17" s="74" t="s">
        <v>500</v>
      </c>
      <c r="M17" s="507">
        <v>699</v>
      </c>
      <c r="O17" s="316" t="s">
        <v>454</v>
      </c>
      <c r="P17" s="248">
        <v>1999</v>
      </c>
      <c r="W17" s="189" t="s">
        <v>571</v>
      </c>
      <c r="X17" s="190">
        <v>1599</v>
      </c>
      <c r="Z17" s="474" t="s">
        <v>520</v>
      </c>
      <c r="AA17" s="508">
        <v>212.77930000000001</v>
      </c>
      <c r="AC17" s="73" t="s">
        <v>584</v>
      </c>
      <c r="AD17" s="516">
        <v>1893</v>
      </c>
      <c r="AF17" s="28" t="s">
        <v>122</v>
      </c>
      <c r="AG17" s="511">
        <v>5499</v>
      </c>
    </row>
    <row r="18" spans="1:33">
      <c r="A18" s="73" t="s">
        <v>360</v>
      </c>
      <c r="B18" s="74" t="s">
        <v>1401</v>
      </c>
      <c r="C18" s="107" t="s">
        <v>314</v>
      </c>
      <c r="D18" s="107" t="s">
        <v>315</v>
      </c>
      <c r="F18" s="506" t="s">
        <v>501</v>
      </c>
      <c r="G18" s="506" t="s">
        <v>501</v>
      </c>
      <c r="H18" s="506" t="s">
        <v>500</v>
      </c>
      <c r="I18" s="140">
        <v>699</v>
      </c>
      <c r="K18" s="73" t="s">
        <v>455</v>
      </c>
      <c r="L18" s="74" t="s">
        <v>454</v>
      </c>
      <c r="M18" s="507">
        <v>1999</v>
      </c>
      <c r="O18" s="325" t="s">
        <v>462</v>
      </c>
      <c r="P18" s="300">
        <v>1399</v>
      </c>
      <c r="W18" s="189" t="s">
        <v>940</v>
      </c>
      <c r="X18" s="189">
        <v>999</v>
      </c>
      <c r="Z18" s="474" t="s">
        <v>529</v>
      </c>
      <c r="AA18" s="508">
        <v>188.58</v>
      </c>
      <c r="AC18" s="73" t="s">
        <v>491</v>
      </c>
      <c r="AD18" s="516">
        <v>1281</v>
      </c>
      <c r="AF18" s="28" t="s">
        <v>127</v>
      </c>
      <c r="AG18" s="511">
        <v>4599</v>
      </c>
    </row>
    <row r="19" spans="1:33">
      <c r="A19" s="73" t="s">
        <v>352</v>
      </c>
      <c r="B19" s="74" t="s">
        <v>1402</v>
      </c>
      <c r="C19" s="107" t="s">
        <v>314</v>
      </c>
      <c r="D19" s="107" t="s">
        <v>315</v>
      </c>
      <c r="F19" s="506" t="s">
        <v>576</v>
      </c>
      <c r="G19" s="506" t="s">
        <v>576</v>
      </c>
      <c r="H19" s="506" t="s">
        <v>575</v>
      </c>
      <c r="I19" s="140">
        <v>1999</v>
      </c>
      <c r="K19" s="73" t="s">
        <v>492</v>
      </c>
      <c r="L19" s="74" t="s">
        <v>491</v>
      </c>
      <c r="M19" s="507">
        <v>3699</v>
      </c>
      <c r="O19" s="316" t="s">
        <v>468</v>
      </c>
      <c r="P19" s="248">
        <v>1599</v>
      </c>
      <c r="W19" s="189" t="s">
        <v>745</v>
      </c>
      <c r="X19" s="190">
        <v>2599</v>
      </c>
      <c r="Z19" s="474" t="s">
        <v>538</v>
      </c>
      <c r="AA19" s="508">
        <v>314.31330000000003</v>
      </c>
      <c r="AC19" s="73" t="s">
        <v>448</v>
      </c>
      <c r="AD19" s="516">
        <v>2114</v>
      </c>
      <c r="AF19" s="28" t="s">
        <v>132</v>
      </c>
      <c r="AG19" s="511">
        <v>2199</v>
      </c>
    </row>
    <row r="20" spans="1:33">
      <c r="A20" s="73" t="s">
        <v>356</v>
      </c>
      <c r="B20" s="74" t="s">
        <v>1403</v>
      </c>
      <c r="C20" s="107" t="s">
        <v>314</v>
      </c>
      <c r="D20" s="107" t="s">
        <v>315</v>
      </c>
      <c r="F20" s="506" t="s">
        <v>455</v>
      </c>
      <c r="G20" s="506" t="s">
        <v>455</v>
      </c>
      <c r="H20" s="506" t="s">
        <v>454</v>
      </c>
      <c r="I20" s="140">
        <v>1799</v>
      </c>
      <c r="K20" s="73" t="s">
        <v>609</v>
      </c>
      <c r="L20" s="74" t="s">
        <v>608</v>
      </c>
      <c r="M20" s="507">
        <v>2499</v>
      </c>
      <c r="O20" s="316" t="s">
        <v>480</v>
      </c>
      <c r="P20" s="248">
        <v>1499</v>
      </c>
      <c r="W20" s="189" t="s">
        <v>633</v>
      </c>
      <c r="X20" s="189">
        <v>999</v>
      </c>
      <c r="Z20" s="474" t="s">
        <v>533</v>
      </c>
      <c r="AA20" s="508">
        <v>207.03919999999999</v>
      </c>
      <c r="AC20" s="73" t="s">
        <v>589</v>
      </c>
      <c r="AD20" s="516">
        <v>992</v>
      </c>
      <c r="AF20" s="28" t="s">
        <v>137</v>
      </c>
      <c r="AG20" s="511">
        <v>5699</v>
      </c>
    </row>
    <row r="21" spans="1:33">
      <c r="A21" s="73" t="s">
        <v>267</v>
      </c>
      <c r="B21" s="74" t="s">
        <v>268</v>
      </c>
      <c r="C21" s="107" t="s">
        <v>256</v>
      </c>
      <c r="D21" s="107" t="s">
        <v>257</v>
      </c>
      <c r="F21" s="506" t="s">
        <v>581</v>
      </c>
      <c r="G21" s="506" t="s">
        <v>581</v>
      </c>
      <c r="H21" s="506" t="s">
        <v>580</v>
      </c>
      <c r="I21" s="140">
        <v>2399</v>
      </c>
      <c r="K21" s="73" t="s">
        <v>312</v>
      </c>
      <c r="L21" s="74" t="s">
        <v>311</v>
      </c>
      <c r="M21" s="507">
        <v>1499</v>
      </c>
      <c r="O21" s="310" t="s">
        <v>485</v>
      </c>
      <c r="P21" s="313">
        <v>799</v>
      </c>
      <c r="W21" s="189" t="s">
        <v>530</v>
      </c>
      <c r="X21" s="189">
        <v>699</v>
      </c>
      <c r="Z21" s="474" t="s">
        <v>543</v>
      </c>
      <c r="AA21" s="508">
        <v>188.58</v>
      </c>
      <c r="AC21" s="73" t="s">
        <v>434</v>
      </c>
      <c r="AD21" s="516">
        <v>1845</v>
      </c>
      <c r="AF21" s="28" t="s">
        <v>142</v>
      </c>
      <c r="AG21" s="511">
        <v>2499</v>
      </c>
    </row>
    <row r="22" spans="1:33">
      <c r="A22" s="73" t="s">
        <v>348</v>
      </c>
      <c r="B22" s="74" t="s">
        <v>1404</v>
      </c>
      <c r="C22" s="107" t="s">
        <v>314</v>
      </c>
      <c r="D22" s="107" t="s">
        <v>315</v>
      </c>
      <c r="F22" s="506" t="s">
        <v>449</v>
      </c>
      <c r="G22" s="506" t="s">
        <v>449</v>
      </c>
      <c r="H22" s="506" t="s">
        <v>448</v>
      </c>
      <c r="I22" s="140">
        <v>1099</v>
      </c>
      <c r="K22" s="73" t="s">
        <v>403</v>
      </c>
      <c r="L22" s="74" t="s">
        <v>402</v>
      </c>
      <c r="M22" s="507">
        <v>299</v>
      </c>
      <c r="O22" s="310" t="s">
        <v>488</v>
      </c>
      <c r="P22" s="313">
        <v>799</v>
      </c>
      <c r="W22" s="189" t="s">
        <v>595</v>
      </c>
      <c r="X22" s="190">
        <v>1799</v>
      </c>
      <c r="Z22" s="474" t="s">
        <v>406</v>
      </c>
      <c r="AA22" s="508">
        <v>360.63499999999999</v>
      </c>
      <c r="AC22" s="73" t="s">
        <v>441</v>
      </c>
      <c r="AD22" s="516">
        <v>1048</v>
      </c>
      <c r="AF22" s="28" t="s">
        <v>147</v>
      </c>
      <c r="AG22" s="511">
        <v>3999</v>
      </c>
    </row>
    <row r="23" spans="1:33">
      <c r="A23" s="73" t="s">
        <v>368</v>
      </c>
      <c r="B23" s="74" t="s">
        <v>1405</v>
      </c>
      <c r="C23" s="107" t="s">
        <v>314</v>
      </c>
      <c r="D23" s="107" t="s">
        <v>315</v>
      </c>
      <c r="F23" s="506" t="s">
        <v>544</v>
      </c>
      <c r="G23" s="506" t="s">
        <v>544</v>
      </c>
      <c r="H23" s="506" t="s">
        <v>1406</v>
      </c>
      <c r="I23" s="140">
        <v>1399</v>
      </c>
      <c r="K23" s="73" t="s">
        <v>638</v>
      </c>
      <c r="L23" s="74" t="s">
        <v>637</v>
      </c>
      <c r="M23" s="507">
        <v>3499</v>
      </c>
      <c r="O23" s="321" t="s">
        <v>491</v>
      </c>
      <c r="P23" s="313">
        <v>3699</v>
      </c>
      <c r="W23" s="189" t="s">
        <v>576</v>
      </c>
      <c r="X23" s="190">
        <v>2199</v>
      </c>
      <c r="Z23" s="474" t="s">
        <v>402</v>
      </c>
      <c r="AA23" s="508">
        <v>188.58</v>
      </c>
      <c r="AC23" s="73" t="s">
        <v>324</v>
      </c>
      <c r="AD23" s="516">
        <v>410</v>
      </c>
      <c r="AF23" s="28" t="s">
        <v>152</v>
      </c>
      <c r="AG23" s="511">
        <v>1499</v>
      </c>
    </row>
    <row r="24" spans="1:33">
      <c r="A24" s="73" t="s">
        <v>262</v>
      </c>
      <c r="B24" s="74" t="s">
        <v>263</v>
      </c>
      <c r="C24" s="107" t="s">
        <v>256</v>
      </c>
      <c r="D24" s="107" t="s">
        <v>257</v>
      </c>
      <c r="F24" s="506" t="s">
        <v>492</v>
      </c>
      <c r="G24" s="506" t="s">
        <v>492</v>
      </c>
      <c r="H24" s="506" t="s">
        <v>491</v>
      </c>
      <c r="I24" s="140">
        <v>3699</v>
      </c>
      <c r="K24" s="73" t="s">
        <v>938</v>
      </c>
      <c r="L24" s="74" t="s">
        <v>947</v>
      </c>
      <c r="M24" s="507">
        <v>3499</v>
      </c>
      <c r="O24" s="316" t="s">
        <v>500</v>
      </c>
      <c r="P24" s="248">
        <v>699</v>
      </c>
      <c r="W24" s="189" t="s">
        <v>676</v>
      </c>
      <c r="X24" s="190">
        <v>1599</v>
      </c>
      <c r="Z24" s="474" t="s">
        <v>562</v>
      </c>
      <c r="AA24" s="508">
        <v>199.58</v>
      </c>
      <c r="AC24" s="73" t="s">
        <v>675</v>
      </c>
      <c r="AD24" s="516">
        <v>1347</v>
      </c>
      <c r="AF24" s="28" t="e">
        <v>#N/A</v>
      </c>
      <c r="AG24" s="511"/>
    </row>
    <row r="25" spans="1:33">
      <c r="A25" s="73" t="s">
        <v>301</v>
      </c>
      <c r="B25" s="74" t="s">
        <v>308</v>
      </c>
      <c r="C25" s="107" t="s">
        <v>304</v>
      </c>
      <c r="D25" s="107" t="s">
        <v>304</v>
      </c>
      <c r="F25" s="506" t="s">
        <v>590</v>
      </c>
      <c r="G25" s="506" t="s">
        <v>590</v>
      </c>
      <c r="H25" s="506" t="s">
        <v>589</v>
      </c>
      <c r="I25" s="140">
        <v>1899</v>
      </c>
      <c r="K25" s="73" t="s">
        <v>660</v>
      </c>
      <c r="L25" s="74" t="s">
        <v>659</v>
      </c>
      <c r="M25" s="507">
        <v>1999</v>
      </c>
      <c r="O25" s="321" t="s">
        <v>504</v>
      </c>
      <c r="P25" s="313">
        <v>1549</v>
      </c>
      <c r="W25" s="189" t="s">
        <v>476</v>
      </c>
      <c r="X25" s="190">
        <v>799</v>
      </c>
      <c r="Z25" s="474" t="s">
        <v>570</v>
      </c>
      <c r="AA25" s="508">
        <v>577.54750000000001</v>
      </c>
      <c r="AC25" s="73" t="s">
        <v>608</v>
      </c>
      <c r="AD25" s="516">
        <v>521</v>
      </c>
      <c r="AF25" s="46" t="s">
        <v>232</v>
      </c>
      <c r="AG25" s="517">
        <v>5999</v>
      </c>
    </row>
    <row r="26" spans="1:33">
      <c r="A26" s="73" t="s">
        <v>517</v>
      </c>
      <c r="B26" s="74" t="s">
        <v>518</v>
      </c>
      <c r="C26" s="107" t="s">
        <v>314</v>
      </c>
      <c r="D26" s="107" t="s">
        <v>618</v>
      </c>
      <c r="F26" s="506" t="s">
        <v>412</v>
      </c>
      <c r="G26" s="506" t="s">
        <v>412</v>
      </c>
      <c r="H26" s="506" t="s">
        <v>411</v>
      </c>
      <c r="I26" s="140">
        <v>399</v>
      </c>
      <c r="K26" s="73" t="s">
        <v>626</v>
      </c>
      <c r="L26" s="74" t="s">
        <v>625</v>
      </c>
      <c r="M26" s="507">
        <v>2299</v>
      </c>
      <c r="O26" s="322" t="s">
        <v>512</v>
      </c>
      <c r="P26" s="248">
        <v>999</v>
      </c>
      <c r="W26" s="189" t="s">
        <v>341</v>
      </c>
      <c r="X26" s="189">
        <v>399</v>
      </c>
      <c r="Z26" s="474" t="s">
        <v>575</v>
      </c>
      <c r="AA26" s="508">
        <v>407.78</v>
      </c>
      <c r="AC26" s="73" t="s">
        <v>704</v>
      </c>
      <c r="AD26" s="516">
        <v>2319</v>
      </c>
      <c r="AF26" s="46" t="s">
        <v>241</v>
      </c>
      <c r="AG26" s="517">
        <v>4999</v>
      </c>
    </row>
    <row r="27" spans="1:33">
      <c r="A27" s="73" t="s">
        <v>272</v>
      </c>
      <c r="B27" s="74" t="s">
        <v>273</v>
      </c>
      <c r="C27" s="107" t="s">
        <v>256</v>
      </c>
      <c r="D27" s="107" t="s">
        <v>257</v>
      </c>
      <c r="F27" s="506" t="s">
        <v>476</v>
      </c>
      <c r="G27" s="506" t="s">
        <v>476</v>
      </c>
      <c r="H27" s="506" t="s">
        <v>475</v>
      </c>
      <c r="I27" s="140">
        <v>799</v>
      </c>
      <c r="K27" s="73" t="s">
        <v>232</v>
      </c>
      <c r="L27" s="74" t="s">
        <v>1407</v>
      </c>
      <c r="M27" s="507">
        <v>2299</v>
      </c>
      <c r="O27" s="316" t="s">
        <v>520</v>
      </c>
      <c r="P27" s="248">
        <v>1399</v>
      </c>
      <c r="W27" s="189" t="s">
        <v>539</v>
      </c>
      <c r="X27" s="189">
        <v>999</v>
      </c>
      <c r="Z27" s="474" t="s">
        <v>589</v>
      </c>
      <c r="AA27" s="508">
        <v>188.58</v>
      </c>
      <c r="AC27" s="73" t="s">
        <v>712</v>
      </c>
      <c r="AD27" s="516">
        <v>1397</v>
      </c>
      <c r="AF27" s="46" t="s">
        <v>247</v>
      </c>
      <c r="AG27" s="517">
        <v>9999</v>
      </c>
    </row>
    <row r="28" spans="1:33">
      <c r="A28" s="73" t="s">
        <v>1408</v>
      </c>
      <c r="B28" s="74" t="s">
        <v>1409</v>
      </c>
      <c r="C28" s="107" t="s">
        <v>304</v>
      </c>
      <c r="D28" s="107" t="s">
        <v>304</v>
      </c>
      <c r="F28" s="506" t="s">
        <v>571</v>
      </c>
      <c r="G28" s="506" t="s">
        <v>571</v>
      </c>
      <c r="H28" s="506" t="s">
        <v>570</v>
      </c>
      <c r="I28" s="140">
        <v>1499</v>
      </c>
      <c r="K28" s="73" t="s">
        <v>647</v>
      </c>
      <c r="L28" s="74" t="s">
        <v>646</v>
      </c>
      <c r="M28" s="507">
        <v>1499</v>
      </c>
      <c r="O28" s="310" t="s">
        <v>525</v>
      </c>
      <c r="P28" s="313">
        <v>799</v>
      </c>
      <c r="W28" s="189" t="s">
        <v>696</v>
      </c>
      <c r="X28" s="190">
        <v>2999</v>
      </c>
      <c r="Z28" s="474" t="s">
        <v>603</v>
      </c>
      <c r="AA28" s="508">
        <v>504.85169999999999</v>
      </c>
      <c r="AC28" s="73" t="s">
        <v>695</v>
      </c>
      <c r="AD28" s="516">
        <v>848</v>
      </c>
      <c r="AF28" s="28" t="s">
        <v>254</v>
      </c>
      <c r="AG28" s="511">
        <v>1499</v>
      </c>
    </row>
    <row r="29" spans="1:33">
      <c r="A29" s="73" t="s">
        <v>496</v>
      </c>
      <c r="B29" s="74" t="s">
        <v>497</v>
      </c>
      <c r="C29" s="107" t="s">
        <v>234</v>
      </c>
      <c r="D29" s="107" t="s">
        <v>249</v>
      </c>
      <c r="F29" s="506" t="s">
        <v>609</v>
      </c>
      <c r="G29" s="506" t="s">
        <v>609</v>
      </c>
      <c r="H29" s="506" t="s">
        <v>608</v>
      </c>
      <c r="I29" s="140">
        <v>2299</v>
      </c>
      <c r="K29" s="73" t="s">
        <v>652</v>
      </c>
      <c r="L29" s="74" t="s">
        <v>651</v>
      </c>
      <c r="M29" s="507">
        <v>1949</v>
      </c>
      <c r="O29" s="310" t="s">
        <v>529</v>
      </c>
      <c r="P29" s="313">
        <v>699</v>
      </c>
      <c r="W29" s="189" t="s">
        <v>526</v>
      </c>
      <c r="X29" s="190">
        <v>799</v>
      </c>
      <c r="Z29" s="474" t="s">
        <v>599</v>
      </c>
      <c r="AA29" s="508">
        <v>679.22860000000003</v>
      </c>
      <c r="AC29" s="73" t="s">
        <v>668</v>
      </c>
      <c r="AD29" s="516">
        <v>1065</v>
      </c>
      <c r="AF29" s="28" t="s">
        <v>263</v>
      </c>
      <c r="AG29" s="511">
        <v>1999</v>
      </c>
    </row>
    <row r="30" spans="1:33">
      <c r="A30" s="73" t="s">
        <v>253</v>
      </c>
      <c r="B30" s="74" t="s">
        <v>254</v>
      </c>
      <c r="C30" s="107" t="s">
        <v>256</v>
      </c>
      <c r="D30" s="107" t="s">
        <v>257</v>
      </c>
      <c r="F30" s="506" t="s">
        <v>553</v>
      </c>
      <c r="G30" s="506" t="s">
        <v>553</v>
      </c>
      <c r="H30" s="506" t="s">
        <v>552</v>
      </c>
      <c r="I30" s="140">
        <v>999</v>
      </c>
      <c r="K30" s="73" t="s">
        <v>656</v>
      </c>
      <c r="L30" s="74" t="s">
        <v>655</v>
      </c>
      <c r="M30" s="507">
        <v>2299</v>
      </c>
      <c r="O30" s="322" t="s">
        <v>538</v>
      </c>
      <c r="P30" s="248">
        <v>999</v>
      </c>
      <c r="W30" s="189" t="s">
        <v>472</v>
      </c>
      <c r="X30" s="189">
        <v>699</v>
      </c>
      <c r="Z30" s="474" t="s">
        <v>608</v>
      </c>
      <c r="AA30" s="508">
        <v>707.18</v>
      </c>
      <c r="AC30" s="73" t="s">
        <v>632</v>
      </c>
      <c r="AD30" s="516">
        <v>1564</v>
      </c>
      <c r="AF30" s="28" t="s">
        <v>268</v>
      </c>
      <c r="AG30" s="511">
        <v>1499</v>
      </c>
    </row>
    <row r="31" spans="1:33">
      <c r="A31" s="73" t="s">
        <v>384</v>
      </c>
      <c r="B31" s="74" t="s">
        <v>415</v>
      </c>
      <c r="C31" s="107" t="s">
        <v>314</v>
      </c>
      <c r="D31" s="107" t="s">
        <v>315</v>
      </c>
      <c r="F31" s="506" t="s">
        <v>407</v>
      </c>
      <c r="G31" s="506" t="s">
        <v>407</v>
      </c>
      <c r="H31" s="506" t="s">
        <v>406</v>
      </c>
      <c r="I31" s="140">
        <v>399</v>
      </c>
      <c r="K31" s="73" t="s">
        <v>705</v>
      </c>
      <c r="L31" s="74" t="s">
        <v>704</v>
      </c>
      <c r="M31" s="507">
        <v>5999</v>
      </c>
      <c r="O31" s="322" t="s">
        <v>543</v>
      </c>
      <c r="P31" s="248">
        <v>1299</v>
      </c>
      <c r="W31" s="189" t="s">
        <v>680</v>
      </c>
      <c r="X31" s="190">
        <v>1159</v>
      </c>
      <c r="Z31" s="474" t="s">
        <v>615</v>
      </c>
      <c r="AA31" s="508">
        <v>320.56</v>
      </c>
      <c r="AC31" s="73" t="s">
        <v>603</v>
      </c>
      <c r="AD31" s="516">
        <v>451</v>
      </c>
      <c r="AF31" s="28" t="s">
        <v>273</v>
      </c>
      <c r="AG31" s="511">
        <v>1499</v>
      </c>
    </row>
    <row r="32" spans="1:33">
      <c r="A32" s="73" t="s">
        <v>388</v>
      </c>
      <c r="B32" s="74" t="s">
        <v>1410</v>
      </c>
      <c r="C32" s="107" t="s">
        <v>314</v>
      </c>
      <c r="D32" s="107" t="s">
        <v>315</v>
      </c>
      <c r="F32" s="506" t="s">
        <v>463</v>
      </c>
      <c r="G32" s="506" t="s">
        <v>463</v>
      </c>
      <c r="H32" s="506" t="s">
        <v>462</v>
      </c>
      <c r="I32" s="140">
        <v>1599</v>
      </c>
      <c r="K32" s="73" t="s">
        <v>718</v>
      </c>
      <c r="L32" s="74" t="s">
        <v>717</v>
      </c>
      <c r="M32" s="507">
        <v>1999</v>
      </c>
      <c r="O32" s="316" t="s">
        <v>557</v>
      </c>
      <c r="P32" s="248">
        <v>1249</v>
      </c>
      <c r="W32" s="189" t="s">
        <v>463</v>
      </c>
      <c r="X32" s="190">
        <v>1399</v>
      </c>
      <c r="Z32" s="474" t="s">
        <v>625</v>
      </c>
      <c r="AA32" s="508">
        <v>424.3</v>
      </c>
      <c r="AC32" s="73" t="s">
        <v>1396</v>
      </c>
      <c r="AD32" s="516">
        <v>566</v>
      </c>
      <c r="AF32" s="46" t="s">
        <v>277</v>
      </c>
      <c r="AG32" s="517">
        <v>1999</v>
      </c>
    </row>
    <row r="33" spans="1:33">
      <c r="A33" s="73" t="s">
        <v>397</v>
      </c>
      <c r="B33" s="74" t="s">
        <v>569</v>
      </c>
      <c r="C33" s="107" t="s">
        <v>314</v>
      </c>
      <c r="D33" s="107" t="s">
        <v>315</v>
      </c>
      <c r="F33" s="506" t="s">
        <v>563</v>
      </c>
      <c r="G33" s="506" t="s">
        <v>563</v>
      </c>
      <c r="H33" s="506" t="s">
        <v>562</v>
      </c>
      <c r="I33" s="140">
        <v>1499</v>
      </c>
      <c r="K33" s="73" t="s">
        <v>713</v>
      </c>
      <c r="L33" s="74" t="s">
        <v>712</v>
      </c>
      <c r="M33" s="507">
        <v>2299</v>
      </c>
      <c r="O33" s="310" t="s">
        <v>562</v>
      </c>
      <c r="P33" s="313">
        <v>1499</v>
      </c>
      <c r="W33" s="189" t="s">
        <v>563</v>
      </c>
      <c r="X33" s="190">
        <v>1199</v>
      </c>
      <c r="Z33" s="474" t="s">
        <v>632</v>
      </c>
      <c r="AA33" s="508">
        <v>188.58</v>
      </c>
      <c r="AC33" s="73" t="s">
        <v>683</v>
      </c>
      <c r="AD33" s="516">
        <v>1406</v>
      </c>
      <c r="AF33" s="28" t="s">
        <v>281</v>
      </c>
      <c r="AG33" s="511">
        <v>2199</v>
      </c>
    </row>
    <row r="34" spans="1:33">
      <c r="A34" s="73" t="s">
        <v>392</v>
      </c>
      <c r="B34" s="74" t="s">
        <v>1411</v>
      </c>
      <c r="C34" s="107" t="s">
        <v>314</v>
      </c>
      <c r="D34" s="107" t="s">
        <v>315</v>
      </c>
      <c r="F34" s="506" t="s">
        <v>595</v>
      </c>
      <c r="G34" s="506" t="s">
        <v>595</v>
      </c>
      <c r="H34" s="506" t="s">
        <v>594</v>
      </c>
      <c r="I34" s="140">
        <v>1648</v>
      </c>
      <c r="K34" s="73" t="s">
        <v>733</v>
      </c>
      <c r="L34" s="74" t="s">
        <v>732</v>
      </c>
      <c r="M34" s="507">
        <v>1599</v>
      </c>
      <c r="O34" s="316" t="s">
        <v>570</v>
      </c>
      <c r="P34" s="248">
        <v>1599</v>
      </c>
      <c r="W34" s="189" t="s">
        <v>664</v>
      </c>
      <c r="X34" s="190">
        <v>2999</v>
      </c>
      <c r="Z34" s="474" t="s">
        <v>947</v>
      </c>
      <c r="AA34" s="508">
        <v>636.44500000000005</v>
      </c>
      <c r="AC34" s="73" t="s">
        <v>688</v>
      </c>
      <c r="AD34" s="516">
        <v>1429</v>
      </c>
      <c r="AF34" s="28" t="s">
        <v>286</v>
      </c>
      <c r="AG34" s="511">
        <v>2199</v>
      </c>
    </row>
    <row r="35" spans="1:33">
      <c r="A35" s="73" t="s">
        <v>293</v>
      </c>
      <c r="B35" s="74" t="s">
        <v>294</v>
      </c>
      <c r="C35" s="107" t="s">
        <v>256</v>
      </c>
      <c r="D35" s="107" t="s">
        <v>257</v>
      </c>
      <c r="F35" s="506" t="s">
        <v>940</v>
      </c>
      <c r="G35" s="506" t="s">
        <v>940</v>
      </c>
      <c r="H35" s="506" t="s">
        <v>512</v>
      </c>
      <c r="I35" s="140">
        <v>999</v>
      </c>
      <c r="K35" s="73" t="s">
        <v>941</v>
      </c>
      <c r="L35" s="74" t="s">
        <v>753</v>
      </c>
      <c r="M35" s="507">
        <v>3599</v>
      </c>
      <c r="O35" s="316" t="s">
        <v>575</v>
      </c>
      <c r="P35" s="248">
        <v>2199</v>
      </c>
      <c r="W35" s="189" t="s">
        <v>509</v>
      </c>
      <c r="X35" s="190">
        <v>1499</v>
      </c>
      <c r="Z35" s="474" t="s">
        <v>642</v>
      </c>
      <c r="AA35" s="508">
        <v>188.58</v>
      </c>
      <c r="AC35" s="73" t="s">
        <v>508</v>
      </c>
      <c r="AD35" s="516">
        <v>1771</v>
      </c>
      <c r="AF35" s="28" t="s">
        <v>290</v>
      </c>
      <c r="AG35" s="511">
        <v>2199</v>
      </c>
    </row>
    <row r="36" spans="1:33">
      <c r="A36" s="73" t="s">
        <v>289</v>
      </c>
      <c r="B36" s="74" t="s">
        <v>290</v>
      </c>
      <c r="C36" s="107" t="s">
        <v>256</v>
      </c>
      <c r="D36" s="107" t="s">
        <v>257</v>
      </c>
      <c r="F36" s="506" t="s">
        <v>664</v>
      </c>
      <c r="G36" s="506" t="s">
        <v>664</v>
      </c>
      <c r="H36" s="506" t="s">
        <v>663</v>
      </c>
      <c r="I36" s="140">
        <v>2199</v>
      </c>
      <c r="K36" s="73" t="s">
        <v>942</v>
      </c>
      <c r="L36" s="74" t="s">
        <v>760</v>
      </c>
      <c r="M36" s="507">
        <v>2599</v>
      </c>
      <c r="O36" s="316" t="s">
        <v>580</v>
      </c>
      <c r="P36" s="248">
        <v>2499</v>
      </c>
      <c r="W36" s="189" t="s">
        <v>729</v>
      </c>
      <c r="X36" s="190">
        <v>2899</v>
      </c>
      <c r="Z36" s="474" t="s">
        <v>621</v>
      </c>
      <c r="AA36" s="508">
        <v>377.18</v>
      </c>
      <c r="AC36" s="73" t="s">
        <v>454</v>
      </c>
      <c r="AD36" s="516">
        <v>1438</v>
      </c>
      <c r="AF36" s="28" t="s">
        <v>294</v>
      </c>
      <c r="AG36" s="511">
        <v>2199</v>
      </c>
    </row>
    <row r="37" spans="1:33">
      <c r="A37" s="73" t="s">
        <v>285</v>
      </c>
      <c r="B37" s="74" t="s">
        <v>286</v>
      </c>
      <c r="C37" s="107" t="s">
        <v>256</v>
      </c>
      <c r="D37" s="107" t="s">
        <v>257</v>
      </c>
      <c r="F37" s="506" t="s">
        <v>526</v>
      </c>
      <c r="G37" s="506" t="s">
        <v>526</v>
      </c>
      <c r="H37" s="506" t="s">
        <v>525</v>
      </c>
      <c r="I37" s="140">
        <v>749</v>
      </c>
      <c r="K37" s="73" t="s">
        <v>943</v>
      </c>
      <c r="L37" s="74" t="s">
        <v>764</v>
      </c>
      <c r="M37" s="507">
        <v>1799</v>
      </c>
      <c r="O37" s="316" t="s">
        <v>584</v>
      </c>
      <c r="P37" s="248">
        <v>3299</v>
      </c>
      <c r="W37" s="189" t="s">
        <v>643</v>
      </c>
      <c r="X37" s="190">
        <v>1549</v>
      </c>
      <c r="Z37" s="474" t="s">
        <v>651</v>
      </c>
      <c r="AA37" s="508">
        <v>188.58</v>
      </c>
      <c r="AC37" s="73" t="s">
        <v>575</v>
      </c>
      <c r="AD37" s="516">
        <v>461</v>
      </c>
      <c r="AF37" s="46" t="s">
        <v>298</v>
      </c>
      <c r="AG37" s="517">
        <v>2999</v>
      </c>
    </row>
    <row r="38" spans="1:33">
      <c r="A38" s="73" t="s">
        <v>280</v>
      </c>
      <c r="B38" s="74" t="s">
        <v>281</v>
      </c>
      <c r="C38" s="107" t="s">
        <v>256</v>
      </c>
      <c r="D38" s="107" t="s">
        <v>257</v>
      </c>
      <c r="F38" s="506" t="s">
        <v>312</v>
      </c>
      <c r="G38" s="506" t="s">
        <v>312</v>
      </c>
      <c r="H38" s="506" t="s">
        <v>311</v>
      </c>
      <c r="I38" s="140">
        <v>1499</v>
      </c>
      <c r="K38" s="73" t="s">
        <v>773</v>
      </c>
      <c r="L38" s="74" t="s">
        <v>772</v>
      </c>
      <c r="M38" s="507">
        <v>1599</v>
      </c>
      <c r="O38" s="316" t="s">
        <v>589</v>
      </c>
      <c r="P38" s="248">
        <v>2047</v>
      </c>
      <c r="W38" s="189" t="s">
        <v>643</v>
      </c>
      <c r="X38" s="190">
        <v>1549</v>
      </c>
      <c r="Z38" s="474" t="s">
        <v>655</v>
      </c>
      <c r="AA38" s="508">
        <v>225.35400000000001</v>
      </c>
      <c r="AC38" s="73" t="s">
        <v>580</v>
      </c>
      <c r="AD38" s="516">
        <v>1878</v>
      </c>
      <c r="AF38" s="344" t="s">
        <v>302</v>
      </c>
      <c r="AG38" s="518">
        <v>2999</v>
      </c>
    </row>
    <row r="39" spans="1:33">
      <c r="A39" s="73" t="s">
        <v>1412</v>
      </c>
      <c r="B39" s="74" t="s">
        <v>1413</v>
      </c>
      <c r="C39" s="107" t="s">
        <v>304</v>
      </c>
      <c r="D39" s="107" t="s">
        <v>304</v>
      </c>
      <c r="F39" s="506" t="s">
        <v>472</v>
      </c>
      <c r="G39" s="506" t="s">
        <v>472</v>
      </c>
      <c r="H39" s="506" t="s">
        <v>471</v>
      </c>
      <c r="I39" s="140">
        <v>714</v>
      </c>
      <c r="K39" s="73" t="s">
        <v>944</v>
      </c>
      <c r="L39" s="74" t="s">
        <v>668</v>
      </c>
      <c r="M39" s="507">
        <v>1499</v>
      </c>
      <c r="O39" s="316" t="s">
        <v>594</v>
      </c>
      <c r="P39" s="248">
        <v>1999</v>
      </c>
      <c r="Z39" s="474" t="s">
        <v>659</v>
      </c>
      <c r="AA39" s="508">
        <v>204.29329999999999</v>
      </c>
      <c r="AC39" s="73" t="s">
        <v>570</v>
      </c>
      <c r="AD39" s="516">
        <v>2121</v>
      </c>
      <c r="AF39" s="28" t="s">
        <v>308</v>
      </c>
      <c r="AG39" s="518">
        <v>2999</v>
      </c>
    </row>
    <row r="40" spans="1:33">
      <c r="A40" s="73" t="s">
        <v>709</v>
      </c>
      <c r="B40" s="74"/>
      <c r="C40" s="107" t="s">
        <v>314</v>
      </c>
      <c r="D40" s="107" t="s">
        <v>465</v>
      </c>
      <c r="F40" s="506" t="s">
        <v>539</v>
      </c>
      <c r="G40" s="506" t="s">
        <v>539</v>
      </c>
      <c r="H40" s="506" t="s">
        <v>538</v>
      </c>
      <c r="I40" s="140">
        <v>899</v>
      </c>
      <c r="K40" s="73" t="s">
        <v>946</v>
      </c>
      <c r="L40" s="74" t="s">
        <v>740</v>
      </c>
      <c r="M40" s="507">
        <v>1999</v>
      </c>
      <c r="O40" s="310" t="s">
        <v>599</v>
      </c>
      <c r="P40" s="313">
        <v>1799</v>
      </c>
      <c r="Z40" s="474" t="s">
        <v>668</v>
      </c>
      <c r="AA40" s="508">
        <v>954.69</v>
      </c>
      <c r="AC40" s="73" t="s">
        <v>557</v>
      </c>
      <c r="AD40" s="516">
        <v>857</v>
      </c>
      <c r="AF40" s="75" t="s">
        <v>312</v>
      </c>
      <c r="AG40" s="519">
        <v>3599</v>
      </c>
    </row>
    <row r="41" spans="1:33">
      <c r="A41" s="73" t="s">
        <v>783</v>
      </c>
      <c r="B41" s="74"/>
      <c r="C41" s="107" t="s">
        <v>314</v>
      </c>
      <c r="D41" s="107" t="s">
        <v>465</v>
      </c>
      <c r="F41" s="506" t="s">
        <v>403</v>
      </c>
      <c r="G41" s="506" t="s">
        <v>403</v>
      </c>
      <c r="H41" s="506" t="s">
        <v>402</v>
      </c>
      <c r="I41" s="140">
        <v>399</v>
      </c>
      <c r="K41" s="73" t="s">
        <v>780</v>
      </c>
      <c r="L41" s="74" t="s">
        <v>779</v>
      </c>
      <c r="M41" s="507">
        <v>1399</v>
      </c>
      <c r="O41" s="310" t="s">
        <v>603</v>
      </c>
      <c r="P41" s="313">
        <v>2499</v>
      </c>
      <c r="Z41" s="474" t="s">
        <v>679</v>
      </c>
      <c r="AA41" s="508">
        <v>212.15</v>
      </c>
      <c r="AC41" s="73" t="s">
        <v>615</v>
      </c>
      <c r="AD41" s="516">
        <v>1327</v>
      </c>
      <c r="AF41" s="80"/>
      <c r="AG41" s="520">
        <v>4999</v>
      </c>
    </row>
    <row r="42" spans="1:33">
      <c r="A42" s="73" t="s">
        <v>819</v>
      </c>
      <c r="B42" s="74"/>
      <c r="C42" s="107"/>
      <c r="D42" s="107"/>
      <c r="F42" s="506" t="s">
        <v>938</v>
      </c>
      <c r="G42" s="506" t="s">
        <v>938</v>
      </c>
      <c r="H42" s="506" t="s">
        <v>947</v>
      </c>
      <c r="I42" s="140">
        <v>3999</v>
      </c>
      <c r="K42" s="73" t="s">
        <v>832</v>
      </c>
      <c r="L42" s="74" t="s">
        <v>831</v>
      </c>
      <c r="M42" s="507">
        <v>1599</v>
      </c>
      <c r="O42" s="316" t="s">
        <v>608</v>
      </c>
      <c r="P42" s="248">
        <v>2499</v>
      </c>
      <c r="Z42" s="474" t="s">
        <v>683</v>
      </c>
      <c r="AA42" s="508">
        <v>801.505</v>
      </c>
      <c r="AC42" s="73" t="s">
        <v>621</v>
      </c>
      <c r="AD42" s="516">
        <v>1141</v>
      </c>
      <c r="AF42" s="96" t="s">
        <v>325</v>
      </c>
      <c r="AG42" s="519">
        <v>5999</v>
      </c>
    </row>
    <row r="43" spans="1:33">
      <c r="A43" s="73" t="s">
        <v>788</v>
      </c>
      <c r="B43" s="74"/>
      <c r="C43" s="107"/>
      <c r="D43" s="107"/>
      <c r="F43" s="506" t="s">
        <v>622</v>
      </c>
      <c r="G43" s="506" t="s">
        <v>622</v>
      </c>
      <c r="H43" s="506" t="s">
        <v>621</v>
      </c>
      <c r="I43" s="140">
        <v>1499</v>
      </c>
      <c r="K43" s="73" t="s">
        <v>828</v>
      </c>
      <c r="L43" s="74" t="s">
        <v>827</v>
      </c>
      <c r="M43" s="507">
        <v>1999</v>
      </c>
      <c r="O43" s="316" t="s">
        <v>615</v>
      </c>
      <c r="P43" s="248">
        <v>1399</v>
      </c>
      <c r="Z43" s="474" t="s">
        <v>688</v>
      </c>
      <c r="AA43" s="508">
        <v>660.06</v>
      </c>
      <c r="AC43" s="73" t="s">
        <v>311</v>
      </c>
      <c r="AD43" s="516">
        <v>299</v>
      </c>
      <c r="AF43" s="345" t="s">
        <v>330</v>
      </c>
      <c r="AG43" s="518">
        <v>1199</v>
      </c>
    </row>
    <row r="44" spans="1:33">
      <c r="A44" s="73" t="s">
        <v>810</v>
      </c>
      <c r="B44" s="74"/>
      <c r="C44" s="107"/>
      <c r="D44" s="107"/>
      <c r="F44" s="506" t="s">
        <v>509</v>
      </c>
      <c r="G44" s="506" t="s">
        <v>509</v>
      </c>
      <c r="H44" s="506" t="s">
        <v>508</v>
      </c>
      <c r="I44" s="140">
        <v>1399</v>
      </c>
      <c r="K44" s="73" t="s">
        <v>254</v>
      </c>
      <c r="L44" s="74" t="s">
        <v>253</v>
      </c>
      <c r="M44" s="507">
        <v>699</v>
      </c>
      <c r="O44" s="316" t="s">
        <v>621</v>
      </c>
      <c r="P44" s="248">
        <v>1399</v>
      </c>
      <c r="Z44" s="474" t="s">
        <v>700</v>
      </c>
      <c r="AA44" s="508">
        <v>353.60750000000002</v>
      </c>
      <c r="AC44" s="73" t="s">
        <v>562</v>
      </c>
      <c r="AD44" s="516">
        <v>633</v>
      </c>
      <c r="AF44" s="345" t="s">
        <v>336</v>
      </c>
      <c r="AG44" s="518">
        <v>1199</v>
      </c>
    </row>
    <row r="45" spans="1:33">
      <c r="A45" s="73" t="s">
        <v>815</v>
      </c>
      <c r="B45" s="74"/>
      <c r="C45" s="107"/>
      <c r="D45" s="107"/>
      <c r="F45" s="506" t="s">
        <v>616</v>
      </c>
      <c r="G45" s="506" t="s">
        <v>616</v>
      </c>
      <c r="H45" s="506" t="s">
        <v>615</v>
      </c>
      <c r="I45" s="140">
        <v>1499</v>
      </c>
      <c r="K45" s="73" t="s">
        <v>816</v>
      </c>
      <c r="L45" s="74" t="s">
        <v>815</v>
      </c>
      <c r="M45" s="507">
        <v>1099</v>
      </c>
      <c r="O45" s="69" t="s">
        <v>625</v>
      </c>
      <c r="P45" s="289">
        <v>2299</v>
      </c>
      <c r="Z45" s="474" t="s">
        <v>717</v>
      </c>
      <c r="AA45" s="508">
        <v>188.58</v>
      </c>
      <c r="AC45" s="73" t="s">
        <v>651</v>
      </c>
      <c r="AD45" s="516">
        <v>1183</v>
      </c>
      <c r="AF45" s="96" t="s">
        <v>341</v>
      </c>
      <c r="AG45" s="519">
        <v>699</v>
      </c>
    </row>
    <row r="46" spans="1:33">
      <c r="A46" s="73" t="s">
        <v>827</v>
      </c>
      <c r="B46" s="74"/>
      <c r="C46" s="107"/>
      <c r="D46" s="107"/>
      <c r="F46" s="506" t="s">
        <v>660</v>
      </c>
      <c r="G46" s="506" t="s">
        <v>660</v>
      </c>
      <c r="H46" s="506" t="s">
        <v>659</v>
      </c>
      <c r="I46" s="140">
        <v>1499</v>
      </c>
      <c r="K46" s="73" t="s">
        <v>811</v>
      </c>
      <c r="L46" s="74" t="s">
        <v>810</v>
      </c>
      <c r="M46" s="507">
        <v>1099</v>
      </c>
      <c r="O46" s="310" t="s">
        <v>632</v>
      </c>
      <c r="P46" s="313">
        <v>999</v>
      </c>
      <c r="Z46" s="474" t="s">
        <v>712</v>
      </c>
      <c r="AA46" s="508">
        <v>1046.615</v>
      </c>
      <c r="AC46" s="73" t="s">
        <v>329</v>
      </c>
      <c r="AD46" s="516">
        <v>0</v>
      </c>
      <c r="AF46" s="345" t="s">
        <v>345</v>
      </c>
      <c r="AG46" s="518">
        <v>2399</v>
      </c>
    </row>
    <row r="47" spans="1:33">
      <c r="A47" s="73" t="s">
        <v>831</v>
      </c>
      <c r="B47" s="74"/>
      <c r="C47" s="107"/>
      <c r="D47" s="107"/>
      <c r="F47" s="506" t="s">
        <v>435</v>
      </c>
      <c r="G47" s="506" t="s">
        <v>435</v>
      </c>
      <c r="H47" s="506" t="s">
        <v>434</v>
      </c>
      <c r="I47" s="140">
        <v>849</v>
      </c>
      <c r="K47" s="73" t="s">
        <v>820</v>
      </c>
      <c r="L47" s="74" t="s">
        <v>819</v>
      </c>
      <c r="M47" s="507">
        <v>15990</v>
      </c>
      <c r="O47" s="310" t="s">
        <v>947</v>
      </c>
      <c r="P47" s="313">
        <v>3499</v>
      </c>
      <c r="Z47" s="474" t="s">
        <v>740</v>
      </c>
      <c r="AA47" s="508">
        <v>240.43</v>
      </c>
      <c r="AC47" s="73" t="s">
        <v>679</v>
      </c>
      <c r="AD47" s="516">
        <v>124</v>
      </c>
      <c r="AF47" s="96" t="s">
        <v>349</v>
      </c>
      <c r="AG47" s="519">
        <v>1799</v>
      </c>
    </row>
    <row r="48" spans="1:33">
      <c r="A48" s="73" t="s">
        <v>797</v>
      </c>
      <c r="B48" s="74"/>
      <c r="C48" s="107"/>
      <c r="D48" s="107"/>
      <c r="F48" s="506" t="s">
        <v>341</v>
      </c>
      <c r="G48" s="506" t="s">
        <v>341</v>
      </c>
      <c r="H48" s="506" t="s">
        <v>340</v>
      </c>
      <c r="I48" s="140">
        <v>329</v>
      </c>
      <c r="K48" s="73" t="s">
        <v>824</v>
      </c>
      <c r="L48" s="74" t="s">
        <v>823</v>
      </c>
      <c r="M48" s="507">
        <v>9999</v>
      </c>
      <c r="O48" s="316" t="s">
        <v>642</v>
      </c>
      <c r="P48" s="248">
        <v>1549</v>
      </c>
      <c r="Z48" s="474" t="s">
        <v>749</v>
      </c>
      <c r="AA48" s="508">
        <v>530.375</v>
      </c>
      <c r="AC48" s="73" t="s">
        <v>655</v>
      </c>
      <c r="AD48" s="516">
        <v>114</v>
      </c>
      <c r="AF48" s="96" t="s">
        <v>353</v>
      </c>
      <c r="AG48" s="519">
        <v>1499</v>
      </c>
    </row>
    <row r="49" spans="1:33">
      <c r="A49" s="73" t="s">
        <v>802</v>
      </c>
      <c r="B49" s="74"/>
      <c r="C49" s="107"/>
      <c r="D49" s="107"/>
      <c r="F49" s="506" t="s">
        <v>626</v>
      </c>
      <c r="G49" s="506" t="s">
        <v>626</v>
      </c>
      <c r="H49" s="506" t="s">
        <v>625</v>
      </c>
      <c r="I49" s="140">
        <v>2299</v>
      </c>
      <c r="K49" s="73" t="s">
        <v>789</v>
      </c>
      <c r="L49" s="74" t="s">
        <v>788</v>
      </c>
      <c r="M49" s="507">
        <v>5699</v>
      </c>
      <c r="O49" s="69" t="s">
        <v>646</v>
      </c>
      <c r="P49" s="289">
        <v>1499</v>
      </c>
      <c r="Z49" s="474" t="s">
        <v>775</v>
      </c>
      <c r="AA49" s="508">
        <v>840.77670000000001</v>
      </c>
      <c r="AC49" s="73" t="s">
        <v>625</v>
      </c>
      <c r="AD49" s="516">
        <v>389</v>
      </c>
      <c r="AF49" s="96" t="s">
        <v>357</v>
      </c>
      <c r="AG49" s="519">
        <v>1499</v>
      </c>
    </row>
    <row r="50" spans="1:33">
      <c r="A50" s="73" t="s">
        <v>806</v>
      </c>
      <c r="B50" s="74"/>
      <c r="C50" s="107"/>
      <c r="D50" s="107"/>
      <c r="F50" s="521" t="s">
        <v>232</v>
      </c>
      <c r="G50" s="521" t="s">
        <v>232</v>
      </c>
      <c r="H50" s="506" t="s">
        <v>1407</v>
      </c>
      <c r="I50" s="140">
        <v>2499</v>
      </c>
      <c r="K50" s="73" t="s">
        <v>798</v>
      </c>
      <c r="L50" s="74" t="s">
        <v>797</v>
      </c>
      <c r="M50" s="507">
        <v>1899</v>
      </c>
      <c r="O50" s="69" t="s">
        <v>651</v>
      </c>
      <c r="P50" s="289">
        <v>1949</v>
      </c>
      <c r="Z50" s="474" t="s">
        <v>779</v>
      </c>
      <c r="AA50" s="508">
        <v>471.47</v>
      </c>
      <c r="AC50" s="73" t="s">
        <v>717</v>
      </c>
      <c r="AD50" s="516">
        <v>782</v>
      </c>
      <c r="AF50" s="96" t="s">
        <v>361</v>
      </c>
      <c r="AG50" s="519">
        <v>1799</v>
      </c>
    </row>
    <row r="51" spans="1:33">
      <c r="A51" s="73" t="s">
        <v>835</v>
      </c>
      <c r="B51" s="74"/>
      <c r="C51" s="107"/>
      <c r="D51" s="107"/>
      <c r="F51" s="506" t="s">
        <v>530</v>
      </c>
      <c r="G51" s="506" t="s">
        <v>530</v>
      </c>
      <c r="H51" s="506" t="s">
        <v>1414</v>
      </c>
      <c r="I51" s="140">
        <v>599</v>
      </c>
      <c r="K51" s="73" t="s">
        <v>803</v>
      </c>
      <c r="L51" s="74" t="s">
        <v>802</v>
      </c>
      <c r="M51" s="507">
        <v>1999</v>
      </c>
      <c r="O51" s="69" t="s">
        <v>655</v>
      </c>
      <c r="P51" s="289">
        <v>2299</v>
      </c>
      <c r="Z51" s="474" t="s">
        <v>797</v>
      </c>
      <c r="AA51" s="508">
        <v>612.91499999999996</v>
      </c>
      <c r="AC51" s="73" t="s">
        <v>736</v>
      </c>
      <c r="AD51" s="516">
        <v>44</v>
      </c>
      <c r="AF51" s="96" t="s">
        <v>365</v>
      </c>
      <c r="AG51" s="519">
        <v>1799</v>
      </c>
    </row>
    <row r="52" spans="1:33">
      <c r="A52" s="73" t="s">
        <v>839</v>
      </c>
      <c r="B52" s="74"/>
      <c r="C52" s="107"/>
      <c r="D52" s="107"/>
      <c r="F52" s="506" t="s">
        <v>633</v>
      </c>
      <c r="G52" s="506" t="s">
        <v>633</v>
      </c>
      <c r="H52" s="506" t="s">
        <v>632</v>
      </c>
      <c r="I52" s="140">
        <v>899</v>
      </c>
      <c r="K52" s="73" t="s">
        <v>836</v>
      </c>
      <c r="L52" s="74" t="s">
        <v>835</v>
      </c>
      <c r="M52" s="507">
        <v>1499</v>
      </c>
      <c r="O52" s="316" t="s">
        <v>659</v>
      </c>
      <c r="P52" s="248">
        <v>1999</v>
      </c>
      <c r="Z52" s="474" t="s">
        <v>1396</v>
      </c>
      <c r="AA52" s="508">
        <v>530.38</v>
      </c>
      <c r="AC52" s="73" t="s">
        <v>471</v>
      </c>
      <c r="AD52" s="516">
        <v>736</v>
      </c>
      <c r="AF52" s="96" t="s">
        <v>369</v>
      </c>
      <c r="AG52" s="519">
        <v>1199</v>
      </c>
    </row>
    <row r="53" spans="1:33">
      <c r="A53" s="73" t="s">
        <v>843</v>
      </c>
      <c r="B53" s="74"/>
      <c r="C53" s="107"/>
      <c r="D53" s="107"/>
      <c r="F53" s="506" t="s">
        <v>647</v>
      </c>
      <c r="G53" s="506" t="s">
        <v>647</v>
      </c>
      <c r="H53" s="506" t="s">
        <v>646</v>
      </c>
      <c r="I53" s="140">
        <v>1499</v>
      </c>
      <c r="K53" s="73" t="s">
        <v>840</v>
      </c>
      <c r="L53" s="74" t="s">
        <v>839</v>
      </c>
      <c r="M53" s="507">
        <v>1099</v>
      </c>
      <c r="O53" s="316" t="s">
        <v>663</v>
      </c>
      <c r="P53" s="248">
        <v>2999</v>
      </c>
      <c r="Z53" s="474" t="s">
        <v>637</v>
      </c>
      <c r="AA53" s="508">
        <v>377.18</v>
      </c>
      <c r="AC53" s="73" t="s">
        <v>740</v>
      </c>
      <c r="AD53" s="516">
        <v>1709</v>
      </c>
      <c r="AF53" s="96" t="s">
        <v>373</v>
      </c>
      <c r="AG53" s="519">
        <v>2699</v>
      </c>
    </row>
    <row r="54" spans="1:33">
      <c r="A54" s="73" t="s">
        <v>847</v>
      </c>
      <c r="B54" s="74"/>
      <c r="C54" s="107"/>
      <c r="D54" s="107"/>
      <c r="F54" s="506" t="s">
        <v>652</v>
      </c>
      <c r="G54" s="506" t="s">
        <v>652</v>
      </c>
      <c r="H54" s="506" t="s">
        <v>651</v>
      </c>
      <c r="I54" s="140">
        <v>1799</v>
      </c>
      <c r="K54" s="73" t="s">
        <v>844</v>
      </c>
      <c r="L54" s="74" t="s">
        <v>843</v>
      </c>
      <c r="M54" s="507">
        <v>2299</v>
      </c>
      <c r="O54" s="316" t="s">
        <v>668</v>
      </c>
      <c r="P54" s="248">
        <v>1499</v>
      </c>
      <c r="Z54" s="474" t="s">
        <v>1414</v>
      </c>
      <c r="AA54" s="508">
        <v>188.58</v>
      </c>
      <c r="AC54" s="73" t="s">
        <v>659</v>
      </c>
      <c r="AD54" s="516">
        <v>1834</v>
      </c>
      <c r="AF54" s="96" t="s">
        <v>377</v>
      </c>
      <c r="AG54" s="519">
        <v>2699</v>
      </c>
    </row>
    <row r="55" spans="1:33">
      <c r="A55" s="73" t="s">
        <v>851</v>
      </c>
      <c r="B55" s="74"/>
      <c r="C55" s="107"/>
      <c r="D55" s="107"/>
      <c r="F55" s="506" t="s">
        <v>656</v>
      </c>
      <c r="G55" s="506" t="s">
        <v>656</v>
      </c>
      <c r="H55" s="506" t="s">
        <v>655</v>
      </c>
      <c r="I55" s="140">
        <v>2399</v>
      </c>
      <c r="K55" s="73" t="s">
        <v>848</v>
      </c>
      <c r="L55" s="74" t="s">
        <v>847</v>
      </c>
      <c r="M55" s="507">
        <v>9999</v>
      </c>
      <c r="O55" s="310" t="s">
        <v>675</v>
      </c>
      <c r="P55" s="313">
        <v>1599</v>
      </c>
      <c r="Z55" s="522" t="s">
        <v>1415</v>
      </c>
      <c r="AA55" s="523">
        <v>264.13374149999999</v>
      </c>
      <c r="AC55" s="73" t="s">
        <v>538</v>
      </c>
      <c r="AD55" s="516">
        <v>698</v>
      </c>
      <c r="AF55" s="96" t="s">
        <v>381</v>
      </c>
      <c r="AG55" s="519">
        <v>1799</v>
      </c>
    </row>
    <row r="56" spans="1:33">
      <c r="A56" s="73" t="s">
        <v>859</v>
      </c>
      <c r="B56" s="74"/>
      <c r="C56" s="107"/>
      <c r="D56" s="107"/>
      <c r="F56" s="506" t="s">
        <v>676</v>
      </c>
      <c r="G56" s="506" t="s">
        <v>676</v>
      </c>
      <c r="H56" s="506" t="s">
        <v>675</v>
      </c>
      <c r="I56" s="140">
        <v>1199</v>
      </c>
      <c r="K56" s="73" t="s">
        <v>852</v>
      </c>
      <c r="L56" s="74" t="s">
        <v>851</v>
      </c>
      <c r="M56" s="507">
        <v>5499</v>
      </c>
      <c r="O56" s="310" t="s">
        <v>679</v>
      </c>
      <c r="P56" s="313">
        <v>1159</v>
      </c>
      <c r="AC56" s="73" t="s">
        <v>340</v>
      </c>
      <c r="AD56" s="516">
        <v>557</v>
      </c>
      <c r="AF56" s="96" t="s">
        <v>385</v>
      </c>
      <c r="AG56" s="519">
        <v>3699</v>
      </c>
    </row>
    <row r="57" spans="1:33">
      <c r="A57" s="73" t="s">
        <v>792</v>
      </c>
      <c r="B57" s="74"/>
      <c r="C57" s="107"/>
      <c r="D57" s="107"/>
      <c r="F57" s="506" t="s">
        <v>680</v>
      </c>
      <c r="G57" s="506" t="s">
        <v>680</v>
      </c>
      <c r="H57" s="506" t="s">
        <v>679</v>
      </c>
      <c r="I57" s="140">
        <v>979</v>
      </c>
      <c r="K57" s="73" t="s">
        <v>856</v>
      </c>
      <c r="L57" s="74" t="s">
        <v>855</v>
      </c>
      <c r="M57" s="507">
        <v>1799</v>
      </c>
      <c r="O57" s="316" t="s">
        <v>683</v>
      </c>
      <c r="P57" s="248">
        <v>1699</v>
      </c>
      <c r="AC57" s="73" t="s">
        <v>663</v>
      </c>
      <c r="AD57" s="516">
        <v>325</v>
      </c>
      <c r="AF57" s="96" t="s">
        <v>389</v>
      </c>
      <c r="AG57" s="519">
        <v>3699</v>
      </c>
    </row>
    <row r="58" spans="1:33">
      <c r="A58" s="73" t="s">
        <v>823</v>
      </c>
      <c r="B58" s="74"/>
      <c r="C58" s="107"/>
      <c r="D58" s="107"/>
      <c r="F58" s="521" t="s">
        <v>705</v>
      </c>
      <c r="G58" s="521" t="s">
        <v>705</v>
      </c>
      <c r="H58" s="506" t="s">
        <v>704</v>
      </c>
      <c r="I58" s="140">
        <v>5999</v>
      </c>
      <c r="K58" s="73" t="s">
        <v>860</v>
      </c>
      <c r="L58" s="74" t="s">
        <v>859</v>
      </c>
      <c r="M58" s="507">
        <v>3999</v>
      </c>
      <c r="O58" s="310" t="s">
        <v>688</v>
      </c>
      <c r="P58" s="313">
        <v>1499</v>
      </c>
      <c r="AC58" s="73" t="s">
        <v>646</v>
      </c>
      <c r="AD58" s="516">
        <v>13</v>
      </c>
      <c r="AF58" s="96" t="s">
        <v>393</v>
      </c>
      <c r="AG58" s="519">
        <v>1249</v>
      </c>
    </row>
    <row r="59" spans="1:33">
      <c r="A59" s="73" t="s">
        <v>863</v>
      </c>
      <c r="B59" s="74"/>
      <c r="C59" s="107"/>
      <c r="D59" s="107"/>
      <c r="F59" s="506" t="s">
        <v>718</v>
      </c>
      <c r="G59" s="506" t="s">
        <v>718</v>
      </c>
      <c r="H59" s="506" t="s">
        <v>717</v>
      </c>
      <c r="I59" s="140">
        <v>2199</v>
      </c>
      <c r="K59" s="73" t="s">
        <v>263</v>
      </c>
      <c r="L59" s="74" t="s">
        <v>262</v>
      </c>
      <c r="M59" s="507">
        <v>699</v>
      </c>
      <c r="O59" s="316" t="s">
        <v>695</v>
      </c>
      <c r="P59" s="248">
        <v>2999</v>
      </c>
      <c r="AC59" s="73" t="s">
        <v>552</v>
      </c>
      <c r="AD59" s="516">
        <v>513</v>
      </c>
      <c r="AF59" s="96" t="s">
        <v>398</v>
      </c>
      <c r="AG59" s="519">
        <v>1249</v>
      </c>
    </row>
    <row r="60" spans="1:33">
      <c r="A60" s="73" t="s">
        <v>240</v>
      </c>
      <c r="B60" s="74" t="s">
        <v>241</v>
      </c>
      <c r="C60" s="107" t="s">
        <v>234</v>
      </c>
      <c r="D60" s="107" t="s">
        <v>235</v>
      </c>
      <c r="F60" s="506" t="s">
        <v>713</v>
      </c>
      <c r="G60" s="506" t="s">
        <v>713</v>
      </c>
      <c r="H60" s="506" t="s">
        <v>712</v>
      </c>
      <c r="I60" s="140">
        <v>2299</v>
      </c>
      <c r="K60" s="73" t="s">
        <v>268</v>
      </c>
      <c r="L60" s="74" t="s">
        <v>267</v>
      </c>
      <c r="M60" s="507">
        <v>699</v>
      </c>
      <c r="O60" s="316" t="s">
        <v>700</v>
      </c>
      <c r="P60" s="248">
        <v>1999</v>
      </c>
      <c r="AC60" s="73" t="s">
        <v>744</v>
      </c>
      <c r="AD60" s="516">
        <v>415</v>
      </c>
      <c r="AF60" s="45" t="s">
        <v>403</v>
      </c>
      <c r="AG60" s="519">
        <v>699</v>
      </c>
    </row>
    <row r="61" spans="1:33">
      <c r="A61" s="73" t="s">
        <v>603</v>
      </c>
      <c r="B61" s="74" t="s">
        <v>604</v>
      </c>
      <c r="C61" s="107" t="s">
        <v>234</v>
      </c>
      <c r="D61" s="107" t="s">
        <v>249</v>
      </c>
      <c r="F61" s="506" t="s">
        <v>721</v>
      </c>
      <c r="G61" s="506" t="s">
        <v>721</v>
      </c>
      <c r="H61" s="506" t="s">
        <v>720</v>
      </c>
      <c r="I61" s="140">
        <v>1499</v>
      </c>
      <c r="K61" s="73" t="s">
        <v>469</v>
      </c>
      <c r="L61" s="74" t="s">
        <v>468</v>
      </c>
      <c r="M61" s="507">
        <v>1599</v>
      </c>
      <c r="O61" s="316" t="s">
        <v>704</v>
      </c>
      <c r="P61" s="248">
        <v>5999</v>
      </c>
      <c r="AC61" s="73" t="s">
        <v>475</v>
      </c>
      <c r="AD61" s="516">
        <v>423</v>
      </c>
      <c r="AF61" s="73" t="s">
        <v>407</v>
      </c>
      <c r="AG61" s="519">
        <v>1199</v>
      </c>
    </row>
    <row r="62" spans="1:33">
      <c r="A62" s="73" t="s">
        <v>663</v>
      </c>
      <c r="B62" s="74" t="s">
        <v>664</v>
      </c>
      <c r="C62" s="107" t="s">
        <v>314</v>
      </c>
      <c r="D62" s="107" t="s">
        <v>444</v>
      </c>
      <c r="F62" s="506" t="s">
        <v>725</v>
      </c>
      <c r="G62" s="506" t="s">
        <v>725</v>
      </c>
      <c r="H62" s="506" t="s">
        <v>724</v>
      </c>
      <c r="I62" s="140">
        <v>999</v>
      </c>
      <c r="K62" s="73" t="s">
        <v>590</v>
      </c>
      <c r="L62" s="74" t="s">
        <v>589</v>
      </c>
      <c r="M62" s="507">
        <v>2049</v>
      </c>
      <c r="O62" s="316" t="s">
        <v>712</v>
      </c>
      <c r="P62" s="248">
        <v>2299</v>
      </c>
      <c r="AC62" s="73" t="s">
        <v>599</v>
      </c>
      <c r="AD62" s="516">
        <v>1093</v>
      </c>
      <c r="AF62" s="73" t="s">
        <v>412</v>
      </c>
      <c r="AG62" s="519">
        <v>1199</v>
      </c>
    </row>
    <row r="63" spans="1:33">
      <c r="A63" s="73" t="s">
        <v>548</v>
      </c>
      <c r="B63" s="74" t="s">
        <v>549</v>
      </c>
      <c r="C63" s="107" t="s">
        <v>314</v>
      </c>
      <c r="D63" s="107" t="s">
        <v>465</v>
      </c>
      <c r="F63" s="506" t="s">
        <v>729</v>
      </c>
      <c r="G63" s="506" t="s">
        <v>729</v>
      </c>
      <c r="H63" s="506" t="s">
        <v>728</v>
      </c>
      <c r="I63" s="140">
        <v>2999</v>
      </c>
      <c r="K63" s="73" t="s">
        <v>951</v>
      </c>
      <c r="L63" s="74" t="s">
        <v>1416</v>
      </c>
      <c r="M63" s="507">
        <v>1499</v>
      </c>
      <c r="O63" s="310" t="s">
        <v>717</v>
      </c>
      <c r="P63" s="313">
        <v>2199</v>
      </c>
      <c r="AC63" s="73" t="s">
        <v>525</v>
      </c>
      <c r="AD63" s="516">
        <v>182</v>
      </c>
      <c r="AF63" s="45" t="s">
        <v>415</v>
      </c>
      <c r="AG63" s="519">
        <v>3699</v>
      </c>
    </row>
    <row r="64" spans="1:33">
      <c r="A64" s="73" t="s">
        <v>764</v>
      </c>
      <c r="B64" s="74" t="s">
        <v>943</v>
      </c>
      <c r="C64" s="107" t="s">
        <v>314</v>
      </c>
      <c r="D64" s="107" t="s">
        <v>618</v>
      </c>
      <c r="F64" s="506" t="s">
        <v>733</v>
      </c>
      <c r="G64" s="506" t="s">
        <v>733</v>
      </c>
      <c r="H64" s="506" t="s">
        <v>732</v>
      </c>
      <c r="I64" s="140">
        <v>1599</v>
      </c>
      <c r="K64" s="73" t="s">
        <v>1417</v>
      </c>
      <c r="L64" s="74" t="s">
        <v>1418</v>
      </c>
      <c r="M64" s="507">
        <v>999</v>
      </c>
      <c r="O64" s="316" t="s">
        <v>724</v>
      </c>
      <c r="P64" s="248">
        <v>1419</v>
      </c>
      <c r="AC64" s="73" t="s">
        <v>749</v>
      </c>
      <c r="AD64" s="516">
        <v>1147</v>
      </c>
      <c r="AF64" s="96" t="s">
        <v>419</v>
      </c>
      <c r="AG64" s="517">
        <v>6999</v>
      </c>
    </row>
    <row r="65" spans="1:33">
      <c r="A65" s="73" t="s">
        <v>552</v>
      </c>
      <c r="B65" s="74" t="s">
        <v>553</v>
      </c>
      <c r="C65" s="107" t="s">
        <v>314</v>
      </c>
      <c r="D65" s="107" t="s">
        <v>437</v>
      </c>
      <c r="F65" s="506" t="s">
        <v>737</v>
      </c>
      <c r="G65" s="506" t="s">
        <v>737</v>
      </c>
      <c r="H65" s="506" t="s">
        <v>736</v>
      </c>
      <c r="I65" s="140">
        <v>2499</v>
      </c>
      <c r="K65" s="524" t="s">
        <v>784</v>
      </c>
      <c r="L65" s="74" t="s">
        <v>783</v>
      </c>
      <c r="M65" s="507">
        <v>2999</v>
      </c>
      <c r="O65" s="310" t="s">
        <v>728</v>
      </c>
      <c r="P65" s="313">
        <v>2899</v>
      </c>
      <c r="AC65" s="73" t="s">
        <v>642</v>
      </c>
      <c r="AD65" s="516">
        <v>357</v>
      </c>
      <c r="AF65" s="96" t="s">
        <v>425</v>
      </c>
      <c r="AG65" s="517">
        <v>5499</v>
      </c>
    </row>
    <row r="66" spans="1:33">
      <c r="A66" s="73" t="s">
        <v>775</v>
      </c>
      <c r="B66" s="74" t="s">
        <v>955</v>
      </c>
      <c r="C66" s="107" t="s">
        <v>314</v>
      </c>
      <c r="D66" s="107" t="s">
        <v>618</v>
      </c>
      <c r="F66" s="506" t="s">
        <v>745</v>
      </c>
      <c r="G66" s="506" t="s">
        <v>745</v>
      </c>
      <c r="H66" s="525" t="s">
        <v>744</v>
      </c>
      <c r="I66" s="140">
        <v>2599</v>
      </c>
      <c r="K66" s="45" t="s">
        <v>864</v>
      </c>
      <c r="L66" s="74" t="s">
        <v>863</v>
      </c>
      <c r="M66" s="507">
        <v>2499</v>
      </c>
      <c r="O66" s="310" t="s">
        <v>736</v>
      </c>
      <c r="P66" s="313">
        <v>2899</v>
      </c>
      <c r="AC66" s="73" t="s">
        <v>768</v>
      </c>
      <c r="AD66" s="516">
        <v>26</v>
      </c>
      <c r="AF66" s="96" t="s">
        <v>430</v>
      </c>
      <c r="AG66" s="517">
        <v>449</v>
      </c>
    </row>
    <row r="67" spans="1:33">
      <c r="A67" s="73" t="s">
        <v>753</v>
      </c>
      <c r="B67" s="74" t="s">
        <v>941</v>
      </c>
      <c r="C67" s="107" t="s">
        <v>314</v>
      </c>
      <c r="D67" s="107" t="s">
        <v>618</v>
      </c>
      <c r="F67" s="506" t="s">
        <v>952</v>
      </c>
      <c r="G67" s="506" t="s">
        <v>952</v>
      </c>
      <c r="H67" s="525" t="s">
        <v>749</v>
      </c>
      <c r="I67" s="140">
        <v>2299</v>
      </c>
      <c r="K67" s="73" t="s">
        <v>840</v>
      </c>
      <c r="L67" s="74" t="s">
        <v>839</v>
      </c>
      <c r="M67" s="507">
        <v>1099</v>
      </c>
      <c r="O67" s="316" t="s">
        <v>740</v>
      </c>
      <c r="P67" s="248">
        <v>1999</v>
      </c>
      <c r="AC67" s="73" t="s">
        <v>775</v>
      </c>
      <c r="AD67" s="516">
        <v>620</v>
      </c>
      <c r="AF67" s="96" t="s">
        <v>435</v>
      </c>
      <c r="AG67" s="517">
        <v>1999</v>
      </c>
    </row>
    <row r="68" spans="1:33">
      <c r="A68" s="73" t="s">
        <v>504</v>
      </c>
      <c r="B68" s="74" t="s">
        <v>505</v>
      </c>
      <c r="C68" s="107" t="s">
        <v>234</v>
      </c>
      <c r="D68" s="107" t="s">
        <v>235</v>
      </c>
      <c r="F68" s="506" t="s">
        <v>941</v>
      </c>
      <c r="G68" s="506" t="s">
        <v>941</v>
      </c>
      <c r="H68" s="525" t="s">
        <v>753</v>
      </c>
      <c r="I68" s="140">
        <v>3599</v>
      </c>
      <c r="K68" s="73" t="s">
        <v>844</v>
      </c>
      <c r="L68" s="74" t="s">
        <v>843</v>
      </c>
      <c r="M68" s="507">
        <v>2299</v>
      </c>
      <c r="O68" s="316" t="s">
        <v>744</v>
      </c>
      <c r="P68" s="248">
        <v>2499</v>
      </c>
      <c r="AC68" s="73" t="s">
        <v>402</v>
      </c>
      <c r="AD68" s="516">
        <v>456</v>
      </c>
      <c r="AF68" s="96" t="s">
        <v>442</v>
      </c>
      <c r="AG68" s="517">
        <v>1499</v>
      </c>
    </row>
    <row r="69" spans="1:33">
      <c r="A69" s="73" t="s">
        <v>625</v>
      </c>
      <c r="B69" s="74" t="s">
        <v>626</v>
      </c>
      <c r="C69" s="107" t="s">
        <v>628</v>
      </c>
      <c r="D69" s="107" t="s">
        <v>629</v>
      </c>
      <c r="F69" s="506" t="s">
        <v>956</v>
      </c>
      <c r="G69" s="506" t="s">
        <v>956</v>
      </c>
      <c r="H69" s="525" t="s">
        <v>756</v>
      </c>
      <c r="I69" s="140">
        <v>2199</v>
      </c>
      <c r="K69" s="73" t="s">
        <v>848</v>
      </c>
      <c r="L69" s="74" t="s">
        <v>847</v>
      </c>
      <c r="M69" s="507">
        <v>9999</v>
      </c>
      <c r="O69" s="310" t="s">
        <v>749</v>
      </c>
      <c r="P69" s="313">
        <v>1549</v>
      </c>
      <c r="AC69" s="73" t="s">
        <v>297</v>
      </c>
      <c r="AD69" s="516">
        <v>172</v>
      </c>
      <c r="AF69" s="96" t="s">
        <v>449</v>
      </c>
      <c r="AG69" s="517">
        <v>1899</v>
      </c>
    </row>
    <row r="70" spans="1:33">
      <c r="A70" s="73" t="s">
        <v>307</v>
      </c>
      <c r="B70" s="74" t="s">
        <v>1419</v>
      </c>
      <c r="C70" s="107" t="s">
        <v>304</v>
      </c>
      <c r="D70" s="107" t="s">
        <v>304</v>
      </c>
      <c r="F70" s="506" t="s">
        <v>942</v>
      </c>
      <c r="G70" s="506" t="s">
        <v>942</v>
      </c>
      <c r="H70" s="525" t="s">
        <v>760</v>
      </c>
      <c r="I70" s="140">
        <v>1999</v>
      </c>
      <c r="K70" s="73" t="s">
        <v>852</v>
      </c>
      <c r="L70" s="74" t="s">
        <v>851</v>
      </c>
      <c r="M70" s="507">
        <v>5499</v>
      </c>
      <c r="O70" s="316" t="s">
        <v>779</v>
      </c>
      <c r="P70" s="248">
        <v>1599</v>
      </c>
      <c r="AC70" s="73" t="s">
        <v>772</v>
      </c>
      <c r="AD70" s="516">
        <v>75</v>
      </c>
      <c r="AF70" s="96" t="s">
        <v>455</v>
      </c>
      <c r="AG70" s="517">
        <v>3999</v>
      </c>
    </row>
    <row r="71" spans="1:33">
      <c r="A71" s="73" t="s">
        <v>668</v>
      </c>
      <c r="B71" s="74" t="s">
        <v>944</v>
      </c>
      <c r="C71" s="107" t="s">
        <v>234</v>
      </c>
      <c r="D71" s="107" t="s">
        <v>950</v>
      </c>
      <c r="F71" s="506" t="s">
        <v>943</v>
      </c>
      <c r="G71" s="506" t="s">
        <v>943</v>
      </c>
      <c r="H71" s="525" t="s">
        <v>764</v>
      </c>
      <c r="I71" s="140">
        <v>2999</v>
      </c>
      <c r="K71" s="73" t="s">
        <v>856</v>
      </c>
      <c r="L71" s="74" t="s">
        <v>855</v>
      </c>
      <c r="M71" s="507">
        <v>1799</v>
      </c>
      <c r="O71" s="316" t="s">
        <v>783</v>
      </c>
      <c r="P71" s="248">
        <v>2999</v>
      </c>
      <c r="AC71" s="73" t="s">
        <v>335</v>
      </c>
      <c r="AD71" s="516">
        <v>0</v>
      </c>
      <c r="AF71" s="46"/>
      <c r="AG71" s="517">
        <v>1499</v>
      </c>
    </row>
    <row r="72" spans="1:33">
      <c r="A72" s="73" t="s">
        <v>454</v>
      </c>
      <c r="B72" s="74" t="s">
        <v>455</v>
      </c>
      <c r="C72" s="107" t="s">
        <v>234</v>
      </c>
      <c r="D72" s="107" t="s">
        <v>235</v>
      </c>
      <c r="F72" s="506" t="s">
        <v>1096</v>
      </c>
      <c r="G72" s="506" t="s">
        <v>1096</v>
      </c>
      <c r="H72" s="525" t="s">
        <v>768</v>
      </c>
      <c r="I72" s="140">
        <v>1799</v>
      </c>
      <c r="K72" s="73" t="s">
        <v>860</v>
      </c>
      <c r="L72" s="74" t="s">
        <v>859</v>
      </c>
      <c r="M72" s="507">
        <v>3999</v>
      </c>
      <c r="O72" s="316" t="s">
        <v>788</v>
      </c>
      <c r="P72" s="248">
        <v>5699</v>
      </c>
      <c r="AC72" s="73" t="s">
        <v>411</v>
      </c>
      <c r="AD72" s="516">
        <v>123</v>
      </c>
      <c r="AF72" s="104" t="s">
        <v>463</v>
      </c>
      <c r="AG72" s="517">
        <v>3499</v>
      </c>
    </row>
    <row r="73" spans="1:33">
      <c r="A73" s="73" t="s">
        <v>679</v>
      </c>
      <c r="B73" s="74" t="s">
        <v>680</v>
      </c>
      <c r="C73" s="107" t="s">
        <v>314</v>
      </c>
      <c r="D73" s="107" t="s">
        <v>444</v>
      </c>
      <c r="F73" s="506" t="s">
        <v>773</v>
      </c>
      <c r="G73" s="506" t="s">
        <v>773</v>
      </c>
      <c r="H73" s="525" t="s">
        <v>772</v>
      </c>
      <c r="I73" s="140">
        <v>1599</v>
      </c>
      <c r="K73" s="73" t="s">
        <v>263</v>
      </c>
      <c r="L73" s="74" t="s">
        <v>262</v>
      </c>
      <c r="M73" s="507">
        <v>699</v>
      </c>
      <c r="O73" s="316" t="s">
        <v>797</v>
      </c>
      <c r="P73" s="248">
        <v>1899</v>
      </c>
      <c r="AC73" s="73" t="s">
        <v>548</v>
      </c>
      <c r="AD73" s="516">
        <v>2</v>
      </c>
      <c r="AF73" s="104" t="s">
        <v>469</v>
      </c>
      <c r="AG73" s="517">
        <v>3499</v>
      </c>
    </row>
    <row r="74" spans="1:33">
      <c r="A74" s="73" t="s">
        <v>340</v>
      </c>
      <c r="B74" s="74" t="s">
        <v>341</v>
      </c>
      <c r="C74" s="107" t="s">
        <v>314</v>
      </c>
      <c r="D74" s="107" t="s">
        <v>315</v>
      </c>
      <c r="F74" s="506" t="s">
        <v>955</v>
      </c>
      <c r="G74" s="506" t="s">
        <v>955</v>
      </c>
      <c r="H74" s="525" t="s">
        <v>775</v>
      </c>
      <c r="I74" s="140">
        <v>1899</v>
      </c>
      <c r="K74" s="73" t="s">
        <v>268</v>
      </c>
      <c r="L74" s="74" t="s">
        <v>267</v>
      </c>
      <c r="M74" s="507">
        <v>699</v>
      </c>
      <c r="O74" s="316" t="s">
        <v>802</v>
      </c>
      <c r="P74" s="248">
        <v>1999</v>
      </c>
      <c r="AC74" s="73" t="s">
        <v>594</v>
      </c>
      <c r="AD74" s="516">
        <v>69</v>
      </c>
      <c r="AF74" s="46" t="s">
        <v>472</v>
      </c>
      <c r="AG74" s="517">
        <v>1299</v>
      </c>
    </row>
    <row r="75" spans="1:33">
      <c r="A75" s="73" t="s">
        <v>756</v>
      </c>
      <c r="B75" s="74" t="s">
        <v>956</v>
      </c>
      <c r="C75" s="107" t="s">
        <v>314</v>
      </c>
      <c r="D75" s="107" t="s">
        <v>618</v>
      </c>
      <c r="F75" s="506" t="s">
        <v>944</v>
      </c>
      <c r="G75" s="506" t="s">
        <v>944</v>
      </c>
      <c r="H75" s="525" t="s">
        <v>668</v>
      </c>
      <c r="I75" s="140">
        <v>1499</v>
      </c>
      <c r="K75" s="73" t="s">
        <v>469</v>
      </c>
      <c r="L75" s="74" t="s">
        <v>468</v>
      </c>
      <c r="M75" s="507">
        <v>1349</v>
      </c>
      <c r="O75" s="310" t="s">
        <v>810</v>
      </c>
      <c r="P75" s="313">
        <v>1099</v>
      </c>
      <c r="AC75" s="73" t="s">
        <v>753</v>
      </c>
      <c r="AD75" s="516">
        <v>1</v>
      </c>
      <c r="AF75" s="46" t="s">
        <v>476</v>
      </c>
      <c r="AG75" s="517">
        <v>1499</v>
      </c>
    </row>
    <row r="76" spans="1:33">
      <c r="A76" s="73" t="s">
        <v>468</v>
      </c>
      <c r="B76" s="74" t="s">
        <v>469</v>
      </c>
      <c r="C76" s="107" t="s">
        <v>314</v>
      </c>
      <c r="D76" s="107" t="s">
        <v>465</v>
      </c>
      <c r="F76" s="506" t="s">
        <v>946</v>
      </c>
      <c r="G76" s="506" t="s">
        <v>946</v>
      </c>
      <c r="H76" s="525" t="s">
        <v>740</v>
      </c>
      <c r="I76" s="140">
        <v>2099</v>
      </c>
      <c r="K76" s="73" t="s">
        <v>590</v>
      </c>
      <c r="L76" s="74" t="s">
        <v>589</v>
      </c>
      <c r="M76" s="507">
        <v>2049</v>
      </c>
      <c r="O76" s="310" t="s">
        <v>815</v>
      </c>
      <c r="P76" s="313">
        <v>1099</v>
      </c>
      <c r="AC76" s="73" t="s">
        <v>764</v>
      </c>
      <c r="AD76" s="516">
        <v>171</v>
      </c>
      <c r="AF76" s="46"/>
      <c r="AG76" s="517"/>
    </row>
    <row r="77" spans="1:33">
      <c r="A77" s="73" t="s">
        <v>740</v>
      </c>
      <c r="B77" s="74" t="s">
        <v>946</v>
      </c>
      <c r="C77" s="107" t="s">
        <v>234</v>
      </c>
      <c r="D77" s="107" t="s">
        <v>249</v>
      </c>
      <c r="F77" s="506" t="s">
        <v>469</v>
      </c>
      <c r="G77" s="506" t="s">
        <v>469</v>
      </c>
      <c r="H77" s="525" t="s">
        <v>468</v>
      </c>
      <c r="I77" s="140">
        <v>1599</v>
      </c>
      <c r="O77" s="316" t="s">
        <v>819</v>
      </c>
      <c r="P77" s="248">
        <v>15990</v>
      </c>
      <c r="AC77" s="70" t="s">
        <v>756</v>
      </c>
      <c r="AD77" s="516">
        <v>90</v>
      </c>
      <c r="AF77" s="46"/>
      <c r="AG77" s="517"/>
    </row>
    <row r="78" spans="1:33">
      <c r="A78" s="73" t="s">
        <v>642</v>
      </c>
      <c r="B78" s="74" t="s">
        <v>643</v>
      </c>
      <c r="C78" s="107" t="s">
        <v>314</v>
      </c>
      <c r="D78" s="107" t="s">
        <v>437</v>
      </c>
      <c r="F78" s="506" t="s">
        <v>701</v>
      </c>
      <c r="G78" s="506" t="s">
        <v>701</v>
      </c>
      <c r="H78" s="525" t="s">
        <v>700</v>
      </c>
      <c r="I78" s="140">
        <v>1899</v>
      </c>
      <c r="K78" s="73" t="s">
        <v>1417</v>
      </c>
      <c r="L78" s="74" t="s">
        <v>1418</v>
      </c>
      <c r="M78" s="507">
        <v>999</v>
      </c>
      <c r="O78" s="316" t="s">
        <v>827</v>
      </c>
      <c r="P78" s="248">
        <v>1999</v>
      </c>
      <c r="AC78" s="73" t="s">
        <v>720</v>
      </c>
      <c r="AD78" s="516">
        <v>20</v>
      </c>
      <c r="AF78" s="46"/>
      <c r="AG78" s="517">
        <v>1299</v>
      </c>
    </row>
    <row r="79" spans="1:33">
      <c r="A79" s="73" t="s">
        <v>720</v>
      </c>
      <c r="B79" s="74" t="s">
        <v>721</v>
      </c>
      <c r="C79" s="107" t="s">
        <v>314</v>
      </c>
      <c r="D79" s="107" t="s">
        <v>437</v>
      </c>
      <c r="F79" s="506" t="s">
        <v>696</v>
      </c>
      <c r="G79" s="506" t="s">
        <v>696</v>
      </c>
      <c r="H79" s="525" t="s">
        <v>695</v>
      </c>
      <c r="I79" s="140">
        <v>2299</v>
      </c>
      <c r="K79" s="524" t="s">
        <v>784</v>
      </c>
      <c r="L79" s="74" t="s">
        <v>783</v>
      </c>
      <c r="M79" s="507">
        <v>2899</v>
      </c>
      <c r="O79" s="310" t="s">
        <v>831</v>
      </c>
      <c r="P79" s="313">
        <v>1599</v>
      </c>
      <c r="AC79" s="73" t="s">
        <v>406</v>
      </c>
      <c r="AD79" s="516">
        <v>837</v>
      </c>
      <c r="AF79" s="46"/>
      <c r="AG79" s="517">
        <v>1499</v>
      </c>
    </row>
    <row r="80" spans="1:33">
      <c r="A80" s="73" t="s">
        <v>724</v>
      </c>
      <c r="B80" s="74" t="s">
        <v>725</v>
      </c>
      <c r="C80" s="107" t="s">
        <v>314</v>
      </c>
      <c r="D80" s="107" t="s">
        <v>437</v>
      </c>
      <c r="F80" s="506" t="s">
        <v>780</v>
      </c>
      <c r="G80" s="506" t="s">
        <v>780</v>
      </c>
      <c r="H80" s="526" t="s">
        <v>779</v>
      </c>
      <c r="I80" s="140">
        <v>1599</v>
      </c>
      <c r="K80" s="45" t="s">
        <v>864</v>
      </c>
      <c r="L80" s="74" t="s">
        <v>863</v>
      </c>
      <c r="M80" s="507">
        <v>2499</v>
      </c>
      <c r="O80" s="310" t="s">
        <v>839</v>
      </c>
      <c r="P80" s="313">
        <v>1099</v>
      </c>
      <c r="AC80" s="73" t="s">
        <v>276</v>
      </c>
      <c r="AD80" s="516">
        <v>59</v>
      </c>
      <c r="AF80" s="46" t="s">
        <v>492</v>
      </c>
      <c r="AG80" s="517">
        <v>8999</v>
      </c>
    </row>
    <row r="81" spans="1:33">
      <c r="A81" s="73" t="s">
        <v>512</v>
      </c>
      <c r="B81" s="74" t="s">
        <v>940</v>
      </c>
      <c r="C81" s="107" t="s">
        <v>314</v>
      </c>
      <c r="D81" s="107" t="s">
        <v>465</v>
      </c>
      <c r="F81" s="506" t="s">
        <v>1420</v>
      </c>
      <c r="G81" s="506" t="s">
        <v>1420</v>
      </c>
      <c r="H81" s="506" t="s">
        <v>1421</v>
      </c>
      <c r="I81" s="140">
        <v>7999</v>
      </c>
      <c r="K81" s="73" t="s">
        <v>1422</v>
      </c>
      <c r="L81" s="74" t="s">
        <v>1423</v>
      </c>
      <c r="M81" s="507">
        <v>5599</v>
      </c>
      <c r="O81" s="310" t="s">
        <v>843</v>
      </c>
      <c r="P81" s="313">
        <v>2299</v>
      </c>
      <c r="AC81" s="73" t="s">
        <v>760</v>
      </c>
      <c r="AD81" s="516">
        <v>3</v>
      </c>
      <c r="AF81" s="46" t="s">
        <v>497</v>
      </c>
      <c r="AG81" s="517">
        <v>11999</v>
      </c>
    </row>
    <row r="82" spans="1:33">
      <c r="A82" s="73" t="s">
        <v>491</v>
      </c>
      <c r="B82" s="74" t="s">
        <v>492</v>
      </c>
      <c r="C82" s="107" t="s">
        <v>234</v>
      </c>
      <c r="D82" s="107" t="s">
        <v>249</v>
      </c>
      <c r="F82" s="506" t="s">
        <v>1424</v>
      </c>
      <c r="G82" s="506" t="s">
        <v>1424</v>
      </c>
      <c r="H82" s="506" t="s">
        <v>1425</v>
      </c>
      <c r="I82" s="140">
        <v>8999</v>
      </c>
      <c r="K82" s="73" t="s">
        <v>1426</v>
      </c>
      <c r="L82" s="74" t="s">
        <v>1427</v>
      </c>
      <c r="M82" s="507">
        <v>9999</v>
      </c>
      <c r="O82" s="310" t="s">
        <v>847</v>
      </c>
      <c r="P82" s="313">
        <v>9999</v>
      </c>
      <c r="AC82" s="73" t="s">
        <v>307</v>
      </c>
      <c r="AD82" s="516">
        <v>0</v>
      </c>
      <c r="AF82" s="46" t="s">
        <v>501</v>
      </c>
      <c r="AG82" s="517">
        <v>1499</v>
      </c>
    </row>
    <row r="83" spans="1:33">
      <c r="A83" s="73" t="s">
        <v>589</v>
      </c>
      <c r="B83" s="74" t="s">
        <v>590</v>
      </c>
      <c r="C83" s="107" t="s">
        <v>314</v>
      </c>
      <c r="D83" s="107" t="s">
        <v>465</v>
      </c>
      <c r="F83" s="506" t="s">
        <v>1428</v>
      </c>
      <c r="G83" s="506" t="s">
        <v>1428</v>
      </c>
      <c r="H83" s="506" t="s">
        <v>1429</v>
      </c>
      <c r="I83" s="140">
        <v>8999</v>
      </c>
      <c r="K83" s="73" t="s">
        <v>1430</v>
      </c>
      <c r="L83" s="74" t="s">
        <v>1431</v>
      </c>
      <c r="M83" s="507">
        <v>13999</v>
      </c>
      <c r="O83" s="310" t="s">
        <v>851</v>
      </c>
      <c r="P83" s="313">
        <v>5499</v>
      </c>
      <c r="AC83" s="73" t="s">
        <v>728</v>
      </c>
      <c r="AD83" s="516">
        <v>58</v>
      </c>
      <c r="AF83" s="104" t="s">
        <v>505</v>
      </c>
      <c r="AG83" s="517">
        <v>2999</v>
      </c>
    </row>
    <row r="84" spans="1:33">
      <c r="A84" s="73" t="s">
        <v>570</v>
      </c>
      <c r="B84" s="74" t="s">
        <v>571</v>
      </c>
      <c r="C84" s="107" t="s">
        <v>314</v>
      </c>
      <c r="D84" s="107" t="s">
        <v>437</v>
      </c>
      <c r="F84" s="506" t="s">
        <v>1432</v>
      </c>
      <c r="G84" s="506" t="s">
        <v>1432</v>
      </c>
      <c r="H84" s="506" t="s">
        <v>1433</v>
      </c>
      <c r="I84" s="140">
        <v>8999</v>
      </c>
      <c r="K84" s="73" t="s">
        <v>1434</v>
      </c>
      <c r="L84" s="74" t="s">
        <v>1435</v>
      </c>
      <c r="M84" s="507">
        <v>1499</v>
      </c>
      <c r="O84" s="310" t="s">
        <v>855</v>
      </c>
      <c r="P84" s="313">
        <v>1799</v>
      </c>
      <c r="AC84" s="73" t="s">
        <v>724</v>
      </c>
      <c r="AD84" s="516">
        <v>359</v>
      </c>
      <c r="AF84" s="104"/>
      <c r="AG84" s="517">
        <v>449</v>
      </c>
    </row>
    <row r="85" spans="1:33">
      <c r="A85" s="73" t="s">
        <v>655</v>
      </c>
      <c r="B85" s="74" t="s">
        <v>656</v>
      </c>
      <c r="C85" s="107" t="s">
        <v>628</v>
      </c>
      <c r="D85" s="107" t="s">
        <v>629</v>
      </c>
      <c r="F85" s="506" t="s">
        <v>1436</v>
      </c>
      <c r="G85" s="506" t="s">
        <v>1436</v>
      </c>
      <c r="H85" s="506" t="s">
        <v>1437</v>
      </c>
      <c r="I85" s="140">
        <v>8999</v>
      </c>
      <c r="K85" s="73" t="s">
        <v>1438</v>
      </c>
      <c r="L85" s="74" t="s">
        <v>1439</v>
      </c>
      <c r="M85" s="507">
        <v>12999</v>
      </c>
      <c r="O85" s="316" t="s">
        <v>859</v>
      </c>
      <c r="P85" s="248">
        <v>3999</v>
      </c>
      <c r="AC85" s="73" t="s">
        <v>732</v>
      </c>
      <c r="AD85" s="516">
        <v>3</v>
      </c>
      <c r="AF85" s="104"/>
      <c r="AG85" s="517">
        <v>649</v>
      </c>
    </row>
    <row r="86" spans="1:33">
      <c r="A86" s="73" t="s">
        <v>297</v>
      </c>
      <c r="B86" s="74" t="s">
        <v>298</v>
      </c>
      <c r="C86" s="107" t="s">
        <v>256</v>
      </c>
      <c r="D86" s="107" t="s">
        <v>257</v>
      </c>
      <c r="F86" s="506" t="s">
        <v>1440</v>
      </c>
      <c r="G86" s="506" t="s">
        <v>1440</v>
      </c>
      <c r="H86" s="506" t="s">
        <v>1441</v>
      </c>
      <c r="I86" s="140">
        <v>12999</v>
      </c>
      <c r="K86" s="73" t="s">
        <v>1442</v>
      </c>
      <c r="L86" s="74" t="s">
        <v>1443</v>
      </c>
      <c r="M86" s="507">
        <v>2599</v>
      </c>
      <c r="O86" s="316" t="s">
        <v>863</v>
      </c>
      <c r="P86" s="248">
        <v>2999</v>
      </c>
      <c r="AC86" s="73" t="s">
        <v>267</v>
      </c>
      <c r="AD86" s="516">
        <v>1005</v>
      </c>
      <c r="AF86" s="104" t="s">
        <v>509</v>
      </c>
      <c r="AG86" s="517">
        <v>2499</v>
      </c>
    </row>
    <row r="87" spans="1:33">
      <c r="A87" s="73" t="s">
        <v>471</v>
      </c>
      <c r="B87" s="74" t="s">
        <v>472</v>
      </c>
      <c r="C87" s="107" t="s">
        <v>314</v>
      </c>
      <c r="D87" s="107" t="s">
        <v>465</v>
      </c>
      <c r="F87" s="506" t="s">
        <v>1444</v>
      </c>
      <c r="G87" s="506" t="s">
        <v>1444</v>
      </c>
      <c r="H87" s="506" t="s">
        <v>1445</v>
      </c>
      <c r="I87" s="140">
        <v>15299</v>
      </c>
      <c r="K87" s="73" t="s">
        <v>1446</v>
      </c>
      <c r="L87" s="74" t="s">
        <v>1447</v>
      </c>
      <c r="M87" s="507">
        <v>3899</v>
      </c>
      <c r="O87" s="310" t="s">
        <v>311</v>
      </c>
      <c r="P87" s="313">
        <v>1699</v>
      </c>
      <c r="AC87" s="73" t="s">
        <v>262</v>
      </c>
      <c r="AD87" s="516">
        <v>1036</v>
      </c>
      <c r="AF87" s="46" t="s">
        <v>513</v>
      </c>
      <c r="AG87" s="517">
        <v>2099</v>
      </c>
    </row>
    <row r="88" spans="1:33">
      <c r="A88" s="73" t="s">
        <v>760</v>
      </c>
      <c r="B88" s="74" t="s">
        <v>942</v>
      </c>
      <c r="C88" s="107" t="s">
        <v>314</v>
      </c>
      <c r="D88" s="107" t="s">
        <v>618</v>
      </c>
      <c r="F88" s="506" t="s">
        <v>1448</v>
      </c>
      <c r="G88" s="506" t="s">
        <v>1448</v>
      </c>
      <c r="H88" s="506" t="s">
        <v>1449</v>
      </c>
      <c r="I88" s="140">
        <v>15299</v>
      </c>
      <c r="K88" s="73" t="s">
        <v>1450</v>
      </c>
      <c r="L88" s="74" t="s">
        <v>1451</v>
      </c>
      <c r="M88" s="507">
        <v>5749</v>
      </c>
      <c r="AC88" s="73" t="s">
        <v>272</v>
      </c>
      <c r="AD88" s="516">
        <v>0</v>
      </c>
      <c r="AF88" s="46" t="s">
        <v>518</v>
      </c>
      <c r="AG88" s="517">
        <v>2099</v>
      </c>
    </row>
    <row r="89" spans="1:33">
      <c r="A89" s="73" t="s">
        <v>508</v>
      </c>
      <c r="B89" s="74" t="s">
        <v>509</v>
      </c>
      <c r="C89" s="107" t="s">
        <v>314</v>
      </c>
      <c r="D89" s="107" t="s">
        <v>465</v>
      </c>
      <c r="F89" s="506" t="s">
        <v>1452</v>
      </c>
      <c r="G89" s="506" t="s">
        <v>1452</v>
      </c>
      <c r="H89" s="506" t="s">
        <v>1453</v>
      </c>
      <c r="I89" s="140">
        <v>15299</v>
      </c>
      <c r="K89" s="73" t="s">
        <v>1454</v>
      </c>
      <c r="L89" s="74" t="s">
        <v>1455</v>
      </c>
      <c r="M89" s="507">
        <v>5849</v>
      </c>
      <c r="AC89" s="73" t="s">
        <v>529</v>
      </c>
      <c r="AD89" s="516">
        <v>235</v>
      </c>
      <c r="AF89" s="46" t="s">
        <v>521</v>
      </c>
      <c r="AG89" s="517">
        <v>2699</v>
      </c>
    </row>
    <row r="90" spans="1:33">
      <c r="A90" s="73" t="s">
        <v>594</v>
      </c>
      <c r="B90" s="74" t="s">
        <v>595</v>
      </c>
      <c r="C90" s="107" t="s">
        <v>314</v>
      </c>
      <c r="D90" s="107" t="s">
        <v>437</v>
      </c>
      <c r="F90" s="506" t="s">
        <v>1456</v>
      </c>
      <c r="G90" s="506" t="s">
        <v>1456</v>
      </c>
      <c r="H90" s="506" t="s">
        <v>1457</v>
      </c>
      <c r="I90" s="140">
        <v>15299</v>
      </c>
      <c r="K90" s="73" t="s">
        <v>1458</v>
      </c>
      <c r="L90" s="74" t="s">
        <v>1459</v>
      </c>
      <c r="M90" s="507">
        <v>4199</v>
      </c>
      <c r="AC90" s="73" t="s">
        <v>947</v>
      </c>
      <c r="AD90" s="516">
        <v>629</v>
      </c>
      <c r="AF90" s="46" t="s">
        <v>526</v>
      </c>
      <c r="AG90" s="519">
        <v>1499</v>
      </c>
    </row>
    <row r="91" spans="1:33">
      <c r="A91" s="73" t="s">
        <v>448</v>
      </c>
      <c r="B91" s="74" t="s">
        <v>449</v>
      </c>
      <c r="C91" s="107" t="s">
        <v>314</v>
      </c>
      <c r="D91" s="107" t="s">
        <v>444</v>
      </c>
      <c r="F91" s="506" t="s">
        <v>1460</v>
      </c>
      <c r="G91" s="506" t="s">
        <v>1460</v>
      </c>
      <c r="H91" s="506" t="s">
        <v>1461</v>
      </c>
      <c r="I91" s="140">
        <v>15999</v>
      </c>
      <c r="K91" s="73" t="s">
        <v>1420</v>
      </c>
      <c r="L91" s="74" t="s">
        <v>1421</v>
      </c>
      <c r="M91" s="507">
        <v>7999</v>
      </c>
      <c r="AC91" s="73" t="s">
        <v>637</v>
      </c>
      <c r="AD91" s="516">
        <v>602</v>
      </c>
      <c r="AF91" s="46" t="s">
        <v>530</v>
      </c>
      <c r="AG91" s="519">
        <v>1499</v>
      </c>
    </row>
    <row r="92" spans="1:33">
      <c r="A92" s="73" t="s">
        <v>675</v>
      </c>
      <c r="B92" s="74" t="s">
        <v>676</v>
      </c>
      <c r="C92" s="107" t="s">
        <v>314</v>
      </c>
      <c r="D92" s="107" t="s">
        <v>444</v>
      </c>
      <c r="F92" s="506" t="s">
        <v>1462</v>
      </c>
      <c r="G92" s="506" t="s">
        <v>1462</v>
      </c>
      <c r="H92" s="506" t="s">
        <v>1463</v>
      </c>
      <c r="I92" s="140">
        <v>15999</v>
      </c>
      <c r="K92" s="73" t="s">
        <v>1424</v>
      </c>
      <c r="L92" s="74" t="s">
        <v>1425</v>
      </c>
      <c r="M92" s="507">
        <v>8499</v>
      </c>
      <c r="AC92" s="73" t="s">
        <v>496</v>
      </c>
      <c r="AD92" s="516">
        <v>1</v>
      </c>
      <c r="AF92" s="46" t="s">
        <v>534</v>
      </c>
      <c r="AG92" s="519">
        <v>1299</v>
      </c>
    </row>
    <row r="93" spans="1:33">
      <c r="A93" s="73" t="s">
        <v>947</v>
      </c>
      <c r="B93" s="74" t="s">
        <v>938</v>
      </c>
      <c r="C93" s="107" t="s">
        <v>234</v>
      </c>
      <c r="D93" s="107" t="s">
        <v>249</v>
      </c>
      <c r="F93" s="506" t="s">
        <v>1464</v>
      </c>
      <c r="G93" s="506" t="s">
        <v>1464</v>
      </c>
      <c r="H93" s="506" t="s">
        <v>1465</v>
      </c>
      <c r="I93" s="140">
        <v>17999</v>
      </c>
      <c r="K93" s="73" t="s">
        <v>1428</v>
      </c>
      <c r="L93" s="74" t="s">
        <v>1429</v>
      </c>
      <c r="M93" s="507">
        <v>8499</v>
      </c>
      <c r="AC93" s="73" t="s">
        <v>253</v>
      </c>
      <c r="AD93" s="516">
        <v>992</v>
      </c>
      <c r="AF93" s="104" t="s">
        <v>539</v>
      </c>
      <c r="AG93" s="519">
        <v>1999</v>
      </c>
    </row>
    <row r="94" spans="1:33">
      <c r="A94" s="73" t="s">
        <v>434</v>
      </c>
      <c r="B94" s="74" t="s">
        <v>435</v>
      </c>
      <c r="C94" s="107" t="s">
        <v>314</v>
      </c>
      <c r="D94" s="107" t="s">
        <v>437</v>
      </c>
      <c r="F94" s="506" t="s">
        <v>1466</v>
      </c>
      <c r="G94" s="506" t="s">
        <v>1466</v>
      </c>
      <c r="H94" s="506" t="s">
        <v>1467</v>
      </c>
      <c r="I94" s="140">
        <v>17999</v>
      </c>
      <c r="K94" s="73" t="s">
        <v>1432</v>
      </c>
      <c r="L94" s="74" t="s">
        <v>1433</v>
      </c>
      <c r="M94" s="507">
        <v>8499</v>
      </c>
      <c r="AC94" s="73" t="s">
        <v>783</v>
      </c>
      <c r="AD94" s="516">
        <v>470</v>
      </c>
      <c r="AF94" s="46"/>
      <c r="AG94" s="519">
        <v>1999</v>
      </c>
    </row>
    <row r="95" spans="1:33">
      <c r="A95" s="73" t="s">
        <v>632</v>
      </c>
      <c r="B95" s="74" t="s">
        <v>633</v>
      </c>
      <c r="C95" s="107" t="s">
        <v>314</v>
      </c>
      <c r="D95" s="107" t="s">
        <v>444</v>
      </c>
      <c r="F95" s="506" t="s">
        <v>1468</v>
      </c>
      <c r="G95" s="506" t="s">
        <v>1468</v>
      </c>
      <c r="H95" s="506" t="s">
        <v>1469</v>
      </c>
      <c r="I95" s="140">
        <v>17999</v>
      </c>
      <c r="K95" s="73" t="s">
        <v>1436</v>
      </c>
      <c r="L95" s="74" t="s">
        <v>1437</v>
      </c>
      <c r="M95" s="507">
        <v>8499</v>
      </c>
      <c r="AC95" s="73" t="s">
        <v>779</v>
      </c>
      <c r="AD95" s="516">
        <v>855</v>
      </c>
      <c r="AF95" s="46" t="s">
        <v>544</v>
      </c>
      <c r="AG95" s="519">
        <v>2999</v>
      </c>
    </row>
    <row r="96" spans="1:33">
      <c r="A96" s="73" t="s">
        <v>402</v>
      </c>
      <c r="B96" s="74" t="s">
        <v>403</v>
      </c>
      <c r="C96" s="107" t="s">
        <v>314</v>
      </c>
      <c r="D96" s="107" t="s">
        <v>315</v>
      </c>
      <c r="F96" s="506" t="s">
        <v>1470</v>
      </c>
      <c r="G96" s="506" t="s">
        <v>1470</v>
      </c>
      <c r="H96" s="506" t="s">
        <v>1471</v>
      </c>
      <c r="I96" s="140">
        <v>17999</v>
      </c>
      <c r="K96" s="73" t="s">
        <v>1440</v>
      </c>
      <c r="L96" s="74" t="s">
        <v>1441</v>
      </c>
      <c r="M96" s="507">
        <v>12999</v>
      </c>
      <c r="AC96" s="73" t="s">
        <v>819</v>
      </c>
      <c r="AD96" s="516">
        <v>90</v>
      </c>
      <c r="AF96" s="46" t="s">
        <v>549</v>
      </c>
      <c r="AG96" s="519">
        <v>2999</v>
      </c>
    </row>
    <row r="97" spans="1:33">
      <c r="A97" s="73" t="s">
        <v>608</v>
      </c>
      <c r="B97" s="74" t="s">
        <v>609</v>
      </c>
      <c r="C97" s="107" t="s">
        <v>234</v>
      </c>
      <c r="D97" s="107" t="s">
        <v>249</v>
      </c>
      <c r="F97" s="506" t="s">
        <v>1472</v>
      </c>
      <c r="G97" s="506" t="s">
        <v>1472</v>
      </c>
      <c r="H97" s="506" t="s">
        <v>1473</v>
      </c>
      <c r="I97" s="140">
        <v>25999</v>
      </c>
      <c r="K97" s="73" t="s">
        <v>1444</v>
      </c>
      <c r="L97" s="74" t="s">
        <v>1445</v>
      </c>
      <c r="M97" s="507">
        <v>13999</v>
      </c>
      <c r="AC97" s="73" t="s">
        <v>788</v>
      </c>
      <c r="AD97" s="516">
        <v>169</v>
      </c>
      <c r="AF97" s="46" t="s">
        <v>553</v>
      </c>
      <c r="AG97" s="519">
        <v>1499</v>
      </c>
    </row>
    <row r="98" spans="1:33">
      <c r="A98" s="73" t="s">
        <v>562</v>
      </c>
      <c r="B98" s="74" t="s">
        <v>563</v>
      </c>
      <c r="C98" s="107" t="s">
        <v>314</v>
      </c>
      <c r="D98" s="107" t="s">
        <v>315</v>
      </c>
      <c r="F98" s="506" t="s">
        <v>1474</v>
      </c>
      <c r="G98" s="506" t="s">
        <v>1474</v>
      </c>
      <c r="H98" s="506" t="s">
        <v>1475</v>
      </c>
      <c r="I98" s="140">
        <v>25999</v>
      </c>
      <c r="K98" s="73" t="s">
        <v>1448</v>
      </c>
      <c r="L98" s="74" t="s">
        <v>1449</v>
      </c>
      <c r="M98" s="507">
        <v>13999</v>
      </c>
      <c r="AC98" s="73" t="s">
        <v>810</v>
      </c>
      <c r="AD98" s="516">
        <v>479</v>
      </c>
      <c r="AF98" s="45" t="s">
        <v>558</v>
      </c>
      <c r="AG98" s="519">
        <v>2999</v>
      </c>
    </row>
    <row r="99" spans="1:33">
      <c r="A99" s="73" t="s">
        <v>779</v>
      </c>
      <c r="B99" s="74" t="s">
        <v>780</v>
      </c>
      <c r="C99" s="107" t="s">
        <v>234</v>
      </c>
      <c r="D99" s="107" t="s">
        <v>249</v>
      </c>
      <c r="F99" s="506" t="s">
        <v>1476</v>
      </c>
      <c r="G99" s="506" t="s">
        <v>1476</v>
      </c>
      <c r="H99" s="506" t="s">
        <v>1477</v>
      </c>
      <c r="I99" s="140">
        <v>25999</v>
      </c>
      <c r="K99" s="73" t="s">
        <v>1452</v>
      </c>
      <c r="L99" s="74" t="s">
        <v>1453</v>
      </c>
      <c r="M99" s="507">
        <v>13999</v>
      </c>
      <c r="AC99" s="73" t="s">
        <v>815</v>
      </c>
      <c r="AD99" s="516">
        <v>493</v>
      </c>
      <c r="AF99" s="96"/>
      <c r="AG99" s="519"/>
    </row>
    <row r="100" spans="1:33">
      <c r="A100" s="73" t="s">
        <v>424</v>
      </c>
      <c r="B100" s="74" t="s">
        <v>425</v>
      </c>
      <c r="C100" s="107" t="s">
        <v>234</v>
      </c>
      <c r="D100" s="107" t="s">
        <v>249</v>
      </c>
      <c r="F100" s="506" t="s">
        <v>1478</v>
      </c>
      <c r="G100" s="506" t="s">
        <v>1478</v>
      </c>
      <c r="H100" s="506" t="s">
        <v>1479</v>
      </c>
      <c r="I100" s="140">
        <v>25999</v>
      </c>
      <c r="K100" s="73" t="s">
        <v>1456</v>
      </c>
      <c r="L100" s="74" t="s">
        <v>1457</v>
      </c>
      <c r="M100" s="507">
        <v>13999</v>
      </c>
      <c r="AC100" s="73" t="s">
        <v>827</v>
      </c>
      <c r="AD100" s="516">
        <v>855</v>
      </c>
      <c r="AF100" s="96"/>
      <c r="AG100" s="519"/>
    </row>
    <row r="101" spans="1:33">
      <c r="A101" s="73" t="s">
        <v>324</v>
      </c>
      <c r="B101" s="74" t="s">
        <v>325</v>
      </c>
      <c r="C101" s="107" t="s">
        <v>234</v>
      </c>
      <c r="D101" s="107" t="s">
        <v>235</v>
      </c>
      <c r="F101" s="506" t="s">
        <v>1480</v>
      </c>
      <c r="G101" s="506" t="s">
        <v>1480</v>
      </c>
      <c r="H101" s="506" t="s">
        <v>1481</v>
      </c>
      <c r="I101" s="140">
        <v>2399</v>
      </c>
      <c r="K101" s="73" t="s">
        <v>1460</v>
      </c>
      <c r="L101" s="74" t="s">
        <v>1461</v>
      </c>
      <c r="M101" s="507">
        <v>15299</v>
      </c>
      <c r="AC101" s="73" t="s">
        <v>831</v>
      </c>
      <c r="AD101" s="516">
        <v>966</v>
      </c>
      <c r="AF101" s="96" t="s">
        <v>563</v>
      </c>
      <c r="AG101" s="519">
        <v>1699</v>
      </c>
    </row>
    <row r="102" spans="1:33">
      <c r="A102" s="73" t="s">
        <v>651</v>
      </c>
      <c r="B102" s="74" t="s">
        <v>652</v>
      </c>
      <c r="C102" s="107" t="s">
        <v>628</v>
      </c>
      <c r="D102" s="107" t="s">
        <v>629</v>
      </c>
      <c r="F102" s="506" t="s">
        <v>1482</v>
      </c>
      <c r="G102" s="506" t="s">
        <v>1482</v>
      </c>
      <c r="H102" s="506" t="s">
        <v>1483</v>
      </c>
      <c r="I102" s="140">
        <v>3799</v>
      </c>
      <c r="K102" s="73" t="s">
        <v>1462</v>
      </c>
      <c r="L102" s="74" t="s">
        <v>1463</v>
      </c>
      <c r="M102" s="507">
        <v>15299</v>
      </c>
      <c r="AC102" s="73" t="s">
        <v>797</v>
      </c>
      <c r="AD102" s="516">
        <v>210</v>
      </c>
      <c r="AF102" s="96"/>
      <c r="AG102" s="519">
        <v>1249</v>
      </c>
    </row>
    <row r="103" spans="1:33">
      <c r="A103" s="73" t="s">
        <v>688</v>
      </c>
      <c r="B103" s="74" t="s">
        <v>689</v>
      </c>
      <c r="C103" s="107" t="s">
        <v>234</v>
      </c>
      <c r="D103" s="107" t="s">
        <v>671</v>
      </c>
      <c r="F103" s="506" t="s">
        <v>1279</v>
      </c>
      <c r="G103" s="506" t="s">
        <v>1279</v>
      </c>
      <c r="H103" s="506" t="s">
        <v>1278</v>
      </c>
      <c r="I103" s="140">
        <v>1699</v>
      </c>
      <c r="K103" s="73" t="s">
        <v>1464</v>
      </c>
      <c r="L103" s="74" t="s">
        <v>1465</v>
      </c>
      <c r="M103" s="507">
        <v>15001</v>
      </c>
      <c r="AC103" s="73" t="s">
        <v>802</v>
      </c>
      <c r="AD103" s="516">
        <v>161</v>
      </c>
      <c r="AF103" s="45" t="s">
        <v>569</v>
      </c>
      <c r="AG103" s="519">
        <v>1249</v>
      </c>
    </row>
    <row r="104" spans="1:33">
      <c r="A104" s="73" t="s">
        <v>1414</v>
      </c>
      <c r="B104" s="74" t="s">
        <v>530</v>
      </c>
      <c r="C104" s="107" t="s">
        <v>314</v>
      </c>
      <c r="D104" s="107" t="s">
        <v>315</v>
      </c>
      <c r="F104" s="506" t="s">
        <v>1484</v>
      </c>
      <c r="G104" s="506" t="s">
        <v>1484</v>
      </c>
      <c r="H104" s="506" t="s">
        <v>1485</v>
      </c>
      <c r="I104" s="140">
        <v>2599</v>
      </c>
      <c r="K104" s="73" t="s">
        <v>1466</v>
      </c>
      <c r="L104" s="74" t="s">
        <v>1467</v>
      </c>
      <c r="M104" s="507">
        <v>15999</v>
      </c>
      <c r="AC104" s="73" t="s">
        <v>855</v>
      </c>
      <c r="AD104" s="516">
        <v>70</v>
      </c>
      <c r="AF104" s="96" t="s">
        <v>571</v>
      </c>
      <c r="AG104" s="519">
        <v>2499</v>
      </c>
    </row>
    <row r="105" spans="1:33">
      <c r="A105" s="73" t="s">
        <v>683</v>
      </c>
      <c r="B105" s="74" t="s">
        <v>684</v>
      </c>
      <c r="C105" s="107" t="s">
        <v>234</v>
      </c>
      <c r="D105" s="107" t="s">
        <v>671</v>
      </c>
      <c r="F105" s="506" t="s">
        <v>1486</v>
      </c>
      <c r="G105" s="506" t="s">
        <v>1486</v>
      </c>
      <c r="H105" s="506" t="s">
        <v>1487</v>
      </c>
      <c r="I105" s="140">
        <v>8999</v>
      </c>
      <c r="K105" s="73" t="s">
        <v>1468</v>
      </c>
      <c r="L105" s="74" t="s">
        <v>1469</v>
      </c>
      <c r="M105" s="507">
        <v>15999</v>
      </c>
      <c r="AC105" s="73" t="s">
        <v>806</v>
      </c>
      <c r="AD105" s="516">
        <v>78</v>
      </c>
      <c r="AF105" s="96" t="s">
        <v>576</v>
      </c>
      <c r="AG105" s="519">
        <v>3599</v>
      </c>
    </row>
    <row r="106" spans="1:33">
      <c r="A106" s="73" t="s">
        <v>475</v>
      </c>
      <c r="B106" s="74" t="s">
        <v>476</v>
      </c>
      <c r="C106" s="107" t="s">
        <v>314</v>
      </c>
      <c r="D106" s="107" t="s">
        <v>465</v>
      </c>
      <c r="F106" s="506" t="s">
        <v>1488</v>
      </c>
      <c r="G106" s="506" t="s">
        <v>1488</v>
      </c>
      <c r="H106" s="506" t="s">
        <v>1489</v>
      </c>
      <c r="I106" s="140">
        <v>8999</v>
      </c>
      <c r="K106" s="73" t="s">
        <v>1470</v>
      </c>
      <c r="L106" s="74" t="s">
        <v>1471</v>
      </c>
      <c r="M106" s="507">
        <v>15499</v>
      </c>
      <c r="AC106" s="73" t="s">
        <v>835</v>
      </c>
      <c r="AD106" s="516">
        <v>53</v>
      </c>
      <c r="AF106" s="96" t="s">
        <v>581</v>
      </c>
      <c r="AG106" s="519">
        <v>3599</v>
      </c>
    </row>
    <row r="107" spans="1:33">
      <c r="A107" s="73" t="s">
        <v>311</v>
      </c>
      <c r="B107" s="74" t="s">
        <v>312</v>
      </c>
      <c r="C107" s="107" t="s">
        <v>314</v>
      </c>
      <c r="D107" s="107" t="s">
        <v>315</v>
      </c>
      <c r="F107" s="506" t="s">
        <v>1490</v>
      </c>
      <c r="G107" s="506" t="s">
        <v>1490</v>
      </c>
      <c r="H107" s="506" t="s">
        <v>1491</v>
      </c>
      <c r="I107" s="140">
        <v>8999</v>
      </c>
      <c r="K107" s="73" t="s">
        <v>1472</v>
      </c>
      <c r="L107" s="74" t="s">
        <v>1473</v>
      </c>
      <c r="M107" s="507">
        <v>22999</v>
      </c>
      <c r="AC107" s="73" t="s">
        <v>839</v>
      </c>
      <c r="AD107" s="516">
        <v>0</v>
      </c>
      <c r="AF107" s="96" t="s">
        <v>585</v>
      </c>
      <c r="AG107" s="519">
        <v>6599</v>
      </c>
    </row>
    <row r="108" spans="1:33">
      <c r="A108" s="73" t="s">
        <v>659</v>
      </c>
      <c r="B108" s="74" t="s">
        <v>660</v>
      </c>
      <c r="C108" s="107" t="s">
        <v>234</v>
      </c>
      <c r="D108" s="107" t="s">
        <v>249</v>
      </c>
      <c r="F108" s="506" t="s">
        <v>1492</v>
      </c>
      <c r="G108" s="506" t="s">
        <v>1492</v>
      </c>
      <c r="H108" s="506" t="s">
        <v>1493</v>
      </c>
      <c r="I108" s="140">
        <v>8999</v>
      </c>
      <c r="K108" s="73" t="s">
        <v>1474</v>
      </c>
      <c r="L108" s="74" t="s">
        <v>1475</v>
      </c>
      <c r="M108" s="507">
        <v>22999</v>
      </c>
      <c r="AC108" s="73" t="s">
        <v>843</v>
      </c>
      <c r="AD108" s="516">
        <v>10</v>
      </c>
      <c r="AF108" s="96" t="s">
        <v>590</v>
      </c>
      <c r="AG108" s="519">
        <v>2999</v>
      </c>
    </row>
    <row r="109" spans="1:33">
      <c r="A109" s="73" t="s">
        <v>1407</v>
      </c>
      <c r="B109" s="74" t="s">
        <v>232</v>
      </c>
      <c r="C109" s="107" t="s">
        <v>234</v>
      </c>
      <c r="D109" s="107" t="s">
        <v>235</v>
      </c>
      <c r="F109" s="506" t="s">
        <v>1494</v>
      </c>
      <c r="G109" s="506" t="s">
        <v>1494</v>
      </c>
      <c r="H109" s="506" t="s">
        <v>1495</v>
      </c>
      <c r="I109" s="140">
        <v>8499</v>
      </c>
      <c r="K109" s="73" t="s">
        <v>1476</v>
      </c>
      <c r="L109" s="74" t="s">
        <v>1477</v>
      </c>
      <c r="M109" s="507">
        <v>24999</v>
      </c>
      <c r="AC109" s="73" t="s">
        <v>847</v>
      </c>
      <c r="AD109" s="516">
        <v>5</v>
      </c>
      <c r="AF109" s="96" t="s">
        <v>595</v>
      </c>
      <c r="AG109" s="519">
        <v>3399</v>
      </c>
    </row>
    <row r="110" spans="1:33">
      <c r="A110" s="73" t="s">
        <v>525</v>
      </c>
      <c r="B110" s="74" t="s">
        <v>526</v>
      </c>
      <c r="C110" s="107" t="s">
        <v>314</v>
      </c>
      <c r="D110" s="107" t="s">
        <v>315</v>
      </c>
      <c r="F110" s="506" t="s">
        <v>1496</v>
      </c>
      <c r="G110" s="506" t="s">
        <v>1496</v>
      </c>
      <c r="H110" s="506" t="s">
        <v>1497</v>
      </c>
      <c r="I110" s="140">
        <v>8499</v>
      </c>
      <c r="K110" s="73" t="s">
        <v>1478</v>
      </c>
      <c r="L110" s="74" t="s">
        <v>1479</v>
      </c>
      <c r="M110" s="507">
        <v>21999</v>
      </c>
      <c r="AC110" s="73" t="s">
        <v>851</v>
      </c>
      <c r="AD110" s="516">
        <v>1</v>
      </c>
      <c r="AF110" s="96" t="s">
        <v>600</v>
      </c>
      <c r="AG110" s="519">
        <v>3699</v>
      </c>
    </row>
    <row r="111" spans="1:33">
      <c r="A111" s="73" t="s">
        <v>462</v>
      </c>
      <c r="B111" s="74" t="s">
        <v>463</v>
      </c>
      <c r="C111" s="107" t="s">
        <v>314</v>
      </c>
      <c r="D111" s="107" t="s">
        <v>465</v>
      </c>
      <c r="F111" s="506" t="s">
        <v>1498</v>
      </c>
      <c r="G111" s="506" t="s">
        <v>1498</v>
      </c>
      <c r="H111" s="506" t="s">
        <v>1499</v>
      </c>
      <c r="I111" s="140">
        <v>8499</v>
      </c>
      <c r="K111" s="73" t="s">
        <v>1480</v>
      </c>
      <c r="L111" s="74" t="s">
        <v>1481</v>
      </c>
      <c r="M111" s="507">
        <v>2599</v>
      </c>
      <c r="AC111" s="73" t="s">
        <v>859</v>
      </c>
      <c r="AD111" s="516">
        <v>612</v>
      </c>
      <c r="AF111" s="96" t="s">
        <v>604</v>
      </c>
      <c r="AG111" s="519">
        <v>4999</v>
      </c>
    </row>
    <row r="112" spans="1:33">
      <c r="A112" s="73" t="s">
        <v>749</v>
      </c>
      <c r="B112" s="74" t="s">
        <v>952</v>
      </c>
      <c r="C112" s="107" t="s">
        <v>314</v>
      </c>
      <c r="D112" s="107" t="s">
        <v>618</v>
      </c>
      <c r="F112" s="506" t="s">
        <v>1500</v>
      </c>
      <c r="G112" s="506" t="s">
        <v>1500</v>
      </c>
      <c r="H112" s="506" t="s">
        <v>1501</v>
      </c>
      <c r="I112" s="140">
        <v>8499</v>
      </c>
      <c r="K112" s="73" t="s">
        <v>1482</v>
      </c>
      <c r="L112" s="74" t="s">
        <v>1483</v>
      </c>
      <c r="M112" s="507">
        <v>3799</v>
      </c>
      <c r="AC112" s="73" t="s">
        <v>1502</v>
      </c>
      <c r="AD112" s="516">
        <v>0</v>
      </c>
      <c r="AF112" s="45"/>
      <c r="AG112" s="519">
        <v>1599</v>
      </c>
    </row>
    <row r="113" spans="1:33">
      <c r="A113" s="73" t="s">
        <v>580</v>
      </c>
      <c r="B113" s="74" t="s">
        <v>581</v>
      </c>
      <c r="C113" s="107" t="s">
        <v>314</v>
      </c>
      <c r="D113" s="107" t="s">
        <v>465</v>
      </c>
      <c r="F113" s="506" t="s">
        <v>1503</v>
      </c>
      <c r="G113" s="506" t="s">
        <v>1503</v>
      </c>
      <c r="H113" s="506" t="s">
        <v>1504</v>
      </c>
      <c r="I113" s="140">
        <v>15299</v>
      </c>
      <c r="K113" s="73" t="s">
        <v>1279</v>
      </c>
      <c r="L113" s="74" t="s">
        <v>1278</v>
      </c>
      <c r="M113" s="507">
        <v>1799</v>
      </c>
      <c r="AC113" s="73" t="s">
        <v>792</v>
      </c>
      <c r="AD113" s="516">
        <v>0</v>
      </c>
      <c r="AF113" s="45" t="s">
        <v>609</v>
      </c>
      <c r="AG113" s="519">
        <v>4299</v>
      </c>
    </row>
    <row r="114" spans="1:33">
      <c r="A114" s="73" t="s">
        <v>538</v>
      </c>
      <c r="B114" s="74" t="s">
        <v>539</v>
      </c>
      <c r="C114" s="107" t="s">
        <v>314</v>
      </c>
      <c r="D114" s="107" t="s">
        <v>465</v>
      </c>
      <c r="F114" s="506" t="s">
        <v>1505</v>
      </c>
      <c r="G114" s="506" t="s">
        <v>1505</v>
      </c>
      <c r="H114" s="506" t="s">
        <v>1506</v>
      </c>
      <c r="I114" s="140">
        <v>15299</v>
      </c>
      <c r="K114" s="73" t="s">
        <v>1484</v>
      </c>
      <c r="L114" s="74" t="s">
        <v>1485</v>
      </c>
      <c r="M114" s="507">
        <v>1999</v>
      </c>
      <c r="AC114" s="73" t="s">
        <v>823</v>
      </c>
      <c r="AD114" s="516">
        <v>1</v>
      </c>
      <c r="AF114" s="45" t="s">
        <v>616</v>
      </c>
      <c r="AG114" s="519">
        <v>2499</v>
      </c>
    </row>
    <row r="115" spans="1:33">
      <c r="A115" s="73" t="s">
        <v>768</v>
      </c>
      <c r="B115" s="74" t="s">
        <v>1096</v>
      </c>
      <c r="C115" s="107" t="s">
        <v>314</v>
      </c>
      <c r="D115" s="107" t="s">
        <v>618</v>
      </c>
      <c r="F115" s="506" t="s">
        <v>1507</v>
      </c>
      <c r="G115" s="506" t="s">
        <v>1507</v>
      </c>
      <c r="H115" s="506" t="s">
        <v>1508</v>
      </c>
      <c r="I115" s="140">
        <v>17999</v>
      </c>
      <c r="K115" s="73" t="s">
        <v>1486</v>
      </c>
      <c r="L115" s="74" t="s">
        <v>1487</v>
      </c>
      <c r="M115" s="507">
        <v>8499</v>
      </c>
      <c r="AC115" s="73" t="s">
        <v>863</v>
      </c>
      <c r="AD115" s="516">
        <v>91</v>
      </c>
      <c r="AF115" s="45" t="s">
        <v>622</v>
      </c>
      <c r="AG115" s="519">
        <v>2499</v>
      </c>
    </row>
    <row r="116" spans="1:33">
      <c r="A116" s="73" t="s">
        <v>543</v>
      </c>
      <c r="B116" s="74" t="s">
        <v>544</v>
      </c>
      <c r="C116" s="107" t="s">
        <v>314</v>
      </c>
      <c r="D116" s="107" t="s">
        <v>465</v>
      </c>
      <c r="F116" s="506" t="s">
        <v>1509</v>
      </c>
      <c r="G116" s="506" t="s">
        <v>1509</v>
      </c>
      <c r="H116" s="506" t="s">
        <v>1510</v>
      </c>
      <c r="I116" s="140">
        <v>17999</v>
      </c>
      <c r="K116" s="73" t="s">
        <v>1488</v>
      </c>
      <c r="L116" s="74" t="s">
        <v>1489</v>
      </c>
      <c r="M116" s="507">
        <v>8499</v>
      </c>
      <c r="AC116" s="73" t="s">
        <v>867</v>
      </c>
      <c r="AD116" s="516">
        <v>0</v>
      </c>
      <c r="AF116" s="96" t="s">
        <v>626</v>
      </c>
      <c r="AG116" s="519">
        <v>4199</v>
      </c>
    </row>
    <row r="117" spans="1:33">
      <c r="A117" s="73" t="s">
        <v>599</v>
      </c>
      <c r="B117" s="74" t="s">
        <v>600</v>
      </c>
      <c r="C117" s="107" t="s">
        <v>234</v>
      </c>
      <c r="D117" s="107" t="s">
        <v>249</v>
      </c>
      <c r="F117" s="506" t="s">
        <v>1511</v>
      </c>
      <c r="G117" s="506" t="s">
        <v>1511</v>
      </c>
      <c r="H117" s="506" t="s">
        <v>1512</v>
      </c>
      <c r="I117" s="140">
        <v>17999</v>
      </c>
      <c r="K117" s="73" t="s">
        <v>1490</v>
      </c>
      <c r="L117" s="74" t="s">
        <v>1491</v>
      </c>
      <c r="M117" s="507">
        <v>8499</v>
      </c>
      <c r="AC117" s="73"/>
      <c r="AD117" s="516"/>
      <c r="AF117" s="96" t="s">
        <v>633</v>
      </c>
      <c r="AG117" s="519">
        <v>1499</v>
      </c>
    </row>
    <row r="118" spans="1:33">
      <c r="A118" s="73" t="s">
        <v>712</v>
      </c>
      <c r="B118" s="74" t="s">
        <v>713</v>
      </c>
      <c r="C118" s="107" t="s">
        <v>234</v>
      </c>
      <c r="D118" s="107" t="s">
        <v>249</v>
      </c>
      <c r="F118" s="506" t="s">
        <v>1513</v>
      </c>
      <c r="G118" s="506" t="s">
        <v>1513</v>
      </c>
      <c r="H118" s="506" t="s">
        <v>1514</v>
      </c>
      <c r="I118" s="140">
        <v>1799</v>
      </c>
      <c r="K118" s="73" t="s">
        <v>1492</v>
      </c>
      <c r="L118" s="74" t="s">
        <v>1493</v>
      </c>
      <c r="M118" s="507">
        <v>8499</v>
      </c>
      <c r="AC118" s="527"/>
      <c r="AD118" s="528">
        <v>88016</v>
      </c>
      <c r="AF118" s="96" t="s">
        <v>938</v>
      </c>
      <c r="AG118" s="519">
        <v>7499</v>
      </c>
    </row>
    <row r="119" spans="1:33">
      <c r="A119" s="73" t="s">
        <v>744</v>
      </c>
      <c r="B119" s="74" t="s">
        <v>745</v>
      </c>
      <c r="C119" s="107" t="s">
        <v>314</v>
      </c>
      <c r="D119" s="107" t="s">
        <v>618</v>
      </c>
      <c r="F119" s="506" t="s">
        <v>1515</v>
      </c>
      <c r="G119" s="506" t="s">
        <v>1515</v>
      </c>
      <c r="H119" s="506" t="s">
        <v>1516</v>
      </c>
      <c r="I119" s="140">
        <v>2299</v>
      </c>
      <c r="K119" s="73" t="s">
        <v>1494</v>
      </c>
      <c r="L119" s="74" t="s">
        <v>1495</v>
      </c>
      <c r="M119" s="507">
        <v>8499</v>
      </c>
      <c r="AC119" s="189"/>
      <c r="AD119" s="189"/>
      <c r="AF119" s="96" t="s">
        <v>643</v>
      </c>
      <c r="AG119" s="519">
        <v>2499</v>
      </c>
    </row>
    <row r="120" spans="1:33">
      <c r="A120" s="73" t="s">
        <v>704</v>
      </c>
      <c r="B120" s="74" t="s">
        <v>705</v>
      </c>
      <c r="C120" s="107" t="s">
        <v>234</v>
      </c>
      <c r="D120" s="107" t="s">
        <v>249</v>
      </c>
      <c r="F120" s="506" t="s">
        <v>1517</v>
      </c>
      <c r="G120" s="506" t="s">
        <v>1517</v>
      </c>
      <c r="H120" s="506" t="s">
        <v>1518</v>
      </c>
      <c r="I120" s="140">
        <v>2399</v>
      </c>
      <c r="K120" s="73" t="s">
        <v>1496</v>
      </c>
      <c r="L120" s="74" t="s">
        <v>1497</v>
      </c>
      <c r="M120" s="507">
        <v>8499</v>
      </c>
      <c r="AC120" s="189"/>
      <c r="AD120" s="189"/>
      <c r="AF120" s="96" t="s">
        <v>647</v>
      </c>
      <c r="AG120" s="519">
        <v>2799</v>
      </c>
    </row>
    <row r="121" spans="1:33">
      <c r="A121" s="73" t="s">
        <v>700</v>
      </c>
      <c r="B121" s="74" t="s">
        <v>701</v>
      </c>
      <c r="C121" s="107" t="s">
        <v>314</v>
      </c>
      <c r="D121" s="107" t="s">
        <v>465</v>
      </c>
      <c r="F121" s="506" t="s">
        <v>1519</v>
      </c>
      <c r="G121" s="506" t="s">
        <v>1519</v>
      </c>
      <c r="H121" s="506" t="s">
        <v>1520</v>
      </c>
      <c r="I121" s="140">
        <v>3599</v>
      </c>
      <c r="K121" s="73" t="s">
        <v>1498</v>
      </c>
      <c r="L121" s="74" t="s">
        <v>1499</v>
      </c>
      <c r="M121" s="507">
        <v>8499</v>
      </c>
      <c r="AF121" s="96" t="s">
        <v>652</v>
      </c>
      <c r="AG121" s="519">
        <v>3699</v>
      </c>
    </row>
    <row r="122" spans="1:33">
      <c r="A122" s="73" t="s">
        <v>520</v>
      </c>
      <c r="B122" s="74" t="s">
        <v>521</v>
      </c>
      <c r="C122" s="107" t="s">
        <v>314</v>
      </c>
      <c r="D122" s="107" t="s">
        <v>465</v>
      </c>
      <c r="F122" s="506" t="s">
        <v>1272</v>
      </c>
      <c r="G122" s="506" t="s">
        <v>1272</v>
      </c>
      <c r="H122" s="506" t="s">
        <v>1271</v>
      </c>
      <c r="I122" s="140">
        <v>2599</v>
      </c>
      <c r="K122" s="73" t="s">
        <v>1500</v>
      </c>
      <c r="L122" s="74" t="s">
        <v>1501</v>
      </c>
      <c r="M122" s="507">
        <v>8499</v>
      </c>
      <c r="AF122" s="96" t="s">
        <v>656</v>
      </c>
      <c r="AG122" s="519">
        <v>4699</v>
      </c>
    </row>
    <row r="123" spans="1:33">
      <c r="A123" s="73" t="s">
        <v>646</v>
      </c>
      <c r="B123" s="74" t="s">
        <v>647</v>
      </c>
      <c r="C123" s="107" t="s">
        <v>628</v>
      </c>
      <c r="D123" s="107" t="s">
        <v>629</v>
      </c>
      <c r="F123" s="506" t="s">
        <v>1521</v>
      </c>
      <c r="G123" s="506" t="s">
        <v>1521</v>
      </c>
      <c r="H123" s="506" t="s">
        <v>1522</v>
      </c>
      <c r="I123" s="140">
        <v>1799</v>
      </c>
      <c r="K123" s="73" t="s">
        <v>1503</v>
      </c>
      <c r="L123" s="74" t="s">
        <v>1504</v>
      </c>
      <c r="M123" s="507">
        <v>15001</v>
      </c>
      <c r="AF123" s="96" t="s">
        <v>660</v>
      </c>
      <c r="AG123" s="519">
        <v>3999</v>
      </c>
    </row>
    <row r="124" spans="1:33">
      <c r="A124" s="73" t="s">
        <v>441</v>
      </c>
      <c r="B124" s="74" t="s">
        <v>442</v>
      </c>
      <c r="C124" s="107" t="s">
        <v>314</v>
      </c>
      <c r="D124" s="107" t="s">
        <v>444</v>
      </c>
      <c r="F124" s="506" t="s">
        <v>1523</v>
      </c>
      <c r="G124" s="506" t="s">
        <v>1523</v>
      </c>
      <c r="H124" s="506" t="s">
        <v>1524</v>
      </c>
      <c r="I124" s="140">
        <v>2299</v>
      </c>
      <c r="K124" s="73" t="s">
        <v>1505</v>
      </c>
      <c r="L124" s="74" t="s">
        <v>1506</v>
      </c>
      <c r="M124" s="507">
        <v>15001</v>
      </c>
      <c r="AF124" s="96" t="s">
        <v>664</v>
      </c>
      <c r="AG124" s="519">
        <v>3999</v>
      </c>
    </row>
    <row r="125" spans="1:33">
      <c r="A125" s="73" t="s">
        <v>575</v>
      </c>
      <c r="B125" s="74" t="s">
        <v>576</v>
      </c>
      <c r="C125" s="107" t="s">
        <v>314</v>
      </c>
      <c r="D125" s="107" t="s">
        <v>465</v>
      </c>
      <c r="F125" s="506" t="s">
        <v>1525</v>
      </c>
      <c r="G125" s="506" t="s">
        <v>1525</v>
      </c>
      <c r="H125" s="506" t="s">
        <v>1526</v>
      </c>
      <c r="I125" s="140">
        <v>2599</v>
      </c>
      <c r="K125" s="73" t="s">
        <v>1507</v>
      </c>
      <c r="L125" s="74" t="s">
        <v>1508</v>
      </c>
      <c r="M125" s="507">
        <v>15999</v>
      </c>
      <c r="AF125" s="96" t="s">
        <v>669</v>
      </c>
      <c r="AG125" s="519">
        <v>2699</v>
      </c>
    </row>
    <row r="126" spans="1:33">
      <c r="A126" s="73" t="s">
        <v>557</v>
      </c>
      <c r="B126" s="74" t="s">
        <v>558</v>
      </c>
      <c r="C126" s="107" t="s">
        <v>304</v>
      </c>
      <c r="D126" s="107" t="s">
        <v>304</v>
      </c>
      <c r="F126" s="506" t="s">
        <v>1527</v>
      </c>
      <c r="G126" s="506" t="s">
        <v>1527</v>
      </c>
      <c r="H126" s="506" t="s">
        <v>1528</v>
      </c>
      <c r="I126" s="140">
        <v>3299</v>
      </c>
      <c r="K126" s="73" t="s">
        <v>1509</v>
      </c>
      <c r="L126" s="74" t="s">
        <v>1510</v>
      </c>
      <c r="M126" s="507">
        <v>15999</v>
      </c>
      <c r="AF126" s="96" t="s">
        <v>676</v>
      </c>
      <c r="AG126" s="519">
        <v>1999</v>
      </c>
    </row>
    <row r="127" spans="1:33">
      <c r="A127" s="73" t="s">
        <v>500</v>
      </c>
      <c r="B127" s="74" t="s">
        <v>501</v>
      </c>
      <c r="C127" s="107" t="s">
        <v>234</v>
      </c>
      <c r="D127" s="107" t="s">
        <v>235</v>
      </c>
      <c r="F127" s="506" t="s">
        <v>1529</v>
      </c>
      <c r="G127" s="506" t="s">
        <v>1529</v>
      </c>
      <c r="H127" s="506" t="s">
        <v>1530</v>
      </c>
      <c r="I127" s="140">
        <v>2999</v>
      </c>
      <c r="K127" s="73" t="s">
        <v>1511</v>
      </c>
      <c r="L127" s="74" t="s">
        <v>1512</v>
      </c>
      <c r="M127" s="507">
        <v>15999</v>
      </c>
      <c r="AF127" s="96" t="s">
        <v>680</v>
      </c>
      <c r="AG127" s="519">
        <v>1599</v>
      </c>
    </row>
    <row r="128" spans="1:33">
      <c r="A128" s="73" t="s">
        <v>411</v>
      </c>
      <c r="B128" s="74" t="s">
        <v>412</v>
      </c>
      <c r="C128" s="107" t="s">
        <v>314</v>
      </c>
      <c r="D128" s="107" t="s">
        <v>315</v>
      </c>
      <c r="F128" s="529" t="s">
        <v>1221</v>
      </c>
      <c r="G128" s="529" t="s">
        <v>1221</v>
      </c>
      <c r="H128" s="529" t="s">
        <v>1220</v>
      </c>
      <c r="I128" s="140">
        <v>2599</v>
      </c>
      <c r="K128" s="73" t="s">
        <v>1513</v>
      </c>
      <c r="L128" s="74" t="s">
        <v>1514</v>
      </c>
      <c r="M128" s="507">
        <v>1799</v>
      </c>
      <c r="AF128" s="96" t="s">
        <v>684</v>
      </c>
      <c r="AG128" s="519">
        <v>2799</v>
      </c>
    </row>
    <row r="129" spans="1:33">
      <c r="A129" s="73" t="s">
        <v>406</v>
      </c>
      <c r="B129" s="74" t="s">
        <v>407</v>
      </c>
      <c r="C129" s="107" t="s">
        <v>314</v>
      </c>
      <c r="D129" s="107" t="s">
        <v>315</v>
      </c>
      <c r="F129" s="529" t="s">
        <v>1531</v>
      </c>
      <c r="G129" s="529" t="s">
        <v>1531</v>
      </c>
      <c r="H129" s="529" t="s">
        <v>1532</v>
      </c>
      <c r="I129" s="140">
        <v>679</v>
      </c>
      <c r="K129" s="73" t="s">
        <v>1515</v>
      </c>
      <c r="L129" s="74" t="s">
        <v>1516</v>
      </c>
      <c r="M129" s="507">
        <v>1999</v>
      </c>
      <c r="AF129" s="96" t="s">
        <v>689</v>
      </c>
      <c r="AG129" s="519">
        <v>2799</v>
      </c>
    </row>
    <row r="130" spans="1:33">
      <c r="A130" s="73" t="s">
        <v>418</v>
      </c>
      <c r="B130" s="74" t="s">
        <v>419</v>
      </c>
      <c r="C130" s="107" t="s">
        <v>234</v>
      </c>
      <c r="D130" s="107" t="s">
        <v>249</v>
      </c>
      <c r="F130" s="529" t="s">
        <v>1229</v>
      </c>
      <c r="G130" s="529" t="s">
        <v>1229</v>
      </c>
      <c r="H130" s="529" t="s">
        <v>1228</v>
      </c>
      <c r="I130" s="140">
        <v>4199</v>
      </c>
      <c r="K130" s="73" t="s">
        <v>1517</v>
      </c>
      <c r="L130" s="74" t="s">
        <v>1518</v>
      </c>
      <c r="M130" s="507">
        <v>2599</v>
      </c>
      <c r="AF130" s="80"/>
      <c r="AG130" s="520">
        <v>1299</v>
      </c>
    </row>
    <row r="131" spans="1:33">
      <c r="A131" s="73" t="s">
        <v>246</v>
      </c>
      <c r="B131" s="74" t="s">
        <v>247</v>
      </c>
      <c r="C131" s="107" t="s">
        <v>234</v>
      </c>
      <c r="D131" s="107" t="s">
        <v>249</v>
      </c>
      <c r="F131" s="529" t="s">
        <v>1533</v>
      </c>
      <c r="G131" s="529" t="s">
        <v>1533</v>
      </c>
      <c r="H131" s="529" t="s">
        <v>1534</v>
      </c>
      <c r="I131" s="140">
        <v>699</v>
      </c>
      <c r="K131" s="73" t="s">
        <v>1519</v>
      </c>
      <c r="L131" s="74" t="s">
        <v>1520</v>
      </c>
      <c r="M131" s="507">
        <v>3999</v>
      </c>
      <c r="AF131" s="45" t="s">
        <v>696</v>
      </c>
      <c r="AG131" s="519">
        <v>3699</v>
      </c>
    </row>
    <row r="132" spans="1:33">
      <c r="A132" s="73" t="s">
        <v>533</v>
      </c>
      <c r="B132" s="74" t="s">
        <v>534</v>
      </c>
      <c r="C132" s="107" t="s">
        <v>234</v>
      </c>
      <c r="D132" s="107" t="s">
        <v>235</v>
      </c>
      <c r="F132" s="529" t="s">
        <v>1235</v>
      </c>
      <c r="G132" s="529" t="s">
        <v>1235</v>
      </c>
      <c r="H132" s="529" t="s">
        <v>1234</v>
      </c>
      <c r="I132" s="140">
        <v>3599</v>
      </c>
      <c r="K132" s="73" t="s">
        <v>1272</v>
      </c>
      <c r="L132" s="74" t="s">
        <v>1271</v>
      </c>
      <c r="M132" s="507">
        <v>3199</v>
      </c>
      <c r="AF132" s="96" t="s">
        <v>701</v>
      </c>
      <c r="AG132" s="519">
        <v>3399</v>
      </c>
    </row>
    <row r="133" spans="1:33">
      <c r="A133" s="73" t="s">
        <v>1502</v>
      </c>
      <c r="B133" s="74" t="s">
        <v>1535</v>
      </c>
      <c r="C133" s="107" t="s">
        <v>234</v>
      </c>
      <c r="D133" s="107" t="s">
        <v>235</v>
      </c>
      <c r="F133" s="529" t="s">
        <v>1255</v>
      </c>
      <c r="G133" s="529" t="s">
        <v>1255</v>
      </c>
      <c r="H133" s="529" t="s">
        <v>1254</v>
      </c>
      <c r="I133" s="140">
        <v>1899</v>
      </c>
      <c r="K133" s="73" t="s">
        <v>1521</v>
      </c>
      <c r="L133" s="74" t="s">
        <v>1522</v>
      </c>
      <c r="M133" s="507">
        <v>1999</v>
      </c>
      <c r="AF133" s="96" t="s">
        <v>705</v>
      </c>
      <c r="AG133" s="519">
        <v>8299</v>
      </c>
    </row>
    <row r="134" spans="1:33">
      <c r="A134" s="73" t="s">
        <v>584</v>
      </c>
      <c r="B134" s="74" t="s">
        <v>585</v>
      </c>
      <c r="C134" s="107" t="s">
        <v>234</v>
      </c>
      <c r="D134" s="107" t="s">
        <v>249</v>
      </c>
      <c r="F134" s="529" t="s">
        <v>1248</v>
      </c>
      <c r="G134" s="529" t="s">
        <v>1248</v>
      </c>
      <c r="H134" s="529" t="s">
        <v>1247</v>
      </c>
      <c r="I134" s="140">
        <v>1349</v>
      </c>
      <c r="K134" s="73" t="s">
        <v>1523</v>
      </c>
      <c r="L134" s="74" t="s">
        <v>1524</v>
      </c>
      <c r="M134" s="507">
        <v>2599</v>
      </c>
      <c r="AF134" s="80"/>
      <c r="AG134" s="520">
        <v>13999</v>
      </c>
    </row>
    <row r="135" spans="1:33">
      <c r="A135" s="73" t="s">
        <v>615</v>
      </c>
      <c r="B135" s="74" t="s">
        <v>616</v>
      </c>
      <c r="C135" s="107" t="s">
        <v>314</v>
      </c>
      <c r="D135" s="107" t="s">
        <v>618</v>
      </c>
      <c r="F135" s="529" t="s">
        <v>1536</v>
      </c>
      <c r="G135" s="529" t="s">
        <v>1536</v>
      </c>
      <c r="H135" s="529" t="s">
        <v>1537</v>
      </c>
      <c r="I135" s="140">
        <v>899</v>
      </c>
      <c r="K135" s="73" t="s">
        <v>1525</v>
      </c>
      <c r="L135" s="74" t="s">
        <v>1526</v>
      </c>
      <c r="M135" s="507">
        <v>2999</v>
      </c>
      <c r="AF135" s="96" t="s">
        <v>1129</v>
      </c>
      <c r="AG135" s="519">
        <v>4499</v>
      </c>
    </row>
    <row r="136" spans="1:33">
      <c r="A136" s="73" t="s">
        <v>621</v>
      </c>
      <c r="B136" s="74" t="s">
        <v>622</v>
      </c>
      <c r="C136" s="107" t="s">
        <v>314</v>
      </c>
      <c r="D136" s="107" t="s">
        <v>618</v>
      </c>
      <c r="F136" s="529" t="s">
        <v>1538</v>
      </c>
      <c r="G136" s="529" t="s">
        <v>1538</v>
      </c>
      <c r="H136" s="529" t="s">
        <v>1539</v>
      </c>
      <c r="I136" s="140">
        <v>499</v>
      </c>
      <c r="K136" s="73" t="s">
        <v>1527</v>
      </c>
      <c r="L136" s="74" t="s">
        <v>1528</v>
      </c>
      <c r="M136" s="507">
        <v>3599</v>
      </c>
      <c r="AF136" s="96" t="s">
        <v>718</v>
      </c>
      <c r="AG136" s="519">
        <v>4499</v>
      </c>
    </row>
    <row r="137" spans="1:33">
      <c r="A137" s="73"/>
      <c r="B137" s="74"/>
      <c r="C137" s="107"/>
      <c r="D137" s="107"/>
      <c r="F137" s="529" t="s">
        <v>1241</v>
      </c>
      <c r="G137" s="529" t="s">
        <v>1241</v>
      </c>
      <c r="H137" s="529" t="s">
        <v>1240</v>
      </c>
      <c r="I137" s="140">
        <v>1599</v>
      </c>
      <c r="K137" s="73" t="s">
        <v>1529</v>
      </c>
      <c r="L137" s="74" t="s">
        <v>1530</v>
      </c>
      <c r="M137" s="507">
        <v>2999</v>
      </c>
      <c r="AF137" s="96" t="s">
        <v>721</v>
      </c>
      <c r="AG137" s="519">
        <v>2299</v>
      </c>
    </row>
    <row r="138" spans="1:33">
      <c r="A138" s="528" t="s">
        <v>1540</v>
      </c>
      <c r="B138" s="530"/>
      <c r="C138" s="530"/>
      <c r="D138" s="530"/>
      <c r="F138" s="529" t="s">
        <v>1541</v>
      </c>
      <c r="G138" s="529" t="s">
        <v>1541</v>
      </c>
      <c r="H138" s="529" t="s">
        <v>1542</v>
      </c>
      <c r="I138" s="140">
        <v>3799</v>
      </c>
      <c r="AF138" s="45" t="s">
        <v>725</v>
      </c>
      <c r="AG138" s="519">
        <v>1699</v>
      </c>
    </row>
    <row r="139" spans="1:33">
      <c r="F139" s="529" t="s">
        <v>1543</v>
      </c>
      <c r="G139" s="529" t="s">
        <v>1543</v>
      </c>
      <c r="H139" s="529" t="s">
        <v>1544</v>
      </c>
      <c r="I139" s="140">
        <v>1999</v>
      </c>
      <c r="AF139" s="96" t="s">
        <v>729</v>
      </c>
      <c r="AG139" s="519">
        <v>5399</v>
      </c>
    </row>
    <row r="140" spans="1:33">
      <c r="F140" s="529" t="s">
        <v>1260</v>
      </c>
      <c r="G140" s="529" t="s">
        <v>1260</v>
      </c>
      <c r="H140" s="529" t="s">
        <v>1259</v>
      </c>
      <c r="I140" s="140">
        <v>4999</v>
      </c>
      <c r="AF140" s="45" t="s">
        <v>733</v>
      </c>
      <c r="AG140" s="519">
        <v>2299</v>
      </c>
    </row>
    <row r="141" spans="1:33">
      <c r="F141" s="529" t="s">
        <v>1545</v>
      </c>
      <c r="G141" s="529" t="s">
        <v>1545</v>
      </c>
      <c r="H141" s="529" t="s">
        <v>1546</v>
      </c>
      <c r="I141" s="140">
        <v>499</v>
      </c>
      <c r="AF141" s="96" t="s">
        <v>737</v>
      </c>
      <c r="AG141" s="519">
        <v>3999</v>
      </c>
    </row>
    <row r="142" spans="1:33">
      <c r="F142" s="529" t="s">
        <v>1547</v>
      </c>
      <c r="G142" s="529" t="s">
        <v>1547</v>
      </c>
      <c r="H142" s="529" t="s">
        <v>1548</v>
      </c>
      <c r="I142" s="140">
        <v>2749</v>
      </c>
      <c r="AF142" s="96" t="s">
        <v>741</v>
      </c>
      <c r="AG142" s="519">
        <v>4999</v>
      </c>
    </row>
    <row r="143" spans="1:33">
      <c r="F143" s="529" t="s">
        <v>1549</v>
      </c>
      <c r="G143" s="529" t="s">
        <v>1549</v>
      </c>
      <c r="H143" s="529" t="s">
        <v>1550</v>
      </c>
      <c r="I143" s="140">
        <v>1599</v>
      </c>
      <c r="AF143" s="96"/>
      <c r="AG143" s="519">
        <v>1499</v>
      </c>
    </row>
    <row r="144" spans="1:33">
      <c r="F144" s="529" t="s">
        <v>1551</v>
      </c>
      <c r="G144" s="529" t="s">
        <v>1551</v>
      </c>
      <c r="H144" s="529" t="s">
        <v>1552</v>
      </c>
      <c r="I144" s="140">
        <v>2099</v>
      </c>
      <c r="AF144" s="96" t="s">
        <v>1145</v>
      </c>
      <c r="AG144" s="519">
        <v>3999</v>
      </c>
    </row>
    <row r="145" spans="6:33">
      <c r="F145" s="529" t="s">
        <v>1553</v>
      </c>
      <c r="G145" s="529" t="s">
        <v>1553</v>
      </c>
      <c r="H145" s="529" t="s">
        <v>1554</v>
      </c>
      <c r="I145" s="140">
        <v>1299</v>
      </c>
      <c r="AF145" s="96" t="s">
        <v>750</v>
      </c>
      <c r="AG145" s="519">
        <v>3399</v>
      </c>
    </row>
    <row r="146" spans="6:33">
      <c r="F146" s="529" t="s">
        <v>1555</v>
      </c>
      <c r="G146" s="529" t="s">
        <v>1555</v>
      </c>
      <c r="H146" s="529" t="s">
        <v>1556</v>
      </c>
      <c r="I146" s="140">
        <v>5699</v>
      </c>
      <c r="AF146" s="96" t="s">
        <v>754</v>
      </c>
      <c r="AG146" s="519">
        <v>6299</v>
      </c>
    </row>
    <row r="147" spans="6:33">
      <c r="F147" s="529" t="s">
        <v>1557</v>
      </c>
      <c r="G147" s="529" t="s">
        <v>1557</v>
      </c>
      <c r="H147" s="529" t="s">
        <v>1558</v>
      </c>
      <c r="I147" s="140">
        <v>3699</v>
      </c>
      <c r="AF147" s="96" t="s">
        <v>757</v>
      </c>
      <c r="AG147" s="519">
        <v>3899</v>
      </c>
    </row>
    <row r="148" spans="6:33">
      <c r="F148" s="529" t="s">
        <v>1559</v>
      </c>
      <c r="G148" s="529" t="s">
        <v>1559</v>
      </c>
      <c r="H148" s="529" t="s">
        <v>1560</v>
      </c>
      <c r="I148" s="140">
        <v>749</v>
      </c>
      <c r="AF148" s="96" t="s">
        <v>761</v>
      </c>
      <c r="AG148" s="519">
        <v>4599</v>
      </c>
    </row>
    <row r="149" spans="6:33">
      <c r="F149" s="529" t="s">
        <v>1561</v>
      </c>
      <c r="G149" s="529" t="s">
        <v>1561</v>
      </c>
      <c r="H149" s="529" t="s">
        <v>1562</v>
      </c>
      <c r="I149" s="140">
        <v>1499</v>
      </c>
      <c r="AF149" s="96" t="s">
        <v>765</v>
      </c>
      <c r="AG149" s="519">
        <v>6299</v>
      </c>
    </row>
    <row r="150" spans="6:33">
      <c r="F150" s="529" t="s">
        <v>1563</v>
      </c>
      <c r="G150" s="529" t="s">
        <v>1563</v>
      </c>
      <c r="H150" s="529" t="s">
        <v>1564</v>
      </c>
      <c r="I150" s="140">
        <v>3849</v>
      </c>
      <c r="AF150" s="531" t="s">
        <v>769</v>
      </c>
      <c r="AG150" s="519">
        <v>3199</v>
      </c>
    </row>
    <row r="151" spans="6:33">
      <c r="F151" s="529" t="s">
        <v>1565</v>
      </c>
      <c r="G151" s="529" t="s">
        <v>1565</v>
      </c>
      <c r="H151" s="529" t="s">
        <v>1566</v>
      </c>
      <c r="I151" s="140">
        <v>1549</v>
      </c>
      <c r="AF151" s="96" t="s">
        <v>773</v>
      </c>
      <c r="AG151" s="519">
        <v>2799</v>
      </c>
    </row>
    <row r="152" spans="6:33">
      <c r="F152" s="529" t="s">
        <v>1567</v>
      </c>
      <c r="G152" s="529" t="s">
        <v>1567</v>
      </c>
      <c r="H152" s="529" t="s">
        <v>1568</v>
      </c>
      <c r="I152" s="140">
        <v>1799</v>
      </c>
      <c r="AF152" s="96" t="s">
        <v>776</v>
      </c>
      <c r="AG152" s="519">
        <v>3399</v>
      </c>
    </row>
    <row r="153" spans="6:33">
      <c r="F153" s="529" t="s">
        <v>1569</v>
      </c>
      <c r="G153" s="529" t="s">
        <v>1569</v>
      </c>
      <c r="H153" s="529" t="s">
        <v>1570</v>
      </c>
      <c r="I153" s="140">
        <v>3199</v>
      </c>
      <c r="AF153" s="96" t="s">
        <v>780</v>
      </c>
      <c r="AG153" s="519">
        <v>3699</v>
      </c>
    </row>
    <row r="154" spans="6:33">
      <c r="F154" s="529" t="s">
        <v>1571</v>
      </c>
      <c r="G154" s="529" t="s">
        <v>1571</v>
      </c>
      <c r="H154" s="529" t="s">
        <v>1572</v>
      </c>
      <c r="I154" s="140">
        <v>2499</v>
      </c>
      <c r="AF154" s="96" t="s">
        <v>784</v>
      </c>
      <c r="AG154" s="517">
        <v>5499</v>
      </c>
    </row>
    <row r="155" spans="6:33">
      <c r="F155" s="529" t="s">
        <v>1573</v>
      </c>
      <c r="G155" s="529" t="s">
        <v>1573</v>
      </c>
      <c r="H155" s="529" t="s">
        <v>1574</v>
      </c>
      <c r="I155" s="140">
        <v>1599</v>
      </c>
      <c r="AF155" s="96" t="s">
        <v>789</v>
      </c>
      <c r="AG155" s="517">
        <v>10999</v>
      </c>
    </row>
    <row r="156" spans="6:33">
      <c r="F156" s="529" t="s">
        <v>1575</v>
      </c>
      <c r="G156" s="529" t="s">
        <v>1575</v>
      </c>
      <c r="H156" s="529" t="s">
        <v>1576</v>
      </c>
      <c r="I156" s="140">
        <v>5199</v>
      </c>
      <c r="AF156" s="96"/>
      <c r="AG156" s="519">
        <v>1199</v>
      </c>
    </row>
    <row r="157" spans="6:33">
      <c r="F157" s="529" t="s">
        <v>1577</v>
      </c>
      <c r="G157" s="529" t="s">
        <v>1577</v>
      </c>
      <c r="H157" s="529" t="s">
        <v>1578</v>
      </c>
      <c r="I157" s="140">
        <v>3599</v>
      </c>
      <c r="AF157" s="96" t="s">
        <v>798</v>
      </c>
      <c r="AG157" s="519">
        <v>3499</v>
      </c>
    </row>
    <row r="158" spans="6:33">
      <c r="F158" s="529" t="s">
        <v>1579</v>
      </c>
      <c r="G158" s="529" t="s">
        <v>1579</v>
      </c>
      <c r="H158" s="529" t="s">
        <v>1580</v>
      </c>
      <c r="I158" s="140">
        <v>1349</v>
      </c>
      <c r="AF158" s="96" t="s">
        <v>803</v>
      </c>
      <c r="AG158" s="519">
        <v>3899</v>
      </c>
    </row>
    <row r="159" spans="6:33">
      <c r="F159" s="529" t="s">
        <v>1581</v>
      </c>
      <c r="G159" s="529" t="s">
        <v>1581</v>
      </c>
      <c r="H159" s="529" t="s">
        <v>1582</v>
      </c>
      <c r="I159" s="140">
        <v>5099</v>
      </c>
      <c r="AF159" s="96" t="s">
        <v>807</v>
      </c>
      <c r="AG159" s="519">
        <v>3499</v>
      </c>
    </row>
    <row r="160" spans="6:33">
      <c r="F160" s="529" t="s">
        <v>1583</v>
      </c>
      <c r="G160" s="529" t="s">
        <v>1583</v>
      </c>
      <c r="H160" s="529" t="s">
        <v>1584</v>
      </c>
      <c r="I160" s="140">
        <v>3499</v>
      </c>
      <c r="AF160" s="46" t="s">
        <v>811</v>
      </c>
      <c r="AG160" s="517">
        <v>1899</v>
      </c>
    </row>
    <row r="161" spans="6:33">
      <c r="F161" s="529" t="s">
        <v>1585</v>
      </c>
      <c r="G161" s="529" t="s">
        <v>1585</v>
      </c>
      <c r="H161" s="529" t="s">
        <v>1586</v>
      </c>
      <c r="I161" s="140">
        <v>2999</v>
      </c>
      <c r="AF161" s="46" t="s">
        <v>816</v>
      </c>
      <c r="AG161" s="517">
        <v>1899</v>
      </c>
    </row>
    <row r="162" spans="6:33">
      <c r="F162" s="529" t="s">
        <v>1587</v>
      </c>
      <c r="G162" s="529" t="s">
        <v>1587</v>
      </c>
      <c r="H162" s="529" t="s">
        <v>1588</v>
      </c>
      <c r="I162" s="140">
        <v>3549</v>
      </c>
      <c r="AF162" s="46" t="s">
        <v>820</v>
      </c>
      <c r="AG162" s="517">
        <v>29999</v>
      </c>
    </row>
    <row r="163" spans="6:33">
      <c r="F163" s="529" t="s">
        <v>1589</v>
      </c>
      <c r="G163" s="529" t="s">
        <v>1589</v>
      </c>
      <c r="H163" s="529" t="s">
        <v>1590</v>
      </c>
      <c r="I163" s="140">
        <v>3999</v>
      </c>
      <c r="AF163" s="46" t="s">
        <v>824</v>
      </c>
      <c r="AG163" s="517">
        <v>18999</v>
      </c>
    </row>
    <row r="164" spans="6:33">
      <c r="F164" s="529" t="s">
        <v>1591</v>
      </c>
      <c r="G164" s="529" t="s">
        <v>1591</v>
      </c>
      <c r="H164" s="529" t="s">
        <v>1592</v>
      </c>
      <c r="I164" s="140">
        <v>2699</v>
      </c>
      <c r="AF164" s="46" t="s">
        <v>828</v>
      </c>
      <c r="AG164" s="517">
        <v>3599</v>
      </c>
    </row>
    <row r="165" spans="6:33">
      <c r="F165" s="529" t="s">
        <v>1593</v>
      </c>
      <c r="G165" s="529" t="s">
        <v>1593</v>
      </c>
      <c r="H165" s="529" t="s">
        <v>1594</v>
      </c>
      <c r="I165" s="140">
        <v>2599</v>
      </c>
      <c r="AF165" s="46" t="s">
        <v>832</v>
      </c>
      <c r="AG165" s="517">
        <v>2899</v>
      </c>
    </row>
    <row r="166" spans="6:33">
      <c r="F166" s="529" t="s">
        <v>1595</v>
      </c>
      <c r="G166" s="529" t="s">
        <v>1595</v>
      </c>
      <c r="H166" s="529" t="s">
        <v>1596</v>
      </c>
      <c r="I166" s="140">
        <v>2899</v>
      </c>
      <c r="AF166" s="96" t="s">
        <v>836</v>
      </c>
      <c r="AG166" s="519">
        <v>3099</v>
      </c>
    </row>
    <row r="167" spans="6:33">
      <c r="F167" s="529" t="s">
        <v>1597</v>
      </c>
      <c r="G167" s="529" t="s">
        <v>1597</v>
      </c>
      <c r="H167" s="529" t="s">
        <v>1598</v>
      </c>
      <c r="I167" s="140">
        <v>2299</v>
      </c>
      <c r="AF167" s="96" t="s">
        <v>840</v>
      </c>
      <c r="AG167" s="519">
        <v>1999</v>
      </c>
    </row>
    <row r="168" spans="6:33">
      <c r="F168" s="529" t="s">
        <v>1599</v>
      </c>
      <c r="G168" s="529" t="s">
        <v>1599</v>
      </c>
      <c r="H168" s="529" t="s">
        <v>1600</v>
      </c>
      <c r="I168" s="140">
        <v>3699</v>
      </c>
      <c r="AF168" s="96" t="s">
        <v>844</v>
      </c>
      <c r="AG168" s="519">
        <v>3999</v>
      </c>
    </row>
    <row r="169" spans="6:33">
      <c r="F169" s="529" t="s">
        <v>1601</v>
      </c>
      <c r="G169" s="529" t="s">
        <v>1601</v>
      </c>
      <c r="H169" s="529" t="s">
        <v>1602</v>
      </c>
      <c r="I169" s="140">
        <v>3999</v>
      </c>
      <c r="AF169" s="96" t="s">
        <v>848</v>
      </c>
      <c r="AG169" s="519">
        <v>19999</v>
      </c>
    </row>
    <row r="170" spans="6:33">
      <c r="F170" s="529" t="s">
        <v>1603</v>
      </c>
      <c r="G170" s="529" t="s">
        <v>1603</v>
      </c>
      <c r="H170" s="529" t="s">
        <v>1604</v>
      </c>
      <c r="I170" s="140">
        <v>2499</v>
      </c>
      <c r="AF170" s="96" t="s">
        <v>852</v>
      </c>
      <c r="AG170" s="519">
        <v>11999</v>
      </c>
    </row>
    <row r="171" spans="6:33">
      <c r="F171" s="529" t="s">
        <v>1605</v>
      </c>
      <c r="G171" s="529" t="s">
        <v>1605</v>
      </c>
      <c r="H171" s="529" t="s">
        <v>1606</v>
      </c>
      <c r="I171" s="140">
        <v>2399</v>
      </c>
      <c r="AF171" s="96" t="s">
        <v>856</v>
      </c>
      <c r="AG171" s="519">
        <v>3999</v>
      </c>
    </row>
    <row r="172" spans="6:33">
      <c r="F172" s="529" t="s">
        <v>1607</v>
      </c>
      <c r="G172" s="529" t="s">
        <v>1607</v>
      </c>
      <c r="H172" s="529" t="s">
        <v>1608</v>
      </c>
      <c r="I172" s="140">
        <v>1349</v>
      </c>
      <c r="AF172" s="46" t="s">
        <v>860</v>
      </c>
      <c r="AG172" s="517">
        <v>6499</v>
      </c>
    </row>
    <row r="173" spans="6:33">
      <c r="F173" s="529" t="s">
        <v>1609</v>
      </c>
      <c r="G173" s="529" t="s">
        <v>1609</v>
      </c>
      <c r="H173" s="529" t="s">
        <v>1610</v>
      </c>
      <c r="I173" s="140">
        <v>2599</v>
      </c>
      <c r="AF173" s="45" t="s">
        <v>864</v>
      </c>
      <c r="AG173" s="532">
        <v>3499</v>
      </c>
    </row>
    <row r="174" spans="6:33">
      <c r="F174" s="529" t="s">
        <v>1611</v>
      </c>
      <c r="G174" s="529" t="s">
        <v>1611</v>
      </c>
      <c r="H174" s="529" t="s">
        <v>1612</v>
      </c>
      <c r="I174" s="140">
        <v>3799</v>
      </c>
      <c r="AF174" s="141"/>
      <c r="AG174" s="533">
        <v>3699</v>
      </c>
    </row>
    <row r="175" spans="6:33">
      <c r="F175" s="529" t="s">
        <v>1613</v>
      </c>
      <c r="G175" s="529" t="s">
        <v>1613</v>
      </c>
      <c r="H175" s="529" t="s">
        <v>1614</v>
      </c>
      <c r="I175" s="140">
        <v>3599</v>
      </c>
      <c r="AF175" s="96"/>
      <c r="AG175" s="519">
        <v>1499</v>
      </c>
    </row>
    <row r="176" spans="6:33">
      <c r="F176" s="529" t="s">
        <v>1615</v>
      </c>
      <c r="G176" s="529" t="s">
        <v>1615</v>
      </c>
      <c r="H176" s="529" t="s">
        <v>1616</v>
      </c>
      <c r="I176" s="140">
        <v>5999</v>
      </c>
      <c r="AF176" s="96"/>
      <c r="AG176" s="519"/>
    </row>
    <row r="177" spans="6:9">
      <c r="F177" s="529" t="s">
        <v>1617</v>
      </c>
      <c r="G177" s="529" t="s">
        <v>1617</v>
      </c>
      <c r="H177" s="529" t="s">
        <v>1618</v>
      </c>
      <c r="I177" s="140">
        <v>3599</v>
      </c>
    </row>
    <row r="178" spans="6:9">
      <c r="F178" s="529" t="s">
        <v>1619</v>
      </c>
      <c r="G178" s="529" t="s">
        <v>1619</v>
      </c>
      <c r="H178" s="529" t="s">
        <v>1620</v>
      </c>
      <c r="I178" s="140">
        <v>4599</v>
      </c>
    </row>
    <row r="179" spans="6:9">
      <c r="F179" s="529" t="s">
        <v>1621</v>
      </c>
      <c r="G179" s="529" t="s">
        <v>1621</v>
      </c>
      <c r="H179" s="529" t="s">
        <v>1622</v>
      </c>
      <c r="I179" s="140">
        <v>1499</v>
      </c>
    </row>
    <row r="180" spans="6:9">
      <c r="F180" s="529" t="s">
        <v>1623</v>
      </c>
      <c r="G180" s="529" t="s">
        <v>1623</v>
      </c>
      <c r="H180" s="529" t="s">
        <v>1624</v>
      </c>
      <c r="I180" s="140">
        <v>3999</v>
      </c>
    </row>
    <row r="181" spans="6:9">
      <c r="F181" s="529" t="s">
        <v>1625</v>
      </c>
      <c r="G181" s="529" t="s">
        <v>1625</v>
      </c>
      <c r="H181" s="529" t="s">
        <v>1626</v>
      </c>
      <c r="I181" s="140">
        <v>2499</v>
      </c>
    </row>
    <row r="182" spans="6:9">
      <c r="F182" s="529" t="s">
        <v>1627</v>
      </c>
      <c r="G182" s="529" t="s">
        <v>1627</v>
      </c>
      <c r="H182" s="529" t="s">
        <v>1628</v>
      </c>
      <c r="I182" s="140">
        <v>2799</v>
      </c>
    </row>
    <row r="183" spans="6:9">
      <c r="F183" s="529" t="s">
        <v>1629</v>
      </c>
      <c r="G183" s="529" t="s">
        <v>1629</v>
      </c>
      <c r="H183" s="529" t="s">
        <v>1630</v>
      </c>
      <c r="I183" s="140">
        <v>2799</v>
      </c>
    </row>
    <row r="184" spans="6:9">
      <c r="F184" s="529" t="s">
        <v>1631</v>
      </c>
      <c r="G184" s="529" t="s">
        <v>1631</v>
      </c>
      <c r="H184" s="529" t="s">
        <v>1632</v>
      </c>
      <c r="I184" s="140">
        <v>4799</v>
      </c>
    </row>
    <row r="185" spans="6:9">
      <c r="F185" s="529" t="s">
        <v>1633</v>
      </c>
      <c r="G185" s="529" t="s">
        <v>1633</v>
      </c>
      <c r="H185" s="529" t="s">
        <v>1634</v>
      </c>
      <c r="I185" s="140">
        <v>4999</v>
      </c>
    </row>
    <row r="186" spans="6:9">
      <c r="F186" s="529" t="s">
        <v>1635</v>
      </c>
      <c r="G186" s="529" t="s">
        <v>1635</v>
      </c>
      <c r="H186" s="529" t="s">
        <v>1636</v>
      </c>
      <c r="I186" s="140">
        <v>2199</v>
      </c>
    </row>
    <row r="187" spans="6:9">
      <c r="F187" s="529" t="s">
        <v>1637</v>
      </c>
      <c r="G187" s="529" t="s">
        <v>1637</v>
      </c>
      <c r="H187" s="529" t="s">
        <v>1638</v>
      </c>
      <c r="I187" s="140">
        <v>4799</v>
      </c>
    </row>
    <row r="188" spans="6:9">
      <c r="F188" s="529" t="s">
        <v>1639</v>
      </c>
      <c r="G188" s="529" t="s">
        <v>1639</v>
      </c>
      <c r="H188" s="529" t="s">
        <v>1640</v>
      </c>
      <c r="I188" s="140">
        <v>2399</v>
      </c>
    </row>
    <row r="189" spans="6:9">
      <c r="F189" s="529" t="s">
        <v>1641</v>
      </c>
      <c r="G189" s="529" t="s">
        <v>1641</v>
      </c>
      <c r="H189" s="529" t="s">
        <v>1642</v>
      </c>
      <c r="I189" s="140">
        <v>1599</v>
      </c>
    </row>
    <row r="190" spans="6:9">
      <c r="F190" s="529" t="s">
        <v>1643</v>
      </c>
      <c r="G190" s="529" t="s">
        <v>1643</v>
      </c>
      <c r="H190" s="529" t="s">
        <v>1644</v>
      </c>
      <c r="I190" s="140">
        <v>2899</v>
      </c>
    </row>
    <row r="191" spans="6:9">
      <c r="F191" s="529" t="s">
        <v>1422</v>
      </c>
      <c r="G191" s="529" t="s">
        <v>1422</v>
      </c>
      <c r="H191" s="529" t="s">
        <v>1423</v>
      </c>
      <c r="I191" s="140">
        <v>5599</v>
      </c>
    </row>
    <row r="192" spans="6:9">
      <c r="F192" s="529" t="s">
        <v>1426</v>
      </c>
      <c r="G192" s="529" t="s">
        <v>1426</v>
      </c>
      <c r="H192" s="529" t="s">
        <v>1427</v>
      </c>
      <c r="I192" s="140">
        <v>9999</v>
      </c>
    </row>
    <row r="193" spans="6:9">
      <c r="F193" s="529" t="s">
        <v>1645</v>
      </c>
      <c r="G193" s="529" t="s">
        <v>1645</v>
      </c>
      <c r="H193" s="529" t="s">
        <v>1646</v>
      </c>
      <c r="I193" s="140">
        <v>3899</v>
      </c>
    </row>
    <row r="194" spans="6:9">
      <c r="F194" s="529" t="s">
        <v>1647</v>
      </c>
      <c r="G194" s="529" t="s">
        <v>1647</v>
      </c>
      <c r="H194" s="529" t="s">
        <v>1648</v>
      </c>
      <c r="I194" s="140">
        <v>2399</v>
      </c>
    </row>
    <row r="195" spans="6:9">
      <c r="F195" s="529" t="s">
        <v>1430</v>
      </c>
      <c r="G195" s="529" t="s">
        <v>1430</v>
      </c>
      <c r="H195" s="529" t="s">
        <v>1431</v>
      </c>
      <c r="I195" s="140">
        <v>13999</v>
      </c>
    </row>
    <row r="196" spans="6:9">
      <c r="F196" s="529" t="s">
        <v>1434</v>
      </c>
      <c r="G196" s="529" t="s">
        <v>1434</v>
      </c>
      <c r="H196" s="529" t="s">
        <v>1435</v>
      </c>
      <c r="I196" s="140">
        <v>1499</v>
      </c>
    </row>
    <row r="197" spans="6:9">
      <c r="F197" s="529" t="s">
        <v>1649</v>
      </c>
      <c r="G197" s="529" t="s">
        <v>1649</v>
      </c>
      <c r="H197" s="529" t="s">
        <v>1650</v>
      </c>
      <c r="I197" s="140">
        <v>7990</v>
      </c>
    </row>
    <row r="198" spans="6:9">
      <c r="F198" s="529" t="s">
        <v>1438</v>
      </c>
      <c r="G198" s="529" t="s">
        <v>1438</v>
      </c>
      <c r="H198" s="529" t="s">
        <v>1439</v>
      </c>
      <c r="I198" s="140">
        <v>12999</v>
      </c>
    </row>
    <row r="199" spans="6:9">
      <c r="F199" s="529" t="s">
        <v>1442</v>
      </c>
      <c r="G199" s="529" t="s">
        <v>1442</v>
      </c>
      <c r="H199" s="529" t="s">
        <v>1443</v>
      </c>
      <c r="I199" s="140">
        <v>2599</v>
      </c>
    </row>
    <row r="200" spans="6:9">
      <c r="F200" s="529" t="s">
        <v>1446</v>
      </c>
      <c r="G200" s="529" t="s">
        <v>1446</v>
      </c>
      <c r="H200" s="529" t="s">
        <v>1447</v>
      </c>
      <c r="I200" s="140">
        <v>3899</v>
      </c>
    </row>
    <row r="201" spans="6:9">
      <c r="F201" s="534" t="s">
        <v>1450</v>
      </c>
      <c r="G201" s="534" t="s">
        <v>1450</v>
      </c>
      <c r="H201" s="534" t="s">
        <v>1451</v>
      </c>
      <c r="I201" s="140">
        <v>5749</v>
      </c>
    </row>
    <row r="202" spans="6:9">
      <c r="F202" s="534" t="s">
        <v>1454</v>
      </c>
      <c r="G202" s="534" t="s">
        <v>1454</v>
      </c>
      <c r="H202" s="534" t="s">
        <v>1455</v>
      </c>
      <c r="I202" s="140">
        <v>5849</v>
      </c>
    </row>
    <row r="203" spans="6:9">
      <c r="F203" s="534" t="s">
        <v>1458</v>
      </c>
      <c r="G203" s="534" t="s">
        <v>1458</v>
      </c>
      <c r="H203" s="534" t="s">
        <v>1459</v>
      </c>
      <c r="I203" s="140">
        <v>4199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B1000"/>
  <sheetViews>
    <sheetView workbookViewId="0"/>
  </sheetViews>
  <sheetFormatPr defaultColWidth="14.44140625" defaultRowHeight="15" customHeight="1"/>
  <sheetData>
    <row r="1" spans="1:28">
      <c r="A1" s="477" t="s">
        <v>1315</v>
      </c>
      <c r="B1" s="477" t="s">
        <v>0</v>
      </c>
      <c r="C1" s="477" t="s">
        <v>1651</v>
      </c>
      <c r="D1" s="580" t="s">
        <v>1652</v>
      </c>
      <c r="E1" s="576"/>
      <c r="F1" s="477" t="s">
        <v>1653</v>
      </c>
      <c r="G1" s="477" t="s">
        <v>1370</v>
      </c>
      <c r="H1" s="477" t="s">
        <v>1654</v>
      </c>
      <c r="I1" s="477" t="s">
        <v>1371</v>
      </c>
      <c r="J1" s="477" t="s">
        <v>1374</v>
      </c>
      <c r="K1" s="477" t="s">
        <v>1375</v>
      </c>
      <c r="L1" s="479"/>
      <c r="M1" s="479"/>
      <c r="N1" s="479"/>
      <c r="O1" s="479"/>
      <c r="P1" s="479"/>
      <c r="Q1" s="479"/>
      <c r="R1" s="479"/>
      <c r="S1" s="479"/>
      <c r="T1" s="479"/>
      <c r="U1" s="479"/>
      <c r="V1" s="479"/>
      <c r="W1" s="479"/>
      <c r="X1" s="479"/>
      <c r="Y1" s="479"/>
      <c r="Z1" s="479"/>
      <c r="AA1" s="479"/>
      <c r="AB1" s="479"/>
    </row>
    <row r="2" spans="1:28">
      <c r="A2" s="203"/>
      <c r="B2" s="203"/>
      <c r="C2" s="203"/>
      <c r="D2" s="203" t="s">
        <v>1655</v>
      </c>
      <c r="E2" s="203" t="s">
        <v>1656</v>
      </c>
      <c r="F2" s="203"/>
      <c r="G2" s="203"/>
      <c r="H2" s="203"/>
      <c r="I2" s="203"/>
      <c r="J2" s="203"/>
      <c r="K2" s="203"/>
      <c r="L2" s="203"/>
      <c r="M2" s="203"/>
      <c r="N2" s="203"/>
      <c r="O2" s="203"/>
      <c r="P2" s="203"/>
      <c r="Q2" s="203"/>
      <c r="R2" s="203"/>
      <c r="S2" s="203"/>
      <c r="T2" s="203"/>
      <c r="U2" s="203"/>
      <c r="V2" s="203"/>
      <c r="W2" s="203"/>
      <c r="X2" s="203"/>
      <c r="Y2" s="203"/>
      <c r="Z2" s="203"/>
      <c r="AA2" s="203"/>
      <c r="AB2" s="203"/>
    </row>
    <row r="3" spans="1:28">
      <c r="A3" s="182">
        <v>1</v>
      </c>
      <c r="B3" s="182"/>
      <c r="C3" s="182" t="s">
        <v>1657</v>
      </c>
      <c r="D3" s="182"/>
      <c r="E3" s="182"/>
      <c r="F3" s="182"/>
      <c r="G3" s="182">
        <v>2599</v>
      </c>
      <c r="H3" s="182">
        <v>1483</v>
      </c>
      <c r="I3" s="182"/>
      <c r="J3" s="182"/>
      <c r="K3" s="182"/>
      <c r="L3" s="182"/>
      <c r="M3" s="182"/>
      <c r="N3" s="182"/>
      <c r="O3" s="182"/>
      <c r="P3" s="182"/>
      <c r="Q3" s="182"/>
      <c r="R3" s="182"/>
      <c r="S3" s="182"/>
      <c r="T3" s="182"/>
      <c r="U3" s="182"/>
      <c r="V3" s="182"/>
      <c r="W3" s="182"/>
      <c r="X3" s="182"/>
      <c r="Y3" s="182"/>
      <c r="Z3" s="182"/>
      <c r="AA3" s="182"/>
      <c r="AB3" s="182"/>
    </row>
    <row r="4" spans="1:28">
      <c r="A4" s="182"/>
      <c r="B4" s="182"/>
      <c r="C4" s="182" t="s">
        <v>1658</v>
      </c>
      <c r="D4" s="182"/>
      <c r="E4" s="182"/>
      <c r="F4" s="182"/>
      <c r="G4" s="182"/>
      <c r="H4" s="182">
        <v>1483</v>
      </c>
      <c r="I4" s="182"/>
      <c r="J4" s="182"/>
      <c r="K4" s="182"/>
      <c r="L4" s="182"/>
      <c r="M4" s="182"/>
      <c r="N4" s="182"/>
      <c r="O4" s="182"/>
      <c r="P4" s="182"/>
      <c r="Q4" s="182"/>
      <c r="R4" s="182"/>
      <c r="S4" s="182"/>
      <c r="T4" s="182"/>
      <c r="U4" s="182"/>
      <c r="V4" s="182"/>
      <c r="W4" s="182"/>
      <c r="X4" s="182"/>
      <c r="Y4" s="182"/>
      <c r="Z4" s="182"/>
      <c r="AA4" s="182"/>
      <c r="AB4" s="182"/>
    </row>
    <row r="5" spans="1:28">
      <c r="A5" s="182"/>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row>
    <row r="6" spans="1:28">
      <c r="A6" s="182"/>
      <c r="B6" s="182"/>
      <c r="C6" s="182"/>
      <c r="D6" s="182"/>
      <c r="E6" s="182"/>
      <c r="F6" s="182"/>
      <c r="G6" s="182"/>
      <c r="H6" s="182"/>
      <c r="I6" s="182"/>
      <c r="J6" s="182"/>
      <c r="K6" s="182"/>
      <c r="L6" s="182"/>
      <c r="M6" s="182"/>
      <c r="N6" s="182"/>
      <c r="O6" s="182"/>
      <c r="P6" s="182"/>
      <c r="Q6" s="182"/>
      <c r="R6" s="182"/>
      <c r="S6" s="182"/>
      <c r="T6" s="182"/>
      <c r="U6" s="182"/>
      <c r="V6" s="182"/>
      <c r="W6" s="182"/>
      <c r="X6" s="182"/>
      <c r="Y6" s="182"/>
      <c r="Z6" s="182"/>
      <c r="AA6" s="182"/>
      <c r="AB6" s="182"/>
    </row>
    <row r="7" spans="1:28">
      <c r="A7" s="182"/>
      <c r="B7" s="182"/>
      <c r="C7" s="182"/>
      <c r="D7" s="182"/>
      <c r="E7" s="182"/>
      <c r="F7" s="182"/>
      <c r="G7" s="182"/>
      <c r="H7" s="182"/>
      <c r="I7" s="182"/>
      <c r="J7" s="182"/>
      <c r="K7" s="182"/>
      <c r="L7" s="182"/>
      <c r="M7" s="182"/>
      <c r="N7" s="182"/>
      <c r="O7" s="182"/>
      <c r="P7" s="182"/>
      <c r="Q7" s="182"/>
      <c r="R7" s="182"/>
      <c r="S7" s="182"/>
      <c r="T7" s="182"/>
      <c r="U7" s="182"/>
      <c r="V7" s="182"/>
      <c r="W7" s="182"/>
      <c r="X7" s="182"/>
      <c r="Y7" s="182"/>
      <c r="Z7" s="182"/>
      <c r="AA7" s="182"/>
      <c r="AB7" s="182"/>
    </row>
    <row r="8" spans="1:28">
      <c r="A8" s="182"/>
      <c r="B8" s="182"/>
      <c r="C8" s="182"/>
      <c r="D8" s="182"/>
      <c r="E8" s="182"/>
      <c r="F8" s="182"/>
      <c r="G8" s="182"/>
      <c r="H8" s="182"/>
      <c r="I8" s="182"/>
      <c r="J8" s="182"/>
      <c r="K8" s="182"/>
      <c r="L8" s="182"/>
      <c r="M8" s="182"/>
      <c r="N8" s="182"/>
      <c r="O8" s="182"/>
      <c r="P8" s="182"/>
      <c r="Q8" s="182"/>
      <c r="R8" s="182"/>
      <c r="S8" s="182"/>
      <c r="T8" s="182"/>
      <c r="U8" s="182"/>
      <c r="V8" s="182"/>
      <c r="W8" s="182"/>
      <c r="X8" s="182"/>
      <c r="Y8" s="182"/>
      <c r="Z8" s="182"/>
      <c r="AA8" s="182"/>
      <c r="AB8" s="182"/>
    </row>
    <row r="9" spans="1:28">
      <c r="A9" s="182"/>
      <c r="B9" s="182"/>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row>
    <row r="10" spans="1:28">
      <c r="A10" s="182"/>
      <c r="B10" s="182"/>
      <c r="C10" s="182"/>
      <c r="D10" s="182"/>
      <c r="E10" s="182"/>
      <c r="F10" s="182"/>
      <c r="G10" s="182"/>
      <c r="H10" s="182"/>
      <c r="I10" s="182"/>
      <c r="J10" s="182"/>
      <c r="K10" s="182"/>
      <c r="L10" s="182"/>
      <c r="M10" s="182"/>
      <c r="N10" s="182"/>
      <c r="O10" s="182"/>
      <c r="P10" s="182"/>
      <c r="Q10" s="182"/>
      <c r="R10" s="182"/>
      <c r="S10" s="182"/>
      <c r="T10" s="182"/>
      <c r="U10" s="182"/>
      <c r="V10" s="182"/>
      <c r="W10" s="182"/>
      <c r="X10" s="182"/>
      <c r="Y10" s="182"/>
      <c r="Z10" s="182"/>
      <c r="AA10" s="182"/>
      <c r="AB10" s="182"/>
    </row>
    <row r="11" spans="1:28">
      <c r="A11" s="182"/>
      <c r="B11" s="182"/>
      <c r="C11" s="182"/>
      <c r="D11" s="182"/>
      <c r="E11" s="182"/>
      <c r="F11" s="182"/>
      <c r="G11" s="182"/>
      <c r="H11" s="182"/>
      <c r="I11" s="182"/>
      <c r="J11" s="182"/>
      <c r="K11" s="182"/>
      <c r="L11" s="182"/>
      <c r="M11" s="182"/>
      <c r="N11" s="182"/>
      <c r="O11" s="182"/>
      <c r="P11" s="182"/>
      <c r="Q11" s="182"/>
      <c r="R11" s="182"/>
      <c r="S11" s="182"/>
      <c r="T11" s="182"/>
      <c r="U11" s="182"/>
      <c r="V11" s="182"/>
      <c r="W11" s="182"/>
      <c r="X11" s="182"/>
      <c r="Y11" s="182"/>
      <c r="Z11" s="182"/>
      <c r="AA11" s="182"/>
      <c r="AB11" s="182"/>
    </row>
    <row r="12" spans="1:28">
      <c r="A12" s="182"/>
      <c r="B12" s="182"/>
      <c r="C12" s="182"/>
      <c r="D12" s="182"/>
      <c r="E12" s="182"/>
      <c r="F12" s="182"/>
      <c r="G12" s="182"/>
      <c r="H12" s="182"/>
      <c r="I12" s="182"/>
      <c r="J12" s="182"/>
      <c r="K12" s="182"/>
      <c r="L12" s="182"/>
      <c r="M12" s="182"/>
      <c r="N12" s="182"/>
      <c r="O12" s="182"/>
      <c r="P12" s="182"/>
      <c r="Q12" s="182"/>
      <c r="R12" s="182"/>
      <c r="S12" s="182"/>
      <c r="T12" s="182"/>
      <c r="U12" s="182"/>
      <c r="V12" s="182"/>
      <c r="W12" s="182"/>
      <c r="X12" s="182"/>
      <c r="Y12" s="182"/>
      <c r="Z12" s="182"/>
      <c r="AA12" s="182"/>
      <c r="AB12" s="182"/>
    </row>
    <row r="13" spans="1:28">
      <c r="A13" s="182"/>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row>
    <row r="14" spans="1:28">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row>
    <row r="15" spans="1:28">
      <c r="A15" s="182"/>
      <c r="B15" s="182"/>
      <c r="C15" s="182"/>
      <c r="D15" s="182"/>
      <c r="E15" s="182"/>
      <c r="F15" s="182"/>
      <c r="G15" s="182"/>
      <c r="H15" s="182"/>
      <c r="I15" s="182"/>
      <c r="J15" s="182"/>
      <c r="K15" s="182"/>
      <c r="L15" s="182"/>
      <c r="M15" s="182"/>
      <c r="N15" s="182"/>
      <c r="O15" s="182"/>
      <c r="P15" s="182"/>
      <c r="Q15" s="182"/>
      <c r="R15" s="182"/>
      <c r="S15" s="182"/>
      <c r="T15" s="182"/>
      <c r="U15" s="182"/>
      <c r="V15" s="182"/>
      <c r="W15" s="182"/>
      <c r="X15" s="182"/>
      <c r="Y15" s="182"/>
      <c r="Z15" s="182"/>
      <c r="AA15" s="182"/>
      <c r="AB15" s="182"/>
    </row>
    <row r="16" spans="1:28">
      <c r="A16" s="182"/>
      <c r="B16" s="182"/>
      <c r="C16" s="182"/>
      <c r="D16" s="182"/>
      <c r="E16" s="182"/>
      <c r="F16" s="182"/>
      <c r="G16" s="182"/>
      <c r="H16" s="182"/>
      <c r="I16" s="182"/>
      <c r="J16" s="182"/>
      <c r="K16" s="182"/>
      <c r="L16" s="182"/>
      <c r="M16" s="182"/>
      <c r="N16" s="182"/>
      <c r="O16" s="182"/>
      <c r="P16" s="182"/>
      <c r="Q16" s="182"/>
      <c r="R16" s="182"/>
      <c r="S16" s="182"/>
      <c r="T16" s="182"/>
      <c r="U16" s="182"/>
      <c r="V16" s="182"/>
      <c r="W16" s="182"/>
      <c r="X16" s="182"/>
      <c r="Y16" s="182"/>
      <c r="Z16" s="182"/>
      <c r="AA16" s="182"/>
      <c r="AB16" s="182"/>
    </row>
    <row r="17" spans="1:28">
      <c r="A17" s="182"/>
      <c r="B17" s="182"/>
      <c r="C17" s="182"/>
      <c r="D17" s="182"/>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row>
    <row r="18" spans="1:28">
      <c r="A18" s="182"/>
      <c r="B18" s="182"/>
      <c r="C18" s="182"/>
      <c r="D18" s="182"/>
      <c r="E18" s="182"/>
      <c r="F18" s="182"/>
      <c r="G18" s="182"/>
      <c r="H18" s="182"/>
      <c r="I18" s="182"/>
      <c r="J18" s="182"/>
      <c r="K18" s="182"/>
      <c r="L18" s="182"/>
      <c r="M18" s="182"/>
      <c r="N18" s="182"/>
      <c r="O18" s="182"/>
      <c r="P18" s="182"/>
      <c r="Q18" s="182"/>
      <c r="R18" s="182"/>
      <c r="S18" s="182"/>
      <c r="T18" s="182"/>
      <c r="U18" s="182"/>
      <c r="V18" s="182"/>
      <c r="W18" s="182"/>
      <c r="X18" s="182"/>
      <c r="Y18" s="182"/>
      <c r="Z18" s="182"/>
      <c r="AA18" s="182"/>
      <c r="AB18" s="182"/>
    </row>
    <row r="19" spans="1:28">
      <c r="A19" s="182"/>
      <c r="B19" s="182"/>
      <c r="C19" s="182"/>
      <c r="D19" s="182"/>
      <c r="E19" s="182"/>
      <c r="F19" s="182"/>
      <c r="G19" s="182"/>
      <c r="H19" s="182"/>
      <c r="I19" s="182"/>
      <c r="J19" s="182"/>
      <c r="K19" s="182"/>
      <c r="L19" s="182"/>
      <c r="M19" s="182"/>
      <c r="N19" s="182"/>
      <c r="O19" s="182"/>
      <c r="P19" s="182"/>
      <c r="Q19" s="182"/>
      <c r="R19" s="182"/>
      <c r="S19" s="182"/>
      <c r="T19" s="182"/>
      <c r="U19" s="182"/>
      <c r="V19" s="182"/>
      <c r="W19" s="182"/>
      <c r="X19" s="182"/>
      <c r="Y19" s="182"/>
      <c r="Z19" s="182"/>
      <c r="AA19" s="182"/>
      <c r="AB19" s="182"/>
    </row>
    <row r="20" spans="1:28">
      <c r="A20" s="182"/>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row>
    <row r="21" spans="1:28">
      <c r="A21" s="182"/>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row>
    <row r="22" spans="1:28">
      <c r="A22" s="182"/>
      <c r="B22" s="182"/>
      <c r="C22" s="182"/>
      <c r="D22" s="182"/>
      <c r="E22" s="182"/>
      <c r="F22" s="182"/>
      <c r="G22" s="182"/>
      <c r="H22" s="182"/>
      <c r="I22" s="182"/>
      <c r="J22" s="182"/>
      <c r="K22" s="182"/>
      <c r="L22" s="182"/>
      <c r="M22" s="182"/>
      <c r="N22" s="182"/>
      <c r="O22" s="182"/>
      <c r="P22" s="182"/>
      <c r="Q22" s="182"/>
      <c r="R22" s="182"/>
      <c r="S22" s="182"/>
      <c r="T22" s="182"/>
      <c r="U22" s="182"/>
      <c r="V22" s="182"/>
      <c r="W22" s="182"/>
      <c r="X22" s="182"/>
      <c r="Y22" s="182"/>
      <c r="Z22" s="182"/>
      <c r="AA22" s="182"/>
      <c r="AB22" s="182"/>
    </row>
    <row r="23" spans="1:28">
      <c r="A23" s="182"/>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c r="AA23" s="182"/>
      <c r="AB23" s="182"/>
    </row>
    <row r="24" spans="1:28">
      <c r="A24" s="182"/>
      <c r="B24" s="182"/>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row>
    <row r="25" spans="1:28">
      <c r="A25" s="182"/>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c r="AB25" s="182"/>
    </row>
    <row r="26" spans="1:28">
      <c r="A26" s="182"/>
      <c r="B26" s="182"/>
      <c r="C26" s="182"/>
      <c r="D26" s="182"/>
      <c r="E26" s="182"/>
      <c r="F26" s="182"/>
      <c r="G26" s="182"/>
      <c r="H26" s="182"/>
      <c r="I26" s="182"/>
      <c r="J26" s="182"/>
      <c r="K26" s="182"/>
      <c r="L26" s="182"/>
      <c r="M26" s="182"/>
      <c r="N26" s="182"/>
      <c r="O26" s="182"/>
      <c r="P26" s="182"/>
      <c r="Q26" s="182"/>
      <c r="R26" s="182"/>
      <c r="S26" s="182"/>
      <c r="T26" s="182"/>
      <c r="U26" s="182"/>
      <c r="V26" s="182"/>
      <c r="W26" s="182"/>
      <c r="X26" s="182"/>
      <c r="Y26" s="182"/>
      <c r="Z26" s="182"/>
      <c r="AA26" s="182"/>
      <c r="AB26" s="182"/>
    </row>
    <row r="27" spans="1:28">
      <c r="A27" s="182"/>
      <c r="B27" s="182"/>
      <c r="C27" s="182"/>
      <c r="D27" s="182"/>
      <c r="E27" s="182"/>
      <c r="F27" s="182"/>
      <c r="G27" s="182"/>
      <c r="H27" s="182"/>
      <c r="I27" s="182"/>
      <c r="J27" s="182"/>
      <c r="K27" s="182"/>
      <c r="L27" s="182"/>
      <c r="M27" s="182"/>
      <c r="N27" s="182"/>
      <c r="O27" s="182"/>
      <c r="P27" s="182"/>
      <c r="Q27" s="182"/>
      <c r="R27" s="182"/>
      <c r="S27" s="182"/>
      <c r="T27" s="182"/>
      <c r="U27" s="182"/>
      <c r="V27" s="182"/>
      <c r="W27" s="182"/>
      <c r="X27" s="182"/>
      <c r="Y27" s="182"/>
      <c r="Z27" s="182"/>
      <c r="AA27" s="182"/>
      <c r="AB27" s="182"/>
    </row>
    <row r="28" spans="1:28">
      <c r="A28" s="182"/>
      <c r="B28" s="182"/>
      <c r="C28" s="182"/>
      <c r="D28" s="182"/>
      <c r="E28" s="182"/>
      <c r="F28" s="182"/>
      <c r="G28" s="182"/>
      <c r="H28" s="182"/>
      <c r="I28" s="182"/>
      <c r="J28" s="182"/>
      <c r="K28" s="182"/>
      <c r="L28" s="182"/>
      <c r="M28" s="182"/>
      <c r="N28" s="182"/>
      <c r="O28" s="182"/>
      <c r="P28" s="182"/>
      <c r="Q28" s="182"/>
      <c r="R28" s="182"/>
      <c r="S28" s="182"/>
      <c r="T28" s="182"/>
      <c r="U28" s="182"/>
      <c r="V28" s="182"/>
      <c r="W28" s="182"/>
      <c r="X28" s="182"/>
      <c r="Y28" s="182"/>
      <c r="Z28" s="182"/>
      <c r="AA28" s="182"/>
      <c r="AB28" s="182"/>
    </row>
    <row r="29" spans="1:28">
      <c r="A29" s="182"/>
      <c r="B29" s="182"/>
      <c r="C29" s="182"/>
      <c r="D29" s="182"/>
      <c r="E29" s="182"/>
      <c r="F29" s="182"/>
      <c r="G29" s="182"/>
      <c r="H29" s="182"/>
      <c r="I29" s="182"/>
      <c r="J29" s="182"/>
      <c r="K29" s="182"/>
      <c r="L29" s="182"/>
      <c r="M29" s="182"/>
      <c r="N29" s="182"/>
      <c r="O29" s="182"/>
      <c r="P29" s="182"/>
      <c r="Q29" s="182"/>
      <c r="R29" s="182"/>
      <c r="S29" s="182"/>
      <c r="T29" s="182"/>
      <c r="U29" s="182"/>
      <c r="V29" s="182"/>
      <c r="W29" s="182"/>
      <c r="X29" s="182"/>
      <c r="Y29" s="182"/>
      <c r="Z29" s="182"/>
      <c r="AA29" s="182"/>
      <c r="AB29" s="182"/>
    </row>
    <row r="30" spans="1:28">
      <c r="A30" s="182"/>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c r="AA30" s="182"/>
      <c r="AB30" s="182"/>
    </row>
    <row r="31" spans="1:28">
      <c r="A31" s="182"/>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row>
    <row r="32" spans="1:28">
      <c r="A32" s="182"/>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c r="AA32" s="182"/>
      <c r="AB32" s="182"/>
    </row>
    <row r="33" spans="1:28">
      <c r="A33" s="182"/>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row>
    <row r="34" spans="1:28">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row>
    <row r="35" spans="1:28">
      <c r="A35" s="182"/>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182"/>
      <c r="Z35" s="182"/>
      <c r="AA35" s="182"/>
      <c r="AB35" s="182"/>
    </row>
    <row r="36" spans="1:28">
      <c r="A36" s="182"/>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c r="AA36" s="182"/>
      <c r="AB36" s="182"/>
    </row>
    <row r="37" spans="1:28">
      <c r="A37" s="182"/>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c r="AA37" s="182"/>
      <c r="AB37" s="182"/>
    </row>
    <row r="38" spans="1:28">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c r="AA38" s="182"/>
      <c r="AB38" s="182"/>
    </row>
    <row r="39" spans="1:28">
      <c r="A39" s="182"/>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2"/>
      <c r="Z39" s="182"/>
      <c r="AA39" s="182"/>
      <c r="AB39" s="182"/>
    </row>
    <row r="40" spans="1:28">
      <c r="A40" s="182"/>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c r="AA40" s="182"/>
      <c r="AB40" s="182"/>
    </row>
    <row r="41" spans="1:28">
      <c r="A41" s="182"/>
      <c r="B41" s="182"/>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c r="AA41" s="182"/>
      <c r="AB41" s="182"/>
    </row>
    <row r="42" spans="1:28">
      <c r="A42" s="182"/>
      <c r="B42" s="182"/>
      <c r="C42" s="182"/>
      <c r="D42" s="182"/>
      <c r="E42" s="182"/>
      <c r="F42" s="182"/>
      <c r="G42" s="182"/>
      <c r="H42" s="182"/>
      <c r="I42" s="182"/>
      <c r="J42" s="182"/>
      <c r="K42" s="182"/>
      <c r="L42" s="182"/>
      <c r="M42" s="182"/>
      <c r="N42" s="182"/>
      <c r="O42" s="182"/>
      <c r="P42" s="182"/>
      <c r="Q42" s="182"/>
      <c r="R42" s="182"/>
      <c r="S42" s="182"/>
      <c r="T42" s="182"/>
      <c r="U42" s="182"/>
      <c r="V42" s="182"/>
      <c r="W42" s="182"/>
      <c r="X42" s="182"/>
      <c r="Y42" s="182"/>
      <c r="Z42" s="182"/>
      <c r="AA42" s="182"/>
      <c r="AB42" s="182"/>
    </row>
    <row r="43" spans="1:28">
      <c r="A43" s="182"/>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c r="AA43" s="182"/>
      <c r="AB43" s="182"/>
    </row>
    <row r="44" spans="1:28">
      <c r="A44" s="182"/>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c r="AA44" s="182"/>
      <c r="AB44" s="182"/>
    </row>
    <row r="45" spans="1:28">
      <c r="A45" s="182"/>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82"/>
    </row>
    <row r="46" spans="1:28">
      <c r="A46" s="182"/>
      <c r="B46" s="182"/>
      <c r="C46" s="182"/>
      <c r="D46" s="182"/>
      <c r="E46" s="182"/>
      <c r="F46" s="182"/>
      <c r="G46" s="182"/>
      <c r="H46" s="182"/>
      <c r="I46" s="182"/>
      <c r="J46" s="182"/>
      <c r="K46" s="182"/>
      <c r="L46" s="182"/>
      <c r="M46" s="182"/>
      <c r="N46" s="182"/>
      <c r="O46" s="182"/>
      <c r="P46" s="182"/>
      <c r="Q46" s="182"/>
      <c r="R46" s="182"/>
      <c r="S46" s="182"/>
      <c r="T46" s="182"/>
      <c r="U46" s="182"/>
      <c r="V46" s="182"/>
      <c r="W46" s="182"/>
      <c r="X46" s="182"/>
      <c r="Y46" s="182"/>
      <c r="Z46" s="182"/>
      <c r="AA46" s="182"/>
      <c r="AB46" s="182"/>
    </row>
    <row r="47" spans="1:28">
      <c r="A47" s="182"/>
      <c r="B47" s="182"/>
      <c r="C47" s="182"/>
      <c r="D47" s="182"/>
      <c r="E47" s="182"/>
      <c r="F47" s="182"/>
      <c r="G47" s="182"/>
      <c r="H47" s="182"/>
      <c r="I47" s="182"/>
      <c r="J47" s="182"/>
      <c r="K47" s="182"/>
      <c r="L47" s="182"/>
      <c r="M47" s="182"/>
      <c r="N47" s="182"/>
      <c r="O47" s="182"/>
      <c r="P47" s="182"/>
      <c r="Q47" s="182"/>
      <c r="R47" s="182"/>
      <c r="S47" s="182"/>
      <c r="T47" s="182"/>
      <c r="U47" s="182"/>
      <c r="V47" s="182"/>
      <c r="W47" s="182"/>
      <c r="X47" s="182"/>
      <c r="Y47" s="182"/>
      <c r="Z47" s="182"/>
      <c r="AA47" s="182"/>
      <c r="AB47" s="182"/>
    </row>
    <row r="48" spans="1:28">
      <c r="A48" s="182"/>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82"/>
    </row>
    <row r="49" spans="1:28">
      <c r="A49" s="182"/>
      <c r="B49" s="182"/>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c r="AA49" s="182"/>
      <c r="AB49" s="182"/>
    </row>
    <row r="50" spans="1:28">
      <c r="A50" s="182"/>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c r="AA50" s="182"/>
      <c r="AB50" s="182"/>
    </row>
    <row r="51" spans="1:28">
      <c r="A51" s="182"/>
      <c r="B51" s="182"/>
      <c r="C51" s="182"/>
      <c r="D51" s="182"/>
      <c r="E51" s="182"/>
      <c r="F51" s="182"/>
      <c r="G51" s="182"/>
      <c r="H51" s="182"/>
      <c r="I51" s="182"/>
      <c r="J51" s="182"/>
      <c r="K51" s="182"/>
      <c r="L51" s="182"/>
      <c r="M51" s="182"/>
      <c r="N51" s="182"/>
      <c r="O51" s="182"/>
      <c r="P51" s="182"/>
      <c r="Q51" s="182"/>
      <c r="R51" s="182"/>
      <c r="S51" s="182"/>
      <c r="T51" s="182"/>
      <c r="U51" s="182"/>
      <c r="V51" s="182"/>
      <c r="W51" s="182"/>
      <c r="X51" s="182"/>
      <c r="Y51" s="182"/>
      <c r="Z51" s="182"/>
      <c r="AA51" s="182"/>
      <c r="AB51" s="182"/>
    </row>
    <row r="52" spans="1:28">
      <c r="A52" s="182"/>
      <c r="B52" s="182"/>
      <c r="C52" s="182"/>
      <c r="D52" s="182"/>
      <c r="E52" s="182"/>
      <c r="F52" s="182"/>
      <c r="G52" s="182"/>
      <c r="H52" s="182"/>
      <c r="I52" s="182"/>
      <c r="J52" s="182"/>
      <c r="K52" s="182"/>
      <c r="L52" s="182"/>
      <c r="M52" s="182"/>
      <c r="N52" s="182"/>
      <c r="O52" s="182"/>
      <c r="P52" s="182"/>
      <c r="Q52" s="182"/>
      <c r="R52" s="182"/>
      <c r="S52" s="182"/>
      <c r="T52" s="182"/>
      <c r="U52" s="182"/>
      <c r="V52" s="182"/>
      <c r="W52" s="182"/>
      <c r="X52" s="182"/>
      <c r="Y52" s="182"/>
      <c r="Z52" s="182"/>
      <c r="AA52" s="182"/>
      <c r="AB52" s="182"/>
    </row>
    <row r="53" spans="1:28">
      <c r="A53" s="182"/>
      <c r="B53" s="182"/>
      <c r="C53" s="182"/>
      <c r="D53" s="182"/>
      <c r="E53" s="182"/>
      <c r="F53" s="182"/>
      <c r="G53" s="182"/>
      <c r="H53" s="182"/>
      <c r="I53" s="182"/>
      <c r="J53" s="182"/>
      <c r="K53" s="182"/>
      <c r="L53" s="182"/>
      <c r="M53" s="182"/>
      <c r="N53" s="182"/>
      <c r="O53" s="182"/>
      <c r="P53" s="182"/>
      <c r="Q53" s="182"/>
      <c r="R53" s="182"/>
      <c r="S53" s="182"/>
      <c r="T53" s="182"/>
      <c r="U53" s="182"/>
      <c r="V53" s="182"/>
      <c r="W53" s="182"/>
      <c r="X53" s="182"/>
      <c r="Y53" s="182"/>
      <c r="Z53" s="182"/>
      <c r="AA53" s="182"/>
      <c r="AB53" s="182"/>
    </row>
    <row r="54" spans="1:28">
      <c r="A54" s="182"/>
      <c r="B54" s="182"/>
      <c r="C54" s="182"/>
      <c r="D54" s="182"/>
      <c r="E54" s="182"/>
      <c r="F54" s="182"/>
      <c r="G54" s="182"/>
      <c r="H54" s="182"/>
      <c r="I54" s="182"/>
      <c r="J54" s="182"/>
      <c r="K54" s="182"/>
      <c r="L54" s="182"/>
      <c r="M54" s="182"/>
      <c r="N54" s="182"/>
      <c r="O54" s="182"/>
      <c r="P54" s="182"/>
      <c r="Q54" s="182"/>
      <c r="R54" s="182"/>
      <c r="S54" s="182"/>
      <c r="T54" s="182"/>
      <c r="U54" s="182"/>
      <c r="V54" s="182"/>
      <c r="W54" s="182"/>
      <c r="X54" s="182"/>
      <c r="Y54" s="182"/>
      <c r="Z54" s="182"/>
      <c r="AA54" s="182"/>
      <c r="AB54" s="182"/>
    </row>
    <row r="55" spans="1:28">
      <c r="A55" s="182"/>
      <c r="B55" s="182"/>
      <c r="C55" s="182"/>
      <c r="D55" s="182"/>
      <c r="E55" s="182"/>
      <c r="F55" s="182"/>
      <c r="G55" s="182"/>
      <c r="H55" s="182"/>
      <c r="I55" s="182"/>
      <c r="J55" s="182"/>
      <c r="K55" s="182"/>
      <c r="L55" s="182"/>
      <c r="M55" s="182"/>
      <c r="N55" s="182"/>
      <c r="O55" s="182"/>
      <c r="P55" s="182"/>
      <c r="Q55" s="182"/>
      <c r="R55" s="182"/>
      <c r="S55" s="182"/>
      <c r="T55" s="182"/>
      <c r="U55" s="182"/>
      <c r="V55" s="182"/>
      <c r="W55" s="182"/>
      <c r="X55" s="182"/>
      <c r="Y55" s="182"/>
      <c r="Z55" s="182"/>
      <c r="AA55" s="182"/>
      <c r="AB55" s="182"/>
    </row>
    <row r="56" spans="1:28">
      <c r="A56" s="182"/>
      <c r="B56" s="182"/>
      <c r="C56" s="182"/>
      <c r="D56" s="182"/>
      <c r="E56" s="182"/>
      <c r="F56" s="182"/>
      <c r="G56" s="182"/>
      <c r="H56" s="182"/>
      <c r="I56" s="182"/>
      <c r="J56" s="182"/>
      <c r="K56" s="182"/>
      <c r="L56" s="182"/>
      <c r="M56" s="182"/>
      <c r="N56" s="182"/>
      <c r="O56" s="182"/>
      <c r="P56" s="182"/>
      <c r="Q56" s="182"/>
      <c r="R56" s="182"/>
      <c r="S56" s="182"/>
      <c r="T56" s="182"/>
      <c r="U56" s="182"/>
      <c r="V56" s="182"/>
      <c r="W56" s="182"/>
      <c r="X56" s="182"/>
      <c r="Y56" s="182"/>
      <c r="Z56" s="182"/>
      <c r="AA56" s="182"/>
      <c r="AB56" s="182"/>
    </row>
    <row r="57" spans="1:28">
      <c r="A57" s="182"/>
      <c r="B57" s="182"/>
      <c r="C57" s="182"/>
      <c r="D57" s="182"/>
      <c r="E57" s="182"/>
      <c r="F57" s="182"/>
      <c r="G57" s="182"/>
      <c r="H57" s="182"/>
      <c r="I57" s="182"/>
      <c r="J57" s="182"/>
      <c r="K57" s="182"/>
      <c r="L57" s="182"/>
      <c r="M57" s="182"/>
      <c r="N57" s="182"/>
      <c r="O57" s="182"/>
      <c r="P57" s="182"/>
      <c r="Q57" s="182"/>
      <c r="R57" s="182"/>
      <c r="S57" s="182"/>
      <c r="T57" s="182"/>
      <c r="U57" s="182"/>
      <c r="V57" s="182"/>
      <c r="W57" s="182"/>
      <c r="X57" s="182"/>
      <c r="Y57" s="182"/>
      <c r="Z57" s="182"/>
      <c r="AA57" s="182"/>
      <c r="AB57" s="182"/>
    </row>
    <row r="58" spans="1:28">
      <c r="A58" s="182"/>
      <c r="B58" s="182"/>
      <c r="C58" s="182"/>
      <c r="D58" s="182"/>
      <c r="E58" s="182"/>
      <c r="F58" s="182"/>
      <c r="G58" s="182"/>
      <c r="H58" s="182"/>
      <c r="I58" s="182"/>
      <c r="J58" s="182"/>
      <c r="K58" s="182"/>
      <c r="L58" s="182"/>
      <c r="M58" s="182"/>
      <c r="N58" s="182"/>
      <c r="O58" s="182"/>
      <c r="P58" s="182"/>
      <c r="Q58" s="182"/>
      <c r="R58" s="182"/>
      <c r="S58" s="182"/>
      <c r="T58" s="182"/>
      <c r="U58" s="182"/>
      <c r="V58" s="182"/>
      <c r="W58" s="182"/>
      <c r="X58" s="182"/>
      <c r="Y58" s="182"/>
      <c r="Z58" s="182"/>
      <c r="AA58" s="182"/>
      <c r="AB58" s="182"/>
    </row>
    <row r="59" spans="1:28">
      <c r="A59" s="182"/>
      <c r="B59" s="182"/>
      <c r="C59" s="182"/>
      <c r="D59" s="182"/>
      <c r="E59" s="182"/>
      <c r="F59" s="182"/>
      <c r="G59" s="182"/>
      <c r="H59" s="182"/>
      <c r="I59" s="182"/>
      <c r="J59" s="182"/>
      <c r="K59" s="182"/>
      <c r="L59" s="182"/>
      <c r="M59" s="182"/>
      <c r="N59" s="182"/>
      <c r="O59" s="182"/>
      <c r="P59" s="182"/>
      <c r="Q59" s="182"/>
      <c r="R59" s="182"/>
      <c r="S59" s="182"/>
      <c r="T59" s="182"/>
      <c r="U59" s="182"/>
      <c r="V59" s="182"/>
      <c r="W59" s="182"/>
      <c r="X59" s="182"/>
      <c r="Y59" s="182"/>
      <c r="Z59" s="182"/>
      <c r="AA59" s="182"/>
      <c r="AB59" s="182"/>
    </row>
    <row r="60" spans="1:28">
      <c r="A60" s="182"/>
      <c r="B60" s="182"/>
      <c r="C60" s="182"/>
      <c r="D60" s="182"/>
      <c r="E60" s="182"/>
      <c r="F60" s="182"/>
      <c r="G60" s="182"/>
      <c r="H60" s="182"/>
      <c r="I60" s="182"/>
      <c r="J60" s="182"/>
      <c r="K60" s="182"/>
      <c r="L60" s="182"/>
      <c r="M60" s="182"/>
      <c r="N60" s="182"/>
      <c r="O60" s="182"/>
      <c r="P60" s="182"/>
      <c r="Q60" s="182"/>
      <c r="R60" s="182"/>
      <c r="S60" s="182"/>
      <c r="T60" s="182"/>
      <c r="U60" s="182"/>
      <c r="V60" s="182"/>
      <c r="W60" s="182"/>
      <c r="X60" s="182"/>
      <c r="Y60" s="182"/>
      <c r="Z60" s="182"/>
      <c r="AA60" s="182"/>
      <c r="AB60" s="182"/>
    </row>
    <row r="61" spans="1:28">
      <c r="A61" s="182"/>
      <c r="B61" s="182"/>
      <c r="C61" s="182"/>
      <c r="D61" s="182"/>
      <c r="E61" s="182"/>
      <c r="F61" s="182"/>
      <c r="G61" s="182"/>
      <c r="H61" s="182"/>
      <c r="I61" s="182"/>
      <c r="J61" s="182"/>
      <c r="K61" s="182"/>
      <c r="L61" s="182"/>
      <c r="M61" s="182"/>
      <c r="N61" s="182"/>
      <c r="O61" s="182"/>
      <c r="P61" s="182"/>
      <c r="Q61" s="182"/>
      <c r="R61" s="182"/>
      <c r="S61" s="182"/>
      <c r="T61" s="182"/>
      <c r="U61" s="182"/>
      <c r="V61" s="182"/>
      <c r="W61" s="182"/>
      <c r="X61" s="182"/>
      <c r="Y61" s="182"/>
      <c r="Z61" s="182"/>
      <c r="AA61" s="182"/>
      <c r="AB61" s="182"/>
    </row>
    <row r="62" spans="1:28">
      <c r="A62" s="182"/>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c r="AA62" s="182"/>
      <c r="AB62" s="182"/>
    </row>
    <row r="63" spans="1:28">
      <c r="A63" s="182"/>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c r="Z63" s="182"/>
      <c r="AA63" s="182"/>
      <c r="AB63" s="182"/>
    </row>
    <row r="64" spans="1:28">
      <c r="A64" s="182"/>
      <c r="B64" s="182"/>
      <c r="C64" s="182"/>
      <c r="D64" s="182"/>
      <c r="E64" s="182"/>
      <c r="F64" s="182"/>
      <c r="G64" s="182"/>
      <c r="H64" s="182"/>
      <c r="I64" s="182"/>
      <c r="J64" s="182"/>
      <c r="K64" s="182"/>
      <c r="L64" s="182"/>
      <c r="M64" s="182"/>
      <c r="N64" s="182"/>
      <c r="O64" s="182"/>
      <c r="P64" s="182"/>
      <c r="Q64" s="182"/>
      <c r="R64" s="182"/>
      <c r="S64" s="182"/>
      <c r="T64" s="182"/>
      <c r="U64" s="182"/>
      <c r="V64" s="182"/>
      <c r="W64" s="182"/>
      <c r="X64" s="182"/>
      <c r="Y64" s="182"/>
      <c r="Z64" s="182"/>
      <c r="AA64" s="182"/>
      <c r="AB64" s="182"/>
    </row>
    <row r="65" spans="1:28">
      <c r="A65" s="182"/>
      <c r="B65" s="182"/>
      <c r="C65" s="182"/>
      <c r="D65" s="182"/>
      <c r="E65" s="182"/>
      <c r="F65" s="182"/>
      <c r="G65" s="182"/>
      <c r="H65" s="182"/>
      <c r="I65" s="182"/>
      <c r="J65" s="182"/>
      <c r="K65" s="182"/>
      <c r="L65" s="182"/>
      <c r="M65" s="182"/>
      <c r="N65" s="182"/>
      <c r="O65" s="182"/>
      <c r="P65" s="182"/>
      <c r="Q65" s="182"/>
      <c r="R65" s="182"/>
      <c r="S65" s="182"/>
      <c r="T65" s="182"/>
      <c r="U65" s="182"/>
      <c r="V65" s="182"/>
      <c r="W65" s="182"/>
      <c r="X65" s="182"/>
      <c r="Y65" s="182"/>
      <c r="Z65" s="182"/>
      <c r="AA65" s="182"/>
      <c r="AB65" s="182"/>
    </row>
    <row r="66" spans="1:28">
      <c r="A66" s="182"/>
      <c r="B66" s="182"/>
      <c r="C66" s="182"/>
      <c r="D66" s="182"/>
      <c r="E66" s="182"/>
      <c r="F66" s="182"/>
      <c r="G66" s="182"/>
      <c r="H66" s="182"/>
      <c r="I66" s="182"/>
      <c r="J66" s="182"/>
      <c r="K66" s="182"/>
      <c r="L66" s="182"/>
      <c r="M66" s="182"/>
      <c r="N66" s="182"/>
      <c r="O66" s="182"/>
      <c r="P66" s="182"/>
      <c r="Q66" s="182"/>
      <c r="R66" s="182"/>
      <c r="S66" s="182"/>
      <c r="T66" s="182"/>
      <c r="U66" s="182"/>
      <c r="V66" s="182"/>
      <c r="W66" s="182"/>
      <c r="X66" s="182"/>
      <c r="Y66" s="182"/>
      <c r="Z66" s="182"/>
      <c r="AA66" s="182"/>
      <c r="AB66" s="182"/>
    </row>
    <row r="67" spans="1:28">
      <c r="A67" s="182"/>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c r="AA67" s="182"/>
      <c r="AB67" s="182"/>
    </row>
    <row r="68" spans="1:28">
      <c r="A68" s="182"/>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c r="AA68" s="182"/>
      <c r="AB68" s="182"/>
    </row>
    <row r="69" spans="1:28">
      <c r="A69" s="182"/>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c r="Z69" s="182"/>
      <c r="AA69" s="182"/>
      <c r="AB69" s="182"/>
    </row>
    <row r="70" spans="1:28">
      <c r="A70" s="182"/>
      <c r="B70" s="182"/>
      <c r="C70" s="182"/>
      <c r="D70" s="182"/>
      <c r="E70" s="182"/>
      <c r="F70" s="182"/>
      <c r="G70" s="182"/>
      <c r="H70" s="182"/>
      <c r="I70" s="182"/>
      <c r="J70" s="182"/>
      <c r="K70" s="182"/>
      <c r="L70" s="182"/>
      <c r="M70" s="182"/>
      <c r="N70" s="182"/>
      <c r="O70" s="182"/>
      <c r="P70" s="182"/>
      <c r="Q70" s="182"/>
      <c r="R70" s="182"/>
      <c r="S70" s="182"/>
      <c r="T70" s="182"/>
      <c r="U70" s="182"/>
      <c r="V70" s="182"/>
      <c r="W70" s="182"/>
      <c r="X70" s="182"/>
      <c r="Y70" s="182"/>
      <c r="Z70" s="182"/>
      <c r="AA70" s="182"/>
      <c r="AB70" s="182"/>
    </row>
    <row r="71" spans="1:28">
      <c r="A71" s="182"/>
      <c r="B71" s="182"/>
      <c r="C71" s="182"/>
      <c r="D71" s="182"/>
      <c r="E71" s="182"/>
      <c r="F71" s="182"/>
      <c r="G71" s="182"/>
      <c r="H71" s="182"/>
      <c r="I71" s="182"/>
      <c r="J71" s="182"/>
      <c r="K71" s="182"/>
      <c r="L71" s="182"/>
      <c r="M71" s="182"/>
      <c r="N71" s="182"/>
      <c r="O71" s="182"/>
      <c r="P71" s="182"/>
      <c r="Q71" s="182"/>
      <c r="R71" s="182"/>
      <c r="S71" s="182"/>
      <c r="T71" s="182"/>
      <c r="U71" s="182"/>
      <c r="V71" s="182"/>
      <c r="W71" s="182"/>
      <c r="X71" s="182"/>
      <c r="Y71" s="182"/>
      <c r="Z71" s="182"/>
      <c r="AA71" s="182"/>
      <c r="AB71" s="182"/>
    </row>
    <row r="72" spans="1:28">
      <c r="A72" s="182"/>
      <c r="B72" s="182"/>
      <c r="C72" s="182"/>
      <c r="D72" s="182"/>
      <c r="E72" s="182"/>
      <c r="F72" s="182"/>
      <c r="G72" s="182"/>
      <c r="H72" s="182"/>
      <c r="I72" s="182"/>
      <c r="J72" s="182"/>
      <c r="K72" s="182"/>
      <c r="L72" s="182"/>
      <c r="M72" s="182"/>
      <c r="N72" s="182"/>
      <c r="O72" s="182"/>
      <c r="P72" s="182"/>
      <c r="Q72" s="182"/>
      <c r="R72" s="182"/>
      <c r="S72" s="182"/>
      <c r="T72" s="182"/>
      <c r="U72" s="182"/>
      <c r="V72" s="182"/>
      <c r="W72" s="182"/>
      <c r="X72" s="182"/>
      <c r="Y72" s="182"/>
      <c r="Z72" s="182"/>
      <c r="AA72" s="182"/>
      <c r="AB72" s="182"/>
    </row>
    <row r="73" spans="1:28">
      <c r="A73" s="182"/>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c r="AA73" s="182"/>
      <c r="AB73" s="182"/>
    </row>
    <row r="74" spans="1:28">
      <c r="A74" s="182"/>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c r="Z74" s="182"/>
      <c r="AA74" s="182"/>
      <c r="AB74" s="182"/>
    </row>
    <row r="75" spans="1:28">
      <c r="A75" s="182"/>
      <c r="B75" s="182"/>
      <c r="C75" s="182"/>
      <c r="D75" s="182"/>
      <c r="E75" s="182"/>
      <c r="F75" s="182"/>
      <c r="G75" s="182"/>
      <c r="H75" s="182"/>
      <c r="I75" s="182"/>
      <c r="J75" s="182"/>
      <c r="K75" s="182"/>
      <c r="L75" s="182"/>
      <c r="M75" s="182"/>
      <c r="N75" s="182"/>
      <c r="O75" s="182"/>
      <c r="P75" s="182"/>
      <c r="Q75" s="182"/>
      <c r="R75" s="182"/>
      <c r="S75" s="182"/>
      <c r="T75" s="182"/>
      <c r="U75" s="182"/>
      <c r="V75" s="182"/>
      <c r="W75" s="182"/>
      <c r="X75" s="182"/>
      <c r="Y75" s="182"/>
      <c r="Z75" s="182"/>
      <c r="AA75" s="182"/>
      <c r="AB75" s="182"/>
    </row>
    <row r="76" spans="1:28">
      <c r="A76" s="182"/>
      <c r="B76" s="182"/>
      <c r="C76" s="182"/>
      <c r="D76" s="182"/>
      <c r="E76" s="182"/>
      <c r="F76" s="182"/>
      <c r="G76" s="182"/>
      <c r="H76" s="182"/>
      <c r="I76" s="182"/>
      <c r="J76" s="182"/>
      <c r="K76" s="182"/>
      <c r="L76" s="182"/>
      <c r="M76" s="182"/>
      <c r="N76" s="182"/>
      <c r="O76" s="182"/>
      <c r="P76" s="182"/>
      <c r="Q76" s="182"/>
      <c r="R76" s="182"/>
      <c r="S76" s="182"/>
      <c r="T76" s="182"/>
      <c r="U76" s="182"/>
      <c r="V76" s="182"/>
      <c r="W76" s="182"/>
      <c r="X76" s="182"/>
      <c r="Y76" s="182"/>
      <c r="Z76" s="182"/>
      <c r="AA76" s="182"/>
      <c r="AB76" s="182"/>
    </row>
    <row r="77" spans="1:28">
      <c r="A77" s="182"/>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c r="AA77" s="182"/>
      <c r="AB77" s="182"/>
    </row>
    <row r="78" spans="1:28">
      <c r="A78" s="182"/>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c r="AA78" s="182"/>
      <c r="AB78" s="182"/>
    </row>
    <row r="79" spans="1:28">
      <c r="A79" s="182"/>
      <c r="B79" s="182"/>
      <c r="C79" s="182"/>
      <c r="D79" s="182"/>
      <c r="E79" s="182"/>
      <c r="F79" s="182"/>
      <c r="G79" s="182"/>
      <c r="H79" s="182"/>
      <c r="I79" s="182"/>
      <c r="J79" s="182"/>
      <c r="K79" s="182"/>
      <c r="L79" s="182"/>
      <c r="M79" s="182"/>
      <c r="N79" s="182"/>
      <c r="O79" s="182"/>
      <c r="P79" s="182"/>
      <c r="Q79" s="182"/>
      <c r="R79" s="182"/>
      <c r="S79" s="182"/>
      <c r="T79" s="182"/>
      <c r="U79" s="182"/>
      <c r="V79" s="182"/>
      <c r="W79" s="182"/>
      <c r="X79" s="182"/>
      <c r="Y79" s="182"/>
      <c r="Z79" s="182"/>
      <c r="AA79" s="182"/>
      <c r="AB79" s="182"/>
    </row>
    <row r="80" spans="1:28">
      <c r="A80" s="182"/>
      <c r="B80" s="182"/>
      <c r="C80" s="182"/>
      <c r="D80" s="182"/>
      <c r="E80" s="182"/>
      <c r="F80" s="182"/>
      <c r="G80" s="182"/>
      <c r="H80" s="182"/>
      <c r="I80" s="182"/>
      <c r="J80" s="182"/>
      <c r="K80" s="182"/>
      <c r="L80" s="182"/>
      <c r="M80" s="182"/>
      <c r="N80" s="182"/>
      <c r="O80" s="182"/>
      <c r="P80" s="182"/>
      <c r="Q80" s="182"/>
      <c r="R80" s="182"/>
      <c r="S80" s="182"/>
      <c r="T80" s="182"/>
      <c r="U80" s="182"/>
      <c r="V80" s="182"/>
      <c r="W80" s="182"/>
      <c r="X80" s="182"/>
      <c r="Y80" s="182"/>
      <c r="Z80" s="182"/>
      <c r="AA80" s="182"/>
      <c r="AB80" s="182"/>
    </row>
    <row r="81" spans="1:28">
      <c r="A81" s="182"/>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c r="AA81" s="182"/>
      <c r="AB81" s="182"/>
    </row>
    <row r="82" spans="1:28">
      <c r="A82" s="182"/>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c r="AA82" s="182"/>
      <c r="AB82" s="182"/>
    </row>
    <row r="83" spans="1:28">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row>
    <row r="84" spans="1:28">
      <c r="A84" s="182"/>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row>
    <row r="85" spans="1:28">
      <c r="A85" s="182"/>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row>
    <row r="86" spans="1:28">
      <c r="A86" s="182"/>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c r="AA86" s="182"/>
      <c r="AB86" s="182"/>
    </row>
    <row r="87" spans="1:28">
      <c r="A87" s="182"/>
      <c r="B87" s="182"/>
      <c r="C87" s="182"/>
      <c r="D87" s="182"/>
      <c r="E87" s="182"/>
      <c r="F87" s="182"/>
      <c r="G87" s="182"/>
      <c r="H87" s="182"/>
      <c r="I87" s="182"/>
      <c r="J87" s="182"/>
      <c r="K87" s="182"/>
      <c r="L87" s="182"/>
      <c r="M87" s="182"/>
      <c r="N87" s="182"/>
      <c r="O87" s="182"/>
      <c r="P87" s="182"/>
      <c r="Q87" s="182"/>
      <c r="R87" s="182"/>
      <c r="S87" s="182"/>
      <c r="T87" s="182"/>
      <c r="U87" s="182"/>
      <c r="V87" s="182"/>
      <c r="W87" s="182"/>
      <c r="X87" s="182"/>
      <c r="Y87" s="182"/>
      <c r="Z87" s="182"/>
      <c r="AA87" s="182"/>
      <c r="AB87" s="182"/>
    </row>
    <row r="88" spans="1:28">
      <c r="A88" s="182"/>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c r="Z88" s="182"/>
      <c r="AA88" s="182"/>
      <c r="AB88" s="182"/>
    </row>
    <row r="89" spans="1:28">
      <c r="A89" s="182"/>
      <c r="B89" s="182"/>
      <c r="C89" s="182"/>
      <c r="D89" s="182"/>
      <c r="E89" s="182"/>
      <c r="F89" s="182"/>
      <c r="G89" s="182"/>
      <c r="H89" s="182"/>
      <c r="I89" s="182"/>
      <c r="J89" s="182"/>
      <c r="K89" s="182"/>
      <c r="L89" s="182"/>
      <c r="M89" s="182"/>
      <c r="N89" s="182"/>
      <c r="O89" s="182"/>
      <c r="P89" s="182"/>
      <c r="Q89" s="182"/>
      <c r="R89" s="182"/>
      <c r="S89" s="182"/>
      <c r="T89" s="182"/>
      <c r="U89" s="182"/>
      <c r="V89" s="182"/>
      <c r="W89" s="182"/>
      <c r="X89" s="182"/>
      <c r="Y89" s="182"/>
      <c r="Z89" s="182"/>
      <c r="AA89" s="182"/>
      <c r="AB89" s="182"/>
    </row>
    <row r="90" spans="1:28">
      <c r="A90" s="182"/>
      <c r="B90" s="182"/>
      <c r="C90" s="182"/>
      <c r="D90" s="182"/>
      <c r="E90" s="182"/>
      <c r="F90" s="182"/>
      <c r="G90" s="182"/>
      <c r="H90" s="182"/>
      <c r="I90" s="182"/>
      <c r="J90" s="182"/>
      <c r="K90" s="182"/>
      <c r="L90" s="182"/>
      <c r="M90" s="182"/>
      <c r="N90" s="182"/>
      <c r="O90" s="182"/>
      <c r="P90" s="182"/>
      <c r="Q90" s="182"/>
      <c r="R90" s="182"/>
      <c r="S90" s="182"/>
      <c r="T90" s="182"/>
      <c r="U90" s="182"/>
      <c r="V90" s="182"/>
      <c r="W90" s="182"/>
      <c r="X90" s="182"/>
      <c r="Y90" s="182"/>
      <c r="Z90" s="182"/>
      <c r="AA90" s="182"/>
      <c r="AB90" s="182"/>
    </row>
    <row r="91" spans="1:28">
      <c r="A91" s="182"/>
      <c r="B91" s="182"/>
      <c r="C91" s="182"/>
      <c r="D91" s="182"/>
      <c r="E91" s="182"/>
      <c r="F91" s="182"/>
      <c r="G91" s="182"/>
      <c r="H91" s="182"/>
      <c r="I91" s="182"/>
      <c r="J91" s="182"/>
      <c r="K91" s="182"/>
      <c r="L91" s="182"/>
      <c r="M91" s="182"/>
      <c r="N91" s="182"/>
      <c r="O91" s="182"/>
      <c r="P91" s="182"/>
      <c r="Q91" s="182"/>
      <c r="R91" s="182"/>
      <c r="S91" s="182"/>
      <c r="T91" s="182"/>
      <c r="U91" s="182"/>
      <c r="V91" s="182"/>
      <c r="W91" s="182"/>
      <c r="X91" s="182"/>
      <c r="Y91" s="182"/>
      <c r="Z91" s="182"/>
      <c r="AA91" s="182"/>
      <c r="AB91" s="182"/>
    </row>
    <row r="92" spans="1:28">
      <c r="A92" s="182"/>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2"/>
      <c r="AA92" s="182"/>
      <c r="AB92" s="182"/>
    </row>
    <row r="93" spans="1:28">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c r="AA93" s="182"/>
      <c r="AB93" s="182"/>
    </row>
    <row r="94" spans="1:28">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c r="Z94" s="182"/>
      <c r="AA94" s="182"/>
      <c r="AB94" s="182"/>
    </row>
    <row r="95" spans="1:28">
      <c r="A95" s="182"/>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2"/>
      <c r="AA95" s="182"/>
      <c r="AB95" s="182"/>
    </row>
    <row r="96" spans="1:28">
      <c r="A96" s="182"/>
      <c r="B96" s="182"/>
      <c r="C96" s="182"/>
      <c r="D96" s="182"/>
      <c r="E96" s="182"/>
      <c r="F96" s="182"/>
      <c r="G96" s="182"/>
      <c r="H96" s="182"/>
      <c r="I96" s="182"/>
      <c r="J96" s="182"/>
      <c r="K96" s="182"/>
      <c r="L96" s="182"/>
      <c r="M96" s="182"/>
      <c r="N96" s="182"/>
      <c r="O96" s="182"/>
      <c r="P96" s="182"/>
      <c r="Q96" s="182"/>
      <c r="R96" s="182"/>
      <c r="S96" s="182"/>
      <c r="T96" s="182"/>
      <c r="U96" s="182"/>
      <c r="V96" s="182"/>
      <c r="W96" s="182"/>
      <c r="X96" s="182"/>
      <c r="Y96" s="182"/>
      <c r="Z96" s="182"/>
      <c r="AA96" s="182"/>
      <c r="AB96" s="182"/>
    </row>
    <row r="97" spans="1:28">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c r="Z97" s="182"/>
      <c r="AA97" s="182"/>
      <c r="AB97" s="182"/>
    </row>
    <row r="98" spans="1:28">
      <c r="A98" s="182"/>
      <c r="B98" s="182"/>
      <c r="C98" s="182"/>
      <c r="D98" s="182"/>
      <c r="E98" s="182"/>
      <c r="F98" s="182"/>
      <c r="G98" s="182"/>
      <c r="H98" s="182"/>
      <c r="I98" s="182"/>
      <c r="J98" s="182"/>
      <c r="K98" s="182"/>
      <c r="L98" s="182"/>
      <c r="M98" s="182"/>
      <c r="N98" s="182"/>
      <c r="O98" s="182"/>
      <c r="P98" s="182"/>
      <c r="Q98" s="182"/>
      <c r="R98" s="182"/>
      <c r="S98" s="182"/>
      <c r="T98" s="182"/>
      <c r="U98" s="182"/>
      <c r="V98" s="182"/>
      <c r="W98" s="182"/>
      <c r="X98" s="182"/>
      <c r="Y98" s="182"/>
      <c r="Z98" s="182"/>
      <c r="AA98" s="182"/>
      <c r="AB98" s="182"/>
    </row>
    <row r="99" spans="1:28">
      <c r="A99" s="182"/>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c r="Z99" s="182"/>
      <c r="AA99" s="182"/>
      <c r="AB99" s="182"/>
    </row>
    <row r="100" spans="1:28">
      <c r="A100" s="182"/>
      <c r="B100" s="182"/>
      <c r="C100" s="182"/>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c r="Z100" s="182"/>
      <c r="AA100" s="182"/>
      <c r="AB100" s="182"/>
    </row>
    <row r="101" spans="1:28">
      <c r="A101" s="182"/>
      <c r="B101" s="182"/>
      <c r="C101" s="182"/>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c r="Z101" s="182"/>
      <c r="AA101" s="182"/>
      <c r="AB101" s="182"/>
    </row>
    <row r="102" spans="1:28">
      <c r="A102" s="182"/>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c r="Z102" s="182"/>
      <c r="AA102" s="182"/>
      <c r="AB102" s="182"/>
    </row>
    <row r="103" spans="1:28">
      <c r="A103" s="182"/>
      <c r="B103" s="182"/>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row>
    <row r="104" spans="1:28">
      <c r="A104" s="182"/>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c r="Z104" s="182"/>
      <c r="AA104" s="182"/>
      <c r="AB104" s="182"/>
    </row>
    <row r="105" spans="1:28">
      <c r="A105" s="182"/>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row>
    <row r="106" spans="1:28">
      <c r="A106" s="182"/>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c r="Z106" s="182"/>
      <c r="AA106" s="182"/>
      <c r="AB106" s="182"/>
    </row>
    <row r="107" spans="1:28">
      <c r="A107" s="182"/>
      <c r="B107" s="182"/>
      <c r="C107" s="182"/>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c r="Z107" s="182"/>
      <c r="AA107" s="182"/>
      <c r="AB107" s="182"/>
    </row>
    <row r="108" spans="1:28">
      <c r="A108" s="182"/>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row>
    <row r="109" spans="1:28">
      <c r="A109" s="182"/>
      <c r="B109" s="182"/>
      <c r="C109" s="182"/>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82"/>
      <c r="Z109" s="182"/>
      <c r="AA109" s="182"/>
      <c r="AB109" s="182"/>
    </row>
    <row r="110" spans="1:28">
      <c r="A110" s="182"/>
      <c r="B110" s="182"/>
      <c r="C110" s="182"/>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row>
    <row r="111" spans="1:28">
      <c r="A111" s="182"/>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row>
    <row r="112" spans="1:28">
      <c r="A112" s="182"/>
      <c r="B112" s="182"/>
      <c r="C112" s="182"/>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c r="Z112" s="182"/>
      <c r="AA112" s="182"/>
      <c r="AB112" s="182"/>
    </row>
    <row r="113" spans="1:28">
      <c r="A113" s="182"/>
      <c r="B113" s="182"/>
      <c r="C113" s="182"/>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c r="Z113" s="182"/>
      <c r="AA113" s="182"/>
      <c r="AB113" s="182"/>
    </row>
    <row r="114" spans="1:28">
      <c r="A114" s="182"/>
      <c r="B114" s="182"/>
      <c r="C114" s="182"/>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c r="Z114" s="182"/>
      <c r="AA114" s="182"/>
      <c r="AB114" s="182"/>
    </row>
    <row r="115" spans="1:28">
      <c r="A115" s="182"/>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row>
    <row r="116" spans="1:28">
      <c r="A116" s="182"/>
      <c r="B116" s="182"/>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row>
    <row r="117" spans="1:28">
      <c r="A117" s="182"/>
      <c r="B117" s="182"/>
      <c r="C117" s="182"/>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row>
    <row r="118" spans="1:28">
      <c r="A118" s="182"/>
      <c r="B118" s="182"/>
      <c r="C118" s="182"/>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row>
    <row r="119" spans="1:28">
      <c r="A119" s="182"/>
      <c r="B119" s="182"/>
      <c r="C119" s="182"/>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c r="Z119" s="182"/>
      <c r="AA119" s="182"/>
      <c r="AB119" s="182"/>
    </row>
    <row r="120" spans="1:28">
      <c r="A120" s="182"/>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row>
    <row r="121" spans="1:28">
      <c r="A121" s="182"/>
      <c r="B121" s="182"/>
      <c r="C121" s="182"/>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c r="Z121" s="182"/>
      <c r="AA121" s="182"/>
      <c r="AB121" s="182"/>
    </row>
    <row r="122" spans="1:28">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c r="Z122" s="182"/>
      <c r="AA122" s="182"/>
      <c r="AB122" s="182"/>
    </row>
    <row r="123" spans="1:28">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c r="Z123" s="182"/>
      <c r="AA123" s="182"/>
      <c r="AB123" s="182"/>
    </row>
    <row r="124" spans="1:28">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c r="Z124" s="182"/>
      <c r="AA124" s="182"/>
      <c r="AB124" s="182"/>
    </row>
    <row r="125" spans="1:28">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row>
    <row r="126" spans="1:28">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c r="Z126" s="182"/>
      <c r="AA126" s="182"/>
      <c r="AB126" s="182"/>
    </row>
    <row r="127" spans="1:28">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c r="Z127" s="182"/>
      <c r="AA127" s="182"/>
      <c r="AB127" s="182"/>
    </row>
    <row r="128" spans="1:28">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c r="Z128" s="182"/>
      <c r="AA128" s="182"/>
      <c r="AB128" s="182"/>
    </row>
    <row r="129" spans="1:28">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c r="Z129" s="182"/>
      <c r="AA129" s="182"/>
      <c r="AB129" s="182"/>
    </row>
    <row r="130" spans="1:28">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c r="Z130" s="182"/>
      <c r="AA130" s="182"/>
      <c r="AB130" s="182"/>
    </row>
    <row r="131" spans="1:28">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c r="Z131" s="182"/>
      <c r="AA131" s="182"/>
      <c r="AB131" s="182"/>
    </row>
    <row r="132" spans="1:28">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c r="Z132" s="182"/>
      <c r="AA132" s="182"/>
      <c r="AB132" s="182"/>
    </row>
    <row r="133" spans="1:28">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c r="Z133" s="182"/>
      <c r="AA133" s="182"/>
      <c r="AB133" s="182"/>
    </row>
    <row r="134" spans="1:28">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c r="Z134" s="182"/>
      <c r="AA134" s="182"/>
      <c r="AB134" s="182"/>
    </row>
    <row r="135" spans="1:28">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c r="Z135" s="182"/>
      <c r="AA135" s="182"/>
      <c r="AB135" s="182"/>
    </row>
    <row r="136" spans="1:28">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c r="Z136" s="182"/>
      <c r="AA136" s="182"/>
      <c r="AB136" s="182"/>
    </row>
    <row r="137" spans="1:28">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c r="Z137" s="182"/>
      <c r="AA137" s="182"/>
      <c r="AB137" s="182"/>
    </row>
    <row r="138" spans="1:28">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row>
    <row r="139" spans="1:28">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c r="Z139" s="182"/>
      <c r="AA139" s="182"/>
      <c r="AB139" s="182"/>
    </row>
    <row r="140" spans="1:28">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c r="Z140" s="182"/>
      <c r="AA140" s="182"/>
      <c r="AB140" s="182"/>
    </row>
    <row r="141" spans="1:28">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c r="Z141" s="182"/>
      <c r="AA141" s="182"/>
      <c r="AB141" s="182"/>
    </row>
    <row r="142" spans="1:28">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c r="Z142" s="182"/>
      <c r="AA142" s="182"/>
      <c r="AB142" s="182"/>
    </row>
    <row r="143" spans="1:28">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row>
    <row r="144" spans="1:28">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c r="Z144" s="182"/>
      <c r="AA144" s="182"/>
      <c r="AB144" s="182"/>
    </row>
    <row r="145" spans="1:28">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c r="Z145" s="182"/>
      <c r="AA145" s="182"/>
      <c r="AB145" s="182"/>
    </row>
    <row r="146" spans="1:28">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c r="Z146" s="182"/>
      <c r="AA146" s="182"/>
      <c r="AB146" s="182"/>
    </row>
    <row r="147" spans="1:28">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c r="Z147" s="182"/>
      <c r="AA147" s="182"/>
      <c r="AB147" s="182"/>
    </row>
    <row r="148" spans="1:28">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c r="Z148" s="182"/>
      <c r="AA148" s="182"/>
      <c r="AB148" s="182"/>
    </row>
    <row r="149" spans="1:28">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c r="Z149" s="182"/>
      <c r="AA149" s="182"/>
      <c r="AB149" s="182"/>
    </row>
    <row r="150" spans="1:28">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c r="Z150" s="182"/>
      <c r="AA150" s="182"/>
      <c r="AB150" s="182"/>
    </row>
    <row r="151" spans="1:28">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c r="Z151" s="182"/>
      <c r="AA151" s="182"/>
      <c r="AB151" s="182"/>
    </row>
    <row r="152" spans="1:28">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c r="Z152" s="182"/>
      <c r="AA152" s="182"/>
      <c r="AB152" s="182"/>
    </row>
    <row r="153" spans="1:28">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c r="Z153" s="182"/>
      <c r="AA153" s="182"/>
      <c r="AB153" s="182"/>
    </row>
    <row r="154" spans="1:28">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row>
    <row r="155" spans="1:28">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row>
    <row r="156" spans="1:28">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row>
    <row r="157" spans="1:28">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c r="Z157" s="182"/>
      <c r="AA157" s="182"/>
      <c r="AB157" s="182"/>
    </row>
    <row r="158" spans="1:28">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c r="Z158" s="182"/>
      <c r="AA158" s="182"/>
      <c r="AB158" s="182"/>
    </row>
    <row r="159" spans="1:28">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row>
    <row r="160" spans="1:28">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row>
    <row r="161" spans="1:28">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c r="Z161" s="182"/>
      <c r="AA161" s="182"/>
      <c r="AB161" s="182"/>
    </row>
    <row r="162" spans="1:28">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c r="Z162" s="182"/>
      <c r="AA162" s="182"/>
      <c r="AB162" s="182"/>
    </row>
    <row r="163" spans="1:28">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row>
    <row r="164" spans="1:28">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c r="Z164" s="182"/>
      <c r="AA164" s="182"/>
      <c r="AB164" s="182"/>
    </row>
    <row r="165" spans="1:28">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c r="Z165" s="182"/>
      <c r="AA165" s="182"/>
      <c r="AB165" s="182"/>
    </row>
    <row r="166" spans="1:28">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c r="Z166" s="182"/>
      <c r="AA166" s="182"/>
      <c r="AB166" s="182"/>
    </row>
    <row r="167" spans="1:28">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c r="Z167" s="182"/>
      <c r="AA167" s="182"/>
      <c r="AB167" s="182"/>
    </row>
    <row r="168" spans="1:28">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c r="Z168" s="182"/>
      <c r="AA168" s="182"/>
      <c r="AB168" s="182"/>
    </row>
    <row r="169" spans="1:28">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row>
    <row r="170" spans="1:28">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row>
    <row r="171" spans="1:28">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row>
    <row r="172" spans="1:28">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row>
    <row r="173" spans="1:28">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c r="Z173" s="182"/>
      <c r="AA173" s="182"/>
      <c r="AB173" s="182"/>
    </row>
    <row r="174" spans="1:28">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row>
    <row r="175" spans="1:28">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row>
    <row r="176" spans="1:28">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c r="Z176" s="182"/>
      <c r="AA176" s="182"/>
      <c r="AB176" s="182"/>
    </row>
    <row r="177" spans="1:28">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row>
    <row r="178" spans="1:28">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row>
    <row r="179" spans="1:28">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c r="Z179" s="182"/>
      <c r="AA179" s="182"/>
      <c r="AB179" s="182"/>
    </row>
    <row r="180" spans="1:28">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row>
    <row r="181" spans="1:28">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row>
    <row r="182" spans="1:28">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c r="Z182" s="182"/>
      <c r="AA182" s="182"/>
      <c r="AB182" s="182"/>
    </row>
    <row r="183" spans="1:28">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c r="Z183" s="182"/>
      <c r="AA183" s="182"/>
      <c r="AB183" s="182"/>
    </row>
    <row r="184" spans="1:28">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row>
    <row r="185" spans="1:28">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row>
    <row r="186" spans="1:28">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row>
    <row r="187" spans="1:28">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row>
    <row r="188" spans="1:28">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c r="Z188" s="182"/>
      <c r="AA188" s="182"/>
      <c r="AB188" s="182"/>
    </row>
    <row r="189" spans="1:28">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row>
    <row r="190" spans="1:28">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c r="Z190" s="182"/>
      <c r="AA190" s="182"/>
      <c r="AB190" s="182"/>
    </row>
    <row r="191" spans="1:28">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c r="Z191" s="182"/>
      <c r="AA191" s="182"/>
      <c r="AB191" s="182"/>
    </row>
    <row r="192" spans="1:28">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c r="Z192" s="182"/>
      <c r="AA192" s="182"/>
      <c r="AB192" s="182"/>
    </row>
    <row r="193" spans="1:28">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c r="Z193" s="182"/>
      <c r="AA193" s="182"/>
      <c r="AB193" s="182"/>
    </row>
    <row r="194" spans="1:28">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c r="Z194" s="182"/>
      <c r="AA194" s="182"/>
      <c r="AB194" s="182"/>
    </row>
    <row r="195" spans="1:28">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row>
    <row r="196" spans="1:28">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row>
    <row r="197" spans="1:28">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row>
    <row r="198" spans="1:28">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c r="Z198" s="182"/>
      <c r="AA198" s="182"/>
      <c r="AB198" s="182"/>
    </row>
    <row r="199" spans="1:28">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row>
    <row r="200" spans="1:28">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c r="Z200" s="182"/>
      <c r="AA200" s="182"/>
      <c r="AB200" s="182"/>
    </row>
    <row r="201" spans="1:28">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row>
    <row r="202" spans="1:28">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row>
    <row r="203" spans="1:28">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row>
    <row r="204" spans="1:28">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row>
    <row r="205" spans="1:28">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row>
    <row r="206" spans="1:28">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row>
    <row r="207" spans="1:28">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row>
    <row r="208" spans="1:28">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row>
    <row r="209" spans="1:28">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row>
    <row r="210" spans="1:28">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row>
    <row r="211" spans="1:28">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row>
    <row r="212" spans="1:28">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row>
    <row r="213" spans="1:28">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row>
    <row r="214" spans="1:28">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row>
    <row r="215" spans="1:28">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row>
    <row r="216" spans="1:28">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row>
    <row r="217" spans="1:28">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row>
    <row r="218" spans="1:28">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row>
    <row r="219" spans="1:28">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row>
    <row r="220" spans="1:28">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row>
    <row r="221" spans="1:28">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row>
    <row r="222" spans="1:28">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row>
    <row r="223" spans="1:28">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row>
    <row r="224" spans="1:28">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row>
    <row r="225" spans="1:28">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row>
    <row r="226" spans="1:28">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row>
    <row r="227" spans="1:28">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row>
    <row r="228" spans="1:28">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row>
    <row r="229" spans="1:28">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row>
    <row r="230" spans="1:28">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row>
    <row r="231" spans="1:28">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row>
    <row r="232" spans="1:28">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row>
    <row r="233" spans="1:28">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row>
    <row r="234" spans="1:28">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row>
    <row r="235" spans="1:28">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row>
    <row r="236" spans="1:28">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row>
    <row r="237" spans="1:28">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row>
    <row r="238" spans="1:28">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row>
    <row r="239" spans="1:28">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row>
    <row r="240" spans="1:28">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row>
    <row r="241" spans="1:28">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row>
    <row r="242" spans="1:28">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row>
    <row r="243" spans="1:28">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row>
    <row r="244" spans="1:28">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c r="Z244" s="182"/>
      <c r="AA244" s="182"/>
      <c r="AB244" s="182"/>
    </row>
    <row r="245" spans="1:28">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row>
    <row r="246" spans="1:28">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c r="Z246" s="182"/>
      <c r="AA246" s="182"/>
      <c r="AB246" s="182"/>
    </row>
    <row r="247" spans="1:28">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row>
    <row r="248" spans="1:28">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c r="Z248" s="182"/>
      <c r="AA248" s="182"/>
      <c r="AB248" s="182"/>
    </row>
    <row r="249" spans="1:28">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row>
    <row r="250" spans="1:28">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row>
    <row r="251" spans="1:28">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row>
    <row r="252" spans="1:28">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row>
    <row r="253" spans="1:28">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row>
    <row r="254" spans="1:28">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c r="Z254" s="182"/>
      <c r="AA254" s="182"/>
      <c r="AB254" s="182"/>
    </row>
    <row r="255" spans="1:28">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c r="Z255" s="182"/>
      <c r="AA255" s="182"/>
      <c r="AB255" s="182"/>
    </row>
    <row r="256" spans="1:28">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c r="Z256" s="182"/>
      <c r="AA256" s="182"/>
      <c r="AB256" s="182"/>
    </row>
    <row r="257" spans="1:28">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c r="Z257" s="182"/>
      <c r="AA257" s="182"/>
      <c r="AB257" s="182"/>
    </row>
    <row r="258" spans="1:28">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c r="Z258" s="182"/>
      <c r="AA258" s="182"/>
      <c r="AB258" s="182"/>
    </row>
    <row r="259" spans="1:28">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c r="Z259" s="182"/>
      <c r="AA259" s="182"/>
      <c r="AB259" s="182"/>
    </row>
    <row r="260" spans="1:28">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c r="Z260" s="182"/>
      <c r="AA260" s="182"/>
      <c r="AB260" s="182"/>
    </row>
    <row r="261" spans="1:28">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c r="Z261" s="182"/>
      <c r="AA261" s="182"/>
      <c r="AB261" s="182"/>
    </row>
    <row r="262" spans="1:28">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c r="Z262" s="182"/>
      <c r="AA262" s="182"/>
      <c r="AB262" s="182"/>
    </row>
    <row r="263" spans="1:28">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c r="Z263" s="182"/>
      <c r="AA263" s="182"/>
      <c r="AB263" s="182"/>
    </row>
    <row r="264" spans="1:28">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row>
    <row r="265" spans="1:28">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c r="Z265" s="182"/>
      <c r="AA265" s="182"/>
      <c r="AB265" s="182"/>
    </row>
    <row r="266" spans="1:28">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row>
    <row r="267" spans="1:28">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row>
    <row r="268" spans="1:28">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row>
    <row r="269" spans="1:28">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c r="Z269" s="182"/>
      <c r="AA269" s="182"/>
      <c r="AB269" s="182"/>
    </row>
    <row r="270" spans="1:28">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c r="Z270" s="182"/>
      <c r="AA270" s="182"/>
      <c r="AB270" s="182"/>
    </row>
    <row r="271" spans="1:28">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row>
    <row r="272" spans="1:28">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c r="Z272" s="182"/>
      <c r="AA272" s="182"/>
      <c r="AB272" s="182"/>
    </row>
    <row r="273" spans="1:28">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c r="Z273" s="182"/>
      <c r="AA273" s="182"/>
      <c r="AB273" s="182"/>
    </row>
    <row r="274" spans="1:28">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c r="Z274" s="182"/>
      <c r="AA274" s="182"/>
      <c r="AB274" s="182"/>
    </row>
    <row r="275" spans="1:28">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c r="Z275" s="182"/>
      <c r="AA275" s="182"/>
      <c r="AB275" s="182"/>
    </row>
    <row r="276" spans="1:28">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c r="Z276" s="182"/>
      <c r="AA276" s="182"/>
      <c r="AB276" s="182"/>
    </row>
    <row r="277" spans="1:28">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c r="Z277" s="182"/>
      <c r="AA277" s="182"/>
      <c r="AB277" s="182"/>
    </row>
    <row r="278" spans="1:28">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row>
    <row r="279" spans="1:28">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c r="Z279" s="182"/>
      <c r="AA279" s="182"/>
      <c r="AB279" s="182"/>
    </row>
    <row r="280" spans="1:28">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c r="Z280" s="182"/>
      <c r="AA280" s="182"/>
      <c r="AB280" s="182"/>
    </row>
    <row r="281" spans="1:28">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c r="Z281" s="182"/>
      <c r="AA281" s="182"/>
      <c r="AB281" s="182"/>
    </row>
    <row r="282" spans="1:28">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row>
    <row r="283" spans="1:28">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row>
    <row r="284" spans="1:28">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row>
    <row r="285" spans="1:28">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c r="Z285" s="182"/>
      <c r="AA285" s="182"/>
      <c r="AB285" s="182"/>
    </row>
    <row r="286" spans="1:28">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c r="Z286" s="182"/>
      <c r="AA286" s="182"/>
      <c r="AB286" s="182"/>
    </row>
    <row r="287" spans="1:28">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c r="Z287" s="182"/>
      <c r="AA287" s="182"/>
      <c r="AB287" s="182"/>
    </row>
    <row r="288" spans="1:28">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c r="Z288" s="182"/>
      <c r="AA288" s="182"/>
      <c r="AB288" s="182"/>
    </row>
    <row r="289" spans="1:28">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c r="Z289" s="182"/>
      <c r="AA289" s="182"/>
      <c r="AB289" s="182"/>
    </row>
    <row r="290" spans="1:28">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c r="Z290" s="182"/>
      <c r="AA290" s="182"/>
      <c r="AB290" s="182"/>
    </row>
    <row r="291" spans="1:28">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c r="Z291" s="182"/>
      <c r="AA291" s="182"/>
      <c r="AB291" s="182"/>
    </row>
    <row r="292" spans="1:28">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c r="Z292" s="182"/>
      <c r="AA292" s="182"/>
      <c r="AB292" s="182"/>
    </row>
    <row r="293" spans="1:28">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c r="Z293" s="182"/>
      <c r="AA293" s="182"/>
      <c r="AB293" s="182"/>
    </row>
    <row r="294" spans="1:28">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c r="Z294" s="182"/>
      <c r="AA294" s="182"/>
      <c r="AB294" s="182"/>
    </row>
    <row r="295" spans="1:28">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row>
    <row r="296" spans="1:28">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c r="Z296" s="182"/>
      <c r="AA296" s="182"/>
      <c r="AB296" s="182"/>
    </row>
    <row r="297" spans="1:28">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c r="Z297" s="182"/>
      <c r="AA297" s="182"/>
      <c r="AB297" s="182"/>
    </row>
    <row r="298" spans="1:28">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c r="Z298" s="182"/>
      <c r="AA298" s="182"/>
      <c r="AB298" s="182"/>
    </row>
    <row r="299" spans="1:28">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row>
    <row r="300" spans="1:28">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row>
    <row r="301" spans="1:28">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row>
    <row r="302" spans="1:28">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c r="Z302" s="182"/>
      <c r="AA302" s="182"/>
      <c r="AB302" s="182"/>
    </row>
    <row r="303" spans="1:28">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c r="Z303" s="182"/>
      <c r="AA303" s="182"/>
      <c r="AB303" s="182"/>
    </row>
    <row r="304" spans="1:28">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c r="Z304" s="182"/>
      <c r="AA304" s="182"/>
      <c r="AB304" s="182"/>
    </row>
    <row r="305" spans="1:28">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c r="Z305" s="182"/>
      <c r="AA305" s="182"/>
      <c r="AB305" s="182"/>
    </row>
    <row r="306" spans="1:28">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row>
    <row r="307" spans="1:28">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c r="Z307" s="182"/>
      <c r="AA307" s="182"/>
      <c r="AB307" s="182"/>
    </row>
    <row r="308" spans="1:28">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row>
    <row r="309" spans="1:28">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row>
    <row r="310" spans="1:28">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row>
    <row r="311" spans="1:28">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c r="AA311" s="182"/>
      <c r="AB311" s="182"/>
    </row>
    <row r="312" spans="1:28">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row>
    <row r="313" spans="1:28">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c r="AA313" s="182"/>
      <c r="AB313" s="182"/>
    </row>
    <row r="314" spans="1:28">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c r="Z314" s="182"/>
      <c r="AA314" s="182"/>
      <c r="AB314" s="182"/>
    </row>
    <row r="315" spans="1:28">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c r="Z315" s="182"/>
      <c r="AA315" s="182"/>
      <c r="AB315" s="182"/>
    </row>
    <row r="316" spans="1:28">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row>
    <row r="317" spans="1:28">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row>
    <row r="318" spans="1:28">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row>
    <row r="319" spans="1:28">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row>
    <row r="320" spans="1:28">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c r="Z320" s="182"/>
      <c r="AA320" s="182"/>
      <c r="AB320" s="182"/>
    </row>
    <row r="321" spans="1:28">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c r="Z321" s="182"/>
      <c r="AA321" s="182"/>
      <c r="AB321" s="182"/>
    </row>
    <row r="322" spans="1:28">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c r="Z322" s="182"/>
      <c r="AA322" s="182"/>
      <c r="AB322" s="182"/>
    </row>
    <row r="323" spans="1:28">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row>
    <row r="324" spans="1:28">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c r="Z324" s="182"/>
      <c r="AA324" s="182"/>
      <c r="AB324" s="182"/>
    </row>
    <row r="325" spans="1:28">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c r="Z325" s="182"/>
      <c r="AA325" s="182"/>
      <c r="AB325" s="182"/>
    </row>
    <row r="326" spans="1:28">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c r="Z326" s="182"/>
      <c r="AA326" s="182"/>
      <c r="AB326" s="182"/>
    </row>
    <row r="327" spans="1:28">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c r="Z327" s="182"/>
      <c r="AA327" s="182"/>
      <c r="AB327" s="182"/>
    </row>
    <row r="328" spans="1:28">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c r="Z328" s="182"/>
      <c r="AA328" s="182"/>
      <c r="AB328" s="182"/>
    </row>
    <row r="329" spans="1:28">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c r="Z329" s="182"/>
      <c r="AA329" s="182"/>
      <c r="AB329" s="182"/>
    </row>
    <row r="330" spans="1:28">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row>
    <row r="331" spans="1:28">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c r="Z331" s="182"/>
      <c r="AA331" s="182"/>
      <c r="AB331" s="182"/>
    </row>
    <row r="332" spans="1:28">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row>
    <row r="333" spans="1:28">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row>
    <row r="334" spans="1:28">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row>
    <row r="335" spans="1:28">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row>
    <row r="336" spans="1:28">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c r="Z336" s="182"/>
      <c r="AA336" s="182"/>
      <c r="AB336" s="182"/>
    </row>
    <row r="337" spans="1:28">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c r="Z337" s="182"/>
      <c r="AA337" s="182"/>
      <c r="AB337" s="182"/>
    </row>
    <row r="338" spans="1:28">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c r="Z338" s="182"/>
      <c r="AA338" s="182"/>
      <c r="AB338" s="182"/>
    </row>
    <row r="339" spans="1:28">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row>
    <row r="340" spans="1:28">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row>
    <row r="341" spans="1:28">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row>
    <row r="342" spans="1:28">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row>
    <row r="343" spans="1:28">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row>
    <row r="344" spans="1:28">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row>
    <row r="345" spans="1:28">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row>
    <row r="346" spans="1:28">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row>
    <row r="347" spans="1:28">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row>
    <row r="348" spans="1:28">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c r="Z348" s="182"/>
      <c r="AA348" s="182"/>
      <c r="AB348" s="182"/>
    </row>
    <row r="349" spans="1:28">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c r="Z349" s="182"/>
      <c r="AA349" s="182"/>
      <c r="AB349" s="182"/>
    </row>
    <row r="350" spans="1:28">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c r="Z350" s="182"/>
      <c r="AA350" s="182"/>
      <c r="AB350" s="182"/>
    </row>
    <row r="351" spans="1:28">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c r="Z351" s="182"/>
      <c r="AA351" s="182"/>
      <c r="AB351" s="182"/>
    </row>
    <row r="352" spans="1:28">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c r="Z352" s="182"/>
      <c r="AA352" s="182"/>
      <c r="AB352" s="182"/>
    </row>
    <row r="353" spans="1:28">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c r="Z353" s="182"/>
      <c r="AA353" s="182"/>
      <c r="AB353" s="182"/>
    </row>
    <row r="354" spans="1:28">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row>
    <row r="355" spans="1:28">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row>
    <row r="356" spans="1:28">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row>
    <row r="357" spans="1:28">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row>
    <row r="358" spans="1:28">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row>
    <row r="359" spans="1:28">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row>
    <row r="360" spans="1:28">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row>
    <row r="361" spans="1:28">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row>
    <row r="362" spans="1:28">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c r="Z362" s="182"/>
      <c r="AA362" s="182"/>
      <c r="AB362" s="182"/>
    </row>
    <row r="363" spans="1:28">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row>
    <row r="364" spans="1:28">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row>
    <row r="365" spans="1:28">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row>
    <row r="366" spans="1:28">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row>
    <row r="367" spans="1:28">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row>
    <row r="368" spans="1:28">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c r="Z368" s="182"/>
      <c r="AA368" s="182"/>
      <c r="AB368" s="182"/>
    </row>
    <row r="369" spans="1:28">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row>
    <row r="370" spans="1:28">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c r="Z370" s="182"/>
      <c r="AA370" s="182"/>
      <c r="AB370" s="182"/>
    </row>
    <row r="371" spans="1:28">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c r="Z371" s="182"/>
      <c r="AA371" s="182"/>
      <c r="AB371" s="182"/>
    </row>
    <row r="372" spans="1:28">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row>
    <row r="373" spans="1:28">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c r="Z373" s="182"/>
      <c r="AA373" s="182"/>
      <c r="AB373" s="182"/>
    </row>
    <row r="374" spans="1:28">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c r="Z374" s="182"/>
      <c r="AA374" s="182"/>
      <c r="AB374" s="182"/>
    </row>
    <row r="375" spans="1:28">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row>
    <row r="376" spans="1:28">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c r="Z376" s="182"/>
      <c r="AA376" s="182"/>
      <c r="AB376" s="182"/>
    </row>
    <row r="377" spans="1:28">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c r="Z377" s="182"/>
      <c r="AA377" s="182"/>
      <c r="AB377" s="182"/>
    </row>
    <row r="378" spans="1:28">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c r="Z378" s="182"/>
      <c r="AA378" s="182"/>
      <c r="AB378" s="182"/>
    </row>
    <row r="379" spans="1:28">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c r="Z379" s="182"/>
      <c r="AA379" s="182"/>
      <c r="AB379" s="182"/>
    </row>
    <row r="380" spans="1:28">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row>
    <row r="381" spans="1:28">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row>
    <row r="382" spans="1:28">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row>
    <row r="383" spans="1:28">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c r="Z383" s="182"/>
      <c r="AA383" s="182"/>
      <c r="AB383" s="182"/>
    </row>
    <row r="384" spans="1:28">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c r="Z384" s="182"/>
      <c r="AA384" s="182"/>
      <c r="AB384" s="182"/>
    </row>
    <row r="385" spans="1:28">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c r="Z385" s="182"/>
      <c r="AA385" s="182"/>
      <c r="AB385" s="182"/>
    </row>
    <row r="386" spans="1:28">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c r="Z386" s="182"/>
      <c r="AA386" s="182"/>
      <c r="AB386" s="182"/>
    </row>
    <row r="387" spans="1:28">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row>
    <row r="388" spans="1:28">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c r="Z388" s="182"/>
      <c r="AA388" s="182"/>
      <c r="AB388" s="182"/>
    </row>
    <row r="389" spans="1:28">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c r="Z389" s="182"/>
      <c r="AA389" s="182"/>
      <c r="AB389" s="182"/>
    </row>
    <row r="390" spans="1:28">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c r="Z390" s="182"/>
      <c r="AA390" s="182"/>
      <c r="AB390" s="182"/>
    </row>
    <row r="391" spans="1:28">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c r="Z391" s="182"/>
      <c r="AA391" s="182"/>
      <c r="AB391" s="182"/>
    </row>
    <row r="392" spans="1:28">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row>
    <row r="393" spans="1:28">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c r="Z393" s="182"/>
      <c r="AA393" s="182"/>
      <c r="AB393" s="182"/>
    </row>
    <row r="394" spans="1:28">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c r="Z394" s="182"/>
      <c r="AA394" s="182"/>
      <c r="AB394" s="182"/>
    </row>
    <row r="395" spans="1:28">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c r="Z395" s="182"/>
      <c r="AA395" s="182"/>
      <c r="AB395" s="182"/>
    </row>
    <row r="396" spans="1:28">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c r="Z396" s="182"/>
      <c r="AA396" s="182"/>
      <c r="AB396" s="182"/>
    </row>
    <row r="397" spans="1:28">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row>
    <row r="398" spans="1:28">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row>
    <row r="399" spans="1:28">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row>
    <row r="400" spans="1:28">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row>
    <row r="401" spans="1:28">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82"/>
      <c r="Z401" s="182"/>
      <c r="AA401" s="182"/>
      <c r="AB401" s="182"/>
    </row>
    <row r="402" spans="1:28">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c r="Z402" s="182"/>
      <c r="AA402" s="182"/>
      <c r="AB402" s="182"/>
    </row>
    <row r="403" spans="1:28">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c r="Z403" s="182"/>
      <c r="AA403" s="182"/>
      <c r="AB403" s="182"/>
    </row>
    <row r="404" spans="1:28">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c r="Z404" s="182"/>
      <c r="AA404" s="182"/>
      <c r="AB404" s="182"/>
    </row>
    <row r="405" spans="1:28">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c r="Z405" s="182"/>
      <c r="AA405" s="182"/>
      <c r="AB405" s="182"/>
    </row>
    <row r="406" spans="1:28">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c r="Z406" s="182"/>
      <c r="AA406" s="182"/>
      <c r="AB406" s="182"/>
    </row>
    <row r="407" spans="1:28">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c r="Z407" s="182"/>
      <c r="AA407" s="182"/>
      <c r="AB407" s="182"/>
    </row>
    <row r="408" spans="1:28">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row>
    <row r="409" spans="1:28">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c r="Z409" s="182"/>
      <c r="AA409" s="182"/>
      <c r="AB409" s="182"/>
    </row>
    <row r="410" spans="1:28">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c r="Z410" s="182"/>
      <c r="AA410" s="182"/>
      <c r="AB410" s="182"/>
    </row>
    <row r="411" spans="1:28">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c r="Z411" s="182"/>
      <c r="AA411" s="182"/>
      <c r="AB411" s="182"/>
    </row>
    <row r="412" spans="1:28">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c r="Z412" s="182"/>
      <c r="AA412" s="182"/>
      <c r="AB412" s="182"/>
    </row>
    <row r="413" spans="1:28">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c r="Z413" s="182"/>
      <c r="AA413" s="182"/>
      <c r="AB413" s="182"/>
    </row>
    <row r="414" spans="1:28">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c r="Z414" s="182"/>
      <c r="AA414" s="182"/>
      <c r="AB414" s="182"/>
    </row>
    <row r="415" spans="1:28">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row>
    <row r="416" spans="1:28">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c r="Z416" s="182"/>
      <c r="AA416" s="182"/>
      <c r="AB416" s="182"/>
    </row>
    <row r="417" spans="1:28">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2"/>
    </row>
    <row r="418" spans="1:28">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c r="Z418" s="182"/>
      <c r="AA418" s="182"/>
      <c r="AB418" s="182"/>
    </row>
    <row r="419" spans="1:28">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row>
    <row r="420" spans="1:28">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row>
    <row r="421" spans="1:28">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row>
    <row r="422" spans="1:28">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row>
    <row r="423" spans="1:28">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row>
    <row r="424" spans="1:28">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row>
    <row r="425" spans="1:28">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row>
    <row r="426" spans="1:28">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row>
    <row r="427" spans="1:28">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row>
    <row r="428" spans="1:28">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row>
    <row r="429" spans="1:28">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row>
    <row r="430" spans="1:28">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row>
    <row r="431" spans="1:28">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row>
    <row r="432" spans="1:28">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row>
    <row r="433" spans="1:28">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row>
    <row r="434" spans="1:28">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c r="Z434" s="182"/>
      <c r="AA434" s="182"/>
      <c r="AB434" s="182"/>
    </row>
    <row r="435" spans="1:28">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row>
    <row r="436" spans="1:28">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row>
    <row r="437" spans="1:28">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row>
    <row r="438" spans="1:28">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row>
    <row r="439" spans="1:28">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c r="Z439" s="182"/>
      <c r="AA439" s="182"/>
      <c r="AB439" s="182"/>
    </row>
    <row r="440" spans="1:28">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row>
    <row r="441" spans="1:28">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c r="Z441" s="182"/>
      <c r="AA441" s="182"/>
      <c r="AB441" s="182"/>
    </row>
    <row r="442" spans="1:28">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c r="Z442" s="182"/>
      <c r="AA442" s="182"/>
      <c r="AB442" s="182"/>
    </row>
    <row r="443" spans="1:28">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row>
    <row r="444" spans="1:28">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c r="Z444" s="182"/>
      <c r="AA444" s="182"/>
      <c r="AB444" s="182"/>
    </row>
    <row r="445" spans="1:28">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c r="Z445" s="182"/>
      <c r="AA445" s="182"/>
      <c r="AB445" s="182"/>
    </row>
    <row r="446" spans="1:28">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c r="Z446" s="182"/>
      <c r="AA446" s="182"/>
      <c r="AB446" s="182"/>
    </row>
    <row r="447" spans="1:28">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c r="Z447" s="182"/>
      <c r="AA447" s="182"/>
      <c r="AB447" s="182"/>
    </row>
    <row r="448" spans="1:28">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row>
    <row r="449" spans="1:28">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c r="Z449" s="182"/>
      <c r="AA449" s="182"/>
      <c r="AB449" s="182"/>
    </row>
    <row r="450" spans="1:28">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c r="Z450" s="182"/>
      <c r="AA450" s="182"/>
      <c r="AB450" s="182"/>
    </row>
    <row r="451" spans="1:28">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row>
    <row r="452" spans="1:28">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row>
    <row r="453" spans="1:28">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row>
    <row r="454" spans="1:28">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row>
    <row r="455" spans="1:28">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row>
    <row r="456" spans="1:28">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row>
    <row r="457" spans="1:28">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row>
    <row r="458" spans="1:28">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row>
    <row r="459" spans="1:28">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row>
    <row r="460" spans="1:28">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row>
    <row r="461" spans="1:28">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row>
    <row r="462" spans="1:28">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row>
    <row r="463" spans="1:28">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row>
    <row r="464" spans="1:28">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row>
    <row r="465" spans="1:28">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c r="Z465" s="182"/>
      <c r="AA465" s="182"/>
      <c r="AB465" s="182"/>
    </row>
    <row r="466" spans="1:28">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row>
    <row r="467" spans="1:28">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row>
    <row r="468" spans="1:28">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row>
    <row r="469" spans="1:28">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row>
    <row r="470" spans="1:28">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row>
    <row r="471" spans="1:28">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row>
    <row r="472" spans="1:28">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row>
    <row r="473" spans="1:28">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row>
    <row r="474" spans="1:28">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row>
    <row r="475" spans="1:28">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row>
    <row r="476" spans="1:28">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row>
    <row r="477" spans="1:28">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row>
    <row r="478" spans="1:28">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row>
    <row r="479" spans="1:28">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row>
    <row r="480" spans="1:28">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c r="Z480" s="182"/>
      <c r="AA480" s="182"/>
      <c r="AB480" s="182"/>
    </row>
    <row r="481" spans="1:28">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row>
    <row r="482" spans="1:28">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c r="Z482" s="182"/>
      <c r="AA482" s="182"/>
      <c r="AB482" s="182"/>
    </row>
    <row r="483" spans="1:28">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c r="Z483" s="182"/>
      <c r="AA483" s="182"/>
      <c r="AB483" s="182"/>
    </row>
    <row r="484" spans="1:28">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c r="Z484" s="182"/>
      <c r="AA484" s="182"/>
      <c r="AB484" s="182"/>
    </row>
    <row r="485" spans="1:28">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row>
    <row r="486" spans="1:28">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row>
    <row r="487" spans="1:28">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row>
    <row r="488" spans="1:28">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row>
    <row r="489" spans="1:28">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row>
    <row r="490" spans="1:28">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row>
    <row r="491" spans="1:28">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row>
    <row r="492" spans="1:28">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row>
    <row r="493" spans="1:28">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c r="Z493" s="182"/>
      <c r="AA493" s="182"/>
      <c r="AB493" s="182"/>
    </row>
    <row r="494" spans="1:28">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c r="Z494" s="182"/>
      <c r="AA494" s="182"/>
      <c r="AB494" s="182"/>
    </row>
    <row r="495" spans="1:28">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c r="Z495" s="182"/>
      <c r="AA495" s="182"/>
      <c r="AB495" s="182"/>
    </row>
    <row r="496" spans="1:28">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c r="Z496" s="182"/>
      <c r="AA496" s="182"/>
      <c r="AB496" s="182"/>
    </row>
    <row r="497" spans="1:28">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c r="Z497" s="182"/>
      <c r="AA497" s="182"/>
      <c r="AB497" s="182"/>
    </row>
    <row r="498" spans="1:28">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row>
    <row r="499" spans="1:28">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c r="Z499" s="182"/>
      <c r="AA499" s="182"/>
      <c r="AB499" s="182"/>
    </row>
    <row r="500" spans="1:28">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row>
    <row r="501" spans="1:28">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row>
    <row r="502" spans="1:28">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row>
    <row r="503" spans="1:28">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row>
    <row r="504" spans="1:28">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row>
    <row r="505" spans="1:28">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row>
    <row r="506" spans="1:28">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row>
    <row r="507" spans="1:28">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row>
    <row r="508" spans="1:28">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row>
    <row r="509" spans="1:28">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row>
    <row r="510" spans="1:28">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row>
    <row r="511" spans="1:28">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row>
    <row r="512" spans="1:28">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c r="Z512" s="182"/>
      <c r="AA512" s="182"/>
      <c r="AB512" s="182"/>
    </row>
    <row r="513" spans="1:28">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row>
    <row r="514" spans="1:28">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c r="Z514" s="182"/>
      <c r="AA514" s="182"/>
      <c r="AB514" s="182"/>
    </row>
    <row r="515" spans="1:28">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c r="Z515" s="182"/>
      <c r="AA515" s="182"/>
      <c r="AB515" s="182"/>
    </row>
    <row r="516" spans="1:28">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c r="Z516" s="182"/>
      <c r="AA516" s="182"/>
      <c r="AB516" s="182"/>
    </row>
    <row r="517" spans="1:28">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row>
    <row r="518" spans="1:28">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c r="Z518" s="182"/>
      <c r="AA518" s="182"/>
      <c r="AB518" s="182"/>
    </row>
    <row r="519" spans="1:28">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c r="Z519" s="182"/>
      <c r="AA519" s="182"/>
      <c r="AB519" s="182"/>
    </row>
    <row r="520" spans="1:28">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row>
    <row r="521" spans="1:28">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c r="Z521" s="182"/>
      <c r="AA521" s="182"/>
      <c r="AB521" s="182"/>
    </row>
    <row r="522" spans="1:28">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c r="Z522" s="182"/>
      <c r="AA522" s="182"/>
      <c r="AB522" s="182"/>
    </row>
    <row r="523" spans="1:28">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row>
    <row r="524" spans="1:28">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c r="Z524" s="182"/>
      <c r="AA524" s="182"/>
      <c r="AB524" s="182"/>
    </row>
    <row r="525" spans="1:28">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row>
    <row r="526" spans="1:28">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row>
    <row r="527" spans="1:28">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row>
    <row r="528" spans="1:28">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row>
    <row r="529" spans="1:28">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row>
    <row r="530" spans="1:28">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row>
    <row r="531" spans="1:28">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row>
    <row r="532" spans="1:28">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row>
    <row r="533" spans="1:28">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c r="Z533" s="182"/>
      <c r="AA533" s="182"/>
      <c r="AB533" s="182"/>
    </row>
    <row r="534" spans="1:28">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c r="Z534" s="182"/>
      <c r="AA534" s="182"/>
      <c r="AB534" s="182"/>
    </row>
    <row r="535" spans="1:28">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c r="Z535" s="182"/>
      <c r="AA535" s="182"/>
      <c r="AB535" s="182"/>
    </row>
    <row r="536" spans="1:28">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c r="Z536" s="182"/>
      <c r="AA536" s="182"/>
      <c r="AB536" s="182"/>
    </row>
    <row r="537" spans="1:28">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row>
    <row r="538" spans="1:28">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c r="Z538" s="182"/>
      <c r="AA538" s="182"/>
      <c r="AB538" s="182"/>
    </row>
    <row r="539" spans="1:28">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c r="Z539" s="182"/>
      <c r="AA539" s="182"/>
      <c r="AB539" s="182"/>
    </row>
    <row r="540" spans="1:28">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row>
    <row r="541" spans="1:28">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row>
    <row r="542" spans="1:28">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row>
    <row r="543" spans="1:28">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row>
    <row r="544" spans="1:28">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row>
    <row r="545" spans="1:28">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row>
    <row r="546" spans="1:28">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row>
    <row r="547" spans="1:28">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row>
    <row r="548" spans="1:28">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c r="Z548" s="182"/>
      <c r="AA548" s="182"/>
      <c r="AB548" s="182"/>
    </row>
    <row r="549" spans="1:28">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c r="Z549" s="182"/>
      <c r="AA549" s="182"/>
      <c r="AB549" s="182"/>
    </row>
    <row r="550" spans="1:28">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row>
    <row r="551" spans="1:28">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c r="Z551" s="182"/>
      <c r="AA551" s="182"/>
      <c r="AB551" s="182"/>
    </row>
    <row r="552" spans="1:28">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row>
    <row r="553" spans="1:28">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row>
    <row r="554" spans="1:28">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c r="Z554" s="182"/>
      <c r="AA554" s="182"/>
      <c r="AB554" s="182"/>
    </row>
    <row r="555" spans="1:28">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row>
    <row r="556" spans="1:28">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c r="Z556" s="182"/>
      <c r="AA556" s="182"/>
      <c r="AB556" s="182"/>
    </row>
    <row r="557" spans="1:28">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c r="Z557" s="182"/>
      <c r="AA557" s="182"/>
      <c r="AB557" s="182"/>
    </row>
    <row r="558" spans="1:28">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row>
    <row r="559" spans="1:28">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c r="Z559" s="182"/>
      <c r="AA559" s="182"/>
      <c r="AB559" s="182"/>
    </row>
    <row r="560" spans="1:28">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c r="Z560" s="182"/>
      <c r="AA560" s="182"/>
      <c r="AB560" s="182"/>
    </row>
    <row r="561" spans="1:28">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c r="Z561" s="182"/>
      <c r="AA561" s="182"/>
      <c r="AB561" s="182"/>
    </row>
    <row r="562" spans="1:28">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c r="Z562" s="182"/>
      <c r="AA562" s="182"/>
      <c r="AB562" s="182"/>
    </row>
    <row r="563" spans="1:28">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c r="Z563" s="182"/>
      <c r="AA563" s="182"/>
      <c r="AB563" s="182"/>
    </row>
    <row r="564" spans="1:28">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c r="Z564" s="182"/>
      <c r="AA564" s="182"/>
      <c r="AB564" s="182"/>
    </row>
    <row r="565" spans="1:28">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c r="Z565" s="182"/>
      <c r="AA565" s="182"/>
      <c r="AB565" s="182"/>
    </row>
    <row r="566" spans="1:28">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row>
    <row r="567" spans="1:28">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c r="Z567" s="182"/>
      <c r="AA567" s="182"/>
      <c r="AB567" s="182"/>
    </row>
    <row r="568" spans="1:28">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c r="Z568" s="182"/>
      <c r="AA568" s="182"/>
      <c r="AB568" s="182"/>
    </row>
    <row r="569" spans="1:28">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c r="Z569" s="182"/>
      <c r="AA569" s="182"/>
      <c r="AB569" s="182"/>
    </row>
    <row r="570" spans="1:28">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c r="Z570" s="182"/>
      <c r="AA570" s="182"/>
      <c r="AB570" s="182"/>
    </row>
    <row r="571" spans="1:28">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c r="Z571" s="182"/>
      <c r="AA571" s="182"/>
      <c r="AB571" s="182"/>
    </row>
    <row r="572" spans="1:28">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c r="Z572" s="182"/>
      <c r="AA572" s="182"/>
      <c r="AB572" s="182"/>
    </row>
    <row r="573" spans="1:28">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c r="Z573" s="182"/>
      <c r="AA573" s="182"/>
      <c r="AB573" s="182"/>
    </row>
    <row r="574" spans="1:28">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c r="Z574" s="182"/>
      <c r="AA574" s="182"/>
      <c r="AB574" s="182"/>
    </row>
    <row r="575" spans="1:28">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82"/>
      <c r="Z575" s="182"/>
      <c r="AA575" s="182"/>
      <c r="AB575" s="182"/>
    </row>
    <row r="576" spans="1:28">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c r="Z576" s="182"/>
      <c r="AA576" s="182"/>
      <c r="AB576" s="182"/>
    </row>
    <row r="577" spans="1:28">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c r="Z577" s="182"/>
      <c r="AA577" s="182"/>
      <c r="AB577" s="182"/>
    </row>
    <row r="578" spans="1:28">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c r="Z578" s="182"/>
      <c r="AA578" s="182"/>
      <c r="AB578" s="182"/>
    </row>
    <row r="579" spans="1:28">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c r="Z579" s="182"/>
      <c r="AA579" s="182"/>
      <c r="AB579" s="182"/>
    </row>
    <row r="580" spans="1:28">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c r="Z580" s="182"/>
      <c r="AA580" s="182"/>
      <c r="AB580" s="182"/>
    </row>
    <row r="581" spans="1:28">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c r="Z581" s="182"/>
      <c r="AA581" s="182"/>
      <c r="AB581" s="182"/>
    </row>
    <row r="582" spans="1:28">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c r="Z582" s="182"/>
      <c r="AA582" s="182"/>
      <c r="AB582" s="182"/>
    </row>
    <row r="583" spans="1:28">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c r="Z583" s="182"/>
      <c r="AA583" s="182"/>
      <c r="AB583" s="182"/>
    </row>
    <row r="584" spans="1:28">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c r="Z584" s="182"/>
      <c r="AA584" s="182"/>
      <c r="AB584" s="182"/>
    </row>
    <row r="585" spans="1:28">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c r="Z585" s="182"/>
      <c r="AA585" s="182"/>
      <c r="AB585" s="182"/>
    </row>
    <row r="586" spans="1:28">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c r="Z586" s="182"/>
      <c r="AA586" s="182"/>
      <c r="AB586" s="182"/>
    </row>
    <row r="587" spans="1:28">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c r="Z587" s="182"/>
      <c r="AA587" s="182"/>
      <c r="AB587" s="182"/>
    </row>
    <row r="588" spans="1:28">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c r="Z588" s="182"/>
      <c r="AA588" s="182"/>
      <c r="AB588" s="182"/>
    </row>
    <row r="589" spans="1:28">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c r="Z589" s="182"/>
      <c r="AA589" s="182"/>
      <c r="AB589" s="182"/>
    </row>
    <row r="590" spans="1:28">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c r="Z590" s="182"/>
      <c r="AA590" s="182"/>
      <c r="AB590" s="182"/>
    </row>
    <row r="591" spans="1:28">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82"/>
      <c r="Z591" s="182"/>
      <c r="AA591" s="182"/>
      <c r="AB591" s="182"/>
    </row>
    <row r="592" spans="1:28">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c r="Z592" s="182"/>
      <c r="AA592" s="182"/>
      <c r="AB592" s="182"/>
    </row>
    <row r="593" spans="1:28">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c r="Z593" s="182"/>
      <c r="AA593" s="182"/>
      <c r="AB593" s="182"/>
    </row>
    <row r="594" spans="1:28">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c r="Z594" s="182"/>
      <c r="AA594" s="182"/>
      <c r="AB594" s="182"/>
    </row>
    <row r="595" spans="1:28">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c r="Z595" s="182"/>
      <c r="AA595" s="182"/>
      <c r="AB595" s="182"/>
    </row>
    <row r="596" spans="1:28">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c r="Z596" s="182"/>
      <c r="AA596" s="182"/>
      <c r="AB596" s="182"/>
    </row>
    <row r="597" spans="1:28">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c r="Z597" s="182"/>
      <c r="AA597" s="182"/>
      <c r="AB597" s="182"/>
    </row>
    <row r="598" spans="1:28">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c r="Z598" s="182"/>
      <c r="AA598" s="182"/>
      <c r="AB598" s="182"/>
    </row>
    <row r="599" spans="1:28">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c r="Z599" s="182"/>
      <c r="AA599" s="182"/>
      <c r="AB599" s="182"/>
    </row>
    <row r="600" spans="1:28">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row>
    <row r="601" spans="1:28">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c r="Z601" s="182"/>
      <c r="AA601" s="182"/>
      <c r="AB601" s="182"/>
    </row>
    <row r="602" spans="1:28">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c r="Z602" s="182"/>
      <c r="AA602" s="182"/>
      <c r="AB602" s="182"/>
    </row>
    <row r="603" spans="1:28">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c r="Z603" s="182"/>
      <c r="AA603" s="182"/>
      <c r="AB603" s="182"/>
    </row>
    <row r="604" spans="1:28">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c r="Z604" s="182"/>
      <c r="AA604" s="182"/>
      <c r="AB604" s="182"/>
    </row>
    <row r="605" spans="1:28">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c r="Z605" s="182"/>
      <c r="AA605" s="182"/>
      <c r="AB605" s="182"/>
    </row>
    <row r="606" spans="1:28">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c r="Z606" s="182"/>
      <c r="AA606" s="182"/>
      <c r="AB606" s="182"/>
    </row>
    <row r="607" spans="1:28">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c r="Z607" s="182"/>
      <c r="AA607" s="182"/>
      <c r="AB607" s="182"/>
    </row>
    <row r="608" spans="1:28">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c r="Z608" s="182"/>
      <c r="AA608" s="182"/>
      <c r="AB608" s="182"/>
    </row>
    <row r="609" spans="1:28">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c r="Z609" s="182"/>
      <c r="AA609" s="182"/>
      <c r="AB609" s="182"/>
    </row>
    <row r="610" spans="1:28">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c r="Z610" s="182"/>
      <c r="AA610" s="182"/>
      <c r="AB610" s="182"/>
    </row>
    <row r="611" spans="1:28">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c r="Z611" s="182"/>
      <c r="AA611" s="182"/>
      <c r="AB611" s="182"/>
    </row>
    <row r="612" spans="1:28">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c r="Z612" s="182"/>
      <c r="AA612" s="182"/>
      <c r="AB612" s="182"/>
    </row>
    <row r="613" spans="1:28">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c r="Z613" s="182"/>
      <c r="AA613" s="182"/>
      <c r="AB613" s="182"/>
    </row>
    <row r="614" spans="1:28">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c r="Z614" s="182"/>
      <c r="AA614" s="182"/>
      <c r="AB614" s="182"/>
    </row>
    <row r="615" spans="1:28">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c r="Z615" s="182"/>
      <c r="AA615" s="182"/>
      <c r="AB615" s="182"/>
    </row>
    <row r="616" spans="1:28">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c r="Z616" s="182"/>
      <c r="AA616" s="182"/>
      <c r="AB616" s="182"/>
    </row>
    <row r="617" spans="1:28">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c r="Z617" s="182"/>
      <c r="AA617" s="182"/>
      <c r="AB617" s="182"/>
    </row>
    <row r="618" spans="1:28">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c r="Z618" s="182"/>
      <c r="AA618" s="182"/>
      <c r="AB618" s="182"/>
    </row>
    <row r="619" spans="1:28">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c r="Z619" s="182"/>
      <c r="AA619" s="182"/>
      <c r="AB619" s="182"/>
    </row>
    <row r="620" spans="1:28">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c r="Z620" s="182"/>
      <c r="AA620" s="182"/>
      <c r="AB620" s="182"/>
    </row>
    <row r="621" spans="1:28">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c r="Z621" s="182"/>
      <c r="AA621" s="182"/>
      <c r="AB621" s="182"/>
    </row>
    <row r="622" spans="1:28">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c r="Z622" s="182"/>
      <c r="AA622" s="182"/>
      <c r="AB622" s="182"/>
    </row>
    <row r="623" spans="1:28">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c r="Z623" s="182"/>
      <c r="AA623" s="182"/>
      <c r="AB623" s="182"/>
    </row>
    <row r="624" spans="1:28">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c r="Z624" s="182"/>
      <c r="AA624" s="182"/>
      <c r="AB624" s="182"/>
    </row>
    <row r="625" spans="1:28">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c r="Z625" s="182"/>
      <c r="AA625" s="182"/>
      <c r="AB625" s="182"/>
    </row>
    <row r="626" spans="1:28">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c r="Z626" s="182"/>
      <c r="AA626" s="182"/>
      <c r="AB626" s="182"/>
    </row>
    <row r="627" spans="1:28">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c r="Z627" s="182"/>
      <c r="AA627" s="182"/>
      <c r="AB627" s="182"/>
    </row>
    <row r="628" spans="1:28">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c r="Z628" s="182"/>
      <c r="AA628" s="182"/>
      <c r="AB628" s="182"/>
    </row>
    <row r="629" spans="1:28">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c r="Z629" s="182"/>
      <c r="AA629" s="182"/>
      <c r="AB629" s="182"/>
    </row>
    <row r="630" spans="1:28">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c r="Z630" s="182"/>
      <c r="AA630" s="182"/>
      <c r="AB630" s="182"/>
    </row>
    <row r="631" spans="1:28">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c r="Z631" s="182"/>
      <c r="AA631" s="182"/>
      <c r="AB631" s="182"/>
    </row>
    <row r="632" spans="1:28">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c r="Z632" s="182"/>
      <c r="AA632" s="182"/>
      <c r="AB632" s="182"/>
    </row>
    <row r="633" spans="1:28">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c r="Z633" s="182"/>
      <c r="AA633" s="182"/>
      <c r="AB633" s="182"/>
    </row>
    <row r="634" spans="1:28">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c r="Z634" s="182"/>
      <c r="AA634" s="182"/>
      <c r="AB634" s="182"/>
    </row>
    <row r="635" spans="1:28">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c r="Z635" s="182"/>
      <c r="AA635" s="182"/>
      <c r="AB635" s="182"/>
    </row>
    <row r="636" spans="1:28">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c r="Z636" s="182"/>
      <c r="AA636" s="182"/>
      <c r="AB636" s="182"/>
    </row>
    <row r="637" spans="1:28">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c r="Z637" s="182"/>
      <c r="AA637" s="182"/>
      <c r="AB637" s="182"/>
    </row>
    <row r="638" spans="1:28">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c r="Z638" s="182"/>
      <c r="AA638" s="182"/>
      <c r="AB638" s="182"/>
    </row>
    <row r="639" spans="1:28">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c r="Z639" s="182"/>
      <c r="AA639" s="182"/>
      <c r="AB639" s="182"/>
    </row>
    <row r="640" spans="1:28">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c r="Z640" s="182"/>
      <c r="AA640" s="182"/>
      <c r="AB640" s="182"/>
    </row>
    <row r="641" spans="1:28">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c r="Z641" s="182"/>
      <c r="AA641" s="182"/>
      <c r="AB641" s="182"/>
    </row>
    <row r="642" spans="1:28">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row>
    <row r="643" spans="1:28">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c r="Z643" s="182"/>
      <c r="AA643" s="182"/>
      <c r="AB643" s="182"/>
    </row>
    <row r="644" spans="1:28">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c r="Z644" s="182"/>
      <c r="AA644" s="182"/>
      <c r="AB644" s="182"/>
    </row>
    <row r="645" spans="1:28">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c r="Z645" s="182"/>
      <c r="AA645" s="182"/>
      <c r="AB645" s="182"/>
    </row>
    <row r="646" spans="1:28">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c r="Z646" s="182"/>
      <c r="AA646" s="182"/>
      <c r="AB646" s="182"/>
    </row>
    <row r="647" spans="1:28">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c r="Z647" s="182"/>
      <c r="AA647" s="182"/>
      <c r="AB647" s="182"/>
    </row>
    <row r="648" spans="1:28">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c r="Z648" s="182"/>
      <c r="AA648" s="182"/>
      <c r="AB648" s="182"/>
    </row>
    <row r="649" spans="1:28">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c r="Z649" s="182"/>
      <c r="AA649" s="182"/>
      <c r="AB649" s="182"/>
    </row>
    <row r="650" spans="1:28">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82"/>
      <c r="Z650" s="182"/>
      <c r="AA650" s="182"/>
      <c r="AB650" s="182"/>
    </row>
    <row r="651" spans="1:28">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c r="Z651" s="182"/>
      <c r="AA651" s="182"/>
      <c r="AB651" s="182"/>
    </row>
    <row r="652" spans="1:28">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c r="Z652" s="182"/>
      <c r="AA652" s="182"/>
      <c r="AB652" s="182"/>
    </row>
    <row r="653" spans="1:28">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c r="Z653" s="182"/>
      <c r="AA653" s="182"/>
      <c r="AB653" s="182"/>
    </row>
    <row r="654" spans="1:28">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c r="Z654" s="182"/>
      <c r="AA654" s="182"/>
      <c r="AB654" s="182"/>
    </row>
    <row r="655" spans="1:28">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c r="Z655" s="182"/>
      <c r="AA655" s="182"/>
      <c r="AB655" s="182"/>
    </row>
    <row r="656" spans="1:28">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c r="Z656" s="182"/>
      <c r="AA656" s="182"/>
      <c r="AB656" s="182"/>
    </row>
    <row r="657" spans="1:28">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c r="Z657" s="182"/>
      <c r="AA657" s="182"/>
      <c r="AB657" s="182"/>
    </row>
    <row r="658" spans="1:28">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c r="Z658" s="182"/>
      <c r="AA658" s="182"/>
      <c r="AB658" s="182"/>
    </row>
    <row r="659" spans="1:28">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c r="Z659" s="182"/>
      <c r="AA659" s="182"/>
      <c r="AB659" s="182"/>
    </row>
    <row r="660" spans="1:28">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c r="Z660" s="182"/>
      <c r="AA660" s="182"/>
      <c r="AB660" s="182"/>
    </row>
    <row r="661" spans="1:28">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c r="Z661" s="182"/>
      <c r="AA661" s="182"/>
      <c r="AB661" s="182"/>
    </row>
    <row r="662" spans="1:28">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c r="Z662" s="182"/>
      <c r="AA662" s="182"/>
      <c r="AB662" s="182"/>
    </row>
    <row r="663" spans="1:28">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c r="Z663" s="182"/>
      <c r="AA663" s="182"/>
      <c r="AB663" s="182"/>
    </row>
    <row r="664" spans="1:28">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c r="Z664" s="182"/>
      <c r="AA664" s="182"/>
      <c r="AB664" s="182"/>
    </row>
    <row r="665" spans="1:28">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c r="Z665" s="182"/>
      <c r="AA665" s="182"/>
      <c r="AB665" s="182"/>
    </row>
    <row r="666" spans="1:28">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c r="Z666" s="182"/>
      <c r="AA666" s="182"/>
      <c r="AB666" s="182"/>
    </row>
    <row r="667" spans="1:28">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c r="Z667" s="182"/>
      <c r="AA667" s="182"/>
      <c r="AB667" s="182"/>
    </row>
    <row r="668" spans="1:28">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c r="Z668" s="182"/>
      <c r="AA668" s="182"/>
      <c r="AB668" s="182"/>
    </row>
    <row r="669" spans="1:28">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c r="Z669" s="182"/>
      <c r="AA669" s="182"/>
      <c r="AB669" s="182"/>
    </row>
    <row r="670" spans="1:28">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c r="Z670" s="182"/>
      <c r="AA670" s="182"/>
      <c r="AB670" s="182"/>
    </row>
    <row r="671" spans="1:28">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c r="Z671" s="182"/>
      <c r="AA671" s="182"/>
      <c r="AB671" s="182"/>
    </row>
    <row r="672" spans="1:28">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c r="Z672" s="182"/>
      <c r="AA672" s="182"/>
      <c r="AB672" s="182"/>
    </row>
    <row r="673" spans="1:28">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c r="Z673" s="182"/>
      <c r="AA673" s="182"/>
      <c r="AB673" s="182"/>
    </row>
    <row r="674" spans="1:28">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c r="Z674" s="182"/>
      <c r="AA674" s="182"/>
      <c r="AB674" s="182"/>
    </row>
    <row r="675" spans="1:28">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c r="Z675" s="182"/>
      <c r="AA675" s="182"/>
      <c r="AB675" s="182"/>
    </row>
    <row r="676" spans="1:28">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c r="Z676" s="182"/>
      <c r="AA676" s="182"/>
      <c r="AB676" s="182"/>
    </row>
    <row r="677" spans="1:28">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c r="Z677" s="182"/>
      <c r="AA677" s="182"/>
      <c r="AB677" s="182"/>
    </row>
    <row r="678" spans="1:28">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c r="Z678" s="182"/>
      <c r="AA678" s="182"/>
      <c r="AB678" s="182"/>
    </row>
    <row r="679" spans="1:28">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c r="Z679" s="182"/>
      <c r="AA679" s="182"/>
      <c r="AB679" s="182"/>
    </row>
    <row r="680" spans="1:28">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c r="Z680" s="182"/>
      <c r="AA680" s="182"/>
      <c r="AB680" s="182"/>
    </row>
    <row r="681" spans="1:28">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c r="Z681" s="182"/>
      <c r="AA681" s="182"/>
      <c r="AB681" s="182"/>
    </row>
    <row r="682" spans="1:28">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c r="Z682" s="182"/>
      <c r="AA682" s="182"/>
      <c r="AB682" s="182"/>
    </row>
    <row r="683" spans="1:28">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c r="Z683" s="182"/>
      <c r="AA683" s="182"/>
      <c r="AB683" s="182"/>
    </row>
    <row r="684" spans="1:28">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c r="Z684" s="182"/>
      <c r="AA684" s="182"/>
      <c r="AB684" s="182"/>
    </row>
    <row r="685" spans="1:28">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c r="Z685" s="182"/>
      <c r="AA685" s="182"/>
      <c r="AB685" s="182"/>
    </row>
    <row r="686" spans="1:28">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c r="Z686" s="182"/>
      <c r="AA686" s="182"/>
      <c r="AB686" s="182"/>
    </row>
    <row r="687" spans="1:28">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c r="Z687" s="182"/>
      <c r="AA687" s="182"/>
      <c r="AB687" s="182"/>
    </row>
    <row r="688" spans="1:28">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row>
    <row r="689" spans="1:28">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c r="Z689" s="182"/>
      <c r="AA689" s="182"/>
      <c r="AB689" s="182"/>
    </row>
    <row r="690" spans="1:28">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c r="Z690" s="182"/>
      <c r="AA690" s="182"/>
      <c r="AB690" s="182"/>
    </row>
    <row r="691" spans="1:28">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c r="Z691" s="182"/>
      <c r="AA691" s="182"/>
      <c r="AB691" s="182"/>
    </row>
    <row r="692" spans="1:28">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c r="Z692" s="182"/>
      <c r="AA692" s="182"/>
      <c r="AB692" s="182"/>
    </row>
    <row r="693" spans="1:28">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c r="Z693" s="182"/>
      <c r="AA693" s="182"/>
      <c r="AB693" s="182"/>
    </row>
    <row r="694" spans="1:28">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c r="Z694" s="182"/>
      <c r="AA694" s="182"/>
      <c r="AB694" s="182"/>
    </row>
    <row r="695" spans="1:28">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c r="Z695" s="182"/>
      <c r="AA695" s="182"/>
      <c r="AB695" s="182"/>
    </row>
    <row r="696" spans="1:28">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c r="Z696" s="182"/>
      <c r="AA696" s="182"/>
      <c r="AB696" s="182"/>
    </row>
    <row r="697" spans="1:28">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c r="Z697" s="182"/>
      <c r="AA697" s="182"/>
      <c r="AB697" s="182"/>
    </row>
    <row r="698" spans="1:28">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c r="Z698" s="182"/>
      <c r="AA698" s="182"/>
      <c r="AB698" s="182"/>
    </row>
    <row r="699" spans="1:28">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c r="Z699" s="182"/>
      <c r="AA699" s="182"/>
      <c r="AB699" s="182"/>
    </row>
    <row r="700" spans="1:28">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c r="Z700" s="182"/>
      <c r="AA700" s="182"/>
      <c r="AB700" s="182"/>
    </row>
    <row r="701" spans="1:28">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c r="Z701" s="182"/>
      <c r="AA701" s="182"/>
      <c r="AB701" s="182"/>
    </row>
    <row r="702" spans="1:28">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c r="Z702" s="182"/>
      <c r="AA702" s="182"/>
      <c r="AB702" s="182"/>
    </row>
    <row r="703" spans="1:28">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c r="Z703" s="182"/>
      <c r="AA703" s="182"/>
      <c r="AB703" s="182"/>
    </row>
    <row r="704" spans="1:28">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c r="Z704" s="182"/>
      <c r="AA704" s="182"/>
      <c r="AB704" s="182"/>
    </row>
    <row r="705" spans="1:28">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c r="Z705" s="182"/>
      <c r="AA705" s="182"/>
      <c r="AB705" s="182"/>
    </row>
    <row r="706" spans="1:28">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c r="Z706" s="182"/>
      <c r="AA706" s="182"/>
      <c r="AB706" s="182"/>
    </row>
    <row r="707" spans="1:28">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c r="Z707" s="182"/>
      <c r="AA707" s="182"/>
      <c r="AB707" s="182"/>
    </row>
    <row r="708" spans="1:28">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c r="Z708" s="182"/>
      <c r="AA708" s="182"/>
      <c r="AB708" s="182"/>
    </row>
    <row r="709" spans="1:28">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c r="Z709" s="182"/>
      <c r="AA709" s="182"/>
      <c r="AB709" s="182"/>
    </row>
    <row r="710" spans="1:28">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82"/>
      <c r="Z710" s="182"/>
      <c r="AA710" s="182"/>
      <c r="AB710" s="182"/>
    </row>
    <row r="711" spans="1:28">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c r="Z711" s="182"/>
      <c r="AA711" s="182"/>
      <c r="AB711" s="182"/>
    </row>
    <row r="712" spans="1:28">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c r="Z712" s="182"/>
      <c r="AA712" s="182"/>
      <c r="AB712" s="182"/>
    </row>
    <row r="713" spans="1:28">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c r="Z713" s="182"/>
      <c r="AA713" s="182"/>
      <c r="AB713" s="182"/>
    </row>
    <row r="714" spans="1:28">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c r="Z714" s="182"/>
      <c r="AA714" s="182"/>
      <c r="AB714" s="182"/>
    </row>
    <row r="715" spans="1:28">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c r="Z715" s="182"/>
      <c r="AA715" s="182"/>
      <c r="AB715" s="182"/>
    </row>
    <row r="716" spans="1:28">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c r="Z716" s="182"/>
      <c r="AA716" s="182"/>
      <c r="AB716" s="182"/>
    </row>
    <row r="717" spans="1:28">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c r="Z717" s="182"/>
      <c r="AA717" s="182"/>
      <c r="AB717" s="182"/>
    </row>
    <row r="718" spans="1:28">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c r="Z718" s="182"/>
      <c r="AA718" s="182"/>
      <c r="AB718" s="182"/>
    </row>
    <row r="719" spans="1:28">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c r="Z719" s="182"/>
      <c r="AA719" s="182"/>
      <c r="AB719" s="182"/>
    </row>
    <row r="720" spans="1:28">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c r="Z720" s="182"/>
      <c r="AA720" s="182"/>
      <c r="AB720" s="182"/>
    </row>
    <row r="721" spans="1:28">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c r="Z721" s="182"/>
      <c r="AA721" s="182"/>
      <c r="AB721" s="182"/>
    </row>
    <row r="722" spans="1:28">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c r="Z722" s="182"/>
      <c r="AA722" s="182"/>
      <c r="AB722" s="182"/>
    </row>
    <row r="723" spans="1:28">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c r="Z723" s="182"/>
      <c r="AA723" s="182"/>
      <c r="AB723" s="182"/>
    </row>
    <row r="724" spans="1:28">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c r="Z724" s="182"/>
      <c r="AA724" s="182"/>
      <c r="AB724" s="182"/>
    </row>
    <row r="725" spans="1:28">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c r="Z725" s="182"/>
      <c r="AA725" s="182"/>
      <c r="AB725" s="182"/>
    </row>
    <row r="726" spans="1:28">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c r="Z726" s="182"/>
      <c r="AA726" s="182"/>
      <c r="AB726" s="182"/>
    </row>
    <row r="727" spans="1:28">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c r="Z727" s="182"/>
      <c r="AA727" s="182"/>
      <c r="AB727" s="182"/>
    </row>
    <row r="728" spans="1:28">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c r="Z728" s="182"/>
      <c r="AA728" s="182"/>
      <c r="AB728" s="182"/>
    </row>
    <row r="729" spans="1:28">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c r="Z729" s="182"/>
      <c r="AA729" s="182"/>
      <c r="AB729" s="182"/>
    </row>
    <row r="730" spans="1:28">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c r="Z730" s="182"/>
      <c r="AA730" s="182"/>
      <c r="AB730" s="182"/>
    </row>
    <row r="731" spans="1:28">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c r="Z731" s="182"/>
      <c r="AA731" s="182"/>
      <c r="AB731" s="182"/>
    </row>
    <row r="732" spans="1:28">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c r="Z732" s="182"/>
      <c r="AA732" s="182"/>
      <c r="AB732" s="182"/>
    </row>
    <row r="733" spans="1:28">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row>
    <row r="734" spans="1:28">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row>
    <row r="735" spans="1:28">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c r="Z735" s="182"/>
      <c r="AA735" s="182"/>
      <c r="AB735" s="182"/>
    </row>
    <row r="736" spans="1:28">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row>
    <row r="737" spans="1:28">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c r="Z737" s="182"/>
      <c r="AA737" s="182"/>
      <c r="AB737" s="182"/>
    </row>
    <row r="738" spans="1:28">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c r="Z738" s="182"/>
      <c r="AA738" s="182"/>
      <c r="AB738" s="182"/>
    </row>
    <row r="739" spans="1:28">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c r="Z739" s="182"/>
      <c r="AA739" s="182"/>
      <c r="AB739" s="182"/>
    </row>
    <row r="740" spans="1:28">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c r="Z740" s="182"/>
      <c r="AA740" s="182"/>
      <c r="AB740" s="182"/>
    </row>
    <row r="741" spans="1:28">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c r="Z741" s="182"/>
      <c r="AA741" s="182"/>
      <c r="AB741" s="182"/>
    </row>
    <row r="742" spans="1:28">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c r="Z742" s="182"/>
      <c r="AA742" s="182"/>
      <c r="AB742" s="182"/>
    </row>
    <row r="743" spans="1:28">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c r="Z743" s="182"/>
      <c r="AA743" s="182"/>
      <c r="AB743" s="182"/>
    </row>
    <row r="744" spans="1:28">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c r="Z744" s="182"/>
      <c r="AA744" s="182"/>
      <c r="AB744" s="182"/>
    </row>
    <row r="745" spans="1:28">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c r="Z745" s="182"/>
      <c r="AA745" s="182"/>
      <c r="AB745" s="182"/>
    </row>
    <row r="746" spans="1:28">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c r="Z746" s="182"/>
      <c r="AA746" s="182"/>
      <c r="AB746" s="182"/>
    </row>
    <row r="747" spans="1:28">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c r="Z747" s="182"/>
      <c r="AA747" s="182"/>
      <c r="AB747" s="182"/>
    </row>
    <row r="748" spans="1:28">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c r="Z748" s="182"/>
      <c r="AA748" s="182"/>
      <c r="AB748" s="182"/>
    </row>
    <row r="749" spans="1:28">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c r="Z749" s="182"/>
      <c r="AA749" s="182"/>
      <c r="AB749" s="182"/>
    </row>
    <row r="750" spans="1:28">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c r="Z750" s="182"/>
      <c r="AA750" s="182"/>
      <c r="AB750" s="182"/>
    </row>
    <row r="751" spans="1:28">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c r="Z751" s="182"/>
      <c r="AA751" s="182"/>
      <c r="AB751" s="182"/>
    </row>
    <row r="752" spans="1:28">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c r="Z752" s="182"/>
      <c r="AA752" s="182"/>
      <c r="AB752" s="182"/>
    </row>
    <row r="753" spans="1:28">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c r="Z753" s="182"/>
      <c r="AA753" s="182"/>
      <c r="AB753" s="182"/>
    </row>
    <row r="754" spans="1:28">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c r="Z754" s="182"/>
      <c r="AA754" s="182"/>
      <c r="AB754" s="182"/>
    </row>
    <row r="755" spans="1:28">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c r="Z755" s="182"/>
      <c r="AA755" s="182"/>
      <c r="AB755" s="182"/>
    </row>
    <row r="756" spans="1:28">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c r="Z756" s="182"/>
      <c r="AA756" s="182"/>
      <c r="AB756" s="182"/>
    </row>
    <row r="757" spans="1:28">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c r="Z757" s="182"/>
      <c r="AA757" s="182"/>
      <c r="AB757" s="182"/>
    </row>
    <row r="758" spans="1:28">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c r="Z758" s="182"/>
      <c r="AA758" s="182"/>
      <c r="AB758" s="182"/>
    </row>
    <row r="759" spans="1:28">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row>
    <row r="760" spans="1:28">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c r="Z760" s="182"/>
      <c r="AA760" s="182"/>
      <c r="AB760" s="182"/>
    </row>
    <row r="761" spans="1:28">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c r="Z761" s="182"/>
      <c r="AA761" s="182"/>
      <c r="AB761" s="182"/>
    </row>
    <row r="762" spans="1:28">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c r="Z762" s="182"/>
      <c r="AA762" s="182"/>
      <c r="AB762" s="182"/>
    </row>
    <row r="763" spans="1:28">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c r="Z763" s="182"/>
      <c r="AA763" s="182"/>
      <c r="AB763" s="182"/>
    </row>
    <row r="764" spans="1:28">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c r="Z764" s="182"/>
      <c r="AA764" s="182"/>
      <c r="AB764" s="182"/>
    </row>
    <row r="765" spans="1:28">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c r="Z765" s="182"/>
      <c r="AA765" s="182"/>
      <c r="AB765" s="182"/>
    </row>
    <row r="766" spans="1:28">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c r="Z766" s="182"/>
      <c r="AA766" s="182"/>
      <c r="AB766" s="182"/>
    </row>
    <row r="767" spans="1:28">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c r="Z767" s="182"/>
      <c r="AA767" s="182"/>
      <c r="AB767" s="182"/>
    </row>
    <row r="768" spans="1:28">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c r="Z768" s="182"/>
      <c r="AA768" s="182"/>
      <c r="AB768" s="182"/>
    </row>
    <row r="769" spans="1:28">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c r="Z769" s="182"/>
      <c r="AA769" s="182"/>
      <c r="AB769" s="182"/>
    </row>
    <row r="770" spans="1:28">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c r="Z770" s="182"/>
      <c r="AA770" s="182"/>
      <c r="AB770" s="182"/>
    </row>
    <row r="771" spans="1:28">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c r="Z771" s="182"/>
      <c r="AA771" s="182"/>
      <c r="AB771" s="182"/>
    </row>
    <row r="772" spans="1:28">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c r="Z772" s="182"/>
      <c r="AA772" s="182"/>
      <c r="AB772" s="182"/>
    </row>
    <row r="773" spans="1:28">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c r="Z773" s="182"/>
      <c r="AA773" s="182"/>
      <c r="AB773" s="182"/>
    </row>
    <row r="774" spans="1:28">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82"/>
      <c r="Z774" s="182"/>
      <c r="AA774" s="182"/>
      <c r="AB774" s="182"/>
    </row>
    <row r="775" spans="1:28">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c r="Z775" s="182"/>
      <c r="AA775" s="182"/>
      <c r="AB775" s="182"/>
    </row>
    <row r="776" spans="1:28">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c r="Z776" s="182"/>
      <c r="AA776" s="182"/>
      <c r="AB776" s="182"/>
    </row>
    <row r="777" spans="1:28">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c r="Z777" s="182"/>
      <c r="AA777" s="182"/>
      <c r="AB777" s="182"/>
    </row>
    <row r="778" spans="1:28">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c r="Z778" s="182"/>
      <c r="AA778" s="182"/>
      <c r="AB778" s="182"/>
    </row>
    <row r="779" spans="1:28">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c r="Z779" s="182"/>
      <c r="AA779" s="182"/>
      <c r="AB779" s="182"/>
    </row>
    <row r="780" spans="1:28">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c r="Z780" s="182"/>
      <c r="AA780" s="182"/>
      <c r="AB780" s="182"/>
    </row>
    <row r="781" spans="1:28">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c r="Z781" s="182"/>
      <c r="AA781" s="182"/>
      <c r="AB781" s="182"/>
    </row>
    <row r="782" spans="1:28">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c r="Z782" s="182"/>
      <c r="AA782" s="182"/>
      <c r="AB782" s="182"/>
    </row>
    <row r="783" spans="1:28">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c r="Z783" s="182"/>
      <c r="AA783" s="182"/>
      <c r="AB783" s="182"/>
    </row>
    <row r="784" spans="1:28">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c r="Z784" s="182"/>
      <c r="AA784" s="182"/>
      <c r="AB784" s="182"/>
    </row>
    <row r="785" spans="1:28">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c r="Z785" s="182"/>
      <c r="AA785" s="182"/>
      <c r="AB785" s="182"/>
    </row>
    <row r="786" spans="1:28">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c r="Z786" s="182"/>
      <c r="AA786" s="182"/>
      <c r="AB786" s="182"/>
    </row>
    <row r="787" spans="1:28">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c r="Z787" s="182"/>
      <c r="AA787" s="182"/>
      <c r="AB787" s="182"/>
    </row>
    <row r="788" spans="1:28">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c r="Z788" s="182"/>
      <c r="AA788" s="182"/>
      <c r="AB788" s="182"/>
    </row>
    <row r="789" spans="1:28">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c r="Z789" s="182"/>
      <c r="AA789" s="182"/>
      <c r="AB789" s="182"/>
    </row>
    <row r="790" spans="1:28">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c r="Z790" s="182"/>
      <c r="AA790" s="182"/>
      <c r="AB790" s="182"/>
    </row>
    <row r="791" spans="1:28">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c r="Z791" s="182"/>
      <c r="AA791" s="182"/>
      <c r="AB791" s="182"/>
    </row>
    <row r="792" spans="1:28">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c r="Z792" s="182"/>
      <c r="AA792" s="182"/>
      <c r="AB792" s="182"/>
    </row>
    <row r="793" spans="1:28">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c r="Z793" s="182"/>
      <c r="AA793" s="182"/>
      <c r="AB793" s="182"/>
    </row>
    <row r="794" spans="1:28">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c r="Z794" s="182"/>
      <c r="AA794" s="182"/>
      <c r="AB794" s="182"/>
    </row>
    <row r="795" spans="1:28">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c r="Z795" s="182"/>
      <c r="AA795" s="182"/>
      <c r="AB795" s="182"/>
    </row>
    <row r="796" spans="1:28">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c r="Z796" s="182"/>
      <c r="AA796" s="182"/>
      <c r="AB796" s="182"/>
    </row>
    <row r="797" spans="1:28">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c r="Z797" s="182"/>
      <c r="AA797" s="182"/>
      <c r="AB797" s="182"/>
    </row>
    <row r="798" spans="1:28">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c r="Z798" s="182"/>
      <c r="AA798" s="182"/>
      <c r="AB798" s="182"/>
    </row>
    <row r="799" spans="1:28">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c r="Z799" s="182"/>
      <c r="AA799" s="182"/>
      <c r="AB799" s="182"/>
    </row>
    <row r="800" spans="1:28">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c r="Z800" s="182"/>
      <c r="AA800" s="182"/>
      <c r="AB800" s="182"/>
    </row>
    <row r="801" spans="1:28">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c r="Z801" s="182"/>
      <c r="AA801" s="182"/>
      <c r="AB801" s="182"/>
    </row>
    <row r="802" spans="1:28">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c r="Z802" s="182"/>
      <c r="AA802" s="182"/>
      <c r="AB802" s="182"/>
    </row>
    <row r="803" spans="1:28">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c r="Z803" s="182"/>
      <c r="AA803" s="182"/>
      <c r="AB803" s="182"/>
    </row>
    <row r="804" spans="1:28">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c r="Z804" s="182"/>
      <c r="AA804" s="182"/>
      <c r="AB804" s="182"/>
    </row>
    <row r="805" spans="1:28">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c r="Z805" s="182"/>
      <c r="AA805" s="182"/>
      <c r="AB805" s="182"/>
    </row>
    <row r="806" spans="1:28">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c r="Z806" s="182"/>
      <c r="AA806" s="182"/>
      <c r="AB806" s="182"/>
    </row>
    <row r="807" spans="1:28">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c r="Z807" s="182"/>
      <c r="AA807" s="182"/>
      <c r="AB807" s="182"/>
    </row>
    <row r="808" spans="1:28">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c r="Z808" s="182"/>
      <c r="AA808" s="182"/>
      <c r="AB808" s="182"/>
    </row>
    <row r="809" spans="1:28">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c r="Z809" s="182"/>
      <c r="AA809" s="182"/>
      <c r="AB809" s="182"/>
    </row>
    <row r="810" spans="1:28">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c r="Z810" s="182"/>
      <c r="AA810" s="182"/>
      <c r="AB810" s="182"/>
    </row>
    <row r="811" spans="1:28">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row>
    <row r="812" spans="1:28">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c r="Z812" s="182"/>
      <c r="AA812" s="182"/>
      <c r="AB812" s="182"/>
    </row>
    <row r="813" spans="1:28">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c r="Z813" s="182"/>
      <c r="AA813" s="182"/>
      <c r="AB813" s="182"/>
    </row>
    <row r="814" spans="1:28">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c r="Z814" s="182"/>
      <c r="AA814" s="182"/>
      <c r="AB814" s="182"/>
    </row>
    <row r="815" spans="1:28">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c r="Z815" s="182"/>
      <c r="AA815" s="182"/>
      <c r="AB815" s="182"/>
    </row>
    <row r="816" spans="1:28">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c r="Z816" s="182"/>
      <c r="AA816" s="182"/>
      <c r="AB816" s="182"/>
    </row>
    <row r="817" spans="1:28">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c r="Z817" s="182"/>
      <c r="AA817" s="182"/>
      <c r="AB817" s="182"/>
    </row>
    <row r="818" spans="1:28">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c r="Z818" s="182"/>
      <c r="AA818" s="182"/>
      <c r="AB818" s="182"/>
    </row>
    <row r="819" spans="1:28">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c r="Z819" s="182"/>
      <c r="AA819" s="182"/>
      <c r="AB819" s="182"/>
    </row>
    <row r="820" spans="1:28">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c r="Z820" s="182"/>
      <c r="AA820" s="182"/>
      <c r="AB820" s="182"/>
    </row>
    <row r="821" spans="1:28">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c r="Z821" s="182"/>
      <c r="AA821" s="182"/>
      <c r="AB821" s="182"/>
    </row>
    <row r="822" spans="1:28">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c r="Z822" s="182"/>
      <c r="AA822" s="182"/>
      <c r="AB822" s="182"/>
    </row>
    <row r="823" spans="1:28">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c r="Z823" s="182"/>
      <c r="AA823" s="182"/>
      <c r="AB823" s="182"/>
    </row>
    <row r="824" spans="1:28">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c r="Z824" s="182"/>
      <c r="AA824" s="182"/>
      <c r="AB824" s="182"/>
    </row>
    <row r="825" spans="1:28">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c r="Z825" s="182"/>
      <c r="AA825" s="182"/>
      <c r="AB825" s="182"/>
    </row>
    <row r="826" spans="1:28">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c r="Z826" s="182"/>
      <c r="AA826" s="182"/>
      <c r="AB826" s="182"/>
    </row>
    <row r="827" spans="1:28">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c r="Z827" s="182"/>
      <c r="AA827" s="182"/>
      <c r="AB827" s="182"/>
    </row>
    <row r="828" spans="1:28">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c r="Z828" s="182"/>
      <c r="AA828" s="182"/>
      <c r="AB828" s="182"/>
    </row>
    <row r="829" spans="1:28">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c r="Z829" s="182"/>
      <c r="AA829" s="182"/>
      <c r="AB829" s="182"/>
    </row>
    <row r="830" spans="1:28">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c r="Z830" s="182"/>
      <c r="AA830" s="182"/>
      <c r="AB830" s="182"/>
    </row>
    <row r="831" spans="1:28">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c r="Z831" s="182"/>
      <c r="AA831" s="182"/>
      <c r="AB831" s="182"/>
    </row>
    <row r="832" spans="1:28">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c r="Z832" s="182"/>
      <c r="AA832" s="182"/>
      <c r="AB832" s="182"/>
    </row>
    <row r="833" spans="1:28">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c r="Z833" s="182"/>
      <c r="AA833" s="182"/>
      <c r="AB833" s="182"/>
    </row>
    <row r="834" spans="1:28">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c r="Z834" s="182"/>
      <c r="AA834" s="182"/>
      <c r="AB834" s="182"/>
    </row>
    <row r="835" spans="1:28">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c r="Z835" s="182"/>
      <c r="AA835" s="182"/>
      <c r="AB835" s="182"/>
    </row>
    <row r="836" spans="1:28">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82"/>
      <c r="Z836" s="182"/>
      <c r="AA836" s="182"/>
      <c r="AB836" s="182"/>
    </row>
    <row r="837" spans="1:28">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row>
    <row r="838" spans="1:28">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c r="Z838" s="182"/>
      <c r="AA838" s="182"/>
      <c r="AB838" s="182"/>
    </row>
    <row r="839" spans="1:28">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c r="Z839" s="182"/>
      <c r="AA839" s="182"/>
      <c r="AB839" s="182"/>
    </row>
    <row r="840" spans="1:28">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c r="Z840" s="182"/>
      <c r="AA840" s="182"/>
      <c r="AB840" s="182"/>
    </row>
    <row r="841" spans="1:28">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c r="Z841" s="182"/>
      <c r="AA841" s="182"/>
      <c r="AB841" s="182"/>
    </row>
    <row r="842" spans="1:28">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c r="Z842" s="182"/>
      <c r="AA842" s="182"/>
      <c r="AB842" s="182"/>
    </row>
    <row r="843" spans="1:28">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c r="Z843" s="182"/>
      <c r="AA843" s="182"/>
      <c r="AB843" s="182"/>
    </row>
    <row r="844" spans="1:28">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c r="Z844" s="182"/>
      <c r="AA844" s="182"/>
      <c r="AB844" s="182"/>
    </row>
    <row r="845" spans="1:28">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c r="Z845" s="182"/>
      <c r="AA845" s="182"/>
      <c r="AB845" s="182"/>
    </row>
    <row r="846" spans="1:28">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c r="Z846" s="182"/>
      <c r="AA846" s="182"/>
      <c r="AB846" s="182"/>
    </row>
    <row r="847" spans="1:28">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c r="Z847" s="182"/>
      <c r="AA847" s="182"/>
      <c r="AB847" s="182"/>
    </row>
    <row r="848" spans="1:28">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c r="Z848" s="182"/>
      <c r="AA848" s="182"/>
      <c r="AB848" s="182"/>
    </row>
    <row r="849" spans="1:28">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c r="Z849" s="182"/>
      <c r="AA849" s="182"/>
      <c r="AB849" s="182"/>
    </row>
    <row r="850" spans="1:28">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c r="Z850" s="182"/>
      <c r="AA850" s="182"/>
      <c r="AB850" s="182"/>
    </row>
    <row r="851" spans="1:28">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c r="Z851" s="182"/>
      <c r="AA851" s="182"/>
      <c r="AB851" s="182"/>
    </row>
    <row r="852" spans="1:28">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c r="Z852" s="182"/>
      <c r="AA852" s="182"/>
      <c r="AB852" s="182"/>
    </row>
    <row r="853" spans="1:28">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row>
    <row r="854" spans="1:28">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c r="Z854" s="182"/>
      <c r="AA854" s="182"/>
      <c r="AB854" s="182"/>
    </row>
    <row r="855" spans="1:28">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c r="Z855" s="182"/>
      <c r="AA855" s="182"/>
      <c r="AB855" s="182"/>
    </row>
    <row r="856" spans="1:28">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c r="Z856" s="182"/>
      <c r="AA856" s="182"/>
      <c r="AB856" s="182"/>
    </row>
    <row r="857" spans="1:28">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c r="Z857" s="182"/>
      <c r="AA857" s="182"/>
      <c r="AB857" s="182"/>
    </row>
    <row r="858" spans="1:28">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c r="Z858" s="182"/>
      <c r="AA858" s="182"/>
      <c r="AB858" s="182"/>
    </row>
    <row r="859" spans="1:28">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c r="Z859" s="182"/>
      <c r="AA859" s="182"/>
      <c r="AB859" s="182"/>
    </row>
    <row r="860" spans="1:28">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c r="Z860" s="182"/>
      <c r="AA860" s="182"/>
      <c r="AB860" s="182"/>
    </row>
    <row r="861" spans="1:28">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c r="Z861" s="182"/>
      <c r="AA861" s="182"/>
      <c r="AB861" s="182"/>
    </row>
    <row r="862" spans="1:28">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c r="Z862" s="182"/>
      <c r="AA862" s="182"/>
      <c r="AB862" s="182"/>
    </row>
    <row r="863" spans="1:28">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c r="Z863" s="182"/>
      <c r="AA863" s="182"/>
      <c r="AB863" s="182"/>
    </row>
    <row r="864" spans="1:28">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c r="Z864" s="182"/>
      <c r="AA864" s="182"/>
      <c r="AB864" s="182"/>
    </row>
    <row r="865" spans="1:28">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c r="Z865" s="182"/>
      <c r="AA865" s="182"/>
      <c r="AB865" s="182"/>
    </row>
    <row r="866" spans="1:28">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c r="Z866" s="182"/>
      <c r="AA866" s="182"/>
      <c r="AB866" s="182"/>
    </row>
    <row r="867" spans="1:28">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c r="Z867" s="182"/>
      <c r="AA867" s="182"/>
      <c r="AB867" s="182"/>
    </row>
    <row r="868" spans="1:28">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c r="Z868" s="182"/>
      <c r="AA868" s="182"/>
      <c r="AB868" s="182"/>
    </row>
    <row r="869" spans="1:28">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c r="Z869" s="182"/>
      <c r="AA869" s="182"/>
      <c r="AB869" s="182"/>
    </row>
    <row r="870" spans="1:28">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c r="Z870" s="182"/>
      <c r="AA870" s="182"/>
      <c r="AB870" s="182"/>
    </row>
    <row r="871" spans="1:28">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c r="Z871" s="182"/>
      <c r="AA871" s="182"/>
      <c r="AB871" s="182"/>
    </row>
    <row r="872" spans="1:28">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c r="Z872" s="182"/>
      <c r="AA872" s="182"/>
      <c r="AB872" s="182"/>
    </row>
    <row r="873" spans="1:28">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c r="Z873" s="182"/>
      <c r="AA873" s="182"/>
      <c r="AB873" s="182"/>
    </row>
    <row r="874" spans="1:28">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c r="Z874" s="182"/>
      <c r="AA874" s="182"/>
      <c r="AB874" s="182"/>
    </row>
    <row r="875" spans="1:28">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c r="Z875" s="182"/>
      <c r="AA875" s="182"/>
      <c r="AB875" s="182"/>
    </row>
    <row r="876" spans="1:28">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c r="Z876" s="182"/>
      <c r="AA876" s="182"/>
      <c r="AB876" s="182"/>
    </row>
    <row r="877" spans="1:28">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c r="Z877" s="182"/>
      <c r="AA877" s="182"/>
      <c r="AB877" s="182"/>
    </row>
    <row r="878" spans="1:28">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c r="Z878" s="182"/>
      <c r="AA878" s="182"/>
      <c r="AB878" s="182"/>
    </row>
    <row r="879" spans="1:28">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c r="Z879" s="182"/>
      <c r="AA879" s="182"/>
      <c r="AB879" s="182"/>
    </row>
    <row r="880" spans="1:28">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c r="Z880" s="182"/>
      <c r="AA880" s="182"/>
      <c r="AB880" s="182"/>
    </row>
    <row r="881" spans="1:28">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c r="Z881" s="182"/>
      <c r="AA881" s="182"/>
      <c r="AB881" s="182"/>
    </row>
    <row r="882" spans="1:28">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c r="Z882" s="182"/>
      <c r="AA882" s="182"/>
      <c r="AB882" s="182"/>
    </row>
    <row r="883" spans="1:28">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c r="Z883" s="182"/>
      <c r="AA883" s="182"/>
      <c r="AB883" s="182"/>
    </row>
    <row r="884" spans="1:28">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c r="Z884" s="182"/>
      <c r="AA884" s="182"/>
      <c r="AB884" s="182"/>
    </row>
    <row r="885" spans="1:28">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c r="Z885" s="182"/>
      <c r="AA885" s="182"/>
      <c r="AB885" s="182"/>
    </row>
    <row r="886" spans="1:28">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c r="Z886" s="182"/>
      <c r="AA886" s="182"/>
      <c r="AB886" s="182"/>
    </row>
    <row r="887" spans="1:28">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c r="Z887" s="182"/>
      <c r="AA887" s="182"/>
      <c r="AB887" s="182"/>
    </row>
    <row r="888" spans="1:28">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c r="Z888" s="182"/>
      <c r="AA888" s="182"/>
      <c r="AB888" s="182"/>
    </row>
    <row r="889" spans="1:28">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c r="Z889" s="182"/>
      <c r="AA889" s="182"/>
      <c r="AB889" s="182"/>
    </row>
    <row r="890" spans="1:28">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c r="Z890" s="182"/>
      <c r="AA890" s="182"/>
      <c r="AB890" s="182"/>
    </row>
    <row r="891" spans="1:28">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c r="Z891" s="182"/>
      <c r="AA891" s="182"/>
      <c r="AB891" s="182"/>
    </row>
    <row r="892" spans="1:28">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c r="Z892" s="182"/>
      <c r="AA892" s="182"/>
      <c r="AB892" s="182"/>
    </row>
    <row r="893" spans="1:28">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c r="Z893" s="182"/>
      <c r="AA893" s="182"/>
      <c r="AB893" s="182"/>
    </row>
    <row r="894" spans="1:28">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c r="Z894" s="182"/>
      <c r="AA894" s="182"/>
      <c r="AB894" s="182"/>
    </row>
    <row r="895" spans="1:28">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c r="Z895" s="182"/>
      <c r="AA895" s="182"/>
      <c r="AB895" s="182"/>
    </row>
    <row r="896" spans="1:28">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c r="Z896" s="182"/>
      <c r="AA896" s="182"/>
      <c r="AB896" s="182"/>
    </row>
    <row r="897" spans="1:28">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c r="Z897" s="182"/>
      <c r="AA897" s="182"/>
      <c r="AB897" s="182"/>
    </row>
    <row r="898" spans="1:28">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c r="Z898" s="182"/>
      <c r="AA898" s="182"/>
      <c r="AB898" s="182"/>
    </row>
    <row r="899" spans="1:28">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82"/>
      <c r="Z899" s="182"/>
      <c r="AA899" s="182"/>
      <c r="AB899" s="182"/>
    </row>
    <row r="900" spans="1:28">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c r="Z900" s="182"/>
      <c r="AA900" s="182"/>
      <c r="AB900" s="182"/>
    </row>
    <row r="901" spans="1:28">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c r="Z901" s="182"/>
      <c r="AA901" s="182"/>
      <c r="AB901" s="182"/>
    </row>
    <row r="902" spans="1:28">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c r="Z902" s="182"/>
      <c r="AA902" s="182"/>
      <c r="AB902" s="182"/>
    </row>
    <row r="903" spans="1:28">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c r="Z903" s="182"/>
      <c r="AA903" s="182"/>
      <c r="AB903" s="182"/>
    </row>
    <row r="904" spans="1:28">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c r="Z904" s="182"/>
      <c r="AA904" s="182"/>
      <c r="AB904" s="182"/>
    </row>
    <row r="905" spans="1:28">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c r="Z905" s="182"/>
      <c r="AA905" s="182"/>
      <c r="AB905" s="182"/>
    </row>
    <row r="906" spans="1:28">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c r="Z906" s="182"/>
      <c r="AA906" s="182"/>
      <c r="AB906" s="182"/>
    </row>
    <row r="907" spans="1:28">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c r="Z907" s="182"/>
      <c r="AA907" s="182"/>
      <c r="AB907" s="182"/>
    </row>
    <row r="908" spans="1:28">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c r="Z908" s="182"/>
      <c r="AA908" s="182"/>
      <c r="AB908" s="182"/>
    </row>
    <row r="909" spans="1:28">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c r="Z909" s="182"/>
      <c r="AA909" s="182"/>
      <c r="AB909" s="182"/>
    </row>
    <row r="910" spans="1:28">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c r="Z910" s="182"/>
      <c r="AA910" s="182"/>
      <c r="AB910" s="182"/>
    </row>
    <row r="911" spans="1:28">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c r="Z911" s="182"/>
      <c r="AA911" s="182"/>
      <c r="AB911" s="182"/>
    </row>
    <row r="912" spans="1:28">
      <c r="A912" s="182"/>
      <c r="B912" s="182"/>
      <c r="C912" s="182"/>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82"/>
      <c r="Z912" s="182"/>
      <c r="AA912" s="182"/>
      <c r="AB912" s="182"/>
    </row>
    <row r="913" spans="1:28">
      <c r="A913" s="182"/>
      <c r="B913" s="182"/>
      <c r="C913" s="182"/>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82"/>
      <c r="Z913" s="182"/>
      <c r="AA913" s="182"/>
      <c r="AB913" s="182"/>
    </row>
    <row r="914" spans="1:28">
      <c r="A914" s="182"/>
      <c r="B914" s="182"/>
      <c r="C914" s="182"/>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82"/>
      <c r="Z914" s="182"/>
      <c r="AA914" s="182"/>
      <c r="AB914" s="182"/>
    </row>
    <row r="915" spans="1:28">
      <c r="A915" s="182"/>
      <c r="B915" s="182"/>
      <c r="C915" s="182"/>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82"/>
      <c r="Z915" s="182"/>
      <c r="AA915" s="182"/>
      <c r="AB915" s="182"/>
    </row>
    <row r="916" spans="1:28">
      <c r="A916" s="182"/>
      <c r="B916" s="182"/>
      <c r="C916" s="182"/>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82"/>
      <c r="Z916" s="182"/>
      <c r="AA916" s="182"/>
      <c r="AB916" s="182"/>
    </row>
    <row r="917" spans="1:28">
      <c r="A917" s="182"/>
      <c r="B917" s="182"/>
      <c r="C917" s="182"/>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82"/>
      <c r="Z917" s="182"/>
      <c r="AA917" s="182"/>
      <c r="AB917" s="182"/>
    </row>
    <row r="918" spans="1:28">
      <c r="A918" s="182"/>
      <c r="B918" s="182"/>
      <c r="C918" s="182"/>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82"/>
      <c r="Z918" s="182"/>
      <c r="AA918" s="182"/>
      <c r="AB918" s="182"/>
    </row>
    <row r="919" spans="1:28">
      <c r="A919" s="182"/>
      <c r="B919" s="182"/>
      <c r="C919" s="182"/>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82"/>
      <c r="Z919" s="182"/>
      <c r="AA919" s="182"/>
      <c r="AB919" s="182"/>
    </row>
    <row r="920" spans="1:28">
      <c r="A920" s="182"/>
      <c r="B920" s="182"/>
      <c r="C920" s="182"/>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82"/>
      <c r="Z920" s="182"/>
      <c r="AA920" s="182"/>
      <c r="AB920" s="182"/>
    </row>
    <row r="921" spans="1:28">
      <c r="A921" s="182"/>
      <c r="B921" s="182"/>
      <c r="C921" s="182"/>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82"/>
      <c r="Z921" s="182"/>
      <c r="AA921" s="182"/>
      <c r="AB921" s="182"/>
    </row>
    <row r="922" spans="1:28">
      <c r="A922" s="182"/>
      <c r="B922" s="182"/>
      <c r="C922" s="182"/>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82"/>
      <c r="Z922" s="182"/>
      <c r="AA922" s="182"/>
      <c r="AB922" s="182"/>
    </row>
    <row r="923" spans="1:28">
      <c r="A923" s="182"/>
      <c r="B923" s="182"/>
      <c r="C923" s="182"/>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82"/>
      <c r="Z923" s="182"/>
      <c r="AA923" s="182"/>
      <c r="AB923" s="182"/>
    </row>
    <row r="924" spans="1:28">
      <c r="A924" s="182"/>
      <c r="B924" s="182"/>
      <c r="C924" s="182"/>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82"/>
      <c r="Z924" s="182"/>
      <c r="AA924" s="182"/>
      <c r="AB924" s="182"/>
    </row>
    <row r="925" spans="1:28">
      <c r="A925" s="182"/>
      <c r="B925" s="182"/>
      <c r="C925" s="182"/>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82"/>
      <c r="Z925" s="182"/>
      <c r="AA925" s="182"/>
      <c r="AB925" s="182"/>
    </row>
    <row r="926" spans="1:28">
      <c r="A926" s="182"/>
      <c r="B926" s="182"/>
      <c r="C926" s="182"/>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82"/>
      <c r="Z926" s="182"/>
      <c r="AA926" s="182"/>
      <c r="AB926" s="182"/>
    </row>
    <row r="927" spans="1:28">
      <c r="A927" s="182"/>
      <c r="B927" s="182"/>
      <c r="C927" s="182"/>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82"/>
      <c r="Z927" s="182"/>
      <c r="AA927" s="182"/>
      <c r="AB927" s="182"/>
    </row>
    <row r="928" spans="1:28">
      <c r="A928" s="182"/>
      <c r="B928" s="182"/>
      <c r="C928" s="182"/>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82"/>
      <c r="Z928" s="182"/>
      <c r="AA928" s="182"/>
      <c r="AB928" s="182"/>
    </row>
    <row r="929" spans="1:28">
      <c r="A929" s="182"/>
      <c r="B929" s="182"/>
      <c r="C929" s="182"/>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82"/>
      <c r="Z929" s="182"/>
      <c r="AA929" s="182"/>
      <c r="AB929" s="182"/>
    </row>
    <row r="930" spans="1:28">
      <c r="A930" s="182"/>
      <c r="B930" s="182"/>
      <c r="C930" s="182"/>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82"/>
      <c r="Z930" s="182"/>
      <c r="AA930" s="182"/>
      <c r="AB930" s="182"/>
    </row>
    <row r="931" spans="1:28">
      <c r="A931" s="182"/>
      <c r="B931" s="182"/>
      <c r="C931" s="182"/>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82"/>
      <c r="Z931" s="182"/>
      <c r="AA931" s="182"/>
      <c r="AB931" s="182"/>
    </row>
    <row r="932" spans="1:28">
      <c r="A932" s="182"/>
      <c r="B932" s="182"/>
      <c r="C932" s="182"/>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82"/>
      <c r="Z932" s="182"/>
      <c r="AA932" s="182"/>
      <c r="AB932" s="182"/>
    </row>
    <row r="933" spans="1:28">
      <c r="A933" s="182"/>
      <c r="B933" s="182"/>
      <c r="C933" s="182"/>
      <c r="D933" s="182"/>
      <c r="E933" s="182"/>
      <c r="F933" s="182"/>
      <c r="G933" s="182"/>
      <c r="H933" s="182"/>
      <c r="I933" s="182"/>
      <c r="J933" s="182"/>
      <c r="K933" s="182"/>
      <c r="L933" s="182"/>
      <c r="M933" s="182"/>
      <c r="N933" s="182"/>
      <c r="O933" s="182"/>
      <c r="P933" s="182"/>
      <c r="Q933" s="182"/>
      <c r="R933" s="182"/>
      <c r="S933" s="182"/>
      <c r="T933" s="182"/>
      <c r="U933" s="182"/>
      <c r="V933" s="182"/>
      <c r="W933" s="182"/>
      <c r="X933" s="182"/>
      <c r="Y933" s="182"/>
      <c r="Z933" s="182"/>
      <c r="AA933" s="182"/>
      <c r="AB933" s="182"/>
    </row>
    <row r="934" spans="1:28">
      <c r="A934" s="182"/>
      <c r="B934" s="182"/>
      <c r="C934" s="182"/>
      <c r="D934" s="182"/>
      <c r="E934" s="182"/>
      <c r="F934" s="182"/>
      <c r="G934" s="182"/>
      <c r="H934" s="182"/>
      <c r="I934" s="182"/>
      <c r="J934" s="182"/>
      <c r="K934" s="182"/>
      <c r="L934" s="182"/>
      <c r="M934" s="182"/>
      <c r="N934" s="182"/>
      <c r="O934" s="182"/>
      <c r="P934" s="182"/>
      <c r="Q934" s="182"/>
      <c r="R934" s="182"/>
      <c r="S934" s="182"/>
      <c r="T934" s="182"/>
      <c r="U934" s="182"/>
      <c r="V934" s="182"/>
      <c r="W934" s="182"/>
      <c r="X934" s="182"/>
      <c r="Y934" s="182"/>
      <c r="Z934" s="182"/>
      <c r="AA934" s="182"/>
      <c r="AB934" s="182"/>
    </row>
    <row r="935" spans="1:28">
      <c r="A935" s="182"/>
      <c r="B935" s="182"/>
      <c r="C935" s="182"/>
      <c r="D935" s="182"/>
      <c r="E935" s="182"/>
      <c r="F935" s="182"/>
      <c r="G935" s="182"/>
      <c r="H935" s="182"/>
      <c r="I935" s="182"/>
      <c r="J935" s="182"/>
      <c r="K935" s="182"/>
      <c r="L935" s="182"/>
      <c r="M935" s="182"/>
      <c r="N935" s="182"/>
      <c r="O935" s="182"/>
      <c r="P935" s="182"/>
      <c r="Q935" s="182"/>
      <c r="R935" s="182"/>
      <c r="S935" s="182"/>
      <c r="T935" s="182"/>
      <c r="U935" s="182"/>
      <c r="V935" s="182"/>
      <c r="W935" s="182"/>
      <c r="X935" s="182"/>
      <c r="Y935" s="182"/>
      <c r="Z935" s="182"/>
      <c r="AA935" s="182"/>
      <c r="AB935" s="182"/>
    </row>
    <row r="936" spans="1:28">
      <c r="A936" s="182"/>
      <c r="B936" s="182"/>
      <c r="C936" s="182"/>
      <c r="D936" s="182"/>
      <c r="E936" s="182"/>
      <c r="F936" s="182"/>
      <c r="G936" s="182"/>
      <c r="H936" s="182"/>
      <c r="I936" s="182"/>
      <c r="J936" s="182"/>
      <c r="K936" s="182"/>
      <c r="L936" s="182"/>
      <c r="M936" s="182"/>
      <c r="N936" s="182"/>
      <c r="O936" s="182"/>
      <c r="P936" s="182"/>
      <c r="Q936" s="182"/>
      <c r="R936" s="182"/>
      <c r="S936" s="182"/>
      <c r="T936" s="182"/>
      <c r="U936" s="182"/>
      <c r="V936" s="182"/>
      <c r="W936" s="182"/>
      <c r="X936" s="182"/>
      <c r="Y936" s="182"/>
      <c r="Z936" s="182"/>
      <c r="AA936" s="182"/>
      <c r="AB936" s="182"/>
    </row>
    <row r="937" spans="1:28">
      <c r="A937" s="182"/>
      <c r="B937" s="182"/>
      <c r="C937" s="182"/>
      <c r="D937" s="182"/>
      <c r="E937" s="182"/>
      <c r="F937" s="182"/>
      <c r="G937" s="182"/>
      <c r="H937" s="182"/>
      <c r="I937" s="182"/>
      <c r="J937" s="182"/>
      <c r="K937" s="182"/>
      <c r="L937" s="182"/>
      <c r="M937" s="182"/>
      <c r="N937" s="182"/>
      <c r="O937" s="182"/>
      <c r="P937" s="182"/>
      <c r="Q937" s="182"/>
      <c r="R937" s="182"/>
      <c r="S937" s="182"/>
      <c r="T937" s="182"/>
      <c r="U937" s="182"/>
      <c r="V937" s="182"/>
      <c r="W937" s="182"/>
      <c r="X937" s="182"/>
      <c r="Y937" s="182"/>
      <c r="Z937" s="182"/>
      <c r="AA937" s="182"/>
      <c r="AB937" s="182"/>
    </row>
    <row r="938" spans="1:28">
      <c r="A938" s="182"/>
      <c r="B938" s="182"/>
      <c r="C938" s="182"/>
      <c r="D938" s="182"/>
      <c r="E938" s="182"/>
      <c r="F938" s="182"/>
      <c r="G938" s="182"/>
      <c r="H938" s="182"/>
      <c r="I938" s="182"/>
      <c r="J938" s="182"/>
      <c r="K938" s="182"/>
      <c r="L938" s="182"/>
      <c r="M938" s="182"/>
      <c r="N938" s="182"/>
      <c r="O938" s="182"/>
      <c r="P938" s="182"/>
      <c r="Q938" s="182"/>
      <c r="R938" s="182"/>
      <c r="S938" s="182"/>
      <c r="T938" s="182"/>
      <c r="U938" s="182"/>
      <c r="V938" s="182"/>
      <c r="W938" s="182"/>
      <c r="X938" s="182"/>
      <c r="Y938" s="182"/>
      <c r="Z938" s="182"/>
      <c r="AA938" s="182"/>
      <c r="AB938" s="182"/>
    </row>
    <row r="939" spans="1:28">
      <c r="A939" s="182"/>
      <c r="B939" s="182"/>
      <c r="C939" s="182"/>
      <c r="D939" s="182"/>
      <c r="E939" s="182"/>
      <c r="F939" s="182"/>
      <c r="G939" s="182"/>
      <c r="H939" s="182"/>
      <c r="I939" s="182"/>
      <c r="J939" s="182"/>
      <c r="K939" s="182"/>
      <c r="L939" s="182"/>
      <c r="M939" s="182"/>
      <c r="N939" s="182"/>
      <c r="O939" s="182"/>
      <c r="P939" s="182"/>
      <c r="Q939" s="182"/>
      <c r="R939" s="182"/>
      <c r="S939" s="182"/>
      <c r="T939" s="182"/>
      <c r="U939" s="182"/>
      <c r="V939" s="182"/>
      <c r="W939" s="182"/>
      <c r="X939" s="182"/>
      <c r="Y939" s="182"/>
      <c r="Z939" s="182"/>
      <c r="AA939" s="182"/>
      <c r="AB939" s="182"/>
    </row>
    <row r="940" spans="1:28">
      <c r="A940" s="182"/>
      <c r="B940" s="182"/>
      <c r="C940" s="182"/>
      <c r="D940" s="182"/>
      <c r="E940" s="182"/>
      <c r="F940" s="182"/>
      <c r="G940" s="182"/>
      <c r="H940" s="182"/>
      <c r="I940" s="182"/>
      <c r="J940" s="182"/>
      <c r="K940" s="182"/>
      <c r="L940" s="182"/>
      <c r="M940" s="182"/>
      <c r="N940" s="182"/>
      <c r="O940" s="182"/>
      <c r="P940" s="182"/>
      <c r="Q940" s="182"/>
      <c r="R940" s="182"/>
      <c r="S940" s="182"/>
      <c r="T940" s="182"/>
      <c r="U940" s="182"/>
      <c r="V940" s="182"/>
      <c r="W940" s="182"/>
      <c r="X940" s="182"/>
      <c r="Y940" s="182"/>
      <c r="Z940" s="182"/>
      <c r="AA940" s="182"/>
      <c r="AB940" s="182"/>
    </row>
    <row r="941" spans="1:28">
      <c r="A941" s="182"/>
      <c r="B941" s="182"/>
      <c r="C941" s="182"/>
      <c r="D941" s="182"/>
      <c r="E941" s="182"/>
      <c r="F941" s="182"/>
      <c r="G941" s="182"/>
      <c r="H941" s="182"/>
      <c r="I941" s="182"/>
      <c r="J941" s="182"/>
      <c r="K941" s="182"/>
      <c r="L941" s="182"/>
      <c r="M941" s="182"/>
      <c r="N941" s="182"/>
      <c r="O941" s="182"/>
      <c r="P941" s="182"/>
      <c r="Q941" s="182"/>
      <c r="R941" s="182"/>
      <c r="S941" s="182"/>
      <c r="T941" s="182"/>
      <c r="U941" s="182"/>
      <c r="V941" s="182"/>
      <c r="W941" s="182"/>
      <c r="X941" s="182"/>
      <c r="Y941" s="182"/>
      <c r="Z941" s="182"/>
      <c r="AA941" s="182"/>
      <c r="AB941" s="182"/>
    </row>
    <row r="942" spans="1:28">
      <c r="A942" s="182"/>
      <c r="B942" s="182"/>
      <c r="C942" s="182"/>
      <c r="D942" s="182"/>
      <c r="E942" s="182"/>
      <c r="F942" s="182"/>
      <c r="G942" s="182"/>
      <c r="H942" s="182"/>
      <c r="I942" s="182"/>
      <c r="J942" s="182"/>
      <c r="K942" s="182"/>
      <c r="L942" s="182"/>
      <c r="M942" s="182"/>
      <c r="N942" s="182"/>
      <c r="O942" s="182"/>
      <c r="P942" s="182"/>
      <c r="Q942" s="182"/>
      <c r="R942" s="182"/>
      <c r="S942" s="182"/>
      <c r="T942" s="182"/>
      <c r="U942" s="182"/>
      <c r="V942" s="182"/>
      <c r="W942" s="182"/>
      <c r="X942" s="182"/>
      <c r="Y942" s="182"/>
      <c r="Z942" s="182"/>
      <c r="AA942" s="182"/>
      <c r="AB942" s="182"/>
    </row>
    <row r="943" spans="1:28">
      <c r="A943" s="182"/>
      <c r="B943" s="182"/>
      <c r="C943" s="182"/>
      <c r="D943" s="182"/>
      <c r="E943" s="182"/>
      <c r="F943" s="182"/>
      <c r="G943" s="182"/>
      <c r="H943" s="182"/>
      <c r="I943" s="182"/>
      <c r="J943" s="182"/>
      <c r="K943" s="182"/>
      <c r="L943" s="182"/>
      <c r="M943" s="182"/>
      <c r="N943" s="182"/>
      <c r="O943" s="182"/>
      <c r="P943" s="182"/>
      <c r="Q943" s="182"/>
      <c r="R943" s="182"/>
      <c r="S943" s="182"/>
      <c r="T943" s="182"/>
      <c r="U943" s="182"/>
      <c r="V943" s="182"/>
      <c r="W943" s="182"/>
      <c r="X943" s="182"/>
      <c r="Y943" s="182"/>
      <c r="Z943" s="182"/>
      <c r="AA943" s="182"/>
      <c r="AB943" s="182"/>
    </row>
    <row r="944" spans="1:28">
      <c r="A944" s="182"/>
      <c r="B944" s="182"/>
      <c r="C944" s="182"/>
      <c r="D944" s="182"/>
      <c r="E944" s="182"/>
      <c r="F944" s="182"/>
      <c r="G944" s="182"/>
      <c r="H944" s="182"/>
      <c r="I944" s="182"/>
      <c r="J944" s="182"/>
      <c r="K944" s="182"/>
      <c r="L944" s="182"/>
      <c r="M944" s="182"/>
      <c r="N944" s="182"/>
      <c r="O944" s="182"/>
      <c r="P944" s="182"/>
      <c r="Q944" s="182"/>
      <c r="R944" s="182"/>
      <c r="S944" s="182"/>
      <c r="T944" s="182"/>
      <c r="U944" s="182"/>
      <c r="V944" s="182"/>
      <c r="W944" s="182"/>
      <c r="X944" s="182"/>
      <c r="Y944" s="182"/>
      <c r="Z944" s="182"/>
      <c r="AA944" s="182"/>
      <c r="AB944" s="182"/>
    </row>
    <row r="945" spans="1:28">
      <c r="A945" s="182"/>
      <c r="B945" s="182"/>
      <c r="C945" s="182"/>
      <c r="D945" s="182"/>
      <c r="E945" s="182"/>
      <c r="F945" s="182"/>
      <c r="G945" s="182"/>
      <c r="H945" s="182"/>
      <c r="I945" s="182"/>
      <c r="J945" s="182"/>
      <c r="K945" s="182"/>
      <c r="L945" s="182"/>
      <c r="M945" s="182"/>
      <c r="N945" s="182"/>
      <c r="O945" s="182"/>
      <c r="P945" s="182"/>
      <c r="Q945" s="182"/>
      <c r="R945" s="182"/>
      <c r="S945" s="182"/>
      <c r="T945" s="182"/>
      <c r="U945" s="182"/>
      <c r="V945" s="182"/>
      <c r="W945" s="182"/>
      <c r="X945" s="182"/>
      <c r="Y945" s="182"/>
      <c r="Z945" s="182"/>
      <c r="AA945" s="182"/>
      <c r="AB945" s="182"/>
    </row>
    <row r="946" spans="1:28">
      <c r="A946" s="182"/>
      <c r="B946" s="182"/>
      <c r="C946" s="182"/>
      <c r="D946" s="182"/>
      <c r="E946" s="182"/>
      <c r="F946" s="182"/>
      <c r="G946" s="182"/>
      <c r="H946" s="182"/>
      <c r="I946" s="182"/>
      <c r="J946" s="182"/>
      <c r="K946" s="182"/>
      <c r="L946" s="182"/>
      <c r="M946" s="182"/>
      <c r="N946" s="182"/>
      <c r="O946" s="182"/>
      <c r="P946" s="182"/>
      <c r="Q946" s="182"/>
      <c r="R946" s="182"/>
      <c r="S946" s="182"/>
      <c r="T946" s="182"/>
      <c r="U946" s="182"/>
      <c r="V946" s="182"/>
      <c r="W946" s="182"/>
      <c r="X946" s="182"/>
      <c r="Y946" s="182"/>
      <c r="Z946" s="182"/>
      <c r="AA946" s="182"/>
      <c r="AB946" s="182"/>
    </row>
    <row r="947" spans="1:28">
      <c r="A947" s="182"/>
      <c r="B947" s="182"/>
      <c r="C947" s="182"/>
      <c r="D947" s="182"/>
      <c r="E947" s="182"/>
      <c r="F947" s="182"/>
      <c r="G947" s="182"/>
      <c r="H947" s="182"/>
      <c r="I947" s="182"/>
      <c r="J947" s="182"/>
      <c r="K947" s="182"/>
      <c r="L947" s="182"/>
      <c r="M947" s="182"/>
      <c r="N947" s="182"/>
      <c r="O947" s="182"/>
      <c r="P947" s="182"/>
      <c r="Q947" s="182"/>
      <c r="R947" s="182"/>
      <c r="S947" s="182"/>
      <c r="T947" s="182"/>
      <c r="U947" s="182"/>
      <c r="V947" s="182"/>
      <c r="W947" s="182"/>
      <c r="X947" s="182"/>
      <c r="Y947" s="182"/>
      <c r="Z947" s="182"/>
      <c r="AA947" s="182"/>
      <c r="AB947" s="182"/>
    </row>
    <row r="948" spans="1:28">
      <c r="A948" s="182"/>
      <c r="B948" s="182"/>
      <c r="C948" s="182"/>
      <c r="D948" s="182"/>
      <c r="E948" s="182"/>
      <c r="F948" s="182"/>
      <c r="G948" s="182"/>
      <c r="H948" s="182"/>
      <c r="I948" s="182"/>
      <c r="J948" s="182"/>
      <c r="K948" s="182"/>
      <c r="L948" s="182"/>
      <c r="M948" s="182"/>
      <c r="N948" s="182"/>
      <c r="O948" s="182"/>
      <c r="P948" s="182"/>
      <c r="Q948" s="182"/>
      <c r="R948" s="182"/>
      <c r="S948" s="182"/>
      <c r="T948" s="182"/>
      <c r="U948" s="182"/>
      <c r="V948" s="182"/>
      <c r="W948" s="182"/>
      <c r="X948" s="182"/>
      <c r="Y948" s="182"/>
      <c r="Z948" s="182"/>
      <c r="AA948" s="182"/>
      <c r="AB948" s="182"/>
    </row>
    <row r="949" spans="1:28">
      <c r="A949" s="182"/>
      <c r="B949" s="182"/>
      <c r="C949" s="182"/>
      <c r="D949" s="182"/>
      <c r="E949" s="182"/>
      <c r="F949" s="182"/>
      <c r="G949" s="182"/>
      <c r="H949" s="182"/>
      <c r="I949" s="182"/>
      <c r="J949" s="182"/>
      <c r="K949" s="182"/>
      <c r="L949" s="182"/>
      <c r="M949" s="182"/>
      <c r="N949" s="182"/>
      <c r="O949" s="182"/>
      <c r="P949" s="182"/>
      <c r="Q949" s="182"/>
      <c r="R949" s="182"/>
      <c r="S949" s="182"/>
      <c r="T949" s="182"/>
      <c r="U949" s="182"/>
      <c r="V949" s="182"/>
      <c r="W949" s="182"/>
      <c r="X949" s="182"/>
      <c r="Y949" s="182"/>
      <c r="Z949" s="182"/>
      <c r="AA949" s="182"/>
      <c r="AB949" s="182"/>
    </row>
    <row r="950" spans="1:28">
      <c r="A950" s="182"/>
      <c r="B950" s="182"/>
      <c r="C950" s="182"/>
      <c r="D950" s="182"/>
      <c r="E950" s="182"/>
      <c r="F950" s="182"/>
      <c r="G950" s="182"/>
      <c r="H950" s="182"/>
      <c r="I950" s="182"/>
      <c r="J950" s="182"/>
      <c r="K950" s="182"/>
      <c r="L950" s="182"/>
      <c r="M950" s="182"/>
      <c r="N950" s="182"/>
      <c r="O950" s="182"/>
      <c r="P950" s="182"/>
      <c r="Q950" s="182"/>
      <c r="R950" s="182"/>
      <c r="S950" s="182"/>
      <c r="T950" s="182"/>
      <c r="U950" s="182"/>
      <c r="V950" s="182"/>
      <c r="W950" s="182"/>
      <c r="X950" s="182"/>
      <c r="Y950" s="182"/>
      <c r="Z950" s="182"/>
      <c r="AA950" s="182"/>
      <c r="AB950" s="182"/>
    </row>
    <row r="951" spans="1:28">
      <c r="A951" s="182"/>
      <c r="B951" s="182"/>
      <c r="C951" s="182"/>
      <c r="D951" s="182"/>
      <c r="E951" s="182"/>
      <c r="F951" s="182"/>
      <c r="G951" s="182"/>
      <c r="H951" s="182"/>
      <c r="I951" s="182"/>
      <c r="J951" s="182"/>
      <c r="K951" s="182"/>
      <c r="L951" s="182"/>
      <c r="M951" s="182"/>
      <c r="N951" s="182"/>
      <c r="O951" s="182"/>
      <c r="P951" s="182"/>
      <c r="Q951" s="182"/>
      <c r="R951" s="182"/>
      <c r="S951" s="182"/>
      <c r="T951" s="182"/>
      <c r="U951" s="182"/>
      <c r="V951" s="182"/>
      <c r="W951" s="182"/>
      <c r="X951" s="182"/>
      <c r="Y951" s="182"/>
      <c r="Z951" s="182"/>
      <c r="AA951" s="182"/>
      <c r="AB951" s="182"/>
    </row>
    <row r="952" spans="1:28">
      <c r="A952" s="182"/>
      <c r="B952" s="182"/>
      <c r="C952" s="182"/>
      <c r="D952" s="182"/>
      <c r="E952" s="182"/>
      <c r="F952" s="182"/>
      <c r="G952" s="182"/>
      <c r="H952" s="182"/>
      <c r="I952" s="182"/>
      <c r="J952" s="182"/>
      <c r="K952" s="182"/>
      <c r="L952" s="182"/>
      <c r="M952" s="182"/>
      <c r="N952" s="182"/>
      <c r="O952" s="182"/>
      <c r="P952" s="182"/>
      <c r="Q952" s="182"/>
      <c r="R952" s="182"/>
      <c r="S952" s="182"/>
      <c r="T952" s="182"/>
      <c r="U952" s="182"/>
      <c r="V952" s="182"/>
      <c r="W952" s="182"/>
      <c r="X952" s="182"/>
      <c r="Y952" s="182"/>
      <c r="Z952" s="182"/>
      <c r="AA952" s="182"/>
      <c r="AB952" s="182"/>
    </row>
    <row r="953" spans="1:28">
      <c r="A953" s="182"/>
      <c r="B953" s="182"/>
      <c r="C953" s="182"/>
      <c r="D953" s="182"/>
      <c r="E953" s="182"/>
      <c r="F953" s="182"/>
      <c r="G953" s="182"/>
      <c r="H953" s="182"/>
      <c r="I953" s="182"/>
      <c r="J953" s="182"/>
      <c r="K953" s="182"/>
      <c r="L953" s="182"/>
      <c r="M953" s="182"/>
      <c r="N953" s="182"/>
      <c r="O953" s="182"/>
      <c r="P953" s="182"/>
      <c r="Q953" s="182"/>
      <c r="R953" s="182"/>
      <c r="S953" s="182"/>
      <c r="T953" s="182"/>
      <c r="U953" s="182"/>
      <c r="V953" s="182"/>
      <c r="W953" s="182"/>
      <c r="X953" s="182"/>
      <c r="Y953" s="182"/>
      <c r="Z953" s="182"/>
      <c r="AA953" s="182"/>
      <c r="AB953" s="182"/>
    </row>
    <row r="954" spans="1:28">
      <c r="A954" s="182"/>
      <c r="B954" s="182"/>
      <c r="C954" s="182"/>
      <c r="D954" s="182"/>
      <c r="E954" s="182"/>
      <c r="F954" s="182"/>
      <c r="G954" s="182"/>
      <c r="H954" s="182"/>
      <c r="I954" s="182"/>
      <c r="J954" s="182"/>
      <c r="K954" s="182"/>
      <c r="L954" s="182"/>
      <c r="M954" s="182"/>
      <c r="N954" s="182"/>
      <c r="O954" s="182"/>
      <c r="P954" s="182"/>
      <c r="Q954" s="182"/>
      <c r="R954" s="182"/>
      <c r="S954" s="182"/>
      <c r="T954" s="182"/>
      <c r="U954" s="182"/>
      <c r="V954" s="182"/>
      <c r="W954" s="182"/>
      <c r="X954" s="182"/>
      <c r="Y954" s="182"/>
      <c r="Z954" s="182"/>
      <c r="AA954" s="182"/>
      <c r="AB954" s="182"/>
    </row>
    <row r="955" spans="1:28">
      <c r="A955" s="182"/>
      <c r="B955" s="182"/>
      <c r="C955" s="182"/>
      <c r="D955" s="182"/>
      <c r="E955" s="182"/>
      <c r="F955" s="182"/>
      <c r="G955" s="182"/>
      <c r="H955" s="182"/>
      <c r="I955" s="182"/>
      <c r="J955" s="182"/>
      <c r="K955" s="182"/>
      <c r="L955" s="182"/>
      <c r="M955" s="182"/>
      <c r="N955" s="182"/>
      <c r="O955" s="182"/>
      <c r="P955" s="182"/>
      <c r="Q955" s="182"/>
      <c r="R955" s="182"/>
      <c r="S955" s="182"/>
      <c r="T955" s="182"/>
      <c r="U955" s="182"/>
      <c r="V955" s="182"/>
      <c r="W955" s="182"/>
      <c r="X955" s="182"/>
      <c r="Y955" s="182"/>
      <c r="Z955" s="182"/>
      <c r="AA955" s="182"/>
      <c r="AB955" s="182"/>
    </row>
    <row r="956" spans="1:28">
      <c r="A956" s="182"/>
      <c r="B956" s="182"/>
      <c r="C956" s="182"/>
      <c r="D956" s="182"/>
      <c r="E956" s="182"/>
      <c r="F956" s="182"/>
      <c r="G956" s="182"/>
      <c r="H956" s="182"/>
      <c r="I956" s="182"/>
      <c r="J956" s="182"/>
      <c r="K956" s="182"/>
      <c r="L956" s="182"/>
      <c r="M956" s="182"/>
      <c r="N956" s="182"/>
      <c r="O956" s="182"/>
      <c r="P956" s="182"/>
      <c r="Q956" s="182"/>
      <c r="R956" s="182"/>
      <c r="S956" s="182"/>
      <c r="T956" s="182"/>
      <c r="U956" s="182"/>
      <c r="V956" s="182"/>
      <c r="W956" s="182"/>
      <c r="X956" s="182"/>
      <c r="Y956" s="182"/>
      <c r="Z956" s="182"/>
      <c r="AA956" s="182"/>
      <c r="AB956" s="182"/>
    </row>
    <row r="957" spans="1:28">
      <c r="A957" s="182"/>
      <c r="B957" s="182"/>
      <c r="C957" s="182"/>
      <c r="D957" s="182"/>
      <c r="E957" s="182"/>
      <c r="F957" s="182"/>
      <c r="G957" s="182"/>
      <c r="H957" s="182"/>
      <c r="I957" s="182"/>
      <c r="J957" s="182"/>
      <c r="K957" s="182"/>
      <c r="L957" s="182"/>
      <c r="M957" s="182"/>
      <c r="N957" s="182"/>
      <c r="O957" s="182"/>
      <c r="P957" s="182"/>
      <c r="Q957" s="182"/>
      <c r="R957" s="182"/>
      <c r="S957" s="182"/>
      <c r="T957" s="182"/>
      <c r="U957" s="182"/>
      <c r="V957" s="182"/>
      <c r="W957" s="182"/>
      <c r="X957" s="182"/>
      <c r="Y957" s="182"/>
      <c r="Z957" s="182"/>
      <c r="AA957" s="182"/>
      <c r="AB957" s="182"/>
    </row>
    <row r="958" spans="1:28">
      <c r="A958" s="182"/>
      <c r="B958" s="182"/>
      <c r="C958" s="182"/>
      <c r="D958" s="182"/>
      <c r="E958" s="182"/>
      <c r="F958" s="182"/>
      <c r="G958" s="182"/>
      <c r="H958" s="182"/>
      <c r="I958" s="182"/>
      <c r="J958" s="182"/>
      <c r="K958" s="182"/>
      <c r="L958" s="182"/>
      <c r="M958" s="182"/>
      <c r="N958" s="182"/>
      <c r="O958" s="182"/>
      <c r="P958" s="182"/>
      <c r="Q958" s="182"/>
      <c r="R958" s="182"/>
      <c r="S958" s="182"/>
      <c r="T958" s="182"/>
      <c r="U958" s="182"/>
      <c r="V958" s="182"/>
      <c r="W958" s="182"/>
      <c r="X958" s="182"/>
      <c r="Y958" s="182"/>
      <c r="Z958" s="182"/>
      <c r="AA958" s="182"/>
      <c r="AB958" s="182"/>
    </row>
    <row r="959" spans="1:28">
      <c r="A959" s="182"/>
      <c r="B959" s="182"/>
      <c r="C959" s="182"/>
      <c r="D959" s="182"/>
      <c r="E959" s="182"/>
      <c r="F959" s="182"/>
      <c r="G959" s="182"/>
      <c r="H959" s="182"/>
      <c r="I959" s="182"/>
      <c r="J959" s="182"/>
      <c r="K959" s="182"/>
      <c r="L959" s="182"/>
      <c r="M959" s="182"/>
      <c r="N959" s="182"/>
      <c r="O959" s="182"/>
      <c r="P959" s="182"/>
      <c r="Q959" s="182"/>
      <c r="R959" s="182"/>
      <c r="S959" s="182"/>
      <c r="T959" s="182"/>
      <c r="U959" s="182"/>
      <c r="V959" s="182"/>
      <c r="W959" s="182"/>
      <c r="X959" s="182"/>
      <c r="Y959" s="182"/>
      <c r="Z959" s="182"/>
      <c r="AA959" s="182"/>
      <c r="AB959" s="182"/>
    </row>
    <row r="960" spans="1:28">
      <c r="A960" s="182"/>
      <c r="B960" s="182"/>
      <c r="C960" s="182"/>
      <c r="D960" s="182"/>
      <c r="E960" s="182"/>
      <c r="F960" s="182"/>
      <c r="G960" s="182"/>
      <c r="H960" s="182"/>
      <c r="I960" s="182"/>
      <c r="J960" s="182"/>
      <c r="K960" s="182"/>
      <c r="L960" s="182"/>
      <c r="M960" s="182"/>
      <c r="N960" s="182"/>
      <c r="O960" s="182"/>
      <c r="P960" s="182"/>
      <c r="Q960" s="182"/>
      <c r="R960" s="182"/>
      <c r="S960" s="182"/>
      <c r="T960" s="182"/>
      <c r="U960" s="182"/>
      <c r="V960" s="182"/>
      <c r="W960" s="182"/>
      <c r="X960" s="182"/>
      <c r="Y960" s="182"/>
      <c r="Z960" s="182"/>
      <c r="AA960" s="182"/>
      <c r="AB960" s="182"/>
    </row>
    <row r="961" spans="1:28">
      <c r="A961" s="182"/>
      <c r="B961" s="182"/>
      <c r="C961" s="182"/>
      <c r="D961" s="182"/>
      <c r="E961" s="182"/>
      <c r="F961" s="182"/>
      <c r="G961" s="182"/>
      <c r="H961" s="182"/>
      <c r="I961" s="182"/>
      <c r="J961" s="182"/>
      <c r="K961" s="182"/>
      <c r="L961" s="182"/>
      <c r="M961" s="182"/>
      <c r="N961" s="182"/>
      <c r="O961" s="182"/>
      <c r="P961" s="182"/>
      <c r="Q961" s="182"/>
      <c r="R961" s="182"/>
      <c r="S961" s="182"/>
      <c r="T961" s="182"/>
      <c r="U961" s="182"/>
      <c r="V961" s="182"/>
      <c r="W961" s="182"/>
      <c r="X961" s="182"/>
      <c r="Y961" s="182"/>
      <c r="Z961" s="182"/>
      <c r="AA961" s="182"/>
      <c r="AB961" s="182"/>
    </row>
    <row r="962" spans="1:28">
      <c r="A962" s="182"/>
      <c r="B962" s="182"/>
      <c r="C962" s="182"/>
      <c r="D962" s="182"/>
      <c r="E962" s="182"/>
      <c r="F962" s="182"/>
      <c r="G962" s="182"/>
      <c r="H962" s="182"/>
      <c r="I962" s="182"/>
      <c r="J962" s="182"/>
      <c r="K962" s="182"/>
      <c r="L962" s="182"/>
      <c r="M962" s="182"/>
      <c r="N962" s="182"/>
      <c r="O962" s="182"/>
      <c r="P962" s="182"/>
      <c r="Q962" s="182"/>
      <c r="R962" s="182"/>
      <c r="S962" s="182"/>
      <c r="T962" s="182"/>
      <c r="U962" s="182"/>
      <c r="V962" s="182"/>
      <c r="W962" s="182"/>
      <c r="X962" s="182"/>
      <c r="Y962" s="182"/>
      <c r="Z962" s="182"/>
      <c r="AA962" s="182"/>
      <c r="AB962" s="182"/>
    </row>
    <row r="963" spans="1:28">
      <c r="A963" s="182"/>
      <c r="B963" s="182"/>
      <c r="C963" s="182"/>
      <c r="D963" s="182"/>
      <c r="E963" s="182"/>
      <c r="F963" s="182"/>
      <c r="G963" s="182"/>
      <c r="H963" s="182"/>
      <c r="I963" s="182"/>
      <c r="J963" s="182"/>
      <c r="K963" s="182"/>
      <c r="L963" s="182"/>
      <c r="M963" s="182"/>
      <c r="N963" s="182"/>
      <c r="O963" s="182"/>
      <c r="P963" s="182"/>
      <c r="Q963" s="182"/>
      <c r="R963" s="182"/>
      <c r="S963" s="182"/>
      <c r="T963" s="182"/>
      <c r="U963" s="182"/>
      <c r="V963" s="182"/>
      <c r="W963" s="182"/>
      <c r="X963" s="182"/>
      <c r="Y963" s="182"/>
      <c r="Z963" s="182"/>
      <c r="AA963" s="182"/>
      <c r="AB963" s="182"/>
    </row>
    <row r="964" spans="1:28">
      <c r="A964" s="182"/>
      <c r="B964" s="182"/>
      <c r="C964" s="182"/>
      <c r="D964" s="182"/>
      <c r="E964" s="182"/>
      <c r="F964" s="182"/>
      <c r="G964" s="182"/>
      <c r="H964" s="182"/>
      <c r="I964" s="182"/>
      <c r="J964" s="182"/>
      <c r="K964" s="182"/>
      <c r="L964" s="182"/>
      <c r="M964" s="182"/>
      <c r="N964" s="182"/>
      <c r="O964" s="182"/>
      <c r="P964" s="182"/>
      <c r="Q964" s="182"/>
      <c r="R964" s="182"/>
      <c r="S964" s="182"/>
      <c r="T964" s="182"/>
      <c r="U964" s="182"/>
      <c r="V964" s="182"/>
      <c r="W964" s="182"/>
      <c r="X964" s="182"/>
      <c r="Y964" s="182"/>
      <c r="Z964" s="182"/>
      <c r="AA964" s="182"/>
      <c r="AB964" s="182"/>
    </row>
    <row r="965" spans="1:28">
      <c r="A965" s="182"/>
      <c r="B965" s="182"/>
      <c r="C965" s="182"/>
      <c r="D965" s="182"/>
      <c r="E965" s="182"/>
      <c r="F965" s="182"/>
      <c r="G965" s="182"/>
      <c r="H965" s="182"/>
      <c r="I965" s="182"/>
      <c r="J965" s="182"/>
      <c r="K965" s="182"/>
      <c r="L965" s="182"/>
      <c r="M965" s="182"/>
      <c r="N965" s="182"/>
      <c r="O965" s="182"/>
      <c r="P965" s="182"/>
      <c r="Q965" s="182"/>
      <c r="R965" s="182"/>
      <c r="S965" s="182"/>
      <c r="T965" s="182"/>
      <c r="U965" s="182"/>
      <c r="V965" s="182"/>
      <c r="W965" s="182"/>
      <c r="X965" s="182"/>
      <c r="Y965" s="182"/>
      <c r="Z965" s="182"/>
      <c r="AA965" s="182"/>
      <c r="AB965" s="182"/>
    </row>
    <row r="966" spans="1:28">
      <c r="A966" s="182"/>
      <c r="B966" s="182"/>
      <c r="C966" s="182"/>
      <c r="D966" s="182"/>
      <c r="E966" s="182"/>
      <c r="F966" s="182"/>
      <c r="G966" s="182"/>
      <c r="H966" s="182"/>
      <c r="I966" s="182"/>
      <c r="J966" s="182"/>
      <c r="K966" s="182"/>
      <c r="L966" s="182"/>
      <c r="M966" s="182"/>
      <c r="N966" s="182"/>
      <c r="O966" s="182"/>
      <c r="P966" s="182"/>
      <c r="Q966" s="182"/>
      <c r="R966" s="182"/>
      <c r="S966" s="182"/>
      <c r="T966" s="182"/>
      <c r="U966" s="182"/>
      <c r="V966" s="182"/>
      <c r="W966" s="182"/>
      <c r="X966" s="182"/>
      <c r="Y966" s="182"/>
      <c r="Z966" s="182"/>
      <c r="AA966" s="182"/>
      <c r="AB966" s="182"/>
    </row>
    <row r="967" spans="1:28">
      <c r="A967" s="182"/>
      <c r="B967" s="182"/>
      <c r="C967" s="182"/>
      <c r="D967" s="182"/>
      <c r="E967" s="182"/>
      <c r="F967" s="182"/>
      <c r="G967" s="182"/>
      <c r="H967" s="182"/>
      <c r="I967" s="182"/>
      <c r="J967" s="182"/>
      <c r="K967" s="182"/>
      <c r="L967" s="182"/>
      <c r="M967" s="182"/>
      <c r="N967" s="182"/>
      <c r="O967" s="182"/>
      <c r="P967" s="182"/>
      <c r="Q967" s="182"/>
      <c r="R967" s="182"/>
      <c r="S967" s="182"/>
      <c r="T967" s="182"/>
      <c r="U967" s="182"/>
      <c r="V967" s="182"/>
      <c r="W967" s="182"/>
      <c r="X967" s="182"/>
      <c r="Y967" s="182"/>
      <c r="Z967" s="182"/>
      <c r="AA967" s="182"/>
      <c r="AB967" s="182"/>
    </row>
    <row r="968" spans="1:28">
      <c r="A968" s="182"/>
      <c r="B968" s="182"/>
      <c r="C968" s="182"/>
      <c r="D968" s="182"/>
      <c r="E968" s="182"/>
      <c r="F968" s="182"/>
      <c r="G968" s="182"/>
      <c r="H968" s="182"/>
      <c r="I968" s="182"/>
      <c r="J968" s="182"/>
      <c r="K968" s="182"/>
      <c r="L968" s="182"/>
      <c r="M968" s="182"/>
      <c r="N968" s="182"/>
      <c r="O968" s="182"/>
      <c r="P968" s="182"/>
      <c r="Q968" s="182"/>
      <c r="R968" s="182"/>
      <c r="S968" s="182"/>
      <c r="T968" s="182"/>
      <c r="U968" s="182"/>
      <c r="V968" s="182"/>
      <c r="W968" s="182"/>
      <c r="X968" s="182"/>
      <c r="Y968" s="182"/>
      <c r="Z968" s="182"/>
      <c r="AA968" s="182"/>
      <c r="AB968" s="182"/>
    </row>
    <row r="969" spans="1:28">
      <c r="A969" s="182"/>
      <c r="B969" s="182"/>
      <c r="C969" s="182"/>
      <c r="D969" s="182"/>
      <c r="E969" s="182"/>
      <c r="F969" s="182"/>
      <c r="G969" s="182"/>
      <c r="H969" s="182"/>
      <c r="I969" s="182"/>
      <c r="J969" s="182"/>
      <c r="K969" s="182"/>
      <c r="L969" s="182"/>
      <c r="M969" s="182"/>
      <c r="N969" s="182"/>
      <c r="O969" s="182"/>
      <c r="P969" s="182"/>
      <c r="Q969" s="182"/>
      <c r="R969" s="182"/>
      <c r="S969" s="182"/>
      <c r="T969" s="182"/>
      <c r="U969" s="182"/>
      <c r="V969" s="182"/>
      <c r="W969" s="182"/>
      <c r="X969" s="182"/>
      <c r="Y969" s="182"/>
      <c r="Z969" s="182"/>
      <c r="AA969" s="182"/>
      <c r="AB969" s="182"/>
    </row>
    <row r="970" spans="1:28">
      <c r="A970" s="182"/>
      <c r="B970" s="182"/>
      <c r="C970" s="182"/>
      <c r="D970" s="182"/>
      <c r="E970" s="182"/>
      <c r="F970" s="182"/>
      <c r="G970" s="182"/>
      <c r="H970" s="182"/>
      <c r="I970" s="182"/>
      <c r="J970" s="182"/>
      <c r="K970" s="182"/>
      <c r="L970" s="182"/>
      <c r="M970" s="182"/>
      <c r="N970" s="182"/>
      <c r="O970" s="182"/>
      <c r="P970" s="182"/>
      <c r="Q970" s="182"/>
      <c r="R970" s="182"/>
      <c r="S970" s="182"/>
      <c r="T970" s="182"/>
      <c r="U970" s="182"/>
      <c r="V970" s="182"/>
      <c r="W970" s="182"/>
      <c r="X970" s="182"/>
      <c r="Y970" s="182"/>
      <c r="Z970" s="182"/>
      <c r="AA970" s="182"/>
      <c r="AB970" s="182"/>
    </row>
    <row r="971" spans="1:28">
      <c r="A971" s="182"/>
      <c r="B971" s="182"/>
      <c r="C971" s="182"/>
      <c r="D971" s="182"/>
      <c r="E971" s="182"/>
      <c r="F971" s="182"/>
      <c r="G971" s="182"/>
      <c r="H971" s="182"/>
      <c r="I971" s="182"/>
      <c r="J971" s="182"/>
      <c r="K971" s="182"/>
      <c r="L971" s="182"/>
      <c r="M971" s="182"/>
      <c r="N971" s="182"/>
      <c r="O971" s="182"/>
      <c r="P971" s="182"/>
      <c r="Q971" s="182"/>
      <c r="R971" s="182"/>
      <c r="S971" s="182"/>
      <c r="T971" s="182"/>
      <c r="U971" s="182"/>
      <c r="V971" s="182"/>
      <c r="W971" s="182"/>
      <c r="X971" s="182"/>
      <c r="Y971" s="182"/>
      <c r="Z971" s="182"/>
      <c r="AA971" s="182"/>
      <c r="AB971" s="182"/>
    </row>
    <row r="972" spans="1:28">
      <c r="A972" s="182"/>
      <c r="B972" s="182"/>
      <c r="C972" s="182"/>
      <c r="D972" s="182"/>
      <c r="E972" s="182"/>
      <c r="F972" s="182"/>
      <c r="G972" s="182"/>
      <c r="H972" s="182"/>
      <c r="I972" s="182"/>
      <c r="J972" s="182"/>
      <c r="K972" s="182"/>
      <c r="L972" s="182"/>
      <c r="M972" s="182"/>
      <c r="N972" s="182"/>
      <c r="O972" s="182"/>
      <c r="P972" s="182"/>
      <c r="Q972" s="182"/>
      <c r="R972" s="182"/>
      <c r="S972" s="182"/>
      <c r="T972" s="182"/>
      <c r="U972" s="182"/>
      <c r="V972" s="182"/>
      <c r="W972" s="182"/>
      <c r="X972" s="182"/>
      <c r="Y972" s="182"/>
      <c r="Z972" s="182"/>
      <c r="AA972" s="182"/>
      <c r="AB972" s="182"/>
    </row>
    <row r="973" spans="1:28">
      <c r="A973" s="182"/>
      <c r="B973" s="182"/>
      <c r="C973" s="182"/>
      <c r="D973" s="182"/>
      <c r="E973" s="182"/>
      <c r="F973" s="182"/>
      <c r="G973" s="182"/>
      <c r="H973" s="182"/>
      <c r="I973" s="182"/>
      <c r="J973" s="182"/>
      <c r="K973" s="182"/>
      <c r="L973" s="182"/>
      <c r="M973" s="182"/>
      <c r="N973" s="182"/>
      <c r="O973" s="182"/>
      <c r="P973" s="182"/>
      <c r="Q973" s="182"/>
      <c r="R973" s="182"/>
      <c r="S973" s="182"/>
      <c r="T973" s="182"/>
      <c r="U973" s="182"/>
      <c r="V973" s="182"/>
      <c r="W973" s="182"/>
      <c r="X973" s="182"/>
      <c r="Y973" s="182"/>
      <c r="Z973" s="182"/>
      <c r="AA973" s="182"/>
      <c r="AB973" s="182"/>
    </row>
    <row r="974" spans="1:28">
      <c r="A974" s="182"/>
      <c r="B974" s="182"/>
      <c r="C974" s="182"/>
      <c r="D974" s="182"/>
      <c r="E974" s="182"/>
      <c r="F974" s="182"/>
      <c r="G974" s="182"/>
      <c r="H974" s="182"/>
      <c r="I974" s="182"/>
      <c r="J974" s="182"/>
      <c r="K974" s="182"/>
      <c r="L974" s="182"/>
      <c r="M974" s="182"/>
      <c r="N974" s="182"/>
      <c r="O974" s="182"/>
      <c r="P974" s="182"/>
      <c r="Q974" s="182"/>
      <c r="R974" s="182"/>
      <c r="S974" s="182"/>
      <c r="T974" s="182"/>
      <c r="U974" s="182"/>
      <c r="V974" s="182"/>
      <c r="W974" s="182"/>
      <c r="X974" s="182"/>
      <c r="Y974" s="182"/>
      <c r="Z974" s="182"/>
      <c r="AA974" s="182"/>
      <c r="AB974" s="182"/>
    </row>
    <row r="975" spans="1:28">
      <c r="A975" s="182"/>
      <c r="B975" s="182"/>
      <c r="C975" s="182"/>
      <c r="D975" s="182"/>
      <c r="E975" s="182"/>
      <c r="F975" s="182"/>
      <c r="G975" s="182"/>
      <c r="H975" s="182"/>
      <c r="I975" s="182"/>
      <c r="J975" s="182"/>
      <c r="K975" s="182"/>
      <c r="L975" s="182"/>
      <c r="M975" s="182"/>
      <c r="N975" s="182"/>
      <c r="O975" s="182"/>
      <c r="P975" s="182"/>
      <c r="Q975" s="182"/>
      <c r="R975" s="182"/>
      <c r="S975" s="182"/>
      <c r="T975" s="182"/>
      <c r="U975" s="182"/>
      <c r="V975" s="182"/>
      <c r="W975" s="182"/>
      <c r="X975" s="182"/>
      <c r="Y975" s="182"/>
      <c r="Z975" s="182"/>
      <c r="AA975" s="182"/>
      <c r="AB975" s="182"/>
    </row>
    <row r="976" spans="1:28">
      <c r="A976" s="182"/>
      <c r="B976" s="182"/>
      <c r="C976" s="182"/>
      <c r="D976" s="182"/>
      <c r="E976" s="182"/>
      <c r="F976" s="182"/>
      <c r="G976" s="182"/>
      <c r="H976" s="182"/>
      <c r="I976" s="182"/>
      <c r="J976" s="182"/>
      <c r="K976" s="182"/>
      <c r="L976" s="182"/>
      <c r="M976" s="182"/>
      <c r="N976" s="182"/>
      <c r="O976" s="182"/>
      <c r="P976" s="182"/>
      <c r="Q976" s="182"/>
      <c r="R976" s="182"/>
      <c r="S976" s="182"/>
      <c r="T976" s="182"/>
      <c r="U976" s="182"/>
      <c r="V976" s="182"/>
      <c r="W976" s="182"/>
      <c r="X976" s="182"/>
      <c r="Y976" s="182"/>
      <c r="Z976" s="182"/>
      <c r="AA976" s="182"/>
      <c r="AB976" s="182"/>
    </row>
    <row r="977" spans="1:28">
      <c r="A977" s="182"/>
      <c r="B977" s="182"/>
      <c r="C977" s="182"/>
      <c r="D977" s="182"/>
      <c r="E977" s="182"/>
      <c r="F977" s="182"/>
      <c r="G977" s="182"/>
      <c r="H977" s="182"/>
      <c r="I977" s="182"/>
      <c r="J977" s="182"/>
      <c r="K977" s="182"/>
      <c r="L977" s="182"/>
      <c r="M977" s="182"/>
      <c r="N977" s="182"/>
      <c r="O977" s="182"/>
      <c r="P977" s="182"/>
      <c r="Q977" s="182"/>
      <c r="R977" s="182"/>
      <c r="S977" s="182"/>
      <c r="T977" s="182"/>
      <c r="U977" s="182"/>
      <c r="V977" s="182"/>
      <c r="W977" s="182"/>
      <c r="X977" s="182"/>
      <c r="Y977" s="182"/>
      <c r="Z977" s="182"/>
      <c r="AA977" s="182"/>
      <c r="AB977" s="182"/>
    </row>
    <row r="978" spans="1:28">
      <c r="A978" s="182"/>
      <c r="B978" s="182"/>
      <c r="C978" s="182"/>
      <c r="D978" s="182"/>
      <c r="E978" s="182"/>
      <c r="F978" s="182"/>
      <c r="G978" s="182"/>
      <c r="H978" s="182"/>
      <c r="I978" s="182"/>
      <c r="J978" s="182"/>
      <c r="K978" s="182"/>
      <c r="L978" s="182"/>
      <c r="M978" s="182"/>
      <c r="N978" s="182"/>
      <c r="O978" s="182"/>
      <c r="P978" s="182"/>
      <c r="Q978" s="182"/>
      <c r="R978" s="182"/>
      <c r="S978" s="182"/>
      <c r="T978" s="182"/>
      <c r="U978" s="182"/>
      <c r="V978" s="182"/>
      <c r="W978" s="182"/>
      <c r="X978" s="182"/>
      <c r="Y978" s="182"/>
      <c r="Z978" s="182"/>
      <c r="AA978" s="182"/>
      <c r="AB978" s="182"/>
    </row>
    <row r="979" spans="1:28">
      <c r="A979" s="182"/>
      <c r="B979" s="182"/>
      <c r="C979" s="182"/>
      <c r="D979" s="182"/>
      <c r="E979" s="182"/>
      <c r="F979" s="182"/>
      <c r="G979" s="182"/>
      <c r="H979" s="182"/>
      <c r="I979" s="182"/>
      <c r="J979" s="182"/>
      <c r="K979" s="182"/>
      <c r="L979" s="182"/>
      <c r="M979" s="182"/>
      <c r="N979" s="182"/>
      <c r="O979" s="182"/>
      <c r="P979" s="182"/>
      <c r="Q979" s="182"/>
      <c r="R979" s="182"/>
      <c r="S979" s="182"/>
      <c r="T979" s="182"/>
      <c r="U979" s="182"/>
      <c r="V979" s="182"/>
      <c r="W979" s="182"/>
      <c r="X979" s="182"/>
      <c r="Y979" s="182"/>
      <c r="Z979" s="182"/>
      <c r="AA979" s="182"/>
      <c r="AB979" s="182"/>
    </row>
    <row r="980" spans="1:28">
      <c r="A980" s="182"/>
      <c r="B980" s="182"/>
      <c r="C980" s="182"/>
      <c r="D980" s="182"/>
      <c r="E980" s="182"/>
      <c r="F980" s="182"/>
      <c r="G980" s="182"/>
      <c r="H980" s="182"/>
      <c r="I980" s="182"/>
      <c r="J980" s="182"/>
      <c r="K980" s="182"/>
      <c r="L980" s="182"/>
      <c r="M980" s="182"/>
      <c r="N980" s="182"/>
      <c r="O980" s="182"/>
      <c r="P980" s="182"/>
      <c r="Q980" s="182"/>
      <c r="R980" s="182"/>
      <c r="S980" s="182"/>
      <c r="T980" s="182"/>
      <c r="U980" s="182"/>
      <c r="V980" s="182"/>
      <c r="W980" s="182"/>
      <c r="X980" s="182"/>
      <c r="Y980" s="182"/>
      <c r="Z980" s="182"/>
      <c r="AA980" s="182"/>
      <c r="AB980" s="182"/>
    </row>
    <row r="981" spans="1:28">
      <c r="A981" s="182"/>
      <c r="B981" s="182"/>
      <c r="C981" s="182"/>
      <c r="D981" s="182"/>
      <c r="E981" s="182"/>
      <c r="F981" s="182"/>
      <c r="G981" s="182"/>
      <c r="H981" s="182"/>
      <c r="I981" s="182"/>
      <c r="J981" s="182"/>
      <c r="K981" s="182"/>
      <c r="L981" s="182"/>
      <c r="M981" s="182"/>
      <c r="N981" s="182"/>
      <c r="O981" s="182"/>
      <c r="P981" s="182"/>
      <c r="Q981" s="182"/>
      <c r="R981" s="182"/>
      <c r="S981" s="182"/>
      <c r="T981" s="182"/>
      <c r="U981" s="182"/>
      <c r="V981" s="182"/>
      <c r="W981" s="182"/>
      <c r="X981" s="182"/>
      <c r="Y981" s="182"/>
      <c r="Z981" s="182"/>
      <c r="AA981" s="182"/>
      <c r="AB981" s="182"/>
    </row>
    <row r="982" spans="1:28">
      <c r="A982" s="182"/>
      <c r="B982" s="182"/>
      <c r="C982" s="182"/>
      <c r="D982" s="182"/>
      <c r="E982" s="182"/>
      <c r="F982" s="182"/>
      <c r="G982" s="182"/>
      <c r="H982" s="182"/>
      <c r="I982" s="182"/>
      <c r="J982" s="182"/>
      <c r="K982" s="182"/>
      <c r="L982" s="182"/>
      <c r="M982" s="182"/>
      <c r="N982" s="182"/>
      <c r="O982" s="182"/>
      <c r="P982" s="182"/>
      <c r="Q982" s="182"/>
      <c r="R982" s="182"/>
      <c r="S982" s="182"/>
      <c r="T982" s="182"/>
      <c r="U982" s="182"/>
      <c r="V982" s="182"/>
      <c r="W982" s="182"/>
      <c r="X982" s="182"/>
      <c r="Y982" s="182"/>
      <c r="Z982" s="182"/>
      <c r="AA982" s="182"/>
      <c r="AB982" s="182"/>
    </row>
    <row r="983" spans="1:28">
      <c r="A983" s="182"/>
      <c r="B983" s="182"/>
      <c r="C983" s="182"/>
      <c r="D983" s="182"/>
      <c r="E983" s="182"/>
      <c r="F983" s="182"/>
      <c r="G983" s="182"/>
      <c r="H983" s="182"/>
      <c r="I983" s="182"/>
      <c r="J983" s="182"/>
      <c r="K983" s="182"/>
      <c r="L983" s="182"/>
      <c r="M983" s="182"/>
      <c r="N983" s="182"/>
      <c r="O983" s="182"/>
      <c r="P983" s="182"/>
      <c r="Q983" s="182"/>
      <c r="R983" s="182"/>
      <c r="S983" s="182"/>
      <c r="T983" s="182"/>
      <c r="U983" s="182"/>
      <c r="V983" s="182"/>
      <c r="W983" s="182"/>
      <c r="X983" s="182"/>
      <c r="Y983" s="182"/>
      <c r="Z983" s="182"/>
      <c r="AA983" s="182"/>
      <c r="AB983" s="182"/>
    </row>
    <row r="984" spans="1:28">
      <c r="A984" s="182"/>
      <c r="B984" s="182"/>
      <c r="C984" s="182"/>
      <c r="D984" s="182"/>
      <c r="E984" s="182"/>
      <c r="F984" s="182"/>
      <c r="G984" s="182"/>
      <c r="H984" s="182"/>
      <c r="I984" s="182"/>
      <c r="J984" s="182"/>
      <c r="K984" s="182"/>
      <c r="L984" s="182"/>
      <c r="M984" s="182"/>
      <c r="N984" s="182"/>
      <c r="O984" s="182"/>
      <c r="P984" s="182"/>
      <c r="Q984" s="182"/>
      <c r="R984" s="182"/>
      <c r="S984" s="182"/>
      <c r="T984" s="182"/>
      <c r="U984" s="182"/>
      <c r="V984" s="182"/>
      <c r="W984" s="182"/>
      <c r="X984" s="182"/>
      <c r="Y984" s="182"/>
      <c r="Z984" s="182"/>
      <c r="AA984" s="182"/>
      <c r="AB984" s="182"/>
    </row>
    <row r="985" spans="1:28">
      <c r="A985" s="182"/>
      <c r="B985" s="182"/>
      <c r="C985" s="182"/>
      <c r="D985" s="182"/>
      <c r="E985" s="182"/>
      <c r="F985" s="182"/>
      <c r="G985" s="182"/>
      <c r="H985" s="182"/>
      <c r="I985" s="182"/>
      <c r="J985" s="182"/>
      <c r="K985" s="182"/>
      <c r="L985" s="182"/>
      <c r="M985" s="182"/>
      <c r="N985" s="182"/>
      <c r="O985" s="182"/>
      <c r="P985" s="182"/>
      <c r="Q985" s="182"/>
      <c r="R985" s="182"/>
      <c r="S985" s="182"/>
      <c r="T985" s="182"/>
      <c r="U985" s="182"/>
      <c r="V985" s="182"/>
      <c r="W985" s="182"/>
      <c r="X985" s="182"/>
      <c r="Y985" s="182"/>
      <c r="Z985" s="182"/>
      <c r="AA985" s="182"/>
      <c r="AB985" s="182"/>
    </row>
    <row r="986" spans="1:28">
      <c r="A986" s="182"/>
      <c r="B986" s="182"/>
      <c r="C986" s="182"/>
      <c r="D986" s="182"/>
      <c r="E986" s="182"/>
      <c r="F986" s="182"/>
      <c r="G986" s="182"/>
      <c r="H986" s="182"/>
      <c r="I986" s="182"/>
      <c r="J986" s="182"/>
      <c r="K986" s="182"/>
      <c r="L986" s="182"/>
      <c r="M986" s="182"/>
      <c r="N986" s="182"/>
      <c r="O986" s="182"/>
      <c r="P986" s="182"/>
      <c r="Q986" s="182"/>
      <c r="R986" s="182"/>
      <c r="S986" s="182"/>
      <c r="T986" s="182"/>
      <c r="U986" s="182"/>
      <c r="V986" s="182"/>
      <c r="W986" s="182"/>
      <c r="X986" s="182"/>
      <c r="Y986" s="182"/>
      <c r="Z986" s="182"/>
      <c r="AA986" s="182"/>
      <c r="AB986" s="182"/>
    </row>
    <row r="987" spans="1:28">
      <c r="A987" s="182"/>
      <c r="B987" s="182"/>
      <c r="C987" s="182"/>
      <c r="D987" s="182"/>
      <c r="E987" s="182"/>
      <c r="F987" s="182"/>
      <c r="G987" s="182"/>
      <c r="H987" s="182"/>
      <c r="I987" s="182"/>
      <c r="J987" s="182"/>
      <c r="K987" s="182"/>
      <c r="L987" s="182"/>
      <c r="M987" s="182"/>
      <c r="N987" s="182"/>
      <c r="O987" s="182"/>
      <c r="P987" s="182"/>
      <c r="Q987" s="182"/>
      <c r="R987" s="182"/>
      <c r="S987" s="182"/>
      <c r="T987" s="182"/>
      <c r="U987" s="182"/>
      <c r="V987" s="182"/>
      <c r="W987" s="182"/>
      <c r="X987" s="182"/>
      <c r="Y987" s="182"/>
      <c r="Z987" s="182"/>
      <c r="AA987" s="182"/>
      <c r="AB987" s="182"/>
    </row>
    <row r="988" spans="1:28">
      <c r="A988" s="182"/>
      <c r="B988" s="182"/>
      <c r="C988" s="182"/>
      <c r="D988" s="182"/>
      <c r="E988" s="182"/>
      <c r="F988" s="182"/>
      <c r="G988" s="182"/>
      <c r="H988" s="182"/>
      <c r="I988" s="182"/>
      <c r="J988" s="182"/>
      <c r="K988" s="182"/>
      <c r="L988" s="182"/>
      <c r="M988" s="182"/>
      <c r="N988" s="182"/>
      <c r="O988" s="182"/>
      <c r="P988" s="182"/>
      <c r="Q988" s="182"/>
      <c r="R988" s="182"/>
      <c r="S988" s="182"/>
      <c r="T988" s="182"/>
      <c r="U988" s="182"/>
      <c r="V988" s="182"/>
      <c r="W988" s="182"/>
      <c r="X988" s="182"/>
      <c r="Y988" s="182"/>
      <c r="Z988" s="182"/>
      <c r="AA988" s="182"/>
      <c r="AB988" s="182"/>
    </row>
    <row r="989" spans="1:28">
      <c r="A989" s="182"/>
      <c r="B989" s="182"/>
      <c r="C989" s="182"/>
      <c r="D989" s="182"/>
      <c r="E989" s="182"/>
      <c r="F989" s="182"/>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row>
    <row r="990" spans="1:28">
      <c r="A990" s="182"/>
      <c r="B990" s="182"/>
      <c r="C990" s="182"/>
      <c r="D990" s="182"/>
      <c r="E990" s="182"/>
      <c r="F990" s="182"/>
      <c r="G990" s="182"/>
      <c r="H990" s="182"/>
      <c r="I990" s="182"/>
      <c r="J990" s="182"/>
      <c r="K990" s="182"/>
      <c r="L990" s="182"/>
      <c r="M990" s="182"/>
      <c r="N990" s="182"/>
      <c r="O990" s="182"/>
      <c r="P990" s="182"/>
      <c r="Q990" s="182"/>
      <c r="R990" s="182"/>
      <c r="S990" s="182"/>
      <c r="T990" s="182"/>
      <c r="U990" s="182"/>
      <c r="V990" s="182"/>
      <c r="W990" s="182"/>
      <c r="X990" s="182"/>
      <c r="Y990" s="182"/>
      <c r="Z990" s="182"/>
      <c r="AA990" s="182"/>
      <c r="AB990" s="182"/>
    </row>
    <row r="991" spans="1:28">
      <c r="A991" s="182"/>
      <c r="B991" s="182"/>
      <c r="C991" s="182"/>
      <c r="D991" s="182"/>
      <c r="E991" s="182"/>
      <c r="F991" s="182"/>
      <c r="G991" s="182"/>
      <c r="H991" s="182"/>
      <c r="I991" s="182"/>
      <c r="J991" s="182"/>
      <c r="K991" s="182"/>
      <c r="L991" s="182"/>
      <c r="M991" s="182"/>
      <c r="N991" s="182"/>
      <c r="O991" s="182"/>
      <c r="P991" s="182"/>
      <c r="Q991" s="182"/>
      <c r="R991" s="182"/>
      <c r="S991" s="182"/>
      <c r="T991" s="182"/>
      <c r="U991" s="182"/>
      <c r="V991" s="182"/>
      <c r="W991" s="182"/>
      <c r="X991" s="182"/>
      <c r="Y991" s="182"/>
      <c r="Z991" s="182"/>
      <c r="AA991" s="182"/>
      <c r="AB991" s="182"/>
    </row>
    <row r="992" spans="1:28">
      <c r="A992" s="182"/>
      <c r="B992" s="182"/>
      <c r="C992" s="182"/>
      <c r="D992" s="182"/>
      <c r="E992" s="182"/>
      <c r="F992" s="182"/>
      <c r="G992" s="182"/>
      <c r="H992" s="182"/>
      <c r="I992" s="182"/>
      <c r="J992" s="182"/>
      <c r="K992" s="182"/>
      <c r="L992" s="182"/>
      <c r="M992" s="182"/>
      <c r="N992" s="182"/>
      <c r="O992" s="182"/>
      <c r="P992" s="182"/>
      <c r="Q992" s="182"/>
      <c r="R992" s="182"/>
      <c r="S992" s="182"/>
      <c r="T992" s="182"/>
      <c r="U992" s="182"/>
      <c r="V992" s="182"/>
      <c r="W992" s="182"/>
      <c r="X992" s="182"/>
      <c r="Y992" s="182"/>
      <c r="Z992" s="182"/>
      <c r="AA992" s="182"/>
      <c r="AB992" s="182"/>
    </row>
    <row r="993" spans="1:28">
      <c r="A993" s="182"/>
      <c r="B993" s="182"/>
      <c r="C993" s="182"/>
      <c r="D993" s="182"/>
      <c r="E993" s="182"/>
      <c r="F993" s="182"/>
      <c r="G993" s="182"/>
      <c r="H993" s="182"/>
      <c r="I993" s="182"/>
      <c r="J993" s="182"/>
      <c r="K993" s="182"/>
      <c r="L993" s="182"/>
      <c r="M993" s="182"/>
      <c r="N993" s="182"/>
      <c r="O993" s="182"/>
      <c r="P993" s="182"/>
      <c r="Q993" s="182"/>
      <c r="R993" s="182"/>
      <c r="S993" s="182"/>
      <c r="T993" s="182"/>
      <c r="U993" s="182"/>
      <c r="V993" s="182"/>
      <c r="W993" s="182"/>
      <c r="X993" s="182"/>
      <c r="Y993" s="182"/>
      <c r="Z993" s="182"/>
      <c r="AA993" s="182"/>
      <c r="AB993" s="182"/>
    </row>
    <row r="994" spans="1:28">
      <c r="A994" s="182"/>
      <c r="B994" s="182"/>
      <c r="C994" s="182"/>
      <c r="D994" s="182"/>
      <c r="E994" s="182"/>
      <c r="F994" s="182"/>
      <c r="G994" s="182"/>
      <c r="H994" s="182"/>
      <c r="I994" s="182"/>
      <c r="J994" s="182"/>
      <c r="K994" s="182"/>
      <c r="L994" s="182"/>
      <c r="M994" s="182"/>
      <c r="N994" s="182"/>
      <c r="O994" s="182"/>
      <c r="P994" s="182"/>
      <c r="Q994" s="182"/>
      <c r="R994" s="182"/>
      <c r="S994" s="182"/>
      <c r="T994" s="182"/>
      <c r="U994" s="182"/>
      <c r="V994" s="182"/>
      <c r="W994" s="182"/>
      <c r="X994" s="182"/>
      <c r="Y994" s="182"/>
      <c r="Z994" s="182"/>
      <c r="AA994" s="182"/>
      <c r="AB994" s="182"/>
    </row>
    <row r="995" spans="1:28">
      <c r="A995" s="182"/>
      <c r="B995" s="182"/>
      <c r="C995" s="182"/>
      <c r="D995" s="182"/>
      <c r="E995" s="182"/>
      <c r="F995" s="182"/>
      <c r="G995" s="182"/>
      <c r="H995" s="182"/>
      <c r="I995" s="182"/>
      <c r="J995" s="182"/>
      <c r="K995" s="182"/>
      <c r="L995" s="182"/>
      <c r="M995" s="182"/>
      <c r="N995" s="182"/>
      <c r="O995" s="182"/>
      <c r="P995" s="182"/>
      <c r="Q995" s="182"/>
      <c r="R995" s="182"/>
      <c r="S995" s="182"/>
      <c r="T995" s="182"/>
      <c r="U995" s="182"/>
      <c r="V995" s="182"/>
      <c r="W995" s="182"/>
      <c r="X995" s="182"/>
      <c r="Y995" s="182"/>
      <c r="Z995" s="182"/>
      <c r="AA995" s="182"/>
      <c r="AB995" s="182"/>
    </row>
    <row r="996" spans="1:28">
      <c r="A996" s="182"/>
      <c r="B996" s="182"/>
      <c r="C996" s="182"/>
      <c r="D996" s="182"/>
      <c r="E996" s="182"/>
      <c r="F996" s="182"/>
      <c r="G996" s="182"/>
      <c r="H996" s="182"/>
      <c r="I996" s="182"/>
      <c r="J996" s="182"/>
      <c r="K996" s="182"/>
      <c r="L996" s="182"/>
      <c r="M996" s="182"/>
      <c r="N996" s="182"/>
      <c r="O996" s="182"/>
      <c r="P996" s="182"/>
      <c r="Q996" s="182"/>
      <c r="R996" s="182"/>
      <c r="S996" s="182"/>
      <c r="T996" s="182"/>
      <c r="U996" s="182"/>
      <c r="V996" s="182"/>
      <c r="W996" s="182"/>
      <c r="X996" s="182"/>
      <c r="Y996" s="182"/>
      <c r="Z996" s="182"/>
      <c r="AA996" s="182"/>
      <c r="AB996" s="182"/>
    </row>
    <row r="997" spans="1:28">
      <c r="A997" s="182"/>
      <c r="B997" s="182"/>
      <c r="C997" s="182"/>
      <c r="D997" s="182"/>
      <c r="E997" s="182"/>
      <c r="F997" s="182"/>
      <c r="G997" s="182"/>
      <c r="H997" s="182"/>
      <c r="I997" s="182"/>
      <c r="J997" s="182"/>
      <c r="K997" s="182"/>
      <c r="L997" s="182"/>
      <c r="M997" s="182"/>
      <c r="N997" s="182"/>
      <c r="O997" s="182"/>
      <c r="P997" s="182"/>
      <c r="Q997" s="182"/>
      <c r="R997" s="182"/>
      <c r="S997" s="182"/>
      <c r="T997" s="182"/>
      <c r="U997" s="182"/>
      <c r="V997" s="182"/>
      <c r="W997" s="182"/>
      <c r="X997" s="182"/>
      <c r="Y997" s="182"/>
      <c r="Z997" s="182"/>
      <c r="AA997" s="182"/>
      <c r="AB997" s="182"/>
    </row>
    <row r="998" spans="1:28">
      <c r="A998" s="182"/>
      <c r="B998" s="182"/>
      <c r="C998" s="182"/>
      <c r="D998" s="182"/>
      <c r="E998" s="182"/>
      <c r="F998" s="182"/>
      <c r="G998" s="182"/>
      <c r="H998" s="182"/>
      <c r="I998" s="182"/>
      <c r="J998" s="182"/>
      <c r="K998" s="182"/>
      <c r="L998" s="182"/>
      <c r="M998" s="182"/>
      <c r="N998" s="182"/>
      <c r="O998" s="182"/>
      <c r="P998" s="182"/>
      <c r="Q998" s="182"/>
      <c r="R998" s="182"/>
      <c r="S998" s="182"/>
      <c r="T998" s="182"/>
      <c r="U998" s="182"/>
      <c r="V998" s="182"/>
      <c r="W998" s="182"/>
      <c r="X998" s="182"/>
      <c r="Y998" s="182"/>
      <c r="Z998" s="182"/>
      <c r="AA998" s="182"/>
      <c r="AB998" s="182"/>
    </row>
    <row r="999" spans="1:28">
      <c r="A999" s="182"/>
      <c r="B999" s="182"/>
      <c r="C999" s="182"/>
      <c r="D999" s="182"/>
      <c r="E999" s="182"/>
      <c r="F999" s="182"/>
      <c r="G999" s="182"/>
      <c r="H999" s="182"/>
      <c r="I999" s="182"/>
      <c r="J999" s="182"/>
      <c r="K999" s="182"/>
      <c r="L999" s="182"/>
      <c r="M999" s="182"/>
      <c r="N999" s="182"/>
      <c r="O999" s="182"/>
      <c r="P999" s="182"/>
      <c r="Q999" s="182"/>
      <c r="R999" s="182"/>
      <c r="S999" s="182"/>
      <c r="T999" s="182"/>
      <c r="U999" s="182"/>
      <c r="V999" s="182"/>
      <c r="W999" s="182"/>
      <c r="X999" s="182"/>
      <c r="Y999" s="182"/>
      <c r="Z999" s="182"/>
      <c r="AA999" s="182"/>
      <c r="AB999" s="182"/>
    </row>
    <row r="1000" spans="1:28">
      <c r="A1000" s="182"/>
      <c r="B1000" s="182"/>
      <c r="C1000" s="182"/>
      <c r="D1000" s="182"/>
      <c r="E1000" s="182"/>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c r="Z1000" s="182"/>
      <c r="AA1000" s="182"/>
      <c r="AB1000" s="182"/>
    </row>
  </sheetData>
  <mergeCells count="1">
    <mergeCell ref="D1:E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B64"/>
  <sheetViews>
    <sheetView topLeftCell="A31" workbookViewId="0">
      <selection activeCell="B64" sqref="B64"/>
    </sheetView>
  </sheetViews>
  <sheetFormatPr defaultColWidth="14.44140625" defaultRowHeight="15" customHeight="1"/>
  <sheetData>
    <row r="1" spans="1:2">
      <c r="A1" s="216" t="s">
        <v>1</v>
      </c>
      <c r="B1" s="216" t="s">
        <v>1313</v>
      </c>
    </row>
    <row r="2" spans="1:2">
      <c r="A2" s="44" t="s">
        <v>508</v>
      </c>
      <c r="B2" s="44">
        <v>1589</v>
      </c>
    </row>
    <row r="3" spans="1:2">
      <c r="A3" s="44" t="s">
        <v>500</v>
      </c>
      <c r="B3" s="44">
        <v>741</v>
      </c>
    </row>
    <row r="4" spans="1:2">
      <c r="A4" s="44" t="s">
        <v>749</v>
      </c>
      <c r="B4" s="44">
        <v>1642</v>
      </c>
    </row>
    <row r="5" spans="1:2">
      <c r="A5" s="44" t="s">
        <v>688</v>
      </c>
      <c r="B5" s="44">
        <v>1749</v>
      </c>
    </row>
    <row r="6" spans="1:2">
      <c r="A6" s="44" t="s">
        <v>491</v>
      </c>
      <c r="B6" s="44">
        <v>4499</v>
      </c>
    </row>
    <row r="7" spans="1:2">
      <c r="A7" s="44" t="s">
        <v>504</v>
      </c>
      <c r="B7" s="44">
        <v>1642</v>
      </c>
    </row>
    <row r="8" spans="1:2">
      <c r="A8" s="44" t="s">
        <v>740</v>
      </c>
      <c r="B8" s="44">
        <v>2119</v>
      </c>
    </row>
    <row r="9" spans="1:2">
      <c r="A9" s="44" t="s">
        <v>253</v>
      </c>
      <c r="B9" s="44">
        <v>799</v>
      </c>
    </row>
    <row r="10" spans="1:2">
      <c r="A10" s="44" t="s">
        <v>262</v>
      </c>
      <c r="B10" s="44">
        <v>799</v>
      </c>
    </row>
    <row r="11" spans="1:2">
      <c r="A11" s="44" t="s">
        <v>267</v>
      </c>
      <c r="B11" s="44">
        <v>799</v>
      </c>
    </row>
    <row r="12" spans="1:2">
      <c r="A12" s="44" t="s">
        <v>779</v>
      </c>
      <c r="B12" s="44">
        <v>1695</v>
      </c>
    </row>
    <row r="13" spans="1:2">
      <c r="A13" s="44" t="s">
        <v>434</v>
      </c>
      <c r="B13" s="44">
        <v>1059</v>
      </c>
    </row>
    <row r="14" spans="1:2">
      <c r="A14" s="44" t="s">
        <v>543</v>
      </c>
      <c r="B14" s="44">
        <v>1377</v>
      </c>
    </row>
    <row r="15" spans="1:2">
      <c r="A15" s="44" t="s">
        <v>717</v>
      </c>
      <c r="B15" s="44">
        <v>2599</v>
      </c>
    </row>
    <row r="16" spans="1:2">
      <c r="A16" s="44" t="s">
        <v>538</v>
      </c>
      <c r="B16" s="44">
        <v>1059</v>
      </c>
    </row>
    <row r="17" spans="1:2">
      <c r="A17" s="44" t="s">
        <v>543</v>
      </c>
      <c r="B17" s="44">
        <v>1377</v>
      </c>
    </row>
    <row r="18" spans="1:2">
      <c r="A18" s="44" t="s">
        <v>683</v>
      </c>
      <c r="B18" s="44">
        <v>1901</v>
      </c>
    </row>
    <row r="19" spans="1:2">
      <c r="A19" s="44" t="s">
        <v>418</v>
      </c>
      <c r="B19" s="44">
        <v>2696</v>
      </c>
    </row>
    <row r="20" spans="1:2">
      <c r="A20" s="44" t="s">
        <v>570</v>
      </c>
      <c r="B20" s="44">
        <v>1695</v>
      </c>
    </row>
    <row r="21" spans="1:2">
      <c r="A21" s="44" t="s">
        <v>632</v>
      </c>
      <c r="B21" s="44">
        <v>1099</v>
      </c>
    </row>
    <row r="22" spans="1:2">
      <c r="A22" s="44" t="s">
        <v>462</v>
      </c>
      <c r="B22" s="44">
        <v>1483</v>
      </c>
    </row>
    <row r="23" spans="1:2">
      <c r="A23" s="44" t="s">
        <v>855</v>
      </c>
      <c r="B23" s="44">
        <v>1907</v>
      </c>
    </row>
    <row r="24" spans="1:2">
      <c r="A24" s="44" t="s">
        <v>625</v>
      </c>
      <c r="B24" s="44">
        <v>2599</v>
      </c>
    </row>
    <row r="25" spans="1:2">
      <c r="A25" s="44" t="s">
        <v>603</v>
      </c>
      <c r="B25" s="44">
        <v>2649</v>
      </c>
    </row>
    <row r="26" spans="1:2">
      <c r="A26" s="44" t="s">
        <v>819</v>
      </c>
      <c r="B26" s="44">
        <v>17949</v>
      </c>
    </row>
    <row r="27" spans="1:2">
      <c r="A27" s="44" t="s">
        <v>651</v>
      </c>
      <c r="B27" s="44">
        <v>2066</v>
      </c>
    </row>
    <row r="28" spans="1:2">
      <c r="A28" s="44" t="s">
        <v>246</v>
      </c>
      <c r="B28" s="44">
        <v>3699</v>
      </c>
    </row>
    <row r="29" spans="1:2">
      <c r="A29" s="44" t="s">
        <v>441</v>
      </c>
      <c r="B29" s="44">
        <v>1165</v>
      </c>
    </row>
    <row r="30" spans="1:2">
      <c r="A30" s="44" t="s">
        <v>712</v>
      </c>
      <c r="B30" s="44">
        <v>2599</v>
      </c>
    </row>
    <row r="31" spans="1:2">
      <c r="A31" s="44" t="s">
        <v>520</v>
      </c>
      <c r="B31" s="44">
        <v>1483</v>
      </c>
    </row>
    <row r="32" spans="1:2">
      <c r="A32" s="44" t="s">
        <v>797</v>
      </c>
      <c r="B32" s="44">
        <v>2013</v>
      </c>
    </row>
    <row r="33" spans="1:2">
      <c r="A33" s="44" t="s">
        <v>538</v>
      </c>
      <c r="B33" s="44">
        <v>1059</v>
      </c>
    </row>
    <row r="34" spans="1:2">
      <c r="A34" s="44" t="s">
        <v>831</v>
      </c>
      <c r="B34" s="44">
        <v>1695</v>
      </c>
    </row>
    <row r="35" spans="1:2">
      <c r="A35" s="44" t="s">
        <v>810</v>
      </c>
      <c r="B35" s="44">
        <v>1165</v>
      </c>
    </row>
    <row r="36" spans="1:2">
      <c r="A36" s="44" t="s">
        <v>815</v>
      </c>
      <c r="B36" s="44">
        <v>1165</v>
      </c>
    </row>
    <row r="37" spans="1:2">
      <c r="A37" s="44" t="s">
        <v>668</v>
      </c>
      <c r="B37" s="44">
        <v>1589</v>
      </c>
    </row>
    <row r="38" spans="1:2">
      <c r="A38" s="44" t="s">
        <v>802</v>
      </c>
      <c r="B38" s="44">
        <v>2119</v>
      </c>
    </row>
    <row r="39" spans="1:2">
      <c r="A39" s="44" t="s">
        <v>557</v>
      </c>
      <c r="B39" s="44">
        <v>1324</v>
      </c>
    </row>
    <row r="40" spans="1:2">
      <c r="A40" s="44" t="s">
        <v>562</v>
      </c>
      <c r="B40" s="44">
        <v>1589</v>
      </c>
    </row>
    <row r="41" spans="1:2">
      <c r="A41" s="44" t="s">
        <v>240</v>
      </c>
      <c r="B41" s="44">
        <v>2755</v>
      </c>
    </row>
    <row r="42" spans="1:2">
      <c r="A42" s="44" t="s">
        <v>448</v>
      </c>
      <c r="B42" s="44">
        <v>1483</v>
      </c>
    </row>
    <row r="43" spans="1:2">
      <c r="A43" s="44" t="s">
        <v>454</v>
      </c>
      <c r="B43" s="44">
        <v>2119</v>
      </c>
    </row>
    <row r="44" spans="1:2">
      <c r="A44" s="44" t="s">
        <v>659</v>
      </c>
      <c r="B44" s="44">
        <v>2119</v>
      </c>
    </row>
    <row r="45" spans="1:2">
      <c r="A45" s="44" t="s">
        <v>679</v>
      </c>
      <c r="B45" s="44">
        <v>1229</v>
      </c>
    </row>
    <row r="46" spans="1:2">
      <c r="A46" s="44" t="s">
        <v>700</v>
      </c>
      <c r="B46" s="44">
        <v>2119</v>
      </c>
    </row>
    <row r="47" spans="1:2">
      <c r="A47" s="44" t="s">
        <v>468</v>
      </c>
      <c r="B47" s="44">
        <v>1695</v>
      </c>
    </row>
    <row r="48" spans="1:2">
      <c r="A48" s="44" t="s">
        <v>663</v>
      </c>
      <c r="B48" s="44">
        <v>3179</v>
      </c>
    </row>
    <row r="49" spans="1:2">
      <c r="A49" s="44" t="s">
        <v>615</v>
      </c>
      <c r="B49" s="44">
        <v>1483</v>
      </c>
    </row>
    <row r="50" spans="1:2">
      <c r="A50" s="44" t="s">
        <v>621</v>
      </c>
      <c r="B50" s="44">
        <v>1483</v>
      </c>
    </row>
    <row r="51" spans="1:2">
      <c r="A51" s="44" t="s">
        <v>580</v>
      </c>
      <c r="B51" s="44">
        <v>2649</v>
      </c>
    </row>
    <row r="52" spans="1:2">
      <c r="A52" s="44" t="s">
        <v>642</v>
      </c>
      <c r="B52" s="44">
        <v>1642</v>
      </c>
    </row>
    <row r="53" spans="1:2">
      <c r="A53" s="44" t="s">
        <v>724</v>
      </c>
      <c r="B53" s="44">
        <v>1504</v>
      </c>
    </row>
    <row r="54" spans="1:2">
      <c r="A54" s="44" t="s">
        <v>704</v>
      </c>
      <c r="B54" s="44">
        <v>6359</v>
      </c>
    </row>
    <row r="55" spans="1:2">
      <c r="A55" s="44" t="s">
        <v>589</v>
      </c>
      <c r="B55" s="44">
        <v>2170</v>
      </c>
    </row>
    <row r="56" spans="1:2">
      <c r="A56" s="44" t="s">
        <v>575</v>
      </c>
      <c r="B56" s="44">
        <v>2331</v>
      </c>
    </row>
    <row r="57" spans="1:2">
      <c r="A57" s="44" t="s">
        <v>835</v>
      </c>
      <c r="B57" s="44">
        <v>2119</v>
      </c>
    </row>
    <row r="58" spans="1:2">
      <c r="A58" s="44" t="s">
        <v>675</v>
      </c>
      <c r="B58" s="44">
        <v>1695</v>
      </c>
    </row>
    <row r="59" spans="1:2">
      <c r="A59" s="44" t="s">
        <v>827</v>
      </c>
      <c r="B59" s="44">
        <v>2119</v>
      </c>
    </row>
    <row r="60" spans="1:2">
      <c r="A60" s="44" t="s">
        <v>424</v>
      </c>
      <c r="B60" s="44">
        <v>3073</v>
      </c>
    </row>
    <row r="61" spans="1:2">
      <c r="A61" s="44" t="s">
        <v>695</v>
      </c>
      <c r="B61" s="44">
        <v>3179</v>
      </c>
    </row>
    <row r="62" spans="1:2">
      <c r="A62" s="44" t="s">
        <v>584</v>
      </c>
      <c r="B62" s="44">
        <v>3497</v>
      </c>
    </row>
    <row r="63" spans="1:2">
      <c r="A63" s="44" t="s">
        <v>859</v>
      </c>
      <c r="B63" s="44">
        <v>4239</v>
      </c>
    </row>
    <row r="64" spans="1:2">
      <c r="A64" s="44" t="s">
        <v>552</v>
      </c>
      <c r="B64" s="44">
        <v>1499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Y19"/>
  <sheetViews>
    <sheetView workbookViewId="0"/>
  </sheetViews>
  <sheetFormatPr defaultColWidth="14.44140625" defaultRowHeight="15" customHeight="1"/>
  <cols>
    <col min="1" max="1" width="99" customWidth="1"/>
    <col min="2" max="2" width="20" customWidth="1"/>
    <col min="3" max="3" width="9.6640625" customWidth="1"/>
    <col min="4" max="4" width="15.109375" customWidth="1"/>
    <col min="5" max="5" width="16.109375" customWidth="1"/>
    <col min="6" max="6" width="8.44140625" customWidth="1"/>
    <col min="7" max="8" width="8" customWidth="1"/>
    <col min="9" max="9" width="13.44140625" customWidth="1"/>
    <col min="10" max="10" width="16.6640625" customWidth="1"/>
    <col min="11" max="11" width="12.6640625" customWidth="1"/>
    <col min="12" max="12" width="9.88671875" customWidth="1"/>
    <col min="13" max="13" width="14" customWidth="1"/>
    <col min="14" max="15" width="12.6640625" customWidth="1"/>
    <col min="16" max="16" width="12.44140625" customWidth="1"/>
    <col min="17" max="17" width="14" customWidth="1"/>
    <col min="18" max="18" width="17.6640625" customWidth="1"/>
    <col min="19" max="19" width="11" customWidth="1"/>
    <col min="20" max="20" width="9.44140625" customWidth="1"/>
    <col min="21" max="21" width="11.88671875" customWidth="1"/>
    <col min="22" max="22" width="5.44140625" customWidth="1"/>
    <col min="23" max="23" width="10.6640625" customWidth="1"/>
    <col min="24" max="24" width="12.33203125" customWidth="1"/>
    <col min="25" max="25" width="20.88671875" customWidth="1"/>
  </cols>
  <sheetData>
    <row r="1" spans="1:25">
      <c r="A1" s="189"/>
      <c r="B1" s="189"/>
      <c r="C1" s="189"/>
      <c r="D1" s="189"/>
      <c r="E1" s="189"/>
      <c r="F1" s="189"/>
      <c r="G1" s="189"/>
      <c r="H1" s="189"/>
      <c r="I1" s="189"/>
      <c r="J1" s="189"/>
      <c r="K1" s="189"/>
      <c r="L1" s="189"/>
      <c r="M1" s="189"/>
      <c r="N1" s="189"/>
      <c r="O1" s="189"/>
      <c r="P1" s="189"/>
      <c r="Q1" s="189"/>
      <c r="R1" s="535">
        <v>0.1</v>
      </c>
      <c r="S1" s="535">
        <v>0.05</v>
      </c>
      <c r="T1" s="535">
        <v>0.03</v>
      </c>
      <c r="U1" s="535">
        <v>0.03</v>
      </c>
      <c r="V1" s="189"/>
      <c r="W1" s="189"/>
      <c r="X1" s="189"/>
      <c r="Y1" s="189"/>
    </row>
    <row r="2" spans="1:25">
      <c r="A2" s="189"/>
      <c r="B2" s="189"/>
      <c r="C2" s="189"/>
      <c r="D2" s="189"/>
      <c r="E2" s="189"/>
      <c r="F2" s="189"/>
      <c r="G2" s="189"/>
      <c r="H2" s="189"/>
      <c r="I2" s="189"/>
      <c r="J2" s="581" t="s">
        <v>1659</v>
      </c>
      <c r="K2" s="582"/>
      <c r="L2" s="582"/>
      <c r="M2" s="583"/>
      <c r="N2" s="189"/>
      <c r="O2" s="189"/>
      <c r="P2" s="189"/>
      <c r="Q2" s="189"/>
      <c r="R2" s="581" t="s">
        <v>1660</v>
      </c>
      <c r="S2" s="582"/>
      <c r="T2" s="582"/>
      <c r="U2" s="583"/>
      <c r="V2" s="189"/>
      <c r="W2" s="189"/>
      <c r="X2" s="189"/>
      <c r="Y2" s="189"/>
    </row>
    <row r="3" spans="1:25">
      <c r="A3" s="45" t="s">
        <v>1661</v>
      </c>
      <c r="B3" s="72" t="s">
        <v>1662</v>
      </c>
      <c r="C3" s="72" t="s">
        <v>1663</v>
      </c>
      <c r="D3" s="72" t="s">
        <v>1664</v>
      </c>
      <c r="E3" s="72" t="s">
        <v>1665</v>
      </c>
      <c r="F3" s="72" t="s">
        <v>1666</v>
      </c>
      <c r="G3" s="72" t="s">
        <v>15</v>
      </c>
      <c r="H3" s="72" t="s">
        <v>174</v>
      </c>
      <c r="I3" s="72" t="s">
        <v>1667</v>
      </c>
      <c r="J3" s="536" t="s">
        <v>1668</v>
      </c>
      <c r="K3" s="536" t="s">
        <v>1669</v>
      </c>
      <c r="L3" s="536" t="s">
        <v>1670</v>
      </c>
      <c r="M3" s="536" t="s">
        <v>1671</v>
      </c>
      <c r="N3" s="72" t="s">
        <v>1672</v>
      </c>
      <c r="O3" s="72" t="s">
        <v>1673</v>
      </c>
      <c r="P3" s="537" t="s">
        <v>196</v>
      </c>
      <c r="Q3" s="537" t="s">
        <v>1674</v>
      </c>
      <c r="R3" s="536" t="s">
        <v>179</v>
      </c>
      <c r="S3" s="536" t="s">
        <v>1675</v>
      </c>
      <c r="T3" s="536" t="s">
        <v>1676</v>
      </c>
      <c r="U3" s="536" t="s">
        <v>1677</v>
      </c>
      <c r="V3" s="538" t="s">
        <v>962</v>
      </c>
      <c r="W3" s="537" t="s">
        <v>1146</v>
      </c>
      <c r="X3" s="537" t="s">
        <v>1678</v>
      </c>
      <c r="Y3" s="72" t="s">
        <v>1679</v>
      </c>
    </row>
    <row r="4" spans="1:25">
      <c r="A4" s="73" t="s">
        <v>1680</v>
      </c>
      <c r="B4" s="74" t="s">
        <v>1681</v>
      </c>
      <c r="C4" s="74" t="s">
        <v>324</v>
      </c>
      <c r="D4" s="74" t="s">
        <v>326</v>
      </c>
      <c r="E4" s="74" t="s">
        <v>1682</v>
      </c>
      <c r="F4" s="74">
        <v>6099</v>
      </c>
      <c r="G4" s="74">
        <v>1190.68</v>
      </c>
      <c r="H4" s="74">
        <v>1405</v>
      </c>
      <c r="I4" s="539">
        <v>0.06</v>
      </c>
      <c r="J4" s="536">
        <v>149.94</v>
      </c>
      <c r="K4" s="536">
        <v>75</v>
      </c>
      <c r="L4" s="536">
        <v>55</v>
      </c>
      <c r="M4" s="536">
        <v>49.98</v>
      </c>
      <c r="N4" s="74">
        <v>329.92</v>
      </c>
      <c r="O4" s="74">
        <v>389.31</v>
      </c>
      <c r="P4" s="540">
        <v>597.20000000000005</v>
      </c>
      <c r="Q4" s="541">
        <v>0.24</v>
      </c>
      <c r="R4" s="536">
        <v>249.9</v>
      </c>
      <c r="S4" s="536">
        <v>124.95</v>
      </c>
      <c r="T4" s="536">
        <v>74.97</v>
      </c>
      <c r="U4" s="536">
        <v>74.97</v>
      </c>
      <c r="V4" s="542">
        <v>2499</v>
      </c>
      <c r="W4" s="540">
        <v>72.41</v>
      </c>
      <c r="X4" s="541">
        <v>0.03</v>
      </c>
      <c r="Y4" s="543"/>
    </row>
    <row r="5" spans="1:25">
      <c r="A5" s="73" t="s">
        <v>1683</v>
      </c>
      <c r="B5" s="74" t="s">
        <v>1684</v>
      </c>
      <c r="C5" s="74" t="s">
        <v>240</v>
      </c>
      <c r="D5" s="74" t="s">
        <v>242</v>
      </c>
      <c r="E5" s="74" t="s">
        <v>1682</v>
      </c>
      <c r="F5" s="74">
        <v>4999</v>
      </c>
      <c r="G5" s="74">
        <v>1028.97</v>
      </c>
      <c r="H5" s="74">
        <v>1214.18</v>
      </c>
      <c r="I5" s="539">
        <v>0.06</v>
      </c>
      <c r="J5" s="536">
        <v>125.94</v>
      </c>
      <c r="K5" s="536">
        <v>75</v>
      </c>
      <c r="L5" s="536">
        <v>55</v>
      </c>
      <c r="M5" s="536">
        <v>41.98</v>
      </c>
      <c r="N5" s="74">
        <v>297.92</v>
      </c>
      <c r="O5" s="74">
        <v>351.55</v>
      </c>
      <c r="P5" s="540">
        <v>451.93</v>
      </c>
      <c r="Q5" s="541">
        <v>0.22</v>
      </c>
      <c r="R5" s="536">
        <v>209.9</v>
      </c>
      <c r="S5" s="536">
        <v>104.95</v>
      </c>
      <c r="T5" s="536">
        <v>62.97</v>
      </c>
      <c r="U5" s="536">
        <v>62.97</v>
      </c>
      <c r="V5" s="542">
        <v>2099</v>
      </c>
      <c r="W5" s="540">
        <v>11.14</v>
      </c>
      <c r="X5" s="541">
        <v>0.01</v>
      </c>
      <c r="Y5" s="543"/>
    </row>
    <row r="6" spans="1:25">
      <c r="A6" s="73" t="s">
        <v>1685</v>
      </c>
      <c r="B6" s="74" t="s">
        <v>1686</v>
      </c>
      <c r="C6" s="74" t="s">
        <v>231</v>
      </c>
      <c r="D6" s="74" t="s">
        <v>233</v>
      </c>
      <c r="E6" s="74" t="s">
        <v>1682</v>
      </c>
      <c r="F6" s="74">
        <v>5999</v>
      </c>
      <c r="G6" s="74">
        <v>1366.16</v>
      </c>
      <c r="H6" s="74">
        <v>1612.07</v>
      </c>
      <c r="I6" s="539">
        <v>0.06</v>
      </c>
      <c r="J6" s="536">
        <v>149.94</v>
      </c>
      <c r="K6" s="536">
        <v>75</v>
      </c>
      <c r="L6" s="536">
        <v>55</v>
      </c>
      <c r="M6" s="536">
        <v>49.98</v>
      </c>
      <c r="N6" s="74">
        <v>329.92</v>
      </c>
      <c r="O6" s="74">
        <v>389.31</v>
      </c>
      <c r="P6" s="540">
        <v>421.71</v>
      </c>
      <c r="Q6" s="541">
        <v>0.17</v>
      </c>
      <c r="R6" s="536">
        <v>249.9</v>
      </c>
      <c r="S6" s="536">
        <v>124.95</v>
      </c>
      <c r="T6" s="536">
        <v>74.97</v>
      </c>
      <c r="U6" s="536">
        <v>74.97</v>
      </c>
      <c r="V6" s="542">
        <v>2499</v>
      </c>
      <c r="W6" s="540">
        <v>-103.08</v>
      </c>
      <c r="X6" s="541">
        <v>-0.04</v>
      </c>
      <c r="Y6" s="543"/>
    </row>
    <row r="7" spans="1:25">
      <c r="A7" s="73" t="s">
        <v>1687</v>
      </c>
      <c r="B7" s="74" t="s">
        <v>1688</v>
      </c>
      <c r="C7" s="74" t="s">
        <v>246</v>
      </c>
      <c r="D7" s="74" t="s">
        <v>248</v>
      </c>
      <c r="E7" s="74" t="s">
        <v>1689</v>
      </c>
      <c r="F7" s="74">
        <v>9999</v>
      </c>
      <c r="G7" s="74">
        <v>1758.01</v>
      </c>
      <c r="H7" s="74">
        <v>2074.4499999999998</v>
      </c>
      <c r="I7" s="539">
        <v>0.06</v>
      </c>
      <c r="J7" s="536">
        <v>209.94</v>
      </c>
      <c r="K7" s="536">
        <v>83</v>
      </c>
      <c r="L7" s="536">
        <v>55</v>
      </c>
      <c r="M7" s="536">
        <v>69.98</v>
      </c>
      <c r="N7" s="74">
        <v>417.92</v>
      </c>
      <c r="O7" s="74">
        <v>493.15</v>
      </c>
      <c r="P7" s="540">
        <v>789.33</v>
      </c>
      <c r="Q7" s="541">
        <v>0.23</v>
      </c>
      <c r="R7" s="536">
        <v>349.9</v>
      </c>
      <c r="S7" s="536">
        <v>174.95</v>
      </c>
      <c r="T7" s="536">
        <v>104.97</v>
      </c>
      <c r="U7" s="536">
        <v>104.97</v>
      </c>
      <c r="V7" s="542">
        <v>3499</v>
      </c>
      <c r="W7" s="540">
        <v>54.54</v>
      </c>
      <c r="X7" s="541">
        <v>0.02</v>
      </c>
      <c r="Y7" s="543"/>
    </row>
    <row r="8" spans="1:25">
      <c r="A8" s="73" t="s">
        <v>1690</v>
      </c>
      <c r="B8" s="74" t="s">
        <v>1691</v>
      </c>
      <c r="C8" s="74" t="s">
        <v>340</v>
      </c>
      <c r="D8" s="74" t="s">
        <v>342</v>
      </c>
      <c r="E8" s="74" t="s">
        <v>315</v>
      </c>
      <c r="F8" s="74">
        <v>699</v>
      </c>
      <c r="G8" s="74">
        <v>221.19</v>
      </c>
      <c r="H8" s="74">
        <v>261</v>
      </c>
      <c r="I8" s="539">
        <v>0.05</v>
      </c>
      <c r="J8" s="536">
        <v>13.95</v>
      </c>
      <c r="K8" s="536">
        <v>48</v>
      </c>
      <c r="L8" s="536">
        <v>16</v>
      </c>
      <c r="M8" s="536">
        <v>12.5</v>
      </c>
      <c r="N8" s="74">
        <v>90.45</v>
      </c>
      <c r="O8" s="74">
        <v>106.73</v>
      </c>
      <c r="P8" s="540">
        <v>-75.2</v>
      </c>
      <c r="Q8" s="541">
        <v>-0.27</v>
      </c>
      <c r="R8" s="536">
        <v>27.9</v>
      </c>
      <c r="S8" s="536">
        <v>0</v>
      </c>
      <c r="T8" s="536">
        <v>8.3699999999999992</v>
      </c>
      <c r="U8" s="536">
        <v>8.3699999999999992</v>
      </c>
      <c r="V8" s="542">
        <v>279</v>
      </c>
      <c r="W8" s="540">
        <v>-119.84</v>
      </c>
      <c r="X8" s="541">
        <v>-0.43</v>
      </c>
      <c r="Y8" s="543" t="s">
        <v>1692</v>
      </c>
    </row>
    <row r="9" spans="1:25">
      <c r="A9" s="73" t="s">
        <v>1693</v>
      </c>
      <c r="B9" s="74" t="s">
        <v>1694</v>
      </c>
      <c r="C9" s="74" t="s">
        <v>335</v>
      </c>
      <c r="D9" s="74" t="s">
        <v>337</v>
      </c>
      <c r="E9" s="74" t="s">
        <v>315</v>
      </c>
      <c r="F9" s="74">
        <v>1199</v>
      </c>
      <c r="G9" s="74">
        <v>221.19</v>
      </c>
      <c r="H9" s="74">
        <v>261</v>
      </c>
      <c r="I9" s="539">
        <v>0.05</v>
      </c>
      <c r="J9" s="536">
        <v>23.95</v>
      </c>
      <c r="K9" s="536">
        <v>48</v>
      </c>
      <c r="L9" s="536">
        <v>16</v>
      </c>
      <c r="M9" s="536">
        <v>12.5</v>
      </c>
      <c r="N9" s="74">
        <v>100.45</v>
      </c>
      <c r="O9" s="74">
        <v>118.53</v>
      </c>
      <c r="P9" s="540">
        <v>84.3</v>
      </c>
      <c r="Q9" s="541">
        <v>0.18</v>
      </c>
      <c r="R9" s="536">
        <v>47.9</v>
      </c>
      <c r="S9" s="536">
        <v>0</v>
      </c>
      <c r="T9" s="536">
        <v>14.37</v>
      </c>
      <c r="U9" s="536">
        <v>14.37</v>
      </c>
      <c r="V9" s="542">
        <v>479</v>
      </c>
      <c r="W9" s="540">
        <v>7.66</v>
      </c>
      <c r="X9" s="541">
        <v>0.02</v>
      </c>
      <c r="Y9" s="543"/>
    </row>
    <row r="10" spans="1:25">
      <c r="A10" s="73" t="s">
        <v>1695</v>
      </c>
      <c r="B10" s="74" t="s">
        <v>1696</v>
      </c>
      <c r="C10" s="74" t="s">
        <v>329</v>
      </c>
      <c r="D10" s="74" t="s">
        <v>331</v>
      </c>
      <c r="E10" s="74" t="s">
        <v>315</v>
      </c>
      <c r="F10" s="74">
        <v>1199</v>
      </c>
      <c r="G10" s="74">
        <v>221.19</v>
      </c>
      <c r="H10" s="74">
        <v>261</v>
      </c>
      <c r="I10" s="539">
        <v>0.05</v>
      </c>
      <c r="J10" s="536">
        <v>23.95</v>
      </c>
      <c r="K10" s="536">
        <v>48</v>
      </c>
      <c r="L10" s="536">
        <v>16</v>
      </c>
      <c r="M10" s="536">
        <v>12.5</v>
      </c>
      <c r="N10" s="74">
        <v>100.45</v>
      </c>
      <c r="O10" s="74">
        <v>118.53</v>
      </c>
      <c r="P10" s="540">
        <v>84.3</v>
      </c>
      <c r="Q10" s="541">
        <v>0.18</v>
      </c>
      <c r="R10" s="536">
        <v>47.9</v>
      </c>
      <c r="S10" s="536">
        <v>0</v>
      </c>
      <c r="T10" s="536">
        <v>14.37</v>
      </c>
      <c r="U10" s="536">
        <v>14.37</v>
      </c>
      <c r="V10" s="542">
        <v>479</v>
      </c>
      <c r="W10" s="540">
        <v>7.66</v>
      </c>
      <c r="X10" s="541">
        <v>0.02</v>
      </c>
      <c r="Y10" s="543"/>
    </row>
    <row r="11" spans="1:25">
      <c r="A11" s="73" t="s">
        <v>1697</v>
      </c>
      <c r="B11" s="74" t="s">
        <v>1698</v>
      </c>
      <c r="C11" s="74" t="s">
        <v>311</v>
      </c>
      <c r="D11" s="74" t="s">
        <v>1699</v>
      </c>
      <c r="E11" s="74" t="s">
        <v>315</v>
      </c>
      <c r="F11" s="74">
        <v>3599</v>
      </c>
      <c r="G11" s="74">
        <v>839.83</v>
      </c>
      <c r="H11" s="74">
        <v>991</v>
      </c>
      <c r="I11" s="539">
        <v>0.08</v>
      </c>
      <c r="J11" s="536">
        <v>135.91999999999999</v>
      </c>
      <c r="K11" s="536">
        <v>48</v>
      </c>
      <c r="L11" s="536">
        <v>60</v>
      </c>
      <c r="M11" s="536">
        <v>33.979999999999997</v>
      </c>
      <c r="N11" s="74">
        <v>277.89999999999998</v>
      </c>
      <c r="O11" s="74">
        <v>327.92</v>
      </c>
      <c r="P11" s="540">
        <v>322.10000000000002</v>
      </c>
      <c r="Q11" s="541">
        <v>0.19</v>
      </c>
      <c r="R11" s="536">
        <v>169.9</v>
      </c>
      <c r="S11" s="536">
        <v>0</v>
      </c>
      <c r="T11" s="536">
        <v>50.97</v>
      </c>
      <c r="U11" s="536">
        <v>50.97</v>
      </c>
      <c r="V11" s="542">
        <v>1699</v>
      </c>
      <c r="W11" s="540">
        <v>50.26</v>
      </c>
      <c r="X11" s="541">
        <v>0.03</v>
      </c>
      <c r="Y11" s="543"/>
    </row>
    <row r="12" spans="1:25">
      <c r="A12" s="73" t="s">
        <v>1700</v>
      </c>
      <c r="B12" s="74" t="s">
        <v>1701</v>
      </c>
      <c r="C12" s="74" t="s">
        <v>1702</v>
      </c>
      <c r="D12" s="74" t="s">
        <v>1703</v>
      </c>
      <c r="E12" s="74" t="s">
        <v>1704</v>
      </c>
      <c r="F12" s="74">
        <v>2999</v>
      </c>
      <c r="G12" s="74">
        <v>820.34</v>
      </c>
      <c r="H12" s="74">
        <v>968</v>
      </c>
      <c r="I12" s="539">
        <v>0.1</v>
      </c>
      <c r="J12" s="536">
        <v>189.9</v>
      </c>
      <c r="K12" s="536">
        <v>52</v>
      </c>
      <c r="L12" s="536">
        <v>55</v>
      </c>
      <c r="M12" s="536">
        <v>37.979999999999997</v>
      </c>
      <c r="N12" s="74">
        <v>334.88</v>
      </c>
      <c r="O12" s="74">
        <v>395.16</v>
      </c>
      <c r="P12" s="540">
        <v>454.1</v>
      </c>
      <c r="Q12" s="541">
        <v>0.24</v>
      </c>
      <c r="R12" s="536">
        <v>189.9</v>
      </c>
      <c r="S12" s="536">
        <v>94.95</v>
      </c>
      <c r="T12" s="536">
        <v>56.97</v>
      </c>
      <c r="U12" s="536">
        <v>56.97</v>
      </c>
      <c r="V12" s="542">
        <v>1899</v>
      </c>
      <c r="W12" s="540">
        <v>55.31</v>
      </c>
      <c r="X12" s="541">
        <v>0.03</v>
      </c>
      <c r="Y12" s="543"/>
    </row>
    <row r="13" spans="1:25">
      <c r="A13" s="73" t="s">
        <v>1705</v>
      </c>
      <c r="B13" s="74" t="s">
        <v>1706</v>
      </c>
      <c r="C13" s="74" t="s">
        <v>1707</v>
      </c>
      <c r="D13" s="74" t="s">
        <v>309</v>
      </c>
      <c r="E13" s="74" t="s">
        <v>1704</v>
      </c>
      <c r="F13" s="74">
        <v>2999</v>
      </c>
      <c r="G13" s="74">
        <v>820.34</v>
      </c>
      <c r="H13" s="74">
        <v>968</v>
      </c>
      <c r="I13" s="539">
        <v>0.1</v>
      </c>
      <c r="J13" s="536">
        <v>189.9</v>
      </c>
      <c r="K13" s="536">
        <v>52</v>
      </c>
      <c r="L13" s="536">
        <v>55</v>
      </c>
      <c r="M13" s="536">
        <v>37.979999999999997</v>
      </c>
      <c r="N13" s="74">
        <v>334.88</v>
      </c>
      <c r="O13" s="74">
        <v>395.16</v>
      </c>
      <c r="P13" s="540">
        <v>454.1</v>
      </c>
      <c r="Q13" s="541">
        <v>0.24</v>
      </c>
      <c r="R13" s="536">
        <v>189.9</v>
      </c>
      <c r="S13" s="536">
        <v>94.95</v>
      </c>
      <c r="T13" s="536">
        <v>56.97</v>
      </c>
      <c r="U13" s="536">
        <v>56.97</v>
      </c>
      <c r="V13" s="542">
        <v>1899</v>
      </c>
      <c r="W13" s="540">
        <v>55.31</v>
      </c>
      <c r="X13" s="541">
        <v>0.03</v>
      </c>
      <c r="Y13" s="543"/>
    </row>
    <row r="14" spans="1:25">
      <c r="A14" s="73" t="s">
        <v>1708</v>
      </c>
      <c r="B14" s="74" t="s">
        <v>1709</v>
      </c>
      <c r="C14" s="74" t="s">
        <v>297</v>
      </c>
      <c r="D14" s="74" t="s">
        <v>299</v>
      </c>
      <c r="E14" s="74" t="s">
        <v>1710</v>
      </c>
      <c r="F14" s="74">
        <v>2999</v>
      </c>
      <c r="G14" s="74">
        <v>526.33000000000004</v>
      </c>
      <c r="H14" s="74">
        <v>621.07000000000005</v>
      </c>
      <c r="I14" s="539">
        <v>0.09</v>
      </c>
      <c r="J14" s="536">
        <v>88.11</v>
      </c>
      <c r="K14" s="536">
        <v>91</v>
      </c>
      <c r="L14" s="536">
        <v>30</v>
      </c>
      <c r="M14" s="536">
        <v>19.98</v>
      </c>
      <c r="N14" s="74">
        <v>229.09</v>
      </c>
      <c r="O14" s="74">
        <v>270.33</v>
      </c>
      <c r="P14" s="540">
        <v>74.239999999999995</v>
      </c>
      <c r="Q14" s="541">
        <v>0.08</v>
      </c>
      <c r="R14" s="536">
        <v>97.9</v>
      </c>
      <c r="S14" s="536">
        <v>48.95</v>
      </c>
      <c r="T14" s="536">
        <v>29.37</v>
      </c>
      <c r="U14" s="536">
        <v>29.37</v>
      </c>
      <c r="V14" s="542">
        <v>979</v>
      </c>
      <c r="W14" s="540">
        <v>-131.35</v>
      </c>
      <c r="X14" s="541">
        <v>-0.13</v>
      </c>
      <c r="Y14" s="543"/>
    </row>
    <row r="15" spans="1:25">
      <c r="A15" s="73" t="s">
        <v>1711</v>
      </c>
      <c r="B15" s="74" t="s">
        <v>1712</v>
      </c>
      <c r="C15" s="74" t="s">
        <v>253</v>
      </c>
      <c r="D15" s="74" t="s">
        <v>255</v>
      </c>
      <c r="E15" s="74" t="s">
        <v>1713</v>
      </c>
      <c r="F15" s="74">
        <v>1999</v>
      </c>
      <c r="G15" s="74">
        <v>225.05</v>
      </c>
      <c r="H15" s="74">
        <v>265.55</v>
      </c>
      <c r="I15" s="539">
        <v>0.13</v>
      </c>
      <c r="J15" s="536">
        <v>62.27</v>
      </c>
      <c r="K15" s="536">
        <v>65</v>
      </c>
      <c r="L15" s="536">
        <v>16</v>
      </c>
      <c r="M15" s="536">
        <v>12.5</v>
      </c>
      <c r="N15" s="74">
        <v>155.77000000000001</v>
      </c>
      <c r="O15" s="74">
        <v>183.81</v>
      </c>
      <c r="P15" s="540">
        <v>25.12</v>
      </c>
      <c r="Q15" s="541">
        <v>0.05</v>
      </c>
      <c r="R15" s="536">
        <v>47.9</v>
      </c>
      <c r="S15" s="536">
        <v>23.95</v>
      </c>
      <c r="T15" s="536">
        <v>14.37</v>
      </c>
      <c r="U15" s="536">
        <v>14.37</v>
      </c>
      <c r="V15" s="542">
        <v>479</v>
      </c>
      <c r="W15" s="540">
        <v>-75.47</v>
      </c>
      <c r="X15" s="541">
        <v>-0.16</v>
      </c>
      <c r="Y15" s="543"/>
    </row>
    <row r="16" spans="1:25">
      <c r="A16" s="73" t="s">
        <v>1714</v>
      </c>
      <c r="B16" s="74" t="s">
        <v>1715</v>
      </c>
      <c r="C16" s="74" t="s">
        <v>262</v>
      </c>
      <c r="D16" s="74" t="s">
        <v>264</v>
      </c>
      <c r="E16" s="74" t="s">
        <v>1713</v>
      </c>
      <c r="F16" s="74">
        <v>1999</v>
      </c>
      <c r="G16" s="74">
        <v>430.88</v>
      </c>
      <c r="H16" s="74">
        <v>508.43</v>
      </c>
      <c r="I16" s="539">
        <v>0.13</v>
      </c>
      <c r="J16" s="536">
        <v>88.27</v>
      </c>
      <c r="K16" s="536">
        <v>65</v>
      </c>
      <c r="L16" s="536">
        <v>30</v>
      </c>
      <c r="M16" s="536">
        <v>12.5</v>
      </c>
      <c r="N16" s="74">
        <v>195.77</v>
      </c>
      <c r="O16" s="74">
        <v>231.01</v>
      </c>
      <c r="P16" s="540">
        <v>-51.22</v>
      </c>
      <c r="Q16" s="541">
        <v>-0.08</v>
      </c>
      <c r="R16" s="536">
        <v>67.900000000000006</v>
      </c>
      <c r="S16" s="536">
        <v>33.950000000000003</v>
      </c>
      <c r="T16" s="536">
        <v>20.37</v>
      </c>
      <c r="U16" s="536">
        <v>20.37</v>
      </c>
      <c r="V16" s="542">
        <v>679</v>
      </c>
      <c r="W16" s="540">
        <v>-193.81</v>
      </c>
      <c r="X16" s="541">
        <v>-0.28999999999999998</v>
      </c>
      <c r="Y16" s="543"/>
    </row>
    <row r="17" spans="1:25">
      <c r="A17" s="73" t="s">
        <v>1716</v>
      </c>
      <c r="B17" s="74" t="s">
        <v>1717</v>
      </c>
      <c r="C17" s="74" t="s">
        <v>267</v>
      </c>
      <c r="D17" s="74" t="s">
        <v>269</v>
      </c>
      <c r="E17" s="74" t="s">
        <v>1713</v>
      </c>
      <c r="F17" s="74">
        <v>1999</v>
      </c>
      <c r="G17" s="74">
        <v>430.88</v>
      </c>
      <c r="H17" s="74">
        <v>508.43</v>
      </c>
      <c r="I17" s="539">
        <v>0.13</v>
      </c>
      <c r="J17" s="536">
        <v>88.27</v>
      </c>
      <c r="K17" s="536">
        <v>65</v>
      </c>
      <c r="L17" s="536">
        <v>30</v>
      </c>
      <c r="M17" s="536">
        <v>12.5</v>
      </c>
      <c r="N17" s="74">
        <v>195.77</v>
      </c>
      <c r="O17" s="74">
        <v>231.01</v>
      </c>
      <c r="P17" s="540">
        <v>-51.22</v>
      </c>
      <c r="Q17" s="541">
        <v>-0.08</v>
      </c>
      <c r="R17" s="536">
        <v>67.900000000000006</v>
      </c>
      <c r="S17" s="536">
        <v>33.950000000000003</v>
      </c>
      <c r="T17" s="536">
        <v>20.37</v>
      </c>
      <c r="U17" s="536">
        <v>20.37</v>
      </c>
      <c r="V17" s="542">
        <v>679</v>
      </c>
      <c r="W17" s="540">
        <v>-193.81</v>
      </c>
      <c r="X17" s="541">
        <v>-0.28999999999999998</v>
      </c>
      <c r="Y17" s="543"/>
    </row>
    <row r="18" spans="1:25">
      <c r="A18" s="73" t="s">
        <v>1718</v>
      </c>
      <c r="B18" s="74" t="s">
        <v>1719</v>
      </c>
      <c r="C18" s="74" t="s">
        <v>272</v>
      </c>
      <c r="D18" s="74" t="s">
        <v>274</v>
      </c>
      <c r="E18" s="74" t="s">
        <v>1713</v>
      </c>
      <c r="F18" s="74">
        <v>1999</v>
      </c>
      <c r="G18" s="74">
        <v>430.88</v>
      </c>
      <c r="H18" s="74">
        <v>508.43</v>
      </c>
      <c r="I18" s="539">
        <v>0.13</v>
      </c>
      <c r="J18" s="536">
        <v>75.27</v>
      </c>
      <c r="K18" s="536">
        <v>65</v>
      </c>
      <c r="L18" s="536">
        <v>30</v>
      </c>
      <c r="M18" s="536">
        <v>12.5</v>
      </c>
      <c r="N18" s="74">
        <v>182.77</v>
      </c>
      <c r="O18" s="74">
        <v>215.67</v>
      </c>
      <c r="P18" s="540">
        <v>-122.97</v>
      </c>
      <c r="Q18" s="541">
        <v>-0.21</v>
      </c>
      <c r="R18" s="536">
        <v>57.9</v>
      </c>
      <c r="S18" s="536">
        <v>28.95</v>
      </c>
      <c r="T18" s="536">
        <v>17.37</v>
      </c>
      <c r="U18" s="536">
        <v>17.37</v>
      </c>
      <c r="V18" s="542">
        <v>579</v>
      </c>
      <c r="W18" s="540">
        <v>-244.56</v>
      </c>
      <c r="X18" s="541">
        <v>-0.42</v>
      </c>
      <c r="Y18" s="543"/>
    </row>
    <row r="19" spans="1:25">
      <c r="A19" s="73" t="s">
        <v>1720</v>
      </c>
      <c r="B19" s="74" t="s">
        <v>1721</v>
      </c>
      <c r="C19" s="74" t="s">
        <v>276</v>
      </c>
      <c r="D19" s="74" t="s">
        <v>278</v>
      </c>
      <c r="E19" s="74" t="s">
        <v>1713</v>
      </c>
      <c r="F19" s="74">
        <v>1999</v>
      </c>
      <c r="G19" s="74">
        <v>430.88</v>
      </c>
      <c r="H19" s="74">
        <v>508.43</v>
      </c>
      <c r="I19" s="539">
        <v>0.13</v>
      </c>
      <c r="J19" s="536">
        <v>75.27</v>
      </c>
      <c r="K19" s="536">
        <v>65</v>
      </c>
      <c r="L19" s="536">
        <v>30</v>
      </c>
      <c r="M19" s="536">
        <v>12.5</v>
      </c>
      <c r="N19" s="74">
        <v>182.77</v>
      </c>
      <c r="O19" s="74">
        <v>215.67</v>
      </c>
      <c r="P19" s="540">
        <v>-122.97</v>
      </c>
      <c r="Q19" s="541">
        <v>-0.21</v>
      </c>
      <c r="R19" s="536">
        <v>57.9</v>
      </c>
      <c r="S19" s="536">
        <v>28.95</v>
      </c>
      <c r="T19" s="536">
        <v>17.37</v>
      </c>
      <c r="U19" s="536">
        <v>17.37</v>
      </c>
      <c r="V19" s="542">
        <v>579</v>
      </c>
      <c r="W19" s="540">
        <v>-244.56</v>
      </c>
      <c r="X19" s="541">
        <v>-0.42</v>
      </c>
      <c r="Y19" s="543"/>
    </row>
  </sheetData>
  <mergeCells count="2">
    <mergeCell ref="J2:M2"/>
    <mergeCell ref="R2:U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00"/>
  <sheetViews>
    <sheetView workbookViewId="0"/>
  </sheetViews>
  <sheetFormatPr defaultColWidth="14.44140625" defaultRowHeight="15" customHeight="1"/>
  <cols>
    <col min="1" max="1" width="25.33203125" customWidth="1"/>
    <col min="2" max="26" width="8.6640625" customWidth="1"/>
  </cols>
  <sheetData>
    <row r="1" spans="1:2" ht="14.25" customHeight="1"/>
    <row r="2" spans="1:2" ht="14.25" customHeight="1">
      <c r="A2" s="2" t="s">
        <v>1722</v>
      </c>
      <c r="B2" s="2" t="s">
        <v>1723</v>
      </c>
    </row>
    <row r="3" spans="1:2" ht="14.25" customHeight="1">
      <c r="B3" s="2" t="s">
        <v>1724</v>
      </c>
    </row>
    <row r="4" spans="1:2" ht="14.25" customHeight="1">
      <c r="B4" s="2" t="s">
        <v>1725</v>
      </c>
    </row>
    <row r="5" spans="1:2" ht="14.25" customHeight="1"/>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000"/>
  <sheetViews>
    <sheetView workbookViewId="0"/>
  </sheetViews>
  <sheetFormatPr defaultColWidth="14.44140625" defaultRowHeight="15" customHeight="1"/>
  <cols>
    <col min="1" max="1" width="4" customWidth="1"/>
    <col min="2" max="2" width="40.6640625" customWidth="1"/>
    <col min="3" max="3" width="108.44140625" customWidth="1"/>
    <col min="4" max="26" width="8.6640625" customWidth="1"/>
  </cols>
  <sheetData>
    <row r="1" spans="1:3" ht="14.25" customHeight="1">
      <c r="A1" s="544" t="s">
        <v>1726</v>
      </c>
      <c r="B1" s="544" t="s">
        <v>1727</v>
      </c>
      <c r="C1" s="544" t="s">
        <v>1728</v>
      </c>
    </row>
    <row r="2" spans="1:3" ht="14.25" customHeight="1">
      <c r="A2" s="4">
        <v>1</v>
      </c>
      <c r="B2" s="545" t="s">
        <v>1729</v>
      </c>
      <c r="C2" s="546" t="s">
        <v>1730</v>
      </c>
    </row>
    <row r="3" spans="1:3" ht="14.25" customHeight="1">
      <c r="A3" s="4">
        <v>2</v>
      </c>
      <c r="B3" s="545" t="s">
        <v>1731</v>
      </c>
      <c r="C3" s="546" t="s">
        <v>1732</v>
      </c>
    </row>
    <row r="4" spans="1:3" ht="14.25" customHeight="1">
      <c r="A4" s="4">
        <v>3</v>
      </c>
      <c r="B4" s="545" t="s">
        <v>1733</v>
      </c>
      <c r="C4" s="546" t="s">
        <v>1734</v>
      </c>
    </row>
    <row r="5" spans="1:3" ht="14.25" customHeight="1">
      <c r="A5" s="4">
        <v>4</v>
      </c>
      <c r="B5" s="545" t="s">
        <v>1735</v>
      </c>
      <c r="C5" s="546" t="s">
        <v>1736</v>
      </c>
    </row>
    <row r="6" spans="1:3" ht="14.25" customHeight="1">
      <c r="A6" s="4">
        <v>5</v>
      </c>
      <c r="B6" s="545" t="s">
        <v>1737</v>
      </c>
      <c r="C6" s="546" t="s">
        <v>1738</v>
      </c>
    </row>
    <row r="7" spans="1:3" ht="14.25" customHeight="1"/>
    <row r="8" spans="1:3" ht="14.25" customHeight="1"/>
    <row r="9" spans="1:3" ht="14.25" customHeight="1">
      <c r="B9" s="4" t="s">
        <v>1739</v>
      </c>
      <c r="C9" s="546" t="s">
        <v>1740</v>
      </c>
    </row>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J23"/>
  <sheetViews>
    <sheetView workbookViewId="0"/>
  </sheetViews>
  <sheetFormatPr defaultColWidth="14.44140625" defaultRowHeight="15" customHeight="1"/>
  <cols>
    <col min="1" max="1" width="52.88671875" customWidth="1"/>
    <col min="4" max="5" width="19.5546875" customWidth="1"/>
    <col min="7" max="8" width="19.5546875" customWidth="1"/>
  </cols>
  <sheetData>
    <row r="1" spans="1:10">
      <c r="A1" s="547"/>
      <c r="B1" s="547"/>
      <c r="C1" s="548" t="s">
        <v>1741</v>
      </c>
      <c r="D1" s="547"/>
      <c r="E1" s="547"/>
      <c r="F1" s="548" t="s">
        <v>1742</v>
      </c>
      <c r="G1" s="547"/>
      <c r="H1" s="547"/>
      <c r="I1" s="549"/>
    </row>
    <row r="2" spans="1:10">
      <c r="A2" s="550" t="s">
        <v>1743</v>
      </c>
      <c r="B2" s="551" t="s">
        <v>161</v>
      </c>
      <c r="C2" s="551" t="s">
        <v>1744</v>
      </c>
      <c r="D2" s="551" t="s">
        <v>1745</v>
      </c>
      <c r="E2" s="551" t="s">
        <v>1746</v>
      </c>
      <c r="F2" s="551" t="s">
        <v>1747</v>
      </c>
      <c r="G2" s="551" t="s">
        <v>1748</v>
      </c>
      <c r="H2" s="551" t="s">
        <v>1749</v>
      </c>
      <c r="I2" s="551" t="s">
        <v>1750</v>
      </c>
      <c r="J2" s="551" t="s">
        <v>1679</v>
      </c>
    </row>
    <row r="3" spans="1:10">
      <c r="A3" s="552" t="s">
        <v>317</v>
      </c>
      <c r="B3" s="553" t="s">
        <v>313</v>
      </c>
      <c r="C3" s="554"/>
      <c r="D3" s="506" t="s">
        <v>1751</v>
      </c>
      <c r="E3" s="506" t="s">
        <v>1751</v>
      </c>
      <c r="F3" s="506" t="s">
        <v>1752</v>
      </c>
      <c r="G3" s="554" t="s">
        <v>1753</v>
      </c>
      <c r="H3" s="554" t="s">
        <v>1753</v>
      </c>
      <c r="I3" s="506" t="s">
        <v>1754</v>
      </c>
    </row>
    <row r="4" spans="1:10">
      <c r="A4" s="552" t="s">
        <v>1755</v>
      </c>
      <c r="B4" s="554" t="s">
        <v>331</v>
      </c>
      <c r="C4" s="554"/>
      <c r="D4" s="506" t="s">
        <v>1751</v>
      </c>
      <c r="E4" s="506" t="s">
        <v>1751</v>
      </c>
      <c r="F4" s="506" t="s">
        <v>1752</v>
      </c>
      <c r="G4" s="554" t="s">
        <v>1753</v>
      </c>
      <c r="H4" s="554" t="s">
        <v>1753</v>
      </c>
      <c r="I4" s="506" t="s">
        <v>1754</v>
      </c>
    </row>
    <row r="5" spans="1:10">
      <c r="A5" s="552" t="s">
        <v>1755</v>
      </c>
      <c r="B5" s="554" t="s">
        <v>337</v>
      </c>
      <c r="C5" s="554"/>
      <c r="D5" s="506" t="s">
        <v>1751</v>
      </c>
      <c r="E5" s="506" t="s">
        <v>1751</v>
      </c>
      <c r="F5" s="506" t="s">
        <v>1752</v>
      </c>
      <c r="G5" s="554" t="s">
        <v>1753</v>
      </c>
      <c r="H5" s="554" t="s">
        <v>1753</v>
      </c>
      <c r="I5" s="506" t="s">
        <v>1754</v>
      </c>
    </row>
    <row r="6" spans="1:10">
      <c r="A6" s="552" t="s">
        <v>1755</v>
      </c>
      <c r="B6" s="554" t="s">
        <v>342</v>
      </c>
      <c r="C6" s="554"/>
      <c r="D6" s="506" t="s">
        <v>1751</v>
      </c>
      <c r="E6" s="506" t="s">
        <v>1751</v>
      </c>
      <c r="F6" s="506" t="s">
        <v>1752</v>
      </c>
      <c r="G6" s="554" t="s">
        <v>1753</v>
      </c>
      <c r="H6" s="554" t="s">
        <v>1753</v>
      </c>
      <c r="I6" s="506" t="s">
        <v>1754</v>
      </c>
    </row>
    <row r="7" spans="1:10">
      <c r="A7" s="552" t="s">
        <v>1756</v>
      </c>
      <c r="B7" s="554" t="s">
        <v>233</v>
      </c>
      <c r="C7" s="554"/>
      <c r="D7" s="506" t="s">
        <v>1751</v>
      </c>
      <c r="E7" s="506" t="s">
        <v>1751</v>
      </c>
      <c r="F7" s="506" t="s">
        <v>1757</v>
      </c>
      <c r="G7" s="554" t="s">
        <v>1758</v>
      </c>
      <c r="H7" s="554" t="s">
        <v>1758</v>
      </c>
      <c r="I7" s="506" t="s">
        <v>1754</v>
      </c>
    </row>
    <row r="8" spans="1:10">
      <c r="A8" s="552" t="s">
        <v>1756</v>
      </c>
      <c r="B8" s="554" t="s">
        <v>242</v>
      </c>
      <c r="C8" s="554"/>
      <c r="D8" s="506" t="s">
        <v>1751</v>
      </c>
      <c r="E8" s="506" t="s">
        <v>1751</v>
      </c>
      <c r="F8" s="506" t="s">
        <v>1757</v>
      </c>
      <c r="G8" s="554" t="s">
        <v>1758</v>
      </c>
      <c r="H8" s="554" t="s">
        <v>1758</v>
      </c>
      <c r="I8" s="506" t="s">
        <v>1754</v>
      </c>
    </row>
    <row r="9" spans="1:10">
      <c r="A9" s="552" t="s">
        <v>1756</v>
      </c>
      <c r="B9" s="554" t="s">
        <v>326</v>
      </c>
      <c r="C9" s="554"/>
      <c r="D9" s="506" t="s">
        <v>1751</v>
      </c>
      <c r="E9" s="506" t="s">
        <v>1751</v>
      </c>
      <c r="F9" s="506" t="s">
        <v>1757</v>
      </c>
      <c r="G9" s="554" t="s">
        <v>1758</v>
      </c>
      <c r="H9" s="554" t="s">
        <v>1758</v>
      </c>
      <c r="I9" s="506" t="s">
        <v>1754</v>
      </c>
    </row>
    <row r="10" spans="1:10">
      <c r="A10" s="6"/>
      <c r="B10" s="555" t="s">
        <v>420</v>
      </c>
      <c r="C10" s="556"/>
      <c r="D10" s="557" t="s">
        <v>1758</v>
      </c>
      <c r="E10" s="557" t="s">
        <v>1758</v>
      </c>
      <c r="F10" s="556"/>
      <c r="G10" s="556" t="s">
        <v>1753</v>
      </c>
      <c r="H10" s="556" t="s">
        <v>1753</v>
      </c>
      <c r="I10" s="557" t="s">
        <v>1759</v>
      </c>
      <c r="J10" s="252"/>
    </row>
    <row r="11" spans="1:10">
      <c r="A11" s="552"/>
      <c r="B11" s="558" t="s">
        <v>426</v>
      </c>
      <c r="C11" s="554"/>
      <c r="D11" s="506" t="s">
        <v>1758</v>
      </c>
      <c r="E11" s="506" t="s">
        <v>1758</v>
      </c>
      <c r="F11" s="554"/>
      <c r="G11" s="554" t="s">
        <v>1753</v>
      </c>
      <c r="H11" s="554" t="s">
        <v>1753</v>
      </c>
      <c r="I11" s="506" t="s">
        <v>1759</v>
      </c>
      <c r="J11" s="252"/>
    </row>
    <row r="12" spans="1:10">
      <c r="A12" s="552"/>
      <c r="B12" s="558" t="s">
        <v>436</v>
      </c>
      <c r="C12" s="554"/>
      <c r="D12" s="554" t="s">
        <v>1753</v>
      </c>
      <c r="E12" s="554" t="s">
        <v>1753</v>
      </c>
      <c r="F12" s="554"/>
      <c r="G12" s="554" t="s">
        <v>1753</v>
      </c>
      <c r="H12" s="554" t="s">
        <v>1753</v>
      </c>
      <c r="I12" s="506" t="s">
        <v>1759</v>
      </c>
      <c r="J12" s="252" t="s">
        <v>1760</v>
      </c>
    </row>
    <row r="13" spans="1:10">
      <c r="A13" s="552"/>
      <c r="B13" s="558" t="s">
        <v>1761</v>
      </c>
      <c r="C13" s="554"/>
      <c r="D13" s="506" t="s">
        <v>1758</v>
      </c>
      <c r="E13" s="506" t="s">
        <v>1758</v>
      </c>
      <c r="F13" s="554"/>
      <c r="G13" s="554" t="s">
        <v>1753</v>
      </c>
      <c r="H13" s="554" t="s">
        <v>1753</v>
      </c>
      <c r="I13" s="506" t="s">
        <v>1759</v>
      </c>
      <c r="J13" s="252"/>
    </row>
    <row r="14" spans="1:10">
      <c r="A14" s="552"/>
      <c r="B14" s="558" t="s">
        <v>1762</v>
      </c>
      <c r="C14" s="554"/>
      <c r="D14" s="506" t="s">
        <v>1758</v>
      </c>
      <c r="E14" s="506" t="s">
        <v>1758</v>
      </c>
      <c r="F14" s="554"/>
      <c r="G14" s="554" t="s">
        <v>1753</v>
      </c>
      <c r="H14" s="554" t="s">
        <v>1753</v>
      </c>
      <c r="I14" s="506" t="s">
        <v>1759</v>
      </c>
      <c r="J14" s="252"/>
    </row>
    <row r="15" spans="1:10">
      <c r="A15" s="552" t="s">
        <v>1756</v>
      </c>
      <c r="B15" s="554" t="s">
        <v>459</v>
      </c>
      <c r="C15" s="554"/>
      <c r="D15" s="506" t="s">
        <v>1758</v>
      </c>
      <c r="E15" s="506" t="s">
        <v>1758</v>
      </c>
      <c r="F15" s="554"/>
      <c r="G15" s="554" t="s">
        <v>1753</v>
      </c>
      <c r="H15" s="554" t="s">
        <v>1753</v>
      </c>
      <c r="I15" s="506" t="s">
        <v>1759</v>
      </c>
      <c r="J15" s="252"/>
    </row>
    <row r="23" spans="5:5">
      <c r="E23" s="2" t="s">
        <v>1763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Master Sheet</vt:lpstr>
      <vt:lpstr>Margin Calculation</vt:lpstr>
      <vt:lpstr>Amazon Live Products</vt:lpstr>
      <vt:lpstr>Website</vt:lpstr>
      <vt:lpstr>B2B</vt:lpstr>
      <vt:lpstr>CRED</vt:lpstr>
      <vt:lpstr>Myntra</vt:lpstr>
      <vt:lpstr>HYPD</vt:lpstr>
      <vt:lpstr>Vijay Sales</vt:lpstr>
      <vt:lpstr>Pop UPI</vt:lpstr>
      <vt:lpstr>Snapmint</vt:lpstr>
      <vt:lpstr>Sangeetha</vt:lpstr>
      <vt:lpstr>BIW</vt:lpstr>
      <vt:lpstr>Vantage Circle</vt:lpstr>
      <vt:lpstr>Enertia</vt:lpstr>
      <vt:lpstr>Shree</vt:lpstr>
      <vt:lpstr>Blinkit</vt:lpstr>
      <vt:lpstr>Sheet28</vt:lpstr>
      <vt:lpstr>Coin Rush</vt:lpstr>
      <vt:lpstr>Spares</vt:lpstr>
      <vt:lpstr>Gifting</vt:lpstr>
      <vt:lpstr>Master Pricing Sheet</vt:lpstr>
      <vt:lpstr>Sheet6</vt:lpstr>
      <vt:lpstr>Sheet23</vt:lpstr>
      <vt:lpstr>Sheet25</vt:lpstr>
      <vt:lpstr>Flipkart</vt:lpstr>
      <vt:lpstr>Chair Changes</vt:lpstr>
      <vt:lpstr>Falcon Series Listing Content</vt:lpstr>
      <vt:lpstr>Listing and Packaging Images 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Rushabh Dharod</dc:creator>
  <cp:lastModifiedBy>Admin</cp:lastModifiedBy>
  <dcterms:created xsi:type="dcterms:W3CDTF">2022-06-15T06:23:45Z</dcterms:created>
  <dcterms:modified xsi:type="dcterms:W3CDTF">2026-06-11T09:58:17Z</dcterms:modified>
</cp:coreProperties>
</file>